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3.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tables/table14.xml" ContentType="application/vnd.openxmlformats-officedocument.spreadsheetml.table+xml"/>
  <Override PartName="/xl/queryTables/queryTable12.xml" ContentType="application/vnd.openxmlformats-officedocument.spreadsheetml.queryTable+xml"/>
  <Override PartName="/xl/tables/table15.xml" ContentType="application/vnd.openxmlformats-officedocument.spreadsheetml.table+xml"/>
  <Override PartName="/xl/queryTables/queryTable13.xml" ContentType="application/vnd.openxmlformats-officedocument.spreadsheetml.queryTable+xml"/>
  <Override PartName="/xl/tables/table16.xml" ContentType="application/vnd.openxmlformats-officedocument.spreadsheetml.table+xml"/>
  <Override PartName="/xl/queryTables/queryTable14.xml" ContentType="application/vnd.openxmlformats-officedocument.spreadsheetml.queryTable+xml"/>
  <Override PartName="/xl/tables/table17.xml" ContentType="application/vnd.openxmlformats-officedocument.spreadsheetml.table+xml"/>
  <Override PartName="/xl/queryTables/queryTable15.xml" ContentType="application/vnd.openxmlformats-officedocument.spreadsheetml.queryTable+xml"/>
  <Override PartName="/xl/tables/table18.xml" ContentType="application/vnd.openxmlformats-officedocument.spreadsheetml.table+xml"/>
  <Override PartName="/xl/queryTables/queryTable16.xml" ContentType="application/vnd.openxmlformats-officedocument.spreadsheetml.queryTable+xml"/>
  <Override PartName="/xl/tables/table19.xml" ContentType="application/vnd.openxmlformats-officedocument.spreadsheetml.table+xml"/>
  <Override PartName="/xl/queryTables/queryTable17.xml" ContentType="application/vnd.openxmlformats-officedocument.spreadsheetml.queryTable+xml"/>
  <Override PartName="/xl/tables/table20.xml" ContentType="application/vnd.openxmlformats-officedocument.spreadsheetml.table+xml"/>
  <Override PartName="/xl/queryTables/queryTable18.xml" ContentType="application/vnd.openxmlformats-officedocument.spreadsheetml.queryTable+xml"/>
  <Override PartName="/xl/tables/table21.xml" ContentType="application/vnd.openxmlformats-officedocument.spreadsheetml.table+xml"/>
  <Override PartName="/xl/queryTables/queryTable19.xml" ContentType="application/vnd.openxmlformats-officedocument.spreadsheetml.queryTable+xml"/>
  <Override PartName="/xl/tables/table22.xml" ContentType="application/vnd.openxmlformats-officedocument.spreadsheetml.table+xml"/>
  <Override PartName="/xl/queryTables/queryTable20.xml" ContentType="application/vnd.openxmlformats-officedocument.spreadsheetml.queryTable+xml"/>
  <Override PartName="/xl/tables/table23.xml" ContentType="application/vnd.openxmlformats-officedocument.spreadsheetml.table+xml"/>
  <Override PartName="/xl/queryTables/queryTable21.xml" ContentType="application/vnd.openxmlformats-officedocument.spreadsheetml.queryTable+xml"/>
  <Override PartName="/xl/tables/table24.xml" ContentType="application/vnd.openxmlformats-officedocument.spreadsheetml.table+xml"/>
  <Override PartName="/xl/queryTables/queryTable22.xml" ContentType="application/vnd.openxmlformats-officedocument.spreadsheetml.queryTable+xml"/>
  <Override PartName="/xl/comments2.xml" ContentType="application/vnd.openxmlformats-officedocument.spreadsheetml.comments+xml"/>
  <Override PartName="/xl/tables/table25.xml" ContentType="application/vnd.openxmlformats-officedocument.spreadsheetml.table+xml"/>
  <Override PartName="/xl/queryTables/queryTable23.xml" ContentType="application/vnd.openxmlformats-officedocument.spreadsheetml.queryTable+xml"/>
  <Override PartName="/xl/tables/table26.xml" ContentType="application/vnd.openxmlformats-officedocument.spreadsheetml.table+xml"/>
  <Override PartName="/xl/queryTables/queryTable24.xml" ContentType="application/vnd.openxmlformats-officedocument.spreadsheetml.queryTable+xml"/>
  <Override PartName="/xl/tables/table27.xml" ContentType="application/vnd.openxmlformats-officedocument.spreadsheetml.table+xml"/>
  <Override PartName="/xl/queryTables/queryTable25.xml" ContentType="application/vnd.openxmlformats-officedocument.spreadsheetml.queryTable+xml"/>
  <Override PartName="/xl/tables/table28.xml" ContentType="application/vnd.openxmlformats-officedocument.spreadsheetml.table+xml"/>
  <Override PartName="/xl/queryTables/queryTable2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filesrv01.msb.com.vn\06.Khoi Quan Ly Rui Ro\02.Trung Tam QLRR Thi Truong\02.Phong GSRRTT\05.Report\01.Daily Report\2026.08.28\BOND\02.FI Bond\"/>
    </mc:Choice>
  </mc:AlternateContent>
  <xr:revisionPtr revIDLastSave="0" documentId="8_{E07BF670-43B8-446A-9713-DB5BF5B2A948}" xr6:coauthVersionLast="47" xr6:coauthVersionMax="47" xr10:uidLastSave="{00000000-0000-0000-0000-000000000000}"/>
  <bookViews>
    <workbookView xWindow="-100" yWindow="-100" windowWidth="21467" windowHeight="11443" tabRatio="722" firstSheet="3" activeTab="7" xr2:uid="{00000000-000D-0000-FFFF-FFFF00000000}"/>
  </bookViews>
  <sheets>
    <sheet name="Scripts" sheetId="18" state="hidden" r:id="rId1"/>
    <sheet name="Ref" sheetId="9" r:id="rId2"/>
    <sheet name="Log&amp;Process" sheetId="14" r:id="rId3"/>
    <sheet name="Runtool" sheetId="2" r:id="rId4"/>
    <sheet name="Upload53" sheetId="17" r:id="rId5"/>
    <sheet name="Upload53 RPBOD03" sheetId="27" r:id="rId6"/>
    <sheet name="Report" sheetId="16" r:id="rId7"/>
    <sheet name="Summary" sheetId="7" r:id="rId8"/>
    <sheet name="His53" sheetId="22" r:id="rId9"/>
    <sheet name="validate curve" sheetId="25" state="hidden" r:id="rId10"/>
    <sheet name="chart" sheetId="26" state="hidden" r:id="rId11"/>
    <sheet name="FNRP fibond" sheetId="24" state="hidden" r:id="rId12"/>
    <sheet name="FNRP" sheetId="1" r:id="rId13"/>
    <sheet name="GL" sheetId="11" r:id="rId14"/>
    <sheet name="AllDealps" sheetId="3" r:id="rId15"/>
    <sheet name="Repo" sheetId="20" r:id="rId16"/>
    <sheet name="RPBOD3" sheetId="15" r:id="rId17"/>
    <sheet name="Rating" sheetId="10" r:id="rId18"/>
    <sheet name="DataTT" sheetId="23" r:id="rId19"/>
  </sheets>
  <definedNames>
    <definedName name="_xlnm._FilterDatabase" localSheetId="12" hidden="1">FNRP!$A$1:$A$1</definedName>
    <definedName name="_xlnm._FilterDatabase" localSheetId="11" hidden="1">'FNRP fibond'!$A$1:$CG$13</definedName>
    <definedName name="_xlnm._FilterDatabase" localSheetId="1" hidden="1">Ref!$F$1:$H$184</definedName>
    <definedName name="_xlnm._FilterDatabase" localSheetId="16" hidden="1">RPBOD3!$A$1:$AI$447</definedName>
    <definedName name="_xlnm._FilterDatabase" localSheetId="4" hidden="1">Upload53!$A$1:$Q$197</definedName>
    <definedName name="AL">'His53'!$AG$2</definedName>
    <definedName name="as">FNRP!$D$2</definedName>
    <definedName name="ExternalData_1" localSheetId="18" hidden="1">DataTT!$A$1:$L$147</definedName>
    <definedName name="ExternalData_1" localSheetId="13" hidden="1">GL!$J$1:$L$6</definedName>
    <definedName name="ExternalData_1" localSheetId="8" hidden="1">'His53'!$B$1:$N$254</definedName>
    <definedName name="ExternalData_1" localSheetId="17" hidden="1">Rating!$A$1:$G$23</definedName>
    <definedName name="ExternalData_1" localSheetId="1" hidden="1">Ref!$AA$1:$AC$39</definedName>
    <definedName name="ExternalData_1" localSheetId="5" hidden="1">'Upload53 RPBOD03'!$B$1:$W$92</definedName>
    <definedName name="ExternalData_10" localSheetId="14" hidden="1">AllDealps!$AL$1:$AS$2</definedName>
    <definedName name="ExternalData_11" localSheetId="14" hidden="1">AllDealps!$AC$1:$AI$2</definedName>
    <definedName name="ExternalData_11" localSheetId="13" hidden="1">GL!#REF!</definedName>
    <definedName name="ExternalData_11" localSheetId="17" hidden="1">Rating!#REF!</definedName>
    <definedName name="ExternalData_11" localSheetId="15" hidden="1">'Repo'!$A$1:$N$7</definedName>
    <definedName name="ExternalData_12" localSheetId="14" hidden="1">AllDealps!$BB$1:$BS$568</definedName>
    <definedName name="ExternalData_12" localSheetId="12" hidden="1">FNRP!$BS$1:$BW$21</definedName>
    <definedName name="ExternalData_13" localSheetId="14" hidden="1">AllDealps!$BB$1:$BT$568</definedName>
    <definedName name="ExternalData_13" localSheetId="12" hidden="1">FNRP!$BZ$1:$CT$12</definedName>
    <definedName name="ExternalData_14" localSheetId="14" hidden="1">AllDealps!$AV$1:$AY$2</definedName>
    <definedName name="ExternalData_14" localSheetId="12" hidden="1">FNRP!$CZ$1:$ED$3</definedName>
    <definedName name="ExternalData_14" localSheetId="13" hidden="1">GL!#REF!</definedName>
    <definedName name="ExternalData_15" localSheetId="14" hidden="1">AllDealps!$BX$1:$CV$2</definedName>
    <definedName name="ExternalData_2" localSheetId="13" hidden="1">GL!$O$1:$Q$3</definedName>
    <definedName name="ExternalData_2" localSheetId="8" hidden="1">'His53'!$Q$1:$T$6662</definedName>
    <definedName name="ExternalData_2" localSheetId="16" hidden="1">RPBOD3!$A$1:$W$92</definedName>
    <definedName name="ExternalData_3" localSheetId="13" hidden="1">GL!$T$1:$X$4</definedName>
    <definedName name="ExternalData_3" localSheetId="8" hidden="1">'His53'!$W$1:$AA$3037</definedName>
    <definedName name="ExternalData_4" localSheetId="13" hidden="1">GL!$AA$1:$AE$2</definedName>
    <definedName name="ExternalData_4" localSheetId="8" hidden="1">'His53'!$AD$1:$AF$820</definedName>
    <definedName name="ExternalData_5" localSheetId="8" hidden="1">'His53'!$AJ$1:$AM$3</definedName>
    <definedName name="ExternalData_6" localSheetId="12" hidden="1">FNRP!$AQ$1:$BK$41</definedName>
    <definedName name="ExternalData_7" localSheetId="12" hidden="1">FNRP!$B$1:$AG$16</definedName>
    <definedName name="ExternalData_8" localSheetId="14" hidden="1">AllDealps!$A$1:$S$817</definedName>
    <definedName name="ExternalData_9" localSheetId="14" hidden="1">AllDealps!$AC$2:$AI$2</definedName>
    <definedName name="F">AllDealps!#REF!</definedName>
    <definedName name="ITB_Amt">Summary!$DB$1</definedName>
    <definedName name="Last14D">Runtool!$C$6</definedName>
    <definedName name="Lastmonth">Runtool!$C$4</definedName>
    <definedName name="lastweek">Runtool!$C$17</definedName>
    <definedName name="Lastyear">Runtool!$C$5</definedName>
    <definedName name="LIQ03_">GL!$K$6</definedName>
    <definedName name="Quarter1">Runtool!$C$21</definedName>
    <definedName name="Quarter2">Runtool!$C$22</definedName>
    <definedName name="Quarter3">Runtool!$C$23</definedName>
    <definedName name="Quarter4">Runtool!$C$24</definedName>
    <definedName name="RPT">Runtool!$C$2</definedName>
    <definedName name="u">Dao_han[PRODUCT_CODE]</definedName>
    <definedName name="Yesterday">Runtool!$C$3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97" i="22" l="1"/>
  <c r="AG215" i="22"/>
  <c r="AG216" i="22"/>
  <c r="AG198" i="22"/>
  <c r="AG199" i="22"/>
  <c r="AG205" i="22"/>
  <c r="AG206" i="22"/>
  <c r="AG200" i="22"/>
  <c r="AG209" i="22"/>
  <c r="AG210" i="22"/>
  <c r="AG2" i="22"/>
  <c r="AG4" i="22"/>
  <c r="AG6" i="22"/>
  <c r="AG8" i="22"/>
  <c r="AG10" i="22"/>
  <c r="AG12" i="22"/>
  <c r="AG14" i="22"/>
  <c r="AG16" i="22"/>
  <c r="AG18" i="22"/>
  <c r="AG20" i="22"/>
  <c r="AG22" i="22"/>
  <c r="AG24" i="22"/>
  <c r="AG26" i="22"/>
  <c r="AG28" i="22"/>
  <c r="AG30" i="22"/>
  <c r="AG201" i="22"/>
  <c r="AG202" i="22"/>
  <c r="AG221" i="22"/>
  <c r="AG222" i="22"/>
  <c r="AG203" i="22"/>
  <c r="AG204" i="22"/>
  <c r="AG3" i="22"/>
  <c r="AG5" i="22"/>
  <c r="AG7" i="22"/>
  <c r="AG9" i="22"/>
  <c r="AG11" i="22"/>
  <c r="AG13" i="22"/>
  <c r="AG15" i="22"/>
  <c r="AG17" i="22"/>
  <c r="AG19" i="22"/>
  <c r="AG21" i="22"/>
  <c r="AG23" i="22"/>
  <c r="AG25" i="22"/>
  <c r="AG27" i="22"/>
  <c r="AG29" i="22"/>
  <c r="AG31" i="22"/>
  <c r="AG32" i="22"/>
  <c r="AG34" i="22"/>
  <c r="AG33" i="22"/>
  <c r="AG35" i="22"/>
  <c r="AG36" i="22"/>
  <c r="AG38" i="22"/>
  <c r="AG40" i="22"/>
  <c r="AG42" i="22"/>
  <c r="AG44" i="22"/>
  <c r="AG46" i="22"/>
  <c r="AG48" i="22"/>
  <c r="AG50" i="22"/>
  <c r="AG52" i="22"/>
  <c r="AG54" i="22"/>
  <c r="AG56" i="22"/>
  <c r="AG58" i="22"/>
  <c r="AG60" i="22"/>
  <c r="AG62" i="22"/>
  <c r="AG64" i="22"/>
  <c r="AG66" i="22"/>
  <c r="AG68" i="22"/>
  <c r="AG70" i="22"/>
  <c r="AG72" i="22"/>
  <c r="AG74" i="22"/>
  <c r="AG76" i="22"/>
  <c r="AG78" i="22"/>
  <c r="AG80" i="22"/>
  <c r="AG82" i="22"/>
  <c r="AG84" i="22"/>
  <c r="AG86" i="22"/>
  <c r="AG88" i="22"/>
  <c r="AG90" i="22"/>
  <c r="AG92" i="22"/>
  <c r="AG94" i="22"/>
  <c r="AG96" i="22"/>
  <c r="AG98" i="22"/>
  <c r="AG100" i="22"/>
  <c r="AG102" i="22"/>
  <c r="AG104" i="22"/>
  <c r="AG106" i="22"/>
  <c r="AG108" i="22"/>
  <c r="AG110" i="22"/>
  <c r="AG112" i="22"/>
  <c r="AG114" i="22"/>
  <c r="AG117" i="22"/>
  <c r="AG119" i="22"/>
  <c r="AG121" i="22"/>
  <c r="AG123" i="22"/>
  <c r="AG125" i="22"/>
  <c r="AG127" i="22"/>
  <c r="AG129" i="22"/>
  <c r="AG131" i="22"/>
  <c r="AG133" i="22"/>
  <c r="AG135" i="22"/>
  <c r="AG137" i="22"/>
  <c r="AG139" i="22"/>
  <c r="AG141" i="22"/>
  <c r="AG143" i="22"/>
  <c r="AG145" i="22"/>
  <c r="AG147" i="22"/>
  <c r="AG149" i="22"/>
  <c r="AG151" i="22"/>
  <c r="AG153" i="22"/>
  <c r="AG155" i="22"/>
  <c r="AG157" i="22"/>
  <c r="AG159" i="22"/>
  <c r="AG161" i="22"/>
  <c r="AG163" i="22"/>
  <c r="AG165" i="22"/>
  <c r="AG167" i="22"/>
  <c r="AG169" i="22"/>
  <c r="AG171" i="22"/>
  <c r="AG173" i="22"/>
  <c r="AG175" i="22"/>
  <c r="AG177" i="22"/>
  <c r="AG179" i="22"/>
  <c r="AG181" i="22"/>
  <c r="AG183" i="22"/>
  <c r="AG185" i="22"/>
  <c r="AG187" i="22"/>
  <c r="AG189" i="22"/>
  <c r="AG191" i="22"/>
  <c r="AG193" i="22"/>
  <c r="AG207" i="22"/>
  <c r="AG208" i="22"/>
  <c r="AG37" i="22"/>
  <c r="AG39" i="22"/>
  <c r="AG41" i="22"/>
  <c r="AG43" i="22"/>
  <c r="AG45" i="22"/>
  <c r="AG47" i="22"/>
  <c r="AG49" i="22"/>
  <c r="AG51" i="22"/>
  <c r="AG53" i="22"/>
  <c r="AG55" i="22"/>
  <c r="AG57" i="22"/>
  <c r="AG59" i="22"/>
  <c r="AG61" i="22"/>
  <c r="AG63" i="22"/>
  <c r="AG65" i="22"/>
  <c r="AG67" i="22"/>
  <c r="AG69" i="22"/>
  <c r="AG71" i="22"/>
  <c r="AG73" i="22"/>
  <c r="AG75" i="22"/>
  <c r="AG77" i="22"/>
  <c r="AG79" i="22"/>
  <c r="AG81" i="22"/>
  <c r="AG83" i="22"/>
  <c r="AG85" i="22"/>
  <c r="AG87" i="22"/>
  <c r="AG89" i="22"/>
  <c r="AG91" i="22"/>
  <c r="AG93" i="22"/>
  <c r="AG95" i="22"/>
  <c r="AG97" i="22"/>
  <c r="AG99" i="22"/>
  <c r="AG101" i="22"/>
  <c r="AG103" i="22"/>
  <c r="AG105" i="22"/>
  <c r="AG107" i="22"/>
  <c r="AG109" i="22"/>
  <c r="AG111" i="22"/>
  <c r="AG113" i="22"/>
  <c r="AG115" i="22"/>
  <c r="AG118" i="22"/>
  <c r="AG120" i="22"/>
  <c r="AG122" i="22"/>
  <c r="AG124" i="22"/>
  <c r="AG126" i="22"/>
  <c r="AG128" i="22"/>
  <c r="AG130" i="22"/>
  <c r="AG132" i="22"/>
  <c r="AG134" i="22"/>
  <c r="AG136" i="22"/>
  <c r="AG138" i="22"/>
  <c r="AG140" i="22"/>
  <c r="AG142" i="22"/>
  <c r="AG144" i="22"/>
  <c r="AG146" i="22"/>
  <c r="AG148" i="22"/>
  <c r="AG150" i="22"/>
  <c r="AG152" i="22"/>
  <c r="AG154" i="22"/>
  <c r="AG156" i="22"/>
  <c r="AG158" i="22"/>
  <c r="AG160" i="22"/>
  <c r="AG162" i="22"/>
  <c r="AG164" i="22"/>
  <c r="AG166" i="22"/>
  <c r="AG168" i="22"/>
  <c r="AG170" i="22"/>
  <c r="AG172" i="22"/>
  <c r="AG174" i="22"/>
  <c r="AG176" i="22"/>
  <c r="AG178" i="22"/>
  <c r="AG180" i="22"/>
  <c r="AG182" i="22"/>
  <c r="AG184" i="22"/>
  <c r="AG186" i="22"/>
  <c r="AG188" i="22"/>
  <c r="AG190" i="22"/>
  <c r="AG192" i="22"/>
  <c r="AG194" i="22"/>
  <c r="AG219" i="22"/>
  <c r="AG220" i="22"/>
  <c r="AG211" i="22"/>
  <c r="AG212" i="22"/>
  <c r="AG213" i="22"/>
  <c r="AG214" i="22"/>
  <c r="AG195" i="22"/>
  <c r="AG196" i="22"/>
  <c r="AG217" i="22"/>
  <c r="AG218" i="22"/>
  <c r="AG223" i="22"/>
  <c r="AG224" i="22"/>
  <c r="AG225" i="22"/>
  <c r="AG226" i="22"/>
  <c r="AG227" i="22"/>
  <c r="AG228" i="22"/>
  <c r="AG235" i="22"/>
  <c r="AG236" i="22"/>
  <c r="AG231" i="22"/>
  <c r="AG232" i="22"/>
  <c r="AG229" i="22"/>
  <c r="AG230" i="22"/>
  <c r="AG233" i="22"/>
  <c r="AG234" i="22"/>
  <c r="AG116" i="22"/>
  <c r="AG237" i="22"/>
  <c r="AG238" i="22"/>
  <c r="AG239" i="22"/>
  <c r="AG240" i="22"/>
  <c r="AG241" i="22"/>
  <c r="AG242" i="22"/>
  <c r="AG243" i="22"/>
  <c r="AG244" i="22"/>
  <c r="AG245" i="22"/>
  <c r="AG246" i="22"/>
  <c r="AG247" i="22"/>
  <c r="AG248" i="22"/>
  <c r="AG249" i="22"/>
  <c r="AG250" i="22"/>
  <c r="AG251" i="22"/>
  <c r="AG252" i="22"/>
  <c r="AG255" i="22"/>
  <c r="AG256" i="22"/>
  <c r="AG253" i="22"/>
  <c r="AG254" i="22"/>
  <c r="AG257" i="22"/>
  <c r="AG258" i="22"/>
  <c r="AG259" i="22"/>
  <c r="AG260" i="22"/>
  <c r="AG261" i="22"/>
  <c r="AG262" i="22"/>
  <c r="AG263" i="22"/>
  <c r="AG264" i="22"/>
  <c r="AG265" i="22"/>
  <c r="AG266" i="22"/>
  <c r="AG267" i="22"/>
  <c r="AG268" i="22"/>
  <c r="AG273" i="22"/>
  <c r="AG274" i="22"/>
  <c r="AG269" i="22"/>
  <c r="AG270" i="22"/>
  <c r="AG271" i="22"/>
  <c r="AG272" i="22"/>
  <c r="AG275" i="22"/>
  <c r="AG276" i="22"/>
  <c r="AG281" i="22"/>
  <c r="AG282" i="22"/>
  <c r="AG277" i="22"/>
  <c r="AG278" i="22"/>
  <c r="AG279" i="22"/>
  <c r="AG280" i="22"/>
  <c r="AG283" i="22"/>
  <c r="AG284" i="22"/>
  <c r="AG291" i="22"/>
  <c r="AG292" i="22"/>
  <c r="AG285" i="22"/>
  <c r="AG286" i="22"/>
  <c r="AG289" i="22"/>
  <c r="AG290" i="22"/>
  <c r="AG287" i="22"/>
  <c r="AG288" i="22"/>
  <c r="AG293" i="22"/>
  <c r="AG294" i="22"/>
  <c r="AG295" i="22"/>
  <c r="AG296" i="22"/>
  <c r="AG297" i="22"/>
  <c r="AG298" i="22"/>
  <c r="AG299" i="22"/>
  <c r="AG300" i="22"/>
  <c r="AG303" i="22"/>
  <c r="AG304" i="22"/>
  <c r="AG301" i="22"/>
  <c r="AG302" i="22"/>
  <c r="AG309" i="22"/>
  <c r="AG310" i="22"/>
  <c r="AG305" i="22"/>
  <c r="AG306" i="22"/>
  <c r="AG307" i="22"/>
  <c r="AG308" i="22"/>
  <c r="AG311" i="22"/>
  <c r="AG312" i="22"/>
  <c r="AG313" i="22"/>
  <c r="AG314" i="22"/>
  <c r="AG315" i="22"/>
  <c r="AG316" i="22"/>
  <c r="AG317" i="22"/>
  <c r="AG318" i="22"/>
  <c r="AG321" i="22"/>
  <c r="AG322" i="22"/>
  <c r="AG319" i="22"/>
  <c r="AG320" i="22"/>
  <c r="AG327" i="22"/>
  <c r="AG328" i="22"/>
  <c r="AG323" i="22"/>
  <c r="AG324" i="22"/>
  <c r="AG329" i="22"/>
  <c r="AG330" i="22"/>
  <c r="AG325" i="22"/>
  <c r="AG326" i="22"/>
  <c r="AG331" i="22"/>
  <c r="AG332" i="22"/>
  <c r="AG333" i="22"/>
  <c r="AG334" i="22"/>
  <c r="AG337" i="22"/>
  <c r="AG338" i="22"/>
  <c r="AG335" i="22"/>
  <c r="AG336" i="22"/>
  <c r="AG339" i="22"/>
  <c r="AG340" i="22"/>
  <c r="AG341" i="22"/>
  <c r="AG342" i="22"/>
  <c r="AG349" i="22"/>
  <c r="AG350" i="22"/>
  <c r="AG343" i="22"/>
  <c r="AG344" i="22"/>
  <c r="AG345" i="22"/>
  <c r="AG346" i="22"/>
  <c r="AG347" i="22"/>
  <c r="AG348" i="22"/>
  <c r="AG355" i="22"/>
  <c r="AG356" i="22"/>
  <c r="AG351" i="22"/>
  <c r="AG352" i="22"/>
  <c r="AG393" i="22"/>
  <c r="AG394" i="22"/>
  <c r="AG421" i="22"/>
  <c r="AG422" i="22"/>
  <c r="AG443" i="22"/>
  <c r="AG444" i="22"/>
  <c r="AG425" i="22"/>
  <c r="AG426" i="22"/>
  <c r="AG427" i="22"/>
  <c r="AG428" i="22"/>
  <c r="AG429" i="22"/>
  <c r="AG430" i="22"/>
  <c r="AG433" i="22"/>
  <c r="AG434" i="22"/>
  <c r="AG423" i="22"/>
  <c r="AG424" i="22"/>
  <c r="AG435" i="22"/>
  <c r="AG436" i="22"/>
  <c r="AG431" i="22"/>
  <c r="AG432" i="22"/>
  <c r="AG441" i="22"/>
  <c r="AG442" i="22"/>
  <c r="AG437" i="22"/>
  <c r="AG438" i="22"/>
  <c r="AG449" i="22"/>
  <c r="AG450" i="22"/>
  <c r="AG447" i="22"/>
  <c r="AG448" i="22"/>
  <c r="AG445" i="22"/>
  <c r="AG446" i="22"/>
  <c r="AG451" i="22"/>
  <c r="AG452" i="22"/>
  <c r="AG453" i="22"/>
  <c r="AG454" i="22"/>
  <c r="AG455" i="22"/>
  <c r="AG456" i="22"/>
  <c r="AG353" i="22"/>
  <c r="AG354" i="22"/>
  <c r="AG357" i="22"/>
  <c r="AG358" i="22"/>
  <c r="AG363" i="22"/>
  <c r="AG364" i="22"/>
  <c r="AG359" i="22"/>
  <c r="AG360" i="22"/>
  <c r="AG361" i="22"/>
  <c r="AG362" i="22"/>
  <c r="AG365" i="22"/>
  <c r="AG366" i="22"/>
  <c r="AG371" i="22"/>
  <c r="AG372" i="22"/>
  <c r="AG367" i="22"/>
  <c r="AG368" i="22"/>
  <c r="AG369" i="22"/>
  <c r="AG370" i="22"/>
  <c r="AG373" i="22"/>
  <c r="AG374" i="22"/>
  <c r="AG375" i="22"/>
  <c r="AG376" i="22"/>
  <c r="AG377" i="22"/>
  <c r="AG378" i="22"/>
  <c r="AG379" i="22"/>
  <c r="AG380" i="22"/>
  <c r="AG381" i="22"/>
  <c r="AG382" i="22"/>
  <c r="AG383" i="22"/>
  <c r="AG384" i="22"/>
  <c r="AG385" i="22"/>
  <c r="AG386" i="22"/>
  <c r="AG389" i="22"/>
  <c r="AG390" i="22"/>
  <c r="AG387" i="22"/>
  <c r="AG388" i="22"/>
  <c r="AG391" i="22"/>
  <c r="AG392" i="22"/>
  <c r="AG439" i="22"/>
  <c r="AG440" i="22"/>
  <c r="AG395" i="22"/>
  <c r="AG396" i="22"/>
  <c r="AG397" i="22"/>
  <c r="AG398" i="22"/>
  <c r="AG403" i="22"/>
  <c r="AG404" i="22"/>
  <c r="AG399" i="22"/>
  <c r="AG400" i="22"/>
  <c r="AG401" i="22"/>
  <c r="AG402" i="22"/>
  <c r="AG405" i="22"/>
  <c r="AG406" i="22"/>
  <c r="AG407" i="22"/>
  <c r="AG408" i="22"/>
  <c r="AG409" i="22"/>
  <c r="AG410" i="22"/>
  <c r="AG411" i="22"/>
  <c r="AG412" i="22"/>
  <c r="AG415" i="22"/>
  <c r="AG416" i="22"/>
  <c r="AG417" i="22"/>
  <c r="AG418" i="22"/>
  <c r="AG413" i="22"/>
  <c r="AG414" i="22"/>
  <c r="AG419" i="22"/>
  <c r="AG420" i="22"/>
  <c r="AG473" i="22"/>
  <c r="AG474" i="22"/>
  <c r="AG467" i="22"/>
  <c r="AG468" i="22"/>
  <c r="AG477" i="22"/>
  <c r="AG478" i="22"/>
  <c r="AG457" i="22"/>
  <c r="AG458" i="22"/>
  <c r="AG459" i="22"/>
  <c r="AG460" i="22"/>
  <c r="AG465" i="22"/>
  <c r="AG466" i="22"/>
  <c r="AG461" i="22"/>
  <c r="AG462" i="22"/>
  <c r="AG463" i="22"/>
  <c r="AG464" i="22"/>
  <c r="AG471" i="22"/>
  <c r="AG472" i="22"/>
  <c r="AG469" i="22"/>
  <c r="AG470" i="22"/>
  <c r="AG475" i="22"/>
  <c r="AG476" i="22"/>
  <c r="AG487" i="22"/>
  <c r="AG488" i="22"/>
  <c r="AG479" i="22"/>
  <c r="AG480" i="22"/>
  <c r="AG481" i="22"/>
  <c r="AG482" i="22"/>
  <c r="AG483" i="22"/>
  <c r="AG484" i="22"/>
  <c r="AG485" i="22"/>
  <c r="AG486" i="22"/>
  <c r="AG489" i="22"/>
  <c r="AG490" i="22"/>
  <c r="AG491" i="22"/>
  <c r="AG492" i="22"/>
  <c r="AG493" i="22"/>
  <c r="AG494" i="22"/>
  <c r="AG495" i="22"/>
  <c r="AG496" i="22"/>
  <c r="AG497" i="22"/>
  <c r="AG498" i="22"/>
  <c r="AG499" i="22"/>
  <c r="AG500" i="22"/>
  <c r="AG501" i="22"/>
  <c r="AG502" i="22"/>
  <c r="AG503" i="22"/>
  <c r="AG504" i="22"/>
  <c r="AG505" i="22"/>
  <c r="AG506" i="22"/>
  <c r="AG507" i="22"/>
  <c r="AG508" i="22"/>
  <c r="AG509" i="22"/>
  <c r="AG510" i="22"/>
  <c r="AG511" i="22"/>
  <c r="AG512" i="22"/>
  <c r="AG513" i="22"/>
  <c r="AG514" i="22"/>
  <c r="AG519" i="22"/>
  <c r="AG520" i="22"/>
  <c r="AG515" i="22"/>
  <c r="AG516" i="22"/>
  <c r="AG517" i="22"/>
  <c r="AG518" i="22"/>
  <c r="AG521" i="22"/>
  <c r="AG522" i="22"/>
  <c r="AG523" i="22"/>
  <c r="AG524" i="22"/>
  <c r="AG525" i="22"/>
  <c r="AG526" i="22"/>
  <c r="AG527" i="22"/>
  <c r="AG528" i="22"/>
  <c r="AG531" i="22"/>
  <c r="AG532" i="22"/>
  <c r="AG529" i="22"/>
  <c r="AG530" i="22"/>
  <c r="AG533" i="22"/>
  <c r="AG534" i="22"/>
  <c r="AG535" i="22"/>
  <c r="AG536" i="22"/>
  <c r="AG537" i="22"/>
  <c r="AG538" i="22"/>
  <c r="AG539" i="22"/>
  <c r="AG540" i="22"/>
  <c r="AG541" i="22"/>
  <c r="AG542" i="22"/>
  <c r="AG543" i="22"/>
  <c r="AG544" i="22"/>
  <c r="AG545" i="22"/>
  <c r="AG546" i="22"/>
  <c r="AG547" i="22"/>
  <c r="AG548" i="22"/>
  <c r="AG549" i="22"/>
  <c r="AG550" i="22"/>
  <c r="AG551" i="22"/>
  <c r="AG552" i="22"/>
  <c r="AG557" i="22"/>
  <c r="AG558" i="22"/>
  <c r="AG553" i="22"/>
  <c r="AG554" i="22"/>
  <c r="AG555" i="22"/>
  <c r="AG556" i="22"/>
  <c r="AG561" i="22"/>
  <c r="AG562" i="22"/>
  <c r="AG559" i="22"/>
  <c r="AG560" i="22"/>
  <c r="AG563" i="22"/>
  <c r="AG564" i="22"/>
  <c r="AG565" i="22"/>
  <c r="AG566" i="22"/>
  <c r="AG567" i="22"/>
  <c r="AG568" i="22"/>
  <c r="AG569" i="22"/>
  <c r="AG570" i="22"/>
  <c r="AG571" i="22"/>
  <c r="AG572" i="22"/>
  <c r="AG575" i="22"/>
  <c r="AG576" i="22"/>
  <c r="AG573" i="22"/>
  <c r="AG574" i="22"/>
  <c r="AG577" i="22"/>
  <c r="AG578" i="22"/>
  <c r="AG581" i="22"/>
  <c r="AG579" i="22"/>
  <c r="AG580" i="22"/>
  <c r="AG582" i="22"/>
  <c r="AG583" i="22"/>
  <c r="AG584" i="22"/>
  <c r="AG585" i="22"/>
  <c r="AG586" i="22"/>
  <c r="AG659" i="22"/>
  <c r="AG660" i="22"/>
  <c r="AG661" i="22"/>
  <c r="AG662" i="22"/>
  <c r="AG587" i="22"/>
  <c r="AG588" i="22"/>
  <c r="AG589" i="22"/>
  <c r="AG590" i="22"/>
  <c r="AG591" i="22"/>
  <c r="AG592" i="22"/>
  <c r="AG593" i="22"/>
  <c r="AG594" i="22"/>
  <c r="AG597" i="22"/>
  <c r="AG598" i="22"/>
  <c r="AG595" i="22"/>
  <c r="AG596" i="22"/>
  <c r="AG599" i="22"/>
  <c r="AG600" i="22"/>
  <c r="AG601" i="22"/>
  <c r="AG602" i="22"/>
  <c r="AG603" i="22"/>
  <c r="AG604" i="22"/>
  <c r="AG605" i="22"/>
  <c r="AG606" i="22"/>
  <c r="AG609" i="22"/>
  <c r="AG610" i="22"/>
  <c r="AG607" i="22"/>
  <c r="AG608" i="22"/>
  <c r="AG611" i="22"/>
  <c r="AG612" i="22"/>
  <c r="AG613" i="22"/>
  <c r="AG614" i="22"/>
  <c r="AG617" i="22"/>
  <c r="AG618" i="22"/>
  <c r="AG619" i="22"/>
  <c r="AG620" i="22"/>
  <c r="AG615" i="22"/>
  <c r="AG616" i="22"/>
  <c r="AG623" i="22"/>
  <c r="AG624" i="22"/>
  <c r="AG621" i="22"/>
  <c r="AG622" i="22"/>
  <c r="AG625" i="22"/>
  <c r="AG626" i="22"/>
  <c r="AG627" i="22"/>
  <c r="AG628" i="22"/>
  <c r="AG629" i="22"/>
  <c r="AG630" i="22"/>
  <c r="AG631" i="22"/>
  <c r="AG632" i="22"/>
  <c r="AG633" i="22"/>
  <c r="AG634" i="22"/>
  <c r="AG639" i="22"/>
  <c r="AG640" i="22"/>
  <c r="AG635" i="22"/>
  <c r="AG636" i="22"/>
  <c r="AG637" i="22"/>
  <c r="AG638" i="22"/>
  <c r="AG645" i="22"/>
  <c r="AG646" i="22"/>
  <c r="AG641" i="22"/>
  <c r="AG642" i="22"/>
  <c r="AG643" i="22"/>
  <c r="AG644" i="22"/>
  <c r="AG647" i="22"/>
  <c r="AG648" i="22"/>
  <c r="AG649" i="22"/>
  <c r="AG650" i="22"/>
  <c r="AG651" i="22"/>
  <c r="AG652" i="22"/>
  <c r="AG653" i="22"/>
  <c r="AG654" i="22"/>
  <c r="AG657" i="22"/>
  <c r="AG658" i="22"/>
  <c r="AG655" i="22"/>
  <c r="AG656" i="22"/>
  <c r="AG663" i="22"/>
  <c r="AG664" i="22"/>
  <c r="AG665" i="22"/>
  <c r="AG666" i="22"/>
  <c r="AG669" i="22"/>
  <c r="AG670" i="22"/>
  <c r="AG667" i="22"/>
  <c r="AG668" i="22"/>
  <c r="AG671" i="22"/>
  <c r="AG672" i="22"/>
  <c r="AG675" i="22"/>
  <c r="AG676" i="22"/>
  <c r="AG673" i="22"/>
  <c r="AG674" i="22"/>
  <c r="AG677" i="22"/>
  <c r="AG678" i="22"/>
  <c r="AG679" i="22"/>
  <c r="AG680" i="22"/>
  <c r="AG681" i="22"/>
  <c r="AG682" i="22"/>
  <c r="AG683" i="22"/>
  <c r="AG684" i="22"/>
  <c r="AG685" i="22"/>
  <c r="AG686" i="22"/>
  <c r="AG687" i="22"/>
  <c r="AG688" i="22"/>
  <c r="AG689" i="22"/>
  <c r="AG690" i="22"/>
  <c r="AG691" i="22"/>
  <c r="AG692" i="22"/>
  <c r="AG695" i="22"/>
  <c r="AG693" i="22"/>
  <c r="AG694" i="22"/>
  <c r="AG696" i="22"/>
  <c r="AG699" i="22"/>
  <c r="AG700" i="22"/>
  <c r="AG697" i="22"/>
  <c r="AG698" i="22"/>
  <c r="AG701" i="22"/>
  <c r="AG702" i="22"/>
  <c r="AG705" i="22"/>
  <c r="AG706" i="22"/>
  <c r="AG703" i="22"/>
  <c r="AG704" i="22"/>
  <c r="AG709" i="22"/>
  <c r="AG707" i="22"/>
  <c r="AG708" i="22"/>
  <c r="AG710" i="22"/>
  <c r="AG711" i="22"/>
  <c r="AG712" i="22"/>
  <c r="AG713" i="22"/>
  <c r="AG714" i="22"/>
  <c r="AG715" i="22"/>
  <c r="AG716" i="22"/>
  <c r="AG717" i="22"/>
  <c r="AG718" i="22"/>
  <c r="AG719" i="22"/>
  <c r="AG720" i="22"/>
  <c r="AG721" i="22"/>
  <c r="AG722" i="22"/>
  <c r="AG723" i="22"/>
  <c r="AG724" i="22"/>
  <c r="AG731" i="22"/>
  <c r="AG732" i="22"/>
  <c r="AG725" i="22"/>
  <c r="AG726" i="22"/>
  <c r="AG729" i="22"/>
  <c r="AG730" i="22"/>
  <c r="AG727" i="22"/>
  <c r="AG728" i="22"/>
  <c r="AG735" i="22"/>
  <c r="AG736" i="22"/>
  <c r="AG737" i="22"/>
  <c r="AG738" i="22"/>
  <c r="AG733" i="22"/>
  <c r="AG734" i="22"/>
  <c r="AG745" i="22"/>
  <c r="AG746" i="22"/>
  <c r="AG741" i="22"/>
  <c r="AG742" i="22"/>
  <c r="AG739" i="22"/>
  <c r="AG740" i="22"/>
  <c r="AG743" i="22"/>
  <c r="AG744" i="22"/>
  <c r="AG747" i="22"/>
  <c r="AG748" i="22"/>
  <c r="AG749" i="22"/>
  <c r="AG750" i="22"/>
  <c r="AG751" i="22"/>
  <c r="AG752" i="22"/>
  <c r="AG753" i="22"/>
  <c r="AG754" i="22"/>
  <c r="AG755" i="22"/>
  <c r="AG756" i="22"/>
  <c r="AG757" i="22"/>
  <c r="AG758" i="22"/>
  <c r="AG759" i="22"/>
  <c r="AG760" i="22"/>
  <c r="AG761" i="22"/>
  <c r="AG762" i="22"/>
  <c r="AG763" i="22"/>
  <c r="AG764" i="22"/>
  <c r="AG765" i="22"/>
  <c r="AG766" i="22"/>
  <c r="AG767" i="22"/>
  <c r="AG768" i="22"/>
  <c r="AG769" i="22"/>
  <c r="AG770" i="22"/>
  <c r="AG781" i="22"/>
  <c r="AG782" i="22"/>
  <c r="AG771" i="22"/>
  <c r="AG772" i="22"/>
  <c r="AG773" i="22"/>
  <c r="AG774" i="22"/>
  <c r="AG775" i="22"/>
  <c r="AG776" i="22"/>
  <c r="AG777" i="22"/>
  <c r="AG778" i="22"/>
  <c r="AG785" i="22"/>
  <c r="AG786" i="22"/>
  <c r="AG779" i="22"/>
  <c r="AG780" i="22"/>
  <c r="AG783" i="22"/>
  <c r="AG784" i="22"/>
  <c r="AG787" i="22"/>
  <c r="AG788" i="22"/>
  <c r="AG789" i="22"/>
  <c r="AG790" i="22"/>
  <c r="AG791" i="22"/>
  <c r="AG792" i="22"/>
  <c r="AG793" i="22"/>
  <c r="AG794" i="22"/>
  <c r="AG795" i="22"/>
  <c r="AG796" i="22"/>
  <c r="AG797" i="22"/>
  <c r="AG798" i="22"/>
  <c r="AG799" i="22"/>
  <c r="AG800" i="22"/>
  <c r="AG801" i="22"/>
  <c r="AG802" i="22"/>
  <c r="AG803" i="22"/>
  <c r="AG804" i="22"/>
  <c r="AG809" i="22"/>
  <c r="AG810" i="22"/>
  <c r="AG807" i="22"/>
  <c r="AG808" i="22"/>
  <c r="AG805" i="22"/>
  <c r="AG806" i="22"/>
  <c r="AG813" i="22"/>
  <c r="AG814" i="22"/>
  <c r="AG811" i="22"/>
  <c r="AG812" i="22"/>
  <c r="AG815" i="22"/>
  <c r="AG816" i="22"/>
  <c r="AG817" i="22"/>
  <c r="AG818" i="22"/>
  <c r="AG819" i="22"/>
  <c r="AG820" i="22"/>
  <c r="M3" i="23"/>
  <c r="M4" i="23"/>
  <c r="M5" i="23"/>
  <c r="M6" i="23"/>
  <c r="M7" i="23"/>
  <c r="M8" i="23"/>
  <c r="M9" i="23"/>
  <c r="M10"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X3" i="15"/>
  <c r="X4" i="15"/>
  <c r="X5" i="15"/>
  <c r="X6" i="15"/>
  <c r="X7" i="15"/>
  <c r="X8" i="15"/>
  <c r="X9" i="15"/>
  <c r="X10" i="15"/>
  <c r="X11" i="15"/>
  <c r="X12" i="15"/>
  <c r="X13" i="15"/>
  <c r="X14" i="15"/>
  <c r="X15" i="15"/>
  <c r="X16" i="15"/>
  <c r="X17" i="15"/>
  <c r="X18" i="15"/>
  <c r="X19" i="15"/>
  <c r="X20" i="15"/>
  <c r="X21" i="15"/>
  <c r="X22" i="15"/>
  <c r="X23" i="15"/>
  <c r="X24" i="15"/>
  <c r="X25"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BU3" i="3"/>
  <c r="BU4" i="3"/>
  <c r="BU5" i="3"/>
  <c r="BU6" i="3"/>
  <c r="BU7" i="3"/>
  <c r="BU8" i="3"/>
  <c r="BU9" i="3"/>
  <c r="BU10" i="3"/>
  <c r="BU11" i="3"/>
  <c r="BU12" i="3"/>
  <c r="BU13" i="3"/>
  <c r="BU14" i="3"/>
  <c r="BU15" i="3"/>
  <c r="BU16" i="3"/>
  <c r="BU17" i="3"/>
  <c r="BU18" i="3"/>
  <c r="BU19" i="3"/>
  <c r="BU20" i="3"/>
  <c r="BU21" i="3"/>
  <c r="BU22" i="3"/>
  <c r="BU23" i="3"/>
  <c r="BU24" i="3"/>
  <c r="BU25" i="3"/>
  <c r="BU26" i="3"/>
  <c r="BU27" i="3"/>
  <c r="BU28" i="3"/>
  <c r="BU29" i="3"/>
  <c r="BU30" i="3"/>
  <c r="BU31" i="3"/>
  <c r="BU32" i="3"/>
  <c r="BU33" i="3"/>
  <c r="BU34" i="3"/>
  <c r="BU35" i="3"/>
  <c r="BU36" i="3"/>
  <c r="BU37" i="3"/>
  <c r="BU38" i="3"/>
  <c r="BU39" i="3"/>
  <c r="BU40" i="3"/>
  <c r="BU41" i="3"/>
  <c r="BU42" i="3"/>
  <c r="BU43" i="3"/>
  <c r="BU44" i="3"/>
  <c r="BU45" i="3"/>
  <c r="BU46" i="3"/>
  <c r="BU47" i="3"/>
  <c r="BU48" i="3"/>
  <c r="BU49" i="3"/>
  <c r="BU50" i="3"/>
  <c r="BU51" i="3"/>
  <c r="BU52" i="3"/>
  <c r="BU53" i="3"/>
  <c r="BU54" i="3"/>
  <c r="BU55" i="3"/>
  <c r="BU56" i="3"/>
  <c r="BU57" i="3"/>
  <c r="BU58" i="3"/>
  <c r="BU59" i="3"/>
  <c r="BU60" i="3"/>
  <c r="BU61" i="3"/>
  <c r="BU62" i="3"/>
  <c r="BU63" i="3"/>
  <c r="BU64" i="3"/>
  <c r="BU65" i="3"/>
  <c r="BU66" i="3"/>
  <c r="BU67" i="3"/>
  <c r="BU68" i="3"/>
  <c r="BU69" i="3"/>
  <c r="BU70" i="3"/>
  <c r="BU71" i="3"/>
  <c r="BU72" i="3"/>
  <c r="BU73" i="3"/>
  <c r="BU74" i="3"/>
  <c r="BU75" i="3"/>
  <c r="BU76" i="3"/>
  <c r="BU77" i="3"/>
  <c r="BU78" i="3"/>
  <c r="BU79" i="3"/>
  <c r="BU80" i="3"/>
  <c r="BU81" i="3"/>
  <c r="BU82" i="3"/>
  <c r="BU83" i="3"/>
  <c r="BU84" i="3"/>
  <c r="BU85" i="3"/>
  <c r="BU86" i="3"/>
  <c r="BU87" i="3"/>
  <c r="BU88" i="3"/>
  <c r="BU89" i="3"/>
  <c r="BU90" i="3"/>
  <c r="BU91" i="3"/>
  <c r="BU92" i="3"/>
  <c r="BU93" i="3"/>
  <c r="BU94" i="3"/>
  <c r="BU95" i="3"/>
  <c r="BU96" i="3"/>
  <c r="BU97" i="3"/>
  <c r="BU98" i="3"/>
  <c r="BU99" i="3"/>
  <c r="BU100" i="3"/>
  <c r="BU101" i="3"/>
  <c r="BU102" i="3"/>
  <c r="BU103" i="3"/>
  <c r="BU104" i="3"/>
  <c r="BU105" i="3"/>
  <c r="BU106" i="3"/>
  <c r="BU107" i="3"/>
  <c r="BU108" i="3"/>
  <c r="BU109" i="3"/>
  <c r="BU110" i="3"/>
  <c r="BU111" i="3"/>
  <c r="BU112" i="3"/>
  <c r="BU113" i="3"/>
  <c r="BU114" i="3"/>
  <c r="BU115" i="3"/>
  <c r="BU116" i="3"/>
  <c r="BU117" i="3"/>
  <c r="BU118" i="3"/>
  <c r="BU119" i="3"/>
  <c r="BU120" i="3"/>
  <c r="BU121" i="3"/>
  <c r="BU122" i="3"/>
  <c r="BU123" i="3"/>
  <c r="BU124" i="3"/>
  <c r="BU125" i="3"/>
  <c r="BU126" i="3"/>
  <c r="BU127" i="3"/>
  <c r="BU128" i="3"/>
  <c r="BU129" i="3"/>
  <c r="BU130" i="3"/>
  <c r="BU131" i="3"/>
  <c r="BU132" i="3"/>
  <c r="BU133" i="3"/>
  <c r="BU134" i="3"/>
  <c r="BU135" i="3"/>
  <c r="BU136" i="3"/>
  <c r="BU137" i="3"/>
  <c r="BU138" i="3"/>
  <c r="BU139" i="3"/>
  <c r="BU140" i="3"/>
  <c r="BU141" i="3"/>
  <c r="BU142" i="3"/>
  <c r="BU143" i="3"/>
  <c r="BU144" i="3"/>
  <c r="BU145" i="3"/>
  <c r="BU146" i="3"/>
  <c r="BU147" i="3"/>
  <c r="BU148" i="3"/>
  <c r="BU149" i="3"/>
  <c r="BU150" i="3"/>
  <c r="BU151" i="3"/>
  <c r="BU152" i="3"/>
  <c r="BU153" i="3"/>
  <c r="BU154" i="3"/>
  <c r="BU155" i="3"/>
  <c r="BU156" i="3"/>
  <c r="BU157" i="3"/>
  <c r="BU158" i="3"/>
  <c r="BU159" i="3"/>
  <c r="BU160" i="3"/>
  <c r="BU161" i="3"/>
  <c r="BU162" i="3"/>
  <c r="BU163" i="3"/>
  <c r="BU164" i="3"/>
  <c r="BU165" i="3"/>
  <c r="BU166" i="3"/>
  <c r="BU167" i="3"/>
  <c r="BU168" i="3"/>
  <c r="BU169" i="3"/>
  <c r="BU170" i="3"/>
  <c r="BU171" i="3"/>
  <c r="BU172" i="3"/>
  <c r="BU173" i="3"/>
  <c r="BU174" i="3"/>
  <c r="BU175" i="3"/>
  <c r="BU176" i="3"/>
  <c r="BU177" i="3"/>
  <c r="BU178" i="3"/>
  <c r="BU179" i="3"/>
  <c r="BU180" i="3"/>
  <c r="BU181" i="3"/>
  <c r="BU182" i="3"/>
  <c r="BU183" i="3"/>
  <c r="BU184" i="3"/>
  <c r="BU185" i="3"/>
  <c r="BU186" i="3"/>
  <c r="BU187" i="3"/>
  <c r="BU188" i="3"/>
  <c r="BU189" i="3"/>
  <c r="BU190" i="3"/>
  <c r="BU191" i="3"/>
  <c r="BU192" i="3"/>
  <c r="BU193" i="3"/>
  <c r="BU194" i="3"/>
  <c r="BU195" i="3"/>
  <c r="BU196" i="3"/>
  <c r="BU197" i="3"/>
  <c r="BU198" i="3"/>
  <c r="BU199" i="3"/>
  <c r="BU200" i="3"/>
  <c r="BU201" i="3"/>
  <c r="BU202" i="3"/>
  <c r="BU203" i="3"/>
  <c r="BU204" i="3"/>
  <c r="BU205" i="3"/>
  <c r="BU206" i="3"/>
  <c r="BU207" i="3"/>
  <c r="BU208" i="3"/>
  <c r="BU209" i="3"/>
  <c r="BU210" i="3"/>
  <c r="BU211" i="3"/>
  <c r="BU212" i="3"/>
  <c r="BU213" i="3"/>
  <c r="BU214" i="3"/>
  <c r="BU215" i="3"/>
  <c r="BU216" i="3"/>
  <c r="BU217" i="3"/>
  <c r="BU218" i="3"/>
  <c r="BU219" i="3"/>
  <c r="BU220" i="3"/>
  <c r="BU221" i="3"/>
  <c r="BU222" i="3"/>
  <c r="BU223" i="3"/>
  <c r="BU224" i="3"/>
  <c r="BU225" i="3"/>
  <c r="BU226" i="3"/>
  <c r="BU227" i="3"/>
  <c r="BU228" i="3"/>
  <c r="BU229" i="3"/>
  <c r="BU230" i="3"/>
  <c r="BU231" i="3"/>
  <c r="BU232" i="3"/>
  <c r="BU233" i="3"/>
  <c r="BU234" i="3"/>
  <c r="BU235" i="3"/>
  <c r="BU236" i="3"/>
  <c r="BU237" i="3"/>
  <c r="BU238" i="3"/>
  <c r="BU239" i="3"/>
  <c r="BU240" i="3"/>
  <c r="BU241" i="3"/>
  <c r="BU242" i="3"/>
  <c r="BU243" i="3"/>
  <c r="BU244" i="3"/>
  <c r="BU245" i="3"/>
  <c r="BU246" i="3"/>
  <c r="BU247" i="3"/>
  <c r="BU248" i="3"/>
  <c r="BU249" i="3"/>
  <c r="BU250" i="3"/>
  <c r="BU251" i="3"/>
  <c r="BU252" i="3"/>
  <c r="BU253" i="3"/>
  <c r="BU254" i="3"/>
  <c r="BU255" i="3"/>
  <c r="BU256" i="3"/>
  <c r="BU257" i="3"/>
  <c r="BU258" i="3"/>
  <c r="BU259" i="3"/>
  <c r="BU260" i="3"/>
  <c r="BU261" i="3"/>
  <c r="BU262" i="3"/>
  <c r="BU263" i="3"/>
  <c r="BU264" i="3"/>
  <c r="BU265" i="3"/>
  <c r="BU266" i="3"/>
  <c r="BU267" i="3"/>
  <c r="BU268" i="3"/>
  <c r="BU269" i="3"/>
  <c r="BU270" i="3"/>
  <c r="BU271" i="3"/>
  <c r="BU272" i="3"/>
  <c r="BU273" i="3"/>
  <c r="BU274" i="3"/>
  <c r="BU275" i="3"/>
  <c r="BU276" i="3"/>
  <c r="BU277" i="3"/>
  <c r="BU278" i="3"/>
  <c r="BU279" i="3"/>
  <c r="BU280" i="3"/>
  <c r="BU281" i="3"/>
  <c r="BU282" i="3"/>
  <c r="BU283" i="3"/>
  <c r="BU284" i="3"/>
  <c r="BU285" i="3"/>
  <c r="BU286" i="3"/>
  <c r="BU287" i="3"/>
  <c r="BU288" i="3"/>
  <c r="BU289" i="3"/>
  <c r="BU290" i="3"/>
  <c r="BU291" i="3"/>
  <c r="BU292" i="3"/>
  <c r="BU293" i="3"/>
  <c r="BU294" i="3"/>
  <c r="BU295" i="3"/>
  <c r="BU296" i="3"/>
  <c r="BU297" i="3"/>
  <c r="BU298" i="3"/>
  <c r="BU299" i="3"/>
  <c r="BU300" i="3"/>
  <c r="BU301" i="3"/>
  <c r="BU302" i="3"/>
  <c r="BU303" i="3"/>
  <c r="BU304" i="3"/>
  <c r="BU305" i="3"/>
  <c r="BU306" i="3"/>
  <c r="BU307" i="3"/>
  <c r="BU308" i="3"/>
  <c r="BU309" i="3"/>
  <c r="BU310" i="3"/>
  <c r="BU311" i="3"/>
  <c r="BU312" i="3"/>
  <c r="BU313" i="3"/>
  <c r="BU314" i="3"/>
  <c r="BU315" i="3"/>
  <c r="BU316" i="3"/>
  <c r="BU317" i="3"/>
  <c r="BU318" i="3"/>
  <c r="BU319" i="3"/>
  <c r="BU320" i="3"/>
  <c r="BU321" i="3"/>
  <c r="BU322" i="3"/>
  <c r="BU323" i="3"/>
  <c r="BU324" i="3"/>
  <c r="BU325" i="3"/>
  <c r="BU326" i="3"/>
  <c r="BU327" i="3"/>
  <c r="BU328" i="3"/>
  <c r="BU329" i="3"/>
  <c r="BU330" i="3"/>
  <c r="BU331" i="3"/>
  <c r="BU332" i="3"/>
  <c r="BU333" i="3"/>
  <c r="BU334" i="3"/>
  <c r="BU335" i="3"/>
  <c r="BU336" i="3"/>
  <c r="BU337" i="3"/>
  <c r="BU338" i="3"/>
  <c r="BU339" i="3"/>
  <c r="BU340" i="3"/>
  <c r="BU341" i="3"/>
  <c r="BU342" i="3"/>
  <c r="BU343" i="3"/>
  <c r="BU344" i="3"/>
  <c r="BU345" i="3"/>
  <c r="BU346" i="3"/>
  <c r="BU347" i="3"/>
  <c r="BU348" i="3"/>
  <c r="BU349" i="3"/>
  <c r="BU350" i="3"/>
  <c r="BU351" i="3"/>
  <c r="BU352" i="3"/>
  <c r="BU353" i="3"/>
  <c r="BU354" i="3"/>
  <c r="BU355" i="3"/>
  <c r="BU356" i="3"/>
  <c r="BU357" i="3"/>
  <c r="BU358" i="3"/>
  <c r="BU359" i="3"/>
  <c r="BU360" i="3"/>
  <c r="BU361" i="3"/>
  <c r="BU362" i="3"/>
  <c r="BU363" i="3"/>
  <c r="BU364" i="3"/>
  <c r="BU365" i="3"/>
  <c r="BU366" i="3"/>
  <c r="BU367" i="3"/>
  <c r="BU368" i="3"/>
  <c r="BU369" i="3"/>
  <c r="BU370" i="3"/>
  <c r="BU371" i="3"/>
  <c r="BU372" i="3"/>
  <c r="BU373" i="3"/>
  <c r="BU374" i="3"/>
  <c r="BU375" i="3"/>
  <c r="BU376" i="3"/>
  <c r="BU377" i="3"/>
  <c r="BU378" i="3"/>
  <c r="BU379" i="3"/>
  <c r="BU380" i="3"/>
  <c r="BU381" i="3"/>
  <c r="BU382" i="3"/>
  <c r="BU383" i="3"/>
  <c r="BU384" i="3"/>
  <c r="BU385" i="3"/>
  <c r="BU386" i="3"/>
  <c r="BU387" i="3"/>
  <c r="BU388" i="3"/>
  <c r="BU389" i="3"/>
  <c r="BU390" i="3"/>
  <c r="BU391" i="3"/>
  <c r="BU392" i="3"/>
  <c r="BU393" i="3"/>
  <c r="BU394" i="3"/>
  <c r="BU395" i="3"/>
  <c r="BU396" i="3"/>
  <c r="BU397" i="3"/>
  <c r="BU398" i="3"/>
  <c r="BU399" i="3"/>
  <c r="BU400" i="3"/>
  <c r="BU401" i="3"/>
  <c r="BU402" i="3"/>
  <c r="BU403" i="3"/>
  <c r="BU404" i="3"/>
  <c r="BU405" i="3"/>
  <c r="BU406" i="3"/>
  <c r="BU407" i="3"/>
  <c r="BU408" i="3"/>
  <c r="BU409" i="3"/>
  <c r="BU410" i="3"/>
  <c r="BU411" i="3"/>
  <c r="BU412" i="3"/>
  <c r="BU413" i="3"/>
  <c r="BU414" i="3"/>
  <c r="BU415" i="3"/>
  <c r="BU416" i="3"/>
  <c r="BU417" i="3"/>
  <c r="BU418" i="3"/>
  <c r="BU419" i="3"/>
  <c r="BU420" i="3"/>
  <c r="BU421" i="3"/>
  <c r="BU422" i="3"/>
  <c r="BU423" i="3"/>
  <c r="BU424" i="3"/>
  <c r="BU425" i="3"/>
  <c r="BU426" i="3"/>
  <c r="BU427" i="3"/>
  <c r="BU428" i="3"/>
  <c r="BU429" i="3"/>
  <c r="BU430" i="3"/>
  <c r="BU431" i="3"/>
  <c r="BU432" i="3"/>
  <c r="BU433" i="3"/>
  <c r="BU434" i="3"/>
  <c r="BU435" i="3"/>
  <c r="BU436" i="3"/>
  <c r="BU437" i="3"/>
  <c r="BU438" i="3"/>
  <c r="BU439" i="3"/>
  <c r="BU440" i="3"/>
  <c r="BU441" i="3"/>
  <c r="BU442" i="3"/>
  <c r="BU443" i="3"/>
  <c r="BU444" i="3"/>
  <c r="BU445" i="3"/>
  <c r="BU446" i="3"/>
  <c r="BU447" i="3"/>
  <c r="BU448" i="3"/>
  <c r="BU449" i="3"/>
  <c r="BU450" i="3"/>
  <c r="BU451" i="3"/>
  <c r="BU452" i="3"/>
  <c r="BU453" i="3"/>
  <c r="BU454" i="3"/>
  <c r="BU455" i="3"/>
  <c r="BU456" i="3"/>
  <c r="BU457" i="3"/>
  <c r="BU458" i="3"/>
  <c r="BU459" i="3"/>
  <c r="BU460" i="3"/>
  <c r="BU461" i="3"/>
  <c r="BU462" i="3"/>
  <c r="BU463" i="3"/>
  <c r="BU464" i="3"/>
  <c r="BU465" i="3"/>
  <c r="BU466" i="3"/>
  <c r="BU467" i="3"/>
  <c r="BU468" i="3"/>
  <c r="BU469" i="3"/>
  <c r="BU470" i="3"/>
  <c r="BU471" i="3"/>
  <c r="BU472" i="3"/>
  <c r="BU473" i="3"/>
  <c r="BU474" i="3"/>
  <c r="BU475" i="3"/>
  <c r="BU476" i="3"/>
  <c r="BU477" i="3"/>
  <c r="BU478" i="3"/>
  <c r="BU479" i="3"/>
  <c r="BU480" i="3"/>
  <c r="BU481" i="3"/>
  <c r="BU482" i="3"/>
  <c r="BU483" i="3"/>
  <c r="BU484" i="3"/>
  <c r="BU485" i="3"/>
  <c r="BU486" i="3"/>
  <c r="BU487" i="3"/>
  <c r="BU488" i="3"/>
  <c r="BU489" i="3"/>
  <c r="BU490" i="3"/>
  <c r="BU491" i="3"/>
  <c r="BU492" i="3"/>
  <c r="BU493" i="3"/>
  <c r="BU494" i="3"/>
  <c r="BU495" i="3"/>
  <c r="BU496" i="3"/>
  <c r="BU497" i="3"/>
  <c r="BU498" i="3"/>
  <c r="BU499" i="3"/>
  <c r="BU500" i="3"/>
  <c r="BU501" i="3"/>
  <c r="BU502" i="3"/>
  <c r="BU503" i="3"/>
  <c r="BU504" i="3"/>
  <c r="BU505" i="3"/>
  <c r="BU506" i="3"/>
  <c r="BU507" i="3"/>
  <c r="BU508" i="3"/>
  <c r="BU509" i="3"/>
  <c r="BU510" i="3"/>
  <c r="BU511" i="3"/>
  <c r="BU512" i="3"/>
  <c r="BU513" i="3"/>
  <c r="BU514" i="3"/>
  <c r="BU515" i="3"/>
  <c r="BU516" i="3"/>
  <c r="BU517" i="3"/>
  <c r="BU518" i="3"/>
  <c r="BU519" i="3"/>
  <c r="BU520" i="3"/>
  <c r="BU521" i="3"/>
  <c r="BU522" i="3"/>
  <c r="BU523" i="3"/>
  <c r="BU524" i="3"/>
  <c r="BU525" i="3"/>
  <c r="BU526" i="3"/>
  <c r="BU527" i="3"/>
  <c r="BU528" i="3"/>
  <c r="BU529" i="3"/>
  <c r="BU530" i="3"/>
  <c r="BU531" i="3"/>
  <c r="BU532" i="3"/>
  <c r="BU533" i="3"/>
  <c r="BU534" i="3"/>
  <c r="BU535" i="3"/>
  <c r="BU536" i="3"/>
  <c r="BU537" i="3"/>
  <c r="BU538" i="3"/>
  <c r="BU539" i="3"/>
  <c r="BU540" i="3"/>
  <c r="BU541" i="3"/>
  <c r="BU542" i="3"/>
  <c r="BU543" i="3"/>
  <c r="BU544" i="3"/>
  <c r="BU545" i="3"/>
  <c r="BU546" i="3"/>
  <c r="BU547" i="3"/>
  <c r="BU548" i="3"/>
  <c r="BU549" i="3"/>
  <c r="BU550" i="3"/>
  <c r="BU551" i="3"/>
  <c r="BU552" i="3"/>
  <c r="BU553" i="3"/>
  <c r="BU554" i="3"/>
  <c r="BU555" i="3"/>
  <c r="BU556" i="3"/>
  <c r="BU557" i="3"/>
  <c r="BU558" i="3"/>
  <c r="BU559" i="3"/>
  <c r="BU560" i="3"/>
  <c r="BU561" i="3"/>
  <c r="BU562" i="3"/>
  <c r="BU563" i="3"/>
  <c r="BU564" i="3"/>
  <c r="BU565" i="3"/>
  <c r="BU566" i="3"/>
  <c r="BU567" i="3"/>
  <c r="BU568" i="3"/>
  <c r="T3" i="3"/>
  <c r="U3" i="3" s="1"/>
  <c r="V3" i="3" s="1"/>
  <c r="W3" i="3"/>
  <c r="Y3" i="3"/>
  <c r="Z3" i="3"/>
  <c r="T4" i="3"/>
  <c r="U4" i="3" s="1"/>
  <c r="V4" i="3" s="1"/>
  <c r="W4" i="3"/>
  <c r="Y4" i="3"/>
  <c r="Z4" i="3"/>
  <c r="T5" i="3"/>
  <c r="U5" i="3"/>
  <c r="V5" i="3" s="1"/>
  <c r="W5" i="3"/>
  <c r="Y5" i="3"/>
  <c r="Z5" i="3"/>
  <c r="T6" i="3"/>
  <c r="U6" i="3" s="1"/>
  <c r="V6" i="3" s="1"/>
  <c r="W6" i="3"/>
  <c r="Y6" i="3"/>
  <c r="Z6" i="3"/>
  <c r="T7" i="3"/>
  <c r="U7" i="3" s="1"/>
  <c r="V7" i="3" s="1"/>
  <c r="W7" i="3"/>
  <c r="Y7" i="3"/>
  <c r="Z7" i="3"/>
  <c r="T8" i="3"/>
  <c r="U8" i="3" s="1"/>
  <c r="W8" i="3"/>
  <c r="Y8" i="3"/>
  <c r="Z8" i="3"/>
  <c r="T9" i="3"/>
  <c r="U9" i="3" s="1"/>
  <c r="V9" i="3" s="1"/>
  <c r="W9" i="3"/>
  <c r="Y9" i="3"/>
  <c r="Z9" i="3"/>
  <c r="T10" i="3"/>
  <c r="U10" i="3" s="1"/>
  <c r="V10" i="3" s="1"/>
  <c r="W10" i="3"/>
  <c r="Y10" i="3"/>
  <c r="Z10" i="3"/>
  <c r="T11" i="3"/>
  <c r="U11" i="3" s="1"/>
  <c r="V11" i="3" s="1"/>
  <c r="W11" i="3"/>
  <c r="Y11" i="3"/>
  <c r="Z11" i="3"/>
  <c r="T12" i="3"/>
  <c r="U12" i="3" s="1"/>
  <c r="V12" i="3" s="1"/>
  <c r="W12" i="3"/>
  <c r="Y12" i="3"/>
  <c r="Z12" i="3"/>
  <c r="T13" i="3"/>
  <c r="U13" i="3" s="1"/>
  <c r="V13" i="3" s="1"/>
  <c r="W13" i="3"/>
  <c r="Y13" i="3"/>
  <c r="Z13" i="3"/>
  <c r="T14" i="3"/>
  <c r="U14" i="3" s="1"/>
  <c r="V14" i="3" s="1"/>
  <c r="W14" i="3"/>
  <c r="Y14" i="3"/>
  <c r="Z14" i="3"/>
  <c r="T15" i="3"/>
  <c r="U15" i="3" s="1"/>
  <c r="V15" i="3" s="1"/>
  <c r="W15" i="3"/>
  <c r="Y15" i="3"/>
  <c r="Z15" i="3"/>
  <c r="T16" i="3"/>
  <c r="U16" i="3"/>
  <c r="V16" i="3"/>
  <c r="W16" i="3"/>
  <c r="Y16" i="3"/>
  <c r="Z16" i="3"/>
  <c r="T17" i="3"/>
  <c r="U17" i="3" s="1"/>
  <c r="V17" i="3" s="1"/>
  <c r="W17" i="3"/>
  <c r="Y17" i="3"/>
  <c r="Z17" i="3"/>
  <c r="T18" i="3"/>
  <c r="U18" i="3" s="1"/>
  <c r="V18" i="3" s="1"/>
  <c r="W18" i="3"/>
  <c r="Y18" i="3"/>
  <c r="Z18" i="3"/>
  <c r="T19" i="3"/>
  <c r="U19" i="3" s="1"/>
  <c r="V19" i="3" s="1"/>
  <c r="W19" i="3"/>
  <c r="Y19" i="3"/>
  <c r="Z19" i="3"/>
  <c r="T20" i="3"/>
  <c r="U20" i="3" s="1"/>
  <c r="W20" i="3"/>
  <c r="Y20" i="3"/>
  <c r="Z20" i="3"/>
  <c r="T21" i="3"/>
  <c r="U21" i="3" s="1"/>
  <c r="V21" i="3" s="1"/>
  <c r="W21" i="3"/>
  <c r="Y21" i="3"/>
  <c r="Z21" i="3"/>
  <c r="T22" i="3"/>
  <c r="U22" i="3" s="1"/>
  <c r="V22" i="3" s="1"/>
  <c r="W22" i="3"/>
  <c r="Y22" i="3"/>
  <c r="Z22" i="3"/>
  <c r="T23" i="3"/>
  <c r="U23" i="3" s="1"/>
  <c r="V23" i="3" s="1"/>
  <c r="W23" i="3"/>
  <c r="Y23" i="3"/>
  <c r="Z23" i="3"/>
  <c r="T24" i="3"/>
  <c r="U24" i="3" s="1"/>
  <c r="V24" i="3" s="1"/>
  <c r="W24" i="3"/>
  <c r="Y24" i="3"/>
  <c r="Z24" i="3"/>
  <c r="T25" i="3"/>
  <c r="U25" i="3" s="1"/>
  <c r="V25" i="3" s="1"/>
  <c r="W25" i="3"/>
  <c r="Y25" i="3"/>
  <c r="Z25" i="3"/>
  <c r="T26" i="3"/>
  <c r="U26" i="3" s="1"/>
  <c r="V26" i="3" s="1"/>
  <c r="W26" i="3"/>
  <c r="Y26" i="3"/>
  <c r="Z26" i="3"/>
  <c r="T27" i="3"/>
  <c r="U27" i="3" s="1"/>
  <c r="V27" i="3" s="1"/>
  <c r="W27" i="3"/>
  <c r="Y27" i="3"/>
  <c r="Z27" i="3"/>
  <c r="T28" i="3"/>
  <c r="U28" i="3" s="1"/>
  <c r="V28" i="3" s="1"/>
  <c r="W28" i="3"/>
  <c r="Y28" i="3"/>
  <c r="Z28" i="3"/>
  <c r="T29" i="3"/>
  <c r="U29" i="3" s="1"/>
  <c r="V29" i="3" s="1"/>
  <c r="W29" i="3"/>
  <c r="Y29" i="3"/>
  <c r="Z29" i="3"/>
  <c r="T30" i="3"/>
  <c r="U30" i="3" s="1"/>
  <c r="V30" i="3" s="1"/>
  <c r="W30" i="3"/>
  <c r="Y30" i="3"/>
  <c r="Z30" i="3"/>
  <c r="T31" i="3"/>
  <c r="U31" i="3" s="1"/>
  <c r="V31" i="3" s="1"/>
  <c r="W31" i="3"/>
  <c r="Y31" i="3"/>
  <c r="Z31" i="3"/>
  <c r="T32" i="3"/>
  <c r="U32" i="3" s="1"/>
  <c r="V32" i="3" s="1"/>
  <c r="W32" i="3"/>
  <c r="Y32" i="3"/>
  <c r="Z32" i="3"/>
  <c r="T33" i="3"/>
  <c r="U33" i="3" s="1"/>
  <c r="V33" i="3" s="1"/>
  <c r="W33" i="3"/>
  <c r="Y33" i="3"/>
  <c r="Z33" i="3"/>
  <c r="T34" i="3"/>
  <c r="U34" i="3" s="1"/>
  <c r="W34" i="3"/>
  <c r="Y34" i="3"/>
  <c r="Z34" i="3"/>
  <c r="T35" i="3"/>
  <c r="U35" i="3" s="1"/>
  <c r="V35" i="3" s="1"/>
  <c r="W35" i="3"/>
  <c r="Y35" i="3"/>
  <c r="Z35" i="3"/>
  <c r="T36" i="3"/>
  <c r="U36" i="3" s="1"/>
  <c r="V36" i="3" s="1"/>
  <c r="W36" i="3"/>
  <c r="Y36" i="3"/>
  <c r="Z36" i="3"/>
  <c r="T37" i="3"/>
  <c r="U37" i="3" s="1"/>
  <c r="V37" i="3" s="1"/>
  <c r="W37" i="3"/>
  <c r="Y37" i="3"/>
  <c r="Z37" i="3"/>
  <c r="T38" i="3"/>
  <c r="U38" i="3" s="1"/>
  <c r="W38" i="3"/>
  <c r="Y38" i="3"/>
  <c r="Z38" i="3"/>
  <c r="T39" i="3"/>
  <c r="U39" i="3"/>
  <c r="V39" i="3" s="1"/>
  <c r="W39" i="3"/>
  <c r="Y39" i="3"/>
  <c r="Z39" i="3"/>
  <c r="T40" i="3"/>
  <c r="U40" i="3" s="1"/>
  <c r="V40" i="3" s="1"/>
  <c r="W40" i="3"/>
  <c r="Y40" i="3"/>
  <c r="Z40" i="3"/>
  <c r="T41" i="3"/>
  <c r="U41" i="3" s="1"/>
  <c r="V41" i="3" s="1"/>
  <c r="W41" i="3"/>
  <c r="Y41" i="3"/>
  <c r="Z41" i="3"/>
  <c r="T42" i="3"/>
  <c r="U42" i="3" s="1"/>
  <c r="V42" i="3" s="1"/>
  <c r="W42" i="3"/>
  <c r="Y42" i="3"/>
  <c r="Z42" i="3"/>
  <c r="T43" i="3"/>
  <c r="U43" i="3" s="1"/>
  <c r="V43" i="3"/>
  <c r="W43" i="3"/>
  <c r="Y43" i="3"/>
  <c r="Z43" i="3"/>
  <c r="T44" i="3"/>
  <c r="U44" i="3" s="1"/>
  <c r="V44" i="3" s="1"/>
  <c r="W44" i="3"/>
  <c r="Y44" i="3"/>
  <c r="Z44" i="3"/>
  <c r="T45" i="3"/>
  <c r="U45" i="3" s="1"/>
  <c r="V45" i="3" s="1"/>
  <c r="W45" i="3"/>
  <c r="Y45" i="3"/>
  <c r="Z45" i="3"/>
  <c r="T46" i="3"/>
  <c r="U46" i="3" s="1"/>
  <c r="W46" i="3"/>
  <c r="Y46" i="3"/>
  <c r="Z46" i="3"/>
  <c r="T47" i="3"/>
  <c r="U47" i="3" s="1"/>
  <c r="V47" i="3"/>
  <c r="W47" i="3"/>
  <c r="Y47" i="3"/>
  <c r="Z47" i="3"/>
  <c r="T48" i="3"/>
  <c r="U48" i="3" s="1"/>
  <c r="W48" i="3"/>
  <c r="Y48" i="3"/>
  <c r="Z48" i="3"/>
  <c r="T49" i="3"/>
  <c r="U49" i="3" s="1"/>
  <c r="V49" i="3" s="1"/>
  <c r="W49" i="3"/>
  <c r="Y49" i="3"/>
  <c r="Z49" i="3"/>
  <c r="T50" i="3"/>
  <c r="U50" i="3" s="1"/>
  <c r="W50" i="3"/>
  <c r="Y50" i="3"/>
  <c r="Z50" i="3"/>
  <c r="T51" i="3"/>
  <c r="U51" i="3" s="1"/>
  <c r="V51" i="3" s="1"/>
  <c r="W51" i="3"/>
  <c r="Y51" i="3"/>
  <c r="Z51" i="3"/>
  <c r="T52" i="3"/>
  <c r="U52" i="3" s="1"/>
  <c r="W52" i="3"/>
  <c r="Y52" i="3"/>
  <c r="Z52" i="3"/>
  <c r="T53" i="3"/>
  <c r="U53" i="3" s="1"/>
  <c r="V53" i="3"/>
  <c r="W53" i="3"/>
  <c r="Y53" i="3"/>
  <c r="Z53" i="3"/>
  <c r="T54" i="3"/>
  <c r="U54" i="3" s="1"/>
  <c r="V54" i="3" s="1"/>
  <c r="W54" i="3"/>
  <c r="Y54" i="3"/>
  <c r="Z54" i="3"/>
  <c r="T55" i="3"/>
  <c r="U55" i="3" s="1"/>
  <c r="V55" i="3" s="1"/>
  <c r="W55" i="3"/>
  <c r="Y55" i="3"/>
  <c r="Z55" i="3"/>
  <c r="T56" i="3"/>
  <c r="U56" i="3" s="1"/>
  <c r="V56" i="3" s="1"/>
  <c r="W56" i="3"/>
  <c r="Y56" i="3"/>
  <c r="Z56" i="3"/>
  <c r="T57" i="3"/>
  <c r="U57" i="3" s="1"/>
  <c r="V57" i="3" s="1"/>
  <c r="W57" i="3"/>
  <c r="Y57" i="3"/>
  <c r="Z57" i="3"/>
  <c r="T58" i="3"/>
  <c r="U58" i="3" s="1"/>
  <c r="V58" i="3" s="1"/>
  <c r="W58" i="3"/>
  <c r="Y58" i="3"/>
  <c r="Z58" i="3"/>
  <c r="T59" i="3"/>
  <c r="U59" i="3" s="1"/>
  <c r="V59" i="3" s="1"/>
  <c r="W59" i="3"/>
  <c r="Y59" i="3"/>
  <c r="Z59" i="3"/>
  <c r="T60" i="3"/>
  <c r="U60" i="3" s="1"/>
  <c r="W60" i="3"/>
  <c r="Y60" i="3"/>
  <c r="Z60" i="3"/>
  <c r="T61" i="3"/>
  <c r="U61" i="3" s="1"/>
  <c r="V61" i="3" s="1"/>
  <c r="W61" i="3"/>
  <c r="Y61" i="3"/>
  <c r="Z61" i="3"/>
  <c r="T62" i="3"/>
  <c r="U62" i="3" s="1"/>
  <c r="V62" i="3" s="1"/>
  <c r="W62" i="3"/>
  <c r="Y62" i="3"/>
  <c r="Z62" i="3"/>
  <c r="T63" i="3"/>
  <c r="U63" i="3" s="1"/>
  <c r="X65" i="3" s="1"/>
  <c r="W63" i="3"/>
  <c r="Y63" i="3"/>
  <c r="Z63" i="3"/>
  <c r="T64" i="3"/>
  <c r="U64" i="3" s="1"/>
  <c r="W64" i="3"/>
  <c r="Y64" i="3"/>
  <c r="Z64" i="3"/>
  <c r="T65" i="3"/>
  <c r="U65" i="3" s="1"/>
  <c r="W65" i="3"/>
  <c r="Y65" i="3"/>
  <c r="Z65" i="3"/>
  <c r="T66" i="3"/>
  <c r="U66" i="3"/>
  <c r="V66" i="3" s="1"/>
  <c r="W66" i="3"/>
  <c r="Y66" i="3"/>
  <c r="Z66" i="3"/>
  <c r="T67" i="3"/>
  <c r="U67" i="3" s="1"/>
  <c r="V67" i="3" s="1"/>
  <c r="W67" i="3"/>
  <c r="Y67" i="3"/>
  <c r="Z67" i="3"/>
  <c r="T68" i="3"/>
  <c r="U68" i="3"/>
  <c r="V68" i="3" s="1"/>
  <c r="W68" i="3"/>
  <c r="Y68" i="3"/>
  <c r="Z68" i="3"/>
  <c r="T69" i="3"/>
  <c r="U69" i="3" s="1"/>
  <c r="V69" i="3" s="1"/>
  <c r="W69" i="3"/>
  <c r="Y69" i="3"/>
  <c r="Z69" i="3"/>
  <c r="T70" i="3"/>
  <c r="U70" i="3" s="1"/>
  <c r="W70" i="3"/>
  <c r="Y70" i="3"/>
  <c r="Z70" i="3"/>
  <c r="T71" i="3"/>
  <c r="U71" i="3" s="1"/>
  <c r="V71" i="3" s="1"/>
  <c r="W71" i="3"/>
  <c r="Y71" i="3"/>
  <c r="Z71" i="3"/>
  <c r="T72" i="3"/>
  <c r="U72" i="3" s="1"/>
  <c r="W72" i="3"/>
  <c r="Y72" i="3"/>
  <c r="Z72" i="3"/>
  <c r="T73" i="3"/>
  <c r="U73" i="3" s="1"/>
  <c r="W73" i="3"/>
  <c r="Y73" i="3"/>
  <c r="Z73" i="3"/>
  <c r="T74" i="3"/>
  <c r="U74" i="3" s="1"/>
  <c r="W74" i="3"/>
  <c r="Y74" i="3"/>
  <c r="Z74" i="3"/>
  <c r="T75" i="3"/>
  <c r="U75" i="3" s="1"/>
  <c r="V75" i="3" s="1"/>
  <c r="W75" i="3"/>
  <c r="Y75" i="3"/>
  <c r="Z75" i="3"/>
  <c r="T76" i="3"/>
  <c r="U76" i="3" s="1"/>
  <c r="V76" i="3" s="1"/>
  <c r="W76" i="3"/>
  <c r="Y76" i="3"/>
  <c r="Z76" i="3"/>
  <c r="T77" i="3"/>
  <c r="U77" i="3" s="1"/>
  <c r="V77" i="3" s="1"/>
  <c r="W77" i="3"/>
  <c r="Y77" i="3"/>
  <c r="Z77" i="3"/>
  <c r="T78" i="3"/>
  <c r="U78" i="3" s="1"/>
  <c r="W78" i="3"/>
  <c r="Y78" i="3"/>
  <c r="Z78" i="3"/>
  <c r="T79" i="3"/>
  <c r="U79" i="3" s="1"/>
  <c r="V79" i="3" s="1"/>
  <c r="W79" i="3"/>
  <c r="Y79" i="3"/>
  <c r="Z79" i="3"/>
  <c r="T80" i="3"/>
  <c r="U80" i="3" s="1"/>
  <c r="W80" i="3"/>
  <c r="Y80" i="3"/>
  <c r="Z80" i="3"/>
  <c r="T81" i="3"/>
  <c r="U81" i="3" s="1"/>
  <c r="V81" i="3" s="1"/>
  <c r="W81" i="3"/>
  <c r="Y81" i="3"/>
  <c r="Z81" i="3"/>
  <c r="T82" i="3"/>
  <c r="U82" i="3"/>
  <c r="V82" i="3" s="1"/>
  <c r="W82" i="3"/>
  <c r="Y82" i="3"/>
  <c r="Z82" i="3"/>
  <c r="T83" i="3"/>
  <c r="U83" i="3" s="1"/>
  <c r="V83" i="3"/>
  <c r="W83" i="3"/>
  <c r="Y83" i="3"/>
  <c r="Z83" i="3"/>
  <c r="T84" i="3"/>
  <c r="U84" i="3" s="1"/>
  <c r="V84" i="3" s="1"/>
  <c r="W84" i="3"/>
  <c r="Y84" i="3"/>
  <c r="Z84" i="3"/>
  <c r="T85" i="3"/>
  <c r="U85" i="3" s="1"/>
  <c r="V85" i="3" s="1"/>
  <c r="W85" i="3"/>
  <c r="Y85" i="3"/>
  <c r="Z85" i="3"/>
  <c r="T86" i="3"/>
  <c r="U86" i="3" s="1"/>
  <c r="V86" i="3" s="1"/>
  <c r="W86" i="3"/>
  <c r="Y86" i="3"/>
  <c r="Z86" i="3"/>
  <c r="T87" i="3"/>
  <c r="U87" i="3" s="1"/>
  <c r="W87" i="3"/>
  <c r="Y87" i="3"/>
  <c r="Z87" i="3"/>
  <c r="T88" i="3"/>
  <c r="U88" i="3"/>
  <c r="V88" i="3" s="1"/>
  <c r="W88" i="3"/>
  <c r="Y88" i="3"/>
  <c r="Z88" i="3"/>
  <c r="T89" i="3"/>
  <c r="U89" i="3" s="1"/>
  <c r="V89" i="3" s="1"/>
  <c r="W89" i="3"/>
  <c r="Y89" i="3"/>
  <c r="Z89" i="3"/>
  <c r="T90" i="3"/>
  <c r="U90" i="3" s="1"/>
  <c r="V90" i="3" s="1"/>
  <c r="W90" i="3"/>
  <c r="Y90" i="3"/>
  <c r="Z90" i="3"/>
  <c r="T91" i="3"/>
  <c r="U91" i="3" s="1"/>
  <c r="V91" i="3" s="1"/>
  <c r="W91" i="3"/>
  <c r="Y91" i="3"/>
  <c r="Z91" i="3"/>
  <c r="T92" i="3"/>
  <c r="U92" i="3" s="1"/>
  <c r="V92" i="3" s="1"/>
  <c r="W92" i="3"/>
  <c r="Y92" i="3"/>
  <c r="Z92" i="3"/>
  <c r="T93" i="3"/>
  <c r="U93" i="3" s="1"/>
  <c r="V93" i="3" s="1"/>
  <c r="W93" i="3"/>
  <c r="Y93" i="3"/>
  <c r="Z93" i="3"/>
  <c r="T94" i="3"/>
  <c r="U94" i="3" s="1"/>
  <c r="V94" i="3" s="1"/>
  <c r="W94" i="3"/>
  <c r="Y94" i="3"/>
  <c r="Z94" i="3"/>
  <c r="T95" i="3"/>
  <c r="U95" i="3" s="1"/>
  <c r="V95" i="3" s="1"/>
  <c r="W95" i="3"/>
  <c r="Y95" i="3"/>
  <c r="Z95" i="3"/>
  <c r="T96" i="3"/>
  <c r="U96" i="3"/>
  <c r="X96" i="3" s="1"/>
  <c r="W96" i="3"/>
  <c r="Y96" i="3"/>
  <c r="Z96" i="3"/>
  <c r="T97" i="3"/>
  <c r="U97" i="3" s="1"/>
  <c r="V97" i="3" s="1"/>
  <c r="W97" i="3"/>
  <c r="Y97" i="3"/>
  <c r="Z97" i="3"/>
  <c r="T98" i="3"/>
  <c r="U98" i="3" s="1"/>
  <c r="W98" i="3"/>
  <c r="Y98" i="3"/>
  <c r="Z98" i="3"/>
  <c r="T99" i="3"/>
  <c r="U99" i="3" s="1"/>
  <c r="W99" i="3"/>
  <c r="Y99" i="3"/>
  <c r="Z99" i="3"/>
  <c r="T100" i="3"/>
  <c r="U100" i="3" s="1"/>
  <c r="W100" i="3"/>
  <c r="Y100" i="3"/>
  <c r="Z100" i="3"/>
  <c r="T101" i="3"/>
  <c r="U101" i="3" s="1"/>
  <c r="V101" i="3" s="1"/>
  <c r="W101" i="3"/>
  <c r="Y101" i="3"/>
  <c r="Z101" i="3"/>
  <c r="T102" i="3"/>
  <c r="U102" i="3" s="1"/>
  <c r="W102" i="3"/>
  <c r="Y102" i="3"/>
  <c r="Z102" i="3"/>
  <c r="T103" i="3"/>
  <c r="U103" i="3" s="1"/>
  <c r="V103" i="3"/>
  <c r="W103" i="3"/>
  <c r="Y103" i="3"/>
  <c r="Z103" i="3"/>
  <c r="T104" i="3"/>
  <c r="U104" i="3" s="1"/>
  <c r="V104" i="3" s="1"/>
  <c r="W104" i="3"/>
  <c r="Y104" i="3"/>
  <c r="Z104" i="3"/>
  <c r="T105" i="3"/>
  <c r="U105" i="3" s="1"/>
  <c r="V105" i="3"/>
  <c r="W105" i="3"/>
  <c r="Y105" i="3"/>
  <c r="Z105" i="3"/>
  <c r="T106" i="3"/>
  <c r="U106" i="3" s="1"/>
  <c r="W106" i="3"/>
  <c r="Y106" i="3"/>
  <c r="Z106" i="3"/>
  <c r="T107" i="3"/>
  <c r="U107" i="3" s="1"/>
  <c r="W107" i="3"/>
  <c r="Y107" i="3"/>
  <c r="Z107" i="3"/>
  <c r="T108" i="3"/>
  <c r="U108" i="3" s="1"/>
  <c r="W108" i="3"/>
  <c r="Y108" i="3"/>
  <c r="Z108" i="3"/>
  <c r="T109" i="3"/>
  <c r="U109" i="3" s="1"/>
  <c r="V109" i="3"/>
  <c r="W109" i="3"/>
  <c r="Y109" i="3"/>
  <c r="Z109" i="3"/>
  <c r="T110" i="3"/>
  <c r="U110" i="3" s="1"/>
  <c r="V110" i="3" s="1"/>
  <c r="W110" i="3"/>
  <c r="Y110" i="3"/>
  <c r="Z110" i="3"/>
  <c r="T111" i="3"/>
  <c r="U111" i="3" s="1"/>
  <c r="V111" i="3" s="1"/>
  <c r="W111" i="3"/>
  <c r="Y111" i="3"/>
  <c r="Z111" i="3"/>
  <c r="T112" i="3"/>
  <c r="U112" i="3" s="1"/>
  <c r="W112" i="3"/>
  <c r="Y112" i="3"/>
  <c r="Z112" i="3"/>
  <c r="T113" i="3"/>
  <c r="U113" i="3" s="1"/>
  <c r="V113" i="3" s="1"/>
  <c r="W113" i="3"/>
  <c r="Y113" i="3"/>
  <c r="Z113" i="3"/>
  <c r="T114" i="3"/>
  <c r="U114" i="3" s="1"/>
  <c r="V114" i="3" s="1"/>
  <c r="W114" i="3"/>
  <c r="Y114" i="3"/>
  <c r="Z114" i="3"/>
  <c r="T115" i="3"/>
  <c r="U115" i="3" s="1"/>
  <c r="W115" i="3"/>
  <c r="Y115" i="3"/>
  <c r="Z115" i="3"/>
  <c r="T116" i="3"/>
  <c r="U116" i="3"/>
  <c r="W116" i="3"/>
  <c r="Y116" i="3"/>
  <c r="Z116" i="3"/>
  <c r="T117" i="3"/>
  <c r="U117" i="3" s="1"/>
  <c r="V117" i="3" s="1"/>
  <c r="W117" i="3"/>
  <c r="Y117" i="3"/>
  <c r="Z117" i="3"/>
  <c r="T118" i="3"/>
  <c r="U118" i="3" s="1"/>
  <c r="V118" i="3" s="1"/>
  <c r="W118" i="3"/>
  <c r="Y118" i="3"/>
  <c r="Z118" i="3"/>
  <c r="T119" i="3"/>
  <c r="U119" i="3" s="1"/>
  <c r="V119" i="3" s="1"/>
  <c r="W119" i="3"/>
  <c r="Y119" i="3"/>
  <c r="Z119" i="3"/>
  <c r="T120" i="3"/>
  <c r="U120" i="3" s="1"/>
  <c r="V120" i="3" s="1"/>
  <c r="W120" i="3"/>
  <c r="Y120" i="3"/>
  <c r="Z120" i="3"/>
  <c r="T121" i="3"/>
  <c r="U121" i="3" s="1"/>
  <c r="W121" i="3"/>
  <c r="Y121" i="3"/>
  <c r="Z121" i="3"/>
  <c r="T122" i="3"/>
  <c r="U122" i="3" s="1"/>
  <c r="W122" i="3"/>
  <c r="Y122" i="3"/>
  <c r="Z122" i="3"/>
  <c r="T123" i="3"/>
  <c r="U123" i="3" s="1"/>
  <c r="V123" i="3" s="1"/>
  <c r="W123" i="3"/>
  <c r="Y123" i="3"/>
  <c r="Z123" i="3"/>
  <c r="T124" i="3"/>
  <c r="U124" i="3" s="1"/>
  <c r="W124" i="3"/>
  <c r="Y124" i="3"/>
  <c r="Z124" i="3"/>
  <c r="T125" i="3"/>
  <c r="U125" i="3" s="1"/>
  <c r="V125" i="3" s="1"/>
  <c r="W125" i="3"/>
  <c r="Y125" i="3"/>
  <c r="Z125" i="3"/>
  <c r="T126" i="3"/>
  <c r="U126" i="3"/>
  <c r="V126" i="3" s="1"/>
  <c r="W126" i="3"/>
  <c r="Y126" i="3"/>
  <c r="Z126" i="3"/>
  <c r="T127" i="3"/>
  <c r="U127" i="3" s="1"/>
  <c r="V127" i="3" s="1"/>
  <c r="W127" i="3"/>
  <c r="Y127" i="3"/>
  <c r="Z127" i="3"/>
  <c r="T128" i="3"/>
  <c r="U128" i="3" s="1"/>
  <c r="W128" i="3"/>
  <c r="Y128" i="3"/>
  <c r="Z128" i="3"/>
  <c r="T129" i="3"/>
  <c r="U129" i="3" s="1"/>
  <c r="V129" i="3" s="1"/>
  <c r="W129" i="3"/>
  <c r="Y129" i="3"/>
  <c r="Z129" i="3"/>
  <c r="T130" i="3"/>
  <c r="U130" i="3" s="1"/>
  <c r="V130" i="3" s="1"/>
  <c r="W130" i="3"/>
  <c r="Y130" i="3"/>
  <c r="Z130" i="3"/>
  <c r="T131" i="3"/>
  <c r="U131" i="3" s="1"/>
  <c r="V131" i="3"/>
  <c r="W131" i="3"/>
  <c r="Y131" i="3"/>
  <c r="Z131" i="3"/>
  <c r="T132" i="3"/>
  <c r="U132" i="3" s="1"/>
  <c r="V132" i="3" s="1"/>
  <c r="W132" i="3"/>
  <c r="Y132" i="3"/>
  <c r="Z132" i="3"/>
  <c r="T133" i="3"/>
  <c r="U133" i="3" s="1"/>
  <c r="V133" i="3"/>
  <c r="W133" i="3"/>
  <c r="Y133" i="3"/>
  <c r="Z133" i="3"/>
  <c r="T134" i="3"/>
  <c r="U134" i="3" s="1"/>
  <c r="V134" i="3" s="1"/>
  <c r="W134" i="3"/>
  <c r="Y134" i="3"/>
  <c r="Z134" i="3"/>
  <c r="T135" i="3"/>
  <c r="U135" i="3" s="1"/>
  <c r="W135" i="3"/>
  <c r="Y135" i="3"/>
  <c r="Z135" i="3"/>
  <c r="T136" i="3"/>
  <c r="U136" i="3" s="1"/>
  <c r="X136" i="3" s="1"/>
  <c r="W136" i="3"/>
  <c r="Y136" i="3"/>
  <c r="Z136" i="3"/>
  <c r="T137" i="3"/>
  <c r="U137" i="3" s="1"/>
  <c r="V137" i="3" s="1"/>
  <c r="W137" i="3"/>
  <c r="Y137" i="3"/>
  <c r="Z137" i="3"/>
  <c r="T138" i="3"/>
  <c r="U138" i="3" s="1"/>
  <c r="V138" i="3" s="1"/>
  <c r="W138" i="3"/>
  <c r="Y138" i="3"/>
  <c r="Z138" i="3"/>
  <c r="T139" i="3"/>
  <c r="U139" i="3" s="1"/>
  <c r="V139" i="3" s="1"/>
  <c r="W139" i="3"/>
  <c r="Y139" i="3"/>
  <c r="Z139" i="3"/>
  <c r="T140" i="3"/>
  <c r="U140" i="3" s="1"/>
  <c r="V140" i="3" s="1"/>
  <c r="W140" i="3"/>
  <c r="Y140" i="3"/>
  <c r="Z140" i="3"/>
  <c r="T141" i="3"/>
  <c r="U141" i="3" s="1"/>
  <c r="V141" i="3"/>
  <c r="W141" i="3"/>
  <c r="Y141" i="3"/>
  <c r="Z141" i="3"/>
  <c r="T142" i="3"/>
  <c r="U142" i="3" s="1"/>
  <c r="V142" i="3" s="1"/>
  <c r="W142" i="3"/>
  <c r="Y142" i="3"/>
  <c r="Z142" i="3"/>
  <c r="T143" i="3"/>
  <c r="U143" i="3" s="1"/>
  <c r="W143" i="3"/>
  <c r="Y143" i="3"/>
  <c r="Z143" i="3"/>
  <c r="T144" i="3"/>
  <c r="U144" i="3" s="1"/>
  <c r="W144" i="3"/>
  <c r="Y144" i="3"/>
  <c r="Z144" i="3"/>
  <c r="T145" i="3"/>
  <c r="U145" i="3" s="1"/>
  <c r="V145" i="3" s="1"/>
  <c r="W145" i="3"/>
  <c r="Y145" i="3"/>
  <c r="Z145" i="3"/>
  <c r="T146" i="3"/>
  <c r="U146" i="3"/>
  <c r="V146" i="3" s="1"/>
  <c r="W146" i="3"/>
  <c r="Y146" i="3"/>
  <c r="Z146" i="3"/>
  <c r="T147" i="3"/>
  <c r="U147" i="3" s="1"/>
  <c r="V147" i="3" s="1"/>
  <c r="W147" i="3"/>
  <c r="Y147" i="3"/>
  <c r="Z147" i="3"/>
  <c r="T148" i="3"/>
  <c r="U148" i="3" s="1"/>
  <c r="W148" i="3"/>
  <c r="Y148" i="3"/>
  <c r="Z148" i="3"/>
  <c r="T149" i="3"/>
  <c r="U149" i="3" s="1"/>
  <c r="W149" i="3"/>
  <c r="Y149" i="3"/>
  <c r="Z149" i="3"/>
  <c r="T150" i="3"/>
  <c r="U150" i="3"/>
  <c r="V150" i="3" s="1"/>
  <c r="W150" i="3"/>
  <c r="Y150" i="3"/>
  <c r="Z150" i="3"/>
  <c r="T151" i="3"/>
  <c r="U151" i="3" s="1"/>
  <c r="W151" i="3"/>
  <c r="Y151" i="3"/>
  <c r="Z151" i="3"/>
  <c r="T152" i="3"/>
  <c r="U152" i="3" s="1"/>
  <c r="W152" i="3"/>
  <c r="Y152" i="3"/>
  <c r="Z152" i="3"/>
  <c r="T153" i="3"/>
  <c r="U153" i="3" s="1"/>
  <c r="V153" i="3"/>
  <c r="W153" i="3"/>
  <c r="Y153" i="3"/>
  <c r="Z153" i="3"/>
  <c r="T154" i="3"/>
  <c r="U154" i="3" s="1"/>
  <c r="V154" i="3" s="1"/>
  <c r="W154" i="3"/>
  <c r="Y154" i="3"/>
  <c r="Z154" i="3"/>
  <c r="T155" i="3"/>
  <c r="U155" i="3" s="1"/>
  <c r="V155" i="3" s="1"/>
  <c r="W155" i="3"/>
  <c r="Y155" i="3"/>
  <c r="Z155" i="3"/>
  <c r="T156" i="3"/>
  <c r="U156" i="3" s="1"/>
  <c r="V156" i="3" s="1"/>
  <c r="W156" i="3"/>
  <c r="Y156" i="3"/>
  <c r="Z156" i="3"/>
  <c r="T157" i="3"/>
  <c r="U157" i="3" s="1"/>
  <c r="W157" i="3"/>
  <c r="Y157" i="3"/>
  <c r="Z157" i="3"/>
  <c r="T158" i="3"/>
  <c r="U158" i="3"/>
  <c r="V158" i="3" s="1"/>
  <c r="W158" i="3"/>
  <c r="Y158" i="3"/>
  <c r="Z158" i="3"/>
  <c r="T159" i="3"/>
  <c r="U159" i="3" s="1"/>
  <c r="V159" i="3" s="1"/>
  <c r="W159" i="3"/>
  <c r="Y159" i="3"/>
  <c r="Z159" i="3"/>
  <c r="T160" i="3"/>
  <c r="U160" i="3"/>
  <c r="V160" i="3" s="1"/>
  <c r="W160" i="3"/>
  <c r="Y160" i="3"/>
  <c r="Z160" i="3"/>
  <c r="T161" i="3"/>
  <c r="U161" i="3" s="1"/>
  <c r="V161" i="3" s="1"/>
  <c r="W161" i="3"/>
  <c r="Y161" i="3"/>
  <c r="Z161" i="3"/>
  <c r="T162" i="3"/>
  <c r="U162" i="3" s="1"/>
  <c r="V162" i="3" s="1"/>
  <c r="W162" i="3"/>
  <c r="Y162" i="3"/>
  <c r="Z162" i="3"/>
  <c r="T163" i="3"/>
  <c r="U163" i="3" s="1"/>
  <c r="V163" i="3" s="1"/>
  <c r="W163" i="3"/>
  <c r="Y163" i="3"/>
  <c r="Z163" i="3"/>
  <c r="T164" i="3"/>
  <c r="U164" i="3" s="1"/>
  <c r="V164" i="3" s="1"/>
  <c r="W164" i="3"/>
  <c r="Y164" i="3"/>
  <c r="Z164" i="3"/>
  <c r="T165" i="3"/>
  <c r="U165" i="3" s="1"/>
  <c r="V165" i="3" s="1"/>
  <c r="W165" i="3"/>
  <c r="Y165" i="3"/>
  <c r="Z165" i="3"/>
  <c r="T166" i="3"/>
  <c r="U166" i="3" s="1"/>
  <c r="W166" i="3"/>
  <c r="Y166" i="3"/>
  <c r="Z166" i="3"/>
  <c r="T167" i="3"/>
  <c r="U167" i="3" s="1"/>
  <c r="V167" i="3"/>
  <c r="W167" i="3"/>
  <c r="Y167" i="3"/>
  <c r="Z167" i="3"/>
  <c r="T168" i="3"/>
  <c r="U168" i="3" s="1"/>
  <c r="V168" i="3" s="1"/>
  <c r="W168" i="3"/>
  <c r="Y168" i="3"/>
  <c r="Z168" i="3"/>
  <c r="T169" i="3"/>
  <c r="U169" i="3" s="1"/>
  <c r="V169" i="3" s="1"/>
  <c r="W169" i="3"/>
  <c r="Y169" i="3"/>
  <c r="Z169" i="3"/>
  <c r="T170" i="3"/>
  <c r="U170" i="3" s="1"/>
  <c r="V170" i="3" s="1"/>
  <c r="W170" i="3"/>
  <c r="Y170" i="3"/>
  <c r="Z170" i="3"/>
  <c r="T171" i="3"/>
  <c r="U171" i="3" s="1"/>
  <c r="W171" i="3"/>
  <c r="Y171" i="3"/>
  <c r="Z171" i="3"/>
  <c r="T172" i="3"/>
  <c r="U172" i="3"/>
  <c r="V172" i="3" s="1"/>
  <c r="W172" i="3"/>
  <c r="Y172" i="3"/>
  <c r="Z172" i="3"/>
  <c r="T173" i="3"/>
  <c r="U173" i="3" s="1"/>
  <c r="V173" i="3" s="1"/>
  <c r="W173" i="3"/>
  <c r="Y173" i="3"/>
  <c r="Z173" i="3"/>
  <c r="T174" i="3"/>
  <c r="U174" i="3"/>
  <c r="V174" i="3" s="1"/>
  <c r="W174" i="3"/>
  <c r="Y174" i="3"/>
  <c r="Z174" i="3"/>
  <c r="T175" i="3"/>
  <c r="U175" i="3" s="1"/>
  <c r="X175" i="3" s="1"/>
  <c r="W175" i="3"/>
  <c r="Y175" i="3"/>
  <c r="Z175" i="3"/>
  <c r="T176" i="3"/>
  <c r="U176" i="3" s="1"/>
  <c r="V176" i="3" s="1"/>
  <c r="W176" i="3"/>
  <c r="Y176" i="3"/>
  <c r="Z176" i="3"/>
  <c r="T177" i="3"/>
  <c r="U177" i="3" s="1"/>
  <c r="V177" i="3" s="1"/>
  <c r="W177" i="3"/>
  <c r="Y177" i="3"/>
  <c r="Z177" i="3"/>
  <c r="T178" i="3"/>
  <c r="U178" i="3" s="1"/>
  <c r="W178" i="3"/>
  <c r="Y178" i="3"/>
  <c r="Z178" i="3"/>
  <c r="T179" i="3"/>
  <c r="U179" i="3" s="1"/>
  <c r="V179" i="3" s="1"/>
  <c r="W179" i="3"/>
  <c r="Y179" i="3"/>
  <c r="Z179" i="3"/>
  <c r="T180" i="3"/>
  <c r="U180" i="3" s="1"/>
  <c r="V180" i="3" s="1"/>
  <c r="W180" i="3"/>
  <c r="Y180" i="3"/>
  <c r="Z180" i="3"/>
  <c r="T181" i="3"/>
  <c r="U181" i="3" s="1"/>
  <c r="V181" i="3" s="1"/>
  <c r="W181" i="3"/>
  <c r="Y181" i="3"/>
  <c r="Z181" i="3"/>
  <c r="T182" i="3"/>
  <c r="U182" i="3" s="1"/>
  <c r="W182" i="3"/>
  <c r="Y182" i="3"/>
  <c r="Z182" i="3"/>
  <c r="T183" i="3"/>
  <c r="U183" i="3" s="1"/>
  <c r="V183" i="3" s="1"/>
  <c r="W183" i="3"/>
  <c r="Y183" i="3"/>
  <c r="Z183" i="3"/>
  <c r="T184" i="3"/>
  <c r="U184" i="3" s="1"/>
  <c r="V184" i="3"/>
  <c r="W184" i="3"/>
  <c r="Y184" i="3"/>
  <c r="Z184" i="3"/>
  <c r="T185" i="3"/>
  <c r="U185" i="3" s="1"/>
  <c r="W185" i="3"/>
  <c r="Y185" i="3"/>
  <c r="Z185" i="3"/>
  <c r="T186" i="3"/>
  <c r="U186" i="3" s="1"/>
  <c r="V186" i="3" s="1"/>
  <c r="W186" i="3"/>
  <c r="Y186" i="3"/>
  <c r="Z186" i="3"/>
  <c r="T187" i="3"/>
  <c r="U187" i="3" s="1"/>
  <c r="V187" i="3" s="1"/>
  <c r="W187" i="3"/>
  <c r="Y187" i="3"/>
  <c r="Z187" i="3"/>
  <c r="T188" i="3"/>
  <c r="U188" i="3" s="1"/>
  <c r="V188" i="3" s="1"/>
  <c r="W188" i="3"/>
  <c r="Y188" i="3"/>
  <c r="Z188" i="3"/>
  <c r="T189" i="3"/>
  <c r="U189" i="3" s="1"/>
  <c r="V189" i="3" s="1"/>
  <c r="W189" i="3"/>
  <c r="Y189" i="3"/>
  <c r="Z189" i="3"/>
  <c r="T190" i="3"/>
  <c r="U190" i="3" s="1"/>
  <c r="V190" i="3" s="1"/>
  <c r="W190" i="3"/>
  <c r="Y190" i="3"/>
  <c r="Z190" i="3"/>
  <c r="T191" i="3"/>
  <c r="U191" i="3" s="1"/>
  <c r="W191" i="3"/>
  <c r="Y191" i="3"/>
  <c r="Z191" i="3"/>
  <c r="T192" i="3"/>
  <c r="U192" i="3"/>
  <c r="W192" i="3"/>
  <c r="Y192" i="3"/>
  <c r="Z192" i="3"/>
  <c r="T193" i="3"/>
  <c r="U193" i="3" s="1"/>
  <c r="V193" i="3" s="1"/>
  <c r="W193" i="3"/>
  <c r="Y193" i="3"/>
  <c r="Z193" i="3"/>
  <c r="T194" i="3"/>
  <c r="U194" i="3" s="1"/>
  <c r="V194" i="3" s="1"/>
  <c r="W194" i="3"/>
  <c r="Y194" i="3"/>
  <c r="Z194" i="3"/>
  <c r="T195" i="3"/>
  <c r="U195" i="3" s="1"/>
  <c r="W195" i="3"/>
  <c r="Y195" i="3"/>
  <c r="Z195" i="3"/>
  <c r="T196" i="3"/>
  <c r="U196" i="3" s="1"/>
  <c r="V196" i="3"/>
  <c r="W196" i="3"/>
  <c r="Y196" i="3"/>
  <c r="Z196" i="3"/>
  <c r="T197" i="3"/>
  <c r="U197" i="3" s="1"/>
  <c r="V197" i="3" s="1"/>
  <c r="W197" i="3"/>
  <c r="Y197" i="3"/>
  <c r="Z197" i="3"/>
  <c r="T198" i="3"/>
  <c r="U198" i="3" s="1"/>
  <c r="W198" i="3"/>
  <c r="Y198" i="3"/>
  <c r="Z198" i="3"/>
  <c r="T199" i="3"/>
  <c r="U199" i="3" s="1"/>
  <c r="V199" i="3" s="1"/>
  <c r="W199" i="3"/>
  <c r="Y199" i="3"/>
  <c r="Z199" i="3"/>
  <c r="T200" i="3"/>
  <c r="U200" i="3"/>
  <c r="V200" i="3" s="1"/>
  <c r="W200" i="3"/>
  <c r="Y200" i="3"/>
  <c r="Z200" i="3"/>
  <c r="T201" i="3"/>
  <c r="U201" i="3" s="1"/>
  <c r="W201" i="3"/>
  <c r="Y201" i="3"/>
  <c r="Z201" i="3"/>
  <c r="T202" i="3"/>
  <c r="U202" i="3" s="1"/>
  <c r="V202" i="3" s="1"/>
  <c r="W202" i="3"/>
  <c r="Y202" i="3"/>
  <c r="Z202" i="3"/>
  <c r="T203" i="3"/>
  <c r="U203" i="3" s="1"/>
  <c r="V203" i="3" s="1"/>
  <c r="W203" i="3"/>
  <c r="Y203" i="3"/>
  <c r="Z203" i="3"/>
  <c r="T204" i="3"/>
  <c r="U204" i="3" s="1"/>
  <c r="V204" i="3" s="1"/>
  <c r="W204" i="3"/>
  <c r="Y204" i="3"/>
  <c r="Z204" i="3"/>
  <c r="T205" i="3"/>
  <c r="U205" i="3" s="1"/>
  <c r="W205" i="3"/>
  <c r="Y205" i="3"/>
  <c r="Z205" i="3"/>
  <c r="T206" i="3"/>
  <c r="U206" i="3" s="1"/>
  <c r="V206" i="3" s="1"/>
  <c r="W206" i="3"/>
  <c r="Y206" i="3"/>
  <c r="Z206" i="3"/>
  <c r="T207" i="3"/>
  <c r="U207" i="3" s="1"/>
  <c r="W207" i="3"/>
  <c r="Y207" i="3"/>
  <c r="Z207" i="3"/>
  <c r="T208" i="3"/>
  <c r="U208" i="3" s="1"/>
  <c r="V208" i="3" s="1"/>
  <c r="W208" i="3"/>
  <c r="Y208" i="3"/>
  <c r="Z208" i="3"/>
  <c r="T209" i="3"/>
  <c r="U209" i="3" s="1"/>
  <c r="W209" i="3"/>
  <c r="Y209" i="3"/>
  <c r="Z209" i="3"/>
  <c r="T210" i="3"/>
  <c r="U210" i="3" s="1"/>
  <c r="W210" i="3"/>
  <c r="Y210" i="3"/>
  <c r="Z210" i="3"/>
  <c r="T211" i="3"/>
  <c r="U211" i="3" s="1"/>
  <c r="V211" i="3" s="1"/>
  <c r="W211" i="3"/>
  <c r="Y211" i="3"/>
  <c r="Z211" i="3"/>
  <c r="T212" i="3"/>
  <c r="U212" i="3" s="1"/>
  <c r="V212" i="3" s="1"/>
  <c r="W212" i="3"/>
  <c r="Y212" i="3"/>
  <c r="Z212" i="3"/>
  <c r="T213" i="3"/>
  <c r="U213" i="3" s="1"/>
  <c r="W213" i="3"/>
  <c r="Y213" i="3"/>
  <c r="Z213" i="3"/>
  <c r="T214" i="3"/>
  <c r="U214" i="3"/>
  <c r="V214" i="3" s="1"/>
  <c r="W214" i="3"/>
  <c r="Y214" i="3"/>
  <c r="Z214" i="3"/>
  <c r="T215" i="3"/>
  <c r="U215" i="3" s="1"/>
  <c r="V215" i="3" s="1"/>
  <c r="W215" i="3"/>
  <c r="Y215" i="3"/>
  <c r="Z215" i="3"/>
  <c r="T216" i="3"/>
  <c r="U216" i="3" s="1"/>
  <c r="W216" i="3"/>
  <c r="Y216" i="3"/>
  <c r="Z216" i="3"/>
  <c r="T217" i="3"/>
  <c r="U217" i="3" s="1"/>
  <c r="V217" i="3" s="1"/>
  <c r="W217" i="3"/>
  <c r="Y217" i="3"/>
  <c r="Z217" i="3"/>
  <c r="T218" i="3"/>
  <c r="U218" i="3" s="1"/>
  <c r="V218" i="3" s="1"/>
  <c r="W218" i="3"/>
  <c r="Y218" i="3"/>
  <c r="Z218" i="3"/>
  <c r="T219" i="3"/>
  <c r="U219" i="3" s="1"/>
  <c r="V219" i="3" s="1"/>
  <c r="W219" i="3"/>
  <c r="Y219" i="3"/>
  <c r="Z219" i="3"/>
  <c r="T220" i="3"/>
  <c r="U220" i="3"/>
  <c r="W220" i="3"/>
  <c r="Y220" i="3"/>
  <c r="Z220" i="3"/>
  <c r="T221" i="3"/>
  <c r="U221" i="3" s="1"/>
  <c r="V221" i="3" s="1"/>
  <c r="W221" i="3"/>
  <c r="Y221" i="3"/>
  <c r="Z221" i="3"/>
  <c r="T222" i="3"/>
  <c r="U222" i="3" s="1"/>
  <c r="V222" i="3" s="1"/>
  <c r="W222" i="3"/>
  <c r="Y222" i="3"/>
  <c r="Z222" i="3"/>
  <c r="T223" i="3"/>
  <c r="U223" i="3" s="1"/>
  <c r="V223" i="3" s="1"/>
  <c r="W223" i="3"/>
  <c r="Y223" i="3"/>
  <c r="Z223" i="3"/>
  <c r="T224" i="3"/>
  <c r="U224" i="3" s="1"/>
  <c r="W224" i="3"/>
  <c r="Y224" i="3"/>
  <c r="Z224" i="3"/>
  <c r="T225" i="3"/>
  <c r="U225" i="3" s="1"/>
  <c r="V225" i="3" s="1"/>
  <c r="W225" i="3"/>
  <c r="Y225" i="3"/>
  <c r="Z225" i="3"/>
  <c r="T226" i="3"/>
  <c r="U226" i="3" s="1"/>
  <c r="V226" i="3" s="1"/>
  <c r="W226" i="3"/>
  <c r="Y226" i="3"/>
  <c r="Z226" i="3"/>
  <c r="T227" i="3"/>
  <c r="U227" i="3" s="1"/>
  <c r="V227" i="3" s="1"/>
  <c r="W227" i="3"/>
  <c r="Y227" i="3"/>
  <c r="Z227" i="3"/>
  <c r="T228" i="3"/>
  <c r="U228" i="3" s="1"/>
  <c r="V228" i="3" s="1"/>
  <c r="W228" i="3"/>
  <c r="Y228" i="3"/>
  <c r="Z228" i="3"/>
  <c r="T229" i="3"/>
  <c r="U229" i="3" s="1"/>
  <c r="V229" i="3"/>
  <c r="W229" i="3"/>
  <c r="Y229" i="3"/>
  <c r="Z229" i="3"/>
  <c r="T230" i="3"/>
  <c r="U230" i="3" s="1"/>
  <c r="V230" i="3" s="1"/>
  <c r="W230" i="3"/>
  <c r="Y230" i="3"/>
  <c r="Z230" i="3"/>
  <c r="T231" i="3"/>
  <c r="U231" i="3" s="1"/>
  <c r="V231" i="3" s="1"/>
  <c r="W231" i="3"/>
  <c r="Y231" i="3"/>
  <c r="Z231" i="3"/>
  <c r="T232" i="3"/>
  <c r="U232" i="3"/>
  <c r="V232" i="3" s="1"/>
  <c r="W232" i="3"/>
  <c r="Y232" i="3"/>
  <c r="Z232" i="3"/>
  <c r="T233" i="3"/>
  <c r="U233" i="3" s="1"/>
  <c r="V233" i="3" s="1"/>
  <c r="W233" i="3"/>
  <c r="Y233" i="3"/>
  <c r="Z233" i="3"/>
  <c r="T234" i="3"/>
  <c r="U234" i="3" s="1"/>
  <c r="V234" i="3" s="1"/>
  <c r="W234" i="3"/>
  <c r="Y234" i="3"/>
  <c r="Z234" i="3"/>
  <c r="T235" i="3"/>
  <c r="U235" i="3" s="1"/>
  <c r="V235" i="3" s="1"/>
  <c r="W235" i="3"/>
  <c r="Y235" i="3"/>
  <c r="Z235" i="3"/>
  <c r="T236" i="3"/>
  <c r="U236" i="3" s="1"/>
  <c r="W236" i="3"/>
  <c r="Y236" i="3"/>
  <c r="Z236" i="3"/>
  <c r="T237" i="3"/>
  <c r="U237" i="3" s="1"/>
  <c r="V237" i="3" s="1"/>
  <c r="W237" i="3"/>
  <c r="Y237" i="3"/>
  <c r="Z237" i="3"/>
  <c r="T238" i="3"/>
  <c r="U238" i="3" s="1"/>
  <c r="W238" i="3"/>
  <c r="Y238" i="3"/>
  <c r="Z238" i="3"/>
  <c r="T239" i="3"/>
  <c r="U239" i="3" s="1"/>
  <c r="W239" i="3"/>
  <c r="Y239" i="3"/>
  <c r="Z239" i="3"/>
  <c r="T240" i="3"/>
  <c r="U240" i="3" s="1"/>
  <c r="V240" i="3" s="1"/>
  <c r="W240" i="3"/>
  <c r="Y240" i="3"/>
  <c r="Z240" i="3"/>
  <c r="T241" i="3"/>
  <c r="U241" i="3" s="1"/>
  <c r="V241" i="3" s="1"/>
  <c r="W241" i="3"/>
  <c r="Y241" i="3"/>
  <c r="Z241" i="3"/>
  <c r="T242" i="3"/>
  <c r="U242" i="3"/>
  <c r="V242" i="3"/>
  <c r="W242" i="3"/>
  <c r="Y242" i="3"/>
  <c r="Z242" i="3"/>
  <c r="T243" i="3"/>
  <c r="U243" i="3" s="1"/>
  <c r="V243" i="3" s="1"/>
  <c r="W243" i="3"/>
  <c r="Y243" i="3"/>
  <c r="Z243" i="3"/>
  <c r="T244" i="3"/>
  <c r="U244" i="3" s="1"/>
  <c r="V244" i="3" s="1"/>
  <c r="W244" i="3"/>
  <c r="Y244" i="3"/>
  <c r="Z244" i="3"/>
  <c r="T245" i="3"/>
  <c r="U245" i="3" s="1"/>
  <c r="V245" i="3"/>
  <c r="W245" i="3"/>
  <c r="Y245" i="3"/>
  <c r="Z245" i="3"/>
  <c r="T246" i="3"/>
  <c r="U246" i="3"/>
  <c r="V246" i="3" s="1"/>
  <c r="W246" i="3"/>
  <c r="Y246" i="3"/>
  <c r="Z246" i="3"/>
  <c r="T247" i="3"/>
  <c r="U247" i="3" s="1"/>
  <c r="V247" i="3" s="1"/>
  <c r="W247" i="3"/>
  <c r="Y247" i="3"/>
  <c r="Z247" i="3"/>
  <c r="T248" i="3"/>
  <c r="U248" i="3" s="1"/>
  <c r="V248" i="3"/>
  <c r="W248" i="3"/>
  <c r="Y248" i="3"/>
  <c r="Z248" i="3"/>
  <c r="T249" i="3"/>
  <c r="U249" i="3" s="1"/>
  <c r="V249" i="3" s="1"/>
  <c r="W249" i="3"/>
  <c r="Y249" i="3"/>
  <c r="Z249" i="3"/>
  <c r="T250" i="3"/>
  <c r="U250" i="3" s="1"/>
  <c r="V250" i="3" s="1"/>
  <c r="W250" i="3"/>
  <c r="Y250" i="3"/>
  <c r="Z250" i="3"/>
  <c r="T251" i="3"/>
  <c r="U251" i="3" s="1"/>
  <c r="W251" i="3"/>
  <c r="Y251" i="3"/>
  <c r="Z251" i="3"/>
  <c r="T252" i="3"/>
  <c r="U252" i="3" s="1"/>
  <c r="W252" i="3"/>
  <c r="Y252" i="3"/>
  <c r="Z252" i="3"/>
  <c r="T253" i="3"/>
  <c r="U253" i="3" s="1"/>
  <c r="V253" i="3" s="1"/>
  <c r="W253" i="3"/>
  <c r="Y253" i="3"/>
  <c r="Z253" i="3"/>
  <c r="T254" i="3"/>
  <c r="U254" i="3" s="1"/>
  <c r="V254" i="3" s="1"/>
  <c r="W254" i="3"/>
  <c r="Y254" i="3"/>
  <c r="Z254" i="3"/>
  <c r="T255" i="3"/>
  <c r="U255" i="3" s="1"/>
  <c r="V255" i="3" s="1"/>
  <c r="W255" i="3"/>
  <c r="Y255" i="3"/>
  <c r="Z255" i="3"/>
  <c r="T256" i="3"/>
  <c r="U256" i="3" s="1"/>
  <c r="V256" i="3" s="1"/>
  <c r="W256" i="3"/>
  <c r="Y256" i="3"/>
  <c r="Z256" i="3"/>
  <c r="T257" i="3"/>
  <c r="U257" i="3" s="1"/>
  <c r="V257" i="3"/>
  <c r="W257" i="3"/>
  <c r="Y257" i="3"/>
  <c r="Z257" i="3"/>
  <c r="T258" i="3"/>
  <c r="U258" i="3" s="1"/>
  <c r="V258" i="3" s="1"/>
  <c r="W258" i="3"/>
  <c r="Y258" i="3"/>
  <c r="Z258" i="3"/>
  <c r="T259" i="3"/>
  <c r="U259" i="3" s="1"/>
  <c r="V259" i="3" s="1"/>
  <c r="W259" i="3"/>
  <c r="Y259" i="3"/>
  <c r="Z259" i="3"/>
  <c r="T260" i="3"/>
  <c r="U260" i="3" s="1"/>
  <c r="V260" i="3" s="1"/>
  <c r="W260" i="3"/>
  <c r="Y260" i="3"/>
  <c r="Z260" i="3"/>
  <c r="T261" i="3"/>
  <c r="U261" i="3" s="1"/>
  <c r="V261" i="3" s="1"/>
  <c r="W261" i="3"/>
  <c r="Y261" i="3"/>
  <c r="Z261" i="3"/>
  <c r="T262" i="3"/>
  <c r="U262" i="3" s="1"/>
  <c r="V262" i="3" s="1"/>
  <c r="W262" i="3"/>
  <c r="Y262" i="3"/>
  <c r="Z262" i="3"/>
  <c r="T263" i="3"/>
  <c r="U263" i="3" s="1"/>
  <c r="V263" i="3" s="1"/>
  <c r="W263" i="3"/>
  <c r="Y263" i="3"/>
  <c r="Z263" i="3"/>
  <c r="T264" i="3"/>
  <c r="U264" i="3" s="1"/>
  <c r="V264" i="3" s="1"/>
  <c r="W264" i="3"/>
  <c r="Y264" i="3"/>
  <c r="Z264" i="3"/>
  <c r="T265" i="3"/>
  <c r="U265" i="3" s="1"/>
  <c r="V265" i="3" s="1"/>
  <c r="W265" i="3"/>
  <c r="Y265" i="3"/>
  <c r="Z265" i="3"/>
  <c r="T266" i="3"/>
  <c r="U266" i="3" s="1"/>
  <c r="V266" i="3" s="1"/>
  <c r="W266" i="3"/>
  <c r="Y266" i="3"/>
  <c r="Z266" i="3"/>
  <c r="T267" i="3"/>
  <c r="U267" i="3" s="1"/>
  <c r="V267" i="3" s="1"/>
  <c r="W267" i="3"/>
  <c r="Y267" i="3"/>
  <c r="Z267" i="3"/>
  <c r="T268" i="3"/>
  <c r="U268" i="3" s="1"/>
  <c r="V268" i="3" s="1"/>
  <c r="W268" i="3"/>
  <c r="Y268" i="3"/>
  <c r="Z268" i="3"/>
  <c r="T269" i="3"/>
  <c r="U269" i="3" s="1"/>
  <c r="V269" i="3" s="1"/>
  <c r="W269" i="3"/>
  <c r="Y269" i="3"/>
  <c r="Z269" i="3"/>
  <c r="T270" i="3"/>
  <c r="U270" i="3" s="1"/>
  <c r="V270" i="3" s="1"/>
  <c r="W270" i="3"/>
  <c r="Y270" i="3"/>
  <c r="Z270" i="3"/>
  <c r="T271" i="3"/>
  <c r="U271" i="3" s="1"/>
  <c r="V271" i="3"/>
  <c r="W271" i="3"/>
  <c r="Y271" i="3"/>
  <c r="Z271" i="3"/>
  <c r="T272" i="3"/>
  <c r="U272" i="3" s="1"/>
  <c r="V272" i="3" s="1"/>
  <c r="W272" i="3"/>
  <c r="Y272" i="3"/>
  <c r="Z272" i="3"/>
  <c r="T273" i="3"/>
  <c r="U273" i="3" s="1"/>
  <c r="V273" i="3" s="1"/>
  <c r="W273" i="3"/>
  <c r="Y273" i="3"/>
  <c r="Z273" i="3"/>
  <c r="T274" i="3"/>
  <c r="U274" i="3" s="1"/>
  <c r="V274" i="3" s="1"/>
  <c r="W274" i="3"/>
  <c r="Y274" i="3"/>
  <c r="Z274" i="3"/>
  <c r="T275" i="3"/>
  <c r="U275" i="3" s="1"/>
  <c r="V275" i="3" s="1"/>
  <c r="W275" i="3"/>
  <c r="Y275" i="3"/>
  <c r="Z275" i="3"/>
  <c r="T276" i="3"/>
  <c r="U276" i="3" s="1"/>
  <c r="V276" i="3" s="1"/>
  <c r="W276" i="3"/>
  <c r="Y276" i="3"/>
  <c r="Z276" i="3"/>
  <c r="T277" i="3"/>
  <c r="U277" i="3" s="1"/>
  <c r="V277" i="3"/>
  <c r="W277" i="3"/>
  <c r="Y277" i="3"/>
  <c r="Z277" i="3"/>
  <c r="T278" i="3"/>
  <c r="U278" i="3" s="1"/>
  <c r="V278" i="3" s="1"/>
  <c r="W278" i="3"/>
  <c r="Y278" i="3"/>
  <c r="Z278" i="3"/>
  <c r="T279" i="3"/>
  <c r="U279" i="3" s="1"/>
  <c r="W279" i="3"/>
  <c r="Y279" i="3"/>
  <c r="Z279" i="3"/>
  <c r="T280" i="3"/>
  <c r="U280" i="3" s="1"/>
  <c r="V280" i="3" s="1"/>
  <c r="W280" i="3"/>
  <c r="Y280" i="3"/>
  <c r="Z280" i="3"/>
  <c r="T281" i="3"/>
  <c r="U281" i="3" s="1"/>
  <c r="V281" i="3" s="1"/>
  <c r="W281" i="3"/>
  <c r="Y281" i="3"/>
  <c r="Z281" i="3"/>
  <c r="T282" i="3"/>
  <c r="U282" i="3" s="1"/>
  <c r="V282" i="3" s="1"/>
  <c r="W282" i="3"/>
  <c r="Y282" i="3"/>
  <c r="Z282" i="3"/>
  <c r="T283" i="3"/>
  <c r="U283" i="3" s="1"/>
  <c r="V283" i="3"/>
  <c r="W283" i="3"/>
  <c r="Y283" i="3"/>
  <c r="Z283" i="3"/>
  <c r="T284" i="3"/>
  <c r="U284" i="3" s="1"/>
  <c r="V284" i="3" s="1"/>
  <c r="W284" i="3"/>
  <c r="Y284" i="3"/>
  <c r="Z284" i="3"/>
  <c r="T285" i="3"/>
  <c r="U285" i="3" s="1"/>
  <c r="W285" i="3"/>
  <c r="Y285" i="3"/>
  <c r="Z285" i="3"/>
  <c r="T286" i="3"/>
  <c r="U286" i="3" s="1"/>
  <c r="W286" i="3"/>
  <c r="Y286" i="3"/>
  <c r="Z286" i="3"/>
  <c r="T287" i="3"/>
  <c r="U287" i="3" s="1"/>
  <c r="V287" i="3" s="1"/>
  <c r="W287" i="3"/>
  <c r="Y287" i="3"/>
  <c r="Z287" i="3"/>
  <c r="T288" i="3"/>
  <c r="U288" i="3" s="1"/>
  <c r="V288" i="3"/>
  <c r="W288" i="3"/>
  <c r="Y288" i="3"/>
  <c r="Z288" i="3"/>
  <c r="T289" i="3"/>
  <c r="U289" i="3" s="1"/>
  <c r="V289" i="3"/>
  <c r="W289" i="3"/>
  <c r="Y289" i="3"/>
  <c r="Z289" i="3"/>
  <c r="T290" i="3"/>
  <c r="U290" i="3" s="1"/>
  <c r="V290" i="3" s="1"/>
  <c r="W290" i="3"/>
  <c r="Y290" i="3"/>
  <c r="Z290" i="3"/>
  <c r="T291" i="3"/>
  <c r="U291" i="3" s="1"/>
  <c r="V291" i="3"/>
  <c r="W291" i="3"/>
  <c r="Y291" i="3"/>
  <c r="Z291" i="3"/>
  <c r="T292" i="3"/>
  <c r="U292" i="3" s="1"/>
  <c r="V292" i="3" s="1"/>
  <c r="W292" i="3"/>
  <c r="Y292" i="3"/>
  <c r="Z292" i="3"/>
  <c r="T293" i="3"/>
  <c r="U293" i="3" s="1"/>
  <c r="V293" i="3"/>
  <c r="W293" i="3"/>
  <c r="Y293" i="3"/>
  <c r="Z293" i="3"/>
  <c r="T294" i="3"/>
  <c r="U294" i="3" s="1"/>
  <c r="V294" i="3" s="1"/>
  <c r="W294" i="3"/>
  <c r="Y294" i="3"/>
  <c r="Z294" i="3"/>
  <c r="T295" i="3"/>
  <c r="U295" i="3" s="1"/>
  <c r="V295" i="3" s="1"/>
  <c r="W295" i="3"/>
  <c r="Y295" i="3"/>
  <c r="Z295" i="3"/>
  <c r="T296" i="3"/>
  <c r="U296" i="3"/>
  <c r="W296" i="3"/>
  <c r="Y296" i="3"/>
  <c r="Z296" i="3"/>
  <c r="T297" i="3"/>
  <c r="U297" i="3" s="1"/>
  <c r="V297" i="3" s="1"/>
  <c r="W297" i="3"/>
  <c r="Y297" i="3"/>
  <c r="Z297" i="3"/>
  <c r="T298" i="3"/>
  <c r="U298" i="3" s="1"/>
  <c r="W298" i="3"/>
  <c r="Y298" i="3"/>
  <c r="Z298" i="3"/>
  <c r="T299" i="3"/>
  <c r="U299" i="3" s="1"/>
  <c r="V299" i="3" s="1"/>
  <c r="W299" i="3"/>
  <c r="Y299" i="3"/>
  <c r="Z299" i="3"/>
  <c r="T300" i="3"/>
  <c r="U300" i="3"/>
  <c r="V300" i="3" s="1"/>
  <c r="W300" i="3"/>
  <c r="Y300" i="3"/>
  <c r="Z300" i="3"/>
  <c r="T301" i="3"/>
  <c r="U301" i="3" s="1"/>
  <c r="V301" i="3" s="1"/>
  <c r="W301" i="3"/>
  <c r="Y301" i="3"/>
  <c r="Z301" i="3"/>
  <c r="T302" i="3"/>
  <c r="U302" i="3" s="1"/>
  <c r="V302" i="3" s="1"/>
  <c r="W302" i="3"/>
  <c r="Y302" i="3"/>
  <c r="Z302" i="3"/>
  <c r="T303" i="3"/>
  <c r="U303" i="3" s="1"/>
  <c r="V303" i="3" s="1"/>
  <c r="W303" i="3"/>
  <c r="Y303" i="3"/>
  <c r="Z303" i="3"/>
  <c r="T304" i="3"/>
  <c r="U304" i="3" s="1"/>
  <c r="V304" i="3" s="1"/>
  <c r="W304" i="3"/>
  <c r="Y304" i="3"/>
  <c r="Z304" i="3"/>
  <c r="T305" i="3"/>
  <c r="U305" i="3" s="1"/>
  <c r="V305" i="3" s="1"/>
  <c r="W305" i="3"/>
  <c r="Y305" i="3"/>
  <c r="Z305" i="3"/>
  <c r="T306" i="3"/>
  <c r="U306" i="3" s="1"/>
  <c r="V306" i="3" s="1"/>
  <c r="W306" i="3"/>
  <c r="Y306" i="3"/>
  <c r="Z306" i="3"/>
  <c r="T307" i="3"/>
  <c r="U307" i="3" s="1"/>
  <c r="V307" i="3" s="1"/>
  <c r="W307" i="3"/>
  <c r="Y307" i="3"/>
  <c r="Z307" i="3"/>
  <c r="T308" i="3"/>
  <c r="U308" i="3" s="1"/>
  <c r="V308" i="3" s="1"/>
  <c r="W308" i="3"/>
  <c r="Y308" i="3"/>
  <c r="Z308" i="3"/>
  <c r="T309" i="3"/>
  <c r="U309" i="3" s="1"/>
  <c r="V309" i="3" s="1"/>
  <c r="W309" i="3"/>
  <c r="Y309" i="3"/>
  <c r="Z309" i="3"/>
  <c r="T310" i="3"/>
  <c r="U310" i="3" s="1"/>
  <c r="V310" i="3" s="1"/>
  <c r="W310" i="3"/>
  <c r="Y310" i="3"/>
  <c r="Z310" i="3"/>
  <c r="T311" i="3"/>
  <c r="U311" i="3" s="1"/>
  <c r="V311" i="3" s="1"/>
  <c r="W311" i="3"/>
  <c r="Y311" i="3"/>
  <c r="Z311" i="3"/>
  <c r="T312" i="3"/>
  <c r="U312" i="3" s="1"/>
  <c r="V312" i="3" s="1"/>
  <c r="W312" i="3"/>
  <c r="Y312" i="3"/>
  <c r="Z312" i="3"/>
  <c r="T313" i="3"/>
  <c r="U313" i="3" s="1"/>
  <c r="V313" i="3"/>
  <c r="W313" i="3"/>
  <c r="Y313" i="3"/>
  <c r="Z313" i="3"/>
  <c r="T314" i="3"/>
  <c r="U314" i="3" s="1"/>
  <c r="V314" i="3" s="1"/>
  <c r="W314" i="3"/>
  <c r="Y314" i="3"/>
  <c r="Z314" i="3"/>
  <c r="T315" i="3"/>
  <c r="U315" i="3" s="1"/>
  <c r="V315" i="3" s="1"/>
  <c r="W315" i="3"/>
  <c r="Y315" i="3"/>
  <c r="Z315" i="3"/>
  <c r="T316" i="3"/>
  <c r="U316" i="3" s="1"/>
  <c r="V316" i="3"/>
  <c r="W316" i="3"/>
  <c r="Y316" i="3"/>
  <c r="Z316" i="3"/>
  <c r="T317" i="3"/>
  <c r="U317" i="3" s="1"/>
  <c r="V317" i="3" s="1"/>
  <c r="W317" i="3"/>
  <c r="Y317" i="3"/>
  <c r="Z317" i="3"/>
  <c r="T318" i="3"/>
  <c r="U318" i="3"/>
  <c r="V318" i="3" s="1"/>
  <c r="W318" i="3"/>
  <c r="Y318" i="3"/>
  <c r="Z318" i="3"/>
  <c r="T319" i="3"/>
  <c r="U319" i="3" s="1"/>
  <c r="V319" i="3" s="1"/>
  <c r="W319" i="3"/>
  <c r="Y319" i="3"/>
  <c r="Z319" i="3"/>
  <c r="T320" i="3"/>
  <c r="U320" i="3" s="1"/>
  <c r="V320" i="3" s="1"/>
  <c r="W320" i="3"/>
  <c r="Y320" i="3"/>
  <c r="Z320" i="3"/>
  <c r="T321" i="3"/>
  <c r="U321" i="3" s="1"/>
  <c r="V321" i="3" s="1"/>
  <c r="W321" i="3"/>
  <c r="Y321" i="3"/>
  <c r="Z321" i="3"/>
  <c r="T322" i="3"/>
  <c r="U322" i="3"/>
  <c r="V322" i="3" s="1"/>
  <c r="W322" i="3"/>
  <c r="Y322" i="3"/>
  <c r="Z322" i="3"/>
  <c r="T323" i="3"/>
  <c r="U323" i="3" s="1"/>
  <c r="V323" i="3" s="1"/>
  <c r="W323" i="3"/>
  <c r="Y323" i="3"/>
  <c r="Z323" i="3"/>
  <c r="T324" i="3"/>
  <c r="U324" i="3" s="1"/>
  <c r="V324" i="3" s="1"/>
  <c r="W324" i="3"/>
  <c r="Y324" i="3"/>
  <c r="Z324" i="3"/>
  <c r="T325" i="3"/>
  <c r="U325" i="3" s="1"/>
  <c r="V325" i="3" s="1"/>
  <c r="W325" i="3"/>
  <c r="Y325" i="3"/>
  <c r="Z325" i="3"/>
  <c r="T326" i="3"/>
  <c r="U326" i="3" s="1"/>
  <c r="V326" i="3" s="1"/>
  <c r="W326" i="3"/>
  <c r="Y326" i="3"/>
  <c r="Z326" i="3"/>
  <c r="T327" i="3"/>
  <c r="U327" i="3" s="1"/>
  <c r="W327" i="3"/>
  <c r="Y327" i="3"/>
  <c r="Z327" i="3"/>
  <c r="T328" i="3"/>
  <c r="U328" i="3"/>
  <c r="W328" i="3"/>
  <c r="Y328" i="3"/>
  <c r="Z328" i="3"/>
  <c r="T329" i="3"/>
  <c r="U329" i="3"/>
  <c r="W329" i="3"/>
  <c r="Y329" i="3"/>
  <c r="Z329" i="3"/>
  <c r="T330" i="3"/>
  <c r="U330" i="3"/>
  <c r="V330" i="3" s="1"/>
  <c r="W330" i="3"/>
  <c r="Y330" i="3"/>
  <c r="Z330" i="3"/>
  <c r="T331" i="3"/>
  <c r="U331" i="3" s="1"/>
  <c r="V331" i="3" s="1"/>
  <c r="W331" i="3"/>
  <c r="Y331" i="3"/>
  <c r="Z331" i="3"/>
  <c r="T332" i="3"/>
  <c r="U332" i="3" s="1"/>
  <c r="V332" i="3" s="1"/>
  <c r="W332" i="3"/>
  <c r="Y332" i="3"/>
  <c r="Z332" i="3"/>
  <c r="T333" i="3"/>
  <c r="U333" i="3" s="1"/>
  <c r="V333" i="3" s="1"/>
  <c r="W333" i="3"/>
  <c r="Y333" i="3"/>
  <c r="Z333" i="3"/>
  <c r="T334" i="3"/>
  <c r="U334" i="3" s="1"/>
  <c r="V334" i="3" s="1"/>
  <c r="W334" i="3"/>
  <c r="Y334" i="3"/>
  <c r="Z334" i="3"/>
  <c r="T335" i="3"/>
  <c r="U335" i="3" s="1"/>
  <c r="V335" i="3" s="1"/>
  <c r="W335" i="3"/>
  <c r="Y335" i="3"/>
  <c r="Z335" i="3"/>
  <c r="T336" i="3"/>
  <c r="U336" i="3" s="1"/>
  <c r="V336" i="3" s="1"/>
  <c r="W336" i="3"/>
  <c r="Y336" i="3"/>
  <c r="Z336" i="3"/>
  <c r="T337" i="3"/>
  <c r="U337" i="3" s="1"/>
  <c r="V337" i="3" s="1"/>
  <c r="W337" i="3"/>
  <c r="Y337" i="3"/>
  <c r="Z337" i="3"/>
  <c r="T338" i="3"/>
  <c r="U338" i="3" s="1"/>
  <c r="W338" i="3"/>
  <c r="Y338" i="3"/>
  <c r="Z338" i="3"/>
  <c r="T339" i="3"/>
  <c r="U339" i="3" s="1"/>
  <c r="V339" i="3" s="1"/>
  <c r="W339" i="3"/>
  <c r="Y339" i="3"/>
  <c r="Z339" i="3"/>
  <c r="T340" i="3"/>
  <c r="U340" i="3" s="1"/>
  <c r="V340" i="3"/>
  <c r="W340" i="3"/>
  <c r="Y340" i="3"/>
  <c r="Z340" i="3"/>
  <c r="T341" i="3"/>
  <c r="U341" i="3" s="1"/>
  <c r="V341" i="3" s="1"/>
  <c r="W341" i="3"/>
  <c r="Y341" i="3"/>
  <c r="Z341" i="3"/>
  <c r="T342" i="3"/>
  <c r="U342" i="3" s="1"/>
  <c r="V342" i="3" s="1"/>
  <c r="W342" i="3"/>
  <c r="Y342" i="3"/>
  <c r="Z342" i="3"/>
  <c r="T343" i="3"/>
  <c r="U343" i="3"/>
  <c r="V343" i="3"/>
  <c r="W343" i="3"/>
  <c r="Y343" i="3"/>
  <c r="Z343" i="3"/>
  <c r="T344" i="3"/>
  <c r="U344" i="3" s="1"/>
  <c r="V344" i="3" s="1"/>
  <c r="W344" i="3"/>
  <c r="Y344" i="3"/>
  <c r="Z344" i="3"/>
  <c r="T345" i="3"/>
  <c r="U345" i="3" s="1"/>
  <c r="V345" i="3" s="1"/>
  <c r="W345" i="3"/>
  <c r="Y345" i="3"/>
  <c r="Z345" i="3"/>
  <c r="T346" i="3"/>
  <c r="U346" i="3" s="1"/>
  <c r="W346" i="3"/>
  <c r="Y346" i="3"/>
  <c r="Z346" i="3"/>
  <c r="T347" i="3"/>
  <c r="U347" i="3" s="1"/>
  <c r="V347" i="3" s="1"/>
  <c r="W347" i="3"/>
  <c r="Y347" i="3"/>
  <c r="Z347" i="3"/>
  <c r="T348" i="3"/>
  <c r="U348" i="3" s="1"/>
  <c r="V348" i="3" s="1"/>
  <c r="W348" i="3"/>
  <c r="Y348" i="3"/>
  <c r="Z348" i="3"/>
  <c r="T349" i="3"/>
  <c r="U349" i="3" s="1"/>
  <c r="V349" i="3" s="1"/>
  <c r="W349" i="3"/>
  <c r="Y349" i="3"/>
  <c r="Z349" i="3"/>
  <c r="T350" i="3"/>
  <c r="U350" i="3"/>
  <c r="W350" i="3"/>
  <c r="Y350" i="3"/>
  <c r="Z350" i="3"/>
  <c r="T351" i="3"/>
  <c r="U351" i="3" s="1"/>
  <c r="V351" i="3" s="1"/>
  <c r="W351" i="3"/>
  <c r="Y351" i="3"/>
  <c r="Z351" i="3"/>
  <c r="T352" i="3"/>
  <c r="U352" i="3" s="1"/>
  <c r="V352" i="3" s="1"/>
  <c r="W352" i="3"/>
  <c r="Y352" i="3"/>
  <c r="Z352" i="3"/>
  <c r="T353" i="3"/>
  <c r="U353" i="3" s="1"/>
  <c r="V353" i="3" s="1"/>
  <c r="W353" i="3"/>
  <c r="Y353" i="3"/>
  <c r="Z353" i="3"/>
  <c r="T354" i="3"/>
  <c r="U354" i="3" s="1"/>
  <c r="V354" i="3" s="1"/>
  <c r="W354" i="3"/>
  <c r="Y354" i="3"/>
  <c r="Z354" i="3"/>
  <c r="T355" i="3"/>
  <c r="U355" i="3" s="1"/>
  <c r="V355" i="3" s="1"/>
  <c r="W355" i="3"/>
  <c r="Y355" i="3"/>
  <c r="Z355" i="3"/>
  <c r="T356" i="3"/>
  <c r="U356" i="3" s="1"/>
  <c r="V356" i="3" s="1"/>
  <c r="W356" i="3"/>
  <c r="Y356" i="3"/>
  <c r="Z356" i="3"/>
  <c r="T357" i="3"/>
  <c r="U357" i="3" s="1"/>
  <c r="V357" i="3" s="1"/>
  <c r="W357" i="3"/>
  <c r="Y357" i="3"/>
  <c r="Z357" i="3"/>
  <c r="T358" i="3"/>
  <c r="U358" i="3" s="1"/>
  <c r="V358" i="3" s="1"/>
  <c r="W358" i="3"/>
  <c r="Y358" i="3"/>
  <c r="Z358" i="3"/>
  <c r="T359" i="3"/>
  <c r="U359" i="3"/>
  <c r="V359" i="3"/>
  <c r="W359" i="3"/>
  <c r="Y359" i="3"/>
  <c r="Z359" i="3"/>
  <c r="T360" i="3"/>
  <c r="U360" i="3" s="1"/>
  <c r="V360" i="3" s="1"/>
  <c r="W360" i="3"/>
  <c r="Y360" i="3"/>
  <c r="Z360" i="3"/>
  <c r="T361" i="3"/>
  <c r="U361" i="3" s="1"/>
  <c r="V361" i="3" s="1"/>
  <c r="W361" i="3"/>
  <c r="Y361" i="3"/>
  <c r="Z361" i="3"/>
  <c r="T362" i="3"/>
  <c r="U362" i="3" s="1"/>
  <c r="V362" i="3" s="1"/>
  <c r="W362" i="3"/>
  <c r="Y362" i="3"/>
  <c r="Z362" i="3"/>
  <c r="T363" i="3"/>
  <c r="U363" i="3"/>
  <c r="V363" i="3" s="1"/>
  <c r="W363" i="3"/>
  <c r="Y363" i="3"/>
  <c r="Z363" i="3"/>
  <c r="T364" i="3"/>
  <c r="U364" i="3" s="1"/>
  <c r="V364" i="3" s="1"/>
  <c r="W364" i="3"/>
  <c r="Y364" i="3"/>
  <c r="Z364" i="3"/>
  <c r="T365" i="3"/>
  <c r="U365" i="3"/>
  <c r="V365" i="3"/>
  <c r="W365" i="3"/>
  <c r="Y365" i="3"/>
  <c r="Z365" i="3"/>
  <c r="T366" i="3"/>
  <c r="U366" i="3" s="1"/>
  <c r="V366" i="3" s="1"/>
  <c r="W366" i="3"/>
  <c r="Y366" i="3"/>
  <c r="Z366" i="3"/>
  <c r="T367" i="3"/>
  <c r="U367" i="3"/>
  <c r="V367" i="3"/>
  <c r="W367" i="3"/>
  <c r="Y367" i="3"/>
  <c r="Z367" i="3"/>
  <c r="T368" i="3"/>
  <c r="U368" i="3" s="1"/>
  <c r="V368" i="3" s="1"/>
  <c r="W368" i="3"/>
  <c r="Y368" i="3"/>
  <c r="Z368" i="3"/>
  <c r="T369" i="3"/>
  <c r="U369" i="3" s="1"/>
  <c r="V369" i="3" s="1"/>
  <c r="W369" i="3"/>
  <c r="Y369" i="3"/>
  <c r="Z369" i="3"/>
  <c r="T370" i="3"/>
  <c r="U370" i="3"/>
  <c r="X369" i="3" s="1"/>
  <c r="V370" i="3"/>
  <c r="W370" i="3"/>
  <c r="Y370" i="3"/>
  <c r="Z370" i="3"/>
  <c r="T371" i="3"/>
  <c r="U371" i="3" s="1"/>
  <c r="V371" i="3" s="1"/>
  <c r="W371" i="3"/>
  <c r="Y371" i="3"/>
  <c r="Z371" i="3"/>
  <c r="T372" i="3"/>
  <c r="U372" i="3" s="1"/>
  <c r="W372" i="3"/>
  <c r="Y372" i="3"/>
  <c r="Z372" i="3"/>
  <c r="T373" i="3"/>
  <c r="U373" i="3" s="1"/>
  <c r="V373" i="3" s="1"/>
  <c r="W373" i="3"/>
  <c r="Y373" i="3"/>
  <c r="Z373" i="3"/>
  <c r="T374" i="3"/>
  <c r="U374" i="3"/>
  <c r="V374" i="3" s="1"/>
  <c r="W374" i="3"/>
  <c r="Y374" i="3"/>
  <c r="Z374" i="3"/>
  <c r="T375" i="3"/>
  <c r="U375" i="3" s="1"/>
  <c r="V375" i="3" s="1"/>
  <c r="W375" i="3"/>
  <c r="Y375" i="3"/>
  <c r="Z375" i="3"/>
  <c r="T376" i="3"/>
  <c r="U376" i="3"/>
  <c r="V376" i="3" s="1"/>
  <c r="W376" i="3"/>
  <c r="Y376" i="3"/>
  <c r="Z376" i="3"/>
  <c r="T377" i="3"/>
  <c r="U377" i="3"/>
  <c r="V377" i="3" s="1"/>
  <c r="W377" i="3"/>
  <c r="Y377" i="3"/>
  <c r="Z377" i="3"/>
  <c r="T378" i="3"/>
  <c r="U378" i="3"/>
  <c r="V378" i="3" s="1"/>
  <c r="W378" i="3"/>
  <c r="Y378" i="3"/>
  <c r="Z378" i="3"/>
  <c r="T379" i="3"/>
  <c r="U379" i="3" s="1"/>
  <c r="V379" i="3" s="1"/>
  <c r="W379" i="3"/>
  <c r="Y379" i="3"/>
  <c r="Z379" i="3"/>
  <c r="T380" i="3"/>
  <c r="U380" i="3" s="1"/>
  <c r="V380" i="3" s="1"/>
  <c r="W380" i="3"/>
  <c r="Y380" i="3"/>
  <c r="Z380" i="3"/>
  <c r="T381" i="3"/>
  <c r="U381" i="3" s="1"/>
  <c r="V381" i="3" s="1"/>
  <c r="W381" i="3"/>
  <c r="Y381" i="3"/>
  <c r="Z381" i="3"/>
  <c r="T382" i="3"/>
  <c r="U382" i="3" s="1"/>
  <c r="V382" i="3" s="1"/>
  <c r="W382" i="3"/>
  <c r="Y382" i="3"/>
  <c r="Z382" i="3"/>
  <c r="T383" i="3"/>
  <c r="U383" i="3" s="1"/>
  <c r="W383" i="3"/>
  <c r="Y383" i="3"/>
  <c r="Z383" i="3"/>
  <c r="T384" i="3"/>
  <c r="U384" i="3" s="1"/>
  <c r="V384" i="3" s="1"/>
  <c r="W384" i="3"/>
  <c r="Y384" i="3"/>
  <c r="Z384" i="3"/>
  <c r="T385" i="3"/>
  <c r="U385" i="3"/>
  <c r="V385" i="3"/>
  <c r="W385" i="3"/>
  <c r="Y385" i="3"/>
  <c r="Z385" i="3"/>
  <c r="T386" i="3"/>
  <c r="U386" i="3" s="1"/>
  <c r="V386" i="3" s="1"/>
  <c r="W386" i="3"/>
  <c r="Y386" i="3"/>
  <c r="Z386" i="3"/>
  <c r="T387" i="3"/>
  <c r="U387" i="3" s="1"/>
  <c r="V387" i="3" s="1"/>
  <c r="W387" i="3"/>
  <c r="Y387" i="3"/>
  <c r="Z387" i="3"/>
  <c r="T388" i="3"/>
  <c r="U388" i="3" s="1"/>
  <c r="V388" i="3" s="1"/>
  <c r="W388" i="3"/>
  <c r="Y388" i="3"/>
  <c r="Z388" i="3"/>
  <c r="T389" i="3"/>
  <c r="U389" i="3" s="1"/>
  <c r="V389" i="3" s="1"/>
  <c r="W389" i="3"/>
  <c r="Y389" i="3"/>
  <c r="Z389" i="3"/>
  <c r="T390" i="3"/>
  <c r="U390" i="3" s="1"/>
  <c r="W390" i="3"/>
  <c r="Y390" i="3"/>
  <c r="Z390" i="3"/>
  <c r="T391" i="3"/>
  <c r="U391" i="3"/>
  <c r="V391" i="3"/>
  <c r="W391" i="3"/>
  <c r="Y391" i="3"/>
  <c r="Z391" i="3"/>
  <c r="T392" i="3"/>
  <c r="U392" i="3" s="1"/>
  <c r="V392" i="3" s="1"/>
  <c r="W392" i="3"/>
  <c r="Y392" i="3"/>
  <c r="Z392" i="3"/>
  <c r="T393" i="3"/>
  <c r="U393" i="3" s="1"/>
  <c r="V393" i="3" s="1"/>
  <c r="W393" i="3"/>
  <c r="Y393" i="3"/>
  <c r="Z393" i="3"/>
  <c r="T394" i="3"/>
  <c r="U394" i="3" s="1"/>
  <c r="V394" i="3" s="1"/>
  <c r="W394" i="3"/>
  <c r="Y394" i="3"/>
  <c r="Z394" i="3"/>
  <c r="T395" i="3"/>
  <c r="U395" i="3" s="1"/>
  <c r="V395" i="3" s="1"/>
  <c r="W395" i="3"/>
  <c r="Y395" i="3"/>
  <c r="Z395" i="3"/>
  <c r="T396" i="3"/>
  <c r="U396" i="3"/>
  <c r="V396" i="3" s="1"/>
  <c r="W396" i="3"/>
  <c r="Y396" i="3"/>
  <c r="Z396" i="3"/>
  <c r="T397" i="3"/>
  <c r="U397" i="3" s="1"/>
  <c r="W397" i="3"/>
  <c r="Y397" i="3"/>
  <c r="Z397" i="3"/>
  <c r="T398" i="3"/>
  <c r="U398" i="3" s="1"/>
  <c r="V398" i="3" s="1"/>
  <c r="W398" i="3"/>
  <c r="Y398" i="3"/>
  <c r="Z398" i="3"/>
  <c r="T399" i="3"/>
  <c r="U399" i="3"/>
  <c r="W399" i="3"/>
  <c r="Y399" i="3"/>
  <c r="Z399" i="3"/>
  <c r="T400" i="3"/>
  <c r="U400" i="3" s="1"/>
  <c r="V400" i="3" s="1"/>
  <c r="W400" i="3"/>
  <c r="Y400" i="3"/>
  <c r="Z400" i="3"/>
  <c r="T401" i="3"/>
  <c r="U401" i="3" s="1"/>
  <c r="V401" i="3" s="1"/>
  <c r="W401" i="3"/>
  <c r="Y401" i="3"/>
  <c r="Z401" i="3"/>
  <c r="T402" i="3"/>
  <c r="U402" i="3"/>
  <c r="V402" i="3" s="1"/>
  <c r="W402" i="3"/>
  <c r="Y402" i="3"/>
  <c r="Z402" i="3"/>
  <c r="T403" i="3"/>
  <c r="U403" i="3" s="1"/>
  <c r="V403" i="3" s="1"/>
  <c r="W403" i="3"/>
  <c r="Y403" i="3"/>
  <c r="Z403" i="3"/>
  <c r="T404" i="3"/>
  <c r="U404" i="3" s="1"/>
  <c r="V404" i="3" s="1"/>
  <c r="W404" i="3"/>
  <c r="Y404" i="3"/>
  <c r="Z404" i="3"/>
  <c r="T405" i="3"/>
  <c r="U405" i="3" s="1"/>
  <c r="V405" i="3" s="1"/>
  <c r="W405" i="3"/>
  <c r="Y405" i="3"/>
  <c r="Z405" i="3"/>
  <c r="T406" i="3"/>
  <c r="U406" i="3" s="1"/>
  <c r="W406" i="3"/>
  <c r="Y406" i="3"/>
  <c r="Z406" i="3"/>
  <c r="T407" i="3"/>
  <c r="U407" i="3" s="1"/>
  <c r="V407" i="3" s="1"/>
  <c r="W407" i="3"/>
  <c r="Y407" i="3"/>
  <c r="Z407" i="3"/>
  <c r="T408" i="3"/>
  <c r="U408" i="3" s="1"/>
  <c r="V408" i="3" s="1"/>
  <c r="W408" i="3"/>
  <c r="Y408" i="3"/>
  <c r="Z408" i="3"/>
  <c r="T409" i="3"/>
  <c r="U409" i="3"/>
  <c r="V409" i="3"/>
  <c r="W409" i="3"/>
  <c r="Y409" i="3"/>
  <c r="Z409" i="3"/>
  <c r="T410" i="3"/>
  <c r="U410" i="3" s="1"/>
  <c r="V410" i="3" s="1"/>
  <c r="W410" i="3"/>
  <c r="Y410" i="3"/>
  <c r="Z410" i="3"/>
  <c r="T411" i="3"/>
  <c r="U411" i="3" s="1"/>
  <c r="V411" i="3" s="1"/>
  <c r="W411" i="3"/>
  <c r="Y411" i="3"/>
  <c r="Z411" i="3"/>
  <c r="T412" i="3"/>
  <c r="U412" i="3" s="1"/>
  <c r="V412" i="3" s="1"/>
  <c r="W412" i="3"/>
  <c r="Y412" i="3"/>
  <c r="Z412" i="3"/>
  <c r="T413" i="3"/>
  <c r="U413" i="3" s="1"/>
  <c r="V413" i="3" s="1"/>
  <c r="W413" i="3"/>
  <c r="Y413" i="3"/>
  <c r="Z413" i="3"/>
  <c r="T414" i="3"/>
  <c r="U414" i="3" s="1"/>
  <c r="V414" i="3" s="1"/>
  <c r="W414" i="3"/>
  <c r="Y414" i="3"/>
  <c r="Z414" i="3"/>
  <c r="T415" i="3"/>
  <c r="U415" i="3" s="1"/>
  <c r="W415" i="3"/>
  <c r="Y415" i="3"/>
  <c r="Z415" i="3"/>
  <c r="T416" i="3"/>
  <c r="U416" i="3"/>
  <c r="V416" i="3" s="1"/>
  <c r="W416" i="3"/>
  <c r="Y416" i="3"/>
  <c r="Z416" i="3"/>
  <c r="T417" i="3"/>
  <c r="U417" i="3" s="1"/>
  <c r="V417" i="3" s="1"/>
  <c r="W417" i="3"/>
  <c r="Y417" i="3"/>
  <c r="Z417" i="3"/>
  <c r="T418" i="3"/>
  <c r="U418" i="3" s="1"/>
  <c r="V418" i="3" s="1"/>
  <c r="W418" i="3"/>
  <c r="Y418" i="3"/>
  <c r="Z418" i="3"/>
  <c r="T419" i="3"/>
  <c r="U419" i="3" s="1"/>
  <c r="W419" i="3"/>
  <c r="Y419" i="3"/>
  <c r="Z419" i="3"/>
  <c r="T420" i="3"/>
  <c r="U420" i="3" s="1"/>
  <c r="V420" i="3" s="1"/>
  <c r="W420" i="3"/>
  <c r="Y420" i="3"/>
  <c r="Z420" i="3"/>
  <c r="T421" i="3"/>
  <c r="U421" i="3" s="1"/>
  <c r="W421" i="3"/>
  <c r="Y421" i="3"/>
  <c r="Z421" i="3"/>
  <c r="T422" i="3"/>
  <c r="U422" i="3"/>
  <c r="V422" i="3" s="1"/>
  <c r="W422" i="3"/>
  <c r="Y422" i="3"/>
  <c r="Z422" i="3"/>
  <c r="T423" i="3"/>
  <c r="U423" i="3" s="1"/>
  <c r="V423" i="3" s="1"/>
  <c r="W423" i="3"/>
  <c r="Y423" i="3"/>
  <c r="Z423" i="3"/>
  <c r="T424" i="3"/>
  <c r="U424" i="3"/>
  <c r="V424" i="3" s="1"/>
  <c r="W424" i="3"/>
  <c r="Y424" i="3"/>
  <c r="Z424" i="3"/>
  <c r="T425" i="3"/>
  <c r="U425" i="3" s="1"/>
  <c r="V425" i="3" s="1"/>
  <c r="W425" i="3"/>
  <c r="Y425" i="3"/>
  <c r="Z425" i="3"/>
  <c r="T426" i="3"/>
  <c r="U426" i="3" s="1"/>
  <c r="V426" i="3" s="1"/>
  <c r="W426" i="3"/>
  <c r="Y426" i="3"/>
  <c r="Z426" i="3"/>
  <c r="T427" i="3"/>
  <c r="U427" i="3" s="1"/>
  <c r="V427" i="3" s="1"/>
  <c r="W427" i="3"/>
  <c r="Y427" i="3"/>
  <c r="Z427" i="3"/>
  <c r="T428" i="3"/>
  <c r="U428" i="3" s="1"/>
  <c r="V428" i="3" s="1"/>
  <c r="W428" i="3"/>
  <c r="Y428" i="3"/>
  <c r="Z428" i="3"/>
  <c r="T429" i="3"/>
  <c r="U429" i="3" s="1"/>
  <c r="W429" i="3"/>
  <c r="Y429" i="3"/>
  <c r="Z429" i="3"/>
  <c r="T430" i="3"/>
  <c r="U430" i="3" s="1"/>
  <c r="V430" i="3" s="1"/>
  <c r="W430" i="3"/>
  <c r="Y430" i="3"/>
  <c r="Z430" i="3"/>
  <c r="T431" i="3"/>
  <c r="U431" i="3"/>
  <c r="V431" i="3" s="1"/>
  <c r="W431" i="3"/>
  <c r="Y431" i="3"/>
  <c r="Z431" i="3"/>
  <c r="T432" i="3"/>
  <c r="U432" i="3"/>
  <c r="V432" i="3" s="1"/>
  <c r="W432" i="3"/>
  <c r="Y432" i="3"/>
  <c r="Z432" i="3"/>
  <c r="T433" i="3"/>
  <c r="U433" i="3" s="1"/>
  <c r="V433" i="3" s="1"/>
  <c r="W433" i="3"/>
  <c r="Y433" i="3"/>
  <c r="Z433" i="3"/>
  <c r="T434" i="3"/>
  <c r="U434" i="3" s="1"/>
  <c r="V434" i="3" s="1"/>
  <c r="W434" i="3"/>
  <c r="Y434" i="3"/>
  <c r="Z434" i="3"/>
  <c r="T435" i="3"/>
  <c r="U435" i="3"/>
  <c r="V435" i="3" s="1"/>
  <c r="W435" i="3"/>
  <c r="Y435" i="3"/>
  <c r="Z435" i="3"/>
  <c r="T436" i="3"/>
  <c r="U436" i="3"/>
  <c r="V436" i="3" s="1"/>
  <c r="W436" i="3"/>
  <c r="Y436" i="3"/>
  <c r="Z436" i="3"/>
  <c r="T437" i="3"/>
  <c r="U437" i="3"/>
  <c r="V437" i="3"/>
  <c r="W437" i="3"/>
  <c r="Y437" i="3"/>
  <c r="Z437" i="3"/>
  <c r="T438" i="3"/>
  <c r="U438" i="3"/>
  <c r="V438" i="3" s="1"/>
  <c r="W438" i="3"/>
  <c r="Y438" i="3"/>
  <c r="Z438" i="3"/>
  <c r="T439" i="3"/>
  <c r="U439" i="3" s="1"/>
  <c r="V439" i="3" s="1"/>
  <c r="W439" i="3"/>
  <c r="Y439" i="3"/>
  <c r="Z439" i="3"/>
  <c r="T440" i="3"/>
  <c r="U440" i="3"/>
  <c r="X440" i="3" s="1"/>
  <c r="W440" i="3"/>
  <c r="Y440" i="3"/>
  <c r="Z440" i="3"/>
  <c r="T441" i="3"/>
  <c r="U441" i="3" s="1"/>
  <c r="V441" i="3" s="1"/>
  <c r="W441" i="3"/>
  <c r="Y441" i="3"/>
  <c r="Z441" i="3"/>
  <c r="T442" i="3"/>
  <c r="U442" i="3" s="1"/>
  <c r="V442" i="3" s="1"/>
  <c r="W442" i="3"/>
  <c r="Y442" i="3"/>
  <c r="Z442" i="3"/>
  <c r="T443" i="3"/>
  <c r="U443" i="3" s="1"/>
  <c r="V443" i="3" s="1"/>
  <c r="W443" i="3"/>
  <c r="Y443" i="3"/>
  <c r="Z443" i="3"/>
  <c r="T444" i="3"/>
  <c r="U444" i="3" s="1"/>
  <c r="V444" i="3" s="1"/>
  <c r="W444" i="3"/>
  <c r="Y444" i="3"/>
  <c r="Z444" i="3"/>
  <c r="T445" i="3"/>
  <c r="U445" i="3" s="1"/>
  <c r="V445" i="3" s="1"/>
  <c r="W445" i="3"/>
  <c r="Y445" i="3"/>
  <c r="Z445" i="3"/>
  <c r="T446" i="3"/>
  <c r="U446" i="3" s="1"/>
  <c r="V446" i="3" s="1"/>
  <c r="W446" i="3"/>
  <c r="Y446" i="3"/>
  <c r="Z446" i="3"/>
  <c r="T447" i="3"/>
  <c r="U447" i="3" s="1"/>
  <c r="V447" i="3" s="1"/>
  <c r="W447" i="3"/>
  <c r="Y447" i="3"/>
  <c r="Z447" i="3"/>
  <c r="T448" i="3"/>
  <c r="U448" i="3"/>
  <c r="V448" i="3" s="1"/>
  <c r="W448" i="3"/>
  <c r="Y448" i="3"/>
  <c r="Z448" i="3"/>
  <c r="T449" i="3"/>
  <c r="U449" i="3"/>
  <c r="V449" i="3"/>
  <c r="W449" i="3"/>
  <c r="Y449" i="3"/>
  <c r="Z449" i="3"/>
  <c r="T450" i="3"/>
  <c r="U450" i="3"/>
  <c r="V450" i="3" s="1"/>
  <c r="W450" i="3"/>
  <c r="Y450" i="3"/>
  <c r="Z450" i="3"/>
  <c r="T451" i="3"/>
  <c r="U451" i="3" s="1"/>
  <c r="V451" i="3" s="1"/>
  <c r="W451" i="3"/>
  <c r="Y451" i="3"/>
  <c r="Z451" i="3"/>
  <c r="T452" i="3"/>
  <c r="U452" i="3"/>
  <c r="V452" i="3"/>
  <c r="W452" i="3"/>
  <c r="Y452" i="3"/>
  <c r="Z452" i="3"/>
  <c r="T453" i="3"/>
  <c r="U453" i="3" s="1"/>
  <c r="V453" i="3" s="1"/>
  <c r="W453" i="3"/>
  <c r="Y453" i="3"/>
  <c r="Z453" i="3"/>
  <c r="T454" i="3"/>
  <c r="U454" i="3"/>
  <c r="V454" i="3" s="1"/>
  <c r="W454" i="3"/>
  <c r="Y454" i="3"/>
  <c r="Z454" i="3"/>
  <c r="T455" i="3"/>
  <c r="U455" i="3" s="1"/>
  <c r="V455" i="3" s="1"/>
  <c r="W455" i="3"/>
  <c r="Y455" i="3"/>
  <c r="Z455" i="3"/>
  <c r="T456" i="3"/>
  <c r="U456" i="3" s="1"/>
  <c r="V456" i="3" s="1"/>
  <c r="W456" i="3"/>
  <c r="Y456" i="3"/>
  <c r="Z456" i="3"/>
  <c r="T457" i="3"/>
  <c r="U457" i="3"/>
  <c r="V457" i="3"/>
  <c r="W457" i="3"/>
  <c r="Y457" i="3"/>
  <c r="Z457" i="3"/>
  <c r="T458" i="3"/>
  <c r="U458" i="3" s="1"/>
  <c r="V458" i="3" s="1"/>
  <c r="W458" i="3"/>
  <c r="Y458" i="3"/>
  <c r="Z458" i="3"/>
  <c r="T459" i="3"/>
  <c r="U459" i="3" s="1"/>
  <c r="V459" i="3" s="1"/>
  <c r="W459" i="3"/>
  <c r="Y459" i="3"/>
  <c r="Z459" i="3"/>
  <c r="T460" i="3"/>
  <c r="U460" i="3"/>
  <c r="V460" i="3" s="1"/>
  <c r="W460" i="3"/>
  <c r="Y460" i="3"/>
  <c r="Z460" i="3"/>
  <c r="T461" i="3"/>
  <c r="U461" i="3" s="1"/>
  <c r="V461" i="3" s="1"/>
  <c r="W461" i="3"/>
  <c r="Y461" i="3"/>
  <c r="Z461" i="3"/>
  <c r="T462" i="3"/>
  <c r="U462" i="3" s="1"/>
  <c r="V462" i="3" s="1"/>
  <c r="W462" i="3"/>
  <c r="Y462" i="3"/>
  <c r="Z462" i="3"/>
  <c r="T463" i="3"/>
  <c r="U463" i="3"/>
  <c r="V463" i="3" s="1"/>
  <c r="W463" i="3"/>
  <c r="Y463" i="3"/>
  <c r="Z463" i="3"/>
  <c r="T464" i="3"/>
  <c r="U464" i="3" s="1"/>
  <c r="V464" i="3" s="1"/>
  <c r="W464" i="3"/>
  <c r="Y464" i="3"/>
  <c r="Z464" i="3"/>
  <c r="T465" i="3"/>
  <c r="U465" i="3" s="1"/>
  <c r="V465" i="3" s="1"/>
  <c r="W465" i="3"/>
  <c r="Y465" i="3"/>
  <c r="Z465" i="3"/>
  <c r="T466" i="3"/>
  <c r="U466" i="3" s="1"/>
  <c r="V466" i="3" s="1"/>
  <c r="W466" i="3"/>
  <c r="Y466" i="3"/>
  <c r="Z466" i="3"/>
  <c r="T467" i="3"/>
  <c r="U467" i="3" s="1"/>
  <c r="V467" i="3" s="1"/>
  <c r="W467" i="3"/>
  <c r="Y467" i="3"/>
  <c r="Z467" i="3"/>
  <c r="T468" i="3"/>
  <c r="U468" i="3" s="1"/>
  <c r="V468" i="3" s="1"/>
  <c r="W468" i="3"/>
  <c r="Y468" i="3"/>
  <c r="Z468" i="3"/>
  <c r="T469" i="3"/>
  <c r="U469" i="3" s="1"/>
  <c r="V469" i="3" s="1"/>
  <c r="W469" i="3"/>
  <c r="Y469" i="3"/>
  <c r="Z469" i="3"/>
  <c r="T470" i="3"/>
  <c r="U470" i="3" s="1"/>
  <c r="V470" i="3" s="1"/>
  <c r="W470" i="3"/>
  <c r="Y470" i="3"/>
  <c r="Z470" i="3"/>
  <c r="T471" i="3"/>
  <c r="U471" i="3"/>
  <c r="V471" i="3" s="1"/>
  <c r="W471" i="3"/>
  <c r="Y471" i="3"/>
  <c r="Z471" i="3"/>
  <c r="T472" i="3"/>
  <c r="U472" i="3"/>
  <c r="V472" i="3"/>
  <c r="W472" i="3"/>
  <c r="Y472" i="3"/>
  <c r="Z472" i="3"/>
  <c r="T473" i="3"/>
  <c r="U473" i="3"/>
  <c r="V473" i="3"/>
  <c r="W473" i="3"/>
  <c r="Y473" i="3"/>
  <c r="Z473" i="3"/>
  <c r="T474" i="3"/>
  <c r="U474" i="3" s="1"/>
  <c r="V474" i="3" s="1"/>
  <c r="W474" i="3"/>
  <c r="Y474" i="3"/>
  <c r="Z474" i="3"/>
  <c r="T475" i="3"/>
  <c r="U475" i="3"/>
  <c r="V475" i="3"/>
  <c r="W475" i="3"/>
  <c r="Y475" i="3"/>
  <c r="Z475" i="3"/>
  <c r="T476" i="3"/>
  <c r="U476" i="3" s="1"/>
  <c r="V476" i="3" s="1"/>
  <c r="W476" i="3"/>
  <c r="Y476" i="3"/>
  <c r="Z476" i="3"/>
  <c r="T477" i="3"/>
  <c r="U477" i="3" s="1"/>
  <c r="W477" i="3"/>
  <c r="Y477" i="3"/>
  <c r="Z477" i="3"/>
  <c r="T478" i="3"/>
  <c r="U478" i="3" s="1"/>
  <c r="V478" i="3" s="1"/>
  <c r="W478" i="3"/>
  <c r="Y478" i="3"/>
  <c r="Z478" i="3"/>
  <c r="T479" i="3"/>
  <c r="U479" i="3" s="1"/>
  <c r="V479" i="3" s="1"/>
  <c r="W479" i="3"/>
  <c r="Y479" i="3"/>
  <c r="Z479" i="3"/>
  <c r="T480" i="3"/>
  <c r="U480" i="3" s="1"/>
  <c r="V480" i="3" s="1"/>
  <c r="W480" i="3"/>
  <c r="Y480" i="3"/>
  <c r="Z480" i="3"/>
  <c r="T481" i="3"/>
  <c r="U481" i="3" s="1"/>
  <c r="V481" i="3" s="1"/>
  <c r="W481" i="3"/>
  <c r="Y481" i="3"/>
  <c r="Z481" i="3"/>
  <c r="T482" i="3"/>
  <c r="U482" i="3"/>
  <c r="V482" i="3"/>
  <c r="W482" i="3"/>
  <c r="Y482" i="3"/>
  <c r="Z482" i="3"/>
  <c r="T483" i="3"/>
  <c r="U483" i="3" s="1"/>
  <c r="V483" i="3" s="1"/>
  <c r="W483" i="3"/>
  <c r="Y483" i="3"/>
  <c r="Z483" i="3"/>
  <c r="T484" i="3"/>
  <c r="U484" i="3" s="1"/>
  <c r="V484" i="3" s="1"/>
  <c r="W484" i="3"/>
  <c r="Y484" i="3"/>
  <c r="Z484" i="3"/>
  <c r="T485" i="3"/>
  <c r="U485" i="3" s="1"/>
  <c r="V485" i="3" s="1"/>
  <c r="W485" i="3"/>
  <c r="Y485" i="3"/>
  <c r="Z485" i="3"/>
  <c r="T486" i="3"/>
  <c r="U486" i="3" s="1"/>
  <c r="V486" i="3" s="1"/>
  <c r="W486" i="3"/>
  <c r="Y486" i="3"/>
  <c r="Z486" i="3"/>
  <c r="T487" i="3"/>
  <c r="U487" i="3" s="1"/>
  <c r="V487" i="3" s="1"/>
  <c r="W487" i="3"/>
  <c r="Y487" i="3"/>
  <c r="Z487" i="3"/>
  <c r="T488" i="3"/>
  <c r="U488" i="3"/>
  <c r="V488" i="3" s="1"/>
  <c r="W488" i="3"/>
  <c r="Y488" i="3"/>
  <c r="Z488" i="3"/>
  <c r="T489" i="3"/>
  <c r="U489" i="3" s="1"/>
  <c r="V489" i="3" s="1"/>
  <c r="W489" i="3"/>
  <c r="Y489" i="3"/>
  <c r="Z489" i="3"/>
  <c r="T490" i="3"/>
  <c r="U490" i="3"/>
  <c r="V490" i="3"/>
  <c r="W490" i="3"/>
  <c r="Y490" i="3"/>
  <c r="Z490" i="3"/>
  <c r="T491" i="3"/>
  <c r="U491" i="3" s="1"/>
  <c r="V491" i="3" s="1"/>
  <c r="W491" i="3"/>
  <c r="Y491" i="3"/>
  <c r="Z491" i="3"/>
  <c r="T492" i="3"/>
  <c r="U492" i="3" s="1"/>
  <c r="V492" i="3" s="1"/>
  <c r="W492" i="3"/>
  <c r="Y492" i="3"/>
  <c r="Z492" i="3"/>
  <c r="T493" i="3"/>
  <c r="U493" i="3"/>
  <c r="V493" i="3"/>
  <c r="W493" i="3"/>
  <c r="Y493" i="3"/>
  <c r="Z493" i="3"/>
  <c r="T494" i="3"/>
  <c r="U494" i="3"/>
  <c r="V494" i="3" s="1"/>
  <c r="W494" i="3"/>
  <c r="Y494" i="3"/>
  <c r="Z494" i="3"/>
  <c r="T495" i="3"/>
  <c r="U495" i="3" s="1"/>
  <c r="V495" i="3" s="1"/>
  <c r="W495" i="3"/>
  <c r="Y495" i="3"/>
  <c r="Z495" i="3"/>
  <c r="T496" i="3"/>
  <c r="U496" i="3" s="1"/>
  <c r="V496" i="3" s="1"/>
  <c r="W496" i="3"/>
  <c r="Y496" i="3"/>
  <c r="Z496" i="3"/>
  <c r="T497" i="3"/>
  <c r="U497" i="3" s="1"/>
  <c r="V497" i="3" s="1"/>
  <c r="W497" i="3"/>
  <c r="Y497" i="3"/>
  <c r="Z497" i="3"/>
  <c r="T498" i="3"/>
  <c r="U498" i="3"/>
  <c r="V498" i="3" s="1"/>
  <c r="W498" i="3"/>
  <c r="Y498" i="3"/>
  <c r="Z498" i="3"/>
  <c r="T499" i="3"/>
  <c r="U499" i="3"/>
  <c r="V499" i="3" s="1"/>
  <c r="W499" i="3"/>
  <c r="Y499" i="3"/>
  <c r="Z499" i="3"/>
  <c r="T500" i="3"/>
  <c r="U500" i="3"/>
  <c r="V500" i="3"/>
  <c r="W500" i="3"/>
  <c r="Y500" i="3"/>
  <c r="Z500" i="3"/>
  <c r="T501" i="3"/>
  <c r="U501" i="3"/>
  <c r="V501" i="3"/>
  <c r="W501" i="3"/>
  <c r="Y501" i="3"/>
  <c r="Z501" i="3"/>
  <c r="T502" i="3"/>
  <c r="U502" i="3" s="1"/>
  <c r="V502" i="3" s="1"/>
  <c r="W502" i="3"/>
  <c r="Y502" i="3"/>
  <c r="Z502" i="3"/>
  <c r="T503" i="3"/>
  <c r="U503" i="3" s="1"/>
  <c r="V503" i="3" s="1"/>
  <c r="W503" i="3"/>
  <c r="Y503" i="3"/>
  <c r="Z503" i="3"/>
  <c r="T504" i="3"/>
  <c r="U504" i="3"/>
  <c r="V504" i="3"/>
  <c r="W504" i="3"/>
  <c r="Y504" i="3"/>
  <c r="Z504" i="3"/>
  <c r="T505" i="3"/>
  <c r="U505" i="3"/>
  <c r="V505" i="3" s="1"/>
  <c r="W505" i="3"/>
  <c r="Y505" i="3"/>
  <c r="Z505" i="3"/>
  <c r="T506" i="3"/>
  <c r="U506" i="3" s="1"/>
  <c r="W506" i="3"/>
  <c r="Y506" i="3"/>
  <c r="Z506" i="3"/>
  <c r="T507" i="3"/>
  <c r="U507" i="3"/>
  <c r="V507" i="3" s="1"/>
  <c r="W507" i="3"/>
  <c r="Y507" i="3"/>
  <c r="Z507" i="3"/>
  <c r="T508" i="3"/>
  <c r="U508" i="3"/>
  <c r="V508" i="3" s="1"/>
  <c r="W508" i="3"/>
  <c r="Y508" i="3"/>
  <c r="Z508" i="3"/>
  <c r="T509" i="3"/>
  <c r="U509" i="3"/>
  <c r="V509" i="3" s="1"/>
  <c r="W509" i="3"/>
  <c r="Y509" i="3"/>
  <c r="Z509" i="3"/>
  <c r="T510" i="3"/>
  <c r="U510" i="3" s="1"/>
  <c r="V510" i="3" s="1"/>
  <c r="W510" i="3"/>
  <c r="Y510" i="3"/>
  <c r="Z510" i="3"/>
  <c r="T511" i="3"/>
  <c r="U511" i="3"/>
  <c r="V511" i="3"/>
  <c r="W511" i="3"/>
  <c r="Y511" i="3"/>
  <c r="Z511" i="3"/>
  <c r="T512" i="3"/>
  <c r="U512" i="3" s="1"/>
  <c r="V512" i="3" s="1"/>
  <c r="W512" i="3"/>
  <c r="Y512" i="3"/>
  <c r="Z512" i="3"/>
  <c r="T513" i="3"/>
  <c r="U513" i="3"/>
  <c r="V513" i="3" s="1"/>
  <c r="W513" i="3"/>
  <c r="Y513" i="3"/>
  <c r="Z513" i="3"/>
  <c r="T514" i="3"/>
  <c r="U514" i="3"/>
  <c r="V514" i="3" s="1"/>
  <c r="W514" i="3"/>
  <c r="Y514" i="3"/>
  <c r="Z514" i="3"/>
  <c r="T515" i="3"/>
  <c r="U515" i="3"/>
  <c r="V515" i="3"/>
  <c r="W515" i="3"/>
  <c r="Y515" i="3"/>
  <c r="Z515" i="3"/>
  <c r="T516" i="3"/>
  <c r="U516" i="3" s="1"/>
  <c r="V516" i="3" s="1"/>
  <c r="W516" i="3"/>
  <c r="Y516" i="3"/>
  <c r="Z516" i="3"/>
  <c r="T517" i="3"/>
  <c r="U517" i="3" s="1"/>
  <c r="V517" i="3" s="1"/>
  <c r="W517" i="3"/>
  <c r="Y517" i="3"/>
  <c r="Z517" i="3"/>
  <c r="T518" i="3"/>
  <c r="U518" i="3" s="1"/>
  <c r="V518" i="3" s="1"/>
  <c r="W518" i="3"/>
  <c r="Y518" i="3"/>
  <c r="Z518" i="3"/>
  <c r="T519" i="3"/>
  <c r="U519" i="3"/>
  <c r="V519" i="3"/>
  <c r="W519" i="3"/>
  <c r="Y519" i="3"/>
  <c r="Z519" i="3"/>
  <c r="T520" i="3"/>
  <c r="U520" i="3" s="1"/>
  <c r="V520" i="3" s="1"/>
  <c r="W520" i="3"/>
  <c r="Y520" i="3"/>
  <c r="Z520" i="3"/>
  <c r="T521" i="3"/>
  <c r="U521" i="3" s="1"/>
  <c r="V521" i="3" s="1"/>
  <c r="W521" i="3"/>
  <c r="Y521" i="3"/>
  <c r="Z521" i="3"/>
  <c r="T522" i="3"/>
  <c r="U522" i="3" s="1"/>
  <c r="V522" i="3" s="1"/>
  <c r="W522" i="3"/>
  <c r="Y522" i="3"/>
  <c r="Z522" i="3"/>
  <c r="T523" i="3"/>
  <c r="U523" i="3" s="1"/>
  <c r="V523" i="3" s="1"/>
  <c r="W523" i="3"/>
  <c r="Y523" i="3"/>
  <c r="Z523" i="3"/>
  <c r="T524" i="3"/>
  <c r="U524" i="3"/>
  <c r="V524" i="3" s="1"/>
  <c r="W524" i="3"/>
  <c r="Y524" i="3"/>
  <c r="Z524" i="3"/>
  <c r="T525" i="3"/>
  <c r="U525" i="3" s="1"/>
  <c r="V525" i="3" s="1"/>
  <c r="W525" i="3"/>
  <c r="Y525" i="3"/>
  <c r="Z525" i="3"/>
  <c r="T526" i="3"/>
  <c r="U526" i="3"/>
  <c r="V526" i="3"/>
  <c r="W526" i="3"/>
  <c r="Y526" i="3"/>
  <c r="Z526" i="3"/>
  <c r="T527" i="3"/>
  <c r="U527" i="3"/>
  <c r="V527" i="3" s="1"/>
  <c r="W527" i="3"/>
  <c r="Y527" i="3"/>
  <c r="Z527" i="3"/>
  <c r="T528" i="3"/>
  <c r="U528" i="3" s="1"/>
  <c r="V528" i="3" s="1"/>
  <c r="W528" i="3"/>
  <c r="Y528" i="3"/>
  <c r="Z528" i="3"/>
  <c r="T529" i="3"/>
  <c r="U529" i="3"/>
  <c r="V529" i="3" s="1"/>
  <c r="W529" i="3"/>
  <c r="Y529" i="3"/>
  <c r="Z529" i="3"/>
  <c r="T530" i="3"/>
  <c r="U530" i="3" s="1"/>
  <c r="V530" i="3" s="1"/>
  <c r="W530" i="3"/>
  <c r="Y530" i="3"/>
  <c r="Z530" i="3"/>
  <c r="T531" i="3"/>
  <c r="U531" i="3" s="1"/>
  <c r="V531" i="3" s="1"/>
  <c r="W531" i="3"/>
  <c r="Y531" i="3"/>
  <c r="Z531" i="3"/>
  <c r="T532" i="3"/>
  <c r="U532" i="3" s="1"/>
  <c r="V532" i="3" s="1"/>
  <c r="W532" i="3"/>
  <c r="Y532" i="3"/>
  <c r="Z532" i="3"/>
  <c r="T533" i="3"/>
  <c r="U533" i="3"/>
  <c r="V533" i="3"/>
  <c r="W533" i="3"/>
  <c r="Y533" i="3"/>
  <c r="Z533" i="3"/>
  <c r="T534" i="3"/>
  <c r="U534" i="3"/>
  <c r="V534" i="3" s="1"/>
  <c r="W534" i="3"/>
  <c r="Y534" i="3"/>
  <c r="Z534" i="3"/>
  <c r="T535" i="3"/>
  <c r="U535" i="3"/>
  <c r="V535" i="3" s="1"/>
  <c r="W535" i="3"/>
  <c r="Y535" i="3"/>
  <c r="Z535" i="3"/>
  <c r="T536" i="3"/>
  <c r="U536" i="3" s="1"/>
  <c r="V536" i="3" s="1"/>
  <c r="W536" i="3"/>
  <c r="Y536" i="3"/>
  <c r="Z536" i="3"/>
  <c r="T537" i="3"/>
  <c r="U537" i="3" s="1"/>
  <c r="V537" i="3" s="1"/>
  <c r="W537" i="3"/>
  <c r="Y537" i="3"/>
  <c r="Z537" i="3"/>
  <c r="T538" i="3"/>
  <c r="U538" i="3" s="1"/>
  <c r="V538" i="3" s="1"/>
  <c r="W538" i="3"/>
  <c r="Y538" i="3"/>
  <c r="Z538" i="3"/>
  <c r="T539" i="3"/>
  <c r="U539" i="3"/>
  <c r="V539" i="3" s="1"/>
  <c r="W539" i="3"/>
  <c r="Y539" i="3"/>
  <c r="Z539" i="3"/>
  <c r="T540" i="3"/>
  <c r="U540" i="3" s="1"/>
  <c r="V540" i="3" s="1"/>
  <c r="W540" i="3"/>
  <c r="Y540" i="3"/>
  <c r="Z540" i="3"/>
  <c r="T541" i="3"/>
  <c r="U541" i="3"/>
  <c r="V541" i="3" s="1"/>
  <c r="W541" i="3"/>
  <c r="Y541" i="3"/>
  <c r="Z541" i="3"/>
  <c r="T542" i="3"/>
  <c r="U542" i="3"/>
  <c r="V542" i="3" s="1"/>
  <c r="W542" i="3"/>
  <c r="Y542" i="3"/>
  <c r="Z542" i="3"/>
  <c r="T543" i="3"/>
  <c r="U543" i="3" s="1"/>
  <c r="V543" i="3" s="1"/>
  <c r="W543" i="3"/>
  <c r="Y543" i="3"/>
  <c r="Z543" i="3"/>
  <c r="T544" i="3"/>
  <c r="U544" i="3" s="1"/>
  <c r="V544" i="3"/>
  <c r="W544" i="3"/>
  <c r="Y544" i="3"/>
  <c r="Z544" i="3"/>
  <c r="T545" i="3"/>
  <c r="U545" i="3"/>
  <c r="V545" i="3" s="1"/>
  <c r="W545" i="3"/>
  <c r="Y545" i="3"/>
  <c r="Z545" i="3"/>
  <c r="T546" i="3"/>
  <c r="U546" i="3" s="1"/>
  <c r="V546" i="3" s="1"/>
  <c r="W546" i="3"/>
  <c r="Y546" i="3"/>
  <c r="Z546" i="3"/>
  <c r="T547" i="3"/>
  <c r="U547" i="3"/>
  <c r="V547" i="3" s="1"/>
  <c r="W547" i="3"/>
  <c r="Y547" i="3"/>
  <c r="Z547" i="3"/>
  <c r="T548" i="3"/>
  <c r="U548" i="3"/>
  <c r="V548" i="3" s="1"/>
  <c r="W548" i="3"/>
  <c r="Y548" i="3"/>
  <c r="Z548" i="3"/>
  <c r="T549" i="3"/>
  <c r="U549" i="3" s="1"/>
  <c r="V549" i="3" s="1"/>
  <c r="W549" i="3"/>
  <c r="Y549" i="3"/>
  <c r="Z549" i="3"/>
  <c r="T550" i="3"/>
  <c r="U550" i="3" s="1"/>
  <c r="V550" i="3" s="1"/>
  <c r="W550" i="3"/>
  <c r="Y550" i="3"/>
  <c r="Z550" i="3"/>
  <c r="T551" i="3"/>
  <c r="U551" i="3"/>
  <c r="V551" i="3" s="1"/>
  <c r="W551" i="3"/>
  <c r="Y551" i="3"/>
  <c r="Z551" i="3"/>
  <c r="T552" i="3"/>
  <c r="U552" i="3" s="1"/>
  <c r="V552" i="3" s="1"/>
  <c r="W552" i="3"/>
  <c r="Y552" i="3"/>
  <c r="Z552" i="3"/>
  <c r="T553" i="3"/>
  <c r="U553" i="3" s="1"/>
  <c r="V553" i="3" s="1"/>
  <c r="W553" i="3"/>
  <c r="Y553" i="3"/>
  <c r="Z553" i="3"/>
  <c r="T554" i="3"/>
  <c r="U554" i="3" s="1"/>
  <c r="V554" i="3" s="1"/>
  <c r="W554" i="3"/>
  <c r="Y554" i="3"/>
  <c r="Z554" i="3"/>
  <c r="T555" i="3"/>
  <c r="U555" i="3" s="1"/>
  <c r="V555" i="3" s="1"/>
  <c r="W555" i="3"/>
  <c r="Y555" i="3"/>
  <c r="Z555" i="3"/>
  <c r="T556" i="3"/>
  <c r="U556" i="3" s="1"/>
  <c r="V556" i="3" s="1"/>
  <c r="W556" i="3"/>
  <c r="Y556" i="3"/>
  <c r="Z556" i="3"/>
  <c r="T557" i="3"/>
  <c r="U557" i="3" s="1"/>
  <c r="V557" i="3" s="1"/>
  <c r="W557" i="3"/>
  <c r="Y557" i="3"/>
  <c r="Z557" i="3"/>
  <c r="T558" i="3"/>
  <c r="U558" i="3"/>
  <c r="V558" i="3" s="1"/>
  <c r="W558" i="3"/>
  <c r="Y558" i="3"/>
  <c r="Z558" i="3"/>
  <c r="T559" i="3"/>
  <c r="U559" i="3" s="1"/>
  <c r="W559" i="3"/>
  <c r="Y559" i="3"/>
  <c r="Z559" i="3"/>
  <c r="T560" i="3"/>
  <c r="U560" i="3"/>
  <c r="V560" i="3" s="1"/>
  <c r="W560" i="3"/>
  <c r="Y560" i="3"/>
  <c r="Z560" i="3"/>
  <c r="T561" i="3"/>
  <c r="U561" i="3"/>
  <c r="V561" i="3"/>
  <c r="W561" i="3"/>
  <c r="Y561" i="3"/>
  <c r="Z561" i="3"/>
  <c r="T562" i="3"/>
  <c r="U562" i="3" s="1"/>
  <c r="V562" i="3" s="1"/>
  <c r="W562" i="3"/>
  <c r="Y562" i="3"/>
  <c r="Z562" i="3"/>
  <c r="T563" i="3"/>
  <c r="U563" i="3"/>
  <c r="V563" i="3" s="1"/>
  <c r="W563" i="3"/>
  <c r="Y563" i="3"/>
  <c r="Z563" i="3"/>
  <c r="T564" i="3"/>
  <c r="U564" i="3" s="1"/>
  <c r="V564" i="3" s="1"/>
  <c r="W564" i="3"/>
  <c r="Y564" i="3"/>
  <c r="Z564" i="3"/>
  <c r="T565" i="3"/>
  <c r="U565" i="3" s="1"/>
  <c r="V565" i="3" s="1"/>
  <c r="W565" i="3"/>
  <c r="Y565" i="3"/>
  <c r="Z565" i="3"/>
  <c r="T566" i="3"/>
  <c r="U566" i="3"/>
  <c r="V566" i="3"/>
  <c r="W566" i="3"/>
  <c r="Y566" i="3"/>
  <c r="Z566" i="3"/>
  <c r="T567" i="3"/>
  <c r="U567" i="3" s="1"/>
  <c r="V567" i="3" s="1"/>
  <c r="W567" i="3"/>
  <c r="Y567" i="3"/>
  <c r="Z567" i="3"/>
  <c r="T568" i="3"/>
  <c r="U568" i="3" s="1"/>
  <c r="V568" i="3" s="1"/>
  <c r="W568" i="3"/>
  <c r="Y568" i="3"/>
  <c r="Z568" i="3"/>
  <c r="T569" i="3"/>
  <c r="U569" i="3" s="1"/>
  <c r="W569" i="3"/>
  <c r="Y569" i="3"/>
  <c r="Z569" i="3"/>
  <c r="T570" i="3"/>
  <c r="U570" i="3" s="1"/>
  <c r="V570" i="3" s="1"/>
  <c r="W570" i="3"/>
  <c r="Y570" i="3"/>
  <c r="Z570" i="3"/>
  <c r="T571" i="3"/>
  <c r="U571" i="3" s="1"/>
  <c r="V571" i="3" s="1"/>
  <c r="W571" i="3"/>
  <c r="Y571" i="3"/>
  <c r="Z571" i="3"/>
  <c r="T572" i="3"/>
  <c r="U572" i="3" s="1"/>
  <c r="V572" i="3" s="1"/>
  <c r="W572" i="3"/>
  <c r="Y572" i="3"/>
  <c r="Z572" i="3"/>
  <c r="T573" i="3"/>
  <c r="U573" i="3" s="1"/>
  <c r="V573" i="3" s="1"/>
  <c r="W573" i="3"/>
  <c r="Y573" i="3"/>
  <c r="Z573" i="3"/>
  <c r="T574" i="3"/>
  <c r="U574" i="3" s="1"/>
  <c r="V574" i="3" s="1"/>
  <c r="W574" i="3"/>
  <c r="Y574" i="3"/>
  <c r="Z574" i="3"/>
  <c r="T575" i="3"/>
  <c r="U575" i="3"/>
  <c r="V575" i="3"/>
  <c r="W575" i="3"/>
  <c r="Y575" i="3"/>
  <c r="Z575" i="3"/>
  <c r="T576" i="3"/>
  <c r="U576" i="3" s="1"/>
  <c r="W576" i="3"/>
  <c r="Y576" i="3"/>
  <c r="Z576" i="3"/>
  <c r="T577" i="3"/>
  <c r="U577" i="3"/>
  <c r="V577" i="3"/>
  <c r="W577" i="3"/>
  <c r="Y577" i="3"/>
  <c r="Z577" i="3"/>
  <c r="T578" i="3"/>
  <c r="U578" i="3"/>
  <c r="V578" i="3" s="1"/>
  <c r="W578" i="3"/>
  <c r="Y578" i="3"/>
  <c r="Z578" i="3"/>
  <c r="T579" i="3"/>
  <c r="U579" i="3" s="1"/>
  <c r="V579" i="3" s="1"/>
  <c r="W579" i="3"/>
  <c r="Y579" i="3"/>
  <c r="Z579" i="3"/>
  <c r="T580" i="3"/>
  <c r="U580" i="3"/>
  <c r="V580" i="3"/>
  <c r="W580" i="3"/>
  <c r="Y580" i="3"/>
  <c r="Z580" i="3"/>
  <c r="T581" i="3"/>
  <c r="U581" i="3" s="1"/>
  <c r="V581" i="3" s="1"/>
  <c r="W581" i="3"/>
  <c r="Y581" i="3"/>
  <c r="Z581" i="3"/>
  <c r="T582" i="3"/>
  <c r="U582" i="3" s="1"/>
  <c r="V582" i="3" s="1"/>
  <c r="W582" i="3"/>
  <c r="Y582" i="3"/>
  <c r="Z582" i="3"/>
  <c r="T583" i="3"/>
  <c r="U583" i="3" s="1"/>
  <c r="V583" i="3" s="1"/>
  <c r="W583" i="3"/>
  <c r="Y583" i="3"/>
  <c r="Z583" i="3"/>
  <c r="T584" i="3"/>
  <c r="U584" i="3" s="1"/>
  <c r="V584" i="3" s="1"/>
  <c r="W584" i="3"/>
  <c r="Y584" i="3"/>
  <c r="Z584" i="3"/>
  <c r="T585" i="3"/>
  <c r="U585" i="3" s="1"/>
  <c r="V585" i="3" s="1"/>
  <c r="W585" i="3"/>
  <c r="Y585" i="3"/>
  <c r="Z585" i="3"/>
  <c r="T586" i="3"/>
  <c r="U586" i="3"/>
  <c r="V586" i="3" s="1"/>
  <c r="W586" i="3"/>
  <c r="Y586" i="3"/>
  <c r="Z586" i="3"/>
  <c r="T587" i="3"/>
  <c r="U587" i="3" s="1"/>
  <c r="V587" i="3"/>
  <c r="W587" i="3"/>
  <c r="Y587" i="3"/>
  <c r="Z587" i="3"/>
  <c r="T588" i="3"/>
  <c r="U588" i="3" s="1"/>
  <c r="V588" i="3" s="1"/>
  <c r="W588" i="3"/>
  <c r="Y588" i="3"/>
  <c r="Z588" i="3"/>
  <c r="T589" i="3"/>
  <c r="U589" i="3"/>
  <c r="V589" i="3"/>
  <c r="W589" i="3"/>
  <c r="Y589" i="3"/>
  <c r="Z589" i="3"/>
  <c r="T590" i="3"/>
  <c r="U590" i="3" s="1"/>
  <c r="V590" i="3" s="1"/>
  <c r="W590" i="3"/>
  <c r="Y590" i="3"/>
  <c r="Z590" i="3"/>
  <c r="T591" i="3"/>
  <c r="U591" i="3"/>
  <c r="V591" i="3" s="1"/>
  <c r="W591" i="3"/>
  <c r="Y591" i="3"/>
  <c r="Z591" i="3"/>
  <c r="T592" i="3"/>
  <c r="U592" i="3" s="1"/>
  <c r="V592" i="3" s="1"/>
  <c r="W592" i="3"/>
  <c r="Y592" i="3"/>
  <c r="Z592" i="3"/>
  <c r="T593" i="3"/>
  <c r="U593" i="3" s="1"/>
  <c r="V593" i="3" s="1"/>
  <c r="W593" i="3"/>
  <c r="Y593" i="3"/>
  <c r="Z593" i="3"/>
  <c r="T594" i="3"/>
  <c r="U594" i="3"/>
  <c r="V594" i="3"/>
  <c r="W594" i="3"/>
  <c r="Y594" i="3"/>
  <c r="Z594" i="3"/>
  <c r="T595" i="3"/>
  <c r="U595" i="3"/>
  <c r="V595" i="3" s="1"/>
  <c r="W595" i="3"/>
  <c r="Y595" i="3"/>
  <c r="Z595" i="3"/>
  <c r="T596" i="3"/>
  <c r="U596" i="3" s="1"/>
  <c r="V596" i="3" s="1"/>
  <c r="W596" i="3"/>
  <c r="Y596" i="3"/>
  <c r="Z596" i="3"/>
  <c r="T597" i="3"/>
  <c r="U597" i="3"/>
  <c r="V597" i="3" s="1"/>
  <c r="W597" i="3"/>
  <c r="Y597" i="3"/>
  <c r="Z597" i="3"/>
  <c r="T598" i="3"/>
  <c r="U598" i="3"/>
  <c r="V598" i="3" s="1"/>
  <c r="W598" i="3"/>
  <c r="Y598" i="3"/>
  <c r="Z598" i="3"/>
  <c r="T599" i="3"/>
  <c r="U599" i="3"/>
  <c r="V599" i="3" s="1"/>
  <c r="W599" i="3"/>
  <c r="Y599" i="3"/>
  <c r="Z599" i="3"/>
  <c r="T600" i="3"/>
  <c r="U600" i="3"/>
  <c r="V600" i="3" s="1"/>
  <c r="W600" i="3"/>
  <c r="Y600" i="3"/>
  <c r="Z600" i="3"/>
  <c r="T601" i="3"/>
  <c r="U601" i="3" s="1"/>
  <c r="V601" i="3" s="1"/>
  <c r="W601" i="3"/>
  <c r="Y601" i="3"/>
  <c r="Z601" i="3"/>
  <c r="T602" i="3"/>
  <c r="U602" i="3" s="1"/>
  <c r="V602" i="3" s="1"/>
  <c r="W602" i="3"/>
  <c r="Y602" i="3"/>
  <c r="Z602" i="3"/>
  <c r="T603" i="3"/>
  <c r="U603" i="3" s="1"/>
  <c r="V603" i="3" s="1"/>
  <c r="W603" i="3"/>
  <c r="Y603" i="3"/>
  <c r="Z603" i="3"/>
  <c r="T604" i="3"/>
  <c r="U604" i="3" s="1"/>
  <c r="V604" i="3" s="1"/>
  <c r="W604" i="3"/>
  <c r="Y604" i="3"/>
  <c r="Z604" i="3"/>
  <c r="T605" i="3"/>
  <c r="U605" i="3"/>
  <c r="V605" i="3"/>
  <c r="W605" i="3"/>
  <c r="Y605" i="3"/>
  <c r="Z605" i="3"/>
  <c r="T606" i="3"/>
  <c r="U606" i="3"/>
  <c r="V606" i="3" s="1"/>
  <c r="W606" i="3"/>
  <c r="Y606" i="3"/>
  <c r="Z606" i="3"/>
  <c r="T607" i="3"/>
  <c r="U607" i="3"/>
  <c r="V607" i="3" s="1"/>
  <c r="W607" i="3"/>
  <c r="Y607" i="3"/>
  <c r="Z607" i="3"/>
  <c r="T608" i="3"/>
  <c r="U608" i="3" s="1"/>
  <c r="V608" i="3" s="1"/>
  <c r="W608" i="3"/>
  <c r="Y608" i="3"/>
  <c r="Z608" i="3"/>
  <c r="T609" i="3"/>
  <c r="U609" i="3" s="1"/>
  <c r="V609" i="3" s="1"/>
  <c r="W609" i="3"/>
  <c r="Y609" i="3"/>
  <c r="Z609" i="3"/>
  <c r="T610" i="3"/>
  <c r="U610" i="3"/>
  <c r="V610" i="3" s="1"/>
  <c r="W610" i="3"/>
  <c r="Y610" i="3"/>
  <c r="Z610" i="3"/>
  <c r="T611" i="3"/>
  <c r="U611" i="3"/>
  <c r="V611" i="3" s="1"/>
  <c r="W611" i="3"/>
  <c r="Y611" i="3"/>
  <c r="Z611" i="3"/>
  <c r="T612" i="3"/>
  <c r="U612" i="3" s="1"/>
  <c r="V612" i="3" s="1"/>
  <c r="W612" i="3"/>
  <c r="Y612" i="3"/>
  <c r="Z612" i="3"/>
  <c r="T613" i="3"/>
  <c r="U613" i="3" s="1"/>
  <c r="V613" i="3" s="1"/>
  <c r="W613" i="3"/>
  <c r="Y613" i="3"/>
  <c r="Z613" i="3"/>
  <c r="T614" i="3"/>
  <c r="U614" i="3" s="1"/>
  <c r="V614" i="3" s="1"/>
  <c r="W614" i="3"/>
  <c r="Y614" i="3"/>
  <c r="Z614" i="3"/>
  <c r="T615" i="3"/>
  <c r="U615" i="3"/>
  <c r="V615" i="3" s="1"/>
  <c r="W615" i="3"/>
  <c r="Y615" i="3"/>
  <c r="Z615" i="3"/>
  <c r="T616" i="3"/>
  <c r="U616" i="3" s="1"/>
  <c r="V616" i="3" s="1"/>
  <c r="W616" i="3"/>
  <c r="Y616" i="3"/>
  <c r="Z616" i="3"/>
  <c r="T617" i="3"/>
  <c r="U617" i="3" s="1"/>
  <c r="V617" i="3" s="1"/>
  <c r="W617" i="3"/>
  <c r="Y617" i="3"/>
  <c r="Z617" i="3"/>
  <c r="T618" i="3"/>
  <c r="U618" i="3"/>
  <c r="V618" i="3" s="1"/>
  <c r="W618" i="3"/>
  <c r="Y618" i="3"/>
  <c r="Z618" i="3"/>
  <c r="T619" i="3"/>
  <c r="U619" i="3" s="1"/>
  <c r="V619" i="3" s="1"/>
  <c r="W619" i="3"/>
  <c r="Y619" i="3"/>
  <c r="Z619" i="3"/>
  <c r="T620" i="3"/>
  <c r="U620" i="3"/>
  <c r="V620" i="3" s="1"/>
  <c r="W620" i="3"/>
  <c r="Y620" i="3"/>
  <c r="Z620" i="3"/>
  <c r="T621" i="3"/>
  <c r="U621" i="3" s="1"/>
  <c r="V621" i="3" s="1"/>
  <c r="W621" i="3"/>
  <c r="Y621" i="3"/>
  <c r="Z621" i="3"/>
  <c r="T622" i="3"/>
  <c r="U622" i="3" s="1"/>
  <c r="V622" i="3" s="1"/>
  <c r="W622" i="3"/>
  <c r="Y622" i="3"/>
  <c r="Z622" i="3"/>
  <c r="T623" i="3"/>
  <c r="U623" i="3"/>
  <c r="V623" i="3"/>
  <c r="W623" i="3"/>
  <c r="Y623" i="3"/>
  <c r="Z623" i="3"/>
  <c r="T624" i="3"/>
  <c r="U624" i="3" s="1"/>
  <c r="V624" i="3" s="1"/>
  <c r="W624" i="3"/>
  <c r="Y624" i="3"/>
  <c r="Z624" i="3"/>
  <c r="T625" i="3"/>
  <c r="U625" i="3" s="1"/>
  <c r="V625" i="3" s="1"/>
  <c r="W625" i="3"/>
  <c r="Y625" i="3"/>
  <c r="Z625" i="3"/>
  <c r="T626" i="3"/>
  <c r="U626" i="3" s="1"/>
  <c r="V626" i="3" s="1"/>
  <c r="W626" i="3"/>
  <c r="Y626" i="3"/>
  <c r="Z626" i="3"/>
  <c r="T627" i="3"/>
  <c r="U627" i="3" s="1"/>
  <c r="V627" i="3" s="1"/>
  <c r="W627" i="3"/>
  <c r="Y627" i="3"/>
  <c r="Z627" i="3"/>
  <c r="T628" i="3"/>
  <c r="U628" i="3" s="1"/>
  <c r="V628" i="3" s="1"/>
  <c r="W628" i="3"/>
  <c r="Y628" i="3"/>
  <c r="Z628" i="3"/>
  <c r="T629" i="3"/>
  <c r="U629" i="3"/>
  <c r="V629" i="3" s="1"/>
  <c r="W629" i="3"/>
  <c r="Y629" i="3"/>
  <c r="Z629" i="3"/>
  <c r="T630" i="3"/>
  <c r="U630" i="3" s="1"/>
  <c r="V630" i="3" s="1"/>
  <c r="W630" i="3"/>
  <c r="Y630" i="3"/>
  <c r="Z630" i="3"/>
  <c r="T631" i="3"/>
  <c r="U631" i="3" s="1"/>
  <c r="V631" i="3" s="1"/>
  <c r="W631" i="3"/>
  <c r="Y631" i="3"/>
  <c r="Z631" i="3"/>
  <c r="T632" i="3"/>
  <c r="U632" i="3" s="1"/>
  <c r="V632" i="3" s="1"/>
  <c r="W632" i="3"/>
  <c r="Y632" i="3"/>
  <c r="Z632" i="3"/>
  <c r="T633" i="3"/>
  <c r="U633" i="3"/>
  <c r="V633" i="3" s="1"/>
  <c r="W633" i="3"/>
  <c r="Y633" i="3"/>
  <c r="Z633" i="3"/>
  <c r="T634" i="3"/>
  <c r="U634" i="3" s="1"/>
  <c r="V634" i="3" s="1"/>
  <c r="W634" i="3"/>
  <c r="Y634" i="3"/>
  <c r="Z634" i="3"/>
  <c r="T635" i="3"/>
  <c r="U635" i="3" s="1"/>
  <c r="W635" i="3"/>
  <c r="Y635" i="3"/>
  <c r="Z635" i="3"/>
  <c r="T636" i="3"/>
  <c r="U636" i="3" s="1"/>
  <c r="V636" i="3" s="1"/>
  <c r="W636" i="3"/>
  <c r="Y636" i="3"/>
  <c r="Z636" i="3"/>
  <c r="T637" i="3"/>
  <c r="U637" i="3"/>
  <c r="V637" i="3"/>
  <c r="W637" i="3"/>
  <c r="Y637" i="3"/>
  <c r="Z637" i="3"/>
  <c r="T638" i="3"/>
  <c r="U638" i="3" s="1"/>
  <c r="V638" i="3" s="1"/>
  <c r="W638" i="3"/>
  <c r="Y638" i="3"/>
  <c r="Z638" i="3"/>
  <c r="T639" i="3"/>
  <c r="U639" i="3" s="1"/>
  <c r="V639" i="3" s="1"/>
  <c r="W639" i="3"/>
  <c r="Y639" i="3"/>
  <c r="Z639" i="3"/>
  <c r="T640" i="3"/>
  <c r="U640" i="3" s="1"/>
  <c r="V640" i="3" s="1"/>
  <c r="W640" i="3"/>
  <c r="Y640" i="3"/>
  <c r="Z640" i="3"/>
  <c r="T641" i="3"/>
  <c r="U641" i="3"/>
  <c r="V641" i="3" s="1"/>
  <c r="W641" i="3"/>
  <c r="Y641" i="3"/>
  <c r="Z641" i="3"/>
  <c r="T642" i="3"/>
  <c r="U642" i="3" s="1"/>
  <c r="V642" i="3" s="1"/>
  <c r="W642" i="3"/>
  <c r="Y642" i="3"/>
  <c r="Z642" i="3"/>
  <c r="T643" i="3"/>
  <c r="U643" i="3" s="1"/>
  <c r="V643" i="3" s="1"/>
  <c r="W643" i="3"/>
  <c r="Y643" i="3"/>
  <c r="Z643" i="3"/>
  <c r="T644" i="3"/>
  <c r="U644" i="3" s="1"/>
  <c r="V644" i="3" s="1"/>
  <c r="W644" i="3"/>
  <c r="Y644" i="3"/>
  <c r="Z644" i="3"/>
  <c r="T645" i="3"/>
  <c r="U645" i="3"/>
  <c r="V645" i="3"/>
  <c r="W645" i="3"/>
  <c r="Y645" i="3"/>
  <c r="Z645" i="3"/>
  <c r="T646" i="3"/>
  <c r="U646" i="3" s="1"/>
  <c r="V646" i="3" s="1"/>
  <c r="W646" i="3"/>
  <c r="Y646" i="3"/>
  <c r="Z646" i="3"/>
  <c r="T647" i="3"/>
  <c r="U647" i="3"/>
  <c r="V647" i="3" s="1"/>
  <c r="W647" i="3"/>
  <c r="Y647" i="3"/>
  <c r="Z647" i="3"/>
  <c r="T648" i="3"/>
  <c r="U648" i="3" s="1"/>
  <c r="V648" i="3" s="1"/>
  <c r="W648" i="3"/>
  <c r="Y648" i="3"/>
  <c r="Z648" i="3"/>
  <c r="T649" i="3"/>
  <c r="U649" i="3"/>
  <c r="V649" i="3" s="1"/>
  <c r="W649" i="3"/>
  <c r="Y649" i="3"/>
  <c r="Z649" i="3"/>
  <c r="T650" i="3"/>
  <c r="U650" i="3" s="1"/>
  <c r="V650" i="3" s="1"/>
  <c r="W650" i="3"/>
  <c r="Y650" i="3"/>
  <c r="Z650" i="3"/>
  <c r="T651" i="3"/>
  <c r="U651" i="3"/>
  <c r="V651" i="3" s="1"/>
  <c r="W651" i="3"/>
  <c r="Y651" i="3"/>
  <c r="Z651" i="3"/>
  <c r="T652" i="3"/>
  <c r="U652" i="3" s="1"/>
  <c r="V652" i="3" s="1"/>
  <c r="W652" i="3"/>
  <c r="Y652" i="3"/>
  <c r="Z652" i="3"/>
  <c r="T653" i="3"/>
  <c r="U653" i="3"/>
  <c r="V653" i="3" s="1"/>
  <c r="W653" i="3"/>
  <c r="Y653" i="3"/>
  <c r="Z653" i="3"/>
  <c r="T654" i="3"/>
  <c r="U654" i="3" s="1"/>
  <c r="V654" i="3" s="1"/>
  <c r="W654" i="3"/>
  <c r="Y654" i="3"/>
  <c r="Z654" i="3"/>
  <c r="T655" i="3"/>
  <c r="U655" i="3"/>
  <c r="V655" i="3" s="1"/>
  <c r="W655" i="3"/>
  <c r="Y655" i="3"/>
  <c r="Z655" i="3"/>
  <c r="T656" i="3"/>
  <c r="U656" i="3" s="1"/>
  <c r="V656" i="3" s="1"/>
  <c r="W656" i="3"/>
  <c r="Y656" i="3"/>
  <c r="Z656" i="3"/>
  <c r="T657" i="3"/>
  <c r="U657" i="3" s="1"/>
  <c r="V657" i="3"/>
  <c r="W657" i="3"/>
  <c r="Y657" i="3"/>
  <c r="Z657" i="3"/>
  <c r="T658" i="3"/>
  <c r="U658" i="3" s="1"/>
  <c r="V658" i="3" s="1"/>
  <c r="W658" i="3"/>
  <c r="Y658" i="3"/>
  <c r="Z658" i="3"/>
  <c r="T659" i="3"/>
  <c r="U659" i="3"/>
  <c r="V659" i="3" s="1"/>
  <c r="W659" i="3"/>
  <c r="Y659" i="3"/>
  <c r="Z659" i="3"/>
  <c r="T660" i="3"/>
  <c r="U660" i="3" s="1"/>
  <c r="V660" i="3" s="1"/>
  <c r="W660" i="3"/>
  <c r="Y660" i="3"/>
  <c r="Z660" i="3"/>
  <c r="T661" i="3"/>
  <c r="U661" i="3"/>
  <c r="V661" i="3" s="1"/>
  <c r="W661" i="3"/>
  <c r="Y661" i="3"/>
  <c r="Z661" i="3"/>
  <c r="T662" i="3"/>
  <c r="U662" i="3" s="1"/>
  <c r="V662" i="3" s="1"/>
  <c r="W662" i="3"/>
  <c r="Y662" i="3"/>
  <c r="Z662" i="3"/>
  <c r="T663" i="3"/>
  <c r="U663" i="3" s="1"/>
  <c r="V663" i="3" s="1"/>
  <c r="W663" i="3"/>
  <c r="Y663" i="3"/>
  <c r="Z663" i="3"/>
  <c r="T664" i="3"/>
  <c r="U664" i="3" s="1"/>
  <c r="V664" i="3" s="1"/>
  <c r="W664" i="3"/>
  <c r="Y664" i="3"/>
  <c r="Z664" i="3"/>
  <c r="T665" i="3"/>
  <c r="U665" i="3"/>
  <c r="V665" i="3" s="1"/>
  <c r="W665" i="3"/>
  <c r="Y665" i="3"/>
  <c r="Z665" i="3"/>
  <c r="T666" i="3"/>
  <c r="U666" i="3" s="1"/>
  <c r="V666" i="3" s="1"/>
  <c r="W666" i="3"/>
  <c r="Y666" i="3"/>
  <c r="Z666" i="3"/>
  <c r="T667" i="3"/>
  <c r="U667" i="3" s="1"/>
  <c r="V667" i="3" s="1"/>
  <c r="W667" i="3"/>
  <c r="Y667" i="3"/>
  <c r="Z667" i="3"/>
  <c r="T668" i="3"/>
  <c r="U668" i="3" s="1"/>
  <c r="V668" i="3" s="1"/>
  <c r="W668" i="3"/>
  <c r="Y668" i="3"/>
  <c r="Z668" i="3"/>
  <c r="T669" i="3"/>
  <c r="U669" i="3"/>
  <c r="V669" i="3" s="1"/>
  <c r="W669" i="3"/>
  <c r="Y669" i="3"/>
  <c r="Z669" i="3"/>
  <c r="T670" i="3"/>
  <c r="U670" i="3" s="1"/>
  <c r="V670" i="3" s="1"/>
  <c r="W670" i="3"/>
  <c r="Y670" i="3"/>
  <c r="Z670" i="3"/>
  <c r="T671" i="3"/>
  <c r="U671" i="3" s="1"/>
  <c r="V671" i="3" s="1"/>
  <c r="W671" i="3"/>
  <c r="Y671" i="3"/>
  <c r="Z671" i="3"/>
  <c r="T672" i="3"/>
  <c r="U672" i="3" s="1"/>
  <c r="V672" i="3" s="1"/>
  <c r="W672" i="3"/>
  <c r="Y672" i="3"/>
  <c r="Z672" i="3"/>
  <c r="T673" i="3"/>
  <c r="U673" i="3"/>
  <c r="X672" i="3" s="1"/>
  <c r="V673" i="3"/>
  <c r="W673" i="3"/>
  <c r="Y673" i="3"/>
  <c r="Z673" i="3"/>
  <c r="T674" i="3"/>
  <c r="U674" i="3" s="1"/>
  <c r="V674" i="3" s="1"/>
  <c r="W674" i="3"/>
  <c r="Y674" i="3"/>
  <c r="Z674" i="3"/>
  <c r="T675" i="3"/>
  <c r="U675" i="3" s="1"/>
  <c r="V675" i="3" s="1"/>
  <c r="W675" i="3"/>
  <c r="Y675" i="3"/>
  <c r="Z675" i="3"/>
  <c r="T676" i="3"/>
  <c r="U676" i="3" s="1"/>
  <c r="V676" i="3" s="1"/>
  <c r="W676" i="3"/>
  <c r="Y676" i="3"/>
  <c r="Z676" i="3"/>
  <c r="T677" i="3"/>
  <c r="U677" i="3" s="1"/>
  <c r="W677" i="3"/>
  <c r="Y677" i="3"/>
  <c r="Z677" i="3"/>
  <c r="T678" i="3"/>
  <c r="U678" i="3" s="1"/>
  <c r="V678" i="3" s="1"/>
  <c r="W678" i="3"/>
  <c r="Y678" i="3"/>
  <c r="Z678" i="3"/>
  <c r="T679" i="3"/>
  <c r="U679" i="3" s="1"/>
  <c r="V679" i="3" s="1"/>
  <c r="W679" i="3"/>
  <c r="Y679" i="3"/>
  <c r="Z679" i="3"/>
  <c r="T680" i="3"/>
  <c r="U680" i="3" s="1"/>
  <c r="V680" i="3" s="1"/>
  <c r="W680" i="3"/>
  <c r="Y680" i="3"/>
  <c r="Z680" i="3"/>
  <c r="T681" i="3"/>
  <c r="U681" i="3" s="1"/>
  <c r="V681" i="3" s="1"/>
  <c r="W681" i="3"/>
  <c r="Y681" i="3"/>
  <c r="Z681" i="3"/>
  <c r="T682" i="3"/>
  <c r="U682" i="3" s="1"/>
  <c r="V682" i="3" s="1"/>
  <c r="W682" i="3"/>
  <c r="Y682" i="3"/>
  <c r="Z682" i="3"/>
  <c r="T683" i="3"/>
  <c r="U683" i="3" s="1"/>
  <c r="V683" i="3" s="1"/>
  <c r="W683" i="3"/>
  <c r="Y683" i="3"/>
  <c r="Z683" i="3"/>
  <c r="T684" i="3"/>
  <c r="U684" i="3" s="1"/>
  <c r="V684" i="3" s="1"/>
  <c r="W684" i="3"/>
  <c r="Y684" i="3"/>
  <c r="Z684" i="3"/>
  <c r="T685" i="3"/>
  <c r="U685" i="3"/>
  <c r="V685" i="3" s="1"/>
  <c r="W685" i="3"/>
  <c r="Y685" i="3"/>
  <c r="Z685" i="3"/>
  <c r="T686" i="3"/>
  <c r="U686" i="3" s="1"/>
  <c r="V686" i="3" s="1"/>
  <c r="W686" i="3"/>
  <c r="Y686" i="3"/>
  <c r="Z686" i="3"/>
  <c r="T687" i="3"/>
  <c r="U687" i="3" s="1"/>
  <c r="V687" i="3" s="1"/>
  <c r="W687" i="3"/>
  <c r="Y687" i="3"/>
  <c r="Z687" i="3"/>
  <c r="T688" i="3"/>
  <c r="U688" i="3" s="1"/>
  <c r="V688" i="3" s="1"/>
  <c r="W688" i="3"/>
  <c r="Y688" i="3"/>
  <c r="Z688" i="3"/>
  <c r="T689" i="3"/>
  <c r="U689" i="3" s="1"/>
  <c r="V689" i="3" s="1"/>
  <c r="W689" i="3"/>
  <c r="Y689" i="3"/>
  <c r="Z689" i="3"/>
  <c r="T690" i="3"/>
  <c r="U690" i="3" s="1"/>
  <c r="V690" i="3" s="1"/>
  <c r="W690" i="3"/>
  <c r="Y690" i="3"/>
  <c r="Z690" i="3"/>
  <c r="T691" i="3"/>
  <c r="U691" i="3"/>
  <c r="V691" i="3" s="1"/>
  <c r="W691" i="3"/>
  <c r="Y691" i="3"/>
  <c r="Z691" i="3"/>
  <c r="T692" i="3"/>
  <c r="U692" i="3" s="1"/>
  <c r="V692" i="3" s="1"/>
  <c r="W692" i="3"/>
  <c r="Y692" i="3"/>
  <c r="Z692" i="3"/>
  <c r="T693" i="3"/>
  <c r="U693" i="3"/>
  <c r="V693" i="3"/>
  <c r="W693" i="3"/>
  <c r="Y693" i="3"/>
  <c r="Z693" i="3"/>
  <c r="T694" i="3"/>
  <c r="U694" i="3" s="1"/>
  <c r="V694" i="3" s="1"/>
  <c r="W694" i="3"/>
  <c r="Y694" i="3"/>
  <c r="Z694" i="3"/>
  <c r="T695" i="3"/>
  <c r="U695" i="3"/>
  <c r="V695" i="3" s="1"/>
  <c r="W695" i="3"/>
  <c r="Y695" i="3"/>
  <c r="Z695" i="3"/>
  <c r="T696" i="3"/>
  <c r="U696" i="3" s="1"/>
  <c r="V696" i="3" s="1"/>
  <c r="W696" i="3"/>
  <c r="Y696" i="3"/>
  <c r="Z696" i="3"/>
  <c r="T697" i="3"/>
  <c r="U697" i="3" s="1"/>
  <c r="V697" i="3" s="1"/>
  <c r="W697" i="3"/>
  <c r="Y697" i="3"/>
  <c r="Z697" i="3"/>
  <c r="T698" i="3"/>
  <c r="U698" i="3" s="1"/>
  <c r="V698" i="3" s="1"/>
  <c r="W698" i="3"/>
  <c r="Y698" i="3"/>
  <c r="Z698" i="3"/>
  <c r="T699" i="3"/>
  <c r="U699" i="3" s="1"/>
  <c r="W699" i="3"/>
  <c r="Y699" i="3"/>
  <c r="Z699" i="3"/>
  <c r="T700" i="3"/>
  <c r="U700" i="3" s="1"/>
  <c r="V700" i="3" s="1"/>
  <c r="W700" i="3"/>
  <c r="Y700" i="3"/>
  <c r="Z700" i="3"/>
  <c r="T701" i="3"/>
  <c r="U701" i="3" s="1"/>
  <c r="V701" i="3" s="1"/>
  <c r="W701" i="3"/>
  <c r="Y701" i="3"/>
  <c r="Z701" i="3"/>
  <c r="T702" i="3"/>
  <c r="U702" i="3" s="1"/>
  <c r="V702" i="3" s="1"/>
  <c r="W702" i="3"/>
  <c r="Y702" i="3"/>
  <c r="Z702" i="3"/>
  <c r="T703" i="3"/>
  <c r="U703" i="3" s="1"/>
  <c r="V703" i="3" s="1"/>
  <c r="W703" i="3"/>
  <c r="Y703" i="3"/>
  <c r="Z703" i="3"/>
  <c r="T704" i="3"/>
  <c r="U704" i="3" s="1"/>
  <c r="V704" i="3" s="1"/>
  <c r="W704" i="3"/>
  <c r="Y704" i="3"/>
  <c r="Z704" i="3"/>
  <c r="T705" i="3"/>
  <c r="U705" i="3" s="1"/>
  <c r="V705" i="3" s="1"/>
  <c r="W705" i="3"/>
  <c r="Y705" i="3"/>
  <c r="Z705" i="3"/>
  <c r="T706" i="3"/>
  <c r="U706" i="3" s="1"/>
  <c r="V706" i="3" s="1"/>
  <c r="W706" i="3"/>
  <c r="Y706" i="3"/>
  <c r="Z706" i="3"/>
  <c r="T707" i="3"/>
  <c r="U707" i="3"/>
  <c r="V707" i="3"/>
  <c r="W707" i="3"/>
  <c r="Y707" i="3"/>
  <c r="Z707" i="3"/>
  <c r="T708" i="3"/>
  <c r="U708" i="3" s="1"/>
  <c r="V708" i="3" s="1"/>
  <c r="W708" i="3"/>
  <c r="Y708" i="3"/>
  <c r="Z708" i="3"/>
  <c r="T709" i="3"/>
  <c r="U709" i="3"/>
  <c r="X709" i="3" s="1"/>
  <c r="W709" i="3"/>
  <c r="Y709" i="3"/>
  <c r="Z709" i="3"/>
  <c r="T710" i="3"/>
  <c r="U710" i="3" s="1"/>
  <c r="V710" i="3" s="1"/>
  <c r="W710" i="3"/>
  <c r="Y710" i="3"/>
  <c r="Z710" i="3"/>
  <c r="T711" i="3"/>
  <c r="U711" i="3" s="1"/>
  <c r="W711" i="3"/>
  <c r="Y711" i="3"/>
  <c r="Z711" i="3"/>
  <c r="T712" i="3"/>
  <c r="U712" i="3" s="1"/>
  <c r="V712" i="3" s="1"/>
  <c r="W712" i="3"/>
  <c r="Y712" i="3"/>
  <c r="Z712" i="3"/>
  <c r="T713" i="3"/>
  <c r="U713" i="3"/>
  <c r="W713" i="3"/>
  <c r="Y713" i="3"/>
  <c r="Z713" i="3"/>
  <c r="T714" i="3"/>
  <c r="U714" i="3" s="1"/>
  <c r="V714" i="3" s="1"/>
  <c r="W714" i="3"/>
  <c r="Y714" i="3"/>
  <c r="Z714" i="3"/>
  <c r="T715" i="3"/>
  <c r="U715" i="3" s="1"/>
  <c r="V715" i="3" s="1"/>
  <c r="W715" i="3"/>
  <c r="Y715" i="3"/>
  <c r="Z715" i="3"/>
  <c r="T716" i="3"/>
  <c r="U716" i="3" s="1"/>
  <c r="V716" i="3" s="1"/>
  <c r="W716" i="3"/>
  <c r="Y716" i="3"/>
  <c r="Z716" i="3"/>
  <c r="T717" i="3"/>
  <c r="U717" i="3" s="1"/>
  <c r="V717" i="3" s="1"/>
  <c r="W717" i="3"/>
  <c r="Y717" i="3"/>
  <c r="Z717" i="3"/>
  <c r="T718" i="3"/>
  <c r="U718" i="3" s="1"/>
  <c r="W718" i="3"/>
  <c r="Y718" i="3"/>
  <c r="Z718" i="3"/>
  <c r="T719" i="3"/>
  <c r="U719" i="3" s="1"/>
  <c r="V719" i="3" s="1"/>
  <c r="W719" i="3"/>
  <c r="Y719" i="3"/>
  <c r="Z719" i="3"/>
  <c r="T720" i="3"/>
  <c r="U720" i="3" s="1"/>
  <c r="V720" i="3" s="1"/>
  <c r="W720" i="3"/>
  <c r="Y720" i="3"/>
  <c r="Z720" i="3"/>
  <c r="T721" i="3"/>
  <c r="U721" i="3" s="1"/>
  <c r="V721" i="3" s="1"/>
  <c r="W721" i="3"/>
  <c r="Y721" i="3"/>
  <c r="Z721" i="3"/>
  <c r="T722" i="3"/>
  <c r="U722" i="3" s="1"/>
  <c r="V722" i="3" s="1"/>
  <c r="W722" i="3"/>
  <c r="Y722" i="3"/>
  <c r="Z722" i="3"/>
  <c r="T723" i="3"/>
  <c r="U723" i="3"/>
  <c r="X723" i="3" s="1"/>
  <c r="V723" i="3"/>
  <c r="W723" i="3"/>
  <c r="Y723" i="3"/>
  <c r="Z723" i="3"/>
  <c r="T724" i="3"/>
  <c r="U724" i="3" s="1"/>
  <c r="W724" i="3"/>
  <c r="Y724" i="3"/>
  <c r="Z724" i="3"/>
  <c r="T725" i="3"/>
  <c r="U725" i="3"/>
  <c r="W725" i="3"/>
  <c r="Y725" i="3"/>
  <c r="Z725" i="3"/>
  <c r="T726" i="3"/>
  <c r="U726" i="3" s="1"/>
  <c r="V726" i="3" s="1"/>
  <c r="W726" i="3"/>
  <c r="Y726" i="3"/>
  <c r="Z726" i="3"/>
  <c r="T727" i="3"/>
  <c r="U727" i="3"/>
  <c r="W727" i="3"/>
  <c r="Y727" i="3"/>
  <c r="Z727" i="3"/>
  <c r="T728" i="3"/>
  <c r="U728" i="3" s="1"/>
  <c r="V728" i="3" s="1"/>
  <c r="W728" i="3"/>
  <c r="Y728" i="3"/>
  <c r="Z728" i="3"/>
  <c r="T729" i="3"/>
  <c r="U729" i="3"/>
  <c r="V729" i="3" s="1"/>
  <c r="W729" i="3"/>
  <c r="Y729" i="3"/>
  <c r="Z729" i="3"/>
  <c r="T730" i="3"/>
  <c r="U730" i="3" s="1"/>
  <c r="V730" i="3" s="1"/>
  <c r="W730" i="3"/>
  <c r="Y730" i="3"/>
  <c r="Z730" i="3"/>
  <c r="T731" i="3"/>
  <c r="U731" i="3"/>
  <c r="V731" i="3"/>
  <c r="W731" i="3"/>
  <c r="Y731" i="3"/>
  <c r="Z731" i="3"/>
  <c r="T732" i="3"/>
  <c r="U732" i="3" s="1"/>
  <c r="V732" i="3" s="1"/>
  <c r="W732" i="3"/>
  <c r="Y732" i="3"/>
  <c r="Z732" i="3"/>
  <c r="T733" i="3"/>
  <c r="U733" i="3"/>
  <c r="V733" i="3" s="1"/>
  <c r="W733" i="3"/>
  <c r="Y733" i="3"/>
  <c r="Z733" i="3"/>
  <c r="T734" i="3"/>
  <c r="U734" i="3" s="1"/>
  <c r="V734" i="3" s="1"/>
  <c r="W734" i="3"/>
  <c r="Y734" i="3"/>
  <c r="Z734" i="3"/>
  <c r="T735" i="3"/>
  <c r="U735" i="3" s="1"/>
  <c r="V735" i="3" s="1"/>
  <c r="W735" i="3"/>
  <c r="Y735" i="3"/>
  <c r="Z735" i="3"/>
  <c r="T736" i="3"/>
  <c r="U736" i="3" s="1"/>
  <c r="V736" i="3" s="1"/>
  <c r="W736" i="3"/>
  <c r="Y736" i="3"/>
  <c r="Z736" i="3"/>
  <c r="T737" i="3"/>
  <c r="U737" i="3" s="1"/>
  <c r="V737" i="3" s="1"/>
  <c r="W737" i="3"/>
  <c r="Y737" i="3"/>
  <c r="Z737" i="3"/>
  <c r="T738" i="3"/>
  <c r="U738" i="3" s="1"/>
  <c r="V738" i="3" s="1"/>
  <c r="W738" i="3"/>
  <c r="Y738" i="3"/>
  <c r="Z738" i="3"/>
  <c r="T739" i="3"/>
  <c r="U739" i="3"/>
  <c r="V739" i="3" s="1"/>
  <c r="W739" i="3"/>
  <c r="Y739" i="3"/>
  <c r="Z739" i="3"/>
  <c r="T740" i="3"/>
  <c r="U740" i="3" s="1"/>
  <c r="V740" i="3" s="1"/>
  <c r="W740" i="3"/>
  <c r="Y740" i="3"/>
  <c r="Z740" i="3"/>
  <c r="T741" i="3"/>
  <c r="U741" i="3" s="1"/>
  <c r="V741" i="3" s="1"/>
  <c r="W741" i="3"/>
  <c r="Y741" i="3"/>
  <c r="Z741" i="3"/>
  <c r="T742" i="3"/>
  <c r="U742" i="3" s="1"/>
  <c r="V742" i="3" s="1"/>
  <c r="W742" i="3"/>
  <c r="Y742" i="3"/>
  <c r="Z742" i="3"/>
  <c r="T743" i="3"/>
  <c r="U743" i="3" s="1"/>
  <c r="V743" i="3" s="1"/>
  <c r="W743" i="3"/>
  <c r="Y743" i="3"/>
  <c r="Z743" i="3"/>
  <c r="T744" i="3"/>
  <c r="U744" i="3" s="1"/>
  <c r="V744" i="3" s="1"/>
  <c r="W744" i="3"/>
  <c r="Y744" i="3"/>
  <c r="Z744" i="3"/>
  <c r="T745" i="3"/>
  <c r="U745" i="3" s="1"/>
  <c r="V745" i="3" s="1"/>
  <c r="W745" i="3"/>
  <c r="Y745" i="3"/>
  <c r="Z745" i="3"/>
  <c r="T746" i="3"/>
  <c r="U746" i="3" s="1"/>
  <c r="V746" i="3" s="1"/>
  <c r="W746" i="3"/>
  <c r="Y746" i="3"/>
  <c r="Z746" i="3"/>
  <c r="T747" i="3"/>
  <c r="U747" i="3" s="1"/>
  <c r="V747" i="3" s="1"/>
  <c r="W747" i="3"/>
  <c r="Y747" i="3"/>
  <c r="Z747" i="3"/>
  <c r="T748" i="3"/>
  <c r="U748" i="3" s="1"/>
  <c r="V748" i="3" s="1"/>
  <c r="W748" i="3"/>
  <c r="Y748" i="3"/>
  <c r="Z748" i="3"/>
  <c r="T749" i="3"/>
  <c r="U749" i="3" s="1"/>
  <c r="V749" i="3" s="1"/>
  <c r="W749" i="3"/>
  <c r="Y749" i="3"/>
  <c r="Z749" i="3"/>
  <c r="T750" i="3"/>
  <c r="U750" i="3" s="1"/>
  <c r="V750" i="3" s="1"/>
  <c r="W750" i="3"/>
  <c r="Y750" i="3"/>
  <c r="Z750" i="3"/>
  <c r="T751" i="3"/>
  <c r="U751" i="3" s="1"/>
  <c r="V751" i="3" s="1"/>
  <c r="W751" i="3"/>
  <c r="Y751" i="3"/>
  <c r="Z751" i="3"/>
  <c r="T752" i="3"/>
  <c r="U752" i="3" s="1"/>
  <c r="V752" i="3" s="1"/>
  <c r="W752" i="3"/>
  <c r="Y752" i="3"/>
  <c r="Z752" i="3"/>
  <c r="T753" i="3"/>
  <c r="U753" i="3" s="1"/>
  <c r="V753" i="3" s="1"/>
  <c r="W753" i="3"/>
  <c r="Y753" i="3"/>
  <c r="Z753" i="3"/>
  <c r="T754" i="3"/>
  <c r="U754" i="3" s="1"/>
  <c r="V754" i="3" s="1"/>
  <c r="W754" i="3"/>
  <c r="Y754" i="3"/>
  <c r="Z754" i="3"/>
  <c r="T755" i="3"/>
  <c r="U755" i="3" s="1"/>
  <c r="V755" i="3" s="1"/>
  <c r="W755" i="3"/>
  <c r="Y755" i="3"/>
  <c r="Z755" i="3"/>
  <c r="T756" i="3"/>
  <c r="U756" i="3" s="1"/>
  <c r="V756" i="3" s="1"/>
  <c r="W756" i="3"/>
  <c r="Y756" i="3"/>
  <c r="Z756" i="3"/>
  <c r="T757" i="3"/>
  <c r="U757" i="3" s="1"/>
  <c r="V757" i="3" s="1"/>
  <c r="W757" i="3"/>
  <c r="Y757" i="3"/>
  <c r="Z757" i="3"/>
  <c r="T758" i="3"/>
  <c r="U758" i="3" s="1"/>
  <c r="V758" i="3" s="1"/>
  <c r="W758" i="3"/>
  <c r="Y758" i="3"/>
  <c r="Z758" i="3"/>
  <c r="T759" i="3"/>
  <c r="U759" i="3"/>
  <c r="V759" i="3" s="1"/>
  <c r="W759" i="3"/>
  <c r="Y759" i="3"/>
  <c r="Z759" i="3"/>
  <c r="T760" i="3"/>
  <c r="U760" i="3" s="1"/>
  <c r="V760" i="3" s="1"/>
  <c r="W760" i="3"/>
  <c r="Y760" i="3"/>
  <c r="Z760" i="3"/>
  <c r="T761" i="3"/>
  <c r="U761" i="3" s="1"/>
  <c r="V761" i="3" s="1"/>
  <c r="W761" i="3"/>
  <c r="Y761" i="3"/>
  <c r="Z761" i="3"/>
  <c r="T762" i="3"/>
  <c r="U762" i="3" s="1"/>
  <c r="V762" i="3" s="1"/>
  <c r="W762" i="3"/>
  <c r="Y762" i="3"/>
  <c r="Z762" i="3"/>
  <c r="T763" i="3"/>
  <c r="U763" i="3" s="1"/>
  <c r="V763" i="3" s="1"/>
  <c r="W763" i="3"/>
  <c r="Y763" i="3"/>
  <c r="Z763" i="3"/>
  <c r="T764" i="3"/>
  <c r="U764" i="3" s="1"/>
  <c r="V764" i="3" s="1"/>
  <c r="W764" i="3"/>
  <c r="Y764" i="3"/>
  <c r="Z764" i="3"/>
  <c r="T765" i="3"/>
  <c r="U765" i="3"/>
  <c r="V765" i="3"/>
  <c r="W765" i="3"/>
  <c r="Y765" i="3"/>
  <c r="Z765" i="3"/>
  <c r="T766" i="3"/>
  <c r="U766" i="3" s="1"/>
  <c r="V766" i="3" s="1"/>
  <c r="W766" i="3"/>
  <c r="Y766" i="3"/>
  <c r="Z766" i="3"/>
  <c r="T767" i="3"/>
  <c r="U767" i="3" s="1"/>
  <c r="V767" i="3" s="1"/>
  <c r="W767" i="3"/>
  <c r="Y767" i="3"/>
  <c r="Z767" i="3"/>
  <c r="T768" i="3"/>
  <c r="U768" i="3" s="1"/>
  <c r="V768" i="3" s="1"/>
  <c r="W768" i="3"/>
  <c r="Y768" i="3"/>
  <c r="Z768" i="3"/>
  <c r="T769" i="3"/>
  <c r="U769" i="3"/>
  <c r="V769" i="3"/>
  <c r="W769" i="3"/>
  <c r="Y769" i="3"/>
  <c r="Z769" i="3"/>
  <c r="T770" i="3"/>
  <c r="U770" i="3" s="1"/>
  <c r="V770" i="3" s="1"/>
  <c r="W770" i="3"/>
  <c r="Y770" i="3"/>
  <c r="Z770" i="3"/>
  <c r="T771" i="3"/>
  <c r="U771" i="3"/>
  <c r="V771" i="3" s="1"/>
  <c r="W771" i="3"/>
  <c r="Y771" i="3"/>
  <c r="Z771" i="3"/>
  <c r="T772" i="3"/>
  <c r="U772" i="3" s="1"/>
  <c r="V772" i="3" s="1"/>
  <c r="W772" i="3"/>
  <c r="Y772" i="3"/>
  <c r="Z772" i="3"/>
  <c r="T773" i="3"/>
  <c r="U773" i="3" s="1"/>
  <c r="V773" i="3" s="1"/>
  <c r="W773" i="3"/>
  <c r="Y773" i="3"/>
  <c r="Z773" i="3"/>
  <c r="T774" i="3"/>
  <c r="U774" i="3" s="1"/>
  <c r="V774" i="3" s="1"/>
  <c r="W774" i="3"/>
  <c r="Y774" i="3"/>
  <c r="Z774" i="3"/>
  <c r="T775" i="3"/>
  <c r="U775" i="3" s="1"/>
  <c r="V775" i="3" s="1"/>
  <c r="W775" i="3"/>
  <c r="Y775" i="3"/>
  <c r="Z775" i="3"/>
  <c r="T776" i="3"/>
  <c r="U776" i="3" s="1"/>
  <c r="V776" i="3" s="1"/>
  <c r="W776" i="3"/>
  <c r="Y776" i="3"/>
  <c r="Z776" i="3"/>
  <c r="T777" i="3"/>
  <c r="U777" i="3"/>
  <c r="V777" i="3"/>
  <c r="W777" i="3"/>
  <c r="Y777" i="3"/>
  <c r="Z777" i="3"/>
  <c r="T778" i="3"/>
  <c r="U778" i="3" s="1"/>
  <c r="V778" i="3" s="1"/>
  <c r="W778" i="3"/>
  <c r="Y778" i="3"/>
  <c r="Z778" i="3"/>
  <c r="T779" i="3"/>
  <c r="U779" i="3" s="1"/>
  <c r="V779" i="3" s="1"/>
  <c r="W779" i="3"/>
  <c r="Y779" i="3"/>
  <c r="Z779" i="3"/>
  <c r="T780" i="3"/>
  <c r="U780" i="3" s="1"/>
  <c r="V780" i="3" s="1"/>
  <c r="W780" i="3"/>
  <c r="Y780" i="3"/>
  <c r="Z780" i="3"/>
  <c r="T781" i="3"/>
  <c r="U781" i="3" s="1"/>
  <c r="V781" i="3" s="1"/>
  <c r="W781" i="3"/>
  <c r="Y781" i="3"/>
  <c r="Z781" i="3"/>
  <c r="T782" i="3"/>
  <c r="U782" i="3" s="1"/>
  <c r="V782" i="3" s="1"/>
  <c r="W782" i="3"/>
  <c r="Y782" i="3"/>
  <c r="Z782" i="3"/>
  <c r="T783" i="3"/>
  <c r="U783" i="3"/>
  <c r="V783" i="3"/>
  <c r="W783" i="3"/>
  <c r="Y783" i="3"/>
  <c r="Z783" i="3"/>
  <c r="T784" i="3"/>
  <c r="U784" i="3" s="1"/>
  <c r="V784" i="3" s="1"/>
  <c r="W784" i="3"/>
  <c r="Y784" i="3"/>
  <c r="Z784" i="3"/>
  <c r="T785" i="3"/>
  <c r="U785" i="3" s="1"/>
  <c r="V785" i="3" s="1"/>
  <c r="W785" i="3"/>
  <c r="Y785" i="3"/>
  <c r="Z785" i="3"/>
  <c r="T786" i="3"/>
  <c r="U786" i="3" s="1"/>
  <c r="V786" i="3" s="1"/>
  <c r="W786" i="3"/>
  <c r="Y786" i="3"/>
  <c r="Z786" i="3"/>
  <c r="T787" i="3"/>
  <c r="U787" i="3"/>
  <c r="V787" i="3" s="1"/>
  <c r="W787" i="3"/>
  <c r="Y787" i="3"/>
  <c r="Z787" i="3"/>
  <c r="T788" i="3"/>
  <c r="U788" i="3" s="1"/>
  <c r="W788" i="3"/>
  <c r="Y788" i="3"/>
  <c r="Z788" i="3"/>
  <c r="T789" i="3"/>
  <c r="U789" i="3"/>
  <c r="V789" i="3" s="1"/>
  <c r="W789" i="3"/>
  <c r="Y789" i="3"/>
  <c r="Z789" i="3"/>
  <c r="T790" i="3"/>
  <c r="U790" i="3" s="1"/>
  <c r="V790" i="3" s="1"/>
  <c r="W790" i="3"/>
  <c r="Y790" i="3"/>
  <c r="Z790" i="3"/>
  <c r="T791" i="3"/>
  <c r="U791" i="3" s="1"/>
  <c r="V791" i="3" s="1"/>
  <c r="W791" i="3"/>
  <c r="Y791" i="3"/>
  <c r="Z791" i="3"/>
  <c r="T792" i="3"/>
  <c r="U792" i="3" s="1"/>
  <c r="V792" i="3" s="1"/>
  <c r="W792" i="3"/>
  <c r="Y792" i="3"/>
  <c r="Z792" i="3"/>
  <c r="T793" i="3"/>
  <c r="U793" i="3" s="1"/>
  <c r="V793" i="3" s="1"/>
  <c r="W793" i="3"/>
  <c r="Y793" i="3"/>
  <c r="Z793" i="3"/>
  <c r="T794" i="3"/>
  <c r="U794" i="3" s="1"/>
  <c r="V794" i="3" s="1"/>
  <c r="W794" i="3"/>
  <c r="Y794" i="3"/>
  <c r="Z794" i="3"/>
  <c r="T795" i="3"/>
  <c r="U795" i="3"/>
  <c r="W795" i="3"/>
  <c r="Y795" i="3"/>
  <c r="Z795" i="3"/>
  <c r="T796" i="3"/>
  <c r="U796" i="3" s="1"/>
  <c r="V796" i="3" s="1"/>
  <c r="W796" i="3"/>
  <c r="Y796" i="3"/>
  <c r="Z796" i="3"/>
  <c r="T797" i="3"/>
  <c r="U797" i="3"/>
  <c r="V797" i="3" s="1"/>
  <c r="W797" i="3"/>
  <c r="Y797" i="3"/>
  <c r="Z797" i="3"/>
  <c r="T798" i="3"/>
  <c r="U798" i="3" s="1"/>
  <c r="V798" i="3" s="1"/>
  <c r="W798" i="3"/>
  <c r="Y798" i="3"/>
  <c r="Z798" i="3"/>
  <c r="T799" i="3"/>
  <c r="U799" i="3"/>
  <c r="V799" i="3"/>
  <c r="W799" i="3"/>
  <c r="Y799" i="3"/>
  <c r="Z799" i="3"/>
  <c r="T800" i="3"/>
  <c r="U800" i="3" s="1"/>
  <c r="V800" i="3" s="1"/>
  <c r="W800" i="3"/>
  <c r="Y800" i="3"/>
  <c r="Z800" i="3"/>
  <c r="T801" i="3"/>
  <c r="U801" i="3"/>
  <c r="V801" i="3" s="1"/>
  <c r="W801" i="3"/>
  <c r="Y801" i="3"/>
  <c r="Z801" i="3"/>
  <c r="T802" i="3"/>
  <c r="U802" i="3" s="1"/>
  <c r="V802" i="3" s="1"/>
  <c r="W802" i="3"/>
  <c r="Y802" i="3"/>
  <c r="Z802" i="3"/>
  <c r="T803" i="3"/>
  <c r="U803" i="3"/>
  <c r="V803" i="3" s="1"/>
  <c r="W803" i="3"/>
  <c r="Y803" i="3"/>
  <c r="Z803" i="3"/>
  <c r="T804" i="3"/>
  <c r="U804" i="3" s="1"/>
  <c r="V804" i="3" s="1"/>
  <c r="W804" i="3"/>
  <c r="Y804" i="3"/>
  <c r="Z804" i="3"/>
  <c r="T805" i="3"/>
  <c r="U805" i="3"/>
  <c r="V805" i="3" s="1"/>
  <c r="W805" i="3"/>
  <c r="Y805" i="3"/>
  <c r="Z805" i="3"/>
  <c r="T806" i="3"/>
  <c r="U806" i="3" s="1"/>
  <c r="V806" i="3" s="1"/>
  <c r="W806" i="3"/>
  <c r="Y806" i="3"/>
  <c r="Z806" i="3"/>
  <c r="T807" i="3"/>
  <c r="U807" i="3"/>
  <c r="V807" i="3" s="1"/>
  <c r="W807" i="3"/>
  <c r="Y807" i="3"/>
  <c r="Z807" i="3"/>
  <c r="T808" i="3"/>
  <c r="U808" i="3" s="1"/>
  <c r="V808" i="3" s="1"/>
  <c r="W808" i="3"/>
  <c r="Y808" i="3"/>
  <c r="Z808" i="3"/>
  <c r="T809" i="3"/>
  <c r="U809" i="3" s="1"/>
  <c r="V809" i="3" s="1"/>
  <c r="W809" i="3"/>
  <c r="Y809" i="3"/>
  <c r="Z809" i="3"/>
  <c r="T810" i="3"/>
  <c r="U810" i="3" s="1"/>
  <c r="V810" i="3" s="1"/>
  <c r="W810" i="3"/>
  <c r="Y810" i="3"/>
  <c r="Z810" i="3"/>
  <c r="T811" i="3"/>
  <c r="U811" i="3" s="1"/>
  <c r="V811" i="3" s="1"/>
  <c r="W811" i="3"/>
  <c r="Y811" i="3"/>
  <c r="Z811" i="3"/>
  <c r="T812" i="3"/>
  <c r="U812" i="3" s="1"/>
  <c r="V812" i="3" s="1"/>
  <c r="W812" i="3"/>
  <c r="Y812" i="3"/>
  <c r="Z812" i="3"/>
  <c r="T813" i="3"/>
  <c r="U813" i="3" s="1"/>
  <c r="V813" i="3" s="1"/>
  <c r="W813" i="3"/>
  <c r="Y813" i="3"/>
  <c r="Z813" i="3"/>
  <c r="T814" i="3"/>
  <c r="U814" i="3" s="1"/>
  <c r="V814" i="3" s="1"/>
  <c r="W814" i="3"/>
  <c r="Y814" i="3"/>
  <c r="Z814" i="3"/>
  <c r="T815" i="3"/>
  <c r="U815" i="3"/>
  <c r="V815" i="3" s="1"/>
  <c r="W815" i="3"/>
  <c r="Y815" i="3"/>
  <c r="Z815" i="3"/>
  <c r="T816" i="3"/>
  <c r="U816" i="3" s="1"/>
  <c r="V816" i="3" s="1"/>
  <c r="W816" i="3"/>
  <c r="Y816" i="3"/>
  <c r="Z816" i="3"/>
  <c r="T817" i="3"/>
  <c r="U817" i="3"/>
  <c r="V817" i="3" s="1"/>
  <c r="W817" i="3"/>
  <c r="Y817" i="3"/>
  <c r="Z817" i="3"/>
  <c r="CU3" i="1"/>
  <c r="CU4" i="1"/>
  <c r="CU5" i="1"/>
  <c r="CU6" i="1"/>
  <c r="CU7" i="1"/>
  <c r="CU8" i="1"/>
  <c r="CU9" i="1"/>
  <c r="CU10" i="1"/>
  <c r="CU11" i="1"/>
  <c r="CU12" i="1"/>
  <c r="BL3" i="1"/>
  <c r="BM3" i="1"/>
  <c r="BN3" i="1"/>
  <c r="BL4" i="1"/>
  <c r="BM4" i="1"/>
  <c r="BN4" i="1"/>
  <c r="BL5" i="1"/>
  <c r="BM5" i="1"/>
  <c r="BN5" i="1"/>
  <c r="BL6" i="1"/>
  <c r="BM6" i="1" s="1"/>
  <c r="BL7" i="1"/>
  <c r="BN7" i="1" s="1"/>
  <c r="BM7" i="1"/>
  <c r="BL8" i="1"/>
  <c r="BN8" i="1" s="1"/>
  <c r="BM8" i="1"/>
  <c r="BL9" i="1"/>
  <c r="BN9" i="1" s="1"/>
  <c r="BM9" i="1"/>
  <c r="BL10" i="1"/>
  <c r="BM10" i="1"/>
  <c r="BN10" i="1"/>
  <c r="BL11" i="1"/>
  <c r="BM11" i="1"/>
  <c r="BN11" i="1"/>
  <c r="BL12" i="1"/>
  <c r="BM12" i="1" s="1"/>
  <c r="BL13" i="1"/>
  <c r="BM13" i="1" s="1"/>
  <c r="BL14" i="1"/>
  <c r="BM14" i="1" s="1"/>
  <c r="BL15" i="1"/>
  <c r="BN15" i="1" s="1"/>
  <c r="BM15" i="1"/>
  <c r="BL16" i="1"/>
  <c r="BM16" i="1"/>
  <c r="BN16" i="1"/>
  <c r="BL17" i="1"/>
  <c r="BM17" i="1"/>
  <c r="BN17" i="1"/>
  <c r="BL18" i="1"/>
  <c r="BM18" i="1"/>
  <c r="BN18" i="1"/>
  <c r="BL19" i="1"/>
  <c r="BM19" i="1"/>
  <c r="BN19" i="1"/>
  <c r="BL20" i="1"/>
  <c r="BM20" i="1" s="1"/>
  <c r="BL21" i="1"/>
  <c r="BN21" i="1" s="1"/>
  <c r="BM21" i="1"/>
  <c r="BL22" i="1"/>
  <c r="BN22" i="1" s="1"/>
  <c r="BM22" i="1"/>
  <c r="BL23" i="1"/>
  <c r="BN23" i="1" s="1"/>
  <c r="BM23" i="1"/>
  <c r="BL24" i="1"/>
  <c r="BM24" i="1"/>
  <c r="BN24" i="1"/>
  <c r="BL25" i="1"/>
  <c r="BM25" i="1"/>
  <c r="BN25" i="1"/>
  <c r="BL26" i="1"/>
  <c r="BM26" i="1" s="1"/>
  <c r="BL27" i="1"/>
  <c r="BM27" i="1" s="1"/>
  <c r="BL28" i="1"/>
  <c r="BM28" i="1" s="1"/>
  <c r="BL29" i="1"/>
  <c r="BN29" i="1" s="1"/>
  <c r="BM29" i="1"/>
  <c r="BL30" i="1"/>
  <c r="BM30" i="1"/>
  <c r="BN30" i="1"/>
  <c r="BL31" i="1"/>
  <c r="BM31" i="1"/>
  <c r="BN31" i="1"/>
  <c r="BL32" i="1"/>
  <c r="BM32" i="1"/>
  <c r="BN32" i="1"/>
  <c r="BL33" i="1"/>
  <c r="BM33" i="1"/>
  <c r="BN33" i="1"/>
  <c r="BL34" i="1"/>
  <c r="BM34" i="1" s="1"/>
  <c r="BL35" i="1"/>
  <c r="BN35" i="1" s="1"/>
  <c r="BM35" i="1"/>
  <c r="BL36" i="1"/>
  <c r="BN36" i="1" s="1"/>
  <c r="BM36" i="1"/>
  <c r="BL37" i="1"/>
  <c r="BN37" i="1" s="1"/>
  <c r="BM37" i="1"/>
  <c r="BL38" i="1"/>
  <c r="BM38" i="1"/>
  <c r="BN38" i="1"/>
  <c r="BL39" i="1"/>
  <c r="BM39" i="1"/>
  <c r="BN39" i="1"/>
  <c r="BL40" i="1"/>
  <c r="BM40" i="1" s="1"/>
  <c r="BL41" i="1"/>
  <c r="BM41" i="1" s="1"/>
  <c r="AH3" i="1"/>
  <c r="AI3" i="1"/>
  <c r="AJ3" i="1"/>
  <c r="AK3" i="1"/>
  <c r="AL3" i="1"/>
  <c r="AH4" i="1"/>
  <c r="AI4" i="1"/>
  <c r="AJ4" i="1"/>
  <c r="AK4" i="1"/>
  <c r="AL4" i="1"/>
  <c r="AH5" i="1"/>
  <c r="AI5" i="1"/>
  <c r="AJ5" i="1"/>
  <c r="AK5" i="1"/>
  <c r="AL5" i="1"/>
  <c r="AH6" i="1"/>
  <c r="AI6" i="1"/>
  <c r="AJ6" i="1"/>
  <c r="AK6" i="1"/>
  <c r="AL6" i="1"/>
  <c r="AH7" i="1"/>
  <c r="AI7" i="1"/>
  <c r="AJ7" i="1"/>
  <c r="AK7" i="1"/>
  <c r="AL7" i="1"/>
  <c r="AH8" i="1"/>
  <c r="AI8" i="1"/>
  <c r="AJ8" i="1"/>
  <c r="AK8" i="1"/>
  <c r="AL8" i="1"/>
  <c r="AH9" i="1"/>
  <c r="AI9" i="1"/>
  <c r="AJ9" i="1"/>
  <c r="AK9" i="1"/>
  <c r="AL9" i="1"/>
  <c r="AH10" i="1"/>
  <c r="AI10" i="1"/>
  <c r="AJ10" i="1"/>
  <c r="AK10" i="1"/>
  <c r="AL10" i="1"/>
  <c r="AH11" i="1"/>
  <c r="AI11" i="1"/>
  <c r="AJ11" i="1"/>
  <c r="AK11" i="1"/>
  <c r="AL11" i="1"/>
  <c r="AH12" i="1"/>
  <c r="AI12" i="1"/>
  <c r="AJ12" i="1"/>
  <c r="AK12" i="1"/>
  <c r="AL12" i="1"/>
  <c r="AH13" i="1"/>
  <c r="AI13" i="1"/>
  <c r="AJ13" i="1"/>
  <c r="AK13" i="1"/>
  <c r="AL13" i="1"/>
  <c r="AH14" i="1"/>
  <c r="AI14" i="1"/>
  <c r="AJ14" i="1"/>
  <c r="AK14" i="1"/>
  <c r="AL14" i="1"/>
  <c r="AH15" i="1"/>
  <c r="AI15" i="1"/>
  <c r="AJ15" i="1"/>
  <c r="AK15" i="1"/>
  <c r="AL15" i="1"/>
  <c r="AH16" i="1"/>
  <c r="AI16" i="1"/>
  <c r="AJ16" i="1"/>
  <c r="AK16" i="1"/>
  <c r="AL16" i="1"/>
  <c r="B24" i="10"/>
  <c r="EE2" i="1"/>
  <c r="EE3" i="1"/>
  <c r="EF2" i="1"/>
  <c r="EF3" i="1"/>
  <c r="EG2" i="1"/>
  <c r="EG3" i="1"/>
  <c r="EH2" i="1"/>
  <c r="EI2" i="1" s="1"/>
  <c r="EH3" i="1"/>
  <c r="EI3" i="1" s="1"/>
  <c r="M2" i="23"/>
  <c r="X2" i="15"/>
  <c r="Y2" i="15"/>
  <c r="Y3" i="15"/>
  <c r="Y4" i="15"/>
  <c r="Y5" i="15"/>
  <c r="Y6" i="15"/>
  <c r="Y7" i="15"/>
  <c r="Y8" i="15"/>
  <c r="Y9" i="15"/>
  <c r="Y10" i="15"/>
  <c r="Y11" i="15"/>
  <c r="Y12" i="15"/>
  <c r="Y13" i="15"/>
  <c r="Y14" i="15"/>
  <c r="Y15" i="15"/>
  <c r="Y16" i="15"/>
  <c r="Y17" i="15"/>
  <c r="Y18" i="15"/>
  <c r="Y19" i="15"/>
  <c r="Y20" i="15"/>
  <c r="Y21" i="15"/>
  <c r="Y22" i="15"/>
  <c r="Y23" i="15"/>
  <c r="Y24" i="15"/>
  <c r="Y25" i="15"/>
  <c r="Y30" i="15"/>
  <c r="Y31" i="15"/>
  <c r="Y32" i="15"/>
  <c r="Y33" i="15"/>
  <c r="Y34" i="15"/>
  <c r="Y35" i="15"/>
  <c r="Y36" i="15"/>
  <c r="Y37" i="15"/>
  <c r="Y38" i="15"/>
  <c r="Y39" i="15"/>
  <c r="Y40" i="15"/>
  <c r="Y41" i="15"/>
  <c r="Y42" i="15"/>
  <c r="Y43" i="15"/>
  <c r="Y44" i="15"/>
  <c r="Y45" i="15"/>
  <c r="Y46" i="15"/>
  <c r="Y47" i="15"/>
  <c r="Y48" i="15"/>
  <c r="Y49" i="15"/>
  <c r="Y50" i="15"/>
  <c r="Y51" i="15"/>
  <c r="Y52" i="15"/>
  <c r="Y53" i="15"/>
  <c r="Y54" i="15"/>
  <c r="Y55" i="15"/>
  <c r="Y56" i="15"/>
  <c r="Y57" i="15"/>
  <c r="Y58" i="15"/>
  <c r="Y59" i="15"/>
  <c r="Y60" i="15"/>
  <c r="Y61" i="15"/>
  <c r="Y62" i="15"/>
  <c r="Y63" i="15"/>
  <c r="Y64" i="15"/>
  <c r="Y65" i="15"/>
  <c r="Y66" i="15"/>
  <c r="Y67" i="15"/>
  <c r="Y68" i="15"/>
  <c r="Y69" i="15"/>
  <c r="Y70" i="15"/>
  <c r="Y71" i="15"/>
  <c r="Y72" i="15"/>
  <c r="Y73" i="15"/>
  <c r="Y74" i="15"/>
  <c r="Y75" i="15"/>
  <c r="Y76" i="15"/>
  <c r="Y77" i="15"/>
  <c r="Y78" i="15"/>
  <c r="Y79" i="15"/>
  <c r="Y80" i="15"/>
  <c r="Y81" i="15"/>
  <c r="Y82" i="15"/>
  <c r="Y83" i="15"/>
  <c r="Y84" i="15"/>
  <c r="Y85" i="15"/>
  <c r="Y86" i="15"/>
  <c r="Y87" i="15"/>
  <c r="Y88" i="15"/>
  <c r="Y89" i="15"/>
  <c r="Y90" i="15"/>
  <c r="Y91" i="15"/>
  <c r="Y92" i="15"/>
  <c r="BU2" i="3"/>
  <c r="T2" i="3"/>
  <c r="U2" i="3" s="1"/>
  <c r="W2" i="3"/>
  <c r="Y2" i="3"/>
  <c r="Z2" i="3"/>
  <c r="X576" i="3" l="1"/>
  <c r="V576" i="3"/>
  <c r="X706" i="3"/>
  <c r="V506" i="3"/>
  <c r="X66" i="3"/>
  <c r="X116" i="3"/>
  <c r="V709" i="3"/>
  <c r="X259" i="3"/>
  <c r="V166" i="3"/>
  <c r="X166" i="3"/>
  <c r="V185" i="3"/>
  <c r="X551" i="3"/>
  <c r="X85" i="3"/>
  <c r="V63" i="3"/>
  <c r="V440" i="3"/>
  <c r="X575" i="3"/>
  <c r="X812" i="3"/>
  <c r="X794" i="3"/>
  <c r="X459" i="3"/>
  <c r="X72" i="3"/>
  <c r="X708" i="3"/>
  <c r="X699" i="3"/>
  <c r="X814" i="3"/>
  <c r="X286" i="3"/>
  <c r="V677" i="3"/>
  <c r="X692" i="3"/>
  <c r="V419" i="3"/>
  <c r="X748" i="3"/>
  <c r="V635" i="3"/>
  <c r="X636" i="3"/>
  <c r="X771" i="3"/>
  <c r="X188" i="3"/>
  <c r="X751" i="3"/>
  <c r="X110" i="3"/>
  <c r="V175" i="3"/>
  <c r="X325" i="3"/>
  <c r="X60" i="3"/>
  <c r="V34" i="3"/>
  <c r="X86" i="3"/>
  <c r="X95" i="3"/>
  <c r="X9" i="3"/>
  <c r="V8" i="3"/>
  <c r="X762" i="3"/>
  <c r="X707" i="3"/>
  <c r="V329" i="3"/>
  <c r="X249" i="3"/>
  <c r="V209" i="3"/>
  <c r="X435" i="3"/>
  <c r="V99" i="3"/>
  <c r="X199" i="3"/>
  <c r="X776" i="3"/>
  <c r="X271" i="3"/>
  <c r="V252" i="3"/>
  <c r="X252" i="3"/>
  <c r="V699" i="3"/>
  <c r="X673" i="3"/>
  <c r="V296" i="3"/>
  <c r="X236" i="3"/>
  <c r="X21" i="3"/>
  <c r="V20" i="3"/>
  <c r="X98" i="3"/>
  <c r="V98" i="3"/>
  <c r="X727" i="3"/>
  <c r="V727" i="3"/>
  <c r="V238" i="3"/>
  <c r="X238" i="3"/>
  <c r="X714" i="3"/>
  <c r="V713" i="3"/>
  <c r="X227" i="3"/>
  <c r="X228" i="3"/>
  <c r="X439" i="3"/>
  <c r="V724" i="3"/>
  <c r="X724" i="3"/>
  <c r="X350" i="3"/>
  <c r="V350" i="3"/>
  <c r="X263" i="3"/>
  <c r="X248" i="3"/>
  <c r="X792" i="3"/>
  <c r="X752" i="3"/>
  <c r="X678" i="3"/>
  <c r="X220" i="3"/>
  <c r="V220" i="3"/>
  <c r="X124" i="3"/>
  <c r="V124" i="3"/>
  <c r="X256" i="3"/>
  <c r="V48" i="3"/>
  <c r="X52" i="3"/>
  <c r="X167" i="3"/>
  <c r="X71" i="3"/>
  <c r="X257" i="3"/>
  <c r="V106" i="3"/>
  <c r="X62" i="3"/>
  <c r="X31" i="3"/>
  <c r="X17" i="3"/>
  <c r="X299" i="3"/>
  <c r="X393" i="3"/>
  <c r="X301" i="3"/>
  <c r="X215" i="3"/>
  <c r="X105" i="3"/>
  <c r="V96" i="3"/>
  <c r="X3" i="3"/>
  <c r="X181" i="3"/>
  <c r="X740" i="3"/>
  <c r="X328" i="3"/>
  <c r="X351" i="3"/>
  <c r="X414" i="3"/>
  <c r="X448" i="3"/>
  <c r="X488" i="3"/>
  <c r="X494" i="3"/>
  <c r="X500" i="3"/>
  <c r="X516" i="3"/>
  <c r="X530" i="3"/>
  <c r="X538" i="3"/>
  <c r="X550" i="3"/>
  <c r="X558" i="3"/>
  <c r="X564" i="3"/>
  <c r="X572" i="3"/>
  <c r="X602" i="3"/>
  <c r="X606" i="3"/>
  <c r="V328" i="3"/>
  <c r="X557" i="3"/>
  <c r="X585" i="3"/>
  <c r="X611" i="3"/>
  <c r="X441" i="3"/>
  <c r="X563" i="3"/>
  <c r="X662" i="3"/>
  <c r="X760" i="3"/>
  <c r="X627" i="3"/>
  <c r="X683" i="3"/>
  <c r="X767" i="3"/>
  <c r="X630" i="3"/>
  <c r="X778" i="3"/>
  <c r="X639" i="3"/>
  <c r="X681" i="3"/>
  <c r="X765" i="3"/>
  <c r="X807" i="3"/>
  <c r="X495" i="3"/>
  <c r="X631" i="3"/>
  <c r="X813" i="3"/>
  <c r="X341" i="3"/>
  <c r="X493" i="3"/>
  <c r="X425" i="3"/>
  <c r="X489" i="3"/>
  <c r="X539" i="3"/>
  <c r="X747" i="3"/>
  <c r="X603" i="3"/>
  <c r="X521" i="3"/>
  <c r="X617" i="3"/>
  <c r="X403" i="3"/>
  <c r="X804" i="3"/>
  <c r="X650" i="3"/>
  <c r="X513" i="3"/>
  <c r="V415" i="3"/>
  <c r="X644" i="3"/>
  <c r="X728" i="3"/>
  <c r="X784" i="3"/>
  <c r="X729" i="3"/>
  <c r="X686" i="3"/>
  <c r="X694" i="3"/>
  <c r="X785" i="3"/>
  <c r="X451" i="3"/>
  <c r="X720" i="3"/>
  <c r="V477" i="3"/>
  <c r="X437" i="3"/>
  <c r="X567" i="3"/>
  <c r="X799" i="3"/>
  <c r="X398" i="3"/>
  <c r="V397" i="3"/>
  <c r="X397" i="3"/>
  <c r="V795" i="3"/>
  <c r="X770" i="3"/>
  <c r="V711" i="3"/>
  <c r="X711" i="3"/>
  <c r="X712" i="3"/>
  <c r="X213" i="3"/>
  <c r="X565" i="3"/>
  <c r="X449" i="3"/>
  <c r="V399" i="3"/>
  <c r="X483" i="3"/>
  <c r="X741" i="3"/>
  <c r="X399" i="3"/>
  <c r="X593" i="3"/>
  <c r="X195" i="3"/>
  <c r="X716" i="3"/>
  <c r="X744" i="3"/>
  <c r="X742" i="3"/>
  <c r="X409" i="3"/>
  <c r="X743" i="3"/>
  <c r="X715" i="3"/>
  <c r="X346" i="3"/>
  <c r="X432" i="3"/>
  <c r="X436" i="3"/>
  <c r="X438" i="3"/>
  <c r="X458" i="3"/>
  <c r="X544" i="3"/>
  <c r="X546" i="3"/>
  <c r="X552" i="3"/>
  <c r="X616" i="3"/>
  <c r="X620" i="3"/>
  <c r="V346" i="3"/>
  <c r="X613" i="3"/>
  <c r="X443" i="3"/>
  <c r="X499" i="3"/>
  <c r="X553" i="3"/>
  <c r="X634" i="3"/>
  <c r="X545" i="3"/>
  <c r="X625" i="3"/>
  <c r="X461" i="3"/>
  <c r="X621" i="3"/>
  <c r="X605" i="3"/>
  <c r="X619" i="3"/>
  <c r="X487" i="3"/>
  <c r="X682" i="3"/>
  <c r="X675" i="3"/>
  <c r="X659" i="3"/>
  <c r="X640" i="3"/>
  <c r="V390" i="3"/>
  <c r="X275" i="3"/>
  <c r="X645" i="3"/>
  <c r="X230" i="3"/>
  <c r="X319" i="3"/>
  <c r="X663" i="3"/>
  <c r="X759" i="3"/>
  <c r="X647" i="3"/>
  <c r="X515" i="3"/>
  <c r="X664" i="3"/>
  <c r="V725" i="3"/>
  <c r="X725" i="3"/>
  <c r="X726" i="3"/>
  <c r="X710" i="3"/>
  <c r="V338" i="3"/>
  <c r="X798" i="3"/>
  <c r="X290" i="3"/>
  <c r="X519" i="3"/>
  <c r="X192" i="3"/>
  <c r="X221" i="3"/>
  <c r="X277" i="3"/>
  <c r="V198" i="3"/>
  <c r="X197" i="3"/>
  <c r="X194" i="3"/>
  <c r="X805" i="3"/>
  <c r="X517" i="3"/>
  <c r="V569" i="3"/>
  <c r="X734" i="3"/>
  <c r="X790" i="3"/>
  <c r="X401" i="3"/>
  <c r="V429" i="3"/>
  <c r="X509" i="3"/>
  <c r="X700" i="3"/>
  <c r="X310" i="3"/>
  <c r="X638" i="3"/>
  <c r="X666" i="3"/>
  <c r="X453" i="3"/>
  <c r="X485" i="3"/>
  <c r="X669" i="3"/>
  <c r="X695" i="3"/>
  <c r="X577" i="3"/>
  <c r="X756" i="3"/>
  <c r="V421" i="3"/>
  <c r="X775" i="3"/>
  <c r="X421" i="3"/>
  <c r="X661" i="3"/>
  <c r="V406" i="3"/>
  <c r="X343" i="3"/>
  <c r="X658" i="3"/>
  <c r="X764" i="3"/>
  <c r="X757" i="3"/>
  <c r="X736" i="3"/>
  <c r="X315" i="3"/>
  <c r="X687" i="3"/>
  <c r="V327" i="3"/>
  <c r="X701" i="3"/>
  <c r="X599" i="3"/>
  <c r="X547" i="3"/>
  <c r="X597" i="3"/>
  <c r="X697" i="3"/>
  <c r="V383" i="3"/>
  <c r="X365" i="3"/>
  <c r="X787" i="3"/>
  <c r="X624" i="3"/>
  <c r="X535" i="3"/>
  <c r="X254" i="3"/>
  <c r="X533" i="3"/>
  <c r="X288" i="3"/>
  <c r="V788" i="3"/>
  <c r="X722" i="3"/>
  <c r="V718" i="3"/>
  <c r="X718" i="3"/>
  <c r="X395" i="3"/>
  <c r="X719" i="3"/>
  <c r="X806" i="3"/>
  <c r="X573" i="3"/>
  <c r="X320" i="3"/>
  <c r="X559" i="3"/>
  <c r="V559" i="3"/>
  <c r="X704" i="3"/>
  <c r="X589" i="3"/>
  <c r="X705" i="3"/>
  <c r="X703" i="3"/>
  <c r="X691" i="3"/>
  <c r="X511" i="3"/>
  <c r="X591" i="3"/>
  <c r="X347" i="3"/>
  <c r="V121" i="3"/>
  <c r="X121" i="3"/>
  <c r="X336" i="3"/>
  <c r="X274" i="3"/>
  <c r="X115" i="3"/>
  <c r="X750" i="3"/>
  <c r="X680" i="3"/>
  <c r="X652" i="3"/>
  <c r="X801" i="3"/>
  <c r="X773" i="3"/>
  <c r="X745" i="3"/>
  <c r="X717" i="3"/>
  <c r="X689" i="3"/>
  <c r="X405" i="3"/>
  <c r="X298" i="3"/>
  <c r="V298" i="3"/>
  <c r="X264" i="3"/>
  <c r="X241" i="3"/>
  <c r="X233" i="3"/>
  <c r="V216" i="3"/>
  <c r="X272" i="3"/>
  <c r="X216" i="3"/>
  <c r="X808" i="3"/>
  <c r="X780" i="3"/>
  <c r="X738" i="3"/>
  <c r="X696" i="3"/>
  <c r="X668" i="3"/>
  <c r="X626" i="3"/>
  <c r="X569" i="3"/>
  <c r="X523" i="3"/>
  <c r="X407" i="3"/>
  <c r="X375" i="3"/>
  <c r="X354" i="3"/>
  <c r="X356" i="3"/>
  <c r="X355" i="3"/>
  <c r="X322" i="3"/>
  <c r="X317" i="3"/>
  <c r="V239" i="3"/>
  <c r="X293" i="3"/>
  <c r="X239" i="3"/>
  <c r="X501" i="3"/>
  <c r="X815" i="3"/>
  <c r="X731" i="3"/>
  <c r="X633" i="3"/>
  <c r="X601" i="3"/>
  <c r="X455" i="3"/>
  <c r="X361" i="3"/>
  <c r="X282" i="3"/>
  <c r="V236" i="3"/>
  <c r="X280" i="3"/>
  <c r="X766" i="3"/>
  <c r="X654" i="3"/>
  <c r="X537" i="3"/>
  <c r="X327" i="3"/>
  <c r="V192" i="3"/>
  <c r="X219" i="3"/>
  <c r="X247" i="3"/>
  <c r="X246" i="3"/>
  <c r="X260" i="3"/>
  <c r="X191" i="3"/>
  <c r="X312" i="3"/>
  <c r="X413" i="3"/>
  <c r="X469" i="3"/>
  <c r="X609" i="3"/>
  <c r="X190" i="3"/>
  <c r="X189" i="3"/>
  <c r="X198" i="3"/>
  <c r="X186" i="3"/>
  <c r="X200" i="3"/>
  <c r="V178" i="3"/>
  <c r="X267" i="3"/>
  <c r="X178" i="3"/>
  <c r="X817" i="3"/>
  <c r="X803" i="3"/>
  <c r="X789" i="3"/>
  <c r="X761" i="3"/>
  <c r="X733" i="3"/>
  <c r="X677" i="3"/>
  <c r="X649" i="3"/>
  <c r="X635" i="3"/>
  <c r="X423" i="3"/>
  <c r="X420" i="3"/>
  <c r="X422" i="3"/>
  <c r="X419" i="3"/>
  <c r="X471" i="3"/>
  <c r="X302" i="3"/>
  <c r="X295" i="3"/>
  <c r="V285" i="3"/>
  <c r="X285" i="3"/>
  <c r="X223" i="3"/>
  <c r="V205" i="3"/>
  <c r="X211" i="3"/>
  <c r="X214" i="3"/>
  <c r="X225" i="3"/>
  <c r="X388" i="3"/>
  <c r="X226" i="3"/>
  <c r="X316" i="3"/>
  <c r="X208" i="3"/>
  <c r="X287" i="3"/>
  <c r="X428" i="3"/>
  <c r="X444" i="3"/>
  <c r="X456" i="3"/>
  <c r="X484" i="3"/>
  <c r="X498" i="3"/>
  <c r="X504" i="3"/>
  <c r="X510" i="3"/>
  <c r="X556" i="3"/>
  <c r="X560" i="3"/>
  <c r="X570" i="3"/>
  <c r="X598" i="3"/>
  <c r="X600" i="3"/>
  <c r="X205" i="3"/>
  <c r="X447" i="3"/>
  <c r="X445" i="3"/>
  <c r="X234" i="3"/>
  <c r="X291" i="3"/>
  <c r="X497" i="3"/>
  <c r="X525" i="3"/>
  <c r="X581" i="3"/>
  <c r="X810" i="3"/>
  <c r="X796" i="3"/>
  <c r="X782" i="3"/>
  <c r="X768" i="3"/>
  <c r="X754" i="3"/>
  <c r="X698" i="3"/>
  <c r="X684" i="3"/>
  <c r="X670" i="3"/>
  <c r="X656" i="3"/>
  <c r="X642" i="3"/>
  <c r="X628" i="3"/>
  <c r="X607" i="3"/>
  <c r="X571" i="3"/>
  <c r="X505" i="3"/>
  <c r="X491" i="3"/>
  <c r="X457" i="3"/>
  <c r="X411" i="3"/>
  <c r="X304" i="3"/>
  <c r="X300" i="3"/>
  <c r="X266" i="3"/>
  <c r="X243" i="3"/>
  <c r="V210" i="3"/>
  <c r="X348" i="3"/>
  <c r="X377" i="3"/>
  <c r="X472" i="3"/>
  <c r="X476" i="3"/>
  <c r="X482" i="3"/>
  <c r="X308" i="3"/>
  <c r="X363" i="3"/>
  <c r="X210" i="3"/>
  <c r="X357" i="3"/>
  <c r="X307" i="3"/>
  <c r="X207" i="3"/>
  <c r="X791" i="3"/>
  <c r="X777" i="3"/>
  <c r="X763" i="3"/>
  <c r="X749" i="3"/>
  <c r="X735" i="3"/>
  <c r="X721" i="3"/>
  <c r="X693" i="3"/>
  <c r="X679" i="3"/>
  <c r="X665" i="3"/>
  <c r="X651" i="3"/>
  <c r="X637" i="3"/>
  <c r="X623" i="3"/>
  <c r="X507" i="3"/>
  <c r="X427" i="3"/>
  <c r="V372" i="3"/>
  <c r="X297" i="3"/>
  <c r="X292" i="3"/>
  <c r="X335" i="3"/>
  <c r="X258" i="3"/>
  <c r="X153" i="3"/>
  <c r="X152" i="3"/>
  <c r="V152" i="3"/>
  <c r="X202" i="3"/>
  <c r="V149" i="3"/>
  <c r="X173" i="3"/>
  <c r="X170" i="3"/>
  <c r="X358" i="3"/>
  <c r="X149" i="3"/>
  <c r="X416" i="3"/>
  <c r="X232" i="3"/>
  <c r="V207" i="3"/>
  <c r="X231" i="3"/>
  <c r="X163" i="3"/>
  <c r="X204" i="3"/>
  <c r="X177" i="3"/>
  <c r="X541" i="3"/>
  <c r="X331" i="3"/>
  <c r="V279" i="3"/>
  <c r="X360" i="3"/>
  <c r="X366" i="3"/>
  <c r="X368" i="3"/>
  <c r="X378" i="3"/>
  <c r="X426" i="3"/>
  <c r="X442" i="3"/>
  <c r="X450" i="3"/>
  <c r="X540" i="3"/>
  <c r="X594" i="3"/>
  <c r="X604" i="3"/>
  <c r="X610" i="3"/>
  <c r="X587" i="3"/>
  <c r="X279" i="3"/>
  <c r="X779" i="3"/>
  <c r="X737" i="3"/>
  <c r="X653" i="3"/>
  <c r="X306" i="3"/>
  <c r="X237" i="3"/>
  <c r="X758" i="3"/>
  <c r="X688" i="3"/>
  <c r="X674" i="3"/>
  <c r="X646" i="3"/>
  <c r="X632" i="3"/>
  <c r="X579" i="3"/>
  <c r="X477" i="3"/>
  <c r="X429" i="3"/>
  <c r="X381" i="3"/>
  <c r="X245" i="3"/>
  <c r="V171" i="3"/>
  <c r="X473" i="3"/>
  <c r="X583" i="3"/>
  <c r="X172" i="3"/>
  <c r="V224" i="3"/>
  <c r="X392" i="3"/>
  <c r="X434" i="3"/>
  <c r="X596" i="3"/>
  <c r="X261" i="3"/>
  <c r="X224" i="3"/>
  <c r="X284" i="3"/>
  <c r="X276" i="3"/>
  <c r="X793" i="3"/>
  <c r="X667" i="3"/>
  <c r="X367" i="3"/>
  <c r="X800" i="3"/>
  <c r="X786" i="3"/>
  <c r="X772" i="3"/>
  <c r="X730" i="3"/>
  <c r="X702" i="3"/>
  <c r="X660" i="3"/>
  <c r="X543" i="3"/>
  <c r="X463" i="3"/>
  <c r="X217" i="3"/>
  <c r="X209" i="3"/>
  <c r="X809" i="3"/>
  <c r="X795" i="3"/>
  <c r="X781" i="3"/>
  <c r="X753" i="3"/>
  <c r="X739" i="3"/>
  <c r="X655" i="3"/>
  <c r="X641" i="3"/>
  <c r="X595" i="3"/>
  <c r="X479" i="3"/>
  <c r="X465" i="3"/>
  <c r="X383" i="3"/>
  <c r="X371" i="3"/>
  <c r="X345" i="3"/>
  <c r="X333" i="3"/>
  <c r="X318" i="3"/>
  <c r="X294" i="3"/>
  <c r="X278" i="3"/>
  <c r="X206" i="3"/>
  <c r="V182" i="3"/>
  <c r="X184" i="3"/>
  <c r="X415" i="3"/>
  <c r="X816" i="3"/>
  <c r="X802" i="3"/>
  <c r="X788" i="3"/>
  <c r="X774" i="3"/>
  <c r="X746" i="3"/>
  <c r="X732" i="3"/>
  <c r="X690" i="3"/>
  <c r="X676" i="3"/>
  <c r="X648" i="3"/>
  <c r="X561" i="3"/>
  <c r="X481" i="3"/>
  <c r="X467" i="3"/>
  <c r="X431" i="3"/>
  <c r="X396" i="3"/>
  <c r="X385" i="3"/>
  <c r="X179" i="3"/>
  <c r="X201" i="3"/>
  <c r="X811" i="3"/>
  <c r="X797" i="3"/>
  <c r="X783" i="3"/>
  <c r="X769" i="3"/>
  <c r="X755" i="3"/>
  <c r="X713" i="3"/>
  <c r="X685" i="3"/>
  <c r="X671" i="3"/>
  <c r="X657" i="3"/>
  <c r="X643" i="3"/>
  <c r="X629" i="3"/>
  <c r="X549" i="3"/>
  <c r="X433" i="3"/>
  <c r="X387" i="3"/>
  <c r="X359" i="3"/>
  <c r="X313" i="3"/>
  <c r="X303" i="3"/>
  <c r="X323" i="3"/>
  <c r="V286" i="3"/>
  <c r="X273" i="3"/>
  <c r="X329" i="3"/>
  <c r="X340" i="3"/>
  <c r="X352" i="3"/>
  <c r="X380" i="3"/>
  <c r="X314" i="3"/>
  <c r="X460" i="3"/>
  <c r="X474" i="3"/>
  <c r="X490" i="3"/>
  <c r="X492" i="3"/>
  <c r="X514" i="3"/>
  <c r="X522" i="3"/>
  <c r="X590" i="3"/>
  <c r="X612" i="3"/>
  <c r="X141" i="3"/>
  <c r="X142" i="3"/>
  <c r="X391" i="3"/>
  <c r="X389" i="3"/>
  <c r="X527" i="3"/>
  <c r="X229" i="3"/>
  <c r="X176" i="3"/>
  <c r="V135" i="3"/>
  <c r="X135" i="3"/>
  <c r="X171" i="3"/>
  <c r="X400" i="3"/>
  <c r="X123" i="3"/>
  <c r="X283" i="3"/>
  <c r="X165" i="3"/>
  <c r="X253" i="3"/>
  <c r="X376" i="3"/>
  <c r="X382" i="3"/>
  <c r="X180" i="3"/>
  <c r="X262" i="3"/>
  <c r="X349" i="3"/>
  <c r="X402" i="3"/>
  <c r="X408" i="3"/>
  <c r="X410" i="3"/>
  <c r="X424" i="3"/>
  <c r="X454" i="3"/>
  <c r="X466" i="3"/>
  <c r="X486" i="3"/>
  <c r="X520" i="3"/>
  <c r="X526" i="3"/>
  <c r="X532" i="3"/>
  <c r="X534" i="3"/>
  <c r="X548" i="3"/>
  <c r="X554" i="3"/>
  <c r="X155" i="3"/>
  <c r="X150" i="3"/>
  <c r="X128" i="3"/>
  <c r="X265" i="3"/>
  <c r="V251" i="3"/>
  <c r="X251" i="3"/>
  <c r="X244" i="3"/>
  <c r="V143" i="3"/>
  <c r="X143" i="3"/>
  <c r="X506" i="3"/>
  <c r="X566" i="3"/>
  <c r="X203" i="3"/>
  <c r="V100" i="3"/>
  <c r="X99" i="3"/>
  <c r="X100" i="3"/>
  <c r="X101" i="3"/>
  <c r="X555" i="3"/>
  <c r="X536" i="3"/>
  <c r="X574" i="3"/>
  <c r="X370" i="3"/>
  <c r="X353" i="3"/>
  <c r="X242" i="3"/>
  <c r="X270" i="3"/>
  <c r="X334" i="3"/>
  <c r="X364" i="3"/>
  <c r="X374" i="3"/>
  <c r="X386" i="3"/>
  <c r="X269" i="3"/>
  <c r="X406" i="3"/>
  <c r="X430" i="3"/>
  <c r="X446" i="3"/>
  <c r="X452" i="3"/>
  <c r="X496" i="3"/>
  <c r="X502" i="3"/>
  <c r="X512" i="3"/>
  <c r="X528" i="3"/>
  <c r="X562" i="3"/>
  <c r="X580" i="3"/>
  <c r="X584" i="3"/>
  <c r="X588" i="3"/>
  <c r="X614" i="3"/>
  <c r="X218" i="3"/>
  <c r="X183" i="3"/>
  <c r="X151" i="3"/>
  <c r="X529" i="3"/>
  <c r="X417" i="3"/>
  <c r="X373" i="3"/>
  <c r="X337" i="3"/>
  <c r="X324" i="3"/>
  <c r="X344" i="3"/>
  <c r="X462" i="3"/>
  <c r="X518" i="3"/>
  <c r="X296" i="3"/>
  <c r="X311" i="3"/>
  <c r="X212" i="3"/>
  <c r="X326" i="3"/>
  <c r="X338" i="3"/>
  <c r="X342" i="3"/>
  <c r="X362" i="3"/>
  <c r="V191" i="3"/>
  <c r="X379" i="3"/>
  <c r="X235" i="3"/>
  <c r="X305" i="3"/>
  <c r="X404" i="3"/>
  <c r="X412" i="3"/>
  <c r="X464" i="3"/>
  <c r="X468" i="3"/>
  <c r="X478" i="3"/>
  <c r="X524" i="3"/>
  <c r="X542" i="3"/>
  <c r="X568" i="3"/>
  <c r="X578" i="3"/>
  <c r="X622" i="3"/>
  <c r="X159" i="3"/>
  <c r="X160" i="3"/>
  <c r="V157" i="3"/>
  <c r="X158" i="3"/>
  <c r="X157" i="3"/>
  <c r="X615" i="3"/>
  <c r="X531" i="3"/>
  <c r="X503" i="3"/>
  <c r="X475" i="3"/>
  <c r="X339" i="3"/>
  <c r="X321" i="3"/>
  <c r="X250" i="3"/>
  <c r="X222" i="3"/>
  <c r="X193" i="3"/>
  <c r="V151" i="3"/>
  <c r="X168" i="3"/>
  <c r="V108" i="3"/>
  <c r="X108" i="3"/>
  <c r="X281" i="3"/>
  <c r="V213" i="3"/>
  <c r="X185" i="3"/>
  <c r="X182" i="3"/>
  <c r="X169" i="3"/>
  <c r="X164" i="3"/>
  <c r="V122" i="3"/>
  <c r="X289" i="3"/>
  <c r="X394" i="3"/>
  <c r="X418" i="3"/>
  <c r="X470" i="3"/>
  <c r="X480" i="3"/>
  <c r="X508" i="3"/>
  <c r="X582" i="3"/>
  <c r="X586" i="3"/>
  <c r="X608" i="3"/>
  <c r="X618" i="3"/>
  <c r="V195" i="3"/>
  <c r="X592" i="3"/>
  <c r="X145" i="3"/>
  <c r="V144" i="3"/>
  <c r="X144" i="3"/>
  <c r="X113" i="3"/>
  <c r="X138" i="3"/>
  <c r="X112" i="3"/>
  <c r="X126" i="3"/>
  <c r="V112" i="3"/>
  <c r="X156" i="3"/>
  <c r="X330" i="3"/>
  <c r="X390" i="3"/>
  <c r="X129" i="3"/>
  <c r="V80" i="3"/>
  <c r="X80" i="3"/>
  <c r="X94" i="3"/>
  <c r="V201" i="3"/>
  <c r="X268" i="3"/>
  <c r="X332" i="3"/>
  <c r="X309" i="3"/>
  <c r="V136" i="3"/>
  <c r="X137" i="3"/>
  <c r="V102" i="3"/>
  <c r="X102" i="3"/>
  <c r="X174" i="3"/>
  <c r="V107" i="3"/>
  <c r="X111" i="3"/>
  <c r="X120" i="3"/>
  <c r="X130" i="3"/>
  <c r="X107" i="3"/>
  <c r="X240" i="3"/>
  <c r="X372" i="3"/>
  <c r="X384" i="3"/>
  <c r="X114" i="3"/>
  <c r="X122" i="3"/>
  <c r="X127" i="3"/>
  <c r="X118" i="3"/>
  <c r="X117" i="3"/>
  <c r="X77" i="3"/>
  <c r="X45" i="3"/>
  <c r="X56" i="3"/>
  <c r="X97" i="3"/>
  <c r="V38" i="3"/>
  <c r="X55" i="3"/>
  <c r="V148" i="3"/>
  <c r="X148" i="3"/>
  <c r="V74" i="3"/>
  <c r="X74" i="3"/>
  <c r="X83" i="3"/>
  <c r="X81" i="3"/>
  <c r="X57" i="3"/>
  <c r="V52" i="3"/>
  <c r="X59" i="3"/>
  <c r="X43" i="3"/>
  <c r="X93" i="3"/>
  <c r="X47" i="3"/>
  <c r="X54" i="3"/>
  <c r="V46" i="3"/>
  <c r="X46" i="3"/>
  <c r="X53" i="3"/>
  <c r="X79" i="3"/>
  <c r="X125" i="3"/>
  <c r="X106" i="3"/>
  <c r="X147" i="3"/>
  <c r="X146" i="3"/>
  <c r="V116" i="3"/>
  <c r="V87" i="3"/>
  <c r="X87" i="3"/>
  <c r="X255" i="3"/>
  <c r="X187" i="3"/>
  <c r="X103" i="3"/>
  <c r="X73" i="3"/>
  <c r="X67" i="3"/>
  <c r="X82" i="3"/>
  <c r="V73" i="3"/>
  <c r="V65" i="3"/>
  <c r="X63" i="3"/>
  <c r="X48" i="3"/>
  <c r="X89" i="3"/>
  <c r="V70" i="3"/>
  <c r="X70" i="3"/>
  <c r="X35" i="3"/>
  <c r="V78" i="3"/>
  <c r="X78" i="3"/>
  <c r="X91" i="3"/>
  <c r="X92" i="3"/>
  <c r="V64" i="3"/>
  <c r="X64" i="3"/>
  <c r="X58" i="3"/>
  <c r="X84" i="3"/>
  <c r="V50" i="3"/>
  <c r="X50" i="3"/>
  <c r="X68" i="3"/>
  <c r="X51" i="3"/>
  <c r="X44" i="3"/>
  <c r="X131" i="3"/>
  <c r="X140" i="3"/>
  <c r="X134" i="3"/>
  <c r="X162" i="3"/>
  <c r="V128" i="3"/>
  <c r="X132" i="3"/>
  <c r="X139" i="3"/>
  <c r="X133" i="3"/>
  <c r="X196" i="3"/>
  <c r="V115" i="3"/>
  <c r="X75" i="3"/>
  <c r="X88" i="3"/>
  <c r="V72" i="3"/>
  <c r="X69" i="3"/>
  <c r="X37" i="3"/>
  <c r="X161" i="3"/>
  <c r="V60" i="3"/>
  <c r="X49" i="3"/>
  <c r="X109" i="3"/>
  <c r="X36" i="3"/>
  <c r="X34" i="3"/>
  <c r="X32" i="3"/>
  <c r="X30" i="3"/>
  <c r="X28" i="3"/>
  <c r="X26" i="3"/>
  <c r="X24" i="3"/>
  <c r="X22" i="3"/>
  <c r="X20" i="3"/>
  <c r="X18" i="3"/>
  <c r="X16" i="3"/>
  <c r="X14" i="3"/>
  <c r="X12" i="3"/>
  <c r="X10" i="3"/>
  <c r="X8" i="3"/>
  <c r="X6" i="3"/>
  <c r="X4" i="3"/>
  <c r="X154" i="3"/>
  <c r="X42" i="3"/>
  <c r="X40" i="3"/>
  <c r="X38" i="3"/>
  <c r="X104" i="3"/>
  <c r="X76" i="3"/>
  <c r="X61" i="3"/>
  <c r="X119" i="3"/>
  <c r="X33" i="3"/>
  <c r="X29" i="3"/>
  <c r="X27" i="3"/>
  <c r="X25" i="3"/>
  <c r="X23" i="3"/>
  <c r="X19" i="3"/>
  <c r="X15" i="3"/>
  <c r="X13" i="3"/>
  <c r="X11" i="3"/>
  <c r="X7" i="3"/>
  <c r="X5" i="3"/>
  <c r="X41" i="3"/>
  <c r="X39" i="3"/>
  <c r="X90" i="3"/>
  <c r="BN34" i="1"/>
  <c r="BN20" i="1"/>
  <c r="BN6" i="1"/>
  <c r="BN28" i="1"/>
  <c r="BN14" i="1"/>
  <c r="BN41" i="1"/>
  <c r="BN27" i="1"/>
  <c r="BN13" i="1"/>
  <c r="BN40" i="1"/>
  <c r="BN26" i="1"/>
  <c r="BN12" i="1"/>
  <c r="EL3" i="1"/>
  <c r="EL2" i="1"/>
  <c r="EJ3" i="1"/>
  <c r="EJ2" i="1"/>
  <c r="V2" i="3"/>
  <c r="X2" i="3"/>
  <c r="BN7" i="7"/>
  <c r="AM16" i="1"/>
  <c r="AM15" i="1"/>
  <c r="AN16" i="1" l="1"/>
  <c r="AN15" i="1"/>
  <c r="AM14" i="1"/>
  <c r="H311" i="9"/>
  <c r="AN14" i="1" l="1"/>
  <c r="L13" i="2" a="1"/>
  <c r="L13" i="2" s="1"/>
  <c r="BO41" i="1" l="1"/>
  <c r="BP41" i="1" l="1"/>
  <c r="B21" i="11"/>
  <c r="L16" i="2" l="1"/>
  <c r="AM13" i="1"/>
  <c r="AN13" i="1" l="1"/>
  <c r="CL5" i="7"/>
  <c r="Y1" i="27"/>
  <c r="CK3" i="7"/>
  <c r="CJ3" i="7"/>
  <c r="D10" i="11"/>
  <c r="D6" i="11"/>
  <c r="D2" i="11"/>
  <c r="CJ5" i="7"/>
  <c r="H21" i="10"/>
  <c r="H22" i="10"/>
  <c r="H23" i="10"/>
  <c r="H24" i="10"/>
  <c r="AE58" i="15"/>
  <c r="CK5" i="7" l="1"/>
  <c r="BO39" i="1" l="1"/>
  <c r="BO40" i="1"/>
  <c r="BP40" i="1" l="1"/>
  <c r="BP39" i="1"/>
  <c r="BO37" i="1" l="1"/>
  <c r="BO38" i="1"/>
  <c r="BP38" i="1" l="1"/>
  <c r="BP37" i="1"/>
  <c r="A201" i="17" l="1"/>
  <c r="A202" i="17"/>
  <c r="A203" i="17"/>
  <c r="A204" i="17"/>
  <c r="A197" i="17"/>
  <c r="A198" i="17"/>
  <c r="A199" i="17"/>
  <c r="A200" i="17"/>
  <c r="CW9" i="1" l="1"/>
  <c r="CW10" i="1"/>
  <c r="CW11" i="1"/>
  <c r="CW12" i="1"/>
  <c r="CV9" i="1"/>
  <c r="CV10" i="1"/>
  <c r="CV11" i="1"/>
  <c r="CV12" i="1"/>
  <c r="BL2" i="1"/>
  <c r="BN2" i="1" s="1"/>
  <c r="BM2" i="1" l="1"/>
  <c r="H310" i="9"/>
  <c r="BA4" i="7" l="1"/>
  <c r="BO5" i="7" l="1"/>
  <c r="B26" i="11" l="1"/>
  <c r="B25" i="11"/>
  <c r="A175" i="17"/>
  <c r="A176" i="17"/>
  <c r="A177" i="17"/>
  <c r="A178" i="17"/>
  <c r="A179" i="17"/>
  <c r="A180" i="17"/>
  <c r="A181" i="17"/>
  <c r="A182" i="17"/>
  <c r="A183" i="17"/>
  <c r="A184" i="17"/>
  <c r="A185" i="17"/>
  <c r="A186" i="17"/>
  <c r="A187" i="17"/>
  <c r="A188" i="17"/>
  <c r="A189" i="17"/>
  <c r="A190" i="17"/>
  <c r="A191" i="17"/>
  <c r="A192" i="17"/>
  <c r="A193" i="17"/>
  <c r="A194" i="17"/>
  <c r="A195" i="17"/>
  <c r="A196" i="17"/>
  <c r="B27" i="11" l="1"/>
  <c r="L8" i="2" s="1"/>
  <c r="K8" i="2" s="1"/>
  <c r="BO6" i="7"/>
  <c r="BN6" i="7"/>
  <c r="BN5" i="7"/>
  <c r="A170" i="17"/>
  <c r="A171" i="17"/>
  <c r="A172" i="17"/>
  <c r="A173" i="17"/>
  <c r="A174" i="17"/>
  <c r="A154" i="17"/>
  <c r="A155" i="17"/>
  <c r="A156" i="17"/>
  <c r="A157" i="17"/>
  <c r="A158" i="17"/>
  <c r="A159" i="17"/>
  <c r="A160" i="17"/>
  <c r="A161" i="17"/>
  <c r="A162" i="17"/>
  <c r="A163" i="17"/>
  <c r="A164" i="17"/>
  <c r="A165" i="17"/>
  <c r="A166" i="17"/>
  <c r="A167" i="17"/>
  <c r="A168" i="17"/>
  <c r="A169" i="17"/>
  <c r="C16" i="11"/>
  <c r="C17" i="11" a="1"/>
  <c r="H309" i="9"/>
  <c r="H308" i="9" l="1"/>
  <c r="C15" i="11"/>
  <c r="BA6" i="7" l="1"/>
  <c r="L20" i="2"/>
  <c r="K20" i="2" s="1"/>
  <c r="H307" i="9"/>
  <c r="BA3" i="7" l="1"/>
  <c r="C25" i="2" l="1"/>
  <c r="C16" i="2"/>
  <c r="H25" i="10" l="1"/>
  <c r="K19" i="2" l="1" a="1"/>
  <c r="BN9" i="7" l="1"/>
  <c r="A28" i="17" l="1"/>
  <c r="A18" i="17"/>
  <c r="C28" i="2" l="1"/>
  <c r="C27" i="2" l="1"/>
  <c r="C26" i="2"/>
  <c r="H306" i="9" l="1"/>
  <c r="A107" i="17" l="1"/>
  <c r="A106" i="17"/>
  <c r="A108" i="17"/>
  <c r="A147" i="17" l="1"/>
  <c r="A148" i="17"/>
  <c r="A149" i="17"/>
  <c r="A150" i="17"/>
  <c r="A151" i="17"/>
  <c r="A152" i="17"/>
  <c r="A153" i="17"/>
  <c r="A130" i="17"/>
  <c r="A131" i="17"/>
  <c r="A132" i="17"/>
  <c r="A133" i="17"/>
  <c r="A134" i="17"/>
  <c r="A135" i="17"/>
  <c r="A136" i="17"/>
  <c r="A137" i="17"/>
  <c r="A123" i="17"/>
  <c r="A124" i="17"/>
  <c r="A125" i="17"/>
  <c r="A126" i="17"/>
  <c r="A127" i="17"/>
  <c r="A128" i="17"/>
  <c r="A129" i="17"/>
  <c r="A138" i="17"/>
  <c r="A139" i="17"/>
  <c r="A140" i="17"/>
  <c r="A141" i="17"/>
  <c r="A142" i="17"/>
  <c r="A143" i="17"/>
  <c r="A144" i="17"/>
  <c r="A145" i="17"/>
  <c r="A146" i="17"/>
  <c r="A116" i="17"/>
  <c r="CP3" i="7" l="1"/>
  <c r="CP4" i="7"/>
  <c r="CP5" i="7"/>
  <c r="CP6" i="7"/>
  <c r="CP7" i="7"/>
  <c r="CP8" i="7"/>
  <c r="CP9" i="7"/>
  <c r="CP10" i="7"/>
  <c r="CP11" i="7"/>
  <c r="CP12" i="7"/>
  <c r="CP13" i="7"/>
  <c r="CP14" i="7"/>
  <c r="CP2" i="7"/>
  <c r="G27" i="17"/>
  <c r="G26" i="17"/>
  <c r="G24" i="17"/>
  <c r="G22" i="17"/>
  <c r="G23" i="17"/>
  <c r="CQ12" i="7" l="1"/>
  <c r="CY12" i="7"/>
  <c r="CX12" i="7"/>
  <c r="CQ14" i="7"/>
  <c r="CY14" i="7"/>
  <c r="CX14" i="7"/>
  <c r="CQ10" i="7"/>
  <c r="CY10" i="7"/>
  <c r="CX10" i="7"/>
  <c r="CQ9" i="7"/>
  <c r="CX9" i="7"/>
  <c r="CY9" i="7"/>
  <c r="CQ11" i="7"/>
  <c r="CX11" i="7"/>
  <c r="CY11" i="7"/>
  <c r="CR8" i="7"/>
  <c r="CY8" i="7"/>
  <c r="CX8" i="7"/>
  <c r="CQ13" i="7"/>
  <c r="CX13" i="7"/>
  <c r="CY13" i="7"/>
  <c r="CQ7" i="7"/>
  <c r="CX7" i="7"/>
  <c r="CY7" i="7"/>
  <c r="CQ6" i="7"/>
  <c r="CX6" i="7"/>
  <c r="CY6" i="7"/>
  <c r="CQ5" i="7"/>
  <c r="CX5" i="7"/>
  <c r="CY5" i="7"/>
  <c r="CQ2" i="7"/>
  <c r="CY2" i="7"/>
  <c r="CX2" i="7"/>
  <c r="CQ4" i="7"/>
  <c r="CY4" i="7"/>
  <c r="CX4" i="7"/>
  <c r="CQ3" i="7"/>
  <c r="CY3" i="7"/>
  <c r="CX3" i="7"/>
  <c r="CQ8" i="7"/>
  <c r="CR6" i="7"/>
  <c r="CR13" i="7"/>
  <c r="CR12" i="7"/>
  <c r="CR14" i="7"/>
  <c r="CR11" i="7"/>
  <c r="CR7" i="7"/>
  <c r="CR5" i="7"/>
  <c r="CR4" i="7"/>
  <c r="CR10" i="7"/>
  <c r="CR3" i="7"/>
  <c r="CR9" i="7"/>
  <c r="CR2" i="7"/>
  <c r="CT4" i="7" l="1" a="1"/>
  <c r="G135" i="17"/>
  <c r="G136" i="17"/>
  <c r="G137" i="17"/>
  <c r="G138" i="17"/>
  <c r="G139" i="17"/>
  <c r="G134" i="17"/>
  <c r="G132" i="17"/>
  <c r="G131" i="17"/>
  <c r="G133" i="17"/>
  <c r="G114" i="17"/>
  <c r="G111" i="17"/>
  <c r="G112" i="17"/>
  <c r="G115" i="17"/>
  <c r="G113" i="17"/>
  <c r="CT11" i="7" a="1"/>
  <c r="CS4" i="7" a="1"/>
  <c r="CT3" i="7" a="1"/>
  <c r="CT5" i="7" a="1"/>
  <c r="CS12" i="7" a="1"/>
  <c r="CS8" i="7" a="1"/>
  <c r="CT8" i="7" a="1"/>
  <c r="CS14" i="7" a="1"/>
  <c r="CT14" i="7" a="1"/>
  <c r="CT12" i="7" a="1"/>
  <c r="CS13" i="7" a="1"/>
  <c r="CS6" i="7" a="1"/>
  <c r="CT6" i="7" a="1"/>
  <c r="CS2" i="7" a="1"/>
  <c r="CS9" i="7" a="1"/>
  <c r="CS3" i="7" a="1"/>
  <c r="CS10" i="7" a="1"/>
  <c r="CT2" i="7" a="1"/>
  <c r="CT9" i="7" a="1"/>
  <c r="CS7" i="7" a="1"/>
  <c r="CT7" i="7" a="1"/>
  <c r="CS5" i="7" a="1"/>
  <c r="CT10" i="7" a="1"/>
  <c r="CS11" i="7" a="1"/>
  <c r="CT13" i="7" a="1"/>
  <c r="G102" i="17"/>
  <c r="A102" i="17"/>
  <c r="G103" i="17" l="1"/>
  <c r="CW8" i="7" l="1" a="1"/>
  <c r="CW13" i="7" a="1"/>
  <c r="CW7" i="7" a="1"/>
  <c r="CW6" i="7" a="1"/>
  <c r="CW5" i="7" a="1"/>
  <c r="CW4" i="7" a="1"/>
  <c r="CW2" i="7" a="1"/>
  <c r="CW12" i="7" a="1"/>
  <c r="CW9" i="7" a="1"/>
  <c r="CW11" i="7" a="1"/>
  <c r="CW14" i="7" a="1"/>
  <c r="CW10" i="7" a="1"/>
  <c r="CW3" i="7" a="1"/>
  <c r="AM2" i="1"/>
  <c r="AM3" i="1"/>
  <c r="AN3" i="1" s="1"/>
  <c r="AM4" i="1"/>
  <c r="AN4" i="1" s="1"/>
  <c r="AM5" i="1"/>
  <c r="AN5" i="1" s="1"/>
  <c r="AM6" i="1"/>
  <c r="AN6" i="1" s="1"/>
  <c r="AM7" i="1"/>
  <c r="AN7" i="1" s="1"/>
  <c r="AM8" i="1"/>
  <c r="AN8" i="1" s="1"/>
  <c r="AM9" i="1"/>
  <c r="AN9" i="1" s="1"/>
  <c r="AM10" i="1"/>
  <c r="AN10" i="1" s="1"/>
  <c r="AM11" i="1"/>
  <c r="AN11" i="1" s="1"/>
  <c r="AM12" i="1"/>
  <c r="AN12" i="1" s="1"/>
  <c r="CV3" i="1"/>
  <c r="CW3" i="1"/>
  <c r="CV4" i="1"/>
  <c r="CW4" i="1"/>
  <c r="CV5" i="1"/>
  <c r="CW5" i="1"/>
  <c r="CV6" i="1"/>
  <c r="CW6" i="1"/>
  <c r="CV7" i="1"/>
  <c r="CW7" i="1"/>
  <c r="CV8" i="1"/>
  <c r="CW8" i="1"/>
  <c r="BO18" i="1"/>
  <c r="BP18" i="1" s="1"/>
  <c r="BO20" i="1"/>
  <c r="BP20" i="1" s="1"/>
  <c r="BO25" i="1"/>
  <c r="BP25" i="1" s="1"/>
  <c r="BO6" i="1"/>
  <c r="BO27" i="1"/>
  <c r="BP27" i="1" s="1"/>
  <c r="BO10" i="1"/>
  <c r="BP10" i="1" s="1"/>
  <c r="BO34" i="1"/>
  <c r="BP34" i="1" s="1"/>
  <c r="BO8" i="1"/>
  <c r="BO7" i="1"/>
  <c r="BO26" i="1"/>
  <c r="BP26" i="1" s="1"/>
  <c r="BO11" i="1"/>
  <c r="BP11" i="1" s="1"/>
  <c r="BO32" i="1"/>
  <c r="BP32" i="1" s="1"/>
  <c r="BO3" i="1"/>
  <c r="BP3" i="1" s="1"/>
  <c r="BO22" i="1"/>
  <c r="BP22" i="1" s="1"/>
  <c r="BO9" i="1"/>
  <c r="BP9" i="1" s="1"/>
  <c r="BO21" i="1"/>
  <c r="BP21" i="1" s="1"/>
  <c r="BO12" i="1"/>
  <c r="BP12" i="1" s="1"/>
  <c r="BO23" i="1"/>
  <c r="BP23" i="1" s="1"/>
  <c r="BO4" i="1"/>
  <c r="BO15" i="1"/>
  <c r="BP15" i="1" s="1"/>
  <c r="BO35" i="1"/>
  <c r="BP35" i="1" s="1"/>
  <c r="BO13" i="1"/>
  <c r="BP13" i="1" s="1"/>
  <c r="BO31" i="1"/>
  <c r="BP31" i="1" s="1"/>
  <c r="BO17" i="1"/>
  <c r="BP17" i="1" s="1"/>
  <c r="BO16" i="1"/>
  <c r="BP16" i="1" s="1"/>
  <c r="BO2" i="1"/>
  <c r="BO36" i="1"/>
  <c r="BP36" i="1" s="1"/>
  <c r="BO30" i="1"/>
  <c r="BP30" i="1" s="1"/>
  <c r="BO24" i="1"/>
  <c r="BP24" i="1" s="1"/>
  <c r="BO28" i="1"/>
  <c r="BP28" i="1" s="1"/>
  <c r="BO5" i="1"/>
  <c r="BO29" i="1"/>
  <c r="BP29" i="1" s="1"/>
  <c r="BO14" i="1"/>
  <c r="BP14" i="1" s="1"/>
  <c r="BO33" i="1"/>
  <c r="BP33" i="1" s="1"/>
  <c r="G17" i="17" l="1"/>
  <c r="BH4" i="7"/>
  <c r="G116" i="17"/>
  <c r="BP2" i="1"/>
  <c r="BP5" i="1"/>
  <c r="BP4" i="1"/>
  <c r="BP6" i="1"/>
  <c r="BP7" i="1"/>
  <c r="BP8" i="1"/>
  <c r="H305" i="9" l="1"/>
  <c r="H228" i="9"/>
  <c r="H227" i="9"/>
  <c r="H226" i="9"/>
  <c r="H225" i="9"/>
  <c r="H224" i="9"/>
  <c r="H223" i="9"/>
  <c r="H222" i="9"/>
  <c r="H221" i="9"/>
  <c r="H220" i="9"/>
  <c r="H219" i="9"/>
  <c r="H218" i="9"/>
  <c r="H217" i="9"/>
  <c r="H216" i="9"/>
  <c r="H215" i="9"/>
  <c r="H214" i="9"/>
  <c r="H213" i="9"/>
  <c r="H212" i="9"/>
  <c r="H211" i="9"/>
  <c r="H210" i="9"/>
  <c r="H209" i="9"/>
  <c r="H208" i="9"/>
  <c r="H207" i="9"/>
  <c r="H206" i="9"/>
  <c r="H205" i="9"/>
  <c r="H204" i="9"/>
  <c r="H203" i="9"/>
  <c r="H202" i="9"/>
  <c r="H201" i="9"/>
  <c r="H200" i="9"/>
  <c r="H199" i="9"/>
  <c r="H198" i="9"/>
  <c r="H197" i="9"/>
  <c r="H196" i="9"/>
  <c r="H195" i="9"/>
  <c r="H194" i="9"/>
  <c r="H193" i="9"/>
  <c r="H192" i="9"/>
  <c r="H191" i="9"/>
  <c r="H190" i="9"/>
  <c r="H189" i="9"/>
  <c r="H188" i="9"/>
  <c r="H187" i="9"/>
  <c r="H186" i="9"/>
  <c r="H185" i="9"/>
  <c r="H184" i="9"/>
  <c r="H183" i="9"/>
  <c r="H182" i="9"/>
  <c r="H181" i="9"/>
  <c r="H180" i="9"/>
  <c r="H179" i="9"/>
  <c r="H178" i="9"/>
  <c r="H177" i="9"/>
  <c r="H176" i="9"/>
  <c r="H175" i="9"/>
  <c r="H174" i="9"/>
  <c r="H173" i="9"/>
  <c r="H172" i="9"/>
  <c r="H171" i="9"/>
  <c r="H170" i="9"/>
  <c r="H169" i="9"/>
  <c r="H168" i="9"/>
  <c r="H167" i="9"/>
  <c r="H166" i="9"/>
  <c r="H165" i="9"/>
  <c r="H164" i="9"/>
  <c r="H163" i="9"/>
  <c r="H162" i="9"/>
  <c r="H161" i="9"/>
  <c r="H160" i="9"/>
  <c r="H159" i="9"/>
  <c r="H158" i="9"/>
  <c r="H157" i="9"/>
  <c r="H156" i="9"/>
  <c r="H155" i="9"/>
  <c r="H154" i="9"/>
  <c r="H153" i="9"/>
  <c r="H152" i="9"/>
  <c r="H151" i="9"/>
  <c r="H150" i="9"/>
  <c r="H149" i="9"/>
  <c r="H148" i="9"/>
  <c r="H147" i="9"/>
  <c r="H146" i="9"/>
  <c r="H145" i="9"/>
  <c r="H144" i="9"/>
  <c r="H143" i="9"/>
  <c r="H142" i="9"/>
  <c r="H141" i="9"/>
  <c r="H140" i="9"/>
  <c r="H139" i="9"/>
  <c r="H138" i="9"/>
  <c r="H137" i="9"/>
  <c r="H136" i="9"/>
  <c r="H135" i="9"/>
  <c r="H134" i="9"/>
  <c r="H133" i="9"/>
  <c r="H132" i="9"/>
  <c r="H131" i="9"/>
  <c r="H130" i="9"/>
  <c r="H129" i="9"/>
  <c r="H128" i="9"/>
  <c r="H127" i="9"/>
  <c r="H126" i="9"/>
  <c r="H125" i="9"/>
  <c r="H124" i="9"/>
  <c r="H123" i="9"/>
  <c r="H122" i="9"/>
  <c r="H121" i="9"/>
  <c r="H120" i="9"/>
  <c r="H119" i="9"/>
  <c r="H118" i="9"/>
  <c r="H117" i="9"/>
  <c r="H116" i="9"/>
  <c r="H115" i="9"/>
  <c r="H114" i="9"/>
  <c r="H113" i="9"/>
  <c r="H112" i="9"/>
  <c r="H111" i="9"/>
  <c r="H110" i="9"/>
  <c r="H109" i="9"/>
  <c r="H108" i="9"/>
  <c r="H107" i="9"/>
  <c r="H106" i="9"/>
  <c r="H105" i="9"/>
  <c r="H104" i="9"/>
  <c r="H103" i="9"/>
  <c r="H102" i="9"/>
  <c r="H101" i="9"/>
  <c r="H100" i="9"/>
  <c r="H99" i="9"/>
  <c r="H98" i="9"/>
  <c r="H97" i="9"/>
  <c r="H96" i="9"/>
  <c r="H95" i="9"/>
  <c r="H94" i="9"/>
  <c r="H93" i="9"/>
  <c r="H92"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H229" i="9"/>
  <c r="BM10" i="7"/>
  <c r="BP10" i="7" s="1"/>
  <c r="BN11" i="7"/>
  <c r="BM6" i="7" l="1"/>
  <c r="G108" i="17" s="1"/>
  <c r="BM7" i="7"/>
  <c r="BM5" i="7"/>
  <c r="BO7" i="7"/>
  <c r="G105" i="17" l="1"/>
  <c r="G21" i="17"/>
  <c r="G107" i="17"/>
  <c r="BO9" i="7"/>
  <c r="BO11" i="7" s="1"/>
  <c r="G25" i="17"/>
  <c r="BP6" i="7"/>
  <c r="G20" i="17"/>
  <c r="BP7" i="7"/>
  <c r="BP5" i="7"/>
  <c r="S5" i="9" l="1"/>
  <c r="S4" i="9"/>
  <c r="S6" i="9"/>
  <c r="H304" i="9"/>
  <c r="H303" i="9"/>
  <c r="A200" i="27"/>
  <c r="A199" i="27"/>
  <c r="A198" i="27"/>
  <c r="A197" i="27"/>
  <c r="A196" i="27"/>
  <c r="A195" i="27"/>
  <c r="A194" i="27"/>
  <c r="A193" i="27"/>
  <c r="A192" i="27"/>
  <c r="A191" i="27"/>
  <c r="A190" i="27"/>
  <c r="A189" i="27"/>
  <c r="A188" i="27"/>
  <c r="A187" i="27"/>
  <c r="A186" i="27"/>
  <c r="A185" i="27"/>
  <c r="A184" i="27"/>
  <c r="A183" i="27"/>
  <c r="A182" i="27"/>
  <c r="A181" i="27"/>
  <c r="A180" i="27"/>
  <c r="A179" i="27"/>
  <c r="A178" i="27"/>
  <c r="A177" i="27"/>
  <c r="A176" i="27"/>
  <c r="A175" i="27"/>
  <c r="A174" i="27"/>
  <c r="A173" i="27"/>
  <c r="A172" i="27"/>
  <c r="A171" i="27"/>
  <c r="A170" i="27"/>
  <c r="A169"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0" i="27"/>
  <c r="A9" i="27"/>
  <c r="A8" i="27"/>
  <c r="A7" i="27"/>
  <c r="A6" i="27"/>
  <c r="A5" i="27"/>
  <c r="A4" i="27"/>
  <c r="A3" i="27"/>
  <c r="A2" i="27"/>
  <c r="H302" i="9" l="1"/>
  <c r="H301" i="9"/>
  <c r="CD13" i="7" l="1"/>
  <c r="A65" i="17"/>
  <c r="A62" i="17"/>
  <c r="A59" i="17"/>
  <c r="A60" i="17"/>
  <c r="A61" i="17"/>
  <c r="A63" i="17"/>
  <c r="A64" i="17"/>
  <c r="CL2" i="7"/>
  <c r="G59" i="17" s="1"/>
  <c r="CK2" i="7"/>
  <c r="G58" i="17" s="1"/>
  <c r="CJ2" i="7"/>
  <c r="G57" i="17" s="1"/>
  <c r="CL3" i="7" l="1"/>
  <c r="G65" i="17"/>
  <c r="G61" i="17"/>
  <c r="G60" i="17"/>
  <c r="G64" i="17"/>
  <c r="G63" i="17"/>
  <c r="G62" i="17" l="1"/>
  <c r="K21" i="2"/>
  <c r="H19" i="10"/>
  <c r="H20" i="10"/>
  <c r="C17" i="2"/>
  <c r="F4" i="16" s="1"/>
  <c r="F11" i="16" s="1"/>
  <c r="H300" i="9" l="1"/>
  <c r="F2" i="11" l="1"/>
  <c r="H299" i="9" l="1"/>
  <c r="H298" i="9" l="1"/>
  <c r="C3" i="2" l="1" a="1"/>
  <c r="C20" i="2"/>
  <c r="C15" i="2"/>
  <c r="C13" i="2"/>
  <c r="C10" i="2"/>
  <c r="C9" i="2"/>
  <c r="H297" i="9"/>
  <c r="H295" i="9"/>
  <c r="H296" i="9"/>
  <c r="K25" i="10"/>
  <c r="K26" i="10"/>
  <c r="K27" i="10"/>
  <c r="K28" i="10"/>
  <c r="S2" i="9"/>
  <c r="S3" i="9"/>
  <c r="D14" i="16"/>
  <c r="CF11" i="7"/>
  <c r="CF12" i="7" s="1"/>
  <c r="CF13" i="7" s="1"/>
  <c r="CU8" i="7" l="1"/>
  <c r="CU3" i="7"/>
  <c r="CU10" i="7"/>
  <c r="CU9" i="7"/>
  <c r="CU4" i="7"/>
  <c r="CU5" i="7"/>
  <c r="CU11" i="7"/>
  <c r="CU14" i="7"/>
  <c r="CU6" i="7"/>
  <c r="CU7" i="7"/>
  <c r="CU13" i="7"/>
  <c r="CU12" i="7"/>
  <c r="CU2" i="7"/>
  <c r="G140" i="17" l="1"/>
  <c r="F6" i="11"/>
  <c r="K55" i="9" l="1"/>
  <c r="BG5" i="7" l="1"/>
  <c r="BG4" i="7"/>
  <c r="BG3" i="7"/>
  <c r="BG7" i="7" s="1"/>
  <c r="BB5" i="7" l="1"/>
  <c r="BD5" i="7"/>
  <c r="BD4" i="7"/>
  <c r="BD3" i="7"/>
  <c r="BF4" i="7"/>
  <c r="BF5" i="7"/>
  <c r="BF3" i="7"/>
  <c r="BE5" i="7"/>
  <c r="BE4" i="7"/>
  <c r="BE3" i="7"/>
  <c r="BC5" i="7"/>
  <c r="BC4" i="7"/>
  <c r="BC3" i="7"/>
  <c r="BA5" i="7"/>
  <c r="BA7" i="7" s="1"/>
  <c r="BD7" i="7" l="1"/>
  <c r="BF7" i="7"/>
  <c r="BE7" i="7"/>
  <c r="BC7" i="7"/>
  <c r="F7" i="11"/>
  <c r="F8" i="11"/>
  <c r="F11" i="11"/>
  <c r="F12" i="11"/>
  <c r="F3" i="11"/>
  <c r="BB3" i="7"/>
  <c r="F4" i="11"/>
  <c r="BB4" i="7"/>
  <c r="C6" i="2"/>
  <c r="BB7" i="7" l="1"/>
  <c r="B22" i="11"/>
  <c r="F9" i="11"/>
  <c r="F10" i="11"/>
  <c r="F13" i="11" l="1"/>
  <c r="F14" i="11" s="1"/>
  <c r="F17" i="11"/>
  <c r="F5" i="11"/>
  <c r="F16" i="11"/>
  <c r="BS1" i="7"/>
  <c r="V2" i="2" l="1"/>
  <c r="K274" i="9" l="1"/>
  <c r="K273" i="9"/>
  <c r="K272" i="9"/>
  <c r="K271" i="9"/>
  <c r="K270" i="9"/>
  <c r="K269" i="9"/>
  <c r="K268" i="9"/>
  <c r="K267" i="9"/>
  <c r="K266" i="9"/>
  <c r="K265" i="9"/>
  <c r="K264" i="9"/>
  <c r="K263" i="9"/>
  <c r="K262" i="9"/>
  <c r="K261" i="9"/>
  <c r="K260" i="9"/>
  <c r="K259" i="9"/>
  <c r="K258" i="9"/>
  <c r="K257" i="9"/>
  <c r="K256" i="9"/>
  <c r="K255" i="9"/>
  <c r="K254" i="9"/>
  <c r="K253" i="9"/>
  <c r="K252" i="9"/>
  <c r="K251" i="9"/>
  <c r="K250" i="9"/>
  <c r="K249" i="9"/>
  <c r="K248" i="9"/>
  <c r="K247" i="9"/>
  <c r="K246" i="9"/>
  <c r="K245" i="9"/>
  <c r="K244" i="9"/>
  <c r="K243" i="9"/>
  <c r="K242" i="9"/>
  <c r="K241" i="9"/>
  <c r="K240" i="9"/>
  <c r="K239" i="9"/>
  <c r="K238" i="9"/>
  <c r="K237" i="9"/>
  <c r="K236" i="9"/>
  <c r="K235" i="9"/>
  <c r="K234" i="9"/>
  <c r="K233" i="9"/>
  <c r="K232" i="9"/>
  <c r="K231" i="9"/>
  <c r="K230" i="9"/>
  <c r="K229" i="9"/>
  <c r="K228" i="9"/>
  <c r="K227" i="9"/>
  <c r="K226" i="9"/>
  <c r="K225" i="9"/>
  <c r="K224" i="9"/>
  <c r="K223" i="9"/>
  <c r="K222" i="9"/>
  <c r="K221" i="9"/>
  <c r="K220" i="9"/>
  <c r="K219" i="9"/>
  <c r="K218" i="9"/>
  <c r="K217" i="9"/>
  <c r="K216" i="9"/>
  <c r="K215" i="9"/>
  <c r="K214" i="9"/>
  <c r="K213" i="9"/>
  <c r="K212" i="9"/>
  <c r="K211" i="9"/>
  <c r="K210" i="9"/>
  <c r="K209" i="9"/>
  <c r="K208" i="9"/>
  <c r="K207" i="9"/>
  <c r="K206" i="9"/>
  <c r="K205" i="9"/>
  <c r="K204" i="9"/>
  <c r="K203" i="9"/>
  <c r="K202" i="9"/>
  <c r="K201" i="9"/>
  <c r="K200" i="9"/>
  <c r="K199" i="9"/>
  <c r="K198" i="9"/>
  <c r="K197" i="9"/>
  <c r="K196" i="9"/>
  <c r="K195" i="9"/>
  <c r="K194" i="9"/>
  <c r="K193" i="9"/>
  <c r="K192" i="9"/>
  <c r="K191" i="9"/>
  <c r="K190" i="9"/>
  <c r="K189" i="9"/>
  <c r="K188" i="9"/>
  <c r="K187" i="9"/>
  <c r="K186" i="9"/>
  <c r="K185" i="9"/>
  <c r="K184" i="9"/>
  <c r="K183" i="9"/>
  <c r="K182" i="9"/>
  <c r="K181" i="9"/>
  <c r="K180" i="9"/>
  <c r="K179" i="9"/>
  <c r="K178" i="9"/>
  <c r="K177" i="9"/>
  <c r="K176" i="9"/>
  <c r="K175" i="9"/>
  <c r="K174" i="9"/>
  <c r="K173" i="9"/>
  <c r="K172" i="9"/>
  <c r="K171" i="9"/>
  <c r="K170" i="9"/>
  <c r="K169" i="9"/>
  <c r="K168" i="9"/>
  <c r="K167" i="9"/>
  <c r="K166" i="9"/>
  <c r="K165" i="9"/>
  <c r="K164" i="9"/>
  <c r="K163" i="9"/>
  <c r="K162" i="9"/>
  <c r="K161" i="9"/>
  <c r="K160" i="9"/>
  <c r="K159" i="9"/>
  <c r="K158" i="9"/>
  <c r="K157" i="9"/>
  <c r="K156" i="9"/>
  <c r="K155" i="9"/>
  <c r="K154" i="9"/>
  <c r="K153" i="9"/>
  <c r="K152" i="9"/>
  <c r="K151" i="9"/>
  <c r="K150" i="9"/>
  <c r="K149" i="9"/>
  <c r="K148" i="9"/>
  <c r="K147" i="9"/>
  <c r="K146" i="9"/>
  <c r="K145" i="9"/>
  <c r="K144" i="9"/>
  <c r="K143" i="9"/>
  <c r="K142" i="9"/>
  <c r="K141" i="9"/>
  <c r="K140" i="9"/>
  <c r="K139" i="9"/>
  <c r="K138" i="9"/>
  <c r="K137" i="9"/>
  <c r="K136" i="9"/>
  <c r="K135" i="9"/>
  <c r="K134" i="9"/>
  <c r="K133" i="9"/>
  <c r="K132" i="9"/>
  <c r="K131" i="9"/>
  <c r="K130" i="9"/>
  <c r="K129" i="9"/>
  <c r="K128" i="9"/>
  <c r="K127" i="9"/>
  <c r="K126" i="9"/>
  <c r="K125" i="9"/>
  <c r="K124" i="9"/>
  <c r="K123" i="9"/>
  <c r="K122" i="9"/>
  <c r="K121" i="9"/>
  <c r="K120" i="9"/>
  <c r="K119" i="9"/>
  <c r="K118" i="9"/>
  <c r="K117" i="9"/>
  <c r="K116" i="9"/>
  <c r="K115" i="9"/>
  <c r="K114" i="9"/>
  <c r="K113" i="9"/>
  <c r="K112" i="9"/>
  <c r="K111" i="9"/>
  <c r="K110" i="9"/>
  <c r="K109" i="9"/>
  <c r="K108" i="9"/>
  <c r="K107" i="9"/>
  <c r="K106" i="9"/>
  <c r="K105" i="9"/>
  <c r="K104" i="9"/>
  <c r="K103" i="9"/>
  <c r="K102" i="9"/>
  <c r="K101" i="9"/>
  <c r="K100" i="9"/>
  <c r="K99" i="9"/>
  <c r="K98" i="9"/>
  <c r="K97" i="9"/>
  <c r="K96" i="9"/>
  <c r="K95" i="9"/>
  <c r="K94" i="9"/>
  <c r="K93" i="9"/>
  <c r="K92" i="9"/>
  <c r="K91" i="9"/>
  <c r="K90" i="9"/>
  <c r="K89" i="9"/>
  <c r="K88" i="9"/>
  <c r="K87" i="9"/>
  <c r="K86" i="9"/>
  <c r="K85" i="9"/>
  <c r="K84" i="9"/>
  <c r="K83" i="9"/>
  <c r="K82" i="9"/>
  <c r="K81" i="9"/>
  <c r="K80" i="9"/>
  <c r="K79" i="9"/>
  <c r="K78" i="9"/>
  <c r="K77" i="9"/>
  <c r="K76" i="9"/>
  <c r="K75" i="9"/>
  <c r="K74" i="9"/>
  <c r="K73" i="9"/>
  <c r="K72" i="9"/>
  <c r="K71" i="9"/>
  <c r="K70" i="9"/>
  <c r="K69" i="9"/>
  <c r="K68" i="9"/>
  <c r="K67" i="9"/>
  <c r="K66" i="9"/>
  <c r="K64" i="9"/>
  <c r="K63" i="9"/>
  <c r="K62" i="9"/>
  <c r="K61" i="9"/>
  <c r="K60" i="9"/>
  <c r="K59" i="9"/>
  <c r="K58" i="9"/>
  <c r="K57" i="9"/>
  <c r="K56"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K22" i="9"/>
  <c r="K21" i="9"/>
  <c r="K20" i="9"/>
  <c r="K19" i="9"/>
  <c r="K18" i="9"/>
  <c r="K17" i="9"/>
  <c r="K16" i="9"/>
  <c r="K15" i="9"/>
  <c r="K14" i="9"/>
  <c r="K13" i="9"/>
  <c r="K12" i="9"/>
  <c r="K11" i="9"/>
  <c r="K10" i="9"/>
  <c r="K9" i="9"/>
  <c r="K8" i="9"/>
  <c r="K6" i="9"/>
  <c r="K5" i="9"/>
  <c r="K4" i="9"/>
  <c r="K3" i="9"/>
  <c r="K2" i="9"/>
  <c r="AI2" i="1" l="1"/>
  <c r="AJ2" i="1"/>
  <c r="AK2" i="1"/>
  <c r="AL2" i="1"/>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4" i="7" l="1" a="1"/>
  <c r="I5" i="7" s="1"/>
  <c r="I24" i="7"/>
  <c r="I25" i="7"/>
  <c r="I15" i="7"/>
  <c r="I16" i="7"/>
  <c r="I17" i="7"/>
  <c r="I18" i="7"/>
  <c r="I19" i="7"/>
  <c r="I20" i="7"/>
  <c r="I21" i="7"/>
  <c r="I22" i="7"/>
  <c r="I23" i="7"/>
  <c r="S15" i="7"/>
  <c r="O17" i="7"/>
  <c r="K19" i="7"/>
  <c r="P20" i="7"/>
  <c r="L22" i="7"/>
  <c r="Q23" i="7"/>
  <c r="M25" i="7"/>
  <c r="K16" i="7"/>
  <c r="P17" i="7"/>
  <c r="L19" i="7"/>
  <c r="Q20" i="7"/>
  <c r="M22" i="7"/>
  <c r="R23" i="7"/>
  <c r="N25" i="7"/>
  <c r="L16" i="7"/>
  <c r="Q17" i="7"/>
  <c r="M19" i="7"/>
  <c r="R20" i="7"/>
  <c r="N22" i="7"/>
  <c r="S23" i="7"/>
  <c r="O25" i="7"/>
  <c r="M16" i="7"/>
  <c r="R17" i="7"/>
  <c r="N19" i="7"/>
  <c r="S20" i="7"/>
  <c r="O22" i="7"/>
  <c r="K24" i="7"/>
  <c r="P25" i="7"/>
  <c r="N16" i="7"/>
  <c r="S17" i="7"/>
  <c r="O19" i="7"/>
  <c r="K21" i="7"/>
  <c r="P22" i="7"/>
  <c r="L24" i="7"/>
  <c r="Q25" i="7"/>
  <c r="O16" i="7"/>
  <c r="K18" i="7"/>
  <c r="P19" i="7"/>
  <c r="L21" i="7"/>
  <c r="Q22" i="7"/>
  <c r="M24" i="7"/>
  <c r="R25" i="7"/>
  <c r="K15" i="7"/>
  <c r="P16" i="7"/>
  <c r="L18" i="7"/>
  <c r="Q19" i="7"/>
  <c r="M21" i="7"/>
  <c r="R22" i="7"/>
  <c r="N24" i="7"/>
  <c r="S25" i="7"/>
  <c r="L15" i="7"/>
  <c r="Q16" i="7"/>
  <c r="M18" i="7"/>
  <c r="R19" i="7"/>
  <c r="N21" i="7"/>
  <c r="S22" i="7"/>
  <c r="O24" i="7"/>
  <c r="M15" i="7"/>
  <c r="R16" i="7"/>
  <c r="N18" i="7"/>
  <c r="S19" i="7"/>
  <c r="O21" i="7"/>
  <c r="K23" i="7"/>
  <c r="P24" i="7"/>
  <c r="N15" i="7"/>
  <c r="S16" i="7"/>
  <c r="O18" i="7"/>
  <c r="K20" i="7"/>
  <c r="P21" i="7"/>
  <c r="L23" i="7"/>
  <c r="Q24" i="7"/>
  <c r="O15" i="7"/>
  <c r="K17" i="7"/>
  <c r="P18" i="7"/>
  <c r="L20" i="7"/>
  <c r="Q21" i="7"/>
  <c r="M23" i="7"/>
  <c r="R24" i="7"/>
  <c r="P15" i="7"/>
  <c r="L17" i="7"/>
  <c r="Q18" i="7"/>
  <c r="M20" i="7"/>
  <c r="R21" i="7"/>
  <c r="N23" i="7"/>
  <c r="S24" i="7"/>
  <c r="Q15" i="7"/>
  <c r="M17" i="7"/>
  <c r="R18" i="7"/>
  <c r="N20" i="7"/>
  <c r="S21" i="7"/>
  <c r="O23" i="7"/>
  <c r="K25" i="7"/>
  <c r="R15" i="7"/>
  <c r="N17" i="7"/>
  <c r="S18" i="7"/>
  <c r="O20" i="7"/>
  <c r="K22" i="7"/>
  <c r="P23" i="7"/>
  <c r="L25" i="7"/>
  <c r="G16" i="17"/>
  <c r="AN2" i="1"/>
  <c r="AN17" i="1" s="1"/>
  <c r="Z15" i="7"/>
  <c r="AD15" i="7"/>
  <c r="AH15" i="7"/>
  <c r="AC16" i="7"/>
  <c r="AG16" i="7"/>
  <c r="AB17" i="7"/>
  <c r="AF17" i="7"/>
  <c r="AA18" i="7"/>
  <c r="AE18" i="7"/>
  <c r="Z19" i="7"/>
  <c r="AD19" i="7"/>
  <c r="AH19" i="7"/>
  <c r="AC20" i="7"/>
  <c r="AG20" i="7"/>
  <c r="AB21" i="7"/>
  <c r="AF21" i="7"/>
  <c r="AA22" i="7"/>
  <c r="AE22" i="7"/>
  <c r="Z23" i="7"/>
  <c r="AD23" i="7"/>
  <c r="AH23" i="7"/>
  <c r="AC24" i="7"/>
  <c r="AG24" i="7"/>
  <c r="AB25" i="7"/>
  <c r="AF25" i="7"/>
  <c r="AA15" i="7"/>
  <c r="AE15" i="7"/>
  <c r="Z16" i="7"/>
  <c r="AD16" i="7"/>
  <c r="AH16" i="7"/>
  <c r="AC17" i="7"/>
  <c r="AG17" i="7"/>
  <c r="AB18" i="7"/>
  <c r="AF18" i="7"/>
  <c r="AA19" i="7"/>
  <c r="AE19" i="7"/>
  <c r="Z20" i="7"/>
  <c r="AD20" i="7"/>
  <c r="AH20" i="7"/>
  <c r="AC21" i="7"/>
  <c r="AG21" i="7"/>
  <c r="AB22" i="7"/>
  <c r="AF22" i="7"/>
  <c r="AA23" i="7"/>
  <c r="AE23" i="7"/>
  <c r="Z24" i="7"/>
  <c r="AD24" i="7"/>
  <c r="AH24" i="7"/>
  <c r="AC25" i="7"/>
  <c r="AG25" i="7"/>
  <c r="AB15" i="7"/>
  <c r="AF15" i="7"/>
  <c r="AA16" i="7"/>
  <c r="AE16" i="7"/>
  <c r="Z17" i="7"/>
  <c r="AD17" i="7"/>
  <c r="AH17" i="7"/>
  <c r="AC18" i="7"/>
  <c r="AG18" i="7"/>
  <c r="AB19" i="7"/>
  <c r="AF19" i="7"/>
  <c r="AA20" i="7"/>
  <c r="AE20" i="7"/>
  <c r="Z21" i="7"/>
  <c r="AD21" i="7"/>
  <c r="AH21" i="7"/>
  <c r="AC22" i="7"/>
  <c r="AG22" i="7"/>
  <c r="AB23" i="7"/>
  <c r="AF23" i="7"/>
  <c r="AA24" i="7"/>
  <c r="AE24" i="7"/>
  <c r="Z25" i="7"/>
  <c r="AD25" i="7"/>
  <c r="AH25" i="7"/>
  <c r="AC15" i="7"/>
  <c r="AG15" i="7"/>
  <c r="AB16" i="7"/>
  <c r="AF16" i="7"/>
  <c r="AA17" i="7"/>
  <c r="AE17" i="7"/>
  <c r="Z18" i="7"/>
  <c r="AD18" i="7"/>
  <c r="AH18" i="7"/>
  <c r="AC19" i="7"/>
  <c r="AG19" i="7"/>
  <c r="AB20" i="7"/>
  <c r="AF20" i="7"/>
  <c r="AA21" i="7"/>
  <c r="AE21" i="7"/>
  <c r="Z22" i="7"/>
  <c r="AD22" i="7"/>
  <c r="AH22" i="7"/>
  <c r="AC23" i="7"/>
  <c r="AG23" i="7"/>
  <c r="AB24" i="7"/>
  <c r="AF24" i="7"/>
  <c r="AA25" i="7"/>
  <c r="AE25" i="7"/>
  <c r="AH2" i="1"/>
  <c r="H26" i="10"/>
  <c r="H27" i="10"/>
  <c r="M14" i="7" l="1"/>
  <c r="K14" i="7"/>
  <c r="P14" i="7"/>
  <c r="L14" i="7"/>
  <c r="N14" i="7"/>
  <c r="S14" i="7"/>
  <c r="Q14" i="7"/>
  <c r="O14" i="7"/>
  <c r="R14" i="7"/>
  <c r="I14" i="7"/>
  <c r="I6" i="7"/>
  <c r="I12" i="7"/>
  <c r="I11" i="7"/>
  <c r="I13" i="7"/>
  <c r="I7" i="7"/>
  <c r="I10" i="7"/>
  <c r="I8" i="7"/>
  <c r="I9" i="7"/>
  <c r="J21" i="7"/>
  <c r="J16" i="7"/>
  <c r="J17" i="7"/>
  <c r="J22" i="7"/>
  <c r="J20" i="7"/>
  <c r="J19" i="7"/>
  <c r="J24" i="7"/>
  <c r="J15" i="7"/>
  <c r="J25" i="7"/>
  <c r="J18" i="7"/>
  <c r="J23" i="7"/>
  <c r="Y21" i="7"/>
  <c r="Y19" i="7"/>
  <c r="Y17" i="7"/>
  <c r="Y24" i="7"/>
  <c r="Y15" i="7"/>
  <c r="Y22" i="7"/>
  <c r="Y20" i="7"/>
  <c r="Y18" i="7"/>
  <c r="Y25" i="7"/>
  <c r="Y16" i="7"/>
  <c r="Y23" i="7"/>
  <c r="D25" i="7"/>
  <c r="C25" i="7"/>
  <c r="J14" i="7" l="1"/>
  <c r="E25" i="7"/>
  <c r="K16" i="2" l="1"/>
  <c r="A105" i="17" l="1"/>
  <c r="H28" i="10" l="1"/>
  <c r="N7" i="10"/>
  <c r="O6" i="10"/>
  <c r="N6" i="10"/>
  <c r="O5" i="10"/>
  <c r="N5" i="10"/>
  <c r="N4" i="10"/>
  <c r="N3" i="10"/>
  <c r="N2" i="10"/>
  <c r="V14" i="24"/>
  <c r="V15" i="24" s="1"/>
  <c r="AW3" i="26"/>
  <c r="BM36" i="25"/>
  <c r="BO35" i="25"/>
  <c r="BM34" i="25"/>
  <c r="BO33" i="25"/>
  <c r="BF31" i="25"/>
  <c r="BO31" i="25" s="1"/>
  <c r="BF30" i="25"/>
  <c r="BF29" i="25"/>
  <c r="BF28" i="25"/>
  <c r="BN27" i="25"/>
  <c r="BL24" i="25"/>
  <c r="BO24" i="25" s="1"/>
  <c r="BF24" i="25"/>
  <c r="BI24" i="25" s="1"/>
  <c r="BF20" i="25"/>
  <c r="BG18" i="25"/>
  <c r="AC18" i="25" s="1"/>
  <c r="BF18" i="25"/>
  <c r="BG17" i="25"/>
  <c r="AC17" i="25" s="1"/>
  <c r="BF17" i="25"/>
  <c r="BG16" i="25"/>
  <c r="BF16" i="25"/>
  <c r="BG15" i="25"/>
  <c r="AC15" i="25" s="1"/>
  <c r="BF15" i="25"/>
  <c r="BN14" i="25"/>
  <c r="BN29" i="25" s="1"/>
  <c r="BO29" i="25" s="1"/>
  <c r="BG14" i="25"/>
  <c r="BL11" i="25"/>
  <c r="BF11" i="25"/>
  <c r="BI11" i="25" s="1"/>
  <c r="BL7" i="25"/>
  <c r="BF7" i="25"/>
  <c r="CJ5" i="25"/>
  <c r="BG5" i="25"/>
  <c r="AC5" i="25" s="1"/>
  <c r="BF5" i="25"/>
  <c r="CJ4" i="25"/>
  <c r="BG4" i="25"/>
  <c r="AC4" i="25" s="1"/>
  <c r="AE4" i="25" s="1" a="1"/>
  <c r="BF4" i="25"/>
  <c r="CJ3" i="25"/>
  <c r="BG3" i="25"/>
  <c r="AC3" i="25" s="1"/>
  <c r="BF3" i="25"/>
  <c r="CJ2" i="25"/>
  <c r="BG2" i="25"/>
  <c r="AC2" i="25" s="1"/>
  <c r="BF2" i="25"/>
  <c r="BN1" i="25"/>
  <c r="CW2" i="1"/>
  <c r="CU2" i="1"/>
  <c r="CV2" i="1" s="1"/>
  <c r="BO19" i="1"/>
  <c r="BP19" i="1" s="1"/>
  <c r="BP42" i="1" s="1"/>
  <c r="E13" i="11"/>
  <c r="C23" i="7"/>
  <c r="C9" i="16"/>
  <c r="C7" i="16"/>
  <c r="C4" i="16"/>
  <c r="A1" i="16"/>
  <c r="BV14" i="7"/>
  <c r="BU14" i="7"/>
  <c r="BT14" i="7"/>
  <c r="BV13" i="7"/>
  <c r="BU13" i="7"/>
  <c r="BT13" i="7"/>
  <c r="BV12" i="7"/>
  <c r="BU12" i="7"/>
  <c r="BT12" i="7"/>
  <c r="BV11" i="7"/>
  <c r="BU11" i="7"/>
  <c r="BT11" i="7"/>
  <c r="BV10" i="7"/>
  <c r="BU10" i="7"/>
  <c r="BT10" i="7"/>
  <c r="BV9" i="7"/>
  <c r="BU9" i="7"/>
  <c r="BT9" i="7"/>
  <c r="BV8" i="7"/>
  <c r="BU8" i="7"/>
  <c r="BT8" i="7"/>
  <c r="BV7" i="7"/>
  <c r="BU7" i="7"/>
  <c r="BT7" i="7"/>
  <c r="BV6" i="7"/>
  <c r="BU6" i="7"/>
  <c r="BT6" i="7"/>
  <c r="BV5" i="7"/>
  <c r="BU5" i="7"/>
  <c r="BT5" i="7"/>
  <c r="BV4" i="7"/>
  <c r="BU4" i="7"/>
  <c r="BT4" i="7"/>
  <c r="BV3" i="7"/>
  <c r="BU3" i="7"/>
  <c r="BT3" i="7"/>
  <c r="Q122" i="17"/>
  <c r="P122" i="17"/>
  <c r="A122" i="17"/>
  <c r="Q121" i="17"/>
  <c r="P121" i="17"/>
  <c r="A121" i="17"/>
  <c r="Q120" i="17"/>
  <c r="P120" i="17"/>
  <c r="A120" i="17"/>
  <c r="Q119" i="17"/>
  <c r="P119" i="17"/>
  <c r="A119" i="17"/>
  <c r="Q118" i="17"/>
  <c r="P118" i="17"/>
  <c r="A118" i="17"/>
  <c r="Q117" i="17"/>
  <c r="P117" i="17"/>
  <c r="A117" i="17"/>
  <c r="Q115" i="17"/>
  <c r="P115" i="17"/>
  <c r="A115" i="17"/>
  <c r="Q114" i="17"/>
  <c r="P114" i="17"/>
  <c r="A114" i="17"/>
  <c r="Q113" i="17"/>
  <c r="P113" i="17"/>
  <c r="A113" i="17"/>
  <c r="Q112" i="17"/>
  <c r="P112" i="17"/>
  <c r="A112" i="17"/>
  <c r="Q111" i="17"/>
  <c r="P111" i="17"/>
  <c r="A111" i="17"/>
  <c r="G110" i="17"/>
  <c r="A110" i="17"/>
  <c r="G109" i="17"/>
  <c r="A109" i="17"/>
  <c r="A104" i="17"/>
  <c r="A103" i="17"/>
  <c r="Q101" i="17"/>
  <c r="P101" i="17"/>
  <c r="A101" i="17"/>
  <c r="Q100" i="17"/>
  <c r="P100" i="17"/>
  <c r="A100" i="17"/>
  <c r="Q99" i="17"/>
  <c r="P99" i="17"/>
  <c r="A99" i="17"/>
  <c r="Q98" i="17"/>
  <c r="P98" i="17"/>
  <c r="A98" i="17"/>
  <c r="Q97" i="17"/>
  <c r="P97" i="17"/>
  <c r="A97" i="17"/>
  <c r="Q96" i="17"/>
  <c r="P96" i="17"/>
  <c r="A96" i="17"/>
  <c r="Q95" i="17"/>
  <c r="P95" i="17"/>
  <c r="G95" i="17"/>
  <c r="A95" i="17"/>
  <c r="Q94" i="17"/>
  <c r="P94" i="17"/>
  <c r="G94" i="17"/>
  <c r="A94" i="17"/>
  <c r="Q93" i="17"/>
  <c r="P93" i="17"/>
  <c r="G93" i="17"/>
  <c r="A93" i="17"/>
  <c r="Q92" i="17"/>
  <c r="P92" i="17"/>
  <c r="A92" i="17"/>
  <c r="Q91" i="17"/>
  <c r="P91" i="17"/>
  <c r="A91" i="17"/>
  <c r="Q90" i="17"/>
  <c r="P90" i="17"/>
  <c r="A90" i="17"/>
  <c r="Q89" i="17"/>
  <c r="P89" i="17"/>
  <c r="G89" i="17"/>
  <c r="A89" i="17"/>
  <c r="Q88" i="17"/>
  <c r="P88" i="17"/>
  <c r="G88" i="17"/>
  <c r="A88" i="17"/>
  <c r="Q87" i="17"/>
  <c r="P87" i="17"/>
  <c r="G87" i="17"/>
  <c r="A87" i="17"/>
  <c r="Q86" i="17"/>
  <c r="P86" i="17"/>
  <c r="G86" i="17"/>
  <c r="A86" i="17"/>
  <c r="Q85" i="17"/>
  <c r="P85" i="17"/>
  <c r="G85" i="17"/>
  <c r="A85" i="17"/>
  <c r="Q84" i="17"/>
  <c r="P84" i="17"/>
  <c r="G84" i="17"/>
  <c r="A84" i="17"/>
  <c r="Q83" i="17"/>
  <c r="P83" i="17"/>
  <c r="G83" i="17"/>
  <c r="A83" i="17"/>
  <c r="Q82" i="17"/>
  <c r="P82" i="17"/>
  <c r="G82" i="17"/>
  <c r="A82" i="17"/>
  <c r="Q81" i="17"/>
  <c r="P81" i="17"/>
  <c r="G81" i="17"/>
  <c r="A81" i="17"/>
  <c r="Q80" i="17"/>
  <c r="P80" i="17"/>
  <c r="G80" i="17"/>
  <c r="A80" i="17"/>
  <c r="Q79" i="17"/>
  <c r="P79" i="17"/>
  <c r="G79" i="17"/>
  <c r="A79" i="17"/>
  <c r="Q78" i="17"/>
  <c r="P78" i="17"/>
  <c r="G78" i="17"/>
  <c r="A78" i="17"/>
  <c r="Q77" i="17"/>
  <c r="P77" i="17"/>
  <c r="G77" i="17"/>
  <c r="A77" i="17"/>
  <c r="Q76" i="17"/>
  <c r="P76" i="17"/>
  <c r="G76" i="17"/>
  <c r="A76" i="17"/>
  <c r="Q75" i="17"/>
  <c r="P75" i="17"/>
  <c r="G75" i="17"/>
  <c r="A75" i="17"/>
  <c r="Q74" i="17"/>
  <c r="P74" i="17"/>
  <c r="G74" i="17"/>
  <c r="A74" i="17"/>
  <c r="Q73" i="17"/>
  <c r="P73" i="17"/>
  <c r="A73" i="17"/>
  <c r="Q72" i="17"/>
  <c r="P72" i="17"/>
  <c r="A72" i="17"/>
  <c r="Q71" i="17"/>
  <c r="P71" i="17"/>
  <c r="G71" i="17"/>
  <c r="A71" i="17"/>
  <c r="Q70" i="17"/>
  <c r="P70" i="17"/>
  <c r="G70" i="17"/>
  <c r="A70" i="17"/>
  <c r="Q69" i="17"/>
  <c r="P69" i="17"/>
  <c r="G69" i="17"/>
  <c r="A69" i="17"/>
  <c r="Q68" i="17"/>
  <c r="P68" i="17"/>
  <c r="G68" i="17"/>
  <c r="A68" i="17"/>
  <c r="Q67" i="17"/>
  <c r="P67" i="17"/>
  <c r="G67" i="17"/>
  <c r="A67" i="17"/>
  <c r="Q66" i="17"/>
  <c r="P66" i="17"/>
  <c r="G66" i="17"/>
  <c r="A66" i="17"/>
  <c r="A58" i="17"/>
  <c r="O57" i="17"/>
  <c r="A57" i="17"/>
  <c r="O56" i="17"/>
  <c r="G56" i="17"/>
  <c r="A56" i="17"/>
  <c r="O55" i="17"/>
  <c r="G55" i="17"/>
  <c r="A55" i="17"/>
  <c r="O54" i="17"/>
  <c r="G54" i="17"/>
  <c r="A54" i="17"/>
  <c r="O53" i="17"/>
  <c r="G53" i="17"/>
  <c r="A53" i="17"/>
  <c r="O52" i="17"/>
  <c r="G52" i="17"/>
  <c r="A52" i="17"/>
  <c r="O51" i="17"/>
  <c r="G51" i="17"/>
  <c r="A51" i="17"/>
  <c r="O50" i="17"/>
  <c r="G50" i="17"/>
  <c r="A50" i="17"/>
  <c r="O49" i="17"/>
  <c r="G49" i="17"/>
  <c r="A49" i="17"/>
  <c r="O48" i="17"/>
  <c r="A48" i="17"/>
  <c r="O47" i="17"/>
  <c r="A47" i="17"/>
  <c r="O46" i="17"/>
  <c r="A46" i="17"/>
  <c r="O45" i="17"/>
  <c r="A45" i="17"/>
  <c r="O44" i="17"/>
  <c r="A44" i="17"/>
  <c r="O43" i="17"/>
  <c r="A43" i="17"/>
  <c r="A42" i="17"/>
  <c r="A41" i="17"/>
  <c r="A40" i="17"/>
  <c r="A39" i="17"/>
  <c r="A38" i="17"/>
  <c r="A37" i="17"/>
  <c r="A36" i="17"/>
  <c r="A35" i="17"/>
  <c r="A34" i="17"/>
  <c r="A33" i="17"/>
  <c r="A32" i="17"/>
  <c r="A31" i="17"/>
  <c r="A30" i="17"/>
  <c r="A29" i="17"/>
  <c r="A27" i="17"/>
  <c r="A26" i="17"/>
  <c r="A25" i="17"/>
  <c r="A24" i="17"/>
  <c r="A23" i="17"/>
  <c r="A22" i="17"/>
  <c r="A21" i="17"/>
  <c r="A20" i="17"/>
  <c r="A19" i="17"/>
  <c r="A17" i="17"/>
  <c r="A16" i="17"/>
  <c r="A15" i="17"/>
  <c r="A14" i="17"/>
  <c r="A13" i="17"/>
  <c r="A12" i="17"/>
  <c r="A11" i="17"/>
  <c r="A10" i="17"/>
  <c r="A9" i="17"/>
  <c r="A8" i="17"/>
  <c r="A7" i="17"/>
  <c r="A6" i="17"/>
  <c r="A5" i="17"/>
  <c r="A4" i="17"/>
  <c r="A3" i="17"/>
  <c r="A2" i="17"/>
  <c r="C18" i="2"/>
  <c r="C11" i="2" s="1"/>
  <c r="L15" i="2"/>
  <c r="K15" i="2" s="1"/>
  <c r="K13" i="2" a="1"/>
  <c r="C14" i="2"/>
  <c r="S9" i="2"/>
  <c r="T9" i="2" s="1"/>
  <c r="S8" i="2"/>
  <c r="T8" i="2" s="1"/>
  <c r="C8" i="2"/>
  <c r="S7" i="2"/>
  <c r="T7" i="2" s="1"/>
  <c r="C7" i="2"/>
  <c r="S6" i="2"/>
  <c r="T6" i="2" s="1"/>
  <c r="S5" i="2"/>
  <c r="T5" i="2" s="1"/>
  <c r="C5" i="2"/>
  <c r="H4" i="16" s="1"/>
  <c r="H11" i="16" s="1"/>
  <c r="S4" i="2"/>
  <c r="T4" i="2" s="1"/>
  <c r="C4" i="2"/>
  <c r="G4" i="16" s="1"/>
  <c r="G11" i="16" s="1"/>
  <c r="S3" i="2"/>
  <c r="T3" i="2" s="1"/>
  <c r="S2" i="2"/>
  <c r="T2" i="2" s="1"/>
  <c r="O2" i="2"/>
  <c r="P2" i="9"/>
  <c r="B5" i="9"/>
  <c r="A6" i="9" s="1"/>
  <c r="A5" i="9"/>
  <c r="J21" i="10" l="1"/>
  <c r="K21" i="10" s="1"/>
  <c r="J22" i="10"/>
  <c r="K22" i="10" s="1"/>
  <c r="J23" i="10"/>
  <c r="K23" i="10" s="1"/>
  <c r="J24" i="10"/>
  <c r="K24" i="10" s="1"/>
  <c r="BH3" i="7"/>
  <c r="BH7" i="7" s="1"/>
  <c r="G19" i="17"/>
  <c r="D17" i="11"/>
  <c r="J19" i="10"/>
  <c r="K19" i="10" s="1"/>
  <c r="J20" i="10"/>
  <c r="K20" i="10" s="1"/>
  <c r="H9" i="16"/>
  <c r="J5" i="10"/>
  <c r="K5" i="10" s="1"/>
  <c r="J8" i="10"/>
  <c r="K8" i="10" s="1"/>
  <c r="J11" i="10"/>
  <c r="K11" i="10" s="1"/>
  <c r="J13" i="10"/>
  <c r="K13" i="10" s="1"/>
  <c r="J16" i="10"/>
  <c r="K16" i="10" s="1"/>
  <c r="J18" i="10"/>
  <c r="K18" i="10" s="1"/>
  <c r="J3" i="10"/>
  <c r="K3" i="10" s="1"/>
  <c r="J7" i="10"/>
  <c r="K7" i="10" s="1"/>
  <c r="J10" i="10"/>
  <c r="K10" i="10" s="1"/>
  <c r="J15" i="10"/>
  <c r="K15" i="10" s="1"/>
  <c r="J17" i="10"/>
  <c r="K17" i="10" s="1"/>
  <c r="J4" i="10"/>
  <c r="K4" i="10" s="1"/>
  <c r="J6" i="10"/>
  <c r="K6" i="10" s="1"/>
  <c r="J9" i="10"/>
  <c r="K9" i="10" s="1"/>
  <c r="J12" i="10"/>
  <c r="K12" i="10" s="1"/>
  <c r="J14" i="10"/>
  <c r="K14" i="10" s="1"/>
  <c r="J2" i="10"/>
  <c r="K2" i="10" s="1"/>
  <c r="G9" i="16"/>
  <c r="D16" i="11"/>
  <c r="G16" i="11" s="1"/>
  <c r="H2" i="10"/>
  <c r="I2" i="10" s="1"/>
  <c r="BF9" i="25"/>
  <c r="BI9" i="25" s="1"/>
  <c r="BW7" i="7"/>
  <c r="BW9" i="7"/>
  <c r="BW4" i="7"/>
  <c r="D15" i="7"/>
  <c r="BF19" i="25"/>
  <c r="BF21" i="25" s="1"/>
  <c r="BF25" i="25" s="1"/>
  <c r="BG25" i="25" s="1"/>
  <c r="BZ10" i="7"/>
  <c r="BW8" i="7"/>
  <c r="H3" i="10"/>
  <c r="H7" i="10"/>
  <c r="H4" i="10"/>
  <c r="H9" i="10"/>
  <c r="C21" i="7"/>
  <c r="E9" i="11"/>
  <c r="E14" i="11" s="1"/>
  <c r="H12" i="10"/>
  <c r="H17" i="10"/>
  <c r="BW14" i="7"/>
  <c r="K2" i="7"/>
  <c r="AJ2" i="7"/>
  <c r="BL22" i="25"/>
  <c r="BO22" i="25" s="1"/>
  <c r="S2" i="7"/>
  <c r="G11" i="17" s="1"/>
  <c r="AH2" i="7"/>
  <c r="BW3" i="7"/>
  <c r="BW10" i="7"/>
  <c r="BW13" i="7"/>
  <c r="C17" i="7"/>
  <c r="D9" i="7"/>
  <c r="AI13" i="7"/>
  <c r="BN16" i="25"/>
  <c r="BO16" i="25" s="1"/>
  <c r="C13" i="7"/>
  <c r="C19" i="7"/>
  <c r="C22" i="7"/>
  <c r="C5" i="7"/>
  <c r="C6" i="7"/>
  <c r="D10" i="7"/>
  <c r="D22" i="7"/>
  <c r="C18" i="7"/>
  <c r="AC16" i="25"/>
  <c r="AE16" i="25" s="1" a="1"/>
  <c r="BF22" i="25"/>
  <c r="BI22" i="25" s="1"/>
  <c r="H13" i="10"/>
  <c r="H8" i="10"/>
  <c r="H16" i="10"/>
  <c r="AD5" i="25"/>
  <c r="AE5" i="25" a="1"/>
  <c r="BY5" i="7"/>
  <c r="BY8" i="7"/>
  <c r="BY9" i="7"/>
  <c r="L2" i="7"/>
  <c r="Z2" i="7"/>
  <c r="D3" i="7"/>
  <c r="G91" i="17"/>
  <c r="D6" i="7"/>
  <c r="C8" i="7"/>
  <c r="C9" i="7"/>
  <c r="D11" i="7"/>
  <c r="D12" i="7"/>
  <c r="BW12" i="7"/>
  <c r="T13" i="7"/>
  <c r="C14" i="7"/>
  <c r="D19" i="7"/>
  <c r="D21" i="7"/>
  <c r="D24" i="7"/>
  <c r="H6" i="16"/>
  <c r="H8" i="16"/>
  <c r="H12" i="16"/>
  <c r="AD4" i="25"/>
  <c r="AJ4" i="25" s="1"/>
  <c r="BI20" i="25"/>
  <c r="BO20" i="25"/>
  <c r="AK2" i="7"/>
  <c r="CJ6" i="25"/>
  <c r="C2" i="7"/>
  <c r="P2" i="7"/>
  <c r="AC2" i="7"/>
  <c r="C4" i="7"/>
  <c r="C7" i="7"/>
  <c r="U13" i="7"/>
  <c r="D14" i="7"/>
  <c r="C16" i="7"/>
  <c r="D18" i="7"/>
  <c r="L14" i="2"/>
  <c r="K14" i="2" s="1"/>
  <c r="K2" i="17" a="1"/>
  <c r="D2" i="7"/>
  <c r="R2" i="7"/>
  <c r="AF2" i="7"/>
  <c r="BW5" i="7"/>
  <c r="C10" i="7"/>
  <c r="C15" i="7"/>
  <c r="D16" i="7"/>
  <c r="D20" i="7"/>
  <c r="H5" i="16"/>
  <c r="BO11" i="25"/>
  <c r="BL9" i="25"/>
  <c r="BO9" i="25" s="1"/>
  <c r="BL20" i="25"/>
  <c r="CJ7" i="25" s="1"/>
  <c r="BF6" i="25"/>
  <c r="BN18" i="25"/>
  <c r="BO18" i="25" s="1"/>
  <c r="BN28" i="25"/>
  <c r="BO28" i="25" s="1"/>
  <c r="BO30" i="25" s="1"/>
  <c r="BO32" i="25" s="1"/>
  <c r="BO36" i="25" s="1"/>
  <c r="BP38" i="25" s="1"/>
  <c r="N8" i="10"/>
  <c r="O4" i="10"/>
  <c r="H6" i="10"/>
  <c r="H10" i="10"/>
  <c r="H14" i="10"/>
  <c r="H18" i="10"/>
  <c r="O2" i="10"/>
  <c r="P2" i="10" s="1"/>
  <c r="O3" i="10"/>
  <c r="H5" i="10"/>
  <c r="O7" i="10"/>
  <c r="H11" i="10"/>
  <c r="H15" i="10"/>
  <c r="H29" i="10"/>
  <c r="AD17" i="25"/>
  <c r="AE17" i="25" a="1"/>
  <c r="AD15" i="25"/>
  <c r="AE15" i="25" a="1"/>
  <c r="C20" i="7"/>
  <c r="D17" i="7"/>
  <c r="C11" i="7"/>
  <c r="D8" i="7"/>
  <c r="D7" i="7"/>
  <c r="C3" i="7"/>
  <c r="C24" i="7"/>
  <c r="D23" i="7"/>
  <c r="E23" i="7" s="1"/>
  <c r="D13" i="7"/>
  <c r="C12" i="7"/>
  <c r="BI7" i="25"/>
  <c r="BO7" i="25"/>
  <c r="BY3" i="7"/>
  <c r="BZ4" i="7"/>
  <c r="BZ5" i="7"/>
  <c r="BW6" i="7"/>
  <c r="BY6" i="7"/>
  <c r="BZ11" i="7"/>
  <c r="BY13" i="7"/>
  <c r="G5" i="16"/>
  <c r="BN4" i="25"/>
  <c r="BO4" i="25" s="1"/>
  <c r="BN5" i="25"/>
  <c r="BO5" i="25" s="1"/>
  <c r="BN3" i="25"/>
  <c r="BO3" i="25" s="1"/>
  <c r="BN2" i="25"/>
  <c r="BO2" i="25" s="1"/>
  <c r="BN15" i="25"/>
  <c r="BO15" i="25" s="1"/>
  <c r="BZ7" i="7"/>
  <c r="BZ9" i="7"/>
  <c r="BY12" i="7"/>
  <c r="G8" i="16"/>
  <c r="AE2" i="25" a="1"/>
  <c r="AD2" i="25"/>
  <c r="BN17" i="25"/>
  <c r="BO17" i="25" s="1"/>
  <c r="E5" i="11"/>
  <c r="BZ12" i="7"/>
  <c r="G12" i="16"/>
  <c r="G6" i="16"/>
  <c r="G7" i="16"/>
  <c r="G13" i="16"/>
  <c r="B6" i="9"/>
  <c r="BY14" i="7"/>
  <c r="BY7" i="7"/>
  <c r="L2" i="17" a="1"/>
  <c r="N2" i="7"/>
  <c r="V2" i="7"/>
  <c r="AD2" i="7"/>
  <c r="BZ3" i="7"/>
  <c r="BY4" i="7"/>
  <c r="BZ6" i="7"/>
  <c r="BZ8" i="7"/>
  <c r="BY11" i="7"/>
  <c r="BZ13" i="7"/>
  <c r="BZ14" i="7"/>
  <c r="D5" i="7"/>
  <c r="D4" i="7"/>
  <c r="AJ13" i="7"/>
  <c r="AK13" i="7"/>
  <c r="AE3" i="25" a="1"/>
  <c r="AD3" i="25"/>
  <c r="AE18" i="25" a="1"/>
  <c r="AD18" i="25"/>
  <c r="X4" i="7" a="1"/>
  <c r="AI2" i="7"/>
  <c r="AE2" i="7"/>
  <c r="AA2" i="7"/>
  <c r="U2" i="7"/>
  <c r="Q2" i="7"/>
  <c r="M2" i="7"/>
  <c r="O2" i="7"/>
  <c r="T2" i="7"/>
  <c r="AB2" i="7"/>
  <c r="AG2" i="7"/>
  <c r="BY10" i="7"/>
  <c r="BW11" i="7"/>
  <c r="H13" i="16"/>
  <c r="H7" i="16"/>
  <c r="V13" i="7"/>
  <c r="J25" i="10" l="1"/>
  <c r="J2" i="7"/>
  <c r="G106" i="17" s="1"/>
  <c r="M11" i="7"/>
  <c r="R12" i="7"/>
  <c r="N11" i="7"/>
  <c r="S12" i="7"/>
  <c r="O11" i="7"/>
  <c r="K13" i="7"/>
  <c r="P11" i="7"/>
  <c r="L13" i="7"/>
  <c r="Q11" i="7"/>
  <c r="M13" i="7"/>
  <c r="R11" i="7"/>
  <c r="N13" i="7"/>
  <c r="S11" i="7"/>
  <c r="O13" i="7"/>
  <c r="K12" i="7"/>
  <c r="P13" i="7"/>
  <c r="L12" i="7"/>
  <c r="Q13" i="7"/>
  <c r="M12" i="7"/>
  <c r="R13" i="7"/>
  <c r="N12" i="7"/>
  <c r="S13" i="7"/>
  <c r="O12" i="7"/>
  <c r="K11" i="7"/>
  <c r="P12" i="7"/>
  <c r="L11" i="7"/>
  <c r="Q12" i="7"/>
  <c r="AA14" i="7"/>
  <c r="AF14" i="7"/>
  <c r="AE14" i="7"/>
  <c r="AG14" i="7"/>
  <c r="AH14" i="7"/>
  <c r="Z14" i="7"/>
  <c r="AD14" i="7"/>
  <c r="AB14" i="7"/>
  <c r="AC14" i="7"/>
  <c r="AB13" i="7"/>
  <c r="AF13" i="7"/>
  <c r="AC13" i="7"/>
  <c r="AG13" i="7"/>
  <c r="Z13" i="7"/>
  <c r="AD13" i="7"/>
  <c r="AH13" i="7"/>
  <c r="AA13" i="7"/>
  <c r="AE13" i="7"/>
  <c r="AC12" i="7"/>
  <c r="AD12" i="7"/>
  <c r="AE12" i="7"/>
  <c r="AF12" i="7"/>
  <c r="AG12" i="7"/>
  <c r="AH12" i="7"/>
  <c r="Z12" i="7"/>
  <c r="AA12" i="7"/>
  <c r="AB12" i="7"/>
  <c r="Z11" i="7"/>
  <c r="AD11" i="7"/>
  <c r="AH11" i="7"/>
  <c r="AA11" i="7"/>
  <c r="AE11" i="7"/>
  <c r="AB11" i="7"/>
  <c r="AF11" i="7"/>
  <c r="AC11" i="7"/>
  <c r="AG11" i="7"/>
  <c r="U12" i="7"/>
  <c r="V12" i="7"/>
  <c r="T12" i="7"/>
  <c r="AJ12" i="7"/>
  <c r="AK12" i="7"/>
  <c r="AI12" i="7"/>
  <c r="G92" i="17"/>
  <c r="I3" i="10"/>
  <c r="I4" i="10" s="1"/>
  <c r="I5" i="10" s="1"/>
  <c r="I6" i="10" s="1"/>
  <c r="I7" i="10" s="1"/>
  <c r="I8" i="10" s="1"/>
  <c r="I9" i="10" s="1"/>
  <c r="I10" i="10" s="1"/>
  <c r="I11" i="10" s="1"/>
  <c r="I12" i="10" s="1"/>
  <c r="I13" i="10" s="1"/>
  <c r="I14" i="10" s="1"/>
  <c r="I15" i="10" s="1"/>
  <c r="I16" i="10" s="1"/>
  <c r="I17" i="10" s="1"/>
  <c r="I18" i="10" s="1"/>
  <c r="I19" i="10" s="1"/>
  <c r="I20" i="10" s="1"/>
  <c r="I21" i="10" s="1"/>
  <c r="I22" i="10" s="1"/>
  <c r="I23" i="10" s="1"/>
  <c r="I24" i="10" s="1"/>
  <c r="AD16" i="25"/>
  <c r="AJ16" i="25" s="1"/>
  <c r="E13" i="7"/>
  <c r="V11" i="7"/>
  <c r="AI11" i="7"/>
  <c r="AK11" i="7"/>
  <c r="AJ11" i="7"/>
  <c r="U11" i="7"/>
  <c r="T11" i="7"/>
  <c r="E5" i="7"/>
  <c r="E21" i="7"/>
  <c r="BF10" i="25"/>
  <c r="BG10" i="25" s="1"/>
  <c r="E10" i="7"/>
  <c r="E12" i="7"/>
  <c r="AG4" i="25"/>
  <c r="E18" i="7"/>
  <c r="E4" i="7"/>
  <c r="E2" i="7"/>
  <c r="E6" i="7"/>
  <c r="E8" i="7"/>
  <c r="H10" i="16"/>
  <c r="E22" i="7"/>
  <c r="E14" i="7"/>
  <c r="E17" i="7"/>
  <c r="E19" i="7"/>
  <c r="E20" i="7"/>
  <c r="E3" i="7"/>
  <c r="E15" i="7"/>
  <c r="E24" i="7"/>
  <c r="E7" i="7"/>
  <c r="BO34" i="25"/>
  <c r="BP36" i="25" s="1"/>
  <c r="E9" i="7"/>
  <c r="BF23" i="25"/>
  <c r="BG23" i="25" s="1"/>
  <c r="E11" i="7"/>
  <c r="G72" i="17"/>
  <c r="AM4" i="7" a="1"/>
  <c r="BF8" i="25"/>
  <c r="BF12" i="25" s="1"/>
  <c r="BG12" i="25" s="1"/>
  <c r="O8" i="10"/>
  <c r="P3" i="10"/>
  <c r="G96" i="17"/>
  <c r="AT2" i="7"/>
  <c r="CJ8" i="25"/>
  <c r="E16" i="7"/>
  <c r="AG5" i="25"/>
  <c r="AJ5" i="25"/>
  <c r="AJ3" i="25"/>
  <c r="AG3" i="25"/>
  <c r="G10" i="16"/>
  <c r="M2" i="17" a="1"/>
  <c r="AJ10" i="7"/>
  <c r="AF10" i="7"/>
  <c r="AB10" i="7"/>
  <c r="AJ9" i="7"/>
  <c r="AF9" i="7"/>
  <c r="AB9" i="7"/>
  <c r="AH8" i="7"/>
  <c r="AD8" i="7"/>
  <c r="Z8" i="7"/>
  <c r="AH7" i="7"/>
  <c r="AD7" i="7"/>
  <c r="Z7" i="7"/>
  <c r="AI6" i="7"/>
  <c r="AE6" i="7"/>
  <c r="AA6" i="7"/>
  <c r="AJ5" i="7"/>
  <c r="AF5" i="7"/>
  <c r="AB5" i="7"/>
  <c r="AG10" i="7"/>
  <c r="AA10" i="7"/>
  <c r="AH9" i="7"/>
  <c r="AC9" i="7"/>
  <c r="AK8" i="7"/>
  <c r="AF8" i="7"/>
  <c r="AA8" i="7"/>
  <c r="AI7" i="7"/>
  <c r="AC7" i="7"/>
  <c r="AG6" i="7"/>
  <c r="AB6" i="7"/>
  <c r="AK5" i="7"/>
  <c r="AE5" i="7"/>
  <c r="Z5" i="7"/>
  <c r="AE10" i="7"/>
  <c r="AG9" i="7"/>
  <c r="Z9" i="7"/>
  <c r="AE8" i="7"/>
  <c r="AK7" i="7"/>
  <c r="AE7" i="7"/>
  <c r="AJ6" i="7"/>
  <c r="AC6" i="7"/>
  <c r="AD5" i="7"/>
  <c r="AH10" i="7"/>
  <c r="Z10" i="7"/>
  <c r="AI9" i="7"/>
  <c r="AA9" i="7"/>
  <c r="AG8" i="7"/>
  <c r="AF7" i="7"/>
  <c r="AK6" i="7"/>
  <c r="AD6" i="7"/>
  <c r="AG5" i="7"/>
  <c r="AK10" i="7"/>
  <c r="AD10" i="7"/>
  <c r="AE9" i="7"/>
  <c r="AJ8" i="7"/>
  <c r="AC8" i="7"/>
  <c r="AJ7" i="7"/>
  <c r="AB7" i="7"/>
  <c r="AH6" i="7"/>
  <c r="Z6" i="7"/>
  <c r="AI5" i="7"/>
  <c r="AC5" i="7"/>
  <c r="AI10" i="7"/>
  <c r="AC10" i="7"/>
  <c r="AK9" i="7"/>
  <c r="AD9" i="7"/>
  <c r="AI8" i="7"/>
  <c r="AB8" i="7"/>
  <c r="AG7" i="7"/>
  <c r="AA7" i="7"/>
  <c r="AF6" i="7"/>
  <c r="AH5" i="7"/>
  <c r="AA5" i="7"/>
  <c r="K10" i="2"/>
  <c r="AJ2" i="25"/>
  <c r="AG2" i="25"/>
  <c r="BO19" i="25"/>
  <c r="AU2" i="7"/>
  <c r="AG15" i="25"/>
  <c r="AJ15" i="25"/>
  <c r="G73" i="17"/>
  <c r="Y2" i="7"/>
  <c r="AJ18" i="25"/>
  <c r="AG18" i="25"/>
  <c r="F9" i="16"/>
  <c r="D9" i="16" s="1"/>
  <c r="F5" i="16"/>
  <c r="F8" i="16"/>
  <c r="F13" i="16"/>
  <c r="F12" i="16"/>
  <c r="F7" i="16"/>
  <c r="D7" i="16" s="1"/>
  <c r="F6" i="16"/>
  <c r="AP2" i="7"/>
  <c r="AQ2" i="7"/>
  <c r="AS2" i="7"/>
  <c r="AR2" i="7"/>
  <c r="G90" i="17"/>
  <c r="AV2" i="7"/>
  <c r="B7" i="9"/>
  <c r="A7" i="9"/>
  <c r="BO6" i="25"/>
  <c r="AG17" i="25"/>
  <c r="AJ17" i="25"/>
  <c r="J11" i="7" l="1"/>
  <c r="J13" i="7"/>
  <c r="J12" i="7"/>
  <c r="I26" i="10"/>
  <c r="I27" i="10" s="1"/>
  <c r="I28" i="10" s="1"/>
  <c r="I29" i="10" s="1"/>
  <c r="Y14" i="7"/>
  <c r="Y13" i="7"/>
  <c r="H14" i="16"/>
  <c r="AN24" i="7"/>
  <c r="AS24" i="7"/>
  <c r="AP24" i="7"/>
  <c r="AQ24" i="7"/>
  <c r="AR24" i="7"/>
  <c r="AG16" i="25"/>
  <c r="AQ23" i="7"/>
  <c r="AR23" i="7"/>
  <c r="AP23" i="7"/>
  <c r="AN23" i="7"/>
  <c r="AS23" i="7"/>
  <c r="AU25" i="7"/>
  <c r="AR22" i="7"/>
  <c r="AN22" i="7"/>
  <c r="AS22" i="7"/>
  <c r="AP22" i="7"/>
  <c r="AQ22" i="7"/>
  <c r="Y12" i="7"/>
  <c r="Y11" i="7"/>
  <c r="AO2" i="7"/>
  <c r="AN18" i="7"/>
  <c r="AQ17" i="7"/>
  <c r="AV7" i="7"/>
  <c r="AQ20" i="7"/>
  <c r="AS15" i="7"/>
  <c r="AT8" i="7"/>
  <c r="AN12" i="7"/>
  <c r="AU17" i="7"/>
  <c r="AT19" i="7"/>
  <c r="AV14" i="7"/>
  <c r="AV16" i="7"/>
  <c r="AQ13" i="7"/>
  <c r="AT18" i="7"/>
  <c r="AT5" i="7"/>
  <c r="AN19" i="7"/>
  <c r="AU14" i="7"/>
  <c r="AR18" i="7"/>
  <c r="AU5" i="7"/>
  <c r="AU7" i="7"/>
  <c r="AR7" i="7"/>
  <c r="AS20" i="7"/>
  <c r="K12" i="2"/>
  <c r="AS13" i="7"/>
  <c r="AQ10" i="7"/>
  <c r="AP7" i="7"/>
  <c r="AP13" i="7"/>
  <c r="AS5" i="7"/>
  <c r="AV25" i="7"/>
  <c r="AS18" i="7"/>
  <c r="AV19" i="7"/>
  <c r="AS7" i="7"/>
  <c r="AN10" i="7"/>
  <c r="AT13" i="7"/>
  <c r="AP18" i="7"/>
  <c r="AU10" i="7"/>
  <c r="AU21" i="7"/>
  <c r="AU15" i="7"/>
  <c r="AT7" i="7"/>
  <c r="AR20" i="7"/>
  <c r="AS10" i="7"/>
  <c r="AT21" i="7"/>
  <c r="AN8" i="7"/>
  <c r="AN15" i="7"/>
  <c r="AV21" i="7"/>
  <c r="AV6" i="7"/>
  <c r="AP19" i="7"/>
  <c r="AN11" i="7"/>
  <c r="AT24" i="7"/>
  <c r="AR16" i="7"/>
  <c r="AQ9" i="7"/>
  <c r="AQ12" i="7"/>
  <c r="AP9" i="7"/>
  <c r="AR15" i="7"/>
  <c r="AQ7" i="7"/>
  <c r="AS21" i="7"/>
  <c r="AV11" i="7"/>
  <c r="AU19" i="7"/>
  <c r="AV10" i="7"/>
  <c r="AR13" i="7"/>
  <c r="AT9" i="7"/>
  <c r="AU16" i="7"/>
  <c r="AS9" i="7"/>
  <c r="AU22" i="7"/>
  <c r="AU13" i="7"/>
  <c r="AV5" i="7"/>
  <c r="AT20" i="7"/>
  <c r="AV13" i="7"/>
  <c r="AT25" i="7"/>
  <c r="AT15" i="7"/>
  <c r="AT10" i="7"/>
  <c r="AP17" i="7"/>
  <c r="AS11" i="7"/>
  <c r="AP14" i="7"/>
  <c r="AR9" i="7"/>
  <c r="AQ21" i="7"/>
  <c r="AQ14" i="7"/>
  <c r="AT6" i="7"/>
  <c r="AN16" i="7"/>
  <c r="AP5" i="7"/>
  <c r="AU11" i="7"/>
  <c r="AQ18" i="7"/>
  <c r="AV23" i="7"/>
  <c r="AR10" i="7"/>
  <c r="AV20" i="7"/>
  <c r="AN9" i="7"/>
  <c r="AS17" i="7"/>
  <c r="AP8" i="7"/>
  <c r="AV17" i="7"/>
  <c r="AR6" i="7"/>
  <c r="AN17" i="7"/>
  <c r="AR5" i="7"/>
  <c r="AV12" i="7"/>
  <c r="AU20" i="7"/>
  <c r="AS6" i="7"/>
  <c r="AQ11" i="7"/>
  <c r="AQ16" i="7"/>
  <c r="AN21" i="7"/>
  <c r="AV24" i="7"/>
  <c r="AP6" i="7"/>
  <c r="AP15" i="7"/>
  <c r="AN13" i="7"/>
  <c r="AU12" i="7"/>
  <c r="AU23" i="7"/>
  <c r="AP11" i="7"/>
  <c r="AP21" i="7"/>
  <c r="AU9" i="7"/>
  <c r="AS16" i="7"/>
  <c r="AU24" i="7"/>
  <c r="AV8" i="7"/>
  <c r="AN14" i="7"/>
  <c r="AU18" i="7"/>
  <c r="AQ5" i="7"/>
  <c r="AQ8" i="7"/>
  <c r="AP12" i="7"/>
  <c r="AT16" i="7"/>
  <c r="AN20" i="7"/>
  <c r="AQ6" i="7"/>
  <c r="AV9" i="7"/>
  <c r="AR12" i="7"/>
  <c r="AQ15" i="7"/>
  <c r="AQ19" i="7"/>
  <c r="AU6" i="7"/>
  <c r="AR11" i="7"/>
  <c r="AT14" i="7"/>
  <c r="AV18" i="7"/>
  <c r="AT22" i="7"/>
  <c r="AN5" i="7"/>
  <c r="AU8" i="7"/>
  <c r="AT12" i="7"/>
  <c r="AP16" i="7"/>
  <c r="AS19" i="7"/>
  <c r="AT23" i="7"/>
  <c r="AN6" i="7"/>
  <c r="AS8" i="7"/>
  <c r="AT11" i="7"/>
  <c r="AS14" i="7"/>
  <c r="AR17" i="7"/>
  <c r="AP20" i="7"/>
  <c r="AN7" i="7"/>
  <c r="AR8" i="7"/>
  <c r="AP10" i="7"/>
  <c r="AS12" i="7"/>
  <c r="AR14" i="7"/>
  <c r="AV15" i="7"/>
  <c r="AT17" i="7"/>
  <c r="AR19" i="7"/>
  <c r="AR21" i="7"/>
  <c r="AV22" i="7"/>
  <c r="P4" i="10"/>
  <c r="P5" i="10" s="1"/>
  <c r="G97" i="17"/>
  <c r="Y5" i="7"/>
  <c r="Y7" i="7"/>
  <c r="BO23" i="25"/>
  <c r="BP23" i="25" s="1"/>
  <c r="BO21" i="25"/>
  <c r="BO25" i="25" s="1"/>
  <c r="BP25" i="25" s="1"/>
  <c r="Y6" i="7"/>
  <c r="Y10" i="7"/>
  <c r="Y9" i="7"/>
  <c r="BO8" i="25"/>
  <c r="BO12" i="25" s="1"/>
  <c r="BP12" i="25" s="1"/>
  <c r="BO10" i="25"/>
  <c r="BP10" i="25" s="1"/>
  <c r="B8" i="9"/>
  <c r="A8" i="9"/>
  <c r="F10" i="16"/>
  <c r="Y8" i="7"/>
  <c r="AO10" i="7" l="1"/>
  <c r="AO6" i="7"/>
  <c r="AO17" i="7"/>
  <c r="AO13" i="7"/>
  <c r="AO20" i="7"/>
  <c r="AO24" i="7"/>
  <c r="AO9" i="7"/>
  <c r="AO22" i="7"/>
  <c r="AO11" i="7"/>
  <c r="AO18" i="7"/>
  <c r="AO16" i="7"/>
  <c r="AO19" i="7"/>
  <c r="AO7" i="7"/>
  <c r="AO21" i="7"/>
  <c r="AO8" i="7"/>
  <c r="AO14" i="7"/>
  <c r="AO23" i="7"/>
  <c r="AO5" i="7"/>
  <c r="AO12" i="7"/>
  <c r="AO15" i="7"/>
  <c r="G98" i="17"/>
  <c r="C12" i="16"/>
  <c r="D12" i="16" s="1"/>
  <c r="B9" i="9"/>
  <c r="A9" i="9"/>
  <c r="P6" i="10" l="1"/>
  <c r="G99" i="17"/>
  <c r="C13" i="16"/>
  <c r="D13" i="16" s="1"/>
  <c r="A10" i="9"/>
  <c r="B10" i="9"/>
  <c r="K13" i="16" l="1"/>
  <c r="G20" i="2" s="1"/>
  <c r="P7" i="10"/>
  <c r="G101" i="17" s="1"/>
  <c r="G100" i="17"/>
  <c r="B11" i="9"/>
  <c r="A11" i="9"/>
  <c r="B12" i="9" l="1"/>
  <c r="A12" i="9"/>
  <c r="B13" i="9" l="1"/>
  <c r="A13" i="9"/>
  <c r="G10" i="11" l="1"/>
  <c r="B23" i="11"/>
  <c r="L18" i="2" s="1"/>
  <c r="K18" i="2" s="1"/>
  <c r="G2" i="11"/>
  <c r="G6" i="11"/>
  <c r="G9" i="11" l="1"/>
  <c r="G13" i="11"/>
  <c r="G5" i="11"/>
  <c r="G14" i="11" l="1"/>
  <c r="M10" i="7" l="1"/>
  <c r="N10" i="7"/>
  <c r="P10" i="7"/>
  <c r="L10" i="7"/>
  <c r="S10" i="7"/>
  <c r="O10" i="7"/>
  <c r="V10" i="7"/>
  <c r="Q10" i="7"/>
  <c r="U10" i="7"/>
  <c r="T10" i="7"/>
  <c r="K10" i="7"/>
  <c r="R10" i="7"/>
  <c r="Q9" i="7"/>
  <c r="R9" i="7"/>
  <c r="T9" i="7"/>
  <c r="S9" i="7"/>
  <c r="V9" i="7"/>
  <c r="P9" i="7"/>
  <c r="M9" i="7"/>
  <c r="N9" i="7"/>
  <c r="O9" i="7"/>
  <c r="K9" i="7"/>
  <c r="L9" i="7"/>
  <c r="U9" i="7"/>
  <c r="P8" i="7"/>
  <c r="K8" i="7"/>
  <c r="Q8" i="7"/>
  <c r="O8" i="7"/>
  <c r="L8" i="7"/>
  <c r="U8" i="7"/>
  <c r="S8" i="7"/>
  <c r="T8" i="7"/>
  <c r="V8" i="7"/>
  <c r="M8" i="7"/>
  <c r="R8" i="7"/>
  <c r="N8" i="7"/>
  <c r="P7" i="7"/>
  <c r="S7" i="7"/>
  <c r="O7" i="7"/>
  <c r="K7" i="7"/>
  <c r="V7" i="7"/>
  <c r="L7" i="7"/>
  <c r="Q7" i="7"/>
  <c r="U7" i="7"/>
  <c r="R7" i="7"/>
  <c r="M7" i="7"/>
  <c r="T7" i="7"/>
  <c r="N7" i="7"/>
  <c r="Q6" i="7"/>
  <c r="M6" i="7"/>
  <c r="N6" i="7"/>
  <c r="S6" i="7"/>
  <c r="U6" i="7"/>
  <c r="K6" i="7"/>
  <c r="T6" i="7"/>
  <c r="O6" i="7"/>
  <c r="V6" i="7"/>
  <c r="P6" i="7"/>
  <c r="L6" i="7"/>
  <c r="R6" i="7"/>
  <c r="M5" i="7"/>
  <c r="U5" i="7"/>
  <c r="P5" i="7"/>
  <c r="R5" i="7"/>
  <c r="Q5" i="7"/>
  <c r="L5" i="7"/>
  <c r="T5" i="7"/>
  <c r="K5" i="7"/>
  <c r="V5" i="7"/>
  <c r="O5" i="7"/>
  <c r="S5" i="7"/>
  <c r="N5" i="7"/>
  <c r="J8" i="7" l="1"/>
  <c r="J7" i="7"/>
  <c r="J5" i="7"/>
  <c r="J9" i="7"/>
  <c r="J6" i="7"/>
  <c r="J10" i="7"/>
  <c r="AH2" i="25" l="1"/>
  <c r="AF2" i="25" s="1"/>
  <c r="BK2" i="25" s="1"/>
  <c r="BL2" i="25" s="1"/>
  <c r="AK2" i="25"/>
  <c r="AI2" i="25" s="1"/>
  <c r="BH2" i="25" s="1"/>
  <c r="BI2" i="25" s="1"/>
  <c r="AK3" i="25"/>
  <c r="AI3" i="25" s="1"/>
  <c r="BH3" i="25" s="1"/>
  <c r="BI3" i="25" s="1"/>
  <c r="AH3" i="25"/>
  <c r="AF3" i="25" s="1"/>
  <c r="BK3" i="25" s="1"/>
  <c r="BL3" i="25" s="1"/>
  <c r="AK4" i="25"/>
  <c r="AI4" i="25" s="1"/>
  <c r="BH4" i="25" s="1"/>
  <c r="BI4" i="25" s="1"/>
  <c r="AH4" i="25"/>
  <c r="AF4" i="25" s="1"/>
  <c r="BK4" i="25" s="1"/>
  <c r="BL4" i="25" s="1"/>
  <c r="AK5" i="25"/>
  <c r="AI5" i="25" s="1"/>
  <c r="BH5" i="25" s="1"/>
  <c r="BI5" i="25" s="1"/>
  <c r="AH5" i="25"/>
  <c r="AF5" i="25" s="1"/>
  <c r="BK5" i="25" s="1"/>
  <c r="BL5" i="25" s="1"/>
  <c r="AH15" i="25"/>
  <c r="AF15" i="25" s="1"/>
  <c r="BK15" i="25" s="1"/>
  <c r="BL15" i="25" s="1"/>
  <c r="AK15" i="25"/>
  <c r="AI15" i="25" s="1"/>
  <c r="BH15" i="25" s="1"/>
  <c r="BI15" i="25" s="1"/>
  <c r="AH16" i="25"/>
  <c r="AF16" i="25" s="1"/>
  <c r="BK16" i="25" s="1"/>
  <c r="BL16" i="25" s="1"/>
  <c r="AK16" i="25"/>
  <c r="AI16" i="25" s="1"/>
  <c r="BH16" i="25" s="1"/>
  <c r="BI16" i="25" s="1"/>
  <c r="AH17" i="25"/>
  <c r="AF17" i="25" s="1"/>
  <c r="BK17" i="25" s="1"/>
  <c r="BL17" i="25" s="1"/>
  <c r="AK17" i="25"/>
  <c r="AI17" i="25" s="1"/>
  <c r="BH17" i="25" s="1"/>
  <c r="BI17" i="25" s="1"/>
  <c r="AK18" i="25"/>
  <c r="AI18" i="25" s="1"/>
  <c r="BH18" i="25" s="1"/>
  <c r="BI18" i="25" s="1"/>
  <c r="AH18" i="25"/>
  <c r="AF18" i="25" s="1"/>
  <c r="BK18" i="25" s="1"/>
  <c r="BL18" i="25" s="1"/>
  <c r="BI19" i="25" l="1"/>
  <c r="BL19" i="25"/>
  <c r="BI6" i="25"/>
  <c r="BL6" i="25"/>
  <c r="BL23" i="25" l="1"/>
  <c r="BM23" i="25" s="1"/>
  <c r="BL21" i="25"/>
  <c r="BL25" i="25" s="1"/>
  <c r="BM25" i="25" s="1"/>
  <c r="BI21" i="25"/>
  <c r="BI25" i="25" s="1"/>
  <c r="BJ25" i="25" s="1"/>
  <c r="BI23" i="25"/>
  <c r="BJ23" i="25" s="1"/>
  <c r="BL10" i="25"/>
  <c r="BM10" i="25" s="1"/>
  <c r="BL8" i="25"/>
  <c r="BL12" i="25" s="1"/>
  <c r="BM12" i="25" s="1"/>
  <c r="BI10" i="25"/>
  <c r="BJ10" i="25" s="1"/>
  <c r="BI8" i="25"/>
  <c r="BI12" i="25" s="1"/>
  <c r="BJ12" i="25" s="1"/>
  <c r="G141" i="17" l="1"/>
  <c r="C17" i="11" l="1"/>
  <c r="G17" i="11" s="1"/>
  <c r="K6" i="2" s="1"/>
  <c r="AE18" i="25"/>
  <c r="AE17" i="25"/>
  <c r="AE16" i="25"/>
  <c r="AE15" i="25"/>
  <c r="AE5" i="25"/>
  <c r="AE4" i="25"/>
  <c r="AE3" i="25"/>
  <c r="AE2" i="25"/>
  <c r="CW14" i="7"/>
  <c r="G130" i="17" s="1"/>
  <c r="CT14" i="7"/>
  <c r="CS14" i="7"/>
  <c r="CW13" i="7"/>
  <c r="G129" i="17" s="1"/>
  <c r="CT13" i="7"/>
  <c r="CS13" i="7"/>
  <c r="CW12" i="7"/>
  <c r="G128" i="17" s="1"/>
  <c r="CT12" i="7"/>
  <c r="CS12" i="7"/>
  <c r="CW11" i="7"/>
  <c r="G127" i="17" s="1"/>
  <c r="CT11" i="7"/>
  <c r="CS11" i="7"/>
  <c r="CW10" i="7"/>
  <c r="G126" i="17" s="1"/>
  <c r="CT10" i="7"/>
  <c r="CS10" i="7"/>
  <c r="CW9" i="7"/>
  <c r="G125" i="17" s="1"/>
  <c r="CT9" i="7"/>
  <c r="CS9" i="7"/>
  <c r="CW8" i="7"/>
  <c r="G124" i="17" s="1"/>
  <c r="CT8" i="7"/>
  <c r="CS8" i="7"/>
  <c r="CW7" i="7"/>
  <c r="CT7" i="7"/>
  <c r="CS7" i="7"/>
  <c r="CW6" i="7"/>
  <c r="CT6" i="7"/>
  <c r="CS6" i="7"/>
  <c r="CW5" i="7"/>
  <c r="G121" i="17" s="1"/>
  <c r="CT5" i="7"/>
  <c r="CS5" i="7"/>
  <c r="CW4" i="7"/>
  <c r="G120" i="17" s="1"/>
  <c r="CT4" i="7"/>
  <c r="CS4" i="7"/>
  <c r="AM4" i="7"/>
  <c r="X4" i="7"/>
  <c r="H4" i="7"/>
  <c r="CW3" i="7"/>
  <c r="CT3" i="7"/>
  <c r="CS3" i="7"/>
  <c r="CW2" i="7"/>
  <c r="G118" i="17" s="1"/>
  <c r="CT2" i="7"/>
  <c r="CS2" i="7"/>
  <c r="M2" i="17"/>
  <c r="L2" i="17"/>
  <c r="K2" i="17"/>
  <c r="K19" i="2"/>
  <c r="K13" i="2"/>
  <c r="C3" i="2"/>
  <c r="AZ4" i="7" l="1"/>
  <c r="BI4" i="7" s="1"/>
  <c r="AZ3" i="7"/>
  <c r="G123" i="17"/>
  <c r="G122" i="17" s="1"/>
  <c r="G119" i="17" s="1"/>
  <c r="G117" i="17" s="1"/>
  <c r="N2" i="17" a="1"/>
  <c r="AZ5" i="7"/>
  <c r="BI5" i="7" s="1"/>
  <c r="BX4" i="7"/>
  <c r="BX14" i="7"/>
  <c r="C19" i="2"/>
  <c r="E4" i="16"/>
  <c r="BX13" i="7"/>
  <c r="AZ6" i="7"/>
  <c r="BX5" i="7"/>
  <c r="BX10" i="7"/>
  <c r="BX8" i="7"/>
  <c r="BX6" i="7"/>
  <c r="BX3" i="7"/>
  <c r="BX9" i="7"/>
  <c r="BX7" i="7"/>
  <c r="BX11" i="7"/>
  <c r="BX12" i="7"/>
  <c r="AF4" i="7"/>
  <c r="AF3" i="7" s="1"/>
  <c r="G36" i="17" s="1"/>
  <c r="AH4" i="7"/>
  <c r="AH3" i="7" s="1"/>
  <c r="G38" i="17" s="1"/>
  <c r="AC4" i="7"/>
  <c r="AC3" i="7" s="1"/>
  <c r="G33" i="17" s="1"/>
  <c r="AK4" i="7"/>
  <c r="AK3" i="7" s="1"/>
  <c r="G41" i="17" s="1"/>
  <c r="AJ4" i="7"/>
  <c r="AJ3" i="7" s="1"/>
  <c r="G40" i="17" s="1"/>
  <c r="AG4" i="7"/>
  <c r="AG3" i="7" s="1"/>
  <c r="G37" i="17" s="1"/>
  <c r="AE4" i="7"/>
  <c r="AE3" i="7" s="1"/>
  <c r="G35" i="17" s="1"/>
  <c r="Z4" i="7"/>
  <c r="AA4" i="7"/>
  <c r="AA3" i="7" s="1"/>
  <c r="G31" i="17" s="1"/>
  <c r="AB4" i="7"/>
  <c r="AB3" i="7" s="1"/>
  <c r="G32" i="17" s="1"/>
  <c r="AD4" i="7"/>
  <c r="AD3" i="7" s="1"/>
  <c r="G34" i="17" s="1"/>
  <c r="AI4" i="7"/>
  <c r="AI3" i="7" s="1"/>
  <c r="G39" i="17" s="1"/>
  <c r="AQ4" i="7"/>
  <c r="AQ3" i="7" s="1"/>
  <c r="G43" i="17" s="1"/>
  <c r="AU4" i="7"/>
  <c r="AU3" i="7" s="1"/>
  <c r="G47" i="17" s="1"/>
  <c r="AP4" i="7"/>
  <c r="AS4" i="7"/>
  <c r="AS3" i="7" s="1"/>
  <c r="G45" i="17" s="1"/>
  <c r="AT4" i="7"/>
  <c r="AT3" i="7" s="1"/>
  <c r="G46" i="17" s="1"/>
  <c r="AN4" i="7"/>
  <c r="AN3" i="7" s="1"/>
  <c r="G104" i="17" s="1"/>
  <c r="AR4" i="7"/>
  <c r="AR3" i="7" s="1"/>
  <c r="G44" i="17" s="1"/>
  <c r="AV4" i="7"/>
  <c r="AV3" i="7" s="1"/>
  <c r="G48" i="17" s="1"/>
  <c r="P4" i="7"/>
  <c r="P3" i="7" s="1"/>
  <c r="G8" i="17" s="1"/>
  <c r="U4" i="7"/>
  <c r="U3" i="7" s="1"/>
  <c r="G13" i="17" s="1"/>
  <c r="I4" i="7"/>
  <c r="I3" i="7" s="1"/>
  <c r="N4" i="7"/>
  <c r="N3" i="7" s="1"/>
  <c r="G6" i="17" s="1"/>
  <c r="T4" i="7"/>
  <c r="T3" i="7" s="1"/>
  <c r="G12" i="17" s="1"/>
  <c r="V4" i="7"/>
  <c r="V3" i="7" s="1"/>
  <c r="G14" i="17" s="1"/>
  <c r="S4" i="7"/>
  <c r="S3" i="7" s="1"/>
  <c r="R4" i="7"/>
  <c r="R3" i="7" s="1"/>
  <c r="Q4" i="7"/>
  <c r="Q3" i="7" s="1"/>
  <c r="G9" i="17" s="1"/>
  <c r="L4" i="7"/>
  <c r="L3" i="7" s="1"/>
  <c r="G4" i="17" s="1"/>
  <c r="M4" i="7"/>
  <c r="M3" i="7" s="1"/>
  <c r="G5" i="17" s="1"/>
  <c r="O4" i="7"/>
  <c r="O3" i="7" s="1"/>
  <c r="G7" i="17" s="1"/>
  <c r="K4" i="7"/>
  <c r="AZ7" i="7" l="1"/>
  <c r="Q38" i="17"/>
  <c r="Q42" i="17"/>
  <c r="P41" i="17"/>
  <c r="O41" i="17"/>
  <c r="Q41" i="17"/>
  <c r="O42" i="17"/>
  <c r="P42" i="17"/>
  <c r="AO4" i="7"/>
  <c r="P40" i="17"/>
  <c r="Q40" i="17"/>
  <c r="O40" i="17"/>
  <c r="O13" i="17"/>
  <c r="P9" i="17"/>
  <c r="Q4" i="17"/>
  <c r="O8" i="17"/>
  <c r="O17" i="17"/>
  <c r="P30" i="17"/>
  <c r="Q32" i="17"/>
  <c r="Q39" i="17"/>
  <c r="P24" i="17"/>
  <c r="O26" i="17"/>
  <c r="Q27" i="17"/>
  <c r="Q10" i="17"/>
  <c r="P7" i="17"/>
  <c r="O14" i="17"/>
  <c r="Q23" i="17"/>
  <c r="O4" i="17"/>
  <c r="Q19" i="17"/>
  <c r="P29" i="17"/>
  <c r="P3" i="17"/>
  <c r="O11" i="17"/>
  <c r="O7" i="17"/>
  <c r="O20" i="17"/>
  <c r="P13" i="17"/>
  <c r="P23" i="17"/>
  <c r="O38" i="17"/>
  <c r="P33" i="17"/>
  <c r="O22" i="17"/>
  <c r="P35" i="17"/>
  <c r="O39" i="17"/>
  <c r="O23" i="17"/>
  <c r="P17" i="17"/>
  <c r="O9" i="17"/>
  <c r="O35" i="17"/>
  <c r="Q7" i="17"/>
  <c r="O3" i="17"/>
  <c r="P14" i="17"/>
  <c r="O32" i="17"/>
  <c r="P22" i="17"/>
  <c r="O30" i="17"/>
  <c r="Q15" i="17"/>
  <c r="P39" i="17"/>
  <c r="P8" i="17"/>
  <c r="Q22" i="17"/>
  <c r="O19" i="17"/>
  <c r="Q11" i="17"/>
  <c r="P10" i="17"/>
  <c r="P36" i="17"/>
  <c r="O6" i="17"/>
  <c r="P16" i="17"/>
  <c r="P31" i="17"/>
  <c r="Q8" i="17"/>
  <c r="Q37" i="17"/>
  <c r="Q26" i="17"/>
  <c r="O33" i="17"/>
  <c r="Q30" i="17"/>
  <c r="Q21" i="17"/>
  <c r="P32" i="17"/>
  <c r="Q9" i="17"/>
  <c r="P5" i="17"/>
  <c r="P4" i="17"/>
  <c r="Q25" i="17"/>
  <c r="O37" i="17"/>
  <c r="O15" i="17"/>
  <c r="P12" i="17"/>
  <c r="Q33" i="17"/>
  <c r="O5" i="17"/>
  <c r="Q14" i="17"/>
  <c r="P27" i="17"/>
  <c r="O29" i="17"/>
  <c r="Q6" i="17"/>
  <c r="O16" i="17"/>
  <c r="Q35" i="17"/>
  <c r="P25" i="17"/>
  <c r="N2" i="17"/>
  <c r="O2" i="17" s="1"/>
  <c r="Q5" i="17"/>
  <c r="Q17" i="17"/>
  <c r="P20" i="17"/>
  <c r="Q24" i="17"/>
  <c r="O10" i="17"/>
  <c r="O21" i="17"/>
  <c r="Q13" i="17"/>
  <c r="P26" i="17"/>
  <c r="O36" i="17"/>
  <c r="P19" i="17"/>
  <c r="P21" i="17"/>
  <c r="Q29" i="17"/>
  <c r="O12" i="17"/>
  <c r="Q31" i="17"/>
  <c r="Q34" i="17"/>
  <c r="O24" i="17"/>
  <c r="P6" i="17"/>
  <c r="O25" i="17"/>
  <c r="Q16" i="17"/>
  <c r="O34" i="17"/>
  <c r="P11" i="17"/>
  <c r="P34" i="17"/>
  <c r="O27" i="17"/>
  <c r="P37" i="17"/>
  <c r="Q36" i="17"/>
  <c r="P38" i="17"/>
  <c r="O31" i="17"/>
  <c r="Q12" i="17"/>
  <c r="Q20" i="17"/>
  <c r="Q3" i="17"/>
  <c r="P15" i="17"/>
  <c r="C11" i="16"/>
  <c r="D11" i="16" s="1"/>
  <c r="E15" i="11"/>
  <c r="DB1" i="7"/>
  <c r="G10" i="17" s="1"/>
  <c r="Z3" i="7"/>
  <c r="Y4" i="7"/>
  <c r="B154" i="17" s="1" a="1"/>
  <c r="J4" i="7"/>
  <c r="K3" i="7"/>
  <c r="E11" i="16"/>
  <c r="E9" i="16"/>
  <c r="E8" i="16"/>
  <c r="E7" i="16"/>
  <c r="E5" i="16"/>
  <c r="E13" i="16"/>
  <c r="E6" i="16"/>
  <c r="E12" i="16"/>
  <c r="AP3" i="7"/>
  <c r="BI3" i="7"/>
  <c r="P2" i="17" l="1"/>
  <c r="E10" i="16"/>
  <c r="Q2" i="17"/>
  <c r="BI6" i="7"/>
  <c r="BM8" i="7"/>
  <c r="G28" i="17"/>
  <c r="G18" i="17"/>
  <c r="L7" i="2"/>
  <c r="K7" i="2" s="1"/>
  <c r="G3" i="17"/>
  <c r="J3" i="7"/>
  <c r="AO3" i="7"/>
  <c r="G42" i="17"/>
  <c r="B154" i="17"/>
  <c r="J1" i="17" s="1"/>
  <c r="Y3" i="7"/>
  <c r="G30" i="17"/>
  <c r="BI7" i="7" l="1"/>
  <c r="L9" i="2" s="1"/>
  <c r="K9" i="2" s="1"/>
  <c r="BP8" i="7"/>
  <c r="BP9" i="7" s="1"/>
  <c r="CV2" i="7" s="1"/>
  <c r="BM9" i="7"/>
  <c r="BM11" i="7" s="1"/>
  <c r="BP11" i="7" s="1"/>
  <c r="G29" i="17" a="1"/>
  <c r="C6" i="16"/>
  <c r="D6" i="16" s="1"/>
  <c r="G15" i="17"/>
  <c r="C8" i="16"/>
  <c r="D8" i="16" s="1"/>
  <c r="G2" i="17"/>
  <c r="C5" i="16"/>
  <c r="CV3" i="7" l="1"/>
  <c r="G142" i="17"/>
  <c r="G29" i="17"/>
  <c r="L4" i="2" s="1"/>
  <c r="K4" i="2" s="1"/>
  <c r="C10" i="16"/>
  <c r="D5" i="16"/>
  <c r="L17" i="2"/>
  <c r="K17" i="2" s="1"/>
  <c r="L2" i="2"/>
  <c r="K2" i="2" s="1"/>
  <c r="L11" i="2"/>
  <c r="K3" i="2"/>
  <c r="K11" i="2"/>
  <c r="L3" i="2"/>
  <c r="K5" i="2"/>
  <c r="G143" i="17" l="1"/>
  <c r="CV4" i="7"/>
  <c r="K10" i="16"/>
  <c r="G19" i="2" s="1"/>
  <c r="D10" i="16"/>
  <c r="CV5" i="7" l="1"/>
  <c r="G144" i="17"/>
  <c r="CV6" i="7" l="1"/>
  <c r="G145" i="17"/>
  <c r="G146" i="17" l="1"/>
  <c r="CV7" i="7"/>
  <c r="CV8" i="7" l="1"/>
  <c r="G147" i="17"/>
  <c r="CV9" i="7" l="1"/>
  <c r="G148" i="17"/>
  <c r="CV10" i="7" l="1"/>
  <c r="G149" i="17"/>
  <c r="CV11" i="7" l="1"/>
  <c r="G150" i="17"/>
  <c r="CV12" i="7" l="1"/>
  <c r="G151" i="17"/>
  <c r="CV13" i="7" l="1"/>
  <c r="CV14" i="7" s="1"/>
  <c r="G153" i="17" s="1"/>
  <c r="G152"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Thao Tran Thi Phuong (QLRR-TTTK)</author>
  </authors>
  <commentList>
    <comment ref="J16" authorId="0" shapeId="0" xr:uid="{DC3B82E2-C313-42CB-9F78-7C3ACB90AA14}">
      <text>
        <r>
          <rPr>
            <b/>
            <sz val="9"/>
            <color indexed="81"/>
            <rFont val="Tahoma"/>
            <family val="2"/>
          </rPr>
          <t>Thao Tran Thi Phuong (QLRR-TTTK):</t>
        </r>
        <r>
          <rPr>
            <sz val="9"/>
            <color indexed="81"/>
            <rFont val="Tahoma"/>
            <family val="2"/>
          </rPr>
          <t xml:space="preserve">
Mua sơ cấp CD bị hạch toán chậm 1 ngày trên GL, lỗi từ cuối năm 2024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Thao Tran Thi Phuong (QLRR-TTTK)</author>
  </authors>
  <commentList>
    <comment ref="V1" authorId="0" shapeId="0" xr:uid="{4C9A9A68-4A4F-48AF-B31F-C4120098BBA7}">
      <text>
        <r>
          <rPr>
            <b/>
            <sz val="9"/>
            <color indexed="81"/>
            <rFont val="Tahoma"/>
            <family val="2"/>
          </rPr>
          <t>Thao Tran Thi Phuong (QLRR-TTTK):</t>
        </r>
        <r>
          <rPr>
            <sz val="9"/>
            <color indexed="81"/>
            <rFont val="Tahoma"/>
            <family val="2"/>
          </rPr>
          <t xml:space="preserve">
MV của CD = 0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B37CC4-E3FE-4861-9976-B787D77793BC}" keepAlive="1" name="Query - BS" description="Connection to the 'BS' query in the workbook." type="5" refreshedVersion="8" background="1" saveData="1">
    <dbPr connection="Provider=Microsoft.Mashup.OleDb.1;Data Source=$Workbook$;Location=BS;Extended Properties=&quot;&quot;" command="SELECT * FROM [BS]"/>
  </connection>
  <connection id="2" xr16:uid="{7734432D-76A5-4D09-859A-0D56CB388581}" keepAlive="1" name="Query - BS(1)" description="Connection to the 'BS' query in the workbook." type="5" refreshedVersion="8" background="1" saveData="1">
    <dbPr connection="Provider=Microsoft.Mashup.OleDb.1;Data Source=$Workbook$;Location=BS;Extended Properties=&quot;&quot;" command="SELECT * FROM [BS]"/>
  </connection>
  <connection id="3" xr16:uid="{3E8CCE7E-7410-4C83-A392-6EA4B883CC03}" keepAlive="1" name="Query - BS_KGS" description="Connection to the 'BS_KGS' query in the workbook." type="5" refreshedVersion="8" background="1" saveData="1">
    <dbPr connection="Provider=Microsoft.Mashup.OleDb.1;Data Source=$Workbook$;Location=BS_KGS;Extended Properties=&quot;&quot;" command="SELECT * FROM [BS_KGS]"/>
  </connection>
  <connection id="4" xr16:uid="{5AF9BFF8-463C-47F8-B221-36B5154DC907}" keepAlive="1" name="Query - CallPut" description="Connection to the 'CallPut' query in the workbook." type="5" refreshedVersion="8" background="1" saveData="1">
    <dbPr connection="Provider=Microsoft.Mashup.OleDb.1;Data Source=$Workbook$;Location=CallPut;Extended Properties=&quot;&quot;" command="SELECT * FROM [CallPut]"/>
  </connection>
  <connection id="5" xr16:uid="{6C1AA836-45CB-4632-837F-66B2DC989C49}" keepAlive="1" name="Query - Dao han" description="Connection to the 'Dao han' query in the workbook." type="5" refreshedVersion="8" background="1" saveData="1">
    <dbPr connection="Provider=Microsoft.Mashup.OleDb.1;Data Source=$Workbook$;Location=&quot;Dao han&quot;;Extended Properties=&quot;&quot;" command="SELECT * FROM [Dao han]"/>
  </connection>
  <connection id="6" xr16:uid="{03BA334F-FD8B-4C67-A0FA-0AC54F628843}" keepAlive="1" name="Query - DataTT ps" description="Connection to the 'DataTT ps' query in the workbook." type="5" refreshedVersion="8" background="1" saveData="1">
    <dbPr connection="Provider=Microsoft.Mashup.OleDb.1;Data Source=$Workbook$;Location=&quot;DataTT ps&quot;;Extended Properties=&quot;&quot;" command="SELECT * FROM [DataTT ps]"/>
  </connection>
  <connection id="7" xr16:uid="{A5588B36-6688-4D57-977C-35AFA5B81165}" keepAlive="1" name="Query - Dealps" description="Connection to the 'Dealps' query in the workbook." type="5" refreshedVersion="8" background="1" saveData="1">
    <dbPr connection="Provider=Microsoft.Mashup.OleDb.1;Data Source=$Workbook$;Location=Dealps;Extended Properties=&quot;&quot;" command="SELECT * FROM [Dealps]"/>
  </connection>
  <connection id="8" xr16:uid="{6E005141-3F0C-4C53-B3F5-8CECEACB4DE6}" keepAlive="1" name="Query - Dealps deleted" description="Connection to the 'Dealps deleted' query in the workbook." type="5" refreshedVersion="8" background="1" saveData="1">
    <dbPr connection="Provider=Microsoft.Mashup.OleDb.1;Data Source=$Workbook$;Location=&quot;Dealps deleted&quot;;Extended Properties=&quot;&quot;" command="SELECT * FROM [Dealps deleted]"/>
  </connection>
  <connection id="9" xr16:uid="{EDD76CBB-E06E-4CDC-A9E4-DC48AF5B46B4}" keepAlive="1" name="Query - Dealps fixed" description="Connection to the 'Dealps fixed' query in the workbook." type="5" refreshedVersion="8" background="1" saveData="1">
    <dbPr connection="Provider=Microsoft.Mashup.OleDb.1;Data Source=$Workbook$;Location=&quot;Dealps fixed&quot;;Extended Properties=&quot;&quot;" command="SELECT * FROM [Dealps fixed]"/>
  </connection>
  <connection id="10" xr16:uid="{6588B71C-9A76-4433-AD85-60431813539D}" keepAlive="1" name="Query - Dealps_ITB" description="Connection to the 'Dealps_ITB' query in the workbook." type="5" refreshedVersion="8" background="1" saveData="1">
    <dbPr connection="Provider=Microsoft.Mashup.OleDb.1;Data Source=$Workbook$;Location=Dealps_ITB;Extended Properties=&quot;&quot;" command="SELECT * FROM [Dealps_ITB]"/>
  </connection>
  <connection id="11" xr16:uid="{2269F2D8-B8B8-4094-8F5B-802E5C025BB6}" keepAlive="1" name="Query - Dealps_MSB" description="Connection to the 'Dealps_MSB' query in the workbook." type="5" refreshedVersion="8" background="1" saveData="1">
    <dbPr connection="Provider=Microsoft.Mashup.OleDb.1;Data Source=$Workbook$;Location=Dealps_MSB;Extended Properties=&quot;&quot;" command="SELECT * FROM [Dealps_MSB]"/>
  </connection>
  <connection id="12" xr16:uid="{E3355051-0091-4CE6-8074-11A1A917007D}" keepAlive="1" name="Query - FNRP_FIbond" description="Connection to the 'FNRP_FIbond' query in the workbook." type="5" refreshedVersion="8" background="1" saveData="1">
    <dbPr connection="Provider=Microsoft.Mashup.OleDb.1;Data Source=$Workbook$;Location=FNRP_FIbond;Extended Properties=&quot;&quot;" command="SELECT * FROM [FNRP_FIbond]"/>
  </connection>
  <connection id="13" xr16:uid="{B1124900-7215-4010-B43F-72AB79404EEB}" keepAlive="1" name="Query - FNRP_ITB" description="Connection to the 'FNRP_ITB' query in the workbook." type="5" refreshedVersion="8" background="1" saveData="1">
    <dbPr connection="Provider=Microsoft.Mashup.OleDb.1;Data Source=$Workbook$;Location=FNRP_ITB;Extended Properties=&quot;&quot;" command="SELECT * FROM [FNRP_ITB]"/>
  </connection>
  <connection id="14" xr16:uid="{8A37149A-E9AE-436C-94EC-9171668991BA}" keepAlive="1" name="Query - FNRP_MSB" description="Connection to the 'FNRP_MSB' query in the workbook." type="5" refreshedVersion="8" background="1">
    <dbPr connection="Provider=Microsoft.Mashup.OleDb.1;Data Source=$Workbook$;Location=FNRP_MSB;Extended Properties=&quot;&quot;" command="SELECT * FROM [FNRP_MSB]"/>
  </connection>
  <connection id="15" xr16:uid="{C503E1B9-0221-4295-A6D0-5F9430955D4E}" keepAlive="1" name="Query - FNRP_PPCD" description="Connection to the 'FNRP_PPCD' query in the workbook." type="5" refreshedVersion="8" background="1">
    <dbPr connection="Provider=Microsoft.Mashup.OleDb.1;Data Source=$Workbook$;Location=FNRP_PPCD;Extended Properties=&quot;&quot;" command="SELECT * FROM [FNRP_PPCD]"/>
  </connection>
  <connection id="16" xr16:uid="{2B1E9728-CC1B-4CBF-B5E5-CDF86DCFD613}" keepAlive="1" name="Query - GovBond BS" description="Connection to the 'GovBond BS' query in the workbook." type="5" refreshedVersion="8" background="1" saveData="1">
    <dbPr connection="Provider=Microsoft.Mashup.OleDb.1;Data Source=$Workbook$;Location=&quot;GovBond BS&quot;;Extended Properties=&quot;&quot;" command="SELECT * FROM [GovBond BS]"/>
  </connection>
  <connection id="17" xr16:uid="{5D8A6A10-D099-45F3-8353-277D0AFBBC6A}" keepAlive="1" name="Query - His53" description="Connection to the 'His53' query in the workbook." type="5" refreshedVersion="8" background="1" saveData="1">
    <dbPr connection="Provider=Microsoft.Mashup.OleDb.1;Data Source=$Workbook$;Location=His53;Extended Properties=&quot;&quot;" command="SELECT * FROM [His53]"/>
  </connection>
  <connection id="18" xr16:uid="{F092A783-A580-472A-B7F7-50131A0F2FB5}" keepAlive="1" name="Query - His53_DataTT" description="Connection to the 'His53_DataTT' query in the workbook." type="5" refreshedVersion="8" background="1" saveData="1">
    <dbPr connection="Provider=Microsoft.Mashup.OleDb.1;Data Source=$Workbook$;Location=His53_DataTT;Extended Properties=&quot;&quot;" command="SELECT * FROM [His53_DataTT]"/>
  </connection>
  <connection id="19" xr16:uid="{644C3AA2-B431-40FC-8332-46F6AE34C2FA}" keepAlive="1" name="Query - offBS" description="Connection to the 'offBS' query in the workbook." type="5" refreshedVersion="8" background="1" saveData="1">
    <dbPr connection="Provider=Microsoft.Mashup.OleDb.1;Data Source=$Workbook$;Location=offBS;Extended Properties=&quot;&quot;" command="SELECT * FROM [offBS]"/>
  </connection>
  <connection id="20" xr16:uid="{1170B207-97E9-484B-89AD-AC58C0B2FF95}" keepAlive="1" name="Query - offBS_KGS" description="Connection to the 'offBS_KGS' query in the workbook." type="5" refreshedVersion="8" background="1" saveData="1">
    <dbPr connection="Provider=Microsoft.Mashup.OleDb.1;Data Source=$Workbook$;Location=offBS_KGS;Extended Properties=&quot;&quot;" command="SELECT * FROM [offBS_KGS]"/>
  </connection>
  <connection id="21" xr16:uid="{9BC814CD-E9F4-4EA6-BD0B-5D6125DF47E1}" keepAlive="1" name="Query - Param" description="Connection to the 'Param' query in the workbook." type="5" refreshedVersion="0" background="1">
    <dbPr connection="Provider=Microsoft.Mashup.OleDb.1;Data Source=$Workbook$;Location=Param;Extended Properties=&quot;&quot;" command="SELECT * FROM [Param]"/>
  </connection>
  <connection id="22" xr16:uid="{9CF9263B-BA67-4CE1-BD17-3DEC519D7314}" keepAlive="1" name="Query - Portfolio rating" description="Connection to the 'Portfolio rating' query in the workbook." type="5" refreshedVersion="8" background="1" saveData="1">
    <dbPr connection="Provider=Microsoft.Mashup.OleDb.1;Data Source=$Workbook$;Location=&quot;Portfolio rating&quot;;Extended Properties=&quot;&quot;" command="SELECT * FROM [Portfolio rating]"/>
  </connection>
  <connection id="23" xr16:uid="{42B7101D-9CAE-4E1C-944B-07BBCD2E60E7}" keepAlive="1" name="Query - Rating" description="Connection to the 'Rating' query in the workbook." type="5" refreshedVersion="0" background="1">
    <dbPr connection="Provider=Microsoft.Mashup.OleDb.1;Data Source=$Workbook$;Location=Rating;Extended Properties=&quot;&quot;" command="SELECT * FROM [Rating]"/>
  </connection>
  <connection id="24" xr16:uid="{C126B177-D29C-4101-B544-0E9BB177C705}" keepAlive="1" name="Query - Repo" description="Connection to the 'Repo' query in the workbook." type="5" refreshedVersion="8" background="1" saveData="1">
    <dbPr connection="Provider=Microsoft.Mashup.OleDb.1;Data Source=$Workbook$;Location=Repo;Extended Properties=&quot;&quot;" command="SELECT * FROM [Repo]"/>
  </connection>
  <connection id="25" xr16:uid="{53264787-4B93-4DAC-98A9-81447A6D3B6D}" keepAlive="1" name="Query - RPBOD_B003" description="Connection to the 'RPBOD_B003' query in the workbook." type="5" refreshedVersion="8" background="1" saveData="1">
    <dbPr connection="Provider=Microsoft.Mashup.OleDb.1;Data Source=$Workbook$;Location=RPBOD_B003;Extended Properties=&quot;&quot;" command="SELECT * FROM [RPBOD_B003]"/>
  </connection>
  <connection id="26" xr16:uid="{EDFC87C7-DFCA-4F07-8B95-C619411D479F}" keepAlive="1" name="Query - Tygia" description="Connection to the 'Tygia' query in the workbook." type="5" refreshedVersion="8" background="1" saveData="1">
    <dbPr connection="Provider=Microsoft.Mashup.OleDb.1;Data Source=$Workbook$;Location=Tygia;Extended Properties=&quot;&quot;" command="SELECT * FROM [Tygia]"/>
  </connection>
  <connection id="27" xr16:uid="{1C0764D4-399C-43EE-A0BC-7B5B057A9CD8}" keepAlive="1" name="Query - Upload53_RPBOD03" description="Connection to the 'Upload53_RPBOD03' query in the workbook." type="5" refreshedVersion="8" background="1" saveData="1">
    <dbPr connection="Provider=Microsoft.Mashup.OleDb.1;Data Source=$Workbook$;Location=Upload53_RPBOD03;Extended Properties=&quot;&quot;" command="SELECT * FROM [Upload53_RPBOD03]"/>
  </connection>
  <connection id="28" xr16:uid="{C79E28A3-9344-4B56-8D95-054AA672255B}" keepAlive="1" name="Query - Yield BidAsk" description="Connection to the 'Yield BidAsk' query in the workbook." type="5" refreshedVersion="8" background="1" saveData="1">
    <dbPr connection="Provider=Microsoft.Mashup.OleDb.1;Data Source=$Workbook$;Location=&quot;Yield BidAsk&quot;;Extended Properties=&quot;&quot;" command="SELECT * FROM [Yield BidAsk]"/>
  </connection>
  <connection id="29" xr16:uid="{C1AB7C38-E6D8-4882-95BA-F79D12B314B9}" keepAlive="1" name="Query - Yield VBMA" description="Connection to the 'Yield VBMA' query in the workbook." type="5" refreshedVersion="8" background="1" saveData="1">
    <dbPr connection="Provider=Microsoft.Mashup.OleDb.1;Data Source=$Workbook$;Location=&quot;Yield VBMA&quot;;Extended Properties=&quot;&quot;" command="SELECT * FROM [Yield VBM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<sst xmlns="http://schemas.openxmlformats.org/spreadsheetml/2006/main" count="32056" uniqueCount="1676">
  <si>
    <t>STT</t>
  </si>
  <si>
    <t>Values</t>
  </si>
  <si>
    <t>Report date</t>
  </si>
  <si>
    <t>Yesterday</t>
  </si>
  <si>
    <t>Last month</t>
  </si>
  <si>
    <t>Last year</t>
  </si>
  <si>
    <t>FNRP FI Bond</t>
  </si>
  <si>
    <t>Tool_name</t>
  </si>
  <si>
    <t>Lastest 1Y</t>
  </si>
  <si>
    <t xml:space="preserve"> </t>
  </si>
  <si>
    <t>Currency</t>
  </si>
  <si>
    <t>Duration_range</t>
  </si>
  <si>
    <t>Short Name</t>
  </si>
  <si>
    <t>Open Pos</t>
  </si>
  <si>
    <t>Clean Price</t>
  </si>
  <si>
    <t>Quantity</t>
  </si>
  <si>
    <t>Nominal</t>
  </si>
  <si>
    <t>Avg Price</t>
  </si>
  <si>
    <t>Avg Yield</t>
  </si>
  <si>
    <t>Market Value</t>
  </si>
  <si>
    <t>Cpn Rate</t>
  </si>
  <si>
    <t>Accr Int</t>
  </si>
  <si>
    <t>% Sec</t>
  </si>
  <si>
    <t>Cpn Cumul</t>
  </si>
  <si>
    <t>Cpn Reinvested</t>
  </si>
  <si>
    <t>Cost of Carry</t>
  </si>
  <si>
    <t>Global Carry</t>
  </si>
  <si>
    <t>Net Carry</t>
  </si>
  <si>
    <t>Mod Dur</t>
  </si>
  <si>
    <t>BPV (K)</t>
  </si>
  <si>
    <t>Realized Cur</t>
  </si>
  <si>
    <t>Unrealized Cur</t>
  </si>
  <si>
    <t>P/L Clean Price</t>
  </si>
  <si>
    <t>VIETNAMESE DONG</t>
  </si>
  <si>
    <t>0 yrs &lt;= duration &lt; 1 yr</t>
  </si>
  <si>
    <t>FI_CORP_U</t>
  </si>
  <si>
    <t>Buy</t>
  </si>
  <si>
    <t>TCB12409</t>
  </si>
  <si>
    <t>VBA122001</t>
  </si>
  <si>
    <t>FI_CORP_L</t>
  </si>
  <si>
    <t>LPB12407</t>
  </si>
  <si>
    <t>1 yr &lt;= duration &lt; 3 yrs</t>
  </si>
  <si>
    <t>OCB12413</t>
  </si>
  <si>
    <t>MBBOND2027</t>
  </si>
  <si>
    <t>FNRP</t>
  </si>
  <si>
    <t>Sheet</t>
  </si>
  <si>
    <t>Tên bảng</t>
  </si>
  <si>
    <t>POSTED_DT</t>
  </si>
  <si>
    <t>DEAL_ID</t>
  </si>
  <si>
    <t>CPTY_CODE_ISSUER</t>
  </si>
  <si>
    <t>CPTY_CODE</t>
  </si>
  <si>
    <t>PRODUCT_CODE</t>
  </si>
  <si>
    <t>FOLDERS_CODE</t>
  </si>
  <si>
    <t>DEAL_TYPE</t>
  </si>
  <si>
    <t>CAPTURE_DATE</t>
  </si>
  <si>
    <t>TRADING_DATE</t>
  </si>
  <si>
    <t>VALUE_DATE</t>
  </si>
  <si>
    <t>MATURITY_DATE</t>
  </si>
  <si>
    <t>QUANTITY</t>
  </si>
  <si>
    <t>FACE_AMOUNT</t>
  </si>
  <si>
    <t>PRICE</t>
  </si>
  <si>
    <t>YIELD</t>
  </si>
  <si>
    <t>ACCRUED</t>
  </si>
  <si>
    <t>GROSS_AMOUNT</t>
  </si>
  <si>
    <t>Ngày</t>
  </si>
  <si>
    <t>TCPH</t>
  </si>
  <si>
    <t>Ngành</t>
  </si>
  <si>
    <t>Mã GD</t>
  </si>
  <si>
    <t>Giá TH gần nhất</t>
  </si>
  <si>
    <t>KLTH gần nhất</t>
  </si>
  <si>
    <t>Giá TH cao nhất</t>
  </si>
  <si>
    <t>KL TH tại mức giá cao nhất</t>
  </si>
  <si>
    <t>Giá TH thấp nhất</t>
  </si>
  <si>
    <t>KL TH tại mức giá thấp nhất</t>
  </si>
  <si>
    <t>KLGD</t>
  </si>
  <si>
    <t>GTGD (VNĐ)</t>
  </si>
  <si>
    <t>Tháng</t>
  </si>
  <si>
    <t>NHTMCP Á Châu</t>
  </si>
  <si>
    <t>NGÂN HÀNG</t>
  </si>
  <si>
    <t>CTCP BCG LAND</t>
  </si>
  <si>
    <t>BẤT ĐỘNG SẢN</t>
  </si>
  <si>
    <t>CT TNHH Đầu tư Big Gain</t>
  </si>
  <si>
    <t>NHTMCP Đầu tư và Phát triển Việt Nam</t>
  </si>
  <si>
    <t>CTCP ĐẦU TƯ VÀ PHÁT TRIỂN BẤT ĐỘNG SẢN THẾ KỶ</t>
  </si>
  <si>
    <t>NHTMCP Công Thương Việt Nam</t>
  </si>
  <si>
    <t>CTCP CMC</t>
  </si>
  <si>
    <t>CÔNG NGHIỆP</t>
  </si>
  <si>
    <t>CTCP Đầu tư và Phát triển du lịch Phú Quốc</t>
  </si>
  <si>
    <t>TIÊU DÙNG</t>
  </si>
  <si>
    <t>CTCP Đầu tư và Du lịch Vạn Hương</t>
  </si>
  <si>
    <t>CTCP Đầu tư thương mại dịch vụ Gia Khang</t>
  </si>
  <si>
    <t>CTCP In và Bao bì Goldsun</t>
  </si>
  <si>
    <t>CTCP Hưng Thịnh Land</t>
  </si>
  <si>
    <t>NHTMCP Phát triển thành phố Hồ Chí Minh ( HDBANK)</t>
  </si>
  <si>
    <t>CT TNHH Đầu tư và Phát triển BĐS Hải Đăng</t>
  </si>
  <si>
    <t>CTCP đầu tư và dịch vụ HELIOS</t>
  </si>
  <si>
    <t>LĨNH VỰC KHÁC</t>
  </si>
  <si>
    <t>CTCP Bất động sản Hano-vid</t>
  </si>
  <si>
    <t>CTCP Dịch vụ Giải trí Hưng Thịnh Quy Nhơn</t>
  </si>
  <si>
    <t>CTCP Tập đoàn Đầu tư I.P.A</t>
  </si>
  <si>
    <t>TÀI CHÍNH</t>
  </si>
  <si>
    <t>NHTMCP Lộc Phát Việt Nam (tên cũ: NHTMCP Bưu Điện Liên Việt)</t>
  </si>
  <si>
    <t>CTCP bất động sản Mỹ</t>
  </si>
  <si>
    <t>CTCP Tập đoàn Masan</t>
  </si>
  <si>
    <t>CT TNHH Đầu tư và Kinh doanh Địa ốc Mỹ Phú</t>
  </si>
  <si>
    <t>NHTMCP Nam Á</t>
  </si>
  <si>
    <t>CT TNHH KHAI THÁC CHẾ BIẾN KHOÁNG SẢN NÚI PHÁO</t>
  </si>
  <si>
    <t>NGUYÊN VẬT LIỆU</t>
  </si>
  <si>
    <t>CTCP Chứng khoán Tiên Phong</t>
  </si>
  <si>
    <t>CHỨNG KHOÁN</t>
  </si>
  <si>
    <t>CTCP TẬP ĐOÀN PC1</t>
  </si>
  <si>
    <t>NĂNG LƯỢNG</t>
  </si>
  <si>
    <t>CT TNHH Quản lý Đầu tư Thiên An</t>
  </si>
  <si>
    <t>CTCP Tập đoàn R&amp;H</t>
  </si>
  <si>
    <t>CTCP Sunbay Ninh Thuận</t>
  </si>
  <si>
    <t>CTCP Thành Thành công - Biên Hòa</t>
  </si>
  <si>
    <t>CTCP Phát triển Tập đoàn Sunshine (Tên cũ: CTCP tập đoàn Sunshine)</t>
  </si>
  <si>
    <t>CTCP KINH DOANH NHÀ SUNSHINE</t>
  </si>
  <si>
    <t>CTCP SUNSHINE MARINA NHA TRANG</t>
  </si>
  <si>
    <t>XÂY DỰNG</t>
  </si>
  <si>
    <t>CTCP Sunshine AM</t>
  </si>
  <si>
    <t>CTCP TẬP ĐOÀN XÂY DỰNG TRACODI ( TÊN CŨ: CTCP ĐẦU TƯ PHÁT TRIỂN CÔNG NGHIỆP VÀ VẬN TẢI)</t>
  </si>
  <si>
    <t>CTCP Điện gió Trung Nam Đắk Lắk 1</t>
  </si>
  <si>
    <t>TDK12102</t>
  </si>
  <si>
    <t>CTCP TIẾP VẬN VÀ BẤT ĐỘNG SẢN TÂN LIÊN PHÁT TÂN CẢNG</t>
  </si>
  <si>
    <t>CT TNHH Khu đô thị mới Trung Minh</t>
  </si>
  <si>
    <t>CTCP NĂNG LƯỢNG TNPOWER</t>
  </si>
  <si>
    <t>CTCP đầu tư phát triển bất động sản TNR holdings Việt Nam</t>
  </si>
  <si>
    <t>CTCP ĐẦU TƯ XÂY DỰNG THÁI SƠN</t>
  </si>
  <si>
    <t>CTCP thương mại - quảng cáo - xây dựng - địa ốc Việt Hân</t>
  </si>
  <si>
    <t>CTCP VINHOMES</t>
  </si>
  <si>
    <t>TẬP ĐOÀN VINGROUP - CT CP</t>
  </si>
  <si>
    <t>CTCP SẢN XUẤT VÀ KINH DOANH VINFAST</t>
  </si>
  <si>
    <t>CTCP HÀNG KHÔNG VIETJET</t>
  </si>
  <si>
    <t>CTCP BẤT ĐỘNG SẢN WONDERLAND</t>
  </si>
  <si>
    <t>CTCP ĐẦU TƯ XÂY DỰNG XUÂN ĐỈNH</t>
  </si>
  <si>
    <t>CT TNHH AQUA CITY HÒA BÌNH</t>
  </si>
  <si>
    <t>CTCP Đầu tư Hạ tầng Kỹ thuật Thành phố Hồ Chí Minh</t>
  </si>
  <si>
    <t>CTCP Mua bán nợ và Quản lý Tài sản HDBank</t>
  </si>
  <si>
    <t>CTCP ĐẦU TƯ VÀ QUẢN LÝ KHÁCH SẠN TNH</t>
  </si>
  <si>
    <t>CT TNHH thương mại và đầu tư Việt Đức</t>
  </si>
  <si>
    <t>CTCP Chứng khoán Rồng Việt</t>
  </si>
  <si>
    <t>TỔNG CT ĐẦU TƯ VÀ PHÁT TRIỂN CÔNG NGHIỆP - CTCP</t>
  </si>
  <si>
    <t>NHTMCP Bảo Việt</t>
  </si>
  <si>
    <t>CTCP Đầu tư và Kinh doanh nhà Khang Điền</t>
  </si>
  <si>
    <t>CTCP Đầu tư Nam Long</t>
  </si>
  <si>
    <t>CTCP chứng khoán Kỹ thương</t>
  </si>
  <si>
    <t>NHTMCP Quốc tế Việt Nam</t>
  </si>
  <si>
    <t>CTCP Vinam Land</t>
  </si>
  <si>
    <t>NHTMCP QUÂN ĐỘI</t>
  </si>
  <si>
    <t>CTCP Masan High-tech Materials</t>
  </si>
  <si>
    <t>CT TNHH Đầu tư Kinh doanh và Phát triển Thương mại Việt An</t>
  </si>
  <si>
    <t>CTCP DU LỊCH THÀNH THÀNH CÔNG</t>
  </si>
  <si>
    <t>NHTMCP NGOẠI THƯƠNG VIỆT NAM</t>
  </si>
  <si>
    <t>CTCP Đầu tư Thương mại và Dịch vụ Việt Mỹ A&amp;V</t>
  </si>
  <si>
    <t>TỔNG CT PHÁT TRIỂN ĐÔ THỊ KINH BẮC - CTCP</t>
  </si>
  <si>
    <t>NHTMCP Việt Nam Thương Tín</t>
  </si>
  <si>
    <t>CT TNHH HOÀNG TRÚC MY</t>
  </si>
  <si>
    <t>CTCP chứng khoán Bảo Minh</t>
  </si>
  <si>
    <t>CTCP CHƯƠNG DƯƠNG</t>
  </si>
  <si>
    <t>CTCP Điện Gia Lai</t>
  </si>
  <si>
    <t>NH Nông nghiệp và Phát triển Nông thôn Việt Nam</t>
  </si>
  <si>
    <t>CTCP Tập Đoàn KHẢI HOÀN LAND</t>
  </si>
  <si>
    <t>CTCP Đầu tư và Phát triển Năng lượng Trung Nam</t>
  </si>
  <si>
    <t>CT TNHH ĐẦU TƯ XÂY DỰNG THIÊN HÀ - BĂNG DƯƠNG</t>
  </si>
  <si>
    <t>NHTMCP An Bình (ABBANK)</t>
  </si>
  <si>
    <t>CTCP Tasco</t>
  </si>
  <si>
    <t>CTCP Phú Thọ Land</t>
  </si>
  <si>
    <t>NHTMCP Sài Gòn Thương Tín</t>
  </si>
  <si>
    <t>CTCP ĐẦU TƯ HẢI PHÁT</t>
  </si>
  <si>
    <t>CT TNHH Đầu tư Phát triển Mỹ Khánh</t>
  </si>
  <si>
    <t>NHTMCP Sài Gòn - Hà Nội</t>
  </si>
  <si>
    <t>CTCP Đầu tư phát triển BĐS TMT</t>
  </si>
  <si>
    <t>CTCP NĂNG LƯỢNG BẮC HÀ</t>
  </si>
  <si>
    <t>CTCP Crystal Bay</t>
  </si>
  <si>
    <t>CT TNHH BẤT ĐỘNG SẢN LAN VIỆT</t>
  </si>
  <si>
    <t>CT TNHH Đầu tư và Phát triển Đô thị Hưng Yên</t>
  </si>
  <si>
    <t>CTCP Đầu tư Golden Hill</t>
  </si>
  <si>
    <t>CTCP Đầu tư Năng lượng Trường Thịnh</t>
  </si>
  <si>
    <t>CTCP Máy tính - Truyền thông - Điều khiển 3C</t>
  </si>
  <si>
    <t>CTCP Đầu tư Xây Dựng Trung Nam</t>
  </si>
  <si>
    <t>CTCP phần mềm diệt virus BKAV</t>
  </si>
  <si>
    <t>CTCP Tập Đoàn ĐẠT PHƯƠNG</t>
  </si>
  <si>
    <t>CT TNHH MỘT THÀNH VIÊN ĐẦU TƯ VÀ PHÁT TRIỂN DB</t>
  </si>
  <si>
    <t>NHTMCP Phương Đông</t>
  </si>
  <si>
    <t>Tập đoàn Geleximco - CT CP</t>
  </si>
  <si>
    <t>NHTMCP Tiên Phong</t>
  </si>
  <si>
    <t>CT TNHH Du lịch Khách sạn Đông Á</t>
  </si>
  <si>
    <t>CTCP Sài Gòn Phú Minh</t>
  </si>
  <si>
    <t>CT TNHH MẶT TRỜI HẠ LONG</t>
  </si>
  <si>
    <t>CTCP Chứng khoán BIDV</t>
  </si>
  <si>
    <t>NHTMCP Kỹ thương Việt Nam</t>
  </si>
  <si>
    <t>CTCP KHU CÔNG NGHIỆP THÀNH THÀNH CÔNG</t>
  </si>
  <si>
    <t>CTCP Phát triển Bất động sản Nhật Quang</t>
  </si>
  <si>
    <t>CTCP TẬP ĐOÀN TASECO (tên cũ: CTCP DỊCH VỤ HÀNG KHÔNG THĂNG LONG )</t>
  </si>
  <si>
    <t>NHTMCP Đông Nam Á</t>
  </si>
  <si>
    <t>NHTMCP VIỆT NAM THỊNH VƯỢNG</t>
  </si>
  <si>
    <t>CTCP Đầu tư và Phát triển Sài Gòn</t>
  </si>
  <si>
    <t>CTCP Tập đoàn Đầu tư Địa ốc Nova</t>
  </si>
  <si>
    <t>CTCP Đầu tư Văn Phú - Invest</t>
  </si>
  <si>
    <t>NH TNHH MỘT THÀNH VIÊN SHINHAN VIỆT NAM</t>
  </si>
  <si>
    <t>CTCP Pan Farm</t>
  </si>
  <si>
    <t>NÔNG NGHIỆP, THỦY SẢN</t>
  </si>
  <si>
    <t>CTCP Tập đoàn Đèo Cả</t>
  </si>
  <si>
    <t>NHTMCP Bắc Á</t>
  </si>
  <si>
    <t>CTCP kinh doanh F88</t>
  </si>
  <si>
    <t>NHTMCP Hàng Hải Việt Nam</t>
  </si>
  <si>
    <t>CT TNHH Tư vấn &amp; Quản lý Smart Invest</t>
  </si>
  <si>
    <t>CTCP Chứng khoán SmartInvest</t>
  </si>
  <si>
    <t>CTCP Sài Gòn Capital</t>
  </si>
  <si>
    <t>CT TNHH Xây dựng và Phát triển Hoàng Long</t>
  </si>
  <si>
    <t>CTCP Đầu tư MHC</t>
  </si>
  <si>
    <t>VIB12318</t>
  </si>
  <si>
    <t>CTCP Flamingo Holding Group</t>
  </si>
  <si>
    <t>CT TNHH Tư vấn Đầu tư Nguyên Bình</t>
  </si>
  <si>
    <t>CTCP ADEC</t>
  </si>
  <si>
    <t>CT TNHH đầu tư và phát triển năng lượng Thành Nguyên</t>
  </si>
  <si>
    <t>CTCP NĂNG LƯỢNG TÁI TẠO TRUNG NAM</t>
  </si>
  <si>
    <t>CTCP TRANSIMEX</t>
  </si>
  <si>
    <t>CT TNHH CAPITALAND TOWER</t>
  </si>
  <si>
    <t>CTCP Đầu tư và Du lịch Sài Gòn - Lâm Đồng</t>
  </si>
  <si>
    <t>CTCP Tập đoàn ASG</t>
  </si>
  <si>
    <t>CT TNHH Đầu tư và Bất động sản Diên Vĩ</t>
  </si>
  <si>
    <t>CTCP Sapphire Coast</t>
  </si>
  <si>
    <t>CT TNHH ĐẦU TƯ VÀ PHÁT TRIỂN BẤT ĐỘNG SẢN SEASIDE HOMES</t>
  </si>
  <si>
    <t>CTCP Đầu tư Ngành nước DNP</t>
  </si>
  <si>
    <t>TIỆN ÍCH</t>
  </si>
  <si>
    <t>CTCP Tập đoàn tư vấn đầu tư xây dựng Kiên Giang</t>
  </si>
  <si>
    <t>CT TNHH Phát triền kinh doanh xây dựng 3</t>
  </si>
  <si>
    <t>CT TÀI CHÍNH TNHH MỘT THÀNH VIÊN HOME CREDIT VIỆT NAM</t>
  </si>
  <si>
    <t>CTCP Đầu tư TDG Global</t>
  </si>
  <si>
    <t>LPB12301</t>
  </si>
  <si>
    <t>CTCP ĐẦU TƯ ĐỊA ỐC MAI VIÊN</t>
  </si>
  <si>
    <t>NHTMCP BẢN VIỆT</t>
  </si>
  <si>
    <t>CTCP Thương mại Du lịch Lạc Hồng</t>
  </si>
  <si>
    <t>CTCP FECON</t>
  </si>
  <si>
    <t>CTCP đầu tư bệnh viện Việt Mỹ</t>
  </si>
  <si>
    <t>Y TẾ - DƯỢC PHẨM</t>
  </si>
  <si>
    <t>CT TNHH Đầu tư và Phát triển BĐS Đại Hùng</t>
  </si>
  <si>
    <t>CTCP CVS Holding</t>
  </si>
  <si>
    <t>CTCP dịch vụ cáp treo Bà Nà</t>
  </si>
  <si>
    <t>CTCP đầu tư Summer Beach</t>
  </si>
  <si>
    <t>CTCP Nhựa An Phát Xanh</t>
  </si>
  <si>
    <t>CTCP Nông nghiệp Trường Hải</t>
  </si>
  <si>
    <t>CTCP Phát triển tổng hợp Hưng thịnh Phát</t>
  </si>
  <si>
    <t>OCB12401</t>
  </si>
  <si>
    <t>CTCP KHOÁNG SẢN VÀ XÂY DỰNG BÌNH DƯƠNG</t>
  </si>
  <si>
    <t>CTCP Đầu tư Kinh doanh Bất động sản S-Homes</t>
  </si>
  <si>
    <t>CTCP ĐẦU TƯ VÀ XÂY DỰNG SUNRISE VIỆT NAM</t>
  </si>
  <si>
    <t>CTCP THÁI SƠN - LONG AN</t>
  </si>
  <si>
    <t>CTCP ĐẦU TƯ VÀ KINH DOANH GOLF LONG THÀNH</t>
  </si>
  <si>
    <t>CTCP Đầu tư Công nghiệp Xuất nhập khẩu Đông Dương</t>
  </si>
  <si>
    <t>VIB12404</t>
  </si>
  <si>
    <t>CT TNHH Đảo Ngọc Xanh Kỳ Sơn</t>
  </si>
  <si>
    <t>CTCP Thương mại Du lịch Đầu tư Cù Lao Chàm</t>
  </si>
  <si>
    <t>CTCP CÔNG TRÌNH GIAO THÔNG ĐỒNG NAI</t>
  </si>
  <si>
    <t>MBB12418</t>
  </si>
  <si>
    <t>MBB12419</t>
  </si>
  <si>
    <t>CT TNHH Dịch vụ và Tư vấn xây dựng Anh Quân</t>
  </si>
  <si>
    <t>MBB12423</t>
  </si>
  <si>
    <t>CT TNHH Đầu tư Nhà ở xã hội Thuận Thành</t>
  </si>
  <si>
    <t>CT TNHH MTV BOT tỉnh Ninh Thuận</t>
  </si>
  <si>
    <t>TCB12401</t>
  </si>
  <si>
    <t>CTCP chứng khoán Thành Công</t>
  </si>
  <si>
    <t>CTCP Đầu tư và Xây dựng xa lộ Hà Nội</t>
  </si>
  <si>
    <t>NHTMCP VIỆT Á</t>
  </si>
  <si>
    <t>Dealps</t>
  </si>
  <si>
    <t>Issuer</t>
  </si>
  <si>
    <t>RptDate</t>
  </si>
  <si>
    <t>Tenor</t>
  </si>
  <si>
    <t>3M</t>
  </si>
  <si>
    <t>6M</t>
  </si>
  <si>
    <t>9M</t>
  </si>
  <si>
    <t>1Y</t>
  </si>
  <si>
    <t>1.25Y</t>
  </si>
  <si>
    <t>1.5Y</t>
  </si>
  <si>
    <t>1.75Y</t>
  </si>
  <si>
    <t>2Y</t>
  </si>
  <si>
    <t>2.25Y</t>
  </si>
  <si>
    <t>2.5Y</t>
  </si>
  <si>
    <t>2.75Y</t>
  </si>
  <si>
    <t>3Y</t>
  </si>
  <si>
    <t>4Y</t>
  </si>
  <si>
    <t>5Y</t>
  </si>
  <si>
    <t>7Y</t>
  </si>
  <si>
    <t>10Y</t>
  </si>
  <si>
    <t>15Y</t>
  </si>
  <si>
    <t>20Y</t>
  </si>
  <si>
    <t>30Y</t>
  </si>
  <si>
    <t>Clean Price_edited</t>
  </si>
  <si>
    <t>Days</t>
  </si>
  <si>
    <t>Min (year)</t>
  </si>
  <si>
    <t>Max (year)</t>
  </si>
  <si>
    <t>Tenor chuẩn</t>
  </si>
  <si>
    <t>số ngày chuẩn</t>
  </si>
  <si>
    <t>AAA</t>
  </si>
  <si>
    <t>AA</t>
  </si>
  <si>
    <t>A</t>
  </si>
  <si>
    <t>BBB</t>
  </si>
  <si>
    <t>BB</t>
  </si>
  <si>
    <t>B</t>
  </si>
  <si>
    <t>GL</t>
  </si>
  <si>
    <t>Reconcile</t>
  </si>
  <si>
    <t/>
  </si>
  <si>
    <t>Product</t>
  </si>
  <si>
    <t>Diff</t>
  </si>
  <si>
    <t>GL_CODE</t>
  </si>
  <si>
    <t>SHORT_NAME</t>
  </si>
  <si>
    <t>ABBV</t>
  </si>
  <si>
    <t>VIBH</t>
  </si>
  <si>
    <t>AFS-LOANFI</t>
  </si>
  <si>
    <t>S</t>
  </si>
  <si>
    <t>LVBT</t>
  </si>
  <si>
    <t>TC_SHINSEI</t>
  </si>
  <si>
    <t>VCBH</t>
  </si>
  <si>
    <t>MCSB</t>
  </si>
  <si>
    <t>ACBV</t>
  </si>
  <si>
    <t>CK_VNDIREC</t>
  </si>
  <si>
    <t>NABV</t>
  </si>
  <si>
    <t>CK_SGHN</t>
  </si>
  <si>
    <t>CK_VPS</t>
  </si>
  <si>
    <t>VPVN</t>
  </si>
  <si>
    <t>TCBV-HO</t>
  </si>
  <si>
    <t>ICBV</t>
  </si>
  <si>
    <t>OCBV</t>
  </si>
  <si>
    <t>VIETBANK</t>
  </si>
  <si>
    <t>IVBV</t>
  </si>
  <si>
    <t>BIDV</t>
  </si>
  <si>
    <t>HDBV</t>
  </si>
  <si>
    <t>TPBH</t>
  </si>
  <si>
    <t>CK_SSI.HN</t>
  </si>
  <si>
    <t>VCBBOND2026</t>
  </si>
  <si>
    <t>BH_AVIVA</t>
  </si>
  <si>
    <t>CK_VCB</t>
  </si>
  <si>
    <t>SABH</t>
  </si>
  <si>
    <t>VPB</t>
  </si>
  <si>
    <t>VCBBOND2027</t>
  </si>
  <si>
    <t>BH_CATHAYL</t>
  </si>
  <si>
    <t>SUNLIFE</t>
  </si>
  <si>
    <t>VBAH</t>
  </si>
  <si>
    <t>VBA124019</t>
  </si>
  <si>
    <t>VBA123036</t>
  </si>
  <si>
    <t>SHBV</t>
  </si>
  <si>
    <t>HCVN</t>
  </si>
  <si>
    <t>CK_MB</t>
  </si>
  <si>
    <t>PVFC</t>
  </si>
  <si>
    <t>PGBV-HO</t>
  </si>
  <si>
    <t>SGTT</t>
  </si>
  <si>
    <t>BS</t>
  </si>
  <si>
    <t>His53</t>
  </si>
  <si>
    <t>AllDealps</t>
  </si>
  <si>
    <t>DataTT</t>
  </si>
  <si>
    <t>Yield VBMA</t>
  </si>
  <si>
    <t>Note</t>
  </si>
  <si>
    <t>Đối chiếu</t>
  </si>
  <si>
    <t>Log</t>
  </si>
  <si>
    <t>PIC</t>
  </si>
  <si>
    <t>Status</t>
  </si>
  <si>
    <t>NHTMCP Xuất nhập khẩu Việt Nam</t>
  </si>
  <si>
    <t>CT TNHH ALLGREEN - VƯỢNG THÀNH - TRÙNG DƯƠNG</t>
  </si>
  <si>
    <t>CTCP Dịch vụ Quản lý Tài sản Việt Nam</t>
  </si>
  <si>
    <t>CTCP Đầu tư Bất động sản Taseco</t>
  </si>
  <si>
    <t>Note/Log</t>
  </si>
  <si>
    <t>LIQ3</t>
  </si>
  <si>
    <t>CD</t>
  </si>
  <si>
    <t>LIQ03</t>
  </si>
  <si>
    <t>BondsDeals_Id</t>
  </si>
  <si>
    <t>Folder</t>
  </si>
  <si>
    <t>Bonds_ShortName</t>
  </si>
  <si>
    <t>FaceValue</t>
  </si>
  <si>
    <t>ValueDate</t>
  </si>
  <si>
    <t>IssueDate</t>
  </si>
  <si>
    <t>FirstCouponDate</t>
  </si>
  <si>
    <t>MaturityDate</t>
  </si>
  <si>
    <t>TenorBond</t>
  </si>
  <si>
    <t>FirstCouponRate</t>
  </si>
  <si>
    <t>ThisCouponRate</t>
  </si>
  <si>
    <t>Discount</t>
  </si>
  <si>
    <t>Premium</t>
  </si>
  <si>
    <t>Discount_Remain</t>
  </si>
  <si>
    <t>Premium_Remain</t>
  </si>
  <si>
    <t>ValueDate_Accred</t>
  </si>
  <si>
    <t>Accr</t>
  </si>
  <si>
    <t>TypeOfInstr_ShortName</t>
  </si>
  <si>
    <t>TC_DIENLUC</t>
  </si>
  <si>
    <t>FI Bond (U)</t>
  </si>
  <si>
    <t>FI Bond (L)</t>
  </si>
  <si>
    <t>RPBOD3</t>
  </si>
  <si>
    <t>(1)</t>
  </si>
  <si>
    <t>(2)</t>
  </si>
  <si>
    <t>RPBOD_B003</t>
  </si>
  <si>
    <t>Raw data</t>
  </si>
  <si>
    <t>MSF12404</t>
  </si>
  <si>
    <t>OCB12425</t>
  </si>
  <si>
    <t>Indicator</t>
  </si>
  <si>
    <t>Market value</t>
  </si>
  <si>
    <t>1. Chỉ số giám sát rủi ro thị trường</t>
  </si>
  <si>
    <t>2.1. Trạng thái theo issuer và kỳ hạn</t>
  </si>
  <si>
    <t>Lưu ý khác (nội bộ)</t>
  </si>
  <si>
    <t>Face value</t>
  </si>
  <si>
    <t>Chỉ tiêu</t>
  </si>
  <si>
    <t>Market value (*)</t>
  </si>
  <si>
    <t>Nguồn: HNX, VBMA tổng hợp</t>
  </si>
  <si>
    <t>Nguồn: VBMA tổng hợp yield bid/ask/average của 12 banks</t>
  </si>
  <si>
    <t>TPB12420</t>
  </si>
  <si>
    <t>VABV</t>
  </si>
  <si>
    <t>Face_Amount</t>
  </si>
  <si>
    <t>Gross_Amount</t>
  </si>
  <si>
    <t>CTCP ĐIỆN BIÊN</t>
  </si>
  <si>
    <t>Actual</t>
  </si>
  <si>
    <t>Units</t>
  </si>
  <si>
    <t>Bio VND</t>
  </si>
  <si>
    <t>Deal phat sinh</t>
  </si>
  <si>
    <t>Type</t>
  </si>
  <si>
    <t>Deals</t>
  </si>
  <si>
    <t>Coupon rate binh quan</t>
  </si>
  <si>
    <t>Double check</t>
  </si>
  <si>
    <t>%</t>
  </si>
  <si>
    <t>Phu troi</t>
  </si>
  <si>
    <t>Chiet khau</t>
  </si>
  <si>
    <t>GD thi truong</t>
  </si>
  <si>
    <t>Indicators</t>
  </si>
  <si>
    <t>Yield_VBMA</t>
  </si>
  <si>
    <t>Check đối chiếu các nguồn</t>
  </si>
  <si>
    <t>Signal</t>
  </si>
  <si>
    <t>thaottp14</t>
  </si>
  <si>
    <t>Done</t>
  </si>
  <si>
    <t>Tạo query input: FNRP, GL, Yield (His53), Dealps (Basel), RPBOD03 (Kondor), Data TT (HNX-VBMA)</t>
  </si>
  <si>
    <t>Đối chiếu dữ liệu các nguồn tại sheet GL</t>
  </si>
  <si>
    <t>Trao đổi với ĐVKD: không có rule riêng cho FIBond mà giống như với GovBond (map deal, cherry picking)</t>
  </si>
  <si>
    <t>Tìm và đánh giá nguồn dữ liệu giao dịch thị trường của FIBond: HNX, VBMA</t>
  </si>
  <si>
    <t>Trao đổi với team Finastra support lỗi hệ thống Kondor không trả dữ liệu Market value, do ĐVKD để sai trường Retrieve Price From là Manual Entry, đã báo ĐVKD sửa thành Yield Curve</t>
  </si>
  <si>
    <t>thaottp14
thaovt1</t>
  </si>
  <si>
    <t>Thêm thông tin tham chiếu để phân loại kỳ hạn, viết process, thêm công thức cross check các nguồn</t>
  </si>
  <si>
    <t>Pending</t>
  </si>
  <si>
    <r>
      <t xml:space="preserve">Market value hệ thống Kondor đang tính bằng cách chiếu khấu dùng yield curve = govbond yield curve + 50bps. 
Cách tính này chưa phù hợp do FIBond từ các ĐCTC khác nhau nên mức độ rủi ro tín dụng và đối tác khác nhau không thể dùng 1 yield curve để định giá cho tất cả các mã.
Hiện tại chưa xây được mô hình định giá cho từng mã bond nên đang dùng tạm số hệ thống tính.
</t>
    </r>
    <r>
      <rPr>
        <b/>
        <sz val="11"/>
        <color rgb="FFFF0000"/>
        <rFont val="Calibri"/>
        <family val="2"/>
        <scheme val="minor"/>
      </rPr>
      <t>=&gt; Nghiên cứu thêm</t>
    </r>
  </si>
  <si>
    <t>Lưu backup cho file này để tiện check sau này.</t>
  </si>
  <si>
    <t>Thêm code VBA với các nút bấm để refresh dữ liệu, đẩy lưu trữ lên 53, backup file</t>
  </si>
  <si>
    <t>Tạo bảng trên DB 53, folder GS_RRTT bảng để lưu trữ thông tin chuỗi FIBond_Historical</t>
  </si>
  <si>
    <t>Thêm sheet Summary tính toán các chỉ số
- Dữ liệu giao dịch thị trường
- Position theo FV và MV
- Dealps
- Breakdown On/Off BS, PTCK</t>
  </si>
  <si>
    <r>
      <t xml:space="preserve">Xây mặt báo cáo để gửi mail nội bộ bao gồm các chỉ số, chart, note PPL </t>
    </r>
    <r>
      <rPr>
        <sz val="11"/>
        <color rgb="FFFF0000"/>
        <rFont val="Calibri"/>
        <family val="2"/>
        <scheme val="minor"/>
      </rPr>
      <t>=&gt; Gửi báo cáo T6 hàng tuần</t>
    </r>
  </si>
  <si>
    <t>Viết code SQL để truy vấn các dealps của FIBond từ bảng Bond_Transaction ở DB basel máy 65, thêm query vào file rawdata lấy đầu ngày</t>
  </si>
  <si>
    <t>HDBC7Y253201</t>
  </si>
  <si>
    <t>Last week</t>
  </si>
  <si>
    <t>FNRP CD</t>
  </si>
  <si>
    <t>Book</t>
  </si>
  <si>
    <t>Instrument</t>
  </si>
  <si>
    <t>Type of Instr.</t>
  </si>
  <si>
    <t>Mat. Date</t>
  </si>
  <si>
    <t>Type Rate</t>
  </si>
  <si>
    <t>Dur.</t>
  </si>
  <si>
    <t>Cnvx.</t>
  </si>
  <si>
    <t>P/L Currency</t>
  </si>
  <si>
    <t>P/L Local</t>
  </si>
  <si>
    <t>P/L Report</t>
  </si>
  <si>
    <t>TRADING</t>
  </si>
  <si>
    <t>CD Other</t>
  </si>
  <si>
    <t>MM Rate</t>
  </si>
  <si>
    <t>Orig. Nominal</t>
  </si>
  <si>
    <t>Flt. Spread</t>
  </si>
  <si>
    <t>Pos. Yield</t>
  </si>
  <si>
    <t>Pos. True Yield</t>
  </si>
  <si>
    <t>Var. Accr</t>
  </si>
  <si>
    <t>VIB12403</t>
  </si>
  <si>
    <t>MBB12420</t>
  </si>
  <si>
    <t>MBB12424</t>
  </si>
  <si>
    <t>VIB12402</t>
  </si>
  <si>
    <t>VIB12406</t>
  </si>
  <si>
    <t>FNRP_PPCD</t>
  </si>
  <si>
    <t>TPB12419</t>
  </si>
  <si>
    <t>CTCP đầu tư và phát triển NEWCO</t>
  </si>
  <si>
    <t>WEALTHTECH</t>
  </si>
  <si>
    <t>PAPER_CODE</t>
  </si>
  <si>
    <t>EIBV</t>
  </si>
  <si>
    <t>QLQ_PVI</t>
  </si>
  <si>
    <t>TCBF</t>
  </si>
  <si>
    <t>Thêm thông tin CD
- Thêm query input FNRP
- Sửa code SQL basel máy 65 lấy all dealps cho CD
- Thêm cross check GL, LIQ3 cho CD
- Lưu trữ thông tin CD vào Upload 53
- Đưa thông tin CD lên mặt báo cáo Report</t>
  </si>
  <si>
    <t>(5)</t>
  </si>
  <si>
    <t>CD (Off BS)</t>
  </si>
  <si>
    <t>FI Bond</t>
  </si>
  <si>
    <t>CD (On BS)</t>
  </si>
  <si>
    <t>CD + FI Bond (U) (On BS)</t>
  </si>
  <si>
    <t>CD + FI Bond (On BS)</t>
  </si>
  <si>
    <t>FI Bond (U) (Off BS)</t>
  </si>
  <si>
    <t>FI Bond (U) (On BS)</t>
  </si>
  <si>
    <t>FI Bond (L) (On BS)</t>
  </si>
  <si>
    <t>FI Bond (L) (Off BS)</t>
  </si>
  <si>
    <t>(7)</t>
  </si>
  <si>
    <t>Split</t>
  </si>
  <si>
    <t>Nối 3 cột thành 1 cột</t>
  </si>
  <si>
    <t>FV OUTS/ID</t>
  </si>
  <si>
    <t>FI Bond Listed</t>
  </si>
  <si>
    <t>FI Bond Unlisted</t>
  </si>
  <si>
    <t>FI Bond Unlisted Off BS</t>
  </si>
  <si>
    <t>CD Off BS</t>
  </si>
  <si>
    <t>FI Bond Listed Off BS</t>
  </si>
  <si>
    <t>CD On BS</t>
  </si>
  <si>
    <t>FI Bond Listed On BS</t>
  </si>
  <si>
    <t>FI Bond Unlisted On BS</t>
  </si>
  <si>
    <t>Coupon rate bình quân</t>
  </si>
  <si>
    <t>2.1.1. FI Bond</t>
  </si>
  <si>
    <t>2.1.2. CD</t>
  </si>
  <si>
    <t>MARKET VALUE</t>
  </si>
  <si>
    <t>Yield TT</t>
  </si>
  <si>
    <t>Bid</t>
  </si>
  <si>
    <t>Ask</t>
  </si>
  <si>
    <t>Mid</t>
  </si>
  <si>
    <t>Spread</t>
  </si>
  <si>
    <t>DtD</t>
  </si>
  <si>
    <t>MtD</t>
  </si>
  <si>
    <t>YtD</t>
  </si>
  <si>
    <t>Average</t>
  </si>
  <si>
    <t>Yield_BidAsk</t>
  </si>
  <si>
    <t>Kỳ hạn</t>
  </si>
  <si>
    <t>4.1. Thanh khoản thị trường</t>
  </si>
  <si>
    <t>4.2. Lợi suất FI Bond thị trường thứ cấp</t>
  </si>
  <si>
    <t>Total</t>
  </si>
  <si>
    <t>BB+</t>
  </si>
  <si>
    <t>Ba2</t>
  </si>
  <si>
    <t>Ba3</t>
  </si>
  <si>
    <t>B2</t>
  </si>
  <si>
    <t>B1</t>
  </si>
  <si>
    <t>B+</t>
  </si>
  <si>
    <t>Rating</t>
  </si>
  <si>
    <t>Review Date</t>
  </si>
  <si>
    <t>Total FV</t>
  </si>
  <si>
    <t>Diff (+/- bps)</t>
  </si>
  <si>
    <t>Thêm bảng yield VBMA lên mặt báo cáo</t>
  </si>
  <si>
    <t>Thêm query input và bảng issuer rating lên mặt báo cáo</t>
  </si>
  <si>
    <t>CTCP đầu tư Thành Thành Công</t>
  </si>
  <si>
    <t>Deal xoa</t>
  </si>
  <si>
    <t>Delete deals</t>
  </si>
  <si>
    <t>BOND_CODE</t>
  </si>
  <si>
    <t>Số tổng FV = số thành phần theo Tenor</t>
  </si>
  <si>
    <t>Số tổng FV = số thành phần theo sản phẩm</t>
  </si>
  <si>
    <t>Số tổng MV = số thành phần theo Tenor</t>
  </si>
  <si>
    <t>Số tổng FV = số thành phần theo Tenor (CD)</t>
  </si>
  <si>
    <t>AMOUNT_RPT</t>
  </si>
  <si>
    <t>AMOUNT_YESTERDAY</t>
  </si>
  <si>
    <t>Fix deals</t>
  </si>
  <si>
    <t>Thêm code SQL deal bị xóa, deal bị sửa ở DB basel ở máy 65 ở file rawdata và query về file theo dõi này, lưu trữ db 53</t>
  </si>
  <si>
    <t>Deal sua tang hoac giam bao nhieu ty so voi yesterday</t>
  </si>
  <si>
    <t>Deal sua</t>
  </si>
  <si>
    <t>Dealps_fixed</t>
  </si>
  <si>
    <t>Dealps_deleted</t>
  </si>
  <si>
    <t>Deal ps (1)</t>
  </si>
  <si>
    <t>Đầu ngày (RPT-1) (1)</t>
  </si>
  <si>
    <t>Phát sinh (2)</t>
  </si>
  <si>
    <t>Xóa (3)</t>
  </si>
  <si>
    <t>Sửa (4)</t>
  </si>
  <si>
    <t>Deal mua</t>
  </si>
  <si>
    <t>Deal bán</t>
  </si>
  <si>
    <t>CT TNHH NAM RẠCH CHIẾC</t>
  </si>
  <si>
    <t>Số CD+FI Bond bảng rating = GL</t>
  </si>
  <si>
    <t>Ngành2</t>
  </si>
  <si>
    <t>Data thị trường có cty nào chưa có ngành k</t>
  </si>
  <si>
    <t>Ngành1</t>
  </si>
  <si>
    <t>Others</t>
  </si>
  <si>
    <t>FI BOND</t>
  </si>
  <si>
    <t>CTCP Sàn giao dịch Bất động sản Sài Gòn Anpha</t>
  </si>
  <si>
    <t>CT TNHH Công Nghiệp - Bất Động Sản và Xây Dựng Song Phương</t>
  </si>
  <si>
    <t>CTCP Chứng khoán MB</t>
  </si>
  <si>
    <t>ABB12501</t>
  </si>
  <si>
    <t>HCVCD231026</t>
  </si>
  <si>
    <t>23/10/2026</t>
  </si>
  <si>
    <t>CTCP Xuất nhập khẩu Sài Gòn Xanh</t>
  </si>
  <si>
    <t>CTCP Đầu tư Kinh doanh Bất động sản Hà An</t>
  </si>
  <si>
    <t>Query Name</t>
  </si>
  <si>
    <t>M Code</t>
  </si>
  <si>
    <t>Param</t>
  </si>
  <si>
    <t>let_x000D_
    Source = (TableName,RowNumber) =&gt;
let
Source = Excel.CurrentWorkbook(){[Name=TableName]}[Content],
            value = Source{RowNumber-1}[Values]
in
            value_x000D_
in_x000D_
    Source</t>
  </si>
  <si>
    <t>FNRP_FIbond</t>
  </si>
  <si>
    <t>let_x000D_
    Source = Csv.Document(File.Contents(Param("Input",8)),[Delimiter=",", Columns=87, Encoding=1252, QuoteStyle=QuoteStyle.None]),_x000D_
    #"Changed Type" = Table.TransformColumnTypes(Source,{{"Column1", type text}, {"Column2", type text}, {"Column3", type text}, {"Column4", type text}, {"Column5", type text}, {"Column6", type text}, {"Column7", type text}, {"Column8", type text}, {"Column9", type text}, {"Column10", type number}, {"Column11", type number}, {"Column12", Int64.Type}, {"Column13", Int64.Type}, {"Column14", Int64.Type}, {"Column15", type number}, {"Column16", type number}, {"Column17", type number}, {"Column18", Int64.Type}, {"Column19", Int64.Type}, {"Column20", Int64.Type}, {"Column21", type number}, {"Column22", type number}, {"Column23", type number}, {"Column24", type number}, {"Column25", type number}, {"Column26", type number}, {"Column27", type number}, {"Column28", type number}, {"Column29", type number}, {"Column30", Int64.Type}, {"Column31", Int64.Type}, {"Column32", type number}, {"Column33", Int64.Type}, {"Column34", type number}, {"Column35", type number}, {"Column36", type number}, {"Column37", Int64.Type}, {"Column38", type number}, {"Column39", type number}, {"Column40", type number}, {"Column41", type number}, {"Column42", Int64.Type}, {"Column43", type number}, {"Column44", type number}, {"Column45", type number}, {"Column46", type number}, {"Column47", type number}, {"Column48", Int64.Type}, {"Column49", type number}, {"Column50", Int64.Type}, {"Column51", Int64.Type}, {"Column52", Int64.Type}, {"Column53", type text}, {"Column54", type text}, {"Column55", type text}, {"Column56", type text}, {"Column57", type text}, {"Column58", Int64.Type}, {"Column59", Int64.Type}, {"Column60", Int64.Type}, {"Column61", Int64.Type}, {"Column62", Int64.Type}, {"Column63", Int64.Type}, {"Column64", Int64.Type}, {"Column65", Int64.Type}, {"Column66", Int64.Type}, {"Column67", Int64.Type}, {"Column68", Int64.Type}, {"Column69", Int64.Type}, {"Column70", Int64.Type}, {"Column71", Int64.Type}, {"Column72", type number}, {"Column73", Int64.Type}, {"Column74", type text}, {"Column75", type text}, {"Column76", type text}, {"Column77", type text}, {"Column78", type text}, {"Column79", type text}, {"Column80", type text}, {"Column81", type number}, {"Column82", type number}, {"Column83", type number}, {"Column84", type number}, {"Column85", type number}, {"Column86", type number}, {"Column87", Int64.Type}}),_x000D_
    #"Renamed Columns" = Table.RenameColumns(#"Changed Type",{{"Column1", "Currency"}, {"Column2", "Duration_range"}, {"Column3", "Short Name"}, {"Column5", "Type of Instr."}, {"Column8", "Mat. Date"}, {"Column9", "Open Pos"}, {"Column10", "Price"}, {"Column11", "Clean Price"}, {"Column14", "Quantity"}, {"Column15", "Nominal"}, {"Column16", "Orig. Nominal"}, {"Column17", "Avg Price"}, {"Column20", "Flt. Spread"}, {"Column21", "Pos. Yield"}, {"Column22", "Pos. True Yield"}, {"Column23", "Avg Yield"}, {"Column24", "Market Value"}, {"Column25", "Cpn Rate"}, {"Column26", "Accr Int"}, {"Column27", "% Sec"}, {"Column28", "Cpn Cumul"}, {"Column29", "Cpn Reinvested"}, {"Column32", "Cost of Carry"}, {"Column34", "Var. Accr"}, {"Column35", "Global Carry"}, {"Column36", "Net Carry"}, {"Column43", "Mod Dur"}, {"Column44", "Dur."}, {"Column45", "Cnvx."}, {"Column47", "BPV (K)"}, {"Column81", "Realized Cur"}, {"Column82", "Unrealized Cur"}, {"Column83", "P/L Clean Price"}, {"Column84", "P/L Currency"}, {"Column85", "P/L Local"}, {"Column86", "P/L Report"}}),_x000D_
    #"Removed Other Columns" = Table.SelectColumns(#"Renamed Columns",{"Currency", "Duration_range", "Short Name", "Type of Instr.", "Mat. Date", "Open Pos", "Clean Price", "Quantity", "Nominal", "Orig. Nominal", "Avg Price", "Flt. Spread", "Pos. Yield", "Pos. True Yield", "Avg Yield", "Market Value", "Cpn Rate", "Accr Int", "% Sec", "Cpn Cumul", "Cpn Reinvested", "Cost of Carry", "Var. Accr", "Global Carry", "Net Carry", "Mod Dur", "Dur.", "Cnvx.", "BPV (K)", "Realized Cur", "Unrealized Cur", "P/L Clean Price"}),_x000D_
    #"Filtered Rows" = Table.SelectRows(#"Removed Other Columns", each not Text.Contains([Short Name], "MSB"))_x000D_
in_x000D_
    #"Filtered Rows"</t>
  </si>
  <si>
    <t>Dealps deleted</t>
  </si>
  <si>
    <t>Dealps fixed</t>
  </si>
  <si>
    <t>let_x000D_
    Source = Csv.Document(File.Contents(Param("Input",11)),[Delimiter="	", Columns=12, Encoding=1200, QuoteStyle=QuoteStyle.None]),_x000D_
    #"Renamed Columns1" = Table.RenameColumns(Source,{{"Column8", "GL"}, {"Column9", "Kondor"}, {"Column10", "Diff"}, {"Column1", "Report Date"}, {"Column3", "Product Group"}, {"Column2", "Reconcile Type"}, {"Column4", "Product"}, {"Column11", "Add Infor 1"}}),_x000D_
    #"Filtered Rows" = Table.SelectRows(#"Renamed Columns1", each ([Product Group] = "BOND" or [Product Group] = "PAPER")),_x000D_
    #"Changed Type" = Table.TransformColumnTypes(#"Filtered Rows",{{"Diff", Int64.Type}, {"Kondor", Int64.Type}, {"GL", Int64.Type}, {"Report Date", type datetime}}),_x000D_
    #"Changed Type1" = Table.TransformColumnTypes(#"Changed Type",{{"Report Date", type date}}),_x000D_
    #"Removed Columns" = Table.RemoveColumns(#"Changed Type1",{"Column5", "Column6", "Column7", "Column12"})_x000D_
in_x000D_
    #"Removed Columns"</t>
  </si>
  <si>
    <t>let_x000D_
    Source = Excel.Workbook(File.Contents(Param("Input",13)), null, true),_x000D_
    #"LIQ03 - Báo cáo tài sản thanh k_Sheet" = Source{[Item="LIQ03 - Báo cáo tài sản thanh k",Kind="Sheet"]}[Data],_x000D_
    #"Promoted Headers" = Table.PromoteHeaders(#"LIQ03 - Báo cáo tài sản thanh k_Sheet", [PromoteAllScalars=true]),_x000D_
    #"Filtered Rows" = Table.SelectRows(#"Promoted Headers", each ([Product Code] = "CD" or [Product Code] = "FI_CORP_L" or [Product Code] = "FI_CORP_U") and ([Book Flag] = "B")),_x000D_
    #"Removed Other Columns" = Table.SelectColumns(#"Filtered Rows",{"Asset Code", "Product Code","Book Flag","Porfolio (Bond Holding)"}),_x000D_
    #"Changed Type" = Table.TransformColumnTypes(#"Removed Other Columns",{{"Porfolio (Bond Holding)", Int64.Type}}),_x000D_
    #"Sorted Rows" = Table.Sort(#"Changed Type",{{"Asset Code", Order.Ascending}})_x000D_
in_x000D_
    #"Sorted Rows"</t>
  </si>
  <si>
    <t>let_x000D_
    Source = Sql.Database("10.1.77.53,8888", "GS_RRTT", [Query="select RptDate, Product, Indicators, Actual#(lf)from FIBond_Historical#(lf)where Indicators in ('Face value','Market value','Coupon rate binh quan')#(lf)and Issuer = '' and Tenor = ''#(lf)and (Product = '' or Product = 'FI Bond Listed' or Product = 'FI Bond Unlisted' or Product = 'CD' or Product = 'FI Bond')"]),_x000D_
    #"Changed Type" = Table.TransformColumnTypes(Source,{{"RptDate", type date}})_x000D_
in_x000D_
    #"Changed Type"</t>
  </si>
  <si>
    <t>Mapping</t>
  </si>
  <si>
    <t>let_x000D_
    Source = Excel.Workbook(File.Contents(Param("Input",24)), null, true),_x000D_
    Sheet1_Sheet = Source{[Item="Sheet1",Kind="Sheet"]}[Data],_x000D_
    #"Promoted Headers" = Table.PromoteHeaders(Sheet1_Sheet, [PromoteAllScalars=true]),_x000D_
    #"Changed Type" = Table.TransformColumnTypes(#"Promoted Headers",{{"Ma Bond", type text}, {"Deal Sell Id", Int64.Type}, {"So luong Deal Sell", Int64.Type}, {"Ngay den han deal Sell", type date}, {"Deal Buy ID", Int64.Type}, {"So luong Map", Int64.Type}, {"So luong chua map", Int64.Type}, {"Ngay Value Deal buy", type date}, {"Ngay thuc hien map", type date}, {"Nguoi thuc hien map", type text}})_x000D_
in_x000D_
    #"Changed Type"</t>
  </si>
  <si>
    <t>Yield BidAsk</t>
  </si>
  <si>
    <t>let_x000D_
    Source = Sql.Database("10.1.77.53,8888", "GS_RRTT", [Query="select RptDate, Tenor, Bid, Ask, Average#(lf)from All_Marketdata_Historical#(lf)where Indicators like '%FI%'"]),_x000D_
    #"Changed Type" = Table.TransformColumnTypes(Source,{{"RptDate", type date}}),_x000D_
    #"Filtered Rows" = Table.SelectRows(#"Changed Type", each ([RptDate] = #date(Date.Year(Param("Input",1)), Date.Month(Param("Input",1)), Date.Day(Param("Input",1)))))_x000D_
in_x000D_
    #"Filtered Rows"</t>
  </si>
  <si>
    <t>Rating by Issuer</t>
  </si>
  <si>
    <t>CTCP Phát triển Bất động sản Văn Phú (tên cũ: CTCP Đầu tư Văn Phú - Invest)</t>
  </si>
  <si>
    <t>CTCP AAC VIỆT NAM</t>
  </si>
  <si>
    <t>GLOBAL_AMOUNT</t>
  </si>
  <si>
    <t>FORWARD_AMOUNT</t>
  </si>
  <si>
    <t>FIXED_RATE</t>
  </si>
  <si>
    <t>Kéo thêm dữ liệu repo ở DB basel</t>
  </si>
  <si>
    <t>Tỷ lệ đầu tư FI Bond &amp; CD các issuer rating từ BBB chỉ ở mức 59%</t>
  </si>
  <si>
    <t>Repo</t>
  </si>
  <si>
    <t>Tách loại deal Outright/Repo</t>
  </si>
  <si>
    <t>Tách lại OnBS, OffBS và Ngoài BS</t>
  </si>
  <si>
    <t>CD Ngoai BS</t>
  </si>
  <si>
    <t>FI Bond Listed Ngoai BS</t>
  </si>
  <si>
    <t>FI Bond Unlisted Ngoai BS</t>
  </si>
  <si>
    <t>Số tổng FV On Off Ngoai BS</t>
  </si>
  <si>
    <t>Global amount</t>
  </si>
  <si>
    <t>Weighted rate</t>
  </si>
  <si>
    <t>His53_</t>
  </si>
  <si>
    <t>Dao han</t>
  </si>
  <si>
    <t>HCV12502</t>
  </si>
  <si>
    <t>CTCP tập đoàn Đất Xanh</t>
  </si>
  <si>
    <t>Available bond LR</t>
  </si>
  <si>
    <t>Reconcile MR10</t>
  </si>
  <si>
    <t>Tool Yesterday</t>
  </si>
  <si>
    <t>Data TT ngày RPT</t>
  </si>
  <si>
    <t>CTCP ROX KEY HOLDINGS</t>
  </si>
  <si>
    <t>Phat sinh trong ngay</t>
  </si>
  <si>
    <t>Phân loại</t>
  </si>
  <si>
    <t>TPDN khac</t>
  </si>
  <si>
    <t>Check số tổng data thị trường và số thành phần</t>
  </si>
  <si>
    <t>DataTT_ps</t>
  </si>
  <si>
    <t>let_x000D_
    Source = Csv.Document(File.Contents(Param("Input",9)),[Delimiter=",", Columns=87, Encoding=1252, QuoteStyle=QuoteStyle.None]),_x000D_
    #"Changed Type" = Table.TransformColumnTypes(Source,{{"Column1", type text}, {"Column2", type text}, {"Column3", type text}, {"Column4", type text}, {"Column5", type text}, {"Column6", type text}, {"Column7", type text}, {"Column8", type text}, {"Column9", type text}, {"Column10", type text}, {"Column11", type text}, {"Column12", type number}, {"Column13", type text}, {"Column14", type number}, {"Column15", type text}, {"Column16", type text}, {"Column17", type text}, {"Column18", type number}, {"Column19", Int64.Type}, {"Column20", Int64.Type}, {"Column21", Int64.Type}, {"Column22", Int64.Type}, {"Column23", Int64.Type}, {"Column24", Int64.Type}, {"Column25", type number}, {"Column26", type number}, {"Column27", type number}, {"Column28", Int64.Type}, {"Column29", Int64.Type}, {"Column30", type number}, {"Column31", type number}, {"Column32", Int64.Type}, {"Column33", type number}, {"Column34", type number}, {"Column35", type number}, {"Column36", type number}, {"Column37", Int64.Type}, {"Column38", type number}, {"Column39", type number}, {"Column40", type number}, {"Column41", type number}, {"Column42", type number}, {"Column43", type number}, {"Column44", Int64.Type}, {"Column45", type number}, {"Column46", Int64.Type}, {"Column47", Int64.Type}, {"Column48", Int64.Type}, {"Column49", type number}, {"Column50", type number}, {"Column51", type number}, {"Column52", Int64.Type}}),_x000D_
    #"Renamed Columns" = Table.RenameColumns(#"Changed Type",{{"Column2", "Book"}, {"Column3", "Duration_range"}, {"Column4", "Short Name"}, {"Column7", "Instrument"}, {"Column8", "Type of Instr."}, {"Column10", "Mat. Date"}, {"Column11", "Type Rate"}, {"Column12", "Cpn Rate"}, {"Column13", "Open Pos"}, {"Column14", "Clean Price"}, {"Column18", "Nominal"}, {"Column25", "Market Value"}, {"Column26", "Cpn Cumul"}, {"Column27", "Cpn Reinvested"}, {"Column30", "Cost of Carry"}, {"Column34", "Accrued"}, {"Column38", "Mod Dur"}, {"Column39", "Dur."}, {"Column40", "Cnvx."}, {"Column49", "P/L Currency"}, {"Column50", "P/L Local"}, {"Column51", "P/L Report"}}),_x000D_
    #"Removed Other Columns" = Table.SelectColumns(#"Renamed Columns",{"Book", "Duration_range", "Short Name", "Instrument", "Type of Instr.", "Mat. Date", "Type Rate", "Cpn Rate", "Open Pos", "Clean Price", "Nominal", "Market Value", "Cpn Cumul", "Cpn Reinvested", "Cost of Carry", "Mod Dur", "Dur.", "Cnvx.", "P/L Currency", "P/L Local", "P/L Report"}),_x000D_
    #"Filtered Rows" = Table.SelectRows(#"Removed Other Columns", each not Text.Contains([Short Name], "MSB"))_x000D_
in_x000D_
    #"Filtered Rows"</t>
  </si>
  <si>
    <t>let_x000D_
    Source = Excel.Workbook(File.Contents(Param("Input",15)), null, true),_x000D_
    Navigation = Source{[Item="Can doi noi bang chi tiet - ngu",Kind="Sheet"]}[Data],_x000D_
    #"Promoted Headers" = Table.PromoteHeaders(Navigation, [PromoteAllScalars=true]),_x000D_
    #"Changed Type" = Table.TransformColumnTypes(#"Promoted Headers",{{"CURRENCY_CODE", type text}, {"Total(ACY_DR_BAL)", type number}, {"Total(ACY_CR_BAL)", type number}, {"Total(ACY_TOVER_DR)", type number}, {"Total(ACY_TOVER_CR)", type number}, {"Total(TO_ACY_DR_BAL)", type number}, {"Total(TO_ACY_CR_BAL)", type number}, {"GL Level 02", type text}, {"GL_LEVEL1_CODE", Int64.Type}, {"GL Level 1", type text}, {"GL_LEVEL2_CODE", Int64.Type}, {"GL Level 2", type text}, {"GL_LEVEL3_CODE", Int64.Type}, {"GL Level 3", type text}, {"GL_CODE", Int64.Type}, {"TÊN TÀI KHOẢN", type text}, {"SHORT_NAME", type text}, {"NỢ", type number}, {"CÓ", type number}, {"NỢ_1", type number}, {"CÓ_2", type number}, {"NỢ_3", type number}, {"CÓ_4", type number}, {"DiffPSNo", Int64.Type}}),_x000D_
    #"Filtered Rows" = Table.SelectRows(#"Changed Type", each ([GL_CODE] = 130203001 or [GL_CODE] = 130204001 or [GL_CODE] = 130205001 or [GL_CODE] = 130206001 or [GL_CODE] = 130208001)),_x000D_
    #"Removed Columns" = Table.RemoveColumns(#"Filtered Rows",{"CURRENCY_CODE", "Total(ACY_DR_BAL)", "Total(ACY_CR_BAL)", "Total(ACY_TOVER_DR)", "Total(ACY_TOVER_CR)", "Total(TO_ACY_DR_BAL)", "Total(TO_ACY_CR_BAL)", "DiffPSNo", "NỢ", "CÓ", "NỢ_1", "CÓ_2", "GL Level 02", "GL_LEVEL1_CODE", "GL Level 1", "GL_LEVEL2_CODE", "GL Level 2", "GL_LEVEL3_CODE", "GL Level 3", "TÊN TÀI KHOẢN"}),_x000D_
    #"Renamed Columns" = Table.RenameColumns(#"Removed Columns",{{"NỢ_3", "NỢ_CK"}, {"CÓ_4", "CÓ_CK"}})_x000D_
in_x000D_
    #"Renamed Columns"</t>
  </si>
  <si>
    <t>let_x000D_
    Source = Excel.Workbook(File.Contents(Param("Input",14)), null, true),_x000D_
    #"FIBond Transaction_Sheet" = Source{[Item="FIBond_Transaction",Kind="Table"]}[Data],_x000D_
    #"Changed Type" = Table.TransformColumnTypes(#"FIBond Transaction_Sheet",{{"POSTED_DT", type date}, {"DEAL_ID", Int64.Type}, {"PAPER_CODE", type text}, {"CPTY_CODE_ISSUER", type text}, {"CPTY_CODE", type text}, {"PRODUCT_CODE", type text}, {"FOLDERS_CODE", type text}, {"DEAL_TYPE", type text}, {"CAPTURE_DATE", type date}, {"TRADING_DATE", type date}, {"VALUE_DATE", type date}, {"MATURITY_DATE", type date}, {"QUANTITY", Int64.Type}, {"FACE_AMOUNT", type number}, {"PRICE", type number}, {"ACCRUED", Int64.Type}, {"GROSS_AMOUNT", type number}, {"YIELD", type number}, {"MONEY_MARKET_YIELD", type number}})_x000D_
in_x000D_
    #"Changed Type"</t>
  </si>
  <si>
    <t>let_x000D_
    Source = Excel.Workbook(File.Contents(Param("Input",14)), null, true),_x000D_
    FIBond_CD_delete_Table = Source{[Item="FIBond_CD_delete",Kind="Table"]}[Data],_x000D_
    #"Changed Type" = Table.TransformColumnTypes(FIBond_CD_delete_Table,{{"POSTED_DT", type date}, {"DEAL_ID", Int64.Type}, {"BOND_CODE", type text}, {"DEAL_TYPE", type text}, {"FACE_AMOUNT", Int64.Type}, {"FOLDERS_CODE", type text}, {"PRODUCT_CODE", type text}}),_x000D_
    #"Filtered Rows" = Table.SelectRows(#"Changed Type", each not Text.Contains([BOND_CODE], "MSB"))_x000D_
in_x000D_
    #"Filtered Rows"</t>
  </si>
  <si>
    <t>let_x000D_
    Source = Excel.Workbook(File.Contents(Param("Input",14)), null, true),_x000D_
    FIBond_CD_fix_Table = Source{[Item="FIBond_CD_fix",Kind="Table"]}[Data],_x000D_
    #"Changed Type" = Table.TransformColumnTypes(FIBond_CD_fix_Table,{{"POSTED_DT", type date}, {"DEAL_ID", Int64.Type}, {"AMOUNT_RPT", Int64.Type}, {"AMOUNT_YESTERDAY", Int64.Type}})_x000D_
in_x000D_
    #"Changed Type"</t>
  </si>
  <si>
    <t>let_x000D_
    Source = Sql.Database("10.1.77.53,8888", "GS_RRTT", [Query="select RptDate, Tenor, Average#(lf)from All_Marketdata_Historical#(lf)where Indicators like '%FI%'"]),_x000D_
    #"Changed Type" = Table.TransformColumnTypes(Source,{{"RptDate", type date}}),_x000D_
    #"Pivoted Column" = Table.Pivot(#"Changed Type", List.Distinct(#"Changed Type"[Tenor]), "Tenor", "Average", List.Sum),_x000D_
    #"Reordered Columns" = Table.ReorderColumns(#"Pivoted Column",{"RptDate", "3M", "6M", "9M", "1Y", "1.25Y", "1.5Y", "1.75Y", "2Y", "2.25Y", "2.5Y", "2.75Y", "3Y"}),_x000D_
    #"Filtered Rows" = Table.SelectRows(#"Reordered Columns", each [RptDate] &gt;= #date(2024, 12, 31))_x000D_
in_x000D_
    #"Filtered Rows"</t>
  </si>
  <si>
    <t>let_x000D_
    Source = Excel.Workbook(File.Contents(Param("Input",14)), null, true),_x000D_
    Repo_Trading_Table = Source{[Item="Repo_Trading",Kind="Table"]}[Data],_x000D_
    #"Changed Type" = Table.TransformColumnTypes(Repo_Trading_Table,{{"POSTED_DT", type date}, {"DEAL_ID", Int64.Type}, {"PRODUCT_CODE", type text}, {"FOLDERS_CODE", type text}, {"CPTY_CODE", type text}, {"CURRENCY_CODE", type text}, {"BOOK_FLAG", type text}, {"CAPTURE_DATE", type date}, {"TRADING_DATE", type date}, {"VALUE_DATE", type date}, {"MATURITY_DATE", type date}, {"FACE_AMOUNT", Int64.Type}, {"GLOBAL_AMOUNT", Int64.Type}, {"FORWARD_AMOUNT", Int64.Type}, {"FIXED_RATE", type number}, {"DEAL_TYPE", type text}, {"BOND_CODE", type text}}),_x000D_
    #"Removed Columns" = Table.RemoveColumns(#"Changed Type",{"PRODUCT_CODE", "CURRENCY_CODE", "BOOK_FLAG"}),_x000D_
    #"Reordered Columns" = Table.ReorderColumns(#"Removed Columns",{"POSTED_DT", "DEAL_ID", "BOND_CODE", "DEAL_TYPE", "FOLDERS_CODE", "CPTY_CODE", "CAPTURE_DATE", "TRADING_DATE", "VALUE_DATE", "MATURITY_DATE", "FACE_AMOUNT", "GLOBAL_AMOUNT", "FORWARD_AMOUNT", "FIXED_RATE"}),_x000D_
    #"Filtered Rows" = Table.SelectRows(#"Reordered Columns", each ([FOLDERS_CODE] = "AFS-LOANFI"))_x000D_
in_x000D_
    #"Filtered Rows"</t>
  </si>
  <si>
    <t>let_x000D_
    Source = Excel.Workbook(File.Contents(Param("Input",12)), null, true),_x000D_
    Sheet1_Sheet = Source{[Item="Sheet1",Kind="Sheet"]}[Data],_x000D_
    #"Promoted Headers" = Table.PromoteHeaders(Sheet1_Sheet, [PromoteAllScalars=true]),_x000D_
    #"Added Custom Column3" = Table.AddColumn(#"Promoted Headers", "Face_Amount", each let splitFaceAmount = Splitter.SplitTextByDelimiter(".", QuoteStyle.None)(Text.From([FaceAmount], "en-US")), splitsplitFaceAmount0 = Splitter.SplitTextByDelimiter(" ", QuoteStyle.None)(splitFaceAmount{0}?) in Text.Combine({Text.Combine(splitsplitFaceAmount0), Text.Middle(Text.From([FaceAmount], "en-US"), 13, 3)}), type text),_x000D_
    #"Added Custom Column1" = Table.AddColumn(#"Added Custom Column3", "Quantity", each let splitRemainQuantity = Splitter.SplitTextByDelimiter(".", QuoteStyle.None)(Text.From([Remain_Quantity], "en-US")), splitsplitRemainQuantity0 = Splitter.SplitTextByDelimiter(" ", QuoteStyle.None)(splitRemainQuantity{0}?) in Text.Combine({Text.Combine(splitsplitRemainQuantity0), Text.Middle(Text.From([Remain_Quantity], "en-US"), 13, 3)}), type text),_x000D_
    #"Added Custom Column2" = Table.AddColumn(#"Added Custom Column1", "Gross_Amount", each let splitGrossAmount = Splitter.SplitTextByDelimiter("  ", QuoteStyle.None)(Text.From([GrossAmount], "en-US")) in Text.Combine({Text.Combine(List.Transform(splitGrossAmount, each Text.Start(_, 10))), Text.Middle(Text.From([GrossAmount], "en-US"), 13, 3)}), type text),_x000D_
    #"Reordered Columns" = Table.ReorderColumns(#"Added Custom Column2",{"BondsDeals_Id", "Folder", "Bonds_ShortName", "Issuer", "Quantity", "Remain_Quantity", "FaceValue", "Face_Amount", "FaceAmount", "Currencies_ShortName", "Gross_Amount", "GrossAmount", "ValueDate", "IssueDate", "FirstCouponDate", "MaturityDate", "TenorBond", "Indexation", "FloatingRates_ShortName", "FirstCouponRate", "ThisCouponRate", "CouponFrequency", "FixingFrequency", "LegalStatus_ShortName", "ItemDisplayName", "IsExDividend", "ExDividendDaysType", "NoExDividendDays", "Discount", "Premium", "Discount_Remain", "Premium_Remain", "ValueDate_Accred", "IsConvertible", "IsCallPutable", "Accr", "StartDate", "EndDate", "TypeOfInstr_ShortName", "AccountingGroup_ShortName"}),_x000D_
    #"Changed Type" = Table.TransformColumnTypes(#"Reordered Columns",{{"BondsDeals_Id", Int64.Type}, {"Folder", type text}, {"Bonds_ShortName", type text}, {"Issuer", type text}, {"FaceValue", Int64.Type}, {"FaceAmount", type any}, {"Currencies_ShortName", type text}, {"GrossAmount", type any}, {"ValueDate", type date}, {"IssueDate", type date}, {"FirstCouponDate", type date}, {"MaturityDate", type date}, {"TenorBond", Int64.Type}, {"Indexation", type text}, {"FloatingRates_ShortName", type text}, {"FirstCouponRate", type number}, {"ThisCouponRate", type number}, {"CouponFrequency", type text}, {"FixingFrequency", type text}, {"LegalStatus_ShortName", type text}, {"ItemDisplayName", type text}, {"IsExDividend", type text}, {"ExDividendDaysType", type text}, {"NoExDividendDays", Int64.Type}, {"Discount", type number}, {"Premium", type number}, {"Discount_Remain", type number}, {"Premium_Remain", type number}, {"ValueDate_Accred", type number}, {"IsConvertible", type text}, {"IsCallPutable", type text}, {"Accr", type number}, {"StartDate", type date}, {"EndDate", type date}, {"TypeOfInstr_ShortName", type text}, {"AccountingGroup_ShortName", type text}, {"Quantity", Int64.Type}, {"Face_Amount", Int64.Type}, {"Gross_Amount", Int64.Type}}),_x000D_
    #"Removed Columns" = Table.RemoveColumns(#"Changed Type",{"AccountingGroup_ShortName", "IsConvertible", "IsCallPutable", "StartDate", "EndDate", "CouponFrequency", "FixingFrequency", "LegalStatus_ShortName", "ItemDisplayName", "IsExDividend", "ExDividendDaysType", "NoExDividendDays", "FloatingRates_ShortName", "Indexation", "Currencies_ShortName", "Remain_Quantity", "FaceAmount", "GrossAmount"}),_x000D_
    #"Filtered Rows" = Table.SelectRows(#"Removed Columns", each ([Issuer] &lt;&gt; "MSB-BANK") and ([TypeOfInstr_ShortName] &lt;&gt; "ECON_UNL" and [TypeOfInstr_ShortName] &lt;&gt; "GOVBOND"))_x000D_
in_x000D_
    #"Filtered Rows"</t>
  </si>
  <si>
    <t>let_x000D_
    Source = Excel.Workbook(File.Contents(Param("Input",10)), null, true),_x000D_
    #"FI-Bond by Bond ID_Sheet" = Source{[Item="FI-Bond by Bond ID",Kind="Sheet"]}[Data],_x000D_
    #"Filtered Rows" = Table.SelectRows(#"FI-Bond by Bond ID_Sheet", each ([Column1] &lt;&gt; null and [Column1] &lt;&gt; "FI Bond" and [Column1] &lt;&gt; "Product Code")),_x000D_
    #"Promoted Headers" = Table.PromoteHeaders(#"Filtered Rows", [PromoteAllScalars=true]),_x000D_
    #"Changed Type" = Table.TransformColumnTypes(#"Promoted Headers",{{"Asset Code", type text}, {"Issuer Type", type text}, {"Total", Int64.Type}, {"Unrealized Sell_Face", Int64.Type}, {"SecuredBond_Face + Cam co_Face", Int64.Type}, {"Bond Mat &lt;1M", Int64.Type}, {"Total_face after Cam co + Mat &lt;1M + UR_Sell &lt;1M", Int64.Type}, {"Internal Rating", type text}, {"Haircut in Normal", type number}, {"FI Bond after Normal Haircut", Int64.Type}, {"Internal Review Rating Date", type date}, {" Fitch's rating ", type text}, {" Moody's rating ", type text}, {" S&amp;P's rating ", type text}}),_x000D_
    #"Grouped Rows" = Table.Group(#"Changed Type", {"Issuer Type", "Internal Rating", "Internal Review Rating Date", " Fitch's rating ", " Moody's rating ", " S&amp;P's rating "}, {{"Total", each List.Sum([Total]), type nullable number}}),_x000D_
    #"Reordered Columns" = Table.ReorderColumns(#"Grouped Rows",{"Issuer Type", "Total", "Internal Rating", "Internal Review Rating Date", " Fitch's rating ", " Moody's rating ", " S&amp;P's rating "}),_x000D_
    #"Renamed Columns" = Table.RenameColumns(#"Reordered Columns",{{"Internal Review Rating Date", "Review Date"}}),_x000D_
    #"Filtered Rows1" = Table.SelectRows(#"Renamed Columns", each ([Total] &lt;&gt; 0)),_x000D_
    #"Renamed Columns1" = Table.RenameColumns(#"Filtered Rows1",{{"Issuer Type", "Issuer"}, {"Total", "Total FV"}}),_x000D_
    #"Added Conditional Column" = Table.AddColumn(#"Renamed Columns1", "Custom", each if [Internal Rating] = "AAA" then 1 else if [Internal Rating] = "AA" then 2 else if [Internal Rating] = "A" then 3 else if [Internal Rating] = "BBB" then 4 else if [Internal Rating] = "BB" then 5 else 6),_x000D_
    #"Sorted Rows" = Table.Sort(#"Added Conditional Column",{{"Custom", Order.Ascending}}),_x000D_
    #"Removed Columns" = Table.RemoveColumns(#"Sorted Rows",{"Custom"})_x000D_
in_x000D_
    #"Removed Columns"</t>
  </si>
  <si>
    <t>DataTT ps</t>
  </si>
  <si>
    <t>let_x000D_
    Source = Excel.Workbook(File.Contents(Param("Input",19)), null, true),_x000D_
    #"Thống kê GD_Sheet" = Source{[Item="Thống kê GD",Kind="Sheet"]}[Data],_x000D_
    #"Filtered Rows" = Table.SelectRows(#"Thống kê GD_Sheet", each ([Column1] &lt;&gt; null)),_x000D_
    #"Promoted Headers" = Table.PromoteHeaders(#"Filtered Rows", [PromoteAllScalars=true]),_x000D_
    #"Changed Type" = Table.TransformColumnTypes(#"Promoted Headers",{{"TCPH", type text}, {"Ngành", type text}, {"Mã GD", type text}, {"Kỳ hạn còn lại", type text}, {"Giá TH gần nhất", Int64.Type}, {"KLTH gần nhất", Int64.Type}, {"Giá TH cao nhất", Int64.Type}, {"KL TH tại mức giá cao nhất", Int64.Type}, {"Giá TH thấp nhất", Int64.Type}, {"KL TH tại mức giá thấp nhất", Int64.Type}, {"KLGD", Int64.Type}, {"GTGD (VNĐ)", Int64.Type}, {"Column13", type any}, {"Column14", type any}, {"Column15", type any}, {"Column16", type any}, {"Column17", type any}}),_x000D_
    #"Removed Other Columns" = Table.SelectColumns(#"Changed Type",{"TCPH", "Ngành", "Mã GD", "Kỳ hạn còn lại", "Giá TH gần nhất", "KLTH gần nhất", "Giá TH cao nhất", "KL TH tại mức giá cao nhất", "Giá TH thấp nhất", "KL TH tại mức giá thấp nhất", "KLGD", "GTGD (VNĐ)"}),_x000D_
    #"Filtered Rows1" = Table.SelectRows(#"Removed Other Columns", each ([Ngành] &lt;&gt; null))_x000D_
in_x000D_
    #"Filtered Rows1"</t>
  </si>
  <si>
    <t>His53_DataTT</t>
  </si>
  <si>
    <t>Sắp xếp lại folder, sửa code VBA, link input</t>
  </si>
  <si>
    <t>Month</t>
  </si>
  <si>
    <t>Data Flow</t>
  </si>
  <si>
    <t>Guide</t>
  </si>
  <si>
    <t>CTCP Toàn Hải Vân</t>
  </si>
  <si>
    <t>ABB12511</t>
  </si>
  <si>
    <t>Co cau dau tu tu BBB</t>
  </si>
  <si>
    <t>Today - 1</t>
  </si>
  <si>
    <t>Working date</t>
  </si>
  <si>
    <t>Gap</t>
  </si>
  <si>
    <t>CTCP Nông nghiệp BAF Việt Nam</t>
  </si>
  <si>
    <t>KIENLONG</t>
  </si>
  <si>
    <t>CT TNHH Phát triển kinh doanh xây dựng 3</t>
  </si>
  <si>
    <t>HDB125011</t>
  </si>
  <si>
    <t>CT TNHH Oleco - NQ</t>
  </si>
  <si>
    <t>VBA12503</t>
  </si>
  <si>
    <t>Bổ sung cơ cấu đầu tư từ BBB lên bảng Indicators, thêm các cột quý và năm</t>
  </si>
  <si>
    <t>Lưu backup dữ liệu cuối năm, cuối quý</t>
  </si>
  <si>
    <t>Check số PTCK của FIBond trên GL và RPBOD3</t>
  </si>
  <si>
    <t>Lưu trữ bổ sung Phụ trội chiết khấu tách cho từng sản phẩm =&gt; Số trên GL là gộp chung cả CD và FIBond</t>
  </si>
  <si>
    <t>Thêm bảng call put để đánh giá kỳ hạn thực của FIBond</t>
  </si>
  <si>
    <t>CALL_OR_PUT</t>
  </si>
  <si>
    <t>START_DATE</t>
  </si>
  <si>
    <t>END_DATE</t>
  </si>
  <si>
    <t>REDEMPTION_VALUE</t>
  </si>
  <si>
    <t>C</t>
  </si>
  <si>
    <t>P</t>
  </si>
  <si>
    <t>OCBL2427021</t>
  </si>
  <si>
    <t>LPBL2431003</t>
  </si>
  <si>
    <t>Call/Put</t>
  </si>
  <si>
    <t>Tenor (call/put)</t>
  </si>
  <si>
    <t>Balance sheets</t>
  </si>
  <si>
    <t>GTGD deal</t>
  </si>
  <si>
    <t>Bổ sung lại trường tính ngày của FNRP FIBond do doublecheck đang dùng trường này để check + sửa lại công thức doublecheck số 3 và 10</t>
  </si>
  <si>
    <t>tranglt38</t>
  </si>
  <si>
    <t>Sửa datatype trường Actual của bảng FIBond_Historical từ decimal sang floating do lỗi up dữ liệu số quá dài tại dòng chiết khấu phụ trội FIBond</t>
  </si>
  <si>
    <t>CT TNHH THÀNH PHỐ AQUA</t>
  </si>
  <si>
    <t>CTCP Tư vấn và Kinh doanh bất động sản TCO</t>
  </si>
  <si>
    <t>Tạo curve configure để customized FNRP dùng FIBOND curve từ VBMA mà k phải thay đổi set up của từng mã bond để so sánh với curve hiện tại</t>
  </si>
  <si>
    <t>\\filesrv01.msb.com.vn\06.Khoi Quan Ly Rui Ro\02.Trung Tam QLRR Thi Truong\02.Phong GSRRTT\05.Report\Theo doi\Capital charge\Input_data\MR10 - Reconcile (All).csv</t>
  </si>
  <si>
    <t>1st Quarter</t>
  </si>
  <si>
    <t>2nd Quarter</t>
  </si>
  <si>
    <t>3rd Quarter</t>
  </si>
  <si>
    <t>Limit</t>
  </si>
  <si>
    <t>Sử dụng</t>
  </si>
  <si>
    <t>FI Bond &amp; CD</t>
  </si>
  <si>
    <t>cho issuer từ A</t>
  </si>
  <si>
    <t>cho issuer từ BBB</t>
  </si>
  <si>
    <t>Tỷ lệ</t>
  </si>
  <si>
    <t>Tỷ lệ lũy kế</t>
  </si>
  <si>
    <t>Ngày BC</t>
  </si>
  <si>
    <t>Co cau dau tu tu A</t>
  </si>
  <si>
    <t>Co cau dau tu tu AAA</t>
  </si>
  <si>
    <t>Co cau dau tu tu AA</t>
  </si>
  <si>
    <t>Co cau dau tu tu BB</t>
  </si>
  <si>
    <t>Co cau dau tu tu B</t>
  </si>
  <si>
    <r>
      <t xml:space="preserve">Tỷ lệ đầu tư
</t>
    </r>
    <r>
      <rPr>
        <sz val="11"/>
        <color theme="1"/>
        <rFont val="Calibri"/>
        <family val="2"/>
        <scheme val="minor"/>
      </rPr>
      <t>(nội bảng)</t>
    </r>
  </si>
  <si>
    <t>Fitch</t>
  </si>
  <si>
    <t>S&amp;P</t>
  </si>
  <si>
    <t>Moody’s</t>
  </si>
  <si>
    <t>Aaa</t>
  </si>
  <si>
    <t>AA+</t>
  </si>
  <si>
    <t>Aa1</t>
  </si>
  <si>
    <t>Aa2</t>
  </si>
  <si>
    <t>AA−</t>
  </si>
  <si>
    <t>Aa3</t>
  </si>
  <si>
    <t>A+</t>
  </si>
  <si>
    <t>A1</t>
  </si>
  <si>
    <t>A2</t>
  </si>
  <si>
    <t>A−</t>
  </si>
  <si>
    <t>A3</t>
  </si>
  <si>
    <t>BBB+</t>
  </si>
  <si>
    <t>Baa1</t>
  </si>
  <si>
    <t>Baa2</t>
  </si>
  <si>
    <t>BBB−</t>
  </si>
  <si>
    <t>Baa3</t>
  </si>
  <si>
    <t>Thêm bảng quy đổi rating của 3 agency để tham chiếu và so sánh với internal rating</t>
  </si>
  <si>
    <t xml:space="preserve">Thêm 2 indicator vào bảng chỉ số giám sát trên mặt báo cáo: 
- FV của FI Bond + CD
- Tỷ lệ đầu từ cho issuer từ A
Thêm cột hạn mức và đèn warning
Thêm cột </t>
  </si>
  <si>
    <t>VCCB</t>
  </si>
  <si>
    <t>Internal rating</t>
  </si>
  <si>
    <t>Ba1</t>
  </si>
  <si>
    <t>BB−</t>
  </si>
  <si>
    <t>B−</t>
  </si>
  <si>
    <t>B3</t>
  </si>
  <si>
    <t>CCC</t>
  </si>
  <si>
    <t>Caa</t>
  </si>
  <si>
    <t>CC</t>
  </si>
  <si>
    <t>Ca</t>
  </si>
  <si>
    <t>D</t>
  </si>
  <si>
    <t>–</t>
  </si>
  <si>
    <t>N/A</t>
  </si>
  <si>
    <t>Đánh giá</t>
  </si>
  <si>
    <t>Investment 
grade</t>
  </si>
  <si>
    <t xml:space="preserve">High yield/
Junk bond
</t>
  </si>
  <si>
    <t>Default</t>
  </si>
  <si>
    <t>Bảng quy chuẩn rating 3 agency quốc tế (tham khảo)</t>
  </si>
  <si>
    <t>Face value (total)</t>
  </si>
  <si>
    <t>Validate FNRP dùng curve cũ và curve mới (FIBond)
So sánh và đánh giá</t>
  </si>
  <si>
    <t>Security Name</t>
  </si>
  <si>
    <t>Structured Bond Description</t>
  </si>
  <si>
    <t>Instr. ISIN Code</t>
  </si>
  <si>
    <t>Price</t>
  </si>
  <si>
    <t>Adj. Factor</t>
  </si>
  <si>
    <t>Cap. Factor</t>
  </si>
  <si>
    <t>Avg Accr</t>
  </si>
  <si>
    <t>Multi. Spread</t>
  </si>
  <si>
    <t>Principal Cumul</t>
  </si>
  <si>
    <t>Prn. Reinvested</t>
  </si>
  <si>
    <t>Anticip. Carry</t>
  </si>
  <si>
    <t>Brokerage</t>
  </si>
  <si>
    <t>Disct. Margin</t>
  </si>
  <si>
    <t>Yld. Call</t>
  </si>
  <si>
    <t>Yld. Put</t>
  </si>
  <si>
    <t>Yield Mat</t>
  </si>
  <si>
    <t>Stripped YTM</t>
  </si>
  <si>
    <t>Cnvx. Value</t>
  </si>
  <si>
    <t>Forex BPV (K)</t>
  </si>
  <si>
    <t>Theta (K)</t>
  </si>
  <si>
    <t>Eq Future</t>
  </si>
  <si>
    <t>Volat.</t>
  </si>
  <si>
    <t>Dilution Coef(%)</t>
  </si>
  <si>
    <t>Current Call</t>
  </si>
  <si>
    <t>Current Put</t>
  </si>
  <si>
    <t>Call Redemption</t>
  </si>
  <si>
    <t>Put Redemption</t>
  </si>
  <si>
    <t>Trigger Price</t>
  </si>
  <si>
    <t>Exch. Rate</t>
  </si>
  <si>
    <t>Corr. Factor</t>
  </si>
  <si>
    <t>Implied C. Price</t>
  </si>
  <si>
    <t>Under. Adj</t>
  </si>
  <si>
    <t>C. Ratio</t>
  </si>
  <si>
    <t>Parity Value</t>
  </si>
  <si>
    <t>C.Prem.(%)</t>
  </si>
  <si>
    <t>Cash (%)</t>
  </si>
  <si>
    <t>Sover. Spread</t>
  </si>
  <si>
    <t>Fair Price</t>
  </si>
  <si>
    <t>Pure Bond</t>
  </si>
  <si>
    <t>Bond Floor</t>
  </si>
  <si>
    <t>Delta</t>
  </si>
  <si>
    <t>Gamma</t>
  </si>
  <si>
    <t>Vega</t>
  </si>
  <si>
    <t>OAS</t>
  </si>
  <si>
    <t>Opt-Free</t>
  </si>
  <si>
    <t>Opt-Free(bp)</t>
  </si>
  <si>
    <t>Opt Cost</t>
  </si>
  <si>
    <t xml:space="preserve">Opt Cost(bp) </t>
  </si>
  <si>
    <t>Eff. Duration</t>
  </si>
  <si>
    <t>Eff. Convexity</t>
  </si>
  <si>
    <t>Basket Rate</t>
  </si>
  <si>
    <t>OCBL2427009 080824 080827</t>
  </si>
  <si>
    <t>VN0OCB124133</t>
  </si>
  <si>
    <t>No</t>
  </si>
  <si>
    <t xml:space="preserve">--- </t>
  </si>
  <si>
    <t>MSFCLH2426004 2Y 131224 131226</t>
  </si>
  <si>
    <t>VN0MSF124042</t>
  </si>
  <si>
    <t>AGRIBANK BOND 8Y 2030 TIER 2</t>
  </si>
  <si>
    <t>VNVBA1220019</t>
  </si>
  <si>
    <t>LPB BOND 7Y 24092024 24092031</t>
  </si>
  <si>
    <t>VN0LPB124073</t>
  </si>
  <si>
    <t>HDBC7Y253201 TIER2 240325 240332</t>
  </si>
  <si>
    <t>HCV12502 2Y 26052025 26052027</t>
  </si>
  <si>
    <t>AGRIBANK BOND 2Y 140725 140727</t>
  </si>
  <si>
    <t>MB BOND 2027 UNSECURED TIER 2</t>
  </si>
  <si>
    <t>OCBL2427021 281124 281127</t>
  </si>
  <si>
    <t>ABB12501 3Y 23042025 23042028</t>
  </si>
  <si>
    <t>ABB12511 3Y 16062025 16062028</t>
  </si>
  <si>
    <t>OCB12515</t>
  </si>
  <si>
    <t>OCB12515 120825 120828</t>
  </si>
  <si>
    <t>Area</t>
  </si>
  <si>
    <t>Stamp</t>
  </si>
  <si>
    <t>Feed</t>
  </si>
  <si>
    <t>Used</t>
  </si>
  <si>
    <t>Begin</t>
  </si>
  <si>
    <t>Maturity</t>
  </si>
  <si>
    <t>Cal. Days</t>
  </si>
  <si>
    <t>Par Rate</t>
  </si>
  <si>
    <t>Margin</t>
  </si>
  <si>
    <t>Implied</t>
  </si>
  <si>
    <t>Zero Cpn.</t>
  </si>
  <si>
    <t>Forward 3M</t>
  </si>
  <si>
    <t>M.Mkt.</t>
  </si>
  <si>
    <t>Interpolated</t>
  </si>
  <si>
    <t>DD</t>
  </si>
  <si>
    <t>1 Week</t>
  </si>
  <si>
    <t xml:space="preserve"> 1 Month</t>
  </si>
  <si>
    <t xml:space="preserve"> 2 Months</t>
  </si>
  <si>
    <t>VBMA.FI3M</t>
  </si>
  <si>
    <t xml:space="preserve"> 4 Months</t>
  </si>
  <si>
    <t xml:space="preserve"> 5 Months</t>
  </si>
  <si>
    <t>VBMA.FI6M</t>
  </si>
  <si>
    <t xml:space="preserve"> 7 Months</t>
  </si>
  <si>
    <t xml:space="preserve"> 8 Months</t>
  </si>
  <si>
    <t>VBMA.FI9M</t>
  </si>
  <si>
    <t>10 Months</t>
  </si>
  <si>
    <t>11 Months</t>
  </si>
  <si>
    <t>S.T. Swap</t>
  </si>
  <si>
    <t>VBMA.FI1Y</t>
  </si>
  <si>
    <t>VBMA.FI2Y</t>
  </si>
  <si>
    <t>VBMA.FI3Y</t>
  </si>
  <si>
    <t>L.T. Swap</t>
  </si>
  <si>
    <t xml:space="preserve"> 4 Years</t>
  </si>
  <si>
    <t xml:space="preserve"> 5 Years</t>
  </si>
  <si>
    <t xml:space="preserve"> 6 Years</t>
  </si>
  <si>
    <t xml:space="preserve"> 7 Years</t>
  </si>
  <si>
    <t xml:space="preserve"> 8 Years</t>
  </si>
  <si>
    <t xml:space="preserve"> 9 Years</t>
  </si>
  <si>
    <t>10 Years</t>
  </si>
  <si>
    <t>11 Years</t>
  </si>
  <si>
    <t>12 Years</t>
  </si>
  <si>
    <t>13 Years</t>
  </si>
  <si>
    <t>14 Years</t>
  </si>
  <si>
    <t>15 Years</t>
  </si>
  <si>
    <t>16 Years</t>
  </si>
  <si>
    <t>17 Years</t>
  </si>
  <si>
    <t>18 Years</t>
  </si>
  <si>
    <t>19 Years</t>
  </si>
  <si>
    <t>20 Years</t>
  </si>
  <si>
    <t>21 Years</t>
  </si>
  <si>
    <t>22 Years</t>
  </si>
  <si>
    <t>23 Years</t>
  </si>
  <si>
    <t>24 Years</t>
  </si>
  <si>
    <t>25 Years</t>
  </si>
  <si>
    <t>26 Years</t>
  </si>
  <si>
    <t>27 Years</t>
  </si>
  <si>
    <t>28 Years</t>
  </si>
  <si>
    <t>29 Years</t>
  </si>
  <si>
    <t>30 Years</t>
  </si>
  <si>
    <t>Algebra</t>
  </si>
  <si>
    <t xml:space="preserve"> 3 Months</t>
  </si>
  <si>
    <t xml:space="preserve"> 6 Months</t>
  </si>
  <si>
    <t xml:space="preserve"> 9 Months</t>
  </si>
  <si>
    <t xml:space="preserve"> 1 Year</t>
  </si>
  <si>
    <t xml:space="preserve"> 2 Years</t>
  </si>
  <si>
    <t xml:space="preserve"> 3 Years</t>
  </si>
  <si>
    <t>gov+50bps =&gt;</t>
  </si>
  <si>
    <t>fibond =&gt;</t>
  </si>
  <si>
    <t>Mod</t>
  </si>
  <si>
    <t>Flow Type</t>
  </si>
  <si>
    <t>Principal Amount</t>
  </si>
  <si>
    <t>Start Date</t>
  </si>
  <si>
    <t>End Date</t>
  </si>
  <si>
    <t>Payment Date</t>
  </si>
  <si>
    <t>Ex Div. Date</t>
  </si>
  <si>
    <t>Cash Flow</t>
  </si>
  <si>
    <t>Rate</t>
  </si>
  <si>
    <t>Disct. Factor</t>
  </si>
  <si>
    <t>Outstanding</t>
  </si>
  <si>
    <t>Tax</t>
  </si>
  <si>
    <t>Accrued Basis</t>
  </si>
  <si>
    <t>Coupon Frequency</t>
  </si>
  <si>
    <t>Percentage</t>
  </si>
  <si>
    <t>Comments</t>
  </si>
  <si>
    <t>Interest</t>
  </si>
  <si>
    <t>ACT/365</t>
  </si>
  <si>
    <t>Annual</t>
  </si>
  <si>
    <t>Principal</t>
  </si>
  <si>
    <t>chặn trên</t>
  </si>
  <si>
    <t>chặn dưới</t>
  </si>
  <si>
    <t>days=&gt;</t>
  </si>
  <si>
    <t>zero rate fibond=&gt;</t>
  </si>
  <si>
    <t>zero rate gov+50bps=&gt;</t>
  </si>
  <si>
    <t>PV of CF</t>
  </si>
  <si>
    <t>DF gov+50bps</t>
  </si>
  <si>
    <t>DF fibond</t>
  </si>
  <si>
    <t>dirty</t>
  </si>
  <si>
    <t>clean</t>
  </si>
  <si>
    <t>diff</t>
  </si>
  <si>
    <t>ai tự tính</t>
  </si>
  <si>
    <t>dirty hệ thống</t>
  </si>
  <si>
    <t>clean hệ thống</t>
  </si>
  <si>
    <t>PV of CF hệ thống</t>
  </si>
  <si>
    <t>dùng yield</t>
  </si>
  <si>
    <t>CT TNHH DỊCH VỤ THƯƠNG MẠI TỔNG HỢP AN THỊNH</t>
  </si>
  <si>
    <t>BC RPBOD_B003 exclude các dealID có dấu âm, là deal simulate, không phải deal thật</t>
  </si>
  <si>
    <t>-36111509.09K</t>
  </si>
  <si>
    <t>-10705555.56K</t>
  </si>
  <si>
    <t>-67189099.49K</t>
  </si>
  <si>
    <t>-35836416.69K</t>
  </si>
  <si>
    <t>-5922188.99K</t>
  </si>
  <si>
    <t>-3718888.89K</t>
  </si>
  <si>
    <t>VN0VBA125034</t>
  </si>
  <si>
    <t>-10291666.67K</t>
  </si>
  <si>
    <t>-87069652.78K</t>
  </si>
  <si>
    <t>-28373611.11K</t>
  </si>
  <si>
    <t>-8057777.78K</t>
  </si>
  <si>
    <t>-6248611.11K</t>
  </si>
  <si>
    <t>Database</t>
  </si>
  <si>
    <t>58.937K</t>
  </si>
  <si>
    <t>121.239K</t>
  </si>
  <si>
    <t>184.383K</t>
  </si>
  <si>
    <t>72.850K</t>
  </si>
  <si>
    <t>60.746K</t>
  </si>
  <si>
    <t>441.998K</t>
  </si>
  <si>
    <t>84.796K</t>
  </si>
  <si>
    <t>156.844K</t>
  </si>
  <si>
    <t>111.333K</t>
  </si>
  <si>
    <t>158.043K</t>
  </si>
  <si>
    <t>313.281K</t>
  </si>
  <si>
    <t>Fixing Date</t>
  </si>
  <si>
    <t>Fwd. S. Date</t>
  </si>
  <si>
    <t>Fwd. E. Date</t>
  </si>
  <si>
    <t>Flt. Rate</t>
  </si>
  <si>
    <t>Add. Margin</t>
  </si>
  <si>
    <t>Multi. Mgn.</t>
  </si>
  <si>
    <t>4NHQD</t>
  </si>
  <si>
    <t>Gov Bond +50bps</t>
  </si>
  <si>
    <t>Curve gov+50bps</t>
  </si>
  <si>
    <t>Curve FIBond</t>
  </si>
  <si>
    <t>4NHQD + 200bps</t>
  </si>
  <si>
    <t>4NHQD + 160bps</t>
  </si>
  <si>
    <t>4NHQD + 290bps</t>
  </si>
  <si>
    <t>4NHQD + 270bps</t>
  </si>
  <si>
    <t>Mã</t>
  </si>
  <si>
    <t>Coupon</t>
  </si>
  <si>
    <t>VFM_DCIP</t>
  </si>
  <si>
    <t>Sửa tay bảng rating do dữ liệu LIQ3 lệch so với GL của issuer VCCB (1000 tỷ sửa thành 500 tỷ) ngày 4/8-12/8</t>
  </si>
  <si>
    <t>CTCP đầu tư đường Mặt Trời</t>
  </si>
  <si>
    <t>SHB12503</t>
  </si>
  <si>
    <t>CTCP Phát triển Khu Công nghiệp và Đô thị Thủ Thừa (tên cũ: CTCP IDTT)</t>
  </si>
  <si>
    <t>Ngân hàng Nông nghiệp và Phát triển Nông thôn Việt Nam</t>
  </si>
  <si>
    <t>≥ 60%</t>
  </si>
  <si>
    <t>MG CK NỢ CHƯA NY DO TCTD KHÁC TRONG NƯỚC PH ĐTSSĐB-NỢ TH</t>
  </si>
  <si>
    <t>CTCP thương mại và dịch Việt Kim</t>
  </si>
  <si>
    <t>CHIẾT KHẤU CK NỢ CHƯA NY DO CÁC TCTD KHÁC TR/NƯỚC PH ĐTSSĐB</t>
  </si>
  <si>
    <t>PHỤ TRỘI CK NỢ CHƯA NY DO CÁC TCTD KHÁC TR/NƯỚC PH ĐTSSĐB</t>
  </si>
  <si>
    <t>VFMVFB</t>
  </si>
  <si>
    <t>CT TNHH Đầu tư kinh doanh bất động sản Liên Lập</t>
  </si>
  <si>
    <t>GL!A1</t>
  </si>
  <si>
    <t>VBB1Y090926</t>
  </si>
  <si>
    <t>OJBV</t>
  </si>
  <si>
    <t>CT TNHH Hưng Thắng Lợi Gia Lai</t>
  </si>
  <si>
    <t>CTCP Phát Triển Khu Công Nghệ Thông Tin Đà Nẵng</t>
  </si>
  <si>
    <t>CK_TCBS</t>
  </si>
  <si>
    <t>CTCP Đầu tư Phát triển Bất động sản Thành Vinh</t>
  </si>
  <si>
    <t>CT_TXM</t>
  </si>
  <si>
    <t>STB1Y230926</t>
  </si>
  <si>
    <t>EIBCD240926</t>
  </si>
  <si>
    <t>CTCP địa ốc Sài Gòn thương tín</t>
  </si>
  <si>
    <t>ABB12M300926</t>
  </si>
  <si>
    <t>CT TNHH ĐẦU TƯ VÀ PHÁT TRIỂN BĐS TRƯỜNG MINH</t>
  </si>
  <si>
    <t>VBB1Y061026</t>
  </si>
  <si>
    <t>CTCP PHÁT TRIỂN NHÀ BÀ RỊA - VŨNG TÀU</t>
  </si>
  <si>
    <t>CT Tài chính tín dụng tiêu dùng TNHH MB Shinsei (Tên cũ: CT Tài chính TNHH MB Shinsei)</t>
  </si>
  <si>
    <t>GL sai ghi nhận phần mua sơ cấp, LIQ3 vẫn đúng bên không sửa bảng Rating</t>
  </si>
  <si>
    <t>TOC12502</t>
  </si>
  <si>
    <t>BB-</t>
  </si>
  <si>
    <t>CK_LPBS</t>
  </si>
  <si>
    <t>TẬP ĐOÀN ĐẦU TƯ VÀ PHÁT TRIỂN CÔNG NGHIỆP BECAMEX - CTCP</t>
  </si>
  <si>
    <t>PnL</t>
  </si>
  <si>
    <t>QLHS ghi nhận lũy kế</t>
  </si>
  <si>
    <t>PnL QLHS</t>
  </si>
  <si>
    <t>Lũy kế</t>
  </si>
  <si>
    <t>Quý</t>
  </si>
  <si>
    <t>4th Quarter</t>
  </si>
  <si>
    <t>Bổ sung indicator PnL QLHS ghi nhận</t>
  </si>
  <si>
    <t> FaceAmount </t>
  </si>
  <si>
    <t>MSBCD252603</t>
  </si>
  <si>
    <t>MSBCD252602</t>
  </si>
  <si>
    <t>MSBCD252604</t>
  </si>
  <si>
    <t>MSBCD012025</t>
  </si>
  <si>
    <t>Deal đối ứng</t>
  </si>
  <si>
    <t>&lt;= Mua</t>
  </si>
  <si>
    <t>Bán =&gt;</t>
  </si>
  <si>
    <t>Check Deal đối ứng</t>
  </si>
  <si>
    <t>Check đối ứng</t>
  </si>
  <si>
    <t>Sell</t>
  </si>
  <si>
    <t>CD MSB</t>
  </si>
  <si>
    <t>TEXTSPLIT(N3,"/")</t>
  </si>
  <si>
    <t>Cơ cấu đầu tư từ BBB</t>
  </si>
  <si>
    <t>Thêm cảnh báo ở sheet Runtool để quan sát hạn mức chạm limit</t>
  </si>
  <si>
    <t>List bảng</t>
  </si>
  <si>
    <t>Comment</t>
  </si>
  <si>
    <t>Face value_Not adj</t>
  </si>
  <si>
    <t>Not adjust</t>
  </si>
  <si>
    <t>Tương tác FO</t>
  </si>
  <si>
    <t>Face value doi ung</t>
  </si>
  <si>
    <t>FNRP_MSB</t>
  </si>
  <si>
    <t>Dealps_MSB</t>
  </si>
  <si>
    <t>MSB phát hành</t>
  </si>
  <si>
    <t>OCBCD281026</t>
  </si>
  <si>
    <t>QLQ-SG</t>
  </si>
  <si>
    <t>CTGCD150926</t>
  </si>
  <si>
    <t>Sửa lại bảng Rating, k kéo từ Available bond từ LR nữa mà từ tạo bảng từ LIQ03 và dữ liệu Rating trên 53</t>
  </si>
  <si>
    <t>EIBCD291026</t>
  </si>
  <si>
    <t>NCBV</t>
  </si>
  <si>
    <t>HDB1CD031126</t>
  </si>
  <si>
    <t>MSB-BANK</t>
  </si>
  <si>
    <t>DSB</t>
  </si>
  <si>
    <t>AFS-RB</t>
  </si>
  <si>
    <t>MSBCDRB2501</t>
  </si>
  <si>
    <t>CAP_FIG</t>
  </si>
  <si>
    <t>MSBCDRB2502</t>
  </si>
  <si>
    <t>MSBCDRB2504</t>
  </si>
  <si>
    <t>MSBCDRB2505</t>
  </si>
  <si>
    <t>MSBCDRB2506</t>
  </si>
  <si>
    <t>MSBCDRB2507</t>
  </si>
  <si>
    <t>MSBCDRB2508</t>
  </si>
  <si>
    <t>CK_SBSI</t>
  </si>
  <si>
    <t>MSBCDRB2509</t>
  </si>
  <si>
    <t>MSBCDRB2510</t>
  </si>
  <si>
    <t>MSB12306</t>
  </si>
  <si>
    <t>MSB12411</t>
  </si>
  <si>
    <t>QLQ_EAST</t>
  </si>
  <si>
    <t>MSB12507</t>
  </si>
  <si>
    <t>CK_VIETIN</t>
  </si>
  <si>
    <t>QLQ_MBCAP</t>
  </si>
  <si>
    <t>BH_FWD</t>
  </si>
  <si>
    <t>BH_GENERAL</t>
  </si>
  <si>
    <t>MSB12509</t>
  </si>
  <si>
    <t>TCT_BVNT</t>
  </si>
  <si>
    <t>CTCP DK ENC VIỆT NAM</t>
  </si>
  <si>
    <t>MSB12510</t>
  </si>
  <si>
    <t>CT TNHH HƯNG PHÁT INVEST HÀ NỘI</t>
  </si>
  <si>
    <t>Code 130203001 lệch 2,500 tỷ 4-5/11</t>
  </si>
  <si>
    <t>CTCP Thời Đại Mới T&amp;T</t>
  </si>
  <si>
    <t>DataTT!A1</t>
  </si>
  <si>
    <t>VCCB1Y301026</t>
  </si>
  <si>
    <t>3 năm</t>
  </si>
  <si>
    <t>1 năm</t>
  </si>
  <si>
    <t>3-5 năm</t>
  </si>
  <si>
    <t>2 năm</t>
  </si>
  <si>
    <t>5 năm</t>
  </si>
  <si>
    <t>6 tháng</t>
  </si>
  <si>
    <t>9 tháng</t>
  </si>
  <si>
    <t>3 tháng</t>
  </si>
  <si>
    <t>STBCD061126</t>
  </si>
  <si>
    <t>MSBCD252606</t>
  </si>
  <si>
    <t>16/11/2026</t>
  </si>
  <si>
    <t>CTCP PHÁT TRIỂN TN</t>
  </si>
  <si>
    <t>AMOUNT</t>
  </si>
  <si>
    <t>Deal đối ứng 1,500 tỷ đáo hạn</t>
  </si>
  <si>
    <t>Chech deal đối ứng nào đáo hạn</t>
  </si>
  <si>
    <t>đvt</t>
  </si>
  <si>
    <t>Link/Số</t>
  </si>
  <si>
    <t>tỷ</t>
  </si>
  <si>
    <t>vnd</t>
  </si>
  <si>
    <t>LPBCD171126</t>
  </si>
  <si>
    <t>Code 130203001 lệch 1,500 tỷ 18/11</t>
  </si>
  <si>
    <t>CK_VFS</t>
  </si>
  <si>
    <t>OCBCD241126</t>
  </si>
  <si>
    <t>MSBCD252607</t>
  </si>
  <si>
    <t>23/11/2026</t>
  </si>
  <si>
    <t>MSBCDRB2511</t>
  </si>
  <si>
    <t>Kỳ hạn còn lại</t>
  </si>
  <si>
    <t>5-7 năm</t>
  </si>
  <si>
    <t>Code 130203001 lệch 2,000 tỷ 25/11</t>
  </si>
  <si>
    <t>HDB12M261126</t>
  </si>
  <si>
    <t>Total Amount</t>
  </si>
  <si>
    <t>VBB1Y301126</t>
  </si>
  <si>
    <t>MSBCD252608</t>
  </si>
  <si>
    <t>27/11/2026</t>
  </si>
  <si>
    <t>Portfolio_rating</t>
  </si>
  <si>
    <t>Bảng</t>
  </si>
  <si>
    <t>Tham chiếu</t>
  </si>
  <si>
    <t>Count</t>
  </si>
  <si>
    <t>Apply cth</t>
  </si>
  <si>
    <t>AH2:AL2</t>
  </si>
  <si>
    <t>Điều chỉnh giảm 3,500 tỷ deal đối ứng</t>
  </si>
  <si>
    <t>M2</t>
  </si>
  <si>
    <t>Đối ứng</t>
  </si>
  <si>
    <t>Adjust</t>
  </si>
  <si>
    <t>BJ2:BN2</t>
  </si>
  <si>
    <t>CS2:CU2</t>
  </si>
  <si>
    <t>DIFF</t>
  </si>
  <si>
    <t>Chưa điều chỉnh đối ứng</t>
  </si>
  <si>
    <t>Fitch Rating</t>
  </si>
  <si>
    <t>Moody Rating</t>
  </si>
  <si>
    <t>S&amp;P Rating</t>
  </si>
  <si>
    <t>GL lệch 400 tỷ</t>
  </si>
  <si>
    <t>List kéo cthức</t>
  </si>
  <si>
    <t>1. FI Bond (U)</t>
  </si>
  <si>
    <t>2. FI Bond (L)</t>
  </si>
  <si>
    <t>Điều chỉnh đối ứng (6)</t>
  </si>
  <si>
    <t xml:space="preserve">Cuối ngày (RPT) = 
(1 + 2 + 3 + 4 +5 + 6) </t>
  </si>
  <si>
    <t>2.2. Đối chiếu dữ liệu GL</t>
  </si>
  <si>
    <t>2.4. Thay đổi trạng thái trong ngày</t>
  </si>
  <si>
    <t>Amount</t>
  </si>
  <si>
    <t>Tỷ lệ 
lũy kế</t>
  </si>
  <si>
    <t>Doi ung giam tru</t>
  </si>
  <si>
    <t>NABCD041226</t>
  </si>
  <si>
    <t>A. Nội bảng</t>
  </si>
  <si>
    <t>B. Ngoại bảng</t>
  </si>
  <si>
    <t>C. Ngoài BS</t>
  </si>
  <si>
    <t>Tổng 
(= A + B + C)</t>
  </si>
  <si>
    <t>Có mã nào bị âm trạng thái không</t>
  </si>
  <si>
    <t>mã</t>
  </si>
  <si>
    <t>Short</t>
  </si>
  <si>
    <t>Tong trang thai cua cac ma CD bi am</t>
  </si>
  <si>
    <t>Tong trang thai cua cac ma FI Bond bi am</t>
  </si>
  <si>
    <t>EIBCD300926</t>
  </si>
  <si>
    <t xml:space="preserve">- Số liệu đã đối chiếu GL, Basel và Kondor, chi tiết ở mục 2.2.
(*) Market value: Giá MtM từ báo cáo FNRP trên Kondor được tính bằng cách chiết khấu dùng: Yield Curve = Yield GovBond + 50bps. </t>
  </si>
  <si>
    <t>EVNFC201126</t>
  </si>
  <si>
    <t>CTCP TANDOLAND</t>
  </si>
  <si>
    <t>Đáo hạn</t>
  </si>
  <si>
    <t>GL lệch 200 tỷ do đáo hạn vào chủ nhật ngày 14/12, tiền thanh toán gốc đáo hạn của issuer chưa về nên 15/12 GL code 130203001 vẫn ghi nhận phần 200 tỷ</t>
  </si>
  <si>
    <t>Bổ sung 1 bảng đáo hạn</t>
  </si>
  <si>
    <t>GL lệch 1000 tỷ do kế toán hạch toán thiếu deal mua sơ cấp, lỗi từ cuối năm 2024. Deal mua CD sơ cấp sẽ bị hạch toán trễ 1 ngày</t>
  </si>
  <si>
    <t>Sơ cấp?</t>
  </si>
  <si>
    <t>CTCP MAY - DIÊM SÀI GÒN</t>
  </si>
  <si>
    <r>
      <t xml:space="preserve">Số ngày RPT = RPT </t>
    </r>
    <r>
      <rPr>
        <sz val="8"/>
        <color theme="1"/>
        <rFont val="Calibri"/>
        <family val="2"/>
        <scheme val="minor"/>
      </rPr>
      <t>(D-1)</t>
    </r>
    <r>
      <rPr>
        <sz val="11"/>
        <color theme="1"/>
        <rFont val="Calibri"/>
        <family val="2"/>
        <scheme val="minor"/>
      </rPr>
      <t xml:space="preserve"> + phát sinh - xóa + sửa - đáo hạn</t>
    </r>
  </si>
  <si>
    <t>Dao_han</t>
  </si>
  <si>
    <t>Báo cáo RPBOD3 thừa 150 tỷ do BO sửa deal =&gt; GL cũng sai theo</t>
  </si>
  <si>
    <t>Điều chỉnh trạng thái = trạng thái mở - amt đối ứng, exclude các deal bị âm trạng thái</t>
  </si>
  <si>
    <t>Sửa công thức, include cả âm trạng thái</t>
  </si>
  <si>
    <t>(Ngoài BS) Chưa valid</t>
  </si>
  <si>
    <t>(Off BS) 
Đã valid, 
chưa thtoán</t>
  </si>
  <si>
    <t>(On BS) 
Đã thtoán</t>
  </si>
  <si>
    <t>TPBCD271126</t>
  </si>
  <si>
    <t>Đáo hạn 
(5)</t>
  </si>
  <si>
    <t>2. Phân tích chi tiết trạng thái danh mục</t>
  </si>
  <si>
    <t>3. Xếp hạng tín nhiệm TCTD</t>
  </si>
  <si>
    <t>4. Thông tin thị trường</t>
  </si>
  <si>
    <t>CTCP TCO Holdings</t>
  </si>
  <si>
    <t>Sửa công thức, exclude FIBond đáo hạn</t>
  </si>
  <si>
    <t>lampd3</t>
  </si>
  <si>
    <t>HCVCD180926</t>
  </si>
  <si>
    <t>MG CK NỢ ĐÃ NIÊM YẾT DO CÁC TCTD KHÁC TRONG NƯỚC PH ĐTSSĐB</t>
  </si>
  <si>
    <t>PHỤ TRỘI CK NỢ  ĐÃ NY DO CÁC TCTD KHÁC TR/NƯỚC PH ĐT SSĐB</t>
  </si>
  <si>
    <t>IHP12501</t>
  </si>
  <si>
    <t>CK_TPB</t>
  </si>
  <si>
    <t>Dinh gia dung Yield Curve = Yield GovBond + 50bps</t>
  </si>
  <si>
    <t>Process:</t>
  </si>
  <si>
    <t>Bảng cảnh báo tuân thủ</t>
  </si>
  <si>
    <t>FIBond&amp;CD (Face value)</t>
  </si>
  <si>
    <t>Báo cáo RPBOD3 bị thừa 2 deal mua 3342 và 3340 do lỗi hệ thống (2 deal này total 1,500 tỷ đã map với deal bán 3344) =&gt; số PTCK cũng lệch so với GL</t>
  </si>
  <si>
    <t>Báo cáo RPBOD3 bị lỗi, deal 3344 match với 2 deal buy 3342 và 3340, do lỗi hệ thống (total amt là 1,500) đã được fix, lệch ngày 15, 16 và 19/1. Báo cáo ngày 20/1 đã được fix lỗi này</t>
  </si>
  <si>
    <t>ACBCD181126</t>
  </si>
  <si>
    <t>CK_KAFI</t>
  </si>
  <si>
    <t>LPBCD161226</t>
  </si>
  <si>
    <t>OCBCD240926</t>
  </si>
  <si>
    <t>ACBCD301226</t>
  </si>
  <si>
    <t>HDBCD261126</t>
  </si>
  <si>
    <t>VIC12501</t>
  </si>
  <si>
    <t>BIDVCD220127</t>
  </si>
  <si>
    <t>NABCD250127</t>
  </si>
  <si>
    <t>VSD-LOCK</t>
  </si>
  <si>
    <t>VSD-AVBL</t>
  </si>
  <si>
    <t>GL nội bảng</t>
  </si>
  <si>
    <t>GL ngoại bảng</t>
  </si>
  <si>
    <t>Nội bảng</t>
  </si>
  <si>
    <t>Ngoại bảng</t>
  </si>
  <si>
    <t>DƯ CUỐI</t>
  </si>
  <si>
    <t>CAM KET BAN GTCG</t>
  </si>
  <si>
    <t>Ngoại bảng: GL ngoại bảng bao gồm cả GovBond và FIBond&amp;CD</t>
  </si>
  <si>
    <t>Baselmart</t>
  </si>
  <si>
    <t>Last 370 days</t>
  </si>
  <si>
    <t>GL lệch 2000 tỷ deal buy là 3397 và 3398, do deal mua sơ cấp CD GL hạch toán muộn 1 ngày.</t>
  </si>
  <si>
    <t>Chuỗi trạng thái</t>
  </si>
  <si>
    <t>Chuỗi yield</t>
  </si>
  <si>
    <t>Chuỗi bid-ask spread</t>
  </si>
  <si>
    <t>Chuỗi GTGD</t>
  </si>
  <si>
    <t>toàn thị trường</t>
  </si>
  <si>
    <t>Trạng thái GovBond</t>
  </si>
  <si>
    <t>theo BS</t>
  </si>
  <si>
    <t>Check GL ngoại bảng = dữ liệu Baselmart (gồm cả gov+fi bond)</t>
  </si>
  <si>
    <t>offBS</t>
  </si>
  <si>
    <t>GovBond_BS</t>
  </si>
  <si>
    <t>Thêm đối chiếu GL ngoại bảng: kéo dữ liệu baselmart offBS của GovBond, kéo GL ngoại bảng. 
GL code 922002001 và 922002002 là cam kết mua và bán bond (tính chung govbond và fibond CD chứ không tách riêng</t>
  </si>
  <si>
    <t>TRANSACTION_STATUS</t>
  </si>
  <si>
    <t>V</t>
  </si>
  <si>
    <t>TENOR</t>
  </si>
  <si>
    <t>CD (Ngoai BS)</t>
  </si>
  <si>
    <t>(3)</t>
  </si>
  <si>
    <t>(4)=(1)+(2)+(3)</t>
  </si>
  <si>
    <t>FI Bond (U) (Ngoai BS)</t>
  </si>
  <si>
    <t>(6)</t>
  </si>
  <si>
    <t>(8)=(5)+(6)+(7)</t>
  </si>
  <si>
    <t>FI Bond (L) (Ngoai BS)</t>
  </si>
  <si>
    <t>(9)</t>
  </si>
  <si>
    <t>(10)</t>
  </si>
  <si>
    <t>(11)</t>
  </si>
  <si>
    <t>(12)=(9)+(10)+(11)</t>
  </si>
  <si>
    <t>(13)=(8)+(12)</t>
  </si>
  <si>
    <t xml:space="preserve">              2.3. Cơ cấu trạng thái trên cân đối</t>
  </si>
  <si>
    <t>Số PTCK GL lệch 129 tr với RPBOD3, amt không lệch</t>
  </si>
  <si>
    <t>Sửa lại rule phân tách on off BS, dùng trường TRANSACTION_STATUS để xác định deal valid hay chưa thay vì dùng trường TRADING_DATE.
Sửa lại bảng đối chiếu trên báo cáo</t>
  </si>
  <si>
    <t>AG2</t>
  </si>
  <si>
    <t>T2:Z2</t>
  </si>
  <si>
    <t>BU2</t>
  </si>
  <si>
    <t>MBBCD040227</t>
  </si>
  <si>
    <t>QLQ_SSI</t>
  </si>
  <si>
    <t>9PAY</t>
  </si>
  <si>
    <t>EVNFC010227</t>
  </si>
  <si>
    <t>ACBCD080127</t>
  </si>
  <si>
    <t>ACBCD140127</t>
  </si>
  <si>
    <t>ACBCD190127</t>
  </si>
  <si>
    <t>MSBCDRB2601</t>
  </si>
  <si>
    <t>MSBCD262701</t>
  </si>
  <si>
    <t>12/03/2027</t>
  </si>
  <si>
    <t>TCBCD251226</t>
  </si>
  <si>
    <t>QLQ_TVIET</t>
  </si>
  <si>
    <t>GL lệch 200 tỷ do deal mua sơ cấp CD GL hạch toán muộn 1 Ngày</t>
  </si>
  <si>
    <t>Có giao dịch mua CD sơ cấp không</t>
  </si>
  <si>
    <t>MSBCDRB2602</t>
  </si>
  <si>
    <t>MSBCDRB2603</t>
  </si>
  <si>
    <t>MSBCD262702</t>
  </si>
  <si>
    <t>24/03/2027</t>
  </si>
  <si>
    <t>MBBCD240227</t>
  </si>
  <si>
    <t>LPBCD241226</t>
  </si>
  <si>
    <t>LPBCD231226</t>
  </si>
  <si>
    <t>TCB2CD251226</t>
  </si>
  <si>
    <t>TCB1CD251226</t>
  </si>
  <si>
    <t>MSBCDRB2604</t>
  </si>
  <si>
    <t>CK_APG</t>
  </si>
  <si>
    <t>+/- WoW</t>
  </si>
  <si>
    <t>MSBCDRB2605</t>
  </si>
  <si>
    <t>TCBCD081026</t>
  </si>
  <si>
    <t>HDBCD231226</t>
  </si>
  <si>
    <t>HCVCD211026</t>
  </si>
  <si>
    <t>HCVCD201026</t>
  </si>
  <si>
    <t>GL ngoại bảng lệch 1,500 từ 4/3</t>
  </si>
  <si>
    <t>MSBCDRB2606</t>
  </si>
  <si>
    <t>MSBCD262703</t>
  </si>
  <si>
    <t>12/04/2027</t>
  </si>
  <si>
    <t>EVNFC160427</t>
  </si>
  <si>
    <t>MSBCDRB2607</t>
  </si>
  <si>
    <t>Outs</t>
  </si>
  <si>
    <t>Thời gian đáo hạn</t>
  </si>
  <si>
    <t>Tổng đã điều chỉnh đối ứng</t>
  </si>
  <si>
    <t>EVNFC260427</t>
  </si>
  <si>
    <t>MCCD240327</t>
  </si>
  <si>
    <t>ATL12501</t>
  </si>
  <si>
    <t>CT TNHH Đầu tư và phát triển bất động sản Phát Đạt</t>
  </si>
  <si>
    <t>CT TNHH LIÊN DOANH ĐẦU TƯ XÂY DỰNG TAM TRINH</t>
  </si>
  <si>
    <t>TCBCD091026</t>
  </si>
  <si>
    <t>LPBCD011226</t>
  </si>
  <si>
    <t>ACBCD130127</t>
  </si>
  <si>
    <t>GL lệch 400 tỷ, deal 4599 ngày 31/3. Ngày 1/4 đã hết lệch</t>
  </si>
  <si>
    <t>VFM</t>
  </si>
  <si>
    <t>CTY_ILC</t>
  </si>
  <si>
    <t>CT TNHH MTV VIPICO</t>
  </si>
  <si>
    <t>ACBCD090427</t>
  </si>
  <si>
    <t>MSBCDRB2609</t>
  </si>
  <si>
    <t>VPBCD080427</t>
  </si>
  <si>
    <t>28/10/2026</t>
  </si>
  <si>
    <t>EVNFC170527</t>
  </si>
  <si>
    <t>HCVNCD190427</t>
  </si>
  <si>
    <t>BAB12601</t>
  </si>
  <si>
    <t>MSBCD262604</t>
  </si>
  <si>
    <t>MSB12601</t>
  </si>
  <si>
    <t>TCB12603</t>
  </si>
  <si>
    <t>NHTMCP Lộc Phát Việt Nam</t>
  </si>
  <si>
    <t>MSBCD262605</t>
  </si>
  <si>
    <t>OFF BS</t>
  </si>
  <si>
    <t>T</t>
  </si>
  <si>
    <t>CTY_CAEX</t>
  </si>
  <si>
    <t>CTCP chứng khoán UP</t>
  </si>
  <si>
    <t>BCM12402</t>
  </si>
  <si>
    <t>MSB12602</t>
  </si>
  <si>
    <t>BAB12603</t>
  </si>
  <si>
    <t>VBB1Y130527</t>
  </si>
  <si>
    <t>CTCP xây dựng và năng lượng VCP</t>
  </si>
  <si>
    <t xml:space="preserve"> Fix: Query Portfolio rating — bổ sung filter BondsDeals_Id &gt; 0
Q RPBOD_B003 có filter BondsDeals_Id &gt; 0 còn query Portfolio rating thì không → 7 CD deals có Deal ID âm (BIDV, SEAV, ACBV, HDBV — tổng 4,000 tỷ) bị tính vào Rating nhưng không vào GL -&gt; Lệch 4,000 ở bảng Rating
Các deal âm ID là deal test</t>
  </si>
  <si>
    <t>MSB12603</t>
  </si>
  <si>
    <t>Data TT</t>
  </si>
  <si>
    <t>Ls DM</t>
  </si>
  <si>
    <t>FIBOND</t>
  </si>
  <si>
    <t>Coupon rate bq</t>
  </si>
  <si>
    <t>Yield bq</t>
  </si>
  <si>
    <t>Coupon rate bq_On BS</t>
  </si>
  <si>
    <t>Yield bq_On BS</t>
  </si>
  <si>
    <t>Yield*Amount</t>
  </si>
  <si>
    <t>Coupon*Amount</t>
  </si>
  <si>
    <t>FI Bond On BS</t>
  </si>
  <si>
    <t>YTM binh quan</t>
  </si>
  <si>
    <t>Total On BS</t>
  </si>
  <si>
    <r>
      <t xml:space="preserve">Tính toán và lưu trữ bổ sung yield, coupon bình quân của danh mục rủi ro (FNRP) và danh mục nội bảng (RPBOD_B003)
</t>
    </r>
    <r>
      <rPr>
        <sz val="11"/>
        <color rgb="FFFF0000"/>
        <rFont val="Calibri"/>
        <family val="2"/>
        <scheme val="minor"/>
      </rPr>
      <t>Riêng yield danh mục rủi ro chưa tính do không có sẵn list deal outstanding giống như rp_sec_pos của govbond =&gt; bổ sung sau</t>
    </r>
  </si>
  <si>
    <t>NABCD200527</t>
  </si>
  <si>
    <t>MSBCDEB2601</t>
  </si>
  <si>
    <t>AFS-EB</t>
  </si>
  <si>
    <t>GSG12203</t>
  </si>
  <si>
    <t>Sửa lại công thức tính trạng thái cover trường hợp deal đối ứng đáo hạn</t>
  </si>
  <si>
    <t>MSBCDRB2610</t>
  </si>
  <si>
    <t>HCV12602</t>
  </si>
  <si>
    <t>CK_BIDV</t>
  </si>
  <si>
    <t>CT TNHH Đầu tư Marina Center</t>
  </si>
  <si>
    <t>CTCP Chứng khoán Thiên Việt</t>
  </si>
  <si>
    <t>VHM12501</t>
  </si>
  <si>
    <r>
      <t xml:space="preserve">Tạo thêm bảng upload RPBOD03 của FIBond lên DB53
</t>
    </r>
    <r>
      <rPr>
        <b/>
        <sz val="11"/>
        <color theme="1"/>
        <rFont val="Calibri"/>
        <family val="2"/>
        <scheme val="minor"/>
      </rPr>
      <t xml:space="preserve">Code: </t>
    </r>
    <r>
      <rPr>
        <sz val="11"/>
        <color theme="1"/>
        <rFont val="Calibri"/>
        <family val="2"/>
        <scheme val="minor"/>
      </rPr>
      <t>CREATE TABLE dbo.FIBond_RPBOD03 (
    RptDate               DATE            NOT NULL,
    BondsDeals_Id         INT             NOT NULL,
    Folder                NVARCHAR(50),
    Bonds_ShortName       NVARCHAR(50),
    Issuer                NVARCHAR(50),
    Quantity              FLOAT,
    FaceValue             FLOAT,
    Face_Amount           FLOAT,
    Gross_Amount          FLOAT,
    ValueDate             DATE,
    IssueDate             DATE,
    FirstCouponDate       DATE,            
    MaturityDate          DATE,
    TenorBond             FLOAT,           
    FirstCouponRate       FLOAT,
    ThisCouponRate        FLOAT,
    Discount              FLOAT,
    Premium               FLOAT,
    Discount_Remain       FLOAT,
    Premium_Remain        FLOAT,
    ValueDate_Accred      DATE,
    Accr                  FLOAT,
    TypeOfInstr_ShortName NVARCHAR(50),
    Yield_Amount          FLOAT,
    Coupon_Amount         FLOAT
);</t>
    </r>
  </si>
  <si>
    <t>IPA12501</t>
  </si>
  <si>
    <t>7 năm</t>
  </si>
  <si>
    <t>Upload53_RPBOD03</t>
  </si>
  <si>
    <t>Upload53 RPBOD03</t>
  </si>
  <si>
    <t>CTCP Crystal Bay Việt Nam</t>
  </si>
  <si>
    <t>CTCP TỔNG CTCP ĐỊA ỐC SÀI GÒN</t>
  </si>
  <si>
    <t>Chỉ tiêu theo mệnh giá</t>
  </si>
  <si>
    <t>3. CD ( chưa điều chỉnh)</t>
  </si>
  <si>
    <t>Tổng đã điều chỉnh (= 1 + 2 + 3 - 4)</t>
  </si>
  <si>
    <t>CFCV</t>
  </si>
  <si>
    <t>ACBCD150127</t>
  </si>
  <si>
    <t>MSBCDRB2611</t>
  </si>
  <si>
    <t>CTCP ARTEMIS INVESTMENT</t>
  </si>
  <si>
    <t>CTCP ĐẦU TƯ VÀ PHÁT TRIỂN BẤT ĐỘNG SẢN MINH AN</t>
  </si>
  <si>
    <t>TRE32601</t>
  </si>
  <si>
    <t>VHM12410</t>
  </si>
  <si>
    <t>VHM12605</t>
  </si>
  <si>
    <t>CTCP MAY- DIÊM SÀI GÒN</t>
  </si>
  <si>
    <t>CTCP ĐẦU TƯ VÀ PHÁT TRIỂN HẠ TẦNG NAM QUANG</t>
  </si>
  <si>
    <t>CTCP Bất động sản Bcons PS</t>
  </si>
  <si>
    <t>CT TNHH Lạc Việt Quy Nhơn</t>
  </si>
  <si>
    <t>CTCP VINPEARL</t>
  </si>
  <si>
    <t>Điều chỉnh đối ứng</t>
  </si>
  <si>
    <t>Số tháng tiếp</t>
  </si>
  <si>
    <t>Date</t>
  </si>
  <si>
    <t>Bắt đầu tháng</t>
  </si>
  <si>
    <t>Kết thúc tháng</t>
  </si>
  <si>
    <t>Amount left</t>
  </si>
  <si>
    <t>Amount outs CD</t>
  </si>
  <si>
    <t>Amount outs FIBond</t>
  </si>
  <si>
    <t>FIBond Đáo hạn</t>
  </si>
  <si>
    <t>Yield bình quân</t>
  </si>
  <si>
    <t>VPL12601</t>
  </si>
  <si>
    <t>Indicator 1</t>
  </si>
  <si>
    <t>Indicator 2</t>
  </si>
  <si>
    <t>Est YTM T7 2026</t>
  </si>
  <si>
    <t>Est YTM T8 2026</t>
  </si>
  <si>
    <t>Est YTM T9 2026</t>
  </si>
  <si>
    <t>Est YTM T10 2026</t>
  </si>
  <si>
    <t>Est YTM T11 2026</t>
  </si>
  <si>
    <t>Est YTM T12 2026</t>
  </si>
  <si>
    <t>Est YTM T1 2026</t>
  </si>
  <si>
    <t>Est YTM T2 2026</t>
  </si>
  <si>
    <t>Est YTM T3 2026</t>
  </si>
  <si>
    <t>Est YTM T4 2026</t>
  </si>
  <si>
    <t>Est YTM T5 2026</t>
  </si>
  <si>
    <t>Est YTM T6 2026</t>
  </si>
  <si>
    <t>Est YTM T1 2027</t>
  </si>
  <si>
    <t>Est YTM T2 2027</t>
  </si>
  <si>
    <t>Est YTM T3 2027</t>
  </si>
  <si>
    <t>Est YTM T4 2027</t>
  </si>
  <si>
    <t>Est YTM T5 2027</t>
  </si>
  <si>
    <t>Est YTM T6 2027</t>
  </si>
  <si>
    <t>Est YTM T7 2027</t>
  </si>
  <si>
    <t>Est YTM T8 2027</t>
  </si>
  <si>
    <t>Est YTM T9 2027</t>
  </si>
  <si>
    <t>Est YTM T10 2027</t>
  </si>
  <si>
    <t>Est YTM T11 2027</t>
  </si>
  <si>
    <t>Est YTM T12 2027</t>
  </si>
  <si>
    <t>Est Posi OnBS T1 2026</t>
  </si>
  <si>
    <t>Est Posi OnBS T7 2026</t>
  </si>
  <si>
    <t>Est Posi OnBS T8 2026</t>
  </si>
  <si>
    <t>Est Posi OnBS T9 2026</t>
  </si>
  <si>
    <t>Est Posi OnBS T10 2026</t>
  </si>
  <si>
    <t>Est Posi OnBS T11 2026</t>
  </si>
  <si>
    <t>Est Posi OnBS T12 2026</t>
  </si>
  <si>
    <t>Est Posi OnBS T1 2027</t>
  </si>
  <si>
    <t>Est Posi OnBS T2 2027</t>
  </si>
  <si>
    <t>Est Posi OnBS T3 2027</t>
  </si>
  <si>
    <t>Est Posi OnBS T4 2027</t>
  </si>
  <si>
    <t>Est Posi OnBS T5 2027</t>
  </si>
  <si>
    <t>Est Posi OnBS T6 2027</t>
  </si>
  <si>
    <t>Est Posi OnBS T7 2027</t>
  </si>
  <si>
    <t>Est Posi OnBS T2 2026</t>
  </si>
  <si>
    <t>Est Posi OnBS T3 2026</t>
  </si>
  <si>
    <t>Est Posi OnBS T4 2026</t>
  </si>
  <si>
    <t>Est Posi OnBS T5 2026</t>
  </si>
  <si>
    <t>Est Posi OnBS T6 2026</t>
  </si>
  <si>
    <t>EIBCD250627</t>
  </si>
  <si>
    <t>QLQ_KIM</t>
  </si>
  <si>
    <t>Số tổng FIBond = số thành phần theo listed/unlisted +adj đối ứng</t>
  </si>
  <si>
    <t>MSBCD262706</t>
  </si>
  <si>
    <t>06/01/2027</t>
  </si>
  <si>
    <t>VFM_DCOA</t>
  </si>
  <si>
    <t>FIBond</t>
  </si>
  <si>
    <t>FIBond Unlisted On BS</t>
  </si>
  <si>
    <t>FIBond Listed On BS</t>
  </si>
  <si>
    <t>VIF12402</t>
  </si>
  <si>
    <t>PPCD</t>
  </si>
  <si>
    <t>Unlisted</t>
  </si>
  <si>
    <t>Listed</t>
  </si>
  <si>
    <t>Off BS</t>
  </si>
  <si>
    <t>MSBCD262708</t>
  </si>
  <si>
    <t>02/07/2027</t>
  </si>
  <si>
    <t>CTCP ĐÔ THỊ DU LỊCH CẦN GIỜ</t>
  </si>
  <si>
    <t>FNRP ITB</t>
  </si>
  <si>
    <t>FNRP BB MSB</t>
  </si>
  <si>
    <t>MARKET_VALUE</t>
  </si>
  <si>
    <t>DURATION</t>
  </si>
  <si>
    <t>REALIZED_CUR</t>
  </si>
  <si>
    <t>UNREALIZED_CUR</t>
  </si>
  <si>
    <t>avg yield</t>
  </si>
  <si>
    <t>SOM KYRGYZSTAN</t>
  </si>
  <si>
    <t>GBA05310713</t>
  </si>
  <si>
    <t>GOVBOND</t>
  </si>
  <si>
    <t>13/07/2031</t>
  </si>
  <si>
    <t>Alldealps ITB</t>
  </si>
  <si>
    <t>TradeDate</t>
  </si>
  <si>
    <t>SettlementDate</t>
  </si>
  <si>
    <t>DealType</t>
  </si>
  <si>
    <t>Cpty_ShortName</t>
  </si>
  <si>
    <t>Issuer Counterparty</t>
  </si>
  <si>
    <t>CouponRate</t>
  </si>
  <si>
    <t>Yield</t>
  </si>
  <si>
    <t>Accural</t>
  </si>
  <si>
    <t>GrossAmount</t>
  </si>
  <si>
    <t>ClearingModes_ShortName</t>
  </si>
  <si>
    <t>OurCorres</t>
  </si>
  <si>
    <t>Column19</t>
  </si>
  <si>
    <t>Column20</t>
  </si>
  <si>
    <t>CaptureDate</t>
  </si>
  <si>
    <t>Folders_ShortName</t>
  </si>
  <si>
    <t>BOCaptureDate</t>
  </si>
  <si>
    <t>LegalStatus_Id</t>
  </si>
  <si>
    <t>NoExDividendDays</t>
  </si>
  <si>
    <t>MFKR</t>
  </si>
  <si>
    <t>KGS</t>
  </si>
  <si>
    <t>Trạng thái Bond ITB</t>
  </si>
  <si>
    <t>Tỷ giá</t>
  </si>
  <si>
    <t>Rptdate</t>
  </si>
  <si>
    <t>Tygia</t>
  </si>
  <si>
    <t>Ref</t>
  </si>
  <si>
    <t>Nominal_VND</t>
  </si>
  <si>
    <t>MarketValue_VND</t>
  </si>
  <si>
    <t>TPCP KGS</t>
  </si>
  <si>
    <t>FIBond KGS</t>
  </si>
  <si>
    <t>4. ITB</t>
  </si>
  <si>
    <t>5. Giảm trừ đối ứng</t>
  </si>
  <si>
    <t>Tổng chưa điều chỉnh (=1 + 2 + 3 + 4)</t>
  </si>
  <si>
    <t>GPHO</t>
  </si>
  <si>
    <t>Dealps_ITB</t>
  </si>
  <si>
    <t>Có dealps đầu tư nước ngoài mới không</t>
  </si>
  <si>
    <t>MSBCD262707</t>
  </si>
  <si>
    <t>12/01/2027</t>
  </si>
  <si>
    <t>SCR12401</t>
  </si>
  <si>
    <t>3 yrs &lt;= duration &lt; 5 yrs</t>
  </si>
  <si>
    <t>ITB</t>
  </si>
  <si>
    <t>≤ 45,000</t>
  </si>
  <si>
    <r>
      <t>- Tại ngày BC, tổng trạng thái FIBond &amp; CD</t>
    </r>
    <r>
      <rPr>
        <sz val="11"/>
        <color theme="1"/>
        <rFont val="Calibri"/>
        <family val="2"/>
        <scheme val="minor"/>
      </rPr>
      <t xml:space="preserve"> hiện ở mức 40,039 tỷ và chiếm 89% hạn mức (theo hạn mức phê duyệt 45k tỷ của TGĐ) </t>
    </r>
    <r>
      <rPr>
        <i/>
        <sz val="11"/>
        <color theme="1"/>
        <rFont val="Calibri"/>
        <family val="2"/>
        <scheme val="minor"/>
      </rPr>
      <t xml:space="preserve">
(*) Chi tiết deal phsinh, xóa sửa và đáo hạn tại ngày BC ở mục 2.4.
(**) Số FIBond &amp; CD đã được điều chỉnh deal đối ứng</t>
    </r>
  </si>
  <si>
    <t>VHA32107</t>
  </si>
  <si>
    <t>VHM12611</t>
  </si>
  <si>
    <t>CAM KET MUA GTCG</t>
  </si>
  <si>
    <t>VHM12502</t>
  </si>
  <si>
    <t>VIC12502</t>
  </si>
  <si>
    <t>CTCP phát triển Bất động sản Hưng Long</t>
  </si>
  <si>
    <t>IPA12402</t>
  </si>
  <si>
    <t>VHM12401</t>
  </si>
  <si>
    <t>Có deal xóa sửa không</t>
  </si>
  <si>
    <t>GBA05310727</t>
  </si>
  <si>
    <t>27/07/2031</t>
  </si>
  <si>
    <t>Nội bảng KGS</t>
  </si>
  <si>
    <t>CURRENCY_CODE</t>
  </si>
  <si>
    <t>DƯ CUỐI VND</t>
  </si>
  <si>
    <t>DTU VAO CKHOAN CTY D/HAN CUA NNG</t>
  </si>
  <si>
    <t>CHIẾT KHẤU CHỨNG KHOÁN NỢ NƯỚC NGOÀI ĐẦU TƯ SẴN SÀNG ĐỂ BÁN</t>
  </si>
  <si>
    <t>LAI CDON DTHU CK NO NUOC NGOAI DT SS BAN</t>
  </si>
  <si>
    <t>Ngoại bảng KGS</t>
  </si>
  <si>
    <t>(1)+(5)+(14)</t>
  </si>
  <si>
    <t>(1)+(5)+(9)+(14)</t>
  </si>
  <si>
    <t>(14)</t>
  </si>
  <si>
    <t>Gross amt (VND)</t>
  </si>
  <si>
    <t>Gross amt (KGS)</t>
  </si>
  <si>
    <t>CTCP TẬP ĐOÀN TRƯỜNG HẢI</t>
  </si>
  <si>
    <t>CT TNHH PARKLAND 53</t>
  </si>
  <si>
    <t>VHM12607</t>
  </si>
  <si>
    <t>PCB12601</t>
  </si>
  <si>
    <t>GL Bond KGS</t>
  </si>
  <si>
    <t>Check GL Bond KGS</t>
  </si>
  <si>
    <t>HNV32202</t>
  </si>
  <si>
    <t>MAD12602</t>
  </si>
  <si>
    <t>NLG12404</t>
  </si>
  <si>
    <t>TRM12503</t>
  </si>
  <si>
    <t>FIBond Unlisted Ngoai BS</t>
  </si>
  <si>
    <t>N</t>
  </si>
  <si>
    <t>CT TNHH XÂY DỰNG HẠ TẦNG CRYSTAL</t>
  </si>
  <si>
    <t>CIC12601</t>
  </si>
  <si>
    <t>VHM12409</t>
  </si>
  <si>
    <t>VIF12401</t>
  </si>
  <si>
    <t>VHA32106</t>
  </si>
  <si>
    <t>VHM12503</t>
  </si>
  <si>
    <t>TCBCD051026</t>
  </si>
  <si>
    <t>MBBCD191026</t>
  </si>
  <si>
    <t>AVN32401</t>
  </si>
  <si>
    <t>ORS12202</t>
  </si>
  <si>
    <t>SSA12104</t>
  </si>
  <si>
    <t>CK_JBSV</t>
  </si>
  <si>
    <t>AVN32501</t>
  </si>
  <si>
    <t>DIT22401</t>
  </si>
  <si>
    <t>DRT12402</t>
  </si>
  <si>
    <t>VHM12601</t>
  </si>
  <si>
    <t>IPA12403</t>
  </si>
  <si>
    <t>BS_KGS</t>
  </si>
  <si>
    <t>offBS_KGS</t>
  </si>
  <si>
    <t>STBCD050827</t>
  </si>
  <si>
    <t>MCCD060827</t>
  </si>
  <si>
    <t>MSG32503</t>
  </si>
  <si>
    <t>VHA32105</t>
  </si>
  <si>
    <t>CGT12601</t>
  </si>
  <si>
    <t>HTL12501</t>
  </si>
  <si>
    <t>NLG12402</t>
  </si>
  <si>
    <t>VBB1Y180527</t>
  </si>
  <si>
    <t>LPBCD160827</t>
  </si>
  <si>
    <t>MRE32105</t>
  </si>
  <si>
    <t>VBBCD180527</t>
  </si>
  <si>
    <t>ACBCD021226</t>
  </si>
  <si>
    <t>AVN32503</t>
  </si>
  <si>
    <t>MRE32102</t>
  </si>
  <si>
    <t>SGG12101</t>
  </si>
  <si>
    <t>VIF12501</t>
  </si>
  <si>
    <t>VNG12401</t>
  </si>
  <si>
    <t>WDL12101</t>
  </si>
  <si>
    <t>MBVCD180827</t>
  </si>
  <si>
    <t>MBVCD2180827</t>
  </si>
  <si>
    <t>VHM12407</t>
  </si>
  <si>
    <t>VHM12609</t>
  </si>
  <si>
    <t>VIO32502</t>
  </si>
  <si>
    <t>BAF12501</t>
  </si>
  <si>
    <t>HNV32201</t>
  </si>
  <si>
    <t>VHA32108</t>
  </si>
  <si>
    <t>Currencies_ShortName</t>
  </si>
  <si>
    <t>VND</t>
  </si>
  <si>
    <t>AFS-ITB</t>
  </si>
  <si>
    <t>GBP</t>
  </si>
  <si>
    <t>USD</t>
  </si>
  <si>
    <t>JPY</t>
  </si>
  <si>
    <t>AUD</t>
  </si>
  <si>
    <t>CHF</t>
  </si>
  <si>
    <t>CAD</t>
  </si>
  <si>
    <t>EUR</t>
  </si>
  <si>
    <t>HKD</t>
  </si>
  <si>
    <t>SGD</t>
  </si>
  <si>
    <t>THB</t>
  </si>
  <si>
    <t>NOK</t>
  </si>
  <si>
    <t>SEK</t>
  </si>
  <si>
    <t>XAU</t>
  </si>
  <si>
    <t>DKK</t>
  </si>
  <si>
    <t>CNY</t>
  </si>
  <si>
    <t>NZD</t>
  </si>
  <si>
    <t>TWD</t>
  </si>
  <si>
    <t>UV1</t>
  </si>
  <si>
    <t>UV2</t>
  </si>
  <si>
    <t>MYR</t>
  </si>
  <si>
    <t>KRW</t>
  </si>
  <si>
    <t>RUB</t>
  </si>
  <si>
    <t>TRY</t>
  </si>
  <si>
    <t>LKR</t>
  </si>
  <si>
    <t>BND</t>
  </si>
  <si>
    <t>INR</t>
  </si>
  <si>
    <t>IDR</t>
  </si>
  <si>
    <t>PHP</t>
  </si>
  <si>
    <t>KHR</t>
  </si>
  <si>
    <t>LAK</t>
  </si>
  <si>
    <t>MMK</t>
  </si>
  <si>
    <t>FJD</t>
  </si>
  <si>
    <t>CZK</t>
  </si>
  <si>
    <t>PLN</t>
  </si>
  <si>
    <t>AED</t>
  </si>
  <si>
    <t>HUF</t>
  </si>
  <si>
    <t>ZAR</t>
  </si>
  <si>
    <t>TCBCD0251226</t>
  </si>
  <si>
    <t>GSG12501</t>
  </si>
  <si>
    <t>HUT32401</t>
  </si>
  <si>
    <t>TSO12603</t>
  </si>
  <si>
    <t>VHM12612</t>
  </si>
  <si>
    <t>VIC12510</t>
  </si>
  <si>
    <t>VIC12511</t>
  </si>
  <si>
    <t>FNRP_ITB_2</t>
  </si>
  <si>
    <t>X2</t>
  </si>
  <si>
    <t>HCVL12606</t>
  </si>
  <si>
    <t>ACBCD290127</t>
  </si>
  <si>
    <t>ACBCD070527</t>
  </si>
  <si>
    <t>DPQ12207</t>
  </si>
  <si>
    <t>IPA12405</t>
  </si>
  <si>
    <t>OLC32501</t>
  </si>
  <si>
    <t>TNF32103</t>
  </si>
  <si>
    <t>TSO12602</t>
  </si>
  <si>
    <t>TVR32503</t>
  </si>
  <si>
    <t>Done step: Upload RPBOD03</t>
  </si>
  <si>
    <t>R</t>
  </si>
  <si>
    <t>DPQ12205</t>
  </si>
  <si>
    <t>MSN12203</t>
  </si>
  <si>
    <t>ORS12501</t>
  </si>
  <si>
    <t>SBP12205</t>
  </si>
  <si>
    <t>TNF32101</t>
  </si>
  <si>
    <t>TRE32501</t>
  </si>
  <si>
    <t>VHA32109</t>
  </si>
  <si>
    <t>VIC12509</t>
  </si>
  <si>
    <t>Check yield có lỗi không</t>
  </si>
  <si>
    <t>VABCD190827</t>
  </si>
  <si>
    <t>MSG32502</t>
  </si>
  <si>
    <t>MSG32504</t>
  </si>
  <si>
    <t>ORS12203</t>
  </si>
  <si>
    <t>VHA32103</t>
  </si>
  <si>
    <t>VHM12408</t>
  </si>
  <si>
    <t>SHBL12601</t>
  </si>
  <si>
    <t>AVN32502</t>
  </si>
  <si>
    <t>HDB12411</t>
  </si>
  <si>
    <t>7-10 năm</t>
  </si>
  <si>
    <t>MSG32505</t>
  </si>
  <si>
    <t>TNF32102</t>
  </si>
  <si>
    <t>TNR32104</t>
  </si>
  <si>
    <t>CTCP PHÁT TRIỂN THÀNH PHỐ XANH</t>
  </si>
  <si>
    <t>VHA32102</t>
  </si>
  <si>
    <t>STBL12609</t>
  </si>
  <si>
    <t>ACB12602</t>
  </si>
  <si>
    <t>BHB12501</t>
  </si>
  <si>
    <t>BNC12601</t>
  </si>
  <si>
    <t>DPQ12203</t>
  </si>
  <si>
    <t>DPQ12501</t>
  </si>
  <si>
    <t>HDB12426</t>
  </si>
  <si>
    <t>HDB12427</t>
  </si>
  <si>
    <t>HDB12428</t>
  </si>
  <si>
    <t>P5332601</t>
  </si>
  <si>
    <t>SSA12105</t>
  </si>
  <si>
    <t>TDR12601</t>
  </si>
  <si>
    <t>TN112401</t>
  </si>
  <si>
    <t>TSO12604</t>
  </si>
  <si>
    <t>TVR32501</t>
  </si>
  <si>
    <t>TVR32504</t>
  </si>
  <si>
    <t>TVR32505</t>
  </si>
  <si>
    <t>VIO32503</t>
  </si>
  <si>
    <t>BCM12404</t>
  </si>
  <si>
    <t>BCM12407</t>
  </si>
  <si>
    <t>BCM12408</t>
  </si>
  <si>
    <t>BID12511</t>
  </si>
  <si>
    <t>CII12402</t>
  </si>
  <si>
    <t>CII12504</t>
  </si>
  <si>
    <t>DPQ12201</t>
  </si>
  <si>
    <t>DRT12502</t>
  </si>
  <si>
    <t>EDI12301</t>
  </si>
  <si>
    <t>HDB12408</t>
  </si>
  <si>
    <t>HDB12409</t>
  </si>
  <si>
    <t>HDB12417</t>
  </si>
  <si>
    <t>HDB12420</t>
  </si>
  <si>
    <t>HDB12423</t>
  </si>
  <si>
    <t>HDB12424</t>
  </si>
  <si>
    <t>HDB12425</t>
  </si>
  <si>
    <t>MRE32104</t>
  </si>
  <si>
    <t>MSG32508</t>
  </si>
  <si>
    <t>NLG12304</t>
  </si>
  <si>
    <t>NLG12501</t>
  </si>
  <si>
    <t>NTJ12601</t>
  </si>
  <si>
    <t>RHG12101</t>
  </si>
  <si>
    <t>RHG12102</t>
  </si>
  <si>
    <t>SBP12203</t>
  </si>
  <si>
    <t>SBT12401</t>
  </si>
  <si>
    <t>STB12402</t>
  </si>
  <si>
    <t>TAT32501</t>
  </si>
  <si>
    <t>TCX12501</t>
  </si>
  <si>
    <t>TNE12201</t>
  </si>
  <si>
    <t>TNU12101</t>
  </si>
  <si>
    <t>VCBL12608</t>
  </si>
  <si>
    <t>VHA32101</t>
  </si>
  <si>
    <t>VHA32104</t>
  </si>
  <si>
    <t>VIB12410</t>
  </si>
  <si>
    <t>VIB12504</t>
  </si>
  <si>
    <t>VIB12505</t>
  </si>
  <si>
    <t>VJC12401</t>
  </si>
  <si>
    <t>VJC12403</t>
  </si>
  <si>
    <t>VJC12404</t>
  </si>
  <si>
    <t>VJC12407</t>
  </si>
  <si>
    <t>VPI12603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</si>
</sst>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_(* \(#,##0\);_(* &quot;-&quot;_);_(@_)"/>
    <numFmt numFmtId="43" formatCode="_(* #,##0.00_);_(* \(#,##0.00\);_(* &quot;-&quot;??_);_(@_)"/>
    <numFmt numFmtId="164" formatCode="_-* #,##0.00_-;\-* #,##0.00_-;_-* &quot;-&quot;??_-;_-@_-"/>
    <numFmt numFmtId="165" formatCode="_(* #,##0_);_(* \(#,##0\);_(* &quot;-&quot;??_);_(@_)"/>
    <numFmt numFmtId="166" formatCode="_(* #,##0.0_);_(* \(#,##0.0\);_(* &quot;-&quot;??_);_(@_)"/>
    <numFmt numFmtId="167" formatCode="_(* #,##0.000_);_(* \(#,##0.000\);_(* &quot;-&quot;??_);_(@_)"/>
    <numFmt numFmtId="168" formatCode="[$-409]mmm\-yy;@"/>
    <numFmt numFmtId="169" formatCode="[$-409]d\-mmm;@"/>
    <numFmt numFmtId="170" formatCode="_(* #,##0.00000_);_(* \(#,##0.00000\);_(* &quot;-&quot;??_);_(@_)"/>
    <numFmt numFmtId="171" formatCode="dd/mm/yyyy"/>
    <numFmt numFmtId="172" formatCode="0.0000%"/>
    <numFmt numFmtId="173" formatCode="_(* #,##0.000_);_(* \(#,##0.000\);_(* &quot;-&quot;_);_(@_)"/>
    <numFmt numFmtId="174" formatCode="_(* #,##0.00000000_);_(* \(#,##0.00000000\);_(* &quot;-&quot;_);_(@_)"/>
    <numFmt numFmtId="175" formatCode="0.00000%"/>
    <numFmt numFmtId="176" formatCode="_-* #,##0_-;\-* #,##0_-;_-* &quot;-&quot;??_-;_-@_-"/>
    <numFmt numFmtId="177" formatCode="_(* #,##0.00_);_(* \(#,##0.00\);_(* &quot;-&quot;_);_(@_)"/>
  </numFmts>
  <fonts count="47" x14ac:knownFonts="1">
    <font>
      <sz val="11"/>
      <color theme="1"/>
      <name val="Calibri"/>
      <family val="2"/>
      <scheme val="minor"/>
    </font>
    <font>
      <u/>
      <sz val="11"/>
      <color theme="10"/>
      <name val="Calibri"/>
      <family val="2"/>
      <scheme val="minor"/>
    </font>
    <font>
      <b/>
      <sz val="10"/>
      <color theme="0"/>
      <name val="Arial"/>
      <family val="2"/>
    </font>
    <font>
      <sz val="10"/>
      <color theme="1"/>
      <name val="Arial"/>
      <family val="2"/>
    </font>
    <font>
      <sz val="10"/>
      <color rgb="FFFF0000"/>
      <name val="Arial"/>
      <family val="2"/>
    </font>
    <font>
      <sz val="10"/>
      <color theme="10"/>
      <name val="Arial"/>
      <family val="2"/>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0"/>
      <name val="Arial"/>
      <family val="2"/>
    </font>
    <font>
      <b/>
      <sz val="11"/>
      <color rgb="FFFF0000"/>
      <name val="Calibri"/>
      <family val="2"/>
      <scheme val="minor"/>
    </font>
    <font>
      <b/>
      <sz val="10"/>
      <color theme="1"/>
      <name val="Arial"/>
      <family val="2"/>
    </font>
    <font>
      <b/>
      <sz val="11"/>
      <name val="Calibri"/>
      <family val="2"/>
      <scheme val="minor"/>
    </font>
    <font>
      <sz val="11"/>
      <name val="Calibri"/>
      <family val="2"/>
      <scheme val="minor"/>
    </font>
    <font>
      <b/>
      <sz val="10"/>
      <color indexed="9"/>
      <name val="Arial"/>
      <family val="2"/>
    </font>
    <font>
      <sz val="8"/>
      <name val="Calibri"/>
      <family val="2"/>
      <scheme val="minor"/>
    </font>
    <font>
      <sz val="10"/>
      <color theme="1"/>
      <name val="Tahoma"/>
      <family val="2"/>
    </font>
    <font>
      <sz val="10"/>
      <color theme="1"/>
      <name val="Arial"/>
      <family val="2"/>
    </font>
    <font>
      <sz val="13"/>
      <color theme="1"/>
      <name val="Times New Roman"/>
      <family val="2"/>
    </font>
    <font>
      <b/>
      <sz val="11"/>
      <color rgb="FFFA4E23"/>
      <name val="Calibri"/>
      <family val="2"/>
      <scheme val="minor"/>
    </font>
    <font>
      <sz val="11"/>
      <color rgb="FFFA4E23"/>
      <name val="Calibri"/>
      <family val="2"/>
      <scheme val="minor"/>
    </font>
    <font>
      <b/>
      <sz val="18"/>
      <color rgb="FFFF0000"/>
      <name val="Calibri"/>
      <family val="2"/>
      <scheme val="minor"/>
    </font>
    <font>
      <i/>
      <sz val="11"/>
      <color theme="1"/>
      <name val="Calibri"/>
      <family val="2"/>
      <scheme val="minor"/>
    </font>
    <font>
      <b/>
      <i/>
      <sz val="11"/>
      <color theme="9" tint="-0.249977111117893"/>
      <name val="Calibri"/>
      <family val="2"/>
      <scheme val="minor"/>
    </font>
    <font>
      <i/>
      <sz val="11"/>
      <name val="Calibri"/>
      <family val="2"/>
      <scheme val="minor"/>
    </font>
    <font>
      <sz val="11"/>
      <color rgb="FF000000"/>
      <name val="Calibri"/>
      <family val="2"/>
      <scheme val="minor"/>
    </font>
    <font>
      <sz val="8"/>
      <color theme="1"/>
      <name val="Calibri"/>
      <family val="2"/>
      <scheme val="minor"/>
    </font>
    <font>
      <i/>
      <sz val="11"/>
      <color rgb="FFFF0000"/>
      <name val="Calibri"/>
      <family val="2"/>
      <scheme val="minor"/>
    </font>
    <font>
      <sz val="10"/>
      <color theme="1"/>
      <name val="Arial"/>
      <family val="2"/>
    </font>
    <font>
      <sz val="11"/>
      <name val="Aptos Narrow"/>
      <family val="2"/>
    </font>
    <font>
      <sz val="11"/>
      <color rgb="FF00B050"/>
      <name val="Calibri"/>
      <family val="2"/>
      <scheme val="minor"/>
    </font>
    <font>
      <b/>
      <sz val="11"/>
      <color rgb="FF00B050"/>
      <name val="Calibri"/>
      <family val="2"/>
      <scheme val="minor"/>
    </font>
    <font>
      <b/>
      <u/>
      <sz val="11"/>
      <color rgb="FFC00000"/>
      <name val="Calibri"/>
      <family val="2"/>
      <scheme val="minor"/>
    </font>
    <font>
      <b/>
      <sz val="11"/>
      <color rgb="FFC00000"/>
      <name val="Calibri"/>
      <family val="2"/>
      <scheme val="minor"/>
    </font>
    <font>
      <sz val="9"/>
      <color indexed="81"/>
      <name val="Tahoma"/>
      <family val="2"/>
    </font>
    <font>
      <b/>
      <sz val="9"/>
      <color indexed="81"/>
      <name val="Tahoma"/>
      <family val="2"/>
    </font>
    <font>
      <sz val="11"/>
      <color theme="0"/>
      <name val="Calibri"/>
      <family val="2"/>
      <scheme val="minor"/>
    </font>
    <font>
      <sz val="11"/>
      <color rgb="FFEE0000"/>
      <name val="Calibri"/>
      <family val="2"/>
      <scheme val="minor"/>
    </font>
    <font>
      <b/>
      <sz val="11"/>
      <color rgb="FFEE0000"/>
      <name val="Calibri"/>
      <family val="2"/>
      <scheme val="minor"/>
    </font>
    <font>
      <sz val="10"/>
      <color theme="1"/>
      <name val="Arial"/>
      <family val="2"/>
    </font>
    <font>
      <sz val="9"/>
      <color indexed="81"/>
      <name val="Tahoma"/>
      <family val="2"/>
    </font>
    <font>
      <b/>
      <sz val="9"/>
      <color indexed="81"/>
      <name val="Tahoma"/>
      <family val="2"/>
    </font>
    <font>
      <b/>
      <i/>
      <sz val="11"/>
      <color rgb="FFFF0000"/>
      <name val="Calibri"/>
      <family val="2"/>
      <scheme val="minor"/>
    </font>
    <font>
      <sz val="10"/>
      <color theme="1"/>
      <name val="Arial"/>
      <family val="2"/>
    </font>
    <font>
      <b/>
      <sz val="11"/>
      <color theme="0"/>
      <name val="Arial"/>
      <family val="2"/>
    </font>
    <font>
      <sz val="10"/>
      <color theme="1"/>
      <name val="Arial"/>
      <family val="2"/>
    </font>
  </fonts>
  <fills count="21">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indexed="58"/>
        <bgColor indexed="64"/>
      </patternFill>
    </fill>
    <fill>
      <patternFill patternType="solid">
        <fgColor theme="5" tint="0.59999389629810485"/>
        <bgColor indexed="64"/>
      </patternFill>
    </fill>
    <fill>
      <patternFill patternType="solid">
        <fgColor rgb="FFFF0000"/>
        <bgColor indexed="64"/>
      </patternFill>
    </fill>
    <fill>
      <patternFill patternType="solid">
        <fgColor theme="2"/>
        <bgColor indexed="64"/>
      </patternFill>
    </fill>
    <fill>
      <patternFill patternType="solid">
        <fgColor theme="0" tint="-4.9989318521683403E-2"/>
        <bgColor indexed="64"/>
      </patternFill>
    </fill>
    <fill>
      <patternFill patternType="solid">
        <fgColor theme="4"/>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7" tint="0.39997558519241921"/>
        <bgColor indexed="64"/>
      </patternFill>
    </fill>
    <fill>
      <patternFill patternType="solid">
        <fgColor theme="5" tint="-0.249977111117893"/>
        <bgColor indexed="64"/>
      </patternFill>
    </fill>
  </fills>
  <borders count="67">
    <border>
      <left/>
      <right/>
      <top/>
      <bottom/>
      <diagonal/>
    </border>
    <border>
      <left style="thin">
        <color theme="4"/>
      </left>
      <right/>
      <top/>
      <bottom/>
      <diagonal/>
    </border>
    <border>
      <left/>
      <right style="thin">
        <color theme="4"/>
      </right>
      <top/>
      <bottom/>
      <diagonal/>
    </border>
    <border>
      <left style="thin">
        <color theme="4"/>
      </left>
      <right/>
      <top style="thin">
        <color theme="4"/>
      </top>
      <bottom/>
      <diagonal/>
    </border>
    <border>
      <left/>
      <right style="thin">
        <color theme="4"/>
      </right>
      <top style="thin">
        <color theme="4"/>
      </top>
      <bottom/>
      <diagonal/>
    </border>
    <border>
      <left style="thin">
        <color auto="1"/>
      </left>
      <right style="thin">
        <color auto="1"/>
      </right>
      <top style="thin">
        <color auto="1"/>
      </top>
      <bottom style="thin">
        <color auto="1"/>
      </bottom>
      <diagonal/>
    </border>
    <border>
      <left style="thin">
        <color indexed="58"/>
      </left>
      <right style="thin">
        <color indexed="58"/>
      </right>
      <top style="thin">
        <color indexed="58"/>
      </top>
      <bottom style="thin">
        <color indexed="5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tint="-0.34998626667073579"/>
      </left>
      <right/>
      <top/>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77111117893"/>
      </left>
      <right/>
      <top/>
      <bottom/>
      <diagonal/>
    </border>
    <border>
      <left/>
      <right style="thin">
        <color theme="0" tint="-0.34998626667073579"/>
      </right>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right style="thin">
        <color theme="2" tint="-0.249977111117893"/>
      </right>
      <top/>
      <bottom/>
      <diagonal/>
    </border>
    <border>
      <left/>
      <right/>
      <top/>
      <bottom style="thin">
        <color theme="2" tint="-0.249977111117893"/>
      </bottom>
      <diagonal/>
    </border>
    <border>
      <left/>
      <right style="thin">
        <color theme="2" tint="-0.249977111117893"/>
      </right>
      <top/>
      <bottom style="thin">
        <color theme="2" tint="-0.249977111117893"/>
      </bottom>
      <diagonal/>
    </border>
    <border>
      <left style="thin">
        <color theme="0" tint="-0.34998626667073579"/>
      </left>
      <right style="thin">
        <color theme="0" tint="-0.34998626667073579"/>
      </right>
      <top style="thin">
        <color theme="2" tint="-0.249977111117893"/>
      </top>
      <bottom/>
      <diagonal/>
    </border>
    <border>
      <left style="thin">
        <color theme="0" tint="-0.34998626667073579"/>
      </left>
      <right/>
      <top style="thin">
        <color theme="2" tint="-0.249977111117893"/>
      </top>
      <bottom/>
      <diagonal/>
    </border>
    <border>
      <left/>
      <right/>
      <top style="thin">
        <color theme="2" tint="-0.249977111117893"/>
      </top>
      <bottom/>
      <diagonal/>
    </border>
    <border>
      <left/>
      <right style="thin">
        <color theme="2" tint="-0.249977111117893"/>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diagonal/>
    </border>
    <border>
      <left/>
      <right style="thin">
        <color rgb="FFFA4E23"/>
      </right>
      <top/>
      <bottom/>
      <diagonal/>
    </border>
    <border>
      <left/>
      <right style="thin">
        <color rgb="FFFA4E23"/>
      </right>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bottom/>
      <diagonal/>
    </border>
    <border>
      <left style="thin">
        <color rgb="FFFA4E23"/>
      </left>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rgb="FFFA4E23"/>
      </left>
      <right style="thin">
        <color rgb="FFFA4E23"/>
      </right>
      <top style="thin">
        <color rgb="FFFA4E23"/>
      </top>
      <bottom style="thin">
        <color rgb="FFFA4E23"/>
      </bottom>
      <diagonal/>
    </border>
    <border>
      <left/>
      <right/>
      <top style="thin">
        <color rgb="FFFA4E2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style="thin">
        <color theme="0" tint="-0.34998626667073579"/>
      </right>
      <top style="thin">
        <color theme="0" tint="-0.249977111117893"/>
      </top>
      <bottom/>
      <diagonal/>
    </border>
    <border>
      <left style="thin">
        <color theme="9"/>
      </left>
      <right/>
      <top style="thin">
        <color theme="9"/>
      </top>
      <bottom/>
      <diagonal/>
    </border>
    <border>
      <left/>
      <right/>
      <top style="thin">
        <color theme="9"/>
      </top>
      <bottom/>
      <diagonal/>
    </border>
    <border>
      <left/>
      <right style="thin">
        <color theme="0" tint="-0.34998626667073579"/>
      </right>
      <top/>
      <bottom style="hair">
        <color theme="0" tint="-0.34998626667073579"/>
      </bottom>
      <diagonal/>
    </border>
    <border>
      <left/>
      <right/>
      <top/>
      <bottom style="hair">
        <color theme="0" tint="-0.34998626667073579"/>
      </bottom>
      <diagonal/>
    </border>
    <border>
      <left style="hair">
        <color theme="0" tint="-0.34998626667073579"/>
      </left>
      <right/>
      <top style="thin">
        <color theme="0" tint="-0.34998626667073579"/>
      </top>
      <bottom style="thin">
        <color theme="0" tint="-0.34998626667073579"/>
      </bottom>
      <diagonal/>
    </border>
    <border>
      <left style="hair">
        <color theme="0" tint="-0.34998626667073579"/>
      </left>
      <right/>
      <top/>
      <bottom/>
      <diagonal/>
    </border>
    <border>
      <left style="hair">
        <color theme="0" tint="-0.34998626667073579"/>
      </left>
      <right/>
      <top/>
      <bottom style="thin">
        <color theme="0" tint="-0.34998626667073579"/>
      </bottom>
      <diagonal/>
    </border>
    <border>
      <left style="hair">
        <color theme="0" tint="-0.34998626667073579"/>
      </left>
      <right/>
      <top/>
      <bottom style="hair">
        <color theme="0" tint="-0.34998626667073579"/>
      </bottom>
      <diagonal/>
    </border>
    <border>
      <left/>
      <right style="thin">
        <color theme="0" tint="-0.249977111117893"/>
      </right>
      <top/>
      <bottom style="thin">
        <color theme="0" tint="-0.249977111117893"/>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s>
  <cellStyleXfs count="10">
    <xf numFmtId="0" fontId="0" fillId="0" borderId="0"/>
    <xf numFmtId="0" fontId="1" fillId="0" borderId="0" applyNumberFormat="0" applyFill="0" applyBorder="0" applyAlignment="0" applyProtection="0"/>
    <xf numFmtId="164" fontId="6" fillId="0" borderId="0" applyFont="0" applyFill="0" applyBorder="0" applyAlignment="0" applyProtection="0"/>
    <xf numFmtId="164" fontId="6" fillId="0" borderId="0"/>
    <xf numFmtId="168" fontId="15" fillId="4" borderId="6" applyNumberFormat="0" applyFont="0" applyFill="0" applyBorder="0" applyAlignment="0" applyProtection="0">
      <alignment vertical="center"/>
    </xf>
    <xf numFmtId="9" fontId="6" fillId="0" borderId="0" applyFont="0" applyFill="0" applyBorder="0" applyAlignment="0" applyProtection="0"/>
    <xf numFmtId="164" fontId="17" fillId="0" borderId="0" applyFont="0" applyFill="0" applyBorder="0" applyAlignment="0" applyProtection="0"/>
    <xf numFmtId="9" fontId="17" fillId="0" borderId="0" applyFont="0" applyFill="0" applyBorder="0" applyAlignment="0" applyProtection="0"/>
    <xf numFmtId="168" fontId="19" fillId="0" borderId="0"/>
    <xf numFmtId="41" fontId="6" fillId="0" borderId="0" applyFont="0" applyFill="0" applyBorder="0" applyAlignment="0" applyProtection="0"/>
  </cellStyleXfs>
  <cellXfs count="513">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3" fillId="0" borderId="3" xfId="0" applyFont="1" applyBorder="1" applyAlignment="1">
      <alignment horizontal="center" vertical="center"/>
    </xf>
    <xf numFmtId="0" fontId="3" fillId="0" borderId="3" xfId="0" applyFont="1" applyBorder="1" applyAlignment="1">
      <alignment vertical="center"/>
    </xf>
    <xf numFmtId="14" fontId="3" fillId="3" borderId="4" xfId="0" applyNumberFormat="1" applyFont="1" applyFill="1" applyBorder="1" applyAlignment="1">
      <alignment vertical="center"/>
    </xf>
    <xf numFmtId="14" fontId="4" fillId="0" borderId="4" xfId="0" applyNumberFormat="1" applyFont="1" applyBorder="1" applyAlignment="1">
      <alignment vertical="center"/>
    </xf>
    <xf numFmtId="0" fontId="3" fillId="0" borderId="0" xfId="0" applyFont="1"/>
    <xf numFmtId="14" fontId="4" fillId="0" borderId="0" xfId="0" applyNumberFormat="1" applyFont="1"/>
    <xf numFmtId="0" fontId="3" fillId="0" borderId="0" xfId="0" quotePrefix="1" applyFont="1"/>
    <xf numFmtId="14" fontId="4" fillId="0" borderId="0" xfId="1" quotePrefix="1" applyNumberFormat="1" applyFont="1"/>
    <xf numFmtId="0" fontId="5" fillId="0" borderId="0" xfId="1" applyFont="1"/>
    <xf numFmtId="0" fontId="10" fillId="0" borderId="0" xfId="1" applyFont="1"/>
    <xf numFmtId="0" fontId="9" fillId="3" borderId="0" xfId="0" applyFont="1" applyFill="1"/>
    <xf numFmtId="165" fontId="0" fillId="0" borderId="0" xfId="2" applyNumberFormat="1" applyFont="1"/>
    <xf numFmtId="0" fontId="8" fillId="0" borderId="0" xfId="0" applyFont="1"/>
    <xf numFmtId="0" fontId="3" fillId="0" borderId="5" xfId="0" applyFont="1" applyBorder="1" applyAlignment="1">
      <alignment horizontal="center" vertical="center"/>
    </xf>
    <xf numFmtId="0" fontId="3" fillId="0" borderId="5" xfId="0" applyFont="1" applyBorder="1" applyAlignment="1">
      <alignment vertical="center"/>
    </xf>
    <xf numFmtId="0" fontId="0" fillId="0" borderId="0" xfId="0" applyAlignment="1">
      <alignment vertical="center"/>
    </xf>
    <xf numFmtId="0" fontId="9" fillId="0" borderId="0" xfId="0" applyFont="1"/>
    <xf numFmtId="14" fontId="0" fillId="0" borderId="0" xfId="0" applyNumberFormat="1"/>
    <xf numFmtId="0" fontId="9" fillId="3" borderId="0" xfId="0" applyFont="1" applyFill="1" applyAlignment="1">
      <alignment vertical="center"/>
    </xf>
    <xf numFmtId="166" fontId="0" fillId="0" borderId="0" xfId="2" applyNumberFormat="1" applyFont="1"/>
    <xf numFmtId="164" fontId="0" fillId="0" borderId="0" xfId="2" applyFont="1"/>
    <xf numFmtId="167" fontId="0" fillId="0" borderId="0" xfId="2" applyNumberFormat="1" applyFont="1"/>
    <xf numFmtId="165" fontId="8" fillId="0" borderId="0" xfId="2" applyNumberFormat="1" applyFont="1"/>
    <xf numFmtId="0" fontId="3" fillId="0" borderId="0" xfId="0" applyFont="1" applyAlignment="1">
      <alignment horizontal="center" vertical="center"/>
    </xf>
    <xf numFmtId="0" fontId="1" fillId="0" borderId="0" xfId="1"/>
    <xf numFmtId="0" fontId="0" fillId="0" borderId="0" xfId="0" applyAlignment="1">
      <alignment horizontal="left" vertical="center"/>
    </xf>
    <xf numFmtId="0" fontId="0" fillId="0" borderId="0" xfId="0" applyAlignment="1">
      <alignment horizontal="center" vertical="center"/>
    </xf>
    <xf numFmtId="165" fontId="0" fillId="0" borderId="0" xfId="2" applyNumberFormat="1" applyFont="1" applyAlignment="1">
      <alignment vertical="center"/>
    </xf>
    <xf numFmtId="165" fontId="9" fillId="0" borderId="0" xfId="2" applyNumberFormat="1" applyFont="1" applyFill="1" applyBorder="1" applyAlignment="1">
      <alignment vertical="center"/>
    </xf>
    <xf numFmtId="165" fontId="0" fillId="0" borderId="0" xfId="0" applyNumberFormat="1" applyAlignment="1">
      <alignment vertical="center"/>
    </xf>
    <xf numFmtId="0" fontId="0" fillId="0" borderId="0" xfId="0" quotePrefix="1" applyAlignment="1">
      <alignment vertical="center"/>
    </xf>
    <xf numFmtId="165" fontId="8" fillId="0" borderId="0" xfId="0" applyNumberFormat="1" applyFont="1"/>
    <xf numFmtId="0" fontId="18" fillId="0" borderId="0" xfId="0" applyFont="1"/>
    <xf numFmtId="14" fontId="0" fillId="0" borderId="0" xfId="2" applyNumberFormat="1" applyFont="1"/>
    <xf numFmtId="0" fontId="7" fillId="6" borderId="0" xfId="0" applyFont="1" applyFill="1" applyAlignment="1">
      <alignment vertical="center"/>
    </xf>
    <xf numFmtId="0" fontId="0" fillId="0" borderId="0" xfId="0" applyAlignment="1">
      <alignment vertical="center" wrapText="1"/>
    </xf>
    <xf numFmtId="0" fontId="0" fillId="7" borderId="0" xfId="0" applyFill="1" applyAlignment="1">
      <alignment vertical="center"/>
    </xf>
    <xf numFmtId="0" fontId="9" fillId="7" borderId="0" xfId="0" applyFont="1" applyFill="1" applyAlignment="1">
      <alignment vertical="center"/>
    </xf>
    <xf numFmtId="0" fontId="23" fillId="7" borderId="0" xfId="0" quotePrefix="1" applyFont="1" applyFill="1" applyAlignment="1">
      <alignment vertical="center" wrapText="1"/>
    </xf>
    <xf numFmtId="0" fontId="23" fillId="7" borderId="0" xfId="0" applyFont="1" applyFill="1" applyAlignment="1">
      <alignment vertical="center"/>
    </xf>
    <xf numFmtId="165" fontId="0" fillId="0" borderId="0" xfId="0" applyNumberFormat="1"/>
    <xf numFmtId="165" fontId="11" fillId="0" borderId="0" xfId="2" applyNumberFormat="1" applyFont="1"/>
    <xf numFmtId="170" fontId="8" fillId="0" borderId="0" xfId="2" applyNumberFormat="1" applyFont="1"/>
    <xf numFmtId="164" fontId="8" fillId="0" borderId="0" xfId="2" applyFont="1"/>
    <xf numFmtId="1" fontId="8" fillId="0" borderId="0" xfId="2" applyNumberFormat="1" applyFont="1"/>
    <xf numFmtId="0" fontId="8" fillId="3" borderId="0" xfId="0" applyFont="1" applyFill="1"/>
    <xf numFmtId="0" fontId="0" fillId="0" borderId="5" xfId="0" applyBorder="1"/>
    <xf numFmtId="0" fontId="0" fillId="0" borderId="8" xfId="0" applyBorder="1"/>
    <xf numFmtId="0" fontId="2" fillId="9" borderId="5" xfId="0" applyFont="1" applyFill="1" applyBorder="1" applyAlignment="1">
      <alignment horizontal="center" vertical="center"/>
    </xf>
    <xf numFmtId="0" fontId="4" fillId="0" borderId="0" xfId="0" applyFont="1" applyAlignment="1">
      <alignment horizontal="center"/>
    </xf>
    <xf numFmtId="0" fontId="0" fillId="0" borderId="5" xfId="0" applyBorder="1" applyAlignment="1">
      <alignment horizontal="center"/>
    </xf>
    <xf numFmtId="0" fontId="0" fillId="0" borderId="0" xfId="0" applyAlignment="1">
      <alignment horizontal="center"/>
    </xf>
    <xf numFmtId="0" fontId="9" fillId="3" borderId="0" xfId="0" applyFont="1" applyFill="1" applyAlignment="1">
      <alignment horizontal="left" vertical="center"/>
    </xf>
    <xf numFmtId="0" fontId="0" fillId="0" borderId="0" xfId="2" applyNumberFormat="1" applyFont="1"/>
    <xf numFmtId="0" fontId="8" fillId="0" borderId="0" xfId="2" applyNumberFormat="1" applyFont="1"/>
    <xf numFmtId="165" fontId="9" fillId="0" borderId="0" xfId="2" applyNumberFormat="1" applyFont="1" applyFill="1" applyBorder="1" applyAlignment="1">
      <alignment horizontal="center" vertical="center"/>
    </xf>
    <xf numFmtId="165" fontId="14" fillId="0" borderId="0" xfId="2" applyNumberFormat="1" applyFont="1" applyBorder="1" applyAlignment="1">
      <alignment horizontal="center" vertical="center"/>
    </xf>
    <xf numFmtId="165" fontId="14" fillId="0" borderId="0" xfId="2" applyNumberFormat="1" applyFont="1" applyAlignment="1">
      <alignment horizontal="center" vertical="center"/>
    </xf>
    <xf numFmtId="165" fontId="0" fillId="0" borderId="0" xfId="2" applyNumberFormat="1" applyFont="1" applyBorder="1" applyAlignment="1">
      <alignment horizontal="center" vertical="center"/>
    </xf>
    <xf numFmtId="165" fontId="0" fillId="0" borderId="0" xfId="2" applyNumberFormat="1" applyFont="1" applyAlignment="1">
      <alignment horizontal="center" vertical="center"/>
    </xf>
    <xf numFmtId="165" fontId="8" fillId="0" borderId="0" xfId="2" applyNumberFormat="1" applyFont="1" applyAlignment="1">
      <alignment horizontal="center"/>
    </xf>
    <xf numFmtId="14" fontId="8" fillId="0" borderId="0" xfId="0" applyNumberFormat="1" applyFont="1"/>
    <xf numFmtId="0" fontId="8" fillId="0" borderId="0" xfId="0" quotePrefix="1" applyFont="1"/>
    <xf numFmtId="14" fontId="9" fillId="3" borderId="0" xfId="0" applyNumberFormat="1" applyFont="1" applyFill="1"/>
    <xf numFmtId="0" fontId="26" fillId="0" borderId="0" xfId="0" applyFont="1"/>
    <xf numFmtId="0" fontId="23" fillId="7" borderId="0" xfId="0" quotePrefix="1" applyFont="1" applyFill="1" applyAlignment="1">
      <alignment horizontal="left" vertical="center" wrapText="1"/>
    </xf>
    <xf numFmtId="0" fontId="0" fillId="0" borderId="15" xfId="0" applyBorder="1"/>
    <xf numFmtId="170" fontId="0" fillId="0" borderId="0" xfId="2" applyNumberFormat="1" applyFont="1" applyAlignment="1">
      <alignment horizontal="center" vertical="center"/>
    </xf>
    <xf numFmtId="0" fontId="6" fillId="0" borderId="0" xfId="0" applyFont="1"/>
    <xf numFmtId="0" fontId="14" fillId="0" borderId="7" xfId="0" applyFont="1" applyBorder="1" applyAlignment="1">
      <alignment horizontal="center" vertical="center"/>
    </xf>
    <xf numFmtId="14" fontId="14" fillId="11" borderId="22" xfId="0" applyNumberFormat="1" applyFont="1" applyFill="1" applyBorder="1" applyAlignment="1">
      <alignment horizontal="center" vertical="center"/>
    </xf>
    <xf numFmtId="0" fontId="8" fillId="0" borderId="5" xfId="0" applyFont="1" applyBorder="1"/>
    <xf numFmtId="0" fontId="6" fillId="0" borderId="7" xfId="0" applyFont="1" applyBorder="1"/>
    <xf numFmtId="14"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xf numFmtId="0" fontId="0" fillId="3" borderId="0" xfId="0" applyFill="1"/>
    <xf numFmtId="0" fontId="8" fillId="3" borderId="0" xfId="0" applyFont="1" applyFill="1" applyAlignment="1">
      <alignment horizontal="center" vertical="center"/>
    </xf>
    <xf numFmtId="0" fontId="4" fillId="0" borderId="0" xfId="0" applyFont="1"/>
    <xf numFmtId="0" fontId="0" fillId="0" borderId="7" xfId="0" applyBorder="1" applyAlignment="1">
      <alignment horizontal="center"/>
    </xf>
    <xf numFmtId="0" fontId="0" fillId="0" borderId="7" xfId="0" applyBorder="1"/>
    <xf numFmtId="168" fontId="8" fillId="0" borderId="0" xfId="0" applyNumberFormat="1" applyFont="1"/>
    <xf numFmtId="0" fontId="13" fillId="3" borderId="0" xfId="0" applyFont="1" applyFill="1" applyAlignment="1">
      <alignment horizontal="left" vertical="center"/>
    </xf>
    <xf numFmtId="14" fontId="8" fillId="0" borderId="0" xfId="1" quotePrefix="1" applyNumberFormat="1" applyFont="1"/>
    <xf numFmtId="14" fontId="10" fillId="0" borderId="0" xfId="1" applyNumberFormat="1" applyFont="1"/>
    <xf numFmtId="164" fontId="0" fillId="0" borderId="0" xfId="0" applyNumberFormat="1"/>
    <xf numFmtId="165" fontId="8" fillId="0" borderId="0" xfId="2" quotePrefix="1" applyNumberFormat="1" applyFont="1"/>
    <xf numFmtId="0" fontId="23" fillId="7" borderId="0" xfId="0" quotePrefix="1" applyFont="1" applyFill="1" applyAlignment="1">
      <alignment vertical="center"/>
    </xf>
    <xf numFmtId="14" fontId="11" fillId="0" borderId="0" xfId="0" applyNumberFormat="1" applyFont="1"/>
    <xf numFmtId="0" fontId="23" fillId="7" borderId="0" xfId="0" applyFont="1" applyFill="1" applyAlignment="1">
      <alignment vertical="center" wrapText="1"/>
    </xf>
    <xf numFmtId="171" fontId="0" fillId="0" borderId="0" xfId="0" applyNumberFormat="1"/>
    <xf numFmtId="0" fontId="14" fillId="0" borderId="0" xfId="0" applyFont="1" applyAlignment="1">
      <alignment horizontal="left" vertical="center"/>
    </xf>
    <xf numFmtId="0" fontId="14" fillId="0" borderId="0" xfId="0" applyFont="1" applyAlignment="1">
      <alignment horizontal="center" vertical="center"/>
    </xf>
    <xf numFmtId="41" fontId="0" fillId="0" borderId="0" xfId="9" applyFont="1"/>
    <xf numFmtId="0" fontId="29" fillId="0" borderId="0" xfId="0" applyFont="1"/>
    <xf numFmtId="165" fontId="14" fillId="7" borderId="0" xfId="2" applyNumberFormat="1" applyFont="1" applyFill="1" applyBorder="1" applyAlignment="1">
      <alignment vertical="center"/>
    </xf>
    <xf numFmtId="10" fontId="14" fillId="7" borderId="44" xfId="5" applyNumberFormat="1" applyFont="1" applyFill="1" applyBorder="1" applyAlignment="1">
      <alignment vertical="center"/>
    </xf>
    <xf numFmtId="165" fontId="0" fillId="12" borderId="0" xfId="2" applyNumberFormat="1" applyFont="1" applyFill="1" applyBorder="1" applyAlignment="1">
      <alignment vertical="center"/>
    </xf>
    <xf numFmtId="165" fontId="0" fillId="7" borderId="0" xfId="2" applyNumberFormat="1" applyFont="1" applyFill="1" applyBorder="1" applyAlignment="1">
      <alignment vertical="center"/>
    </xf>
    <xf numFmtId="165" fontId="14" fillId="12" borderId="0" xfId="2" applyNumberFormat="1" applyFont="1" applyFill="1" applyBorder="1" applyAlignment="1">
      <alignment vertical="center"/>
    </xf>
    <xf numFmtId="165" fontId="14" fillId="7" borderId="19" xfId="2" applyNumberFormat="1" applyFont="1" applyFill="1" applyBorder="1" applyAlignment="1">
      <alignment vertical="center"/>
    </xf>
    <xf numFmtId="10" fontId="0" fillId="12" borderId="44" xfId="5" applyNumberFormat="1" applyFont="1" applyFill="1" applyBorder="1" applyAlignment="1">
      <alignment vertical="center"/>
    </xf>
    <xf numFmtId="10" fontId="0" fillId="7" borderId="44" xfId="5" applyNumberFormat="1" applyFont="1" applyFill="1" applyBorder="1" applyAlignment="1">
      <alignment vertical="center"/>
    </xf>
    <xf numFmtId="10" fontId="14" fillId="7" borderId="10" xfId="5" applyNumberFormat="1" applyFont="1" applyFill="1" applyBorder="1" applyAlignment="1">
      <alignment vertical="center"/>
    </xf>
    <xf numFmtId="169" fontId="21" fillId="5" borderId="21" xfId="8" applyNumberFormat="1" applyFont="1" applyFill="1" applyBorder="1" applyAlignment="1">
      <alignment horizontal="center" vertical="center" readingOrder="1"/>
    </xf>
    <xf numFmtId="169" fontId="21" fillId="5" borderId="44" xfId="8" applyNumberFormat="1" applyFont="1" applyFill="1" applyBorder="1" applyAlignment="1">
      <alignment horizontal="center" vertical="center" readingOrder="1"/>
    </xf>
    <xf numFmtId="169" fontId="21" fillId="5" borderId="44" xfId="8" quotePrefix="1" applyNumberFormat="1" applyFont="1" applyFill="1" applyBorder="1" applyAlignment="1">
      <alignment horizontal="center" vertical="center" readingOrder="1"/>
    </xf>
    <xf numFmtId="165" fontId="0" fillId="7" borderId="0" xfId="5" applyNumberFormat="1" applyFont="1" applyFill="1" applyBorder="1" applyAlignment="1">
      <alignment vertical="center"/>
    </xf>
    <xf numFmtId="9" fontId="14" fillId="7" borderId="20" xfId="5" applyFont="1" applyFill="1" applyBorder="1" applyAlignment="1">
      <alignment vertical="center"/>
    </xf>
    <xf numFmtId="0" fontId="0" fillId="7" borderId="21" xfId="0" applyFill="1" applyBorder="1" applyAlignment="1">
      <alignment horizontal="left" vertical="center"/>
    </xf>
    <xf numFmtId="10" fontId="0" fillId="12" borderId="21" xfId="5" applyNumberFormat="1" applyFont="1" applyFill="1" applyBorder="1" applyAlignment="1">
      <alignment vertical="center"/>
    </xf>
    <xf numFmtId="10" fontId="0" fillId="7" borderId="21" xfId="5" applyNumberFormat="1" applyFont="1" applyFill="1" applyBorder="1" applyAlignment="1">
      <alignment vertical="center"/>
    </xf>
    <xf numFmtId="0" fontId="0" fillId="7" borderId="44" xfId="0" applyFill="1" applyBorder="1" applyAlignment="1">
      <alignment horizontal="left" vertical="center"/>
    </xf>
    <xf numFmtId="9" fontId="14" fillId="7" borderId="10" xfId="5" applyFont="1" applyFill="1" applyBorder="1" applyAlignment="1">
      <alignment vertical="center"/>
    </xf>
    <xf numFmtId="0" fontId="9" fillId="7" borderId="9" xfId="0" applyFont="1" applyFill="1" applyBorder="1" applyAlignment="1">
      <alignment vertical="center"/>
    </xf>
    <xf numFmtId="9" fontId="14" fillId="7" borderId="19" xfId="5" applyFont="1" applyFill="1" applyBorder="1" applyAlignment="1">
      <alignment vertical="center"/>
    </xf>
    <xf numFmtId="0" fontId="0" fillId="7" borderId="44" xfId="0" applyFill="1" applyBorder="1" applyAlignment="1">
      <alignment vertical="center"/>
    </xf>
    <xf numFmtId="165" fontId="14" fillId="0" borderId="0" xfId="2" applyNumberFormat="1" applyFont="1" applyFill="1" applyBorder="1" applyAlignment="1">
      <alignment vertical="center"/>
    </xf>
    <xf numFmtId="0" fontId="9" fillId="10" borderId="12" xfId="0" applyFont="1" applyFill="1" applyBorder="1" applyAlignment="1">
      <alignment horizontal="center" vertical="center"/>
    </xf>
    <xf numFmtId="0" fontId="0" fillId="7" borderId="0" xfId="0" applyFill="1" applyAlignment="1">
      <alignment horizontal="left" vertical="center"/>
    </xf>
    <xf numFmtId="0" fontId="23" fillId="7" borderId="0" xfId="0" applyFont="1" applyFill="1" applyAlignment="1">
      <alignment horizontal="left" vertical="center"/>
    </xf>
    <xf numFmtId="0" fontId="28" fillId="0" borderId="12" xfId="0" applyFont="1" applyBorder="1" applyAlignment="1">
      <alignment horizontal="center" vertical="center"/>
    </xf>
    <xf numFmtId="0" fontId="8" fillId="0" borderId="12" xfId="0" applyFont="1" applyBorder="1" applyAlignment="1">
      <alignment horizontal="center" vertical="center"/>
    </xf>
    <xf numFmtId="41" fontId="8" fillId="0" borderId="0" xfId="9" applyFont="1"/>
    <xf numFmtId="0" fontId="31" fillId="0" borderId="0" xfId="0" applyFont="1"/>
    <xf numFmtId="41" fontId="9" fillId="0" borderId="0" xfId="9" applyFont="1"/>
    <xf numFmtId="0" fontId="11" fillId="0" borderId="0" xfId="0" applyFont="1"/>
    <xf numFmtId="0" fontId="32" fillId="0" borderId="0" xfId="0" applyFont="1"/>
    <xf numFmtId="0" fontId="11" fillId="3" borderId="0" xfId="0" applyFont="1" applyFill="1"/>
    <xf numFmtId="41" fontId="8" fillId="0" borderId="0" xfId="0" applyNumberFormat="1" applyFont="1"/>
    <xf numFmtId="41" fontId="11" fillId="0" borderId="0" xfId="9" applyFont="1"/>
    <xf numFmtId="41" fontId="8" fillId="3" borderId="0" xfId="9" applyFont="1" applyFill="1"/>
    <xf numFmtId="41" fontId="0" fillId="0" borderId="0" xfId="0" applyNumberFormat="1"/>
    <xf numFmtId="41" fontId="8" fillId="13" borderId="0" xfId="9" applyFont="1" applyFill="1"/>
    <xf numFmtId="0" fontId="8" fillId="0" borderId="0" xfId="0" applyFont="1" applyAlignment="1">
      <alignment horizontal="right"/>
    </xf>
    <xf numFmtId="172" fontId="8" fillId="0" borderId="0" xfId="5" applyNumberFormat="1" applyFont="1"/>
    <xf numFmtId="0" fontId="0" fillId="13" borderId="0" xfId="0" applyFill="1"/>
    <xf numFmtId="14" fontId="0" fillId="13" borderId="0" xfId="0" applyNumberFormat="1" applyFill="1"/>
    <xf numFmtId="41" fontId="0" fillId="3" borderId="0" xfId="9" applyFont="1" applyFill="1"/>
    <xf numFmtId="41" fontId="0" fillId="13" borderId="0" xfId="9" applyFont="1" applyFill="1"/>
    <xf numFmtId="173" fontId="0" fillId="3" borderId="0" xfId="9" applyNumberFormat="1" applyFont="1" applyFill="1"/>
    <xf numFmtId="174" fontId="0" fillId="3" borderId="0" xfId="9" applyNumberFormat="1" applyFont="1" applyFill="1"/>
    <xf numFmtId="14" fontId="11" fillId="14" borderId="0" xfId="0" applyNumberFormat="1" applyFont="1" applyFill="1"/>
    <xf numFmtId="14" fontId="0" fillId="3" borderId="0" xfId="0" applyNumberFormat="1" applyFill="1"/>
    <xf numFmtId="172" fontId="11" fillId="0" borderId="0" xfId="5" applyNumberFormat="1" applyFont="1"/>
    <xf numFmtId="175" fontId="11" fillId="0" borderId="0" xfId="5" applyNumberFormat="1" applyFont="1"/>
    <xf numFmtId="41" fontId="0" fillId="0" borderId="0" xfId="9" applyFont="1" applyAlignment="1">
      <alignment horizontal="left" vertical="center"/>
    </xf>
    <xf numFmtId="41" fontId="0" fillId="0" borderId="0" xfId="9" applyFont="1" applyAlignment="1">
      <alignment horizontal="center" vertical="center"/>
    </xf>
    <xf numFmtId="14" fontId="0" fillId="0" borderId="0" xfId="9" applyNumberFormat="1" applyFont="1"/>
    <xf numFmtId="41" fontId="8" fillId="0" borderId="0" xfId="9" applyFont="1" applyFill="1"/>
    <xf numFmtId="172" fontId="8" fillId="0" borderId="0" xfId="5" applyNumberFormat="1" applyFont="1" applyFill="1"/>
    <xf numFmtId="41" fontId="0" fillId="0" borderId="7" xfId="9" applyFont="1" applyBorder="1" applyAlignment="1">
      <alignment horizontal="center" vertical="center"/>
    </xf>
    <xf numFmtId="41" fontId="0" fillId="0" borderId="7" xfId="0" applyNumberFormat="1" applyBorder="1" applyAlignment="1">
      <alignment horizontal="center" vertical="center"/>
    </xf>
    <xf numFmtId="41" fontId="0" fillId="15" borderId="7" xfId="9" applyFont="1" applyFill="1" applyBorder="1" applyAlignment="1">
      <alignment horizontal="center" vertical="center"/>
    </xf>
    <xf numFmtId="41" fontId="0" fillId="9" borderId="7" xfId="9" applyFont="1" applyFill="1" applyBorder="1" applyAlignment="1">
      <alignment horizontal="center" vertical="center"/>
    </xf>
    <xf numFmtId="41" fontId="0" fillId="16" borderId="7" xfId="9" applyFont="1" applyFill="1" applyBorder="1" applyAlignment="1">
      <alignment horizontal="center" vertical="center"/>
    </xf>
    <xf numFmtId="0" fontId="9" fillId="16" borderId="7" xfId="0" applyFont="1" applyFill="1" applyBorder="1"/>
    <xf numFmtId="0" fontId="8" fillId="0" borderId="17" xfId="0" applyFont="1" applyBorder="1"/>
    <xf numFmtId="0" fontId="0" fillId="7" borderId="43" xfId="0" applyFill="1" applyBorder="1" applyAlignment="1">
      <alignment vertical="center"/>
    </xf>
    <xf numFmtId="165" fontId="0" fillId="12" borderId="43" xfId="5" applyNumberFormat="1" applyFont="1" applyFill="1" applyBorder="1" applyAlignment="1">
      <alignment vertical="center"/>
    </xf>
    <xf numFmtId="165" fontId="0" fillId="7" borderId="43" xfId="5" applyNumberFormat="1" applyFont="1" applyFill="1" applyBorder="1" applyAlignment="1">
      <alignment vertical="center"/>
    </xf>
    <xf numFmtId="9" fontId="14" fillId="7" borderId="11" xfId="5" applyFont="1" applyFill="1" applyBorder="1" applyAlignment="1">
      <alignment vertical="center"/>
    </xf>
    <xf numFmtId="0" fontId="9" fillId="7" borderId="13" xfId="0" applyFont="1" applyFill="1" applyBorder="1" applyAlignment="1">
      <alignment horizontal="center" vertical="center"/>
    </xf>
    <xf numFmtId="10" fontId="14" fillId="7" borderId="21" xfId="5" applyNumberFormat="1" applyFont="1" applyFill="1" applyBorder="1" applyAlignment="1">
      <alignment vertical="center"/>
    </xf>
    <xf numFmtId="165" fontId="14" fillId="7" borderId="0" xfId="5" applyNumberFormat="1" applyFont="1" applyFill="1" applyBorder="1" applyAlignment="1">
      <alignment vertical="center"/>
    </xf>
    <xf numFmtId="41" fontId="14" fillId="7" borderId="43" xfId="9" applyFont="1" applyFill="1" applyBorder="1" applyAlignment="1">
      <alignment vertical="center"/>
    </xf>
    <xf numFmtId="0" fontId="9" fillId="0" borderId="0" xfId="0" applyFont="1" applyAlignment="1">
      <alignment horizontal="right"/>
    </xf>
    <xf numFmtId="176" fontId="8" fillId="0" borderId="0" xfId="2" applyNumberFormat="1" applyFont="1"/>
    <xf numFmtId="0" fontId="1" fillId="0" borderId="0" xfId="1" applyAlignment="1">
      <alignment horizontal="left" vertical="center"/>
    </xf>
    <xf numFmtId="14" fontId="0" fillId="0" borderId="0" xfId="2" applyNumberFormat="1" applyFont="1" applyAlignment="1">
      <alignment horizontal="center" vertical="center"/>
    </xf>
    <xf numFmtId="168" fontId="13" fillId="17" borderId="7" xfId="4" applyFont="1" applyFill="1" applyBorder="1" applyAlignment="1">
      <alignment horizontal="center" vertical="center"/>
    </xf>
    <xf numFmtId="165" fontId="0" fillId="0" borderId="0" xfId="2" applyNumberFormat="1" applyFont="1" applyFill="1"/>
    <xf numFmtId="165" fontId="0" fillId="7" borderId="0" xfId="0" applyNumberFormat="1" applyFill="1" applyAlignment="1">
      <alignment vertical="center"/>
    </xf>
    <xf numFmtId="10" fontId="0" fillId="12" borderId="0" xfId="5" applyNumberFormat="1" applyFont="1" applyFill="1" applyBorder="1" applyAlignment="1">
      <alignment vertical="center"/>
    </xf>
    <xf numFmtId="165" fontId="34" fillId="12" borderId="45" xfId="5" applyNumberFormat="1" applyFont="1" applyFill="1" applyBorder="1" applyAlignment="1">
      <alignment vertical="center"/>
    </xf>
    <xf numFmtId="0" fontId="0" fillId="0" borderId="7" xfId="0" applyBorder="1" applyAlignment="1">
      <alignment horizontal="left"/>
    </xf>
    <xf numFmtId="41" fontId="0" fillId="0" borderId="7" xfId="9" applyFont="1" applyBorder="1"/>
    <xf numFmtId="0" fontId="2" fillId="9" borderId="7" xfId="0" applyFont="1" applyFill="1" applyBorder="1" applyAlignment="1">
      <alignment horizontal="center" vertical="center"/>
    </xf>
    <xf numFmtId="176" fontId="0" fillId="0" borderId="7" xfId="2" applyNumberFormat="1" applyFont="1" applyBorder="1"/>
    <xf numFmtId="41" fontId="1" fillId="0" borderId="7" xfId="1" applyNumberFormat="1" applyBorder="1"/>
    <xf numFmtId="14" fontId="9" fillId="18" borderId="0" xfId="0" applyNumberFormat="1" applyFont="1" applyFill="1" applyAlignment="1">
      <alignment horizontal="center" vertical="center"/>
    </xf>
    <xf numFmtId="0" fontId="9" fillId="18" borderId="0" xfId="0" applyFont="1" applyFill="1" applyAlignment="1">
      <alignment horizontal="left" vertical="center" wrapText="1"/>
    </xf>
    <xf numFmtId="0" fontId="9" fillId="18" borderId="0" xfId="0" applyFont="1" applyFill="1" applyAlignment="1">
      <alignment horizontal="center" vertical="center"/>
    </xf>
    <xf numFmtId="165" fontId="14" fillId="7" borderId="0" xfId="2" applyNumberFormat="1" applyFont="1" applyFill="1" applyBorder="1" applyAlignment="1">
      <alignment horizontal="center" vertical="center"/>
    </xf>
    <xf numFmtId="10" fontId="14" fillId="7" borderId="44" xfId="5" applyNumberFormat="1" applyFont="1" applyFill="1" applyBorder="1" applyAlignment="1">
      <alignment horizontal="center" vertical="center"/>
    </xf>
    <xf numFmtId="10" fontId="30" fillId="7" borderId="0" xfId="5" applyNumberFormat="1" applyFont="1" applyFill="1" applyBorder="1" applyAlignment="1">
      <alignment horizontal="center" vertical="center"/>
    </xf>
    <xf numFmtId="10" fontId="30" fillId="7" borderId="21" xfId="5" applyNumberFormat="1" applyFont="1" applyFill="1" applyBorder="1" applyAlignment="1">
      <alignment horizontal="center" vertical="center"/>
    </xf>
    <xf numFmtId="10" fontId="30" fillId="7" borderId="44" xfId="5" applyNumberFormat="1" applyFont="1" applyFill="1" applyBorder="1" applyAlignment="1">
      <alignment horizontal="center" vertical="center"/>
    </xf>
    <xf numFmtId="10" fontId="30" fillId="7" borderId="43" xfId="5" applyNumberFormat="1" applyFont="1" applyFill="1" applyBorder="1" applyAlignment="1">
      <alignment horizontal="center" vertical="center"/>
    </xf>
    <xf numFmtId="9" fontId="14" fillId="0" borderId="0" xfId="5" applyFont="1" applyAlignment="1">
      <alignment horizontal="left" vertical="center"/>
    </xf>
    <xf numFmtId="9" fontId="8" fillId="5" borderId="23" xfId="5" applyFont="1" applyFill="1" applyBorder="1" applyAlignment="1">
      <alignment horizontal="center" vertical="center" wrapText="1"/>
    </xf>
    <xf numFmtId="9" fontId="14" fillId="0" borderId="0" xfId="5" applyFont="1" applyBorder="1" applyAlignment="1">
      <alignment horizontal="center" vertical="center"/>
    </xf>
    <xf numFmtId="9" fontId="14" fillId="0" borderId="0" xfId="5" applyFont="1" applyAlignment="1">
      <alignment horizontal="center" vertical="center"/>
    </xf>
    <xf numFmtId="9" fontId="0" fillId="0" borderId="0" xfId="5" applyFont="1" applyAlignment="1">
      <alignment vertical="center"/>
    </xf>
    <xf numFmtId="9" fontId="0" fillId="0" borderId="0" xfId="5" applyFont="1" applyAlignment="1">
      <alignment horizontal="center" vertical="center"/>
    </xf>
    <xf numFmtId="41" fontId="14" fillId="0" borderId="0" xfId="9" applyFont="1" applyAlignment="1">
      <alignment horizontal="center" vertical="center"/>
    </xf>
    <xf numFmtId="41" fontId="14" fillId="0" borderId="0" xfId="9" applyFont="1" applyAlignment="1">
      <alignment horizontal="left" vertical="center"/>
    </xf>
    <xf numFmtId="41" fontId="13" fillId="17" borderId="7" xfId="9" applyFont="1" applyFill="1" applyBorder="1" applyAlignment="1">
      <alignment horizontal="center" vertical="center"/>
    </xf>
    <xf numFmtId="41" fontId="6" fillId="0" borderId="7" xfId="9" applyFont="1" applyBorder="1"/>
    <xf numFmtId="41" fontId="6" fillId="0" borderId="0" xfId="9" applyFont="1"/>
    <xf numFmtId="0" fontId="3" fillId="0" borderId="7" xfId="0" applyFont="1" applyBorder="1"/>
    <xf numFmtId="0" fontId="4" fillId="0" borderId="7" xfId="0" applyFont="1" applyBorder="1"/>
    <xf numFmtId="0" fontId="2" fillId="9" borderId="7" xfId="0" applyFont="1" applyFill="1" applyBorder="1"/>
    <xf numFmtId="9" fontId="14" fillId="0" borderId="0" xfId="5" applyFont="1" applyBorder="1" applyAlignment="1">
      <alignment horizontal="left" vertical="center"/>
    </xf>
    <xf numFmtId="165" fontId="34" fillId="12" borderId="46" xfId="5" applyNumberFormat="1" applyFont="1" applyFill="1" applyBorder="1" applyAlignment="1">
      <alignment vertical="center"/>
    </xf>
    <xf numFmtId="41" fontId="9" fillId="0" borderId="0" xfId="9" quotePrefix="1" applyFont="1"/>
    <xf numFmtId="41" fontId="6" fillId="0" borderId="0" xfId="0" applyNumberFormat="1" applyFont="1"/>
    <xf numFmtId="0" fontId="9" fillId="7" borderId="0" xfId="0" applyFont="1" applyFill="1" applyAlignment="1">
      <alignment horizontal="right" vertical="center"/>
    </xf>
    <xf numFmtId="41" fontId="14" fillId="0" borderId="0" xfId="9" applyFont="1" applyBorder="1" applyAlignment="1">
      <alignment horizontal="center" vertical="center"/>
    </xf>
    <xf numFmtId="0" fontId="8" fillId="5" borderId="0" xfId="0" applyFont="1" applyFill="1" applyAlignment="1">
      <alignment horizontal="left" vertical="center"/>
    </xf>
    <xf numFmtId="41" fontId="8" fillId="5" borderId="0" xfId="0" applyNumberFormat="1" applyFont="1" applyFill="1" applyAlignment="1">
      <alignment horizontal="center" vertical="center"/>
    </xf>
    <xf numFmtId="0" fontId="8" fillId="5" borderId="0" xfId="0" applyFont="1" applyFill="1" applyAlignment="1">
      <alignment horizontal="center" vertical="center"/>
    </xf>
    <xf numFmtId="14" fontId="8" fillId="5" borderId="0" xfId="0" applyNumberFormat="1" applyFont="1" applyFill="1" applyAlignment="1">
      <alignment horizontal="center" vertical="center"/>
    </xf>
    <xf numFmtId="0" fontId="8" fillId="5" borderId="48" xfId="0" applyFont="1" applyFill="1" applyBorder="1" applyAlignment="1">
      <alignment horizontal="center" vertical="center" wrapText="1"/>
    </xf>
    <xf numFmtId="41" fontId="8" fillId="5" borderId="49" xfId="9" applyFont="1" applyFill="1" applyBorder="1" applyAlignment="1">
      <alignment horizontal="center" vertical="center" wrapText="1"/>
    </xf>
    <xf numFmtId="0" fontId="8" fillId="5" borderId="49" xfId="0" applyFont="1" applyFill="1" applyBorder="1" applyAlignment="1">
      <alignment horizontal="center" vertical="center" wrapText="1"/>
    </xf>
    <xf numFmtId="0" fontId="8" fillId="5" borderId="50" xfId="0" applyFont="1" applyFill="1" applyBorder="1" applyAlignment="1">
      <alignment horizontal="center" vertical="center" wrapText="1"/>
    </xf>
    <xf numFmtId="0" fontId="8" fillId="5" borderId="51" xfId="0" applyFont="1" applyFill="1" applyBorder="1" applyAlignment="1">
      <alignment horizontal="center" vertical="center" wrapText="1"/>
    </xf>
    <xf numFmtId="41" fontId="8" fillId="5" borderId="51" xfId="9" applyFont="1" applyFill="1" applyBorder="1" applyAlignment="1">
      <alignment horizontal="center" vertical="center" wrapText="1"/>
    </xf>
    <xf numFmtId="41" fontId="0" fillId="0" borderId="42" xfId="9" applyFont="1" applyBorder="1" applyAlignment="1">
      <alignment vertical="center"/>
    </xf>
    <xf numFmtId="41" fontId="0" fillId="0" borderId="39" xfId="9" applyFont="1" applyBorder="1" applyAlignment="1">
      <alignment vertical="center"/>
    </xf>
    <xf numFmtId="0" fontId="8" fillId="5" borderId="47" xfId="0" applyFont="1" applyFill="1" applyBorder="1" applyAlignment="1">
      <alignment vertical="center"/>
    </xf>
    <xf numFmtId="41" fontId="8" fillId="5" borderId="47" xfId="0" applyNumberFormat="1" applyFont="1" applyFill="1" applyBorder="1" applyAlignment="1">
      <alignment vertical="center"/>
    </xf>
    <xf numFmtId="9" fontId="8" fillId="5" borderId="47" xfId="0" applyNumberFormat="1" applyFont="1" applyFill="1" applyBorder="1" applyAlignment="1">
      <alignment vertical="center"/>
    </xf>
    <xf numFmtId="9" fontId="11" fillId="19" borderId="12" xfId="5" applyFont="1" applyFill="1" applyBorder="1" applyAlignment="1">
      <alignment vertical="center"/>
    </xf>
    <xf numFmtId="14" fontId="8" fillId="5" borderId="51" xfId="0" applyNumberFormat="1" applyFont="1" applyFill="1" applyBorder="1" applyAlignment="1">
      <alignment horizontal="center" vertical="center" wrapText="1"/>
    </xf>
    <xf numFmtId="14" fontId="14" fillId="0" borderId="0" xfId="0" applyNumberFormat="1" applyFont="1" applyAlignment="1">
      <alignment horizontal="left" vertical="center"/>
    </xf>
    <xf numFmtId="14" fontId="14" fillId="0" borderId="0" xfId="0" applyNumberFormat="1" applyFont="1" applyAlignment="1">
      <alignment vertical="center"/>
    </xf>
    <xf numFmtId="41" fontId="14" fillId="0" borderId="0" xfId="9" applyFont="1" applyFill="1" applyBorder="1" applyAlignment="1">
      <alignment horizontal="center" vertical="center"/>
    </xf>
    <xf numFmtId="41" fontId="14" fillId="0" borderId="52" xfId="9" applyFont="1" applyFill="1" applyBorder="1" applyAlignment="1">
      <alignment horizontal="center" vertical="center"/>
    </xf>
    <xf numFmtId="41" fontId="14" fillId="0" borderId="19" xfId="9" applyFont="1" applyFill="1" applyBorder="1" applyAlignment="1">
      <alignment horizontal="center" vertical="center"/>
    </xf>
    <xf numFmtId="0" fontId="0" fillId="0" borderId="0" xfId="9" applyNumberFormat="1" applyFont="1"/>
    <xf numFmtId="171" fontId="0" fillId="3" borderId="0" xfId="0" applyNumberFormat="1" applyFill="1"/>
    <xf numFmtId="0" fontId="0" fillId="3" borderId="0" xfId="2" applyNumberFormat="1" applyFont="1" applyFill="1"/>
    <xf numFmtId="165" fontId="0" fillId="3" borderId="0" xfId="2" applyNumberFormat="1" applyFont="1" applyFill="1"/>
    <xf numFmtId="165" fontId="8" fillId="3" borderId="0" xfId="2" applyNumberFormat="1" applyFont="1" applyFill="1"/>
    <xf numFmtId="14" fontId="0" fillId="3" borderId="0" xfId="2" applyNumberFormat="1" applyFont="1" applyFill="1"/>
    <xf numFmtId="0" fontId="0" fillId="3" borderId="0" xfId="9" applyNumberFormat="1" applyFont="1" applyFill="1"/>
    <xf numFmtId="0" fontId="13" fillId="0" borderId="5" xfId="0" applyFont="1" applyBorder="1" applyAlignment="1">
      <alignment horizontal="center" vertical="center"/>
    </xf>
    <xf numFmtId="165" fontId="9" fillId="0" borderId="5" xfId="3" applyNumberFormat="1" applyFont="1" applyBorder="1" applyAlignment="1">
      <alignment vertical="center"/>
    </xf>
    <xf numFmtId="165" fontId="9" fillId="0" borderId="16" xfId="3" applyNumberFormat="1" applyFont="1" applyBorder="1" applyAlignment="1">
      <alignment vertical="center"/>
    </xf>
    <xf numFmtId="165" fontId="9" fillId="0" borderId="7" xfId="3" applyNumberFormat="1" applyFont="1" applyBorder="1" applyAlignment="1">
      <alignment vertical="center"/>
    </xf>
    <xf numFmtId="0" fontId="9" fillId="3" borderId="12" xfId="0" applyFont="1" applyFill="1" applyBorder="1" applyAlignment="1">
      <alignment horizontal="left" vertical="center"/>
    </xf>
    <xf numFmtId="0" fontId="13" fillId="5" borderId="12" xfId="0" applyFont="1" applyFill="1" applyBorder="1" applyAlignment="1">
      <alignment horizontal="center" vertical="center"/>
    </xf>
    <xf numFmtId="0" fontId="9" fillId="3" borderId="13" xfId="0" applyFont="1" applyFill="1" applyBorder="1" applyAlignment="1">
      <alignment vertical="center"/>
    </xf>
    <xf numFmtId="0" fontId="8" fillId="5" borderId="30" xfId="0" applyFont="1" applyFill="1" applyBorder="1" applyAlignment="1">
      <alignment horizontal="center" vertical="center"/>
    </xf>
    <xf numFmtId="0" fontId="8" fillId="5" borderId="12" xfId="2" applyNumberFormat="1" applyFont="1" applyFill="1" applyBorder="1" applyAlignment="1">
      <alignment horizontal="center" vertical="center"/>
    </xf>
    <xf numFmtId="0" fontId="9" fillId="3" borderId="25" xfId="0" applyFont="1" applyFill="1" applyBorder="1" applyAlignment="1">
      <alignment vertical="center"/>
    </xf>
    <xf numFmtId="0" fontId="9" fillId="3" borderId="26" xfId="0" applyFont="1" applyFill="1" applyBorder="1" applyAlignment="1">
      <alignment vertical="center"/>
    </xf>
    <xf numFmtId="0" fontId="20" fillId="10" borderId="12" xfId="0" applyFont="1" applyFill="1" applyBorder="1" applyAlignment="1">
      <alignment horizontal="center" vertical="center"/>
    </xf>
    <xf numFmtId="17" fontId="14" fillId="0" borderId="5" xfId="0" applyNumberFormat="1" applyFont="1" applyBorder="1" applyAlignment="1">
      <alignment horizontal="center" vertical="center"/>
    </xf>
    <xf numFmtId="165" fontId="8" fillId="0" borderId="5" xfId="3" applyNumberFormat="1" applyFont="1" applyBorder="1" applyAlignment="1">
      <alignment vertical="center"/>
    </xf>
    <xf numFmtId="165" fontId="8" fillId="0" borderId="16" xfId="3" applyNumberFormat="1" applyFont="1" applyBorder="1" applyAlignment="1">
      <alignment vertical="center"/>
    </xf>
    <xf numFmtId="165" fontId="8" fillId="0" borderId="7" xfId="3" applyNumberFormat="1" applyFont="1" applyBorder="1" applyAlignment="1">
      <alignment vertical="center"/>
    </xf>
    <xf numFmtId="0" fontId="13" fillId="11" borderId="12" xfId="0" applyFont="1" applyFill="1" applyBorder="1" applyAlignment="1">
      <alignment horizontal="left" vertical="center"/>
    </xf>
    <xf numFmtId="165" fontId="14" fillId="11" borderId="12" xfId="0" applyNumberFormat="1" applyFont="1" applyFill="1" applyBorder="1" applyAlignment="1">
      <alignment vertical="center"/>
    </xf>
    <xf numFmtId="165" fontId="14" fillId="11" borderId="12" xfId="2" applyNumberFormat="1" applyFont="1" applyFill="1" applyBorder="1" applyAlignment="1">
      <alignment vertical="center"/>
    </xf>
    <xf numFmtId="165" fontId="38" fillId="11" borderId="12" xfId="2" applyNumberFormat="1" applyFont="1" applyFill="1" applyBorder="1" applyAlignment="1">
      <alignment vertical="center"/>
    </xf>
    <xf numFmtId="0" fontId="39" fillId="11" borderId="12" xfId="0" applyFont="1" applyFill="1" applyBorder="1" applyAlignment="1">
      <alignment vertical="center"/>
    </xf>
    <xf numFmtId="165" fontId="14" fillId="11" borderId="11" xfId="2" applyNumberFormat="1" applyFont="1" applyFill="1" applyBorder="1" applyAlignment="1">
      <alignment vertical="center"/>
    </xf>
    <xf numFmtId="165" fontId="8" fillId="0" borderId="0" xfId="0" applyNumberFormat="1" applyFont="1" applyAlignment="1">
      <alignment vertical="center"/>
    </xf>
    <xf numFmtId="165" fontId="8" fillId="0" borderId="0" xfId="0" quotePrefix="1" applyNumberFormat="1" applyFont="1" applyAlignment="1">
      <alignment vertical="center"/>
    </xf>
    <xf numFmtId="165" fontId="8" fillId="5" borderId="30" xfId="0" applyNumberFormat="1" applyFont="1" applyFill="1" applyBorder="1" applyAlignment="1">
      <alignment vertical="center"/>
    </xf>
    <xf numFmtId="0" fontId="8" fillId="5" borderId="31" xfId="0" applyFont="1" applyFill="1" applyBorder="1" applyAlignment="1">
      <alignment horizontal="center" vertical="center"/>
    </xf>
    <xf numFmtId="0" fontId="8" fillId="5" borderId="29" xfId="0" applyFont="1" applyFill="1" applyBorder="1" applyAlignment="1">
      <alignment horizontal="center" vertical="center"/>
    </xf>
    <xf numFmtId="0" fontId="8" fillId="5" borderId="37" xfId="0" applyFont="1" applyFill="1" applyBorder="1" applyAlignment="1">
      <alignment horizontal="center" vertical="center"/>
    </xf>
    <xf numFmtId="0" fontId="8" fillId="5" borderId="28" xfId="0" applyFont="1" applyFill="1" applyBorder="1" applyAlignment="1">
      <alignment horizontal="center" vertical="center"/>
    </xf>
    <xf numFmtId="0" fontId="13" fillId="5" borderId="12" xfId="0" applyFont="1" applyFill="1" applyBorder="1" applyAlignment="1">
      <alignment horizontal="left" vertical="center"/>
    </xf>
    <xf numFmtId="165" fontId="14" fillId="5" borderId="12" xfId="0" applyNumberFormat="1" applyFont="1" applyFill="1" applyBorder="1" applyAlignment="1">
      <alignment vertical="center"/>
    </xf>
    <xf numFmtId="165" fontId="8" fillId="5" borderId="12" xfId="0" applyNumberFormat="1" applyFont="1" applyFill="1" applyBorder="1" applyAlignment="1">
      <alignment vertical="center"/>
    </xf>
    <xf numFmtId="165" fontId="14" fillId="5" borderId="11" xfId="0" applyNumberFormat="1" applyFont="1" applyFill="1" applyBorder="1" applyAlignment="1">
      <alignment vertical="center"/>
    </xf>
    <xf numFmtId="165" fontId="0" fillId="0" borderId="0" xfId="2" applyNumberFormat="1" applyFont="1" applyFill="1" applyBorder="1" applyAlignment="1">
      <alignment vertical="center"/>
    </xf>
    <xf numFmtId="0" fontId="14" fillId="0" borderId="30" xfId="0" applyFont="1" applyBorder="1" applyAlignment="1">
      <alignment vertical="center"/>
    </xf>
    <xf numFmtId="165" fontId="14" fillId="0" borderId="30" xfId="0" applyNumberFormat="1" applyFont="1" applyBorder="1" applyAlignment="1">
      <alignment vertical="center"/>
    </xf>
    <xf numFmtId="165" fontId="14" fillId="0" borderId="30" xfId="2" applyNumberFormat="1" applyFont="1" applyFill="1" applyBorder="1" applyAlignment="1">
      <alignment vertical="center"/>
    </xf>
    <xf numFmtId="165" fontId="14" fillId="0" borderId="30" xfId="2" applyNumberFormat="1" applyFont="1" applyBorder="1" applyAlignment="1">
      <alignment vertical="center"/>
    </xf>
    <xf numFmtId="165" fontId="8" fillId="0" borderId="0" xfId="2" applyNumberFormat="1" applyFont="1" applyBorder="1" applyAlignment="1">
      <alignment vertical="center"/>
    </xf>
    <xf numFmtId="0" fontId="8" fillId="5" borderId="36" xfId="0" applyFont="1" applyFill="1" applyBorder="1" applyAlignment="1">
      <alignment horizontal="center" vertical="center"/>
    </xf>
    <xf numFmtId="10" fontId="0" fillId="0" borderId="0" xfId="5" applyNumberFormat="1" applyFont="1" applyBorder="1" applyAlignment="1">
      <alignment vertical="center"/>
    </xf>
    <xf numFmtId="10" fontId="0" fillId="11" borderId="0" xfId="5" applyNumberFormat="1" applyFont="1" applyFill="1" applyBorder="1" applyAlignment="1">
      <alignment vertical="center"/>
    </xf>
    <xf numFmtId="10" fontId="0" fillId="0" borderId="33" xfId="2" applyNumberFormat="1" applyFont="1" applyBorder="1" applyAlignment="1">
      <alignment vertical="center"/>
    </xf>
    <xf numFmtId="166" fontId="0" fillId="0" borderId="0" xfId="2" applyNumberFormat="1" applyFont="1" applyBorder="1" applyAlignment="1">
      <alignment vertical="center"/>
    </xf>
    <xf numFmtId="166" fontId="0" fillId="0" borderId="22" xfId="2" applyNumberFormat="1" applyFont="1" applyBorder="1" applyAlignment="1">
      <alignment vertical="center"/>
    </xf>
    <xf numFmtId="165" fontId="0" fillId="0" borderId="12" xfId="2" applyNumberFormat="1" applyFont="1" applyBorder="1" applyAlignment="1">
      <alignment vertical="center"/>
    </xf>
    <xf numFmtId="165" fontId="0" fillId="0" borderId="11" xfId="2" applyNumberFormat="1" applyFont="1" applyBorder="1" applyAlignment="1">
      <alignment vertical="center"/>
    </xf>
    <xf numFmtId="0" fontId="0" fillId="0" borderId="30" xfId="2" applyNumberFormat="1" applyFont="1" applyFill="1" applyBorder="1" applyAlignment="1">
      <alignment vertical="center"/>
    </xf>
    <xf numFmtId="165" fontId="8" fillId="5" borderId="30" xfId="2" applyNumberFormat="1" applyFont="1" applyFill="1" applyBorder="1" applyAlignment="1">
      <alignment vertical="center"/>
    </xf>
    <xf numFmtId="165" fontId="14" fillId="5" borderId="30" xfId="2" applyNumberFormat="1" applyFont="1" applyFill="1" applyBorder="1" applyAlignment="1">
      <alignment vertical="center"/>
    </xf>
    <xf numFmtId="0" fontId="8" fillId="5" borderId="35" xfId="0" applyFont="1" applyFill="1" applyBorder="1" applyAlignment="1">
      <alignment horizontal="center" vertical="center"/>
    </xf>
    <xf numFmtId="10" fontId="0" fillId="0" borderId="23" xfId="5" applyNumberFormat="1" applyFont="1" applyBorder="1" applyAlignment="1">
      <alignment vertical="center"/>
    </xf>
    <xf numFmtId="10" fontId="0" fillId="11" borderId="23" xfId="5" applyNumberFormat="1" applyFont="1" applyFill="1" applyBorder="1" applyAlignment="1">
      <alignment vertical="center"/>
    </xf>
    <xf numFmtId="10" fontId="0" fillId="0" borderId="34" xfId="2" applyNumberFormat="1" applyFont="1" applyBorder="1" applyAlignment="1">
      <alignment vertical="center"/>
    </xf>
    <xf numFmtId="166" fontId="0" fillId="0" borderId="23" xfId="2" applyNumberFormat="1" applyFont="1" applyBorder="1" applyAlignment="1">
      <alignment vertical="center"/>
    </xf>
    <xf numFmtId="166" fontId="0" fillId="0" borderId="24" xfId="2" applyNumberFormat="1" applyFont="1" applyBorder="1" applyAlignment="1">
      <alignment vertical="center"/>
    </xf>
    <xf numFmtId="0" fontId="11" fillId="0" borderId="0" xfId="0" applyFont="1" applyAlignment="1">
      <alignment horizontal="left" vertical="center"/>
    </xf>
    <xf numFmtId="165" fontId="0" fillId="0" borderId="0" xfId="2" applyNumberFormat="1" applyFont="1" applyFill="1" applyBorder="1" applyAlignment="1">
      <alignment horizontal="left" vertical="center"/>
    </xf>
    <xf numFmtId="165" fontId="0" fillId="0" borderId="0" xfId="2" applyNumberFormat="1" applyFont="1" applyFill="1" applyAlignment="1">
      <alignment vertical="center"/>
    </xf>
    <xf numFmtId="0" fontId="9" fillId="3" borderId="25" xfId="0" applyFont="1" applyFill="1" applyBorder="1" applyAlignment="1">
      <alignment horizontal="left" vertical="center"/>
    </xf>
    <xf numFmtId="0" fontId="8" fillId="0" borderId="19" xfId="0" applyFont="1" applyBorder="1" applyAlignment="1">
      <alignment horizontal="center" vertical="center"/>
    </xf>
    <xf numFmtId="9" fontId="0" fillId="0" borderId="0" xfId="5" applyFont="1" applyAlignment="1">
      <alignment horizontal="right" vertical="center" wrapText="1"/>
    </xf>
    <xf numFmtId="0" fontId="14" fillId="0" borderId="0" xfId="5" applyNumberFormat="1" applyFont="1" applyFill="1" applyBorder="1" applyAlignment="1">
      <alignment horizontal="center" vertical="center"/>
    </xf>
    <xf numFmtId="9" fontId="0" fillId="0" borderId="0" xfId="5" applyFont="1" applyAlignment="1">
      <alignment horizontal="center"/>
    </xf>
    <xf numFmtId="0" fontId="0" fillId="0" borderId="42" xfId="0" applyBorder="1" applyAlignment="1">
      <alignment vertical="center"/>
    </xf>
    <xf numFmtId="9" fontId="0" fillId="0" borderId="42" xfId="5" applyFont="1" applyFill="1" applyBorder="1" applyAlignment="1">
      <alignment vertical="center"/>
    </xf>
    <xf numFmtId="0" fontId="0" fillId="0" borderId="12" xfId="0" applyBorder="1" applyAlignment="1">
      <alignment vertical="center"/>
    </xf>
    <xf numFmtId="9" fontId="0" fillId="0" borderId="12" xfId="5" applyFont="1" applyFill="1" applyBorder="1" applyAlignment="1">
      <alignment vertical="center"/>
    </xf>
    <xf numFmtId="9" fontId="0" fillId="0" borderId="12" xfId="5" applyFont="1" applyBorder="1" applyAlignment="1">
      <alignment vertical="center"/>
    </xf>
    <xf numFmtId="0" fontId="0" fillId="0" borderId="12" xfId="0" applyBorder="1" applyAlignment="1">
      <alignment horizontal="center" vertical="center"/>
    </xf>
    <xf numFmtId="0" fontId="0" fillId="0" borderId="41" xfId="0" applyBorder="1" applyAlignment="1">
      <alignment vertical="center"/>
    </xf>
    <xf numFmtId="9" fontId="0" fillId="0" borderId="41" xfId="5" applyFont="1" applyFill="1" applyBorder="1" applyAlignment="1">
      <alignment vertical="center"/>
    </xf>
    <xf numFmtId="9" fontId="0" fillId="0" borderId="41" xfId="5" applyFont="1" applyBorder="1" applyAlignment="1">
      <alignment vertical="center"/>
    </xf>
    <xf numFmtId="9" fontId="14" fillId="0" borderId="0" xfId="5" applyFont="1" applyFill="1" applyBorder="1" applyAlignment="1">
      <alignment horizontal="center" vertical="center"/>
    </xf>
    <xf numFmtId="165" fontId="8" fillId="0" borderId="0" xfId="2" applyNumberFormat="1" applyFont="1" applyFill="1"/>
    <xf numFmtId="0" fontId="0" fillId="0" borderId="54" xfId="0" applyBorder="1"/>
    <xf numFmtId="0" fontId="0" fillId="0" borderId="53" xfId="0" applyBorder="1"/>
    <xf numFmtId="1" fontId="8" fillId="0" borderId="0" xfId="2" applyNumberFormat="1" applyFont="1" applyAlignment="1">
      <alignment horizontal="center"/>
    </xf>
    <xf numFmtId="168" fontId="11" fillId="17" borderId="7" xfId="4" applyFont="1" applyFill="1" applyBorder="1" applyAlignment="1">
      <alignment horizontal="center" vertical="center"/>
    </xf>
    <xf numFmtId="0" fontId="12" fillId="0" borderId="0" xfId="0" applyFont="1"/>
    <xf numFmtId="0" fontId="23" fillId="0" borderId="0" xfId="0" applyFont="1"/>
    <xf numFmtId="0" fontId="24" fillId="0" borderId="0" xfId="0" applyFont="1" applyAlignment="1">
      <alignment horizontal="right"/>
    </xf>
    <xf numFmtId="0" fontId="33" fillId="0" borderId="0" xfId="1" applyFont="1" applyFill="1" applyBorder="1" applyAlignment="1">
      <alignment horizontal="right"/>
    </xf>
    <xf numFmtId="9" fontId="0" fillId="0" borderId="0" xfId="0" applyNumberFormat="1" applyAlignment="1">
      <alignment horizontal="center"/>
    </xf>
    <xf numFmtId="0" fontId="33" fillId="0" borderId="7" xfId="1" applyFont="1" applyBorder="1" applyAlignment="1"/>
    <xf numFmtId="9" fontId="0" fillId="0" borderId="7" xfId="0" applyNumberFormat="1" applyBorder="1" applyAlignment="1">
      <alignment horizontal="center"/>
    </xf>
    <xf numFmtId="0" fontId="7" fillId="15" borderId="7" xfId="0" applyFont="1" applyFill="1" applyBorder="1"/>
    <xf numFmtId="0" fontId="23" fillId="3" borderId="0" xfId="0" applyFont="1" applyFill="1"/>
    <xf numFmtId="0" fontId="9" fillId="7" borderId="0" xfId="0" applyFont="1" applyFill="1" applyAlignment="1">
      <alignment horizontal="left" vertical="center"/>
    </xf>
    <xf numFmtId="0" fontId="40" fillId="0" borderId="0" xfId="0" applyFont="1" applyAlignment="1">
      <alignment horizontal="center" vertical="center"/>
    </xf>
    <xf numFmtId="0" fontId="40" fillId="0" borderId="0" xfId="0" applyFont="1"/>
    <xf numFmtId="41" fontId="0" fillId="0" borderId="0" xfId="9" applyFont="1" applyAlignment="1">
      <alignment vertical="center"/>
    </xf>
    <xf numFmtId="41" fontId="0" fillId="0" borderId="0" xfId="9" applyFont="1" applyFill="1"/>
    <xf numFmtId="0" fontId="0" fillId="8" borderId="7" xfId="0" applyFill="1" applyBorder="1" applyAlignment="1">
      <alignment vertical="center"/>
    </xf>
    <xf numFmtId="41" fontId="0" fillId="8" borderId="7" xfId="0" applyNumberFormat="1" applyFill="1" applyBorder="1" applyAlignment="1">
      <alignment horizontal="left" vertical="center"/>
    </xf>
    <xf numFmtId="41" fontId="0" fillId="8" borderId="7" xfId="9" applyFont="1" applyFill="1" applyBorder="1" applyAlignment="1">
      <alignment horizontal="left" vertical="center"/>
    </xf>
    <xf numFmtId="0" fontId="9" fillId="0" borderId="0" xfId="0" applyFont="1" applyAlignment="1">
      <alignment vertical="center"/>
    </xf>
    <xf numFmtId="165" fontId="0" fillId="0" borderId="7" xfId="9" applyNumberFormat="1" applyFont="1" applyBorder="1"/>
    <xf numFmtId="0" fontId="20" fillId="10" borderId="12" xfId="0" applyFont="1" applyFill="1" applyBorder="1" applyAlignment="1">
      <alignment horizontal="center" vertical="center" wrapText="1"/>
    </xf>
    <xf numFmtId="14" fontId="20" fillId="10" borderId="12" xfId="0" applyNumberFormat="1" applyFont="1" applyFill="1" applyBorder="1" applyAlignment="1">
      <alignment horizontal="center" vertical="center" wrapText="1"/>
    </xf>
    <xf numFmtId="165" fontId="20" fillId="10" borderId="12" xfId="2" applyNumberFormat="1" applyFont="1" applyFill="1" applyBorder="1" applyAlignment="1">
      <alignment horizontal="center" vertical="center"/>
    </xf>
    <xf numFmtId="16" fontId="14" fillId="0" borderId="12" xfId="0" applyNumberFormat="1" applyFont="1" applyBorder="1" applyAlignment="1">
      <alignment horizontal="center" vertical="center" wrapText="1"/>
    </xf>
    <xf numFmtId="14" fontId="14" fillId="0" borderId="12" xfId="0" applyNumberFormat="1" applyFont="1" applyBorder="1" applyAlignment="1">
      <alignment horizontal="center" vertical="center" wrapText="1"/>
    </xf>
    <xf numFmtId="165" fontId="0" fillId="0" borderId="12" xfId="0" applyNumberFormat="1" applyBorder="1" applyAlignment="1">
      <alignment vertical="center"/>
    </xf>
    <xf numFmtId="16" fontId="14" fillId="16" borderId="12" xfId="0" applyNumberFormat="1" applyFont="1" applyFill="1" applyBorder="1" applyAlignment="1">
      <alignment horizontal="center" vertical="center" wrapText="1"/>
    </xf>
    <xf numFmtId="14" fontId="14" fillId="16" borderId="12" xfId="0" applyNumberFormat="1" applyFont="1" applyFill="1" applyBorder="1" applyAlignment="1">
      <alignment horizontal="center" vertical="center" wrapText="1"/>
    </xf>
    <xf numFmtId="165" fontId="0" fillId="16" borderId="12" xfId="2" applyNumberFormat="1" applyFont="1" applyFill="1" applyBorder="1" applyAlignment="1">
      <alignment vertical="center"/>
    </xf>
    <xf numFmtId="165" fontId="0" fillId="16" borderId="12" xfId="0" applyNumberFormat="1" applyFill="1" applyBorder="1" applyAlignment="1">
      <alignment vertical="center"/>
    </xf>
    <xf numFmtId="14" fontId="0" fillId="0" borderId="0" xfId="0" applyNumberFormat="1" applyAlignment="1">
      <alignment vertical="center"/>
    </xf>
    <xf numFmtId="165" fontId="8" fillId="0" borderId="19" xfId="0" applyNumberFormat="1" applyFont="1" applyBorder="1" applyAlignment="1">
      <alignment horizontal="center" vertical="center"/>
    </xf>
    <xf numFmtId="165" fontId="8" fillId="0" borderId="19" xfId="2" applyNumberFormat="1" applyFont="1" applyBorder="1" applyAlignment="1">
      <alignment horizontal="center" vertical="center"/>
    </xf>
    <xf numFmtId="165" fontId="8" fillId="10" borderId="44" xfId="2" applyNumberFormat="1" applyFont="1" applyFill="1" applyBorder="1" applyAlignment="1">
      <alignment horizontal="center" vertical="center"/>
    </xf>
    <xf numFmtId="165" fontId="14" fillId="10" borderId="44" xfId="2" applyNumberFormat="1" applyFont="1" applyFill="1" applyBorder="1" applyAlignment="1">
      <alignment horizontal="center" vertical="center"/>
    </xf>
    <xf numFmtId="165" fontId="8" fillId="10" borderId="10" xfId="0" applyNumberFormat="1" applyFont="1" applyFill="1" applyBorder="1" applyAlignment="1">
      <alignment horizontal="center" vertical="center"/>
    </xf>
    <xf numFmtId="0" fontId="13" fillId="0" borderId="12" xfId="0" applyFont="1" applyBorder="1" applyAlignment="1">
      <alignment horizontal="center" vertical="center"/>
    </xf>
    <xf numFmtId="0" fontId="0" fillId="0" borderId="0" xfId="0" applyAlignment="1">
      <alignment horizontal="right" vertical="center"/>
    </xf>
    <xf numFmtId="0" fontId="13" fillId="0" borderId="0" xfId="0" applyFont="1" applyAlignment="1">
      <alignment horizontal="center" vertical="center"/>
    </xf>
    <xf numFmtId="0" fontId="0" fillId="0" borderId="18" xfId="0" applyBorder="1" applyAlignment="1">
      <alignment vertical="center"/>
    </xf>
    <xf numFmtId="43" fontId="0" fillId="0" borderId="0" xfId="0" applyNumberFormat="1" applyAlignment="1">
      <alignmen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19" xfId="0" applyBorder="1" applyAlignment="1">
      <alignment vertical="center"/>
    </xf>
    <xf numFmtId="165" fontId="14" fillId="0" borderId="19" xfId="2" applyNumberFormat="1" applyFont="1" applyBorder="1" applyAlignment="1">
      <alignment horizontal="center" vertical="center"/>
    </xf>
    <xf numFmtId="165" fontId="8" fillId="10" borderId="10" xfId="2" applyNumberFormat="1" applyFont="1" applyFill="1" applyBorder="1" applyAlignment="1">
      <alignment horizontal="center" vertical="center"/>
    </xf>
    <xf numFmtId="0" fontId="9" fillId="5" borderId="11" xfId="0" applyFont="1" applyFill="1" applyBorder="1" applyAlignment="1">
      <alignment horizontal="left" vertical="center"/>
    </xf>
    <xf numFmtId="165" fontId="9" fillId="5" borderId="43" xfId="2" applyNumberFormat="1" applyFont="1" applyFill="1" applyBorder="1" applyAlignment="1">
      <alignment horizontal="center" vertical="center"/>
    </xf>
    <xf numFmtId="165" fontId="9" fillId="5" borderId="11" xfId="2" applyNumberFormat="1" applyFont="1" applyFill="1" applyBorder="1" applyAlignment="1">
      <alignment horizontal="center" vertical="center"/>
    </xf>
    <xf numFmtId="165" fontId="0" fillId="0" borderId="56" xfId="2" applyNumberFormat="1" applyFont="1" applyBorder="1" applyAlignment="1">
      <alignment horizontal="center" vertical="center"/>
    </xf>
    <xf numFmtId="165" fontId="8" fillId="0" borderId="56" xfId="2" applyNumberFormat="1" applyFont="1" applyBorder="1" applyAlignment="1">
      <alignment horizontal="center" vertical="center"/>
    </xf>
    <xf numFmtId="165" fontId="14" fillId="0" borderId="56" xfId="2" applyNumberFormat="1" applyFont="1" applyBorder="1" applyAlignment="1">
      <alignment horizontal="center" vertical="center"/>
    </xf>
    <xf numFmtId="165" fontId="8" fillId="0" borderId="55" xfId="2" applyNumberFormat="1" applyFont="1" applyBorder="1" applyAlignment="1">
      <alignment horizontal="center" vertical="center"/>
    </xf>
    <xf numFmtId="165" fontId="8" fillId="0" borderId="55" xfId="0" applyNumberFormat="1" applyFont="1" applyBorder="1" applyAlignment="1">
      <alignment horizontal="center" vertical="center"/>
    </xf>
    <xf numFmtId="0" fontId="25" fillId="0" borderId="19" xfId="0" quotePrefix="1" applyFont="1" applyBorder="1" applyAlignment="1">
      <alignment horizontal="left" vertical="center"/>
    </xf>
    <xf numFmtId="0" fontId="23" fillId="10" borderId="10" xfId="0" quotePrefix="1" applyFont="1" applyFill="1" applyBorder="1" applyAlignment="1">
      <alignment horizontal="left" vertical="center"/>
    </xf>
    <xf numFmtId="0" fontId="23" fillId="0" borderId="55" xfId="0" applyFont="1" applyBorder="1" applyAlignment="1">
      <alignment horizontal="left" vertical="center"/>
    </xf>
    <xf numFmtId="0" fontId="23" fillId="0" borderId="55" xfId="0" quotePrefix="1" applyFont="1" applyBorder="1" applyAlignment="1">
      <alignment horizontal="left" vertical="center"/>
    </xf>
    <xf numFmtId="0" fontId="43" fillId="5" borderId="19" xfId="0" quotePrefix="1" applyFont="1" applyFill="1" applyBorder="1" applyAlignment="1">
      <alignment horizontal="left" vertical="center"/>
    </xf>
    <xf numFmtId="165" fontId="11" fillId="5" borderId="0" xfId="2" applyNumberFormat="1" applyFont="1" applyFill="1" applyBorder="1" applyAlignment="1">
      <alignment horizontal="center" vertical="center"/>
    </xf>
    <xf numFmtId="165" fontId="11" fillId="5" borderId="19" xfId="2" applyNumberFormat="1" applyFont="1" applyFill="1" applyBorder="1" applyAlignment="1">
      <alignment horizontal="center" vertical="center"/>
    </xf>
    <xf numFmtId="0" fontId="43" fillId="5" borderId="10" xfId="0" quotePrefix="1" applyFont="1" applyFill="1" applyBorder="1" applyAlignment="1">
      <alignment horizontal="left" vertical="center"/>
    </xf>
    <xf numFmtId="165" fontId="11" fillId="5" borderId="44" xfId="2" applyNumberFormat="1" applyFont="1" applyFill="1" applyBorder="1" applyAlignment="1">
      <alignment horizontal="center" vertical="center"/>
    </xf>
    <xf numFmtId="165" fontId="11" fillId="5" borderId="10" xfId="2" applyNumberFormat="1" applyFont="1" applyFill="1" applyBorder="1" applyAlignment="1">
      <alignment horizontal="center" vertical="center"/>
    </xf>
    <xf numFmtId="0" fontId="9" fillId="3" borderId="57" xfId="0" applyFont="1" applyFill="1" applyBorder="1" applyAlignment="1">
      <alignment vertical="center"/>
    </xf>
    <xf numFmtId="0" fontId="14" fillId="0" borderId="58" xfId="0" applyFont="1" applyBorder="1" applyAlignment="1">
      <alignment vertical="center"/>
    </xf>
    <xf numFmtId="0" fontId="0" fillId="10" borderId="59" xfId="0" applyFill="1" applyBorder="1" applyAlignment="1">
      <alignment vertical="center"/>
    </xf>
    <xf numFmtId="0" fontId="25" fillId="0" borderId="58" xfId="0" applyFont="1" applyBorder="1" applyAlignment="1">
      <alignment vertical="center"/>
    </xf>
    <xf numFmtId="0" fontId="0" fillId="0" borderId="60" xfId="0" applyBorder="1" applyAlignment="1">
      <alignment vertical="center"/>
    </xf>
    <xf numFmtId="0" fontId="11" fillId="5" borderId="58" xfId="0" applyFont="1" applyFill="1" applyBorder="1" applyAlignment="1">
      <alignment vertical="center"/>
    </xf>
    <xf numFmtId="0" fontId="11" fillId="5" borderId="59" xfId="0" applyFont="1" applyFill="1" applyBorder="1" applyAlignment="1">
      <alignment vertical="center"/>
    </xf>
    <xf numFmtId="0" fontId="12" fillId="3" borderId="0" xfId="0" applyFont="1" applyFill="1"/>
    <xf numFmtId="176" fontId="0" fillId="0" borderId="0" xfId="2" applyNumberFormat="1" applyFont="1"/>
    <xf numFmtId="176" fontId="8" fillId="5" borderId="61" xfId="2" applyNumberFormat="1" applyFont="1" applyFill="1" applyBorder="1" applyAlignment="1">
      <alignment horizontal="center" vertical="center"/>
    </xf>
    <xf numFmtId="9" fontId="8" fillId="5" borderId="51" xfId="5" applyFont="1" applyFill="1" applyBorder="1" applyAlignment="1">
      <alignment horizontal="center" vertical="center"/>
    </xf>
    <xf numFmtId="0" fontId="44" fillId="0" borderId="0" xfId="0" applyFont="1" applyAlignment="1">
      <alignment horizontal="center" vertical="center"/>
    </xf>
    <xf numFmtId="0" fontId="0" fillId="0" borderId="0" xfId="0" quotePrefix="1"/>
    <xf numFmtId="43" fontId="8" fillId="0" borderId="0" xfId="0" applyNumberFormat="1" applyFont="1"/>
    <xf numFmtId="43" fontId="8" fillId="0" borderId="0" xfId="2" applyNumberFormat="1" applyFont="1"/>
    <xf numFmtId="0" fontId="9" fillId="5" borderId="47" xfId="0" applyFont="1" applyFill="1" applyBorder="1" applyAlignment="1">
      <alignment vertical="center"/>
    </xf>
    <xf numFmtId="0" fontId="0" fillId="0" borderId="47" xfId="0" applyBorder="1" applyAlignment="1">
      <alignment vertical="center"/>
    </xf>
    <xf numFmtId="43" fontId="3" fillId="0" borderId="0" xfId="0" applyNumberFormat="1" applyFont="1"/>
    <xf numFmtId="177" fontId="3" fillId="0" borderId="0" xfId="9" applyNumberFormat="1" applyFont="1"/>
    <xf numFmtId="165" fontId="8" fillId="10" borderId="0" xfId="2" applyNumberFormat="1" applyFont="1" applyFill="1"/>
    <xf numFmtId="0" fontId="0" fillId="0" borderId="39" xfId="0" applyBorder="1" applyAlignment="1">
      <alignment horizontal="left" vertical="center"/>
    </xf>
    <xf numFmtId="0" fontId="8" fillId="5" borderId="9" xfId="0" applyFont="1" applyFill="1" applyBorder="1" applyAlignment="1">
      <alignment horizontal="left" vertical="center"/>
    </xf>
    <xf numFmtId="0" fontId="8" fillId="5" borderId="12" xfId="0" applyFont="1" applyFill="1" applyBorder="1" applyAlignment="1">
      <alignment horizontal="left" vertical="center"/>
    </xf>
    <xf numFmtId="41" fontId="0" fillId="0" borderId="39" xfId="2" applyNumberFormat="1" applyFont="1" applyBorder="1" applyAlignment="1">
      <alignment vertical="center"/>
    </xf>
    <xf numFmtId="41" fontId="8" fillId="5" borderId="39" xfId="2" applyNumberFormat="1" applyFont="1" applyFill="1" applyBorder="1" applyAlignment="1">
      <alignment vertical="center"/>
    </xf>
    <xf numFmtId="41" fontId="8" fillId="5" borderId="12" xfId="2" applyNumberFormat="1" applyFont="1" applyFill="1" applyBorder="1" applyAlignment="1">
      <alignment vertical="center"/>
    </xf>
    <xf numFmtId="41" fontId="0" fillId="0" borderId="39" xfId="0" applyNumberFormat="1" applyBorder="1" applyAlignment="1">
      <alignment vertical="center"/>
    </xf>
    <xf numFmtId="41" fontId="8" fillId="5" borderId="12" xfId="0" applyNumberFormat="1" applyFont="1" applyFill="1" applyBorder="1" applyAlignment="1">
      <alignment horizontal="left" vertical="center"/>
    </xf>
    <xf numFmtId="41" fontId="37" fillId="20" borderId="12" xfId="2" applyNumberFormat="1" applyFont="1" applyFill="1" applyBorder="1" applyAlignment="1">
      <alignment vertical="center"/>
    </xf>
    <xf numFmtId="0" fontId="0" fillId="0" borderId="62" xfId="0" applyBorder="1"/>
    <xf numFmtId="0" fontId="0" fillId="0" borderId="63" xfId="0" applyBorder="1"/>
    <xf numFmtId="0" fontId="8" fillId="0" borderId="7" xfId="0" applyFont="1" applyBorder="1"/>
    <xf numFmtId="0" fontId="11" fillId="11" borderId="12" xfId="0" applyFont="1" applyFill="1" applyBorder="1" applyAlignment="1">
      <alignment horizontal="left" vertical="center"/>
    </xf>
    <xf numFmtId="43" fontId="0" fillId="0" borderId="0" xfId="2" applyNumberFormat="1" applyFont="1"/>
    <xf numFmtId="0" fontId="9" fillId="0" borderId="0" xfId="0" applyFont="1" applyAlignment="1">
      <alignment horizontal="center"/>
    </xf>
    <xf numFmtId="14" fontId="0" fillId="0" borderId="7" xfId="0" applyNumberFormat="1" applyBorder="1" applyAlignment="1">
      <alignment vertical="center"/>
    </xf>
    <xf numFmtId="176" fontId="0" fillId="0" borderId="7" xfId="2" applyNumberFormat="1" applyFont="1" applyBorder="1" applyAlignment="1">
      <alignment vertical="center"/>
    </xf>
    <xf numFmtId="43" fontId="0" fillId="0" borderId="7" xfId="0" applyNumberFormat="1" applyBorder="1" applyAlignment="1">
      <alignment vertical="center"/>
    </xf>
    <xf numFmtId="14" fontId="13" fillId="17" borderId="0" xfId="9" applyNumberFormat="1" applyFont="1" applyFill="1" applyBorder="1" applyAlignment="1">
      <alignment horizontal="center" vertical="center"/>
    </xf>
    <xf numFmtId="14" fontId="6" fillId="0" borderId="0" xfId="9" applyNumberFormat="1" applyFont="1" applyBorder="1"/>
    <xf numFmtId="14" fontId="6" fillId="0" borderId="0" xfId="9" applyNumberFormat="1" applyFont="1"/>
    <xf numFmtId="14" fontId="6" fillId="0" borderId="7" xfId="9" applyNumberFormat="1" applyFont="1" applyBorder="1"/>
    <xf numFmtId="0" fontId="0" fillId="0" borderId="7" xfId="0" applyBorder="1" applyAlignment="1">
      <alignment vertical="center"/>
    </xf>
    <xf numFmtId="0" fontId="0" fillId="0" borderId="17" xfId="0" applyBorder="1" applyAlignment="1">
      <alignment horizontal="center" vertical="center"/>
    </xf>
    <xf numFmtId="0" fontId="0" fillId="0" borderId="16" xfId="0" applyBorder="1" applyAlignment="1">
      <alignment vertical="center"/>
    </xf>
    <xf numFmtId="0" fontId="45" fillId="15" borderId="64" xfId="0" applyFont="1" applyFill="1" applyBorder="1" applyAlignment="1">
      <alignment horizontal="center" vertical="center"/>
    </xf>
    <xf numFmtId="0" fontId="45" fillId="15" borderId="8" xfId="0" applyFont="1" applyFill="1" applyBorder="1" applyAlignment="1">
      <alignment horizontal="center" vertical="center"/>
    </xf>
    <xf numFmtId="0" fontId="45" fillId="15" borderId="65" xfId="0" applyFont="1" applyFill="1" applyBorder="1" applyAlignment="1">
      <alignment horizontal="center" vertical="center"/>
    </xf>
    <xf numFmtId="0" fontId="0" fillId="0" borderId="66" xfId="0" applyBorder="1" applyAlignment="1">
      <alignment horizontal="center" vertical="center"/>
    </xf>
    <xf numFmtId="14" fontId="0" fillId="0" borderId="15" xfId="0" applyNumberFormat="1" applyBorder="1" applyAlignment="1">
      <alignment vertical="center"/>
    </xf>
    <xf numFmtId="176" fontId="0" fillId="0" borderId="15" xfId="2" applyNumberFormat="1" applyFont="1" applyBorder="1" applyAlignment="1">
      <alignment vertical="center"/>
    </xf>
    <xf numFmtId="43" fontId="0" fillId="0" borderId="15" xfId="0" applyNumberFormat="1" applyBorder="1" applyAlignment="1">
      <alignment vertical="center"/>
    </xf>
    <xf numFmtId="0" fontId="46" fillId="0" borderId="0" xfId="0" applyFont="1" applyAlignment="1">
      <alignment horizontal="center" vertical="center"/>
    </xf>
    <xf numFmtId="0" fontId="46" fillId="0" borderId="0" xfId="0" applyFont="1"/>
    <xf numFmtId="0" fontId="0" fillId="0" borderId="9" xfId="0" applyBorder="1" applyAlignment="1">
      <alignment horizontal="left" vertical="center"/>
    </xf>
    <xf numFmtId="165" fontId="9" fillId="0" borderId="0" xfId="3" applyNumberFormat="1" applyFont="1" applyAlignment="1">
      <alignment vertical="center"/>
    </xf>
    <xf numFmtId="165" fontId="8" fillId="0" borderId="0" xfId="3" applyNumberFormat="1" applyFont="1" applyAlignment="1">
      <alignment vertical="center"/>
    </xf>
    <xf numFmtId="1" fontId="0" fillId="0" borderId="0" xfId="0" applyNumberFormat="1" applyAlignment="1">
      <alignment vertical="center"/>
    </xf>
    <xf numFmtId="41" fontId="3" fillId="0" borderId="0" xfId="0" applyNumberFormat="1" applyFont="1"/>
    <xf numFmtId="176" fontId="0" fillId="0" borderId="0" xfId="2" applyNumberFormat="1" applyFont="1" applyAlignment="1">
      <alignment vertical="center"/>
    </xf>
    <xf numFmtId="176" fontId="0" fillId="0" borderId="0" xfId="0" applyNumberFormat="1"/>
    <xf numFmtId="165" fontId="0" fillId="0" borderId="0" xfId="0" applyNumberFormat="1" applyAlignment="1">
      <alignment horizontal="center" vertical="center"/>
    </xf>
    <xf numFmtId="0" fontId="14" fillId="11" borderId="18" xfId="0" applyFont="1" applyFill="1" applyBorder="1" applyAlignment="1">
      <alignment horizontal="center" vertical="center"/>
    </xf>
    <xf numFmtId="43" fontId="0" fillId="0" borderId="47" xfId="0" applyNumberFormat="1" applyBorder="1" applyAlignment="1">
      <alignment vertical="center"/>
    </xf>
    <xf numFmtId="43" fontId="0" fillId="0" borderId="47" xfId="9" applyNumberFormat="1" applyFont="1" applyBorder="1" applyAlignment="1">
      <alignment vertical="center"/>
    </xf>
    <xf numFmtId="165" fontId="8" fillId="5" borderId="30" xfId="2" applyNumberFormat="1" applyFont="1" applyFill="1" applyBorder="1" applyAlignment="1">
      <alignment horizontal="center" vertical="center"/>
    </xf>
    <xf numFmtId="165" fontId="8" fillId="5" borderId="30" xfId="2" applyNumberFormat="1" applyFont="1" applyFill="1" applyBorder="1" applyAlignment="1">
      <alignment horizontal="center" vertical="center" wrapText="1"/>
    </xf>
    <xf numFmtId="0" fontId="8" fillId="5" borderId="30" xfId="0" applyFont="1" applyFill="1" applyBorder="1" applyAlignment="1">
      <alignment horizontal="center" vertical="center" wrapText="1"/>
    </xf>
    <xf numFmtId="165" fontId="8" fillId="5" borderId="38" xfId="2" applyNumberFormat="1" applyFont="1" applyFill="1" applyBorder="1" applyAlignment="1">
      <alignment horizontal="center" vertical="center" wrapText="1"/>
    </xf>
    <xf numFmtId="165" fontId="8" fillId="5" borderId="35" xfId="2" applyNumberFormat="1" applyFont="1" applyFill="1" applyBorder="1" applyAlignment="1">
      <alignment horizontal="center" vertical="center"/>
    </xf>
    <xf numFmtId="0" fontId="11" fillId="5" borderId="40" xfId="0" applyFont="1" applyFill="1" applyBorder="1" applyAlignment="1">
      <alignment horizontal="left" vertical="center"/>
    </xf>
    <xf numFmtId="0" fontId="11" fillId="5" borderId="14" xfId="0" applyFont="1" applyFill="1" applyBorder="1" applyAlignment="1">
      <alignment horizontal="left" vertical="center"/>
    </xf>
    <xf numFmtId="0" fontId="11" fillId="5" borderId="21" xfId="0" applyFont="1" applyFill="1" applyBorder="1" applyAlignment="1">
      <alignment horizontal="center" vertical="center"/>
    </xf>
    <xf numFmtId="0" fontId="11" fillId="5" borderId="20" xfId="0" applyFont="1" applyFill="1" applyBorder="1" applyAlignment="1">
      <alignment horizontal="center" vertical="center"/>
    </xf>
    <xf numFmtId="0" fontId="13" fillId="3" borderId="30" xfId="0" applyFont="1" applyFill="1" applyBorder="1" applyAlignment="1">
      <alignment vertical="center"/>
    </xf>
    <xf numFmtId="0" fontId="8" fillId="5" borderId="30" xfId="0" applyFont="1" applyFill="1" applyBorder="1" applyAlignment="1">
      <alignment horizontal="center" vertical="center"/>
    </xf>
    <xf numFmtId="0" fontId="8" fillId="5" borderId="27" xfId="0" applyFont="1" applyFill="1" applyBorder="1" applyAlignment="1">
      <alignment horizontal="center" vertical="center"/>
    </xf>
    <xf numFmtId="0" fontId="8" fillId="5" borderId="32" xfId="0" applyFont="1" applyFill="1" applyBorder="1" applyAlignment="1">
      <alignment horizontal="center" vertical="center"/>
    </xf>
    <xf numFmtId="0" fontId="8" fillId="5" borderId="26" xfId="0" applyFont="1" applyFill="1" applyBorder="1" applyAlignment="1">
      <alignment horizontal="center" vertical="center"/>
    </xf>
    <xf numFmtId="165" fontId="8" fillId="5" borderId="35" xfId="2" applyNumberFormat="1" applyFont="1" applyFill="1" applyBorder="1" applyAlignment="1">
      <alignment horizontal="center" vertical="center" wrapText="1"/>
    </xf>
    <xf numFmtId="0" fontId="8" fillId="5" borderId="41" xfId="0" applyFont="1" applyFill="1" applyBorder="1" applyAlignment="1">
      <alignment horizontal="center" vertical="center"/>
    </xf>
    <xf numFmtId="0" fontId="8" fillId="5" borderId="39" xfId="0" applyFont="1" applyFill="1" applyBorder="1" applyAlignment="1">
      <alignment horizontal="center" vertical="center"/>
    </xf>
    <xf numFmtId="165" fontId="8" fillId="5" borderId="41" xfId="2" applyNumberFormat="1" applyFont="1" applyFill="1" applyBorder="1" applyAlignment="1">
      <alignment horizontal="center" vertical="center" wrapText="1"/>
    </xf>
    <xf numFmtId="165" fontId="8" fillId="5" borderId="39" xfId="2" applyNumberFormat="1" applyFont="1" applyFill="1" applyBorder="1" applyAlignment="1">
      <alignment horizontal="center" vertical="center" wrapText="1"/>
    </xf>
    <xf numFmtId="165" fontId="8" fillId="5" borderId="42" xfId="2" applyNumberFormat="1" applyFont="1" applyFill="1" applyBorder="1" applyAlignment="1">
      <alignment horizontal="center" vertical="center" wrapText="1"/>
    </xf>
    <xf numFmtId="0" fontId="8" fillId="5" borderId="41" xfId="2" applyNumberFormat="1" applyFont="1" applyFill="1" applyBorder="1" applyAlignment="1">
      <alignment horizontal="center" vertical="center" wrapText="1"/>
    </xf>
    <xf numFmtId="0" fontId="8" fillId="5" borderId="39" xfId="2" applyNumberFormat="1" applyFont="1" applyFill="1" applyBorder="1" applyAlignment="1">
      <alignment horizontal="center" vertical="center" wrapText="1"/>
    </xf>
    <xf numFmtId="0" fontId="8" fillId="5" borderId="42" xfId="2" applyNumberFormat="1" applyFont="1"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xf>
    <xf numFmtId="0" fontId="0" fillId="0" borderId="0" xfId="0" applyAlignment="1">
      <alignment horizontal="center" vertical="center" wrapText="1"/>
    </xf>
    <xf numFmtId="0" fontId="23" fillId="7" borderId="0" xfId="0" applyFont="1" applyFill="1" applyAlignment="1">
      <alignment horizontal="center" vertical="center"/>
    </xf>
    <xf numFmtId="0" fontId="22" fillId="8" borderId="0" xfId="0" applyFont="1" applyFill="1" applyAlignment="1">
      <alignment horizontal="left" vertical="center"/>
    </xf>
    <xf numFmtId="168" fontId="20" fillId="5" borderId="40" xfId="8" applyFont="1" applyFill="1" applyBorder="1" applyAlignment="1">
      <alignment horizontal="center" vertical="center" readingOrder="1"/>
    </xf>
    <xf numFmtId="168" fontId="20" fillId="5" borderId="14" xfId="8" applyFont="1" applyFill="1" applyBorder="1" applyAlignment="1">
      <alignment horizontal="center" vertical="center" readingOrder="1"/>
    </xf>
    <xf numFmtId="169" fontId="20" fillId="5" borderId="0" xfId="8" applyNumberFormat="1" applyFont="1" applyFill="1" applyAlignment="1">
      <alignment horizontal="center" vertical="center" readingOrder="1"/>
    </xf>
    <xf numFmtId="169" fontId="20" fillId="5" borderId="9" xfId="8" applyNumberFormat="1" applyFont="1" applyFill="1" applyBorder="1" applyAlignment="1">
      <alignment horizontal="center" vertical="center" readingOrder="1"/>
    </xf>
    <xf numFmtId="169" fontId="21" fillId="5" borderId="21" xfId="8" applyNumberFormat="1" applyFont="1" applyFill="1" applyBorder="1" applyAlignment="1">
      <alignment horizontal="center" vertical="center" readingOrder="1"/>
    </xf>
    <xf numFmtId="169" fontId="21" fillId="5" borderId="44" xfId="8" applyNumberFormat="1" applyFont="1" applyFill="1" applyBorder="1" applyAlignment="1">
      <alignment horizontal="center" vertical="center" readingOrder="1"/>
    </xf>
    <xf numFmtId="169" fontId="21" fillId="5" borderId="20" xfId="8" applyNumberFormat="1" applyFont="1" applyFill="1" applyBorder="1" applyAlignment="1">
      <alignment horizontal="center" vertical="center" readingOrder="1"/>
    </xf>
    <xf numFmtId="169" fontId="21" fillId="5" borderId="10" xfId="8" applyNumberFormat="1" applyFont="1" applyFill="1" applyBorder="1" applyAlignment="1">
      <alignment horizontal="center" vertical="center" readingOrder="1"/>
    </xf>
    <xf numFmtId="169" fontId="20" fillId="5" borderId="21" xfId="8" applyNumberFormat="1" applyFont="1" applyFill="1" applyBorder="1" applyAlignment="1">
      <alignment horizontal="center" vertical="center" readingOrder="1"/>
    </xf>
    <xf numFmtId="169" fontId="20" fillId="5" borderId="44" xfId="8" applyNumberFormat="1" applyFont="1" applyFill="1" applyBorder="1" applyAlignment="1">
      <alignment horizontal="center" vertical="center" readingOrder="1"/>
    </xf>
    <xf numFmtId="0" fontId="9" fillId="7" borderId="9" xfId="0" applyFont="1" applyFill="1" applyBorder="1" applyAlignment="1">
      <alignment horizontal="center" vertical="center"/>
    </xf>
    <xf numFmtId="0" fontId="9" fillId="7" borderId="14" xfId="0" applyFont="1" applyFill="1" applyBorder="1" applyAlignment="1">
      <alignment horizontal="center" vertical="center"/>
    </xf>
    <xf numFmtId="0" fontId="9" fillId="7" borderId="40" xfId="0" applyFont="1" applyFill="1" applyBorder="1" applyAlignment="1">
      <alignment horizontal="center" vertical="center" wrapText="1"/>
    </xf>
    <xf numFmtId="0" fontId="23" fillId="7" borderId="0" xfId="0" quotePrefix="1" applyFont="1" applyFill="1" applyAlignment="1">
      <alignment horizontal="left" vertical="center" wrapText="1"/>
    </xf>
    <xf numFmtId="0" fontId="23" fillId="7" borderId="12" xfId="0" quotePrefix="1" applyFont="1" applyFill="1" applyBorder="1" applyAlignment="1">
      <alignment horizontal="left" vertical="top" wrapText="1"/>
    </xf>
    <xf numFmtId="0" fontId="23" fillId="7" borderId="0" xfId="0" quotePrefix="1" applyFont="1" applyFill="1" applyAlignment="1">
      <alignment horizontal="left" vertical="top" wrapText="1"/>
    </xf>
    <xf numFmtId="0" fontId="28" fillId="7" borderId="0" xfId="0" quotePrefix="1" applyFont="1" applyFill="1" applyAlignment="1">
      <alignment horizontal="left" vertical="center" wrapText="1"/>
    </xf>
    <xf numFmtId="0" fontId="9" fillId="7" borderId="0" xfId="0" applyFont="1" applyFill="1" applyAlignment="1">
      <alignment horizontal="left" vertical="center"/>
    </xf>
    <xf numFmtId="41" fontId="9" fillId="16" borderId="16" xfId="9" applyFont="1" applyFill="1" applyBorder="1" applyAlignment="1">
      <alignment horizontal="center" vertical="center"/>
    </xf>
    <xf numFmtId="41" fontId="9" fillId="16" borderId="17" xfId="9" applyFont="1" applyFill="1" applyBorder="1" applyAlignment="1">
      <alignment horizontal="center" vertical="center"/>
    </xf>
    <xf numFmtId="41" fontId="9" fillId="16" borderId="15" xfId="9" applyFont="1" applyFill="1" applyBorder="1" applyAlignment="1">
      <alignment horizontal="center" vertical="center"/>
    </xf>
    <xf numFmtId="41" fontId="9" fillId="16" borderId="8" xfId="9" applyFont="1" applyFill="1" applyBorder="1" applyAlignment="1">
      <alignment horizontal="center" vertical="center"/>
    </xf>
    <xf numFmtId="0" fontId="9" fillId="10" borderId="13" xfId="0" applyFont="1" applyFill="1" applyBorder="1" applyAlignment="1">
      <alignment horizontal="center" vertical="center" wrapText="1"/>
    </xf>
    <xf numFmtId="0" fontId="9" fillId="10" borderId="43" xfId="0" applyFont="1" applyFill="1" applyBorder="1" applyAlignment="1">
      <alignment horizontal="center" vertical="center" wrapText="1"/>
    </xf>
    <xf numFmtId="0" fontId="9" fillId="10" borderId="11" xfId="0" applyFont="1" applyFill="1" applyBorder="1" applyAlignment="1">
      <alignment horizontal="center" vertical="center" wrapText="1"/>
    </xf>
    <xf numFmtId="0" fontId="9" fillId="10" borderId="41" xfId="0" applyFont="1" applyFill="1" applyBorder="1" applyAlignment="1">
      <alignment horizontal="center" vertical="center" wrapText="1"/>
    </xf>
    <xf numFmtId="0" fontId="9" fillId="10" borderId="42" xfId="0" applyFont="1" applyFill="1" applyBorder="1" applyAlignment="1">
      <alignment horizontal="center" vertical="center" wrapText="1"/>
    </xf>
    <xf numFmtId="0" fontId="0" fillId="0" borderId="41" xfId="0" applyBorder="1" applyAlignment="1">
      <alignment horizontal="center" vertical="center" wrapText="1"/>
    </xf>
    <xf numFmtId="0" fontId="0" fillId="0" borderId="39" xfId="0" applyBorder="1" applyAlignment="1">
      <alignment horizontal="center" vertical="center" wrapText="1"/>
    </xf>
    <xf numFmtId="0" fontId="0" fillId="0" borderId="42" xfId="0" applyBorder="1" applyAlignment="1">
      <alignment horizontal="center" vertical="center" wrapText="1"/>
    </xf>
    <xf numFmtId="0" fontId="0" fillId="0" borderId="41" xfId="0" applyBorder="1" applyAlignment="1">
      <alignment horizontal="center" vertical="center"/>
    </xf>
    <xf numFmtId="0" fontId="0" fillId="0" borderId="39" xfId="0" applyBorder="1" applyAlignment="1">
      <alignment horizontal="center" vertical="center"/>
    </xf>
    <xf numFmtId="0" fontId="0" fillId="0" borderId="42" xfId="0" applyBorder="1" applyAlignment="1">
      <alignment horizontal="center" vertical="center"/>
    </xf>
    <xf numFmtId="0" fontId="23" fillId="0" borderId="41" xfId="0" applyFont="1" applyBorder="1" applyAlignment="1">
      <alignment horizontal="center" vertical="center"/>
    </xf>
    <xf numFmtId="0" fontId="23" fillId="0" borderId="39" xfId="0" applyFont="1" applyBorder="1" applyAlignment="1">
      <alignment horizontal="center" vertical="center"/>
    </xf>
    <xf numFmtId="0" fontId="23" fillId="0" borderId="42" xfId="0" applyFont="1" applyBorder="1" applyAlignment="1">
      <alignment horizontal="center" vertical="center"/>
    </xf>
  </cellXfs>
  <cellStyles count="10">
    <cellStyle name="Comma" xfId="2" builtinId="3"/>
    <cellStyle name="Comma [0]" xfId="9" builtinId="6"/>
    <cellStyle name="Comma 13 10 4" xfId="6" xr:uid="{1EA40ED5-B84D-4EBC-9F08-60EC8981B62D}"/>
    <cellStyle name="Comma 2" xfId="3" xr:uid="{846A5888-CEA1-4C96-93CB-0DFD15CE6202}"/>
    <cellStyle name="HeaderStyle 2" xfId="4" xr:uid="{0748FE69-2D8D-45FD-93F3-C9E31D674A0D}"/>
    <cellStyle name="Hyperlink" xfId="1" builtinId="8"/>
    <cellStyle name="Normal" xfId="0" builtinId="0"/>
    <cellStyle name="Normal 76 2" xfId="8" xr:uid="{3D524C3B-526D-4AE4-A123-D39BA6F8542D}"/>
    <cellStyle name="Percent" xfId="5" builtinId="5"/>
    <cellStyle name="Percent 3" xfId="7" xr:uid="{3DFEF16E-B1D5-4670-A5E5-5AF5B740D4CC}"/>
  </cellStyles>
  <dxfs count="337">
    <dxf>
      <font>
        <strike val="0"/>
        <outline val="0"/>
        <shadow val="0"/>
        <u val="none"/>
        <vertAlign val="baseline"/>
        <sz val="11"/>
        <color rgb="FFFF0000"/>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font>
        <b val="0"/>
        <i val="0"/>
        <strike val="0"/>
        <condense val="0"/>
        <extend val="0"/>
        <outline val="0"/>
        <shadow val="0"/>
        <u val="none"/>
        <vertAlign val="baseline"/>
        <sz val="11"/>
        <color rgb="FFFF0000"/>
        <name val="Calibri"/>
        <family val="2"/>
        <scheme val="minor"/>
      </font>
      <fill>
        <patternFill patternType="solid">
          <fgColor indexed="64"/>
          <bgColor theme="5" tint="0.59999389629810485"/>
        </patternFill>
      </fill>
      <alignment horizontal="center" vertical="center" textRotation="0" wrapText="0" indent="0" justifyLastLine="0" shrinkToFit="0" readingOrder="0"/>
    </dxf>
    <dxf>
      <font>
        <strike val="0"/>
        <outline val="0"/>
        <shadow val="0"/>
        <u val="none"/>
        <vertAlign val="baseline"/>
        <sz val="1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fill>
        <patternFill patternType="solid">
          <fgColor indexed="64"/>
          <bgColor theme="5" tint="0.59999389629810485"/>
        </patternFill>
      </fill>
      <alignment horizontal="center" vertical="center" textRotation="0" wrapText="0" indent="0" justifyLastLine="0" shrinkToFit="0" readingOrder="0"/>
    </dxf>
    <dxf>
      <font>
        <strike val="0"/>
        <outline val="0"/>
        <shadow val="0"/>
        <u val="none"/>
        <vertAlign val="baseline"/>
        <sz val="1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fill>
        <patternFill patternType="solid">
          <fgColor indexed="64"/>
          <bgColor theme="5" tint="0.59999389629810485"/>
        </patternFill>
      </fill>
      <alignment horizontal="center" vertical="center" textRotation="0" wrapText="0" indent="0" justifyLastLine="0" shrinkToFit="0" readingOrder="0"/>
    </dxf>
    <dxf>
      <font>
        <strike val="0"/>
        <outline val="0"/>
        <shadow val="0"/>
        <u val="none"/>
        <vertAlign val="baseline"/>
        <sz val="1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9" formatCode="d/m/yyyy"/>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m/yyyy"/>
      <fill>
        <patternFill patternType="solid">
          <fgColor indexed="64"/>
          <bgColor theme="0" tint="-0.14999847407452621"/>
        </patternFill>
      </fill>
      <alignment horizontal="center" vertical="center" textRotation="0" wrapText="0" indent="0" justifyLastLine="0" shrinkToFit="0" readingOrder="0"/>
      <border diagonalUp="0" diagonalDown="0">
        <left/>
        <right style="thin">
          <color theme="2" tint="-0.249977111117893"/>
        </right>
        <top/>
        <bottom/>
        <vertical/>
        <horizontal/>
      </border>
    </dxf>
    <dxf>
      <font>
        <b val="0"/>
        <i val="0"/>
        <strike val="0"/>
        <condense val="0"/>
        <extend val="0"/>
        <outline val="0"/>
        <shadow val="0"/>
        <u val="none"/>
        <vertAlign val="baseline"/>
        <sz val="11"/>
        <color rgb="FFFF0000"/>
        <name val="Calibri"/>
        <family val="2"/>
        <scheme val="minor"/>
      </font>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2" tint="-0.249977111117893"/>
        </left>
        <right/>
        <top/>
        <bottom/>
        <vertical/>
        <horizontal/>
      </border>
    </dxf>
    <dxf>
      <font>
        <b val="0"/>
        <i val="0"/>
        <strike val="0"/>
        <condense val="0"/>
        <extend val="0"/>
        <outline val="0"/>
        <shadow val="0"/>
        <u val="none"/>
        <vertAlign val="baseline"/>
        <sz val="11"/>
        <color rgb="FFFF0000"/>
        <name val="Calibri"/>
        <family val="2"/>
        <scheme val="minor"/>
      </font>
      <numFmt numFmtId="33" formatCode="_(* #,##0_);_(* \(#,##0\);_(* &quot;-&quot;_);_(@_)"/>
      <fill>
        <patternFill patternType="solid">
          <fgColor indexed="64"/>
          <bgColor theme="5"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fill>
        <patternFill patternType="solid">
          <fgColor indexed="64"/>
          <bgColor theme="5"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FF0000"/>
        <name val="Calibri"/>
        <family val="2"/>
        <scheme val="minor"/>
      </font>
      <fill>
        <patternFill patternType="solid">
          <fgColor indexed="64"/>
          <bgColor theme="5" tint="0.59999389629810485"/>
        </patternFill>
      </fill>
      <alignment horizontal="center" vertical="center" textRotation="0" wrapText="0" indent="0" justifyLastLine="0" shrinkToFit="0" readingOrder="0"/>
    </dxf>
    <dxf>
      <border diagonalUp="0" diagonalDown="0">
        <left style="thin">
          <color theme="0" tint="-0.249977111117893"/>
        </left>
        <right style="thin">
          <color theme="0" tint="-0.249977111117893"/>
        </right>
        <top style="thin">
          <color theme="0" tint="-0.249977111117893"/>
        </top>
        <bottom style="thin">
          <color theme="0" tint="-0.249977111117893"/>
        </bottom>
      </border>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border>
        <bottom style="thin">
          <color theme="0" tint="-0.249977111117893"/>
        </bottom>
      </border>
    </dxf>
    <dxf>
      <font>
        <b val="0"/>
        <i val="0"/>
        <strike val="0"/>
        <condense val="0"/>
        <extend val="0"/>
        <outline val="0"/>
        <shadow val="0"/>
        <u val="none"/>
        <vertAlign val="baseline"/>
        <sz val="11"/>
        <color rgb="FFFF0000"/>
        <name val="Calibri"/>
        <family val="2"/>
        <scheme val="minor"/>
      </font>
      <fill>
        <patternFill patternType="solid">
          <fgColor indexed="64"/>
          <bgColor theme="5" tint="0.59999389629810485"/>
        </patternFill>
      </fill>
      <alignment horizontal="center" vertical="center" textRotation="0" wrapText="1" indent="0" justifyLastLine="0" shrinkToFit="0" readingOrder="0"/>
      <border diagonalUp="0" diagonalDown="0" outline="0">
        <left/>
        <right/>
        <top/>
        <bottom/>
      </border>
    </dxf>
    <dxf>
      <border>
        <bottom style="thin">
          <color theme="2" tint="-0.24994659260841701"/>
        </bottom>
        <vertical/>
        <horizontal/>
      </border>
    </dxf>
    <dxf>
      <border>
        <bottom style="thin">
          <color theme="2" tint="-0.24994659260841701"/>
        </bottom>
        <vertical/>
        <horizontal/>
      </border>
    </dxf>
    <dxf>
      <font>
        <b val="0"/>
        <i val="0"/>
        <strike val="0"/>
        <condense val="0"/>
        <extend val="0"/>
        <outline val="0"/>
        <shadow val="0"/>
        <u val="none"/>
        <vertAlign val="baseline"/>
        <sz val="11"/>
        <color rgb="FFFF0000"/>
        <name val="Calibri"/>
        <family val="2"/>
        <scheme val="minor"/>
      </font>
    </dxf>
    <dxf>
      <font>
        <strike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35" formatCode="_(* #,##0.00_);_(* \(#,##0.00\);_(* &quot;-&quot;??_);_(@_)"/>
    </dxf>
    <dxf>
      <font>
        <strike val="0"/>
        <outline val="0"/>
        <shadow val="0"/>
        <u val="none"/>
        <vertAlign val="baseline"/>
        <sz val="11"/>
        <color rgb="FFFF0000"/>
        <name val="Calibri"/>
        <family val="2"/>
        <scheme val="minor"/>
      </font>
      <numFmt numFmtId="35" formatCode="_(* #,##0.00_);_(* \(#,##0.00\);_(* &quot;-&quot;??_);_(@_)"/>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numFmt numFmtId="176" formatCode="_-* #,##0_-;\-* #,##0_-;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76" formatCode="_-* #,##0_-;\-* #,##0_-;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76" formatCode="_-* #,##0_-;\-* #,##0_-;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76" formatCode="_-* #,##0_-;\-* #,##0_-;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76"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19" formatCode="d/m/yyyy"/>
    </dxf>
    <dxf>
      <numFmt numFmtId="0" formatCode="General"/>
    </dxf>
    <dxf>
      <numFmt numFmtId="19" formatCode="d/m/yyyy"/>
    </dxf>
    <dxf>
      <numFmt numFmtId="0" formatCode="General"/>
    </dxf>
    <dxf>
      <font>
        <b val="0"/>
        <i val="0"/>
        <strike val="0"/>
        <condense val="0"/>
        <extend val="0"/>
        <outline val="0"/>
        <shadow val="0"/>
        <u val="none"/>
        <vertAlign val="baseline"/>
        <sz val="11"/>
        <color theme="1"/>
        <name val="Calibri"/>
        <family val="2"/>
        <scheme val="minor"/>
      </font>
      <numFmt numFmtId="19" formatCode="d/m/yyyy"/>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numFmt numFmtId="19" formatCode="d/m/yyyy"/>
    </dxf>
    <dxf>
      <font>
        <b val="0"/>
        <i val="0"/>
        <strike val="0"/>
        <condense val="0"/>
        <extend val="0"/>
        <outline val="0"/>
        <shadow val="0"/>
        <u val="none"/>
        <vertAlign val="baseline"/>
        <sz val="11"/>
        <color theme="1"/>
        <name val="Calibri"/>
        <family val="2"/>
        <scheme val="minor"/>
      </font>
    </dxf>
    <dxf>
      <numFmt numFmtId="19" formatCode="d/m/yyyy"/>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71" formatCode="dd/mm/yyyy"/>
    </dxf>
    <dxf>
      <numFmt numFmtId="171" formatCode="dd/mm/yyyy"/>
    </dxf>
    <dxf>
      <numFmt numFmtId="171" formatCode="dd/mm/yyyy"/>
    </dxf>
    <dxf>
      <numFmt numFmtId="171" formatCode="dd/mm/yyyy"/>
    </dxf>
    <dxf>
      <font>
        <b val="0"/>
        <i val="0"/>
        <strike val="0"/>
        <condense val="0"/>
        <extend val="0"/>
        <outline val="0"/>
        <shadow val="0"/>
        <u val="none"/>
        <vertAlign val="baseline"/>
        <sz val="11"/>
        <color theme="1"/>
        <name val="Calibri"/>
        <family val="2"/>
        <scheme val="minor"/>
      </font>
      <numFmt numFmtId="0" formatCode="General"/>
    </dxf>
    <dxf>
      <numFmt numFmtId="171" formatCode="dd/mm/yyyy"/>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9" formatCode="d/m/yyyy"/>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strike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dxf>
    <dxf>
      <font>
        <color rgb="FFFF0000"/>
      </font>
      <numFmt numFmtId="0" formatCode="General"/>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color rgb="FFFF0000"/>
      </font>
      <numFmt numFmtId="165" formatCode="_(* #,##0_);_(* \(#,##0\);_(* &quot;-&quot;??_);_(@_)"/>
    </dxf>
    <dxf>
      <font>
        <b val="0"/>
        <i val="0"/>
        <strike val="0"/>
        <condense val="0"/>
        <extend val="0"/>
        <outline val="0"/>
        <shadow val="0"/>
        <u val="none"/>
        <vertAlign val="baseline"/>
        <sz val="11"/>
        <color rgb="FFFF0000"/>
        <name val="Calibri"/>
        <family val="2"/>
        <scheme val="minor"/>
      </font>
    </dxf>
    <dxf>
      <font>
        <color rgb="FFFF0000"/>
      </font>
      <numFmt numFmtId="0" formatCode="General"/>
    </dxf>
    <dxf>
      <numFmt numFmtId="0" formatCode="General"/>
    </dxf>
    <dxf>
      <numFmt numFmtId="165" formatCode="_(* #,##0_);_(* \(#,##0\);_(* &quot;-&quot;??_);_(@_)"/>
    </dxf>
    <dxf>
      <numFmt numFmtId="165" formatCode="_(* #,##0_);_(* \(#,##0\);_(* &quot;-&quot;??_);_(@_)"/>
    </dxf>
    <dxf>
      <numFmt numFmtId="0" formatCode="General"/>
    </dxf>
    <dxf>
      <numFmt numFmtId="0" formatCode="General"/>
    </dxf>
    <dxf>
      <numFmt numFmtId="165" formatCode="_(* #,##0_);_(* \(#,##0\);_(* &quot;-&quot;??_);_(@_)"/>
    </dxf>
    <dxf>
      <numFmt numFmtId="165" formatCode="_(* #,##0_);_(* \(#,##0\);_(* &quot;-&quot;??_);_(@_)"/>
    </dxf>
    <dxf>
      <numFmt numFmtId="165" formatCode="_(* #,##0_);_(* \(#,##0\);_(* &quot;-&quot;??_);_(@_)"/>
    </dxf>
    <dxf>
      <numFmt numFmtId="165" formatCode="_(* #,##0_);_(* \(#,##0\);_(* &quot;-&quot;??_);_(@_)"/>
    </dxf>
    <dxf>
      <numFmt numFmtId="171" formatCode="dd/mm/yyyy"/>
    </dxf>
    <dxf>
      <numFmt numFmtId="171" formatCode="dd/mm/yyyy"/>
    </dxf>
    <dxf>
      <numFmt numFmtId="171" formatCode="dd/mm/yyyy"/>
    </dxf>
    <dxf>
      <numFmt numFmtId="171" formatCode="dd/mm/yyyy"/>
    </dxf>
    <dxf>
      <numFmt numFmtId="171" formatCode="dd/mm/yyyy"/>
    </dxf>
    <dxf>
      <numFmt numFmtId="171" formatCode="dd/mm/yyyy"/>
    </dxf>
    <dxf>
      <numFmt numFmtId="171" formatCode="dd/mm/yyyy"/>
    </dxf>
    <dxf>
      <numFmt numFmtId="171" formatCode="dd/mm/yyyy"/>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dxf>
    <dxf>
      <numFmt numFmtId="0" formatCode="General"/>
    </dxf>
    <dxf>
      <numFmt numFmtId="171" formatCode="dd/mm/yyyy"/>
    </dxf>
    <dxf>
      <numFmt numFmtId="171" formatCode="dd/mm/yyyy"/>
    </dxf>
    <dxf>
      <font>
        <b val="0"/>
        <i val="0"/>
        <strike val="0"/>
        <condense val="0"/>
        <extend val="0"/>
        <outline val="0"/>
        <shadow val="0"/>
        <u val="none"/>
        <vertAlign val="baseline"/>
        <sz val="11"/>
        <color theme="1"/>
        <name val="Calibri"/>
        <family val="2"/>
        <scheme val="minor"/>
      </font>
      <numFmt numFmtId="176" formatCode="_-* #,##0_-;\-* #,##0_-;_-* &quot;-&quot;??_-;_-@_-"/>
    </dxf>
    <dxf>
      <alignment horizontal="general" vertical="center" textRotation="0" wrapText="0" indent="0" justifyLastLine="0" shrinkToFit="0" readingOrder="0"/>
    </dxf>
    <dxf>
      <alignment horizontal="general" vertical="center" textRotation="0" wrapText="0" indent="0" justifyLastLine="0" shrinkToFit="0" readingOrder="0"/>
    </dxf>
    <dxf>
      <numFmt numFmtId="176" formatCode="_-* #,##0_-;\-* #,##0_-;_-* &quot;-&quot;??_-;_-@_-"/>
      <alignment horizontal="general" vertical="center" textRotation="0" wrapText="0" indent="0" justifyLastLine="0" shrinkToFit="0" readingOrder="0"/>
    </dxf>
    <dxf>
      <numFmt numFmtId="176" formatCode="_-* #,##0_-;\-* #,##0_-;_-* &quot;-&quot;??_-;_-@_-"/>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fill>
        <patternFill>
          <bgColor rgb="FFFF0000"/>
        </patternFill>
      </fill>
    </dxf>
    <dxf>
      <fill>
        <patternFill>
          <bgColor rgb="FFFF0000"/>
        </patternFill>
      </fill>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numFmt numFmtId="176" formatCode="_-* #,##0_-;\-* #,##0_-;_-* &quot;-&quot;??_-;_-@_-"/>
    </dxf>
    <dxf>
      <numFmt numFmtId="176" formatCode="_-* #,##0_-;\-* #,##0_-;_-* &quot;-&quot;??_-;_-@_-"/>
    </dxf>
    <dxf>
      <numFmt numFmtId="176" formatCode="_-* #,##0_-;\-* #,##0_-;_-* &quot;-&quot;??_-;_-@_-"/>
    </dxf>
    <dxf>
      <numFmt numFmtId="176"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65"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0" formatCode="General"/>
    </dxf>
    <dxf>
      <font>
        <b val="0"/>
        <i val="0"/>
        <strike val="0"/>
        <condense val="0"/>
        <extend val="0"/>
        <outline val="0"/>
        <shadow val="0"/>
        <u val="none"/>
        <vertAlign val="baseline"/>
        <sz val="11"/>
        <color theme="1"/>
        <name val="Calibri"/>
        <family val="2"/>
        <scheme val="minor"/>
      </font>
    </dxf>
    <dxf>
      <numFmt numFmtId="19" formatCode="d/m/yyyy"/>
    </dxf>
    <dxf>
      <numFmt numFmtId="19" formatCode="d/m/yyyy"/>
    </dxf>
    <dxf>
      <numFmt numFmtId="0" formatCode="General"/>
    </dxf>
    <dxf>
      <numFmt numFmtId="0" formatCode="General"/>
    </dxf>
    <dxf>
      <numFmt numFmtId="33" formatCode="_(* #,##0_);_(* \(#,##0\);_(* &quot;-&quot;_);_(@_)"/>
    </dxf>
    <dxf>
      <font>
        <b val="0"/>
        <i val="0"/>
        <strike val="0"/>
        <condense val="0"/>
        <extend val="0"/>
        <outline val="0"/>
        <shadow val="0"/>
        <u val="none"/>
        <vertAlign val="baseline"/>
        <sz val="11"/>
        <color rgb="FFFF0000"/>
        <name val="Calibri"/>
        <family val="2"/>
        <scheme val="minor"/>
      </font>
    </dxf>
    <dxf>
      <font>
        <b val="0"/>
        <i val="0"/>
        <strike val="0"/>
        <condense val="0"/>
        <extend val="0"/>
        <outline val="0"/>
        <shadow val="0"/>
        <u val="none"/>
        <vertAlign val="baseline"/>
        <sz val="11"/>
        <color rgb="FFFF0000"/>
        <name val="Calibri"/>
        <family val="2"/>
        <scheme val="minor"/>
      </font>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65" formatCode="_(* #,##0_);_(* \(#,##0\);_(* &quot;-&quot;??_);_(@_)"/>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0" formatCode="General"/>
    </dxf>
    <dxf>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font>
        <b val="0"/>
        <i val="0"/>
        <strike val="0"/>
        <condense val="0"/>
        <extend val="0"/>
        <outline val="0"/>
        <shadow val="0"/>
        <u val="none"/>
        <vertAlign val="baseline"/>
        <sz val="11"/>
        <color rgb="FFFF0000"/>
        <name val="Calibri"/>
        <family val="2"/>
        <scheme val="minor"/>
      </font>
      <numFmt numFmtId="165" formatCode="_(* #,##0_);_(* \(#,##0\);_(* &quot;-&quot;??_);_(@_)"/>
    </dxf>
    <dxf>
      <numFmt numFmtId="0" formatCode="General"/>
    </dxf>
    <dxf>
      <fill>
        <patternFill>
          <bgColor theme="5"/>
        </patternFill>
      </fill>
    </dxf>
    <dxf>
      <fill>
        <patternFill>
          <bgColor theme="5"/>
        </patternFill>
      </fill>
    </dxf>
    <dxf>
      <fill>
        <patternFill>
          <bgColor theme="5"/>
        </patternFill>
      </fill>
    </dxf>
    <dxf>
      <font>
        <b val="0"/>
        <i val="0"/>
        <strike val="0"/>
        <condense val="0"/>
        <extend val="0"/>
        <outline val="0"/>
        <shadow val="0"/>
        <u val="none"/>
        <vertAlign val="baseline"/>
        <sz val="11"/>
        <color theme="1"/>
        <name val="Calibri"/>
        <family val="2"/>
        <scheme val="minor"/>
      </font>
    </dxf>
    <dxf>
      <numFmt numFmtId="19" formatCode="d/m/yyyy"/>
    </dxf>
    <dxf>
      <font>
        <strike val="0"/>
        <outline val="0"/>
        <shadow val="0"/>
        <u val="none"/>
        <vertAlign val="baseline"/>
        <sz val="11"/>
        <color rgb="FFFF0000"/>
        <name val="Calibri"/>
        <family val="2"/>
        <scheme val="minor"/>
      </font>
      <numFmt numFmtId="168" formatCode="[$-409]mmm\-yy;@"/>
    </dxf>
    <dxf>
      <numFmt numFmtId="0" formatCode="General"/>
    </dxf>
    <dxf>
      <numFmt numFmtId="19" formatCode="d/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19" formatCode="d/m/yyyy"/>
    </dxf>
    <dxf>
      <font>
        <b val="0"/>
        <i val="0"/>
        <strike val="0"/>
        <condense val="0"/>
        <extend val="0"/>
        <outline val="0"/>
        <shadow val="0"/>
        <u val="none"/>
        <vertAlign val="baseline"/>
        <sz val="11"/>
        <color theme="1"/>
        <name val="Calibri"/>
        <family val="2"/>
        <scheme val="minor"/>
      </font>
      <numFmt numFmtId="165" formatCode="_(* #,##0_);_(* \(#,##0\);_(* &quot;-&quot;??_);_(@_)"/>
    </dxf>
    <dxf>
      <numFmt numFmtId="0" formatCode="General"/>
    </dxf>
    <dxf>
      <numFmt numFmtId="0" formatCode="General"/>
    </dxf>
    <dxf>
      <numFmt numFmtId="171"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71" formatCode="dd/mm/yyyy"/>
    </dxf>
    <dxf>
      <font>
        <color rgb="FF9C0006"/>
      </font>
      <fill>
        <patternFill>
          <bgColor rgb="FFFFC7CE"/>
        </patternFill>
      </fill>
    </dxf>
    <dxf>
      <font>
        <color rgb="FF00B050"/>
      </font>
    </dxf>
    <dxf>
      <font>
        <color rgb="FFEE000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name val="Arial"/>
        <scheme val="none"/>
      </font>
    </dxf>
    <dxf>
      <font>
        <b val="0"/>
        <i val="0"/>
        <strike val="0"/>
        <condense val="0"/>
        <extend val="0"/>
        <outline val="0"/>
        <shadow val="0"/>
        <u val="none"/>
        <vertAlign val="baseline"/>
        <sz val="10"/>
        <color theme="1"/>
        <name val="Arial"/>
        <scheme val="none"/>
      </font>
    </dxf>
    <dxf>
      <font>
        <strike val="0"/>
        <outline val="0"/>
        <shadow val="0"/>
        <u val="none"/>
        <vertAlign val="baseline"/>
        <sz val="10"/>
        <name val="Arial"/>
        <scheme val="none"/>
      </font>
      <alignment horizontal="center" vertical="center" textRotation="0" wrapText="0" indent="0" justifyLastLine="0" shrinkToFit="0" readingOrder="0"/>
    </dxf>
    <dxf>
      <border outline="0">
        <top style="thin">
          <color theme="4"/>
        </top>
      </border>
    </dxf>
    <dxf>
      <font>
        <strike val="0"/>
        <outline val="0"/>
        <shadow val="0"/>
        <u val="none"/>
        <vertAlign val="baseline"/>
        <sz val="10"/>
        <name val="Arial"/>
        <scheme val="none"/>
      </font>
    </dxf>
    <dxf>
      <font>
        <b/>
        <i val="0"/>
        <strike val="0"/>
        <condense val="0"/>
        <extend val="0"/>
        <outline val="0"/>
        <shadow val="0"/>
        <u val="none"/>
        <vertAlign val="baseline"/>
        <sz val="10"/>
        <color theme="0"/>
        <name val="Arial"/>
        <scheme val="none"/>
      </font>
      <fill>
        <patternFill patternType="solid">
          <fgColor theme="4"/>
          <bgColor theme="4"/>
        </patternFill>
      </fill>
      <alignment horizontal="general" vertical="center" textRotation="0" wrapText="0" indent="0" justifyLastLine="0" shrinkToFit="0" readingOrder="0"/>
    </dxf>
    <dxf>
      <font>
        <color rgb="FFFF0000"/>
      </font>
      <fill>
        <patternFill>
          <bgColor rgb="FFFFFF0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dxf>
    <dxf>
      <font>
        <b val="0"/>
        <i val="0"/>
        <strike val="0"/>
        <condense val="0"/>
        <extend val="0"/>
        <outline val="0"/>
        <shadow val="0"/>
        <u val="none"/>
        <vertAlign val="baseline"/>
        <sz val="11"/>
        <color theme="1"/>
        <name val="Calibri"/>
        <family val="2"/>
        <scheme val="minor"/>
      </font>
      <numFmt numFmtId="19" formatCode="d/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5" formatCode="_(* #,##0.00_);_(* \(#,##0.00\);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6"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6"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6"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6" formatCode="_-* #,##0_-;\-* #,##0_-;_-* &quot;-&quot;??_-;_-@_-"/>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m/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family val="2"/>
        <scheme val="none"/>
      </font>
      <fill>
        <patternFill patternType="solid">
          <fgColor indexed="64"/>
          <bgColor theme="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FF0000"/>
      </font>
    </dxf>
    <dxf>
      <font>
        <color theme="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A4E23"/>
      <color rgb="FFFFC7CE"/>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Giá trị giao dịch TPDN</a:t>
            </a:r>
            <a:r>
              <a:rPr lang="en-US" sz="1300" b="1" baseline="0"/>
              <a:t> </a:t>
            </a:r>
            <a:r>
              <a:rPr lang="en-US" sz="1300" b="1"/>
              <a:t>toàn thị trường </a:t>
            </a:r>
            <a:r>
              <a:rPr lang="en-US" sz="1000" b="0" i="1"/>
              <a:t>(nghìn</a:t>
            </a:r>
            <a:r>
              <a:rPr lang="en-US" sz="1000" b="0" i="1" baseline="0"/>
              <a:t> tỷ VNĐ)</a:t>
            </a:r>
            <a:endParaRPr lang="en-US" sz="1000" b="0" i="1"/>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537531492773931"/>
          <c:y val="0.20444896005496593"/>
          <c:w val="0.76713181685622633"/>
          <c:h val="0.53790992252893621"/>
        </c:manualLayout>
      </c:layout>
      <c:barChart>
        <c:barDir val="col"/>
        <c:grouping val="stacked"/>
        <c:varyColors val="0"/>
        <c:ser>
          <c:idx val="0"/>
          <c:order val="0"/>
          <c:tx>
            <c:strRef>
              <c:f>Summary!$C$1</c:f>
              <c:strCache>
                <c:ptCount val="1"/>
                <c:pt idx="0">
                  <c:v> FI BOND </c:v>
                </c:pt>
              </c:strCache>
            </c:strRef>
          </c:tx>
          <c:spPr>
            <a:solidFill>
              <a:schemeClr val="accent2"/>
            </a:solidFill>
            <a:ln>
              <a:noFill/>
            </a:ln>
            <a:effectLst/>
          </c:spPr>
          <c:invertIfNegative val="0"/>
          <c:cat>
            <c:numRef>
              <c:f>Summary!$B$2:$B$17</c:f>
              <c:numCache>
                <c:formatCode>mmm\-yy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Summary!$C$2:$C$17</c:f>
              <c:numCache>
                <c:formatCode>_(* #,##0_);_(* \(#,##0\);_(* "-"??_);_(@_)</c:formatCode>
                <c:ptCount val="16"/>
                <c:pt idx="0">
                  <c:v>25162.353049664998</c:v>
                </c:pt>
                <c:pt idx="1">
                  <c:v>34584.690612847</c:v>
                </c:pt>
                <c:pt idx="2">
                  <c:v>71279.139341173999</c:v>
                </c:pt>
                <c:pt idx="3">
                  <c:v>45756.672480602007</c:v>
                </c:pt>
                <c:pt idx="4">
                  <c:v>63661.383927217008</c:v>
                </c:pt>
                <c:pt idx="5">
                  <c:v>57506.028719374001</c:v>
                </c:pt>
                <c:pt idx="6">
                  <c:v>59100.459720806008</c:v>
                </c:pt>
                <c:pt idx="7">
                  <c:v>60367.769394022005</c:v>
                </c:pt>
                <c:pt idx="8">
                  <c:v>44827.273619473002</c:v>
                </c:pt>
                <c:pt idx="9">
                  <c:v>36870.854560329011</c:v>
                </c:pt>
                <c:pt idx="10">
                  <c:v>55814.105652084996</c:v>
                </c:pt>
                <c:pt idx="11">
                  <c:v>77844.563925402006</c:v>
                </c:pt>
                <c:pt idx="12">
                  <c:v>48931.032488970006</c:v>
                </c:pt>
                <c:pt idx="13">
                  <c:v>23126.700705539999</c:v>
                </c:pt>
                <c:pt idx="14">
                  <c:v>48428.854794829</c:v>
                </c:pt>
                <c:pt idx="15">
                  <c:v>50341.107413292004</c:v>
                </c:pt>
              </c:numCache>
            </c:numRef>
          </c:val>
          <c:extLst>
            <c:ext xmlns:c16="http://schemas.microsoft.com/office/drawing/2014/chart" uri="{C3380CC4-5D6E-409C-BE32-E72D297353CC}">
              <c16:uniqueId val="{00000000-B33A-4BA5-86BB-37B8DFAFDC4B}"/>
            </c:ext>
          </c:extLst>
        </c:ser>
        <c:ser>
          <c:idx val="1"/>
          <c:order val="1"/>
          <c:tx>
            <c:strRef>
              <c:f>Summary!$D$1</c:f>
              <c:strCache>
                <c:ptCount val="1"/>
                <c:pt idx="0">
                  <c:v> Others </c:v>
                </c:pt>
              </c:strCache>
            </c:strRef>
          </c:tx>
          <c:spPr>
            <a:solidFill>
              <a:schemeClr val="bg1">
                <a:lumMod val="65000"/>
              </a:schemeClr>
            </a:solidFill>
            <a:ln>
              <a:noFill/>
            </a:ln>
            <a:effectLst/>
          </c:spPr>
          <c:invertIfNegative val="0"/>
          <c:cat>
            <c:numRef>
              <c:f>Summary!$B$2:$B$17</c:f>
              <c:numCache>
                <c:formatCode>mmm\-yy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Summary!$D$2:$D$17</c:f>
              <c:numCache>
                <c:formatCode>_(* #,##0_);_(* \(#,##0\);_(* "-"??_);_(@_)</c:formatCode>
                <c:ptCount val="16"/>
                <c:pt idx="0">
                  <c:v>54965.960597628</c:v>
                </c:pt>
                <c:pt idx="1">
                  <c:v>38906.26524057801</c:v>
                </c:pt>
                <c:pt idx="2">
                  <c:v>45418.085732062005</c:v>
                </c:pt>
                <c:pt idx="3">
                  <c:v>54712.825953730993</c:v>
                </c:pt>
                <c:pt idx="4">
                  <c:v>47765.883638152991</c:v>
                </c:pt>
                <c:pt idx="5">
                  <c:v>67792.716107544999</c:v>
                </c:pt>
                <c:pt idx="6">
                  <c:v>72927.864423205989</c:v>
                </c:pt>
                <c:pt idx="7">
                  <c:v>48173.164986373995</c:v>
                </c:pt>
                <c:pt idx="8">
                  <c:v>106179.817838128</c:v>
                </c:pt>
                <c:pt idx="9">
                  <c:v>64892.925241004014</c:v>
                </c:pt>
                <c:pt idx="10">
                  <c:v>54643.026363778998</c:v>
                </c:pt>
                <c:pt idx="11">
                  <c:v>98971.760789253007</c:v>
                </c:pt>
                <c:pt idx="12">
                  <c:v>59799.900744547987</c:v>
                </c:pt>
                <c:pt idx="13">
                  <c:v>40056.951395126001</c:v>
                </c:pt>
                <c:pt idx="14">
                  <c:v>101364.621870662</c:v>
                </c:pt>
                <c:pt idx="15">
                  <c:v>79668.983913566015</c:v>
                </c:pt>
              </c:numCache>
            </c:numRef>
          </c:val>
          <c:extLst>
            <c:ext xmlns:c16="http://schemas.microsoft.com/office/drawing/2014/chart" uri="{C3380CC4-5D6E-409C-BE32-E72D297353CC}">
              <c16:uniqueId val="{00000001-B33A-4BA5-86BB-37B8DFAFDC4B}"/>
            </c:ext>
          </c:extLst>
        </c:ser>
        <c:dLbls>
          <c:showLegendKey val="0"/>
          <c:showVal val="0"/>
          <c:showCatName val="0"/>
          <c:showSerName val="0"/>
          <c:showPercent val="0"/>
          <c:showBubbleSize val="0"/>
        </c:dLbls>
        <c:gapWidth val="150"/>
        <c:overlap val="100"/>
        <c:axId val="756504047"/>
        <c:axId val="756503087"/>
      </c:barChart>
      <c:lineChart>
        <c:grouping val="standard"/>
        <c:varyColors val="0"/>
        <c:ser>
          <c:idx val="2"/>
          <c:order val="2"/>
          <c:tx>
            <c:strRef>
              <c:f>Summary!$E$1</c:f>
              <c:strCache>
                <c:ptCount val="1"/>
                <c:pt idx="0">
                  <c:v> Total </c:v>
                </c:pt>
              </c:strCache>
            </c:strRef>
          </c:tx>
          <c:spPr>
            <a:ln w="28575" cap="rnd">
              <a:noFill/>
              <a:round/>
            </a:ln>
            <a:effectLst/>
          </c:spPr>
          <c:marker>
            <c:symbol val="none"/>
          </c:marker>
          <c:dLbls>
            <c:dLbl>
              <c:idx val="4"/>
              <c:delete val="1"/>
              <c:extLst>
                <c:ext xmlns:c15="http://schemas.microsoft.com/office/drawing/2012/chart" uri="{CE6537A1-D6FC-4f65-9D91-7224C49458BB}"/>
                <c:ext xmlns:c16="http://schemas.microsoft.com/office/drawing/2014/chart" uri="{C3380CC4-5D6E-409C-BE32-E72D297353CC}">
                  <c16:uniqueId val="{00000000-8758-48ED-9D75-0150F9EBE512}"/>
                </c:ext>
              </c:extLst>
            </c:dLbl>
            <c:dLbl>
              <c:idx val="5"/>
              <c:delete val="1"/>
              <c:extLst>
                <c:ext xmlns:c15="http://schemas.microsoft.com/office/drawing/2012/chart" uri="{CE6537A1-D6FC-4f65-9D91-7224C49458BB}"/>
                <c:ext xmlns:c16="http://schemas.microsoft.com/office/drawing/2014/chart" uri="{C3380CC4-5D6E-409C-BE32-E72D297353CC}">
                  <c16:uniqueId val="{00000004-CCFF-4FA5-BE75-20A3E50B74A2}"/>
                </c:ext>
              </c:extLst>
            </c:dLbl>
            <c:dLbl>
              <c:idx val="10"/>
              <c:delete val="1"/>
              <c:extLst>
                <c:ext xmlns:c15="http://schemas.microsoft.com/office/drawing/2012/chart" uri="{CE6537A1-D6FC-4f65-9D91-7224C49458BB}"/>
                <c:ext xmlns:c16="http://schemas.microsoft.com/office/drawing/2014/chart" uri="{C3380CC4-5D6E-409C-BE32-E72D297353CC}">
                  <c16:uniqueId val="{00000001-8758-48ED-9D75-0150F9EBE512}"/>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Summary!$B$2:$B$17</c:f>
              <c:numCache>
                <c:formatCode>mmm\-yy</c:formatCode>
                <c:ptCount val="16"/>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pt idx="15">
                  <c:v>46113</c:v>
                </c:pt>
              </c:numCache>
            </c:numRef>
          </c:cat>
          <c:val>
            <c:numRef>
              <c:f>Summary!$E$2:$E$17</c:f>
              <c:numCache>
                <c:formatCode>_(* #,##0_);_(* \(#,##0\);_(* "-"??_);_(@_)</c:formatCode>
                <c:ptCount val="16"/>
                <c:pt idx="0">
                  <c:v>80128.313647292991</c:v>
                </c:pt>
                <c:pt idx="1">
                  <c:v>73490.95585342501</c:v>
                </c:pt>
                <c:pt idx="2">
                  <c:v>116697.22507323601</c:v>
                </c:pt>
                <c:pt idx="3">
                  <c:v>100469.498434333</c:v>
                </c:pt>
                <c:pt idx="4">
                  <c:v>111427.26756537</c:v>
                </c:pt>
                <c:pt idx="5">
                  <c:v>125298.74482691899</c:v>
                </c:pt>
                <c:pt idx="6">
                  <c:v>132028.324144012</c:v>
                </c:pt>
                <c:pt idx="7">
                  <c:v>108540.93438039601</c:v>
                </c:pt>
                <c:pt idx="8">
                  <c:v>151007.091457601</c:v>
                </c:pt>
                <c:pt idx="9">
                  <c:v>101763.77980133303</c:v>
                </c:pt>
                <c:pt idx="10">
                  <c:v>110457.13201586399</c:v>
                </c:pt>
                <c:pt idx="11">
                  <c:v>176816.324714655</c:v>
                </c:pt>
                <c:pt idx="12">
                  <c:v>108730.93323351799</c:v>
                </c:pt>
                <c:pt idx="13">
                  <c:v>63183.652100666004</c:v>
                </c:pt>
                <c:pt idx="14">
                  <c:v>149793.47666549101</c:v>
                </c:pt>
                <c:pt idx="15">
                  <c:v>130010.09132685802</c:v>
                </c:pt>
              </c:numCache>
            </c:numRef>
          </c:val>
          <c:smooth val="0"/>
          <c:extLst>
            <c:ext xmlns:c16="http://schemas.microsoft.com/office/drawing/2014/chart" uri="{C3380CC4-5D6E-409C-BE32-E72D297353CC}">
              <c16:uniqueId val="{00000000-CCFF-4FA5-BE75-20A3E50B74A2}"/>
            </c:ext>
          </c:extLst>
        </c:ser>
        <c:dLbls>
          <c:showLegendKey val="0"/>
          <c:showVal val="0"/>
          <c:showCatName val="0"/>
          <c:showSerName val="0"/>
          <c:showPercent val="0"/>
          <c:showBubbleSize val="0"/>
        </c:dLbls>
        <c:marker val="1"/>
        <c:smooth val="0"/>
        <c:axId val="756504047"/>
        <c:axId val="756503087"/>
      </c:lineChart>
      <c:catAx>
        <c:axId val="756504047"/>
        <c:scaling>
          <c:orientation val="minMax"/>
          <c:min val="4"/>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56503087"/>
        <c:crosses val="autoZero"/>
        <c:auto val="0"/>
        <c:lblAlgn val="ctr"/>
        <c:lblOffset val="100"/>
        <c:noMultiLvlLbl val="1"/>
      </c:catAx>
      <c:valAx>
        <c:axId val="75650308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56504047"/>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sz="1000">
          <a:latin typeface="+mn-l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r>
              <a:rPr lang="en-US" sz="1300" b="1"/>
              <a:t>Lợi suất FI Bond (Yield) (%)</a:t>
            </a:r>
          </a:p>
        </c:rich>
      </c:tx>
      <c:overlay val="0"/>
      <c:spPr>
        <a:noFill/>
        <a:ln>
          <a:noFill/>
        </a:ln>
        <a:effectLst/>
      </c:spPr>
      <c:txPr>
        <a:bodyPr rot="0" spcFirstLastPara="1" vertOverflow="ellipsis" vert="horz" wrap="square" anchor="ctr" anchorCtr="1"/>
        <a:lstStyle/>
        <a:p>
          <a:pPr>
            <a:defRPr sz="13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32990848155107"/>
          <c:y val="0.15082822457558712"/>
          <c:w val="0.81630293750796445"/>
          <c:h val="0.56677514213676095"/>
        </c:manualLayout>
      </c:layout>
      <c:lineChart>
        <c:grouping val="standard"/>
        <c:varyColors val="0"/>
        <c:ser>
          <c:idx val="0"/>
          <c:order val="0"/>
          <c:tx>
            <c:strRef>
              <c:f>'His53'!$C$1</c:f>
              <c:strCache>
                <c:ptCount val="1"/>
                <c:pt idx="0">
                  <c:v> 3M </c:v>
                </c:pt>
              </c:strCache>
            </c:strRef>
          </c:tx>
          <c:spPr>
            <a:ln w="28575" cap="rnd">
              <a:solidFill>
                <a:schemeClr val="accent1"/>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'His53'!$C$2:$C$254</c:f>
              <c:numCache>
                <c:formatCode>_-* #,##0.00_-;\-* #,##0.00_-;_-* "-"??_-;_-@_-</c:formatCode>
                <c:ptCount val="253"/>
                <c:pt idx="0">
                  <c:v>5.296875</c:v>
                </c:pt>
                <c:pt idx="1">
                  <c:v>5.2843749999999998</c:v>
                </c:pt>
                <c:pt idx="2">
                  <c:v>5.3218750000000004</c:v>
                </c:pt>
                <c:pt idx="3">
                  <c:v>5.3218750000000004</c:v>
                </c:pt>
                <c:pt idx="4">
                  <c:v>5.3218750000000004</c:v>
                </c:pt>
                <c:pt idx="5">
                  <c:v>5.3343749999999996</c:v>
                </c:pt>
                <c:pt idx="6">
                  <c:v>5.3343749999999996</c:v>
                </c:pt>
                <c:pt idx="7">
                  <c:v>5.3343749999999996</c:v>
                </c:pt>
                <c:pt idx="8">
                  <c:v>5.2750000000000004</c:v>
                </c:pt>
                <c:pt idx="9">
                  <c:v>5.2750000000000004</c:v>
                </c:pt>
                <c:pt idx="10">
                  <c:v>5.2892857142857101</c:v>
                </c:pt>
                <c:pt idx="11">
                  <c:v>5.29285714285714</c:v>
                </c:pt>
                <c:pt idx="12">
                  <c:v>5.29285714285714</c:v>
                </c:pt>
                <c:pt idx="13">
                  <c:v>5.4166666666666696</c:v>
                </c:pt>
                <c:pt idx="14">
                  <c:v>5.4166666666666696</c:v>
                </c:pt>
                <c:pt idx="15">
                  <c:v>5.4666666666666703</c:v>
                </c:pt>
                <c:pt idx="16">
                  <c:v>5.4666666666666703</c:v>
                </c:pt>
                <c:pt idx="17">
                  <c:v>5.4666666666666703</c:v>
                </c:pt>
                <c:pt idx="18">
                  <c:v>5.4666666666666703</c:v>
                </c:pt>
                <c:pt idx="19">
                  <c:v>5.5</c:v>
                </c:pt>
                <c:pt idx="20">
                  <c:v>5.5</c:v>
                </c:pt>
                <c:pt idx="21">
                  <c:v>5.5</c:v>
                </c:pt>
                <c:pt idx="22">
                  <c:v>5.5</c:v>
                </c:pt>
                <c:pt idx="23">
                  <c:v>5.5</c:v>
                </c:pt>
                <c:pt idx="24">
                  <c:v>5.5549999999999997</c:v>
                </c:pt>
                <c:pt idx="25">
                  <c:v>5.55</c:v>
                </c:pt>
                <c:pt idx="26">
                  <c:v>5.55</c:v>
                </c:pt>
                <c:pt idx="27">
                  <c:v>5.55</c:v>
                </c:pt>
                <c:pt idx="28">
                  <c:v>5.55</c:v>
                </c:pt>
                <c:pt idx="29">
                  <c:v>5.55</c:v>
                </c:pt>
                <c:pt idx="30">
                  <c:v>5.55</c:v>
                </c:pt>
                <c:pt idx="31">
                  <c:v>5.5750000000000002</c:v>
                </c:pt>
                <c:pt idx="32">
                  <c:v>5.5750000000000002</c:v>
                </c:pt>
                <c:pt idx="33">
                  <c:v>5.5750000000000002</c:v>
                </c:pt>
                <c:pt idx="34">
                  <c:v>5.5750000000000002</c:v>
                </c:pt>
                <c:pt idx="35">
                  <c:v>5.5750000000000002</c:v>
                </c:pt>
                <c:pt idx="36">
                  <c:v>5.6416666666666702</c:v>
                </c:pt>
                <c:pt idx="37">
                  <c:v>5.6666666666666696</c:v>
                </c:pt>
                <c:pt idx="38">
                  <c:v>5.6749999999999998</c:v>
                </c:pt>
                <c:pt idx="39">
                  <c:v>5.6666666666666696</c:v>
                </c:pt>
                <c:pt idx="40">
                  <c:v>5.75</c:v>
                </c:pt>
                <c:pt idx="41">
                  <c:v>5.7666666666666702</c:v>
                </c:pt>
                <c:pt idx="42">
                  <c:v>5.7666666666666702</c:v>
                </c:pt>
                <c:pt idx="43">
                  <c:v>5.7833333333333297</c:v>
                </c:pt>
                <c:pt idx="44">
                  <c:v>5.75</c:v>
                </c:pt>
                <c:pt idx="45">
                  <c:v>5.7359999999999998</c:v>
                </c:pt>
                <c:pt idx="46">
                  <c:v>5.69</c:v>
                </c:pt>
                <c:pt idx="47">
                  <c:v>5.69</c:v>
                </c:pt>
                <c:pt idx="48">
                  <c:v>5.69</c:v>
                </c:pt>
                <c:pt idx="49">
                  <c:v>5.69</c:v>
                </c:pt>
                <c:pt idx="50">
                  <c:v>5.71</c:v>
                </c:pt>
                <c:pt idx="51">
                  <c:v>5.71</c:v>
                </c:pt>
                <c:pt idx="52">
                  <c:v>5.69</c:v>
                </c:pt>
                <c:pt idx="53">
                  <c:v>5.69</c:v>
                </c:pt>
                <c:pt idx="54">
                  <c:v>5.75</c:v>
                </c:pt>
                <c:pt idx="55">
                  <c:v>5.83</c:v>
                </c:pt>
                <c:pt idx="56">
                  <c:v>5.8666666666666698</c:v>
                </c:pt>
                <c:pt idx="57">
                  <c:v>5.93333333333333</c:v>
                </c:pt>
                <c:pt idx="58">
                  <c:v>5.9714285714285698</c:v>
                </c:pt>
                <c:pt idx="59">
                  <c:v>5.9428571428571404</c:v>
                </c:pt>
                <c:pt idx="60">
                  <c:v>5.9428571428571404</c:v>
                </c:pt>
                <c:pt idx="61">
                  <c:v>5.95714285714286</c:v>
                </c:pt>
                <c:pt idx="62">
                  <c:v>6.0285714285714302</c:v>
                </c:pt>
                <c:pt idx="63">
                  <c:v>6.1</c:v>
                </c:pt>
                <c:pt idx="64">
                  <c:v>6.1857142857142904</c:v>
                </c:pt>
                <c:pt idx="65">
                  <c:v>6.2714285714285696</c:v>
                </c:pt>
                <c:pt idx="66">
                  <c:v>6.2249999999999996</c:v>
                </c:pt>
                <c:pt idx="67">
                  <c:v>6.2785714285714302</c:v>
                </c:pt>
                <c:pt idx="68">
                  <c:v>6.43333333333333</c:v>
                </c:pt>
                <c:pt idx="69">
                  <c:v>6.5166666666666702</c:v>
                </c:pt>
                <c:pt idx="70">
                  <c:v>6.65</c:v>
                </c:pt>
                <c:pt idx="71">
                  <c:v>6.6357142857142897</c:v>
                </c:pt>
                <c:pt idx="72">
                  <c:v>6.6785714285714297</c:v>
                </c:pt>
                <c:pt idx="73">
                  <c:v>6.8071428571428596</c:v>
                </c:pt>
                <c:pt idx="74">
                  <c:v>6.8666666666666698</c:v>
                </c:pt>
                <c:pt idx="75">
                  <c:v>6.85</c:v>
                </c:pt>
                <c:pt idx="76">
                  <c:v>6.9071428571428601</c:v>
                </c:pt>
                <c:pt idx="77">
                  <c:v>6.9071428571428601</c:v>
                </c:pt>
                <c:pt idx="78">
                  <c:v>6.8928571428571397</c:v>
                </c:pt>
                <c:pt idx="79">
                  <c:v>6.8357142857142899</c:v>
                </c:pt>
                <c:pt idx="80">
                  <c:v>6.8642857142857103</c:v>
                </c:pt>
                <c:pt idx="81">
                  <c:v>6.8642857142857103</c:v>
                </c:pt>
                <c:pt idx="82">
                  <c:v>6.8928571428571397</c:v>
                </c:pt>
                <c:pt idx="83">
                  <c:v>6.96428571428571</c:v>
                </c:pt>
                <c:pt idx="84">
                  <c:v>7.0785714285714301</c:v>
                </c:pt>
                <c:pt idx="85">
                  <c:v>7.1357142857142897</c:v>
                </c:pt>
                <c:pt idx="86">
                  <c:v>7.0833333333333304</c:v>
                </c:pt>
                <c:pt idx="87">
                  <c:v>7.0750000000000002</c:v>
                </c:pt>
                <c:pt idx="88">
                  <c:v>7.1</c:v>
                </c:pt>
                <c:pt idx="89">
                  <c:v>7.1</c:v>
                </c:pt>
                <c:pt idx="90">
                  <c:v>7.15</c:v>
                </c:pt>
                <c:pt idx="91">
                  <c:v>7.1124999999999998</c:v>
                </c:pt>
                <c:pt idx="92">
                  <c:v>7.0125000000000002</c:v>
                </c:pt>
                <c:pt idx="93">
                  <c:v>7.0125000000000002</c:v>
                </c:pt>
                <c:pt idx="94">
                  <c:v>6.95</c:v>
                </c:pt>
                <c:pt idx="95">
                  <c:v>6.875</c:v>
                </c:pt>
                <c:pt idx="96">
                  <c:v>6.8875000000000002</c:v>
                </c:pt>
                <c:pt idx="97">
                  <c:v>6.8875000000000002</c:v>
                </c:pt>
                <c:pt idx="98">
                  <c:v>6.9874999999999998</c:v>
                </c:pt>
                <c:pt idx="99">
                  <c:v>6.9749999999999996</c:v>
                </c:pt>
                <c:pt idx="100">
                  <c:v>6.9749999999999996</c:v>
                </c:pt>
                <c:pt idx="101">
                  <c:v>6.9874999999999998</c:v>
                </c:pt>
                <c:pt idx="102">
                  <c:v>6.9071428571428601</c:v>
                </c:pt>
                <c:pt idx="103">
                  <c:v>6.8642857142857103</c:v>
                </c:pt>
                <c:pt idx="104">
                  <c:v>6.8642857142857103</c:v>
                </c:pt>
                <c:pt idx="105">
                  <c:v>6.95</c:v>
                </c:pt>
                <c:pt idx="106">
                  <c:v>6.9928571428571402</c:v>
                </c:pt>
                <c:pt idx="107">
                  <c:v>7</c:v>
                </c:pt>
                <c:pt idx="108">
                  <c:v>7.05</c:v>
                </c:pt>
                <c:pt idx="109">
                  <c:v>7.1</c:v>
                </c:pt>
                <c:pt idx="110">
                  <c:v>7.1166666666666698</c:v>
                </c:pt>
                <c:pt idx="111">
                  <c:v>7.25</c:v>
                </c:pt>
                <c:pt idx="112">
                  <c:v>7.75</c:v>
                </c:pt>
                <c:pt idx="113">
                  <c:v>7.55</c:v>
                </c:pt>
                <c:pt idx="114">
                  <c:v>7.61</c:v>
                </c:pt>
                <c:pt idx="115">
                  <c:v>7.79</c:v>
                </c:pt>
                <c:pt idx="116">
                  <c:v>7.77</c:v>
                </c:pt>
                <c:pt idx="117">
                  <c:v>7.75</c:v>
                </c:pt>
                <c:pt idx="118">
                  <c:v>7.55</c:v>
                </c:pt>
                <c:pt idx="119">
                  <c:v>7.39</c:v>
                </c:pt>
                <c:pt idx="120">
                  <c:v>7.39</c:v>
                </c:pt>
                <c:pt idx="121">
                  <c:v>7.39</c:v>
                </c:pt>
                <c:pt idx="122">
                  <c:v>7.35</c:v>
                </c:pt>
                <c:pt idx="123">
                  <c:v>7.35</c:v>
                </c:pt>
                <c:pt idx="124">
                  <c:v>7.43</c:v>
                </c:pt>
                <c:pt idx="125">
                  <c:v>7.5</c:v>
                </c:pt>
                <c:pt idx="126">
                  <c:v>7.65</c:v>
                </c:pt>
                <c:pt idx="127">
                  <c:v>7.65</c:v>
                </c:pt>
                <c:pt idx="128">
                  <c:v>7.65</c:v>
                </c:pt>
                <c:pt idx="129">
                  <c:v>7.6166666666666698</c:v>
                </c:pt>
                <c:pt idx="130">
                  <c:v>7.6166666666666698</c:v>
                </c:pt>
                <c:pt idx="131">
                  <c:v>7.65</c:v>
                </c:pt>
                <c:pt idx="132">
                  <c:v>7.65</c:v>
                </c:pt>
                <c:pt idx="133">
                  <c:v>7.65</c:v>
                </c:pt>
                <c:pt idx="134">
                  <c:v>7.65</c:v>
                </c:pt>
                <c:pt idx="135">
                  <c:v>7.65</c:v>
                </c:pt>
                <c:pt idx="136">
                  <c:v>7.65</c:v>
                </c:pt>
                <c:pt idx="137">
                  <c:v>7.6166666666666698</c:v>
                </c:pt>
                <c:pt idx="138">
                  <c:v>7.65</c:v>
                </c:pt>
                <c:pt idx="139">
                  <c:v>7.65</c:v>
                </c:pt>
                <c:pt idx="140">
                  <c:v>7.65</c:v>
                </c:pt>
                <c:pt idx="141">
                  <c:v>7.65</c:v>
                </c:pt>
                <c:pt idx="142">
                  <c:v>7.65</c:v>
                </c:pt>
                <c:pt idx="143">
                  <c:v>7.65</c:v>
                </c:pt>
                <c:pt idx="144">
                  <c:v>7.65</c:v>
                </c:pt>
                <c:pt idx="145">
                  <c:v>7.68333333333333</c:v>
                </c:pt>
                <c:pt idx="146">
                  <c:v>7.7</c:v>
                </c:pt>
                <c:pt idx="147">
                  <c:v>7.7</c:v>
                </c:pt>
                <c:pt idx="148">
                  <c:v>7.7</c:v>
                </c:pt>
                <c:pt idx="149">
                  <c:v>7.7549999999999999</c:v>
                </c:pt>
                <c:pt idx="150">
                  <c:v>7.7549999999999999</c:v>
                </c:pt>
                <c:pt idx="151">
                  <c:v>7.7549999999999999</c:v>
                </c:pt>
                <c:pt idx="152">
                  <c:v>7.7549999999999999</c:v>
                </c:pt>
                <c:pt idx="153">
                  <c:v>7.7549999999999999</c:v>
                </c:pt>
                <c:pt idx="154">
                  <c:v>7.7549999999999999</c:v>
                </c:pt>
                <c:pt idx="155">
                  <c:v>7.8250000000000002</c:v>
                </c:pt>
                <c:pt idx="156">
                  <c:v>7.8250000000000002</c:v>
                </c:pt>
                <c:pt idx="157">
                  <c:v>7.8150000000000004</c:v>
                </c:pt>
                <c:pt idx="158">
                  <c:v>7.7249999999999996</c:v>
                </c:pt>
                <c:pt idx="159">
                  <c:v>7.6349999999999998</c:v>
                </c:pt>
                <c:pt idx="160">
                  <c:v>7.6349999999999998</c:v>
                </c:pt>
                <c:pt idx="161">
                  <c:v>7.6349999999999998</c:v>
                </c:pt>
                <c:pt idx="162">
                  <c:v>7.6849999999999996</c:v>
                </c:pt>
                <c:pt idx="163">
                  <c:v>7.6958333333333302</c:v>
                </c:pt>
                <c:pt idx="164">
                  <c:v>7.7041666666666702</c:v>
                </c:pt>
                <c:pt idx="165">
                  <c:v>7.7041666666666702</c:v>
                </c:pt>
                <c:pt idx="166">
                  <c:v>7.6708333333333298</c:v>
                </c:pt>
                <c:pt idx="167">
                  <c:v>7.6708333333333298</c:v>
                </c:pt>
                <c:pt idx="168">
                  <c:v>7.6708333333333298</c:v>
                </c:pt>
                <c:pt idx="169">
                  <c:v>7.6541666666666703</c:v>
                </c:pt>
                <c:pt idx="170">
                  <c:v>7.6541666666666703</c:v>
                </c:pt>
                <c:pt idx="171">
                  <c:v>7.6375000000000002</c:v>
                </c:pt>
                <c:pt idx="172">
                  <c:v>7.6041666666666696</c:v>
                </c:pt>
                <c:pt idx="173">
                  <c:v>7.5875000000000004</c:v>
                </c:pt>
                <c:pt idx="174">
                  <c:v>7.62083333333333</c:v>
                </c:pt>
                <c:pt idx="175">
                  <c:v>7.6375000000000002</c:v>
                </c:pt>
                <c:pt idx="176">
                  <c:v>7.6708333333333298</c:v>
                </c:pt>
                <c:pt idx="177">
                  <c:v>7.6749999999999998</c:v>
                </c:pt>
                <c:pt idx="178">
                  <c:v>7.6950000000000003</c:v>
                </c:pt>
                <c:pt idx="179">
                  <c:v>7.6950000000000003</c:v>
                </c:pt>
                <c:pt idx="180">
                  <c:v>7.6392857142857196</c:v>
                </c:pt>
                <c:pt idx="181">
                  <c:v>7.6392857142857196</c:v>
                </c:pt>
                <c:pt idx="182">
                  <c:v>7.6392857142857196</c:v>
                </c:pt>
                <c:pt idx="183">
                  <c:v>7.6535714285714302</c:v>
                </c:pt>
                <c:pt idx="184">
                  <c:v>7.7321428571428603</c:v>
                </c:pt>
                <c:pt idx="185">
                  <c:v>7.7178571428571399</c:v>
                </c:pt>
                <c:pt idx="186">
                  <c:v>7.6892857142857096</c:v>
                </c:pt>
                <c:pt idx="187">
                  <c:v>7.6749999999999998</c:v>
                </c:pt>
                <c:pt idx="188">
                  <c:v>7.7464285714285701</c:v>
                </c:pt>
                <c:pt idx="189">
                  <c:v>7.7321428571428603</c:v>
                </c:pt>
                <c:pt idx="190">
                  <c:v>7.6892857142857096</c:v>
                </c:pt>
                <c:pt idx="191">
                  <c:v>7.6892857142857096</c:v>
                </c:pt>
                <c:pt idx="192">
                  <c:v>7.6892857142857096</c:v>
                </c:pt>
                <c:pt idx="193">
                  <c:v>7.7607142857142897</c:v>
                </c:pt>
                <c:pt idx="194">
                  <c:v>7.7607142857142897</c:v>
                </c:pt>
                <c:pt idx="195">
                  <c:v>7.7406249999999996</c:v>
                </c:pt>
                <c:pt idx="196">
                  <c:v>7.7531249999999998</c:v>
                </c:pt>
                <c:pt idx="197">
                  <c:v>7.7531249999999998</c:v>
                </c:pt>
                <c:pt idx="198">
                  <c:v>7.7531249999999998</c:v>
                </c:pt>
                <c:pt idx="199">
                  <c:v>7.7531249999999998</c:v>
                </c:pt>
                <c:pt idx="200">
                  <c:v>7.7906250000000004</c:v>
                </c:pt>
                <c:pt idx="201">
                  <c:v>7.828125</c:v>
                </c:pt>
                <c:pt idx="202">
                  <c:v>7.8107142857142904</c:v>
                </c:pt>
                <c:pt idx="203">
                  <c:v>7.83928571428571</c:v>
                </c:pt>
                <c:pt idx="204">
                  <c:v>7.83928571428571</c:v>
                </c:pt>
                <c:pt idx="205">
                  <c:v>7.83928571428571</c:v>
                </c:pt>
                <c:pt idx="206">
                  <c:v>7.83928571428571</c:v>
                </c:pt>
                <c:pt idx="207">
                  <c:v>7.83928571428571</c:v>
                </c:pt>
                <c:pt idx="208">
                  <c:v>7.8531250000000004</c:v>
                </c:pt>
                <c:pt idx="209">
                  <c:v>7.8656249999999996</c:v>
                </c:pt>
                <c:pt idx="210">
                  <c:v>7.828125</c:v>
                </c:pt>
                <c:pt idx="211">
                  <c:v>7.8406250000000002</c:v>
                </c:pt>
                <c:pt idx="212">
                  <c:v>7.8406250000000002</c:v>
                </c:pt>
                <c:pt idx="213">
                  <c:v>7.8406250000000002</c:v>
                </c:pt>
                <c:pt idx="214">
                  <c:v>7.8250000000000002</c:v>
                </c:pt>
                <c:pt idx="215">
                  <c:v>7.9249999999999998</c:v>
                </c:pt>
                <c:pt idx="216">
                  <c:v>7.9249999999999998</c:v>
                </c:pt>
                <c:pt idx="217">
                  <c:v>7.9249999999999998</c:v>
                </c:pt>
                <c:pt idx="218">
                  <c:v>7.9</c:v>
                </c:pt>
                <c:pt idx="219">
                  <c:v>7.8</c:v>
                </c:pt>
                <c:pt idx="220">
                  <c:v>7.8</c:v>
                </c:pt>
                <c:pt idx="221">
                  <c:v>7.78571428571429</c:v>
                </c:pt>
                <c:pt idx="222">
                  <c:v>7.78571428571429</c:v>
                </c:pt>
                <c:pt idx="223">
                  <c:v>7.8</c:v>
                </c:pt>
                <c:pt idx="224">
                  <c:v>7.8</c:v>
                </c:pt>
                <c:pt idx="225">
                  <c:v>7.78571428571429</c:v>
                </c:pt>
                <c:pt idx="226">
                  <c:v>7.7714285714285696</c:v>
                </c:pt>
                <c:pt idx="227">
                  <c:v>7.7562499999999996</c:v>
                </c:pt>
                <c:pt idx="228">
                  <c:v>7.65625</c:v>
                </c:pt>
                <c:pt idx="229">
                  <c:v>7.65625</c:v>
                </c:pt>
                <c:pt idx="230">
                  <c:v>7.65625</c:v>
                </c:pt>
                <c:pt idx="231">
                  <c:v>7.6687500000000002</c:v>
                </c:pt>
                <c:pt idx="232">
                  <c:v>7.7062499999999998</c:v>
                </c:pt>
                <c:pt idx="233">
                  <c:v>7.71875</c:v>
                </c:pt>
                <c:pt idx="234">
                  <c:v>7.7062499999999998</c:v>
                </c:pt>
                <c:pt idx="235">
                  <c:v>7.7571428571428598</c:v>
                </c:pt>
                <c:pt idx="236">
                  <c:v>7.7428571428571402</c:v>
                </c:pt>
                <c:pt idx="237">
                  <c:v>7.7571428571428598</c:v>
                </c:pt>
                <c:pt idx="238">
                  <c:v>7.7428571428571402</c:v>
                </c:pt>
                <c:pt idx="239">
                  <c:v>7.7428571428571402</c:v>
                </c:pt>
                <c:pt idx="240">
                  <c:v>7.7</c:v>
                </c:pt>
                <c:pt idx="241">
                  <c:v>7.6833333333333398</c:v>
                </c:pt>
                <c:pt idx="242">
                  <c:v>7.7166666666666703</c:v>
                </c:pt>
                <c:pt idx="243">
                  <c:v>7.8214285714285703</c:v>
                </c:pt>
                <c:pt idx="244">
                  <c:v>7.8214285714285703</c:v>
                </c:pt>
                <c:pt idx="245">
                  <c:v>7.8071428571428596</c:v>
                </c:pt>
                <c:pt idx="246">
                  <c:v>7.6928571428571404</c:v>
                </c:pt>
                <c:pt idx="247">
                  <c:v>7.6928571428571404</c:v>
                </c:pt>
                <c:pt idx="248">
                  <c:v>7.6785714285714297</c:v>
                </c:pt>
                <c:pt idx="249">
                  <c:v>7.6785714285714297</c:v>
                </c:pt>
                <c:pt idx="250">
                  <c:v>7.6785714285714297</c:v>
                </c:pt>
                <c:pt idx="251">
                  <c:v>7.6785714285714297</c:v>
                </c:pt>
                <c:pt idx="252">
                  <c:v>7.6928571428571404</c:v>
                </c:pt>
              </c:numCache>
            </c:numRef>
          </c:val>
          <c:smooth val="0"/>
          <c:extLst xmlns:c15="http://schemas.microsoft.com/office/drawing/2012/chart">
            <c:ext xmlns:c16="http://schemas.microsoft.com/office/drawing/2014/chart" uri="{C3380CC4-5D6E-409C-BE32-E72D297353CC}">
              <c16:uniqueId val="{00000000-04D4-46FF-8191-A9E833E2AABC}"/>
            </c:ext>
          </c:extLst>
        </c:ser>
        <c:ser>
          <c:idx val="1"/>
          <c:order val="1"/>
          <c:tx>
            <c:strRef>
              <c:f>'His53'!$D$1</c:f>
              <c:strCache>
                <c:ptCount val="1"/>
                <c:pt idx="0">
                  <c:v> 6M </c:v>
                </c:pt>
              </c:strCache>
            </c:strRef>
          </c:tx>
          <c:spPr>
            <a:ln w="28575" cap="rnd">
              <a:solidFill>
                <a:schemeClr val="accent2"/>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'His53'!$D$2:$D$254</c:f>
              <c:numCache>
                <c:formatCode>_-* #,##0.00_-;\-* #,##0.00_-;_-* "-"??_-;_-@_-</c:formatCode>
                <c:ptCount val="253"/>
                <c:pt idx="0">
                  <c:v>5.2134615384615399</c:v>
                </c:pt>
                <c:pt idx="1">
                  <c:v>5.2134615384615399</c:v>
                </c:pt>
                <c:pt idx="2">
                  <c:v>5.2134615384615399</c:v>
                </c:pt>
                <c:pt idx="3">
                  <c:v>5.2057692307692296</c:v>
                </c:pt>
                <c:pt idx="4">
                  <c:v>5.2903846153846104</c:v>
                </c:pt>
                <c:pt idx="5">
                  <c:v>5.3057692307692301</c:v>
                </c:pt>
                <c:pt idx="6">
                  <c:v>5.3057692307692301</c:v>
                </c:pt>
                <c:pt idx="7">
                  <c:v>5.3057692307692301</c:v>
                </c:pt>
                <c:pt idx="8">
                  <c:v>5.3288461538461496</c:v>
                </c:pt>
                <c:pt idx="9">
                  <c:v>5.3519230769230797</c:v>
                </c:pt>
                <c:pt idx="10">
                  <c:v>5.3519230769230797</c:v>
                </c:pt>
                <c:pt idx="11">
                  <c:v>5.37307692307692</c:v>
                </c:pt>
                <c:pt idx="12">
                  <c:v>5.37307692307692</c:v>
                </c:pt>
                <c:pt idx="13">
                  <c:v>5.65</c:v>
                </c:pt>
                <c:pt idx="14">
                  <c:v>5.65</c:v>
                </c:pt>
                <c:pt idx="15">
                  <c:v>5.65</c:v>
                </c:pt>
                <c:pt idx="16">
                  <c:v>5.65</c:v>
                </c:pt>
                <c:pt idx="17">
                  <c:v>5.65</c:v>
                </c:pt>
                <c:pt idx="18">
                  <c:v>5.6166666666666698</c:v>
                </c:pt>
                <c:pt idx="19">
                  <c:v>5.6166666666666698</c:v>
                </c:pt>
                <c:pt idx="20">
                  <c:v>5.6166666666666698</c:v>
                </c:pt>
                <c:pt idx="21">
                  <c:v>5.625</c:v>
                </c:pt>
                <c:pt idx="22">
                  <c:v>5.625</c:v>
                </c:pt>
                <c:pt idx="23">
                  <c:v>5.625</c:v>
                </c:pt>
                <c:pt idx="24">
                  <c:v>5.65</c:v>
                </c:pt>
                <c:pt idx="25">
                  <c:v>5.67</c:v>
                </c:pt>
                <c:pt idx="26">
                  <c:v>5.7240000000000002</c:v>
                </c:pt>
                <c:pt idx="27">
                  <c:v>5.67</c:v>
                </c:pt>
                <c:pt idx="28">
                  <c:v>5.67</c:v>
                </c:pt>
                <c:pt idx="29">
                  <c:v>5.67</c:v>
                </c:pt>
                <c:pt idx="30">
                  <c:v>5.69</c:v>
                </c:pt>
                <c:pt idx="31">
                  <c:v>5.69</c:v>
                </c:pt>
                <c:pt idx="32">
                  <c:v>5.69</c:v>
                </c:pt>
                <c:pt idx="33">
                  <c:v>5.7666666666666702</c:v>
                </c:pt>
                <c:pt idx="34">
                  <c:v>5.7</c:v>
                </c:pt>
                <c:pt idx="35">
                  <c:v>5.7416666666666698</c:v>
                </c:pt>
                <c:pt idx="36">
                  <c:v>5.8375000000000004</c:v>
                </c:pt>
                <c:pt idx="37">
                  <c:v>5.8125</c:v>
                </c:pt>
                <c:pt idx="38">
                  <c:v>5.8125</c:v>
                </c:pt>
                <c:pt idx="39">
                  <c:v>5.8125</c:v>
                </c:pt>
                <c:pt idx="40">
                  <c:v>5.95</c:v>
                </c:pt>
                <c:pt idx="41">
                  <c:v>5.9</c:v>
                </c:pt>
                <c:pt idx="42">
                  <c:v>5.875</c:v>
                </c:pt>
                <c:pt idx="43">
                  <c:v>5.9</c:v>
                </c:pt>
                <c:pt idx="44">
                  <c:v>5.875</c:v>
                </c:pt>
                <c:pt idx="45">
                  <c:v>5.875</c:v>
                </c:pt>
                <c:pt idx="46">
                  <c:v>5.8624999999999998</c:v>
                </c:pt>
                <c:pt idx="47">
                  <c:v>5.8624999999999998</c:v>
                </c:pt>
                <c:pt idx="48">
                  <c:v>5.8624999999999998</c:v>
                </c:pt>
                <c:pt idx="49">
                  <c:v>5.8875000000000002</c:v>
                </c:pt>
                <c:pt idx="50">
                  <c:v>5.8875000000000002</c:v>
                </c:pt>
                <c:pt idx="51">
                  <c:v>5.7874999999999996</c:v>
                </c:pt>
                <c:pt idx="52">
                  <c:v>5.9375</c:v>
                </c:pt>
                <c:pt idx="53">
                  <c:v>5.9874999999999998</c:v>
                </c:pt>
                <c:pt idx="54">
                  <c:v>6.0125000000000002</c:v>
                </c:pt>
                <c:pt idx="55">
                  <c:v>6.0374999999999996</c:v>
                </c:pt>
                <c:pt idx="56">
                  <c:v>5.93333333333333</c:v>
                </c:pt>
                <c:pt idx="57">
                  <c:v>5.93333333333333</c:v>
                </c:pt>
                <c:pt idx="58">
                  <c:v>5.8961538461538501</c:v>
                </c:pt>
                <c:pt idx="59">
                  <c:v>5.89230769230769</c:v>
                </c:pt>
                <c:pt idx="60">
                  <c:v>5.89230769230769</c:v>
                </c:pt>
                <c:pt idx="61">
                  <c:v>5.89230769230769</c:v>
                </c:pt>
                <c:pt idx="62">
                  <c:v>5.9384615384615396</c:v>
                </c:pt>
                <c:pt idx="63">
                  <c:v>5.9615384615384599</c:v>
                </c:pt>
                <c:pt idx="64">
                  <c:v>6.0307692307692298</c:v>
                </c:pt>
                <c:pt idx="65">
                  <c:v>6.0461538461538504</c:v>
                </c:pt>
                <c:pt idx="66">
                  <c:v>6.0461538461538504</c:v>
                </c:pt>
                <c:pt idx="67">
                  <c:v>6.0461538461538504</c:v>
                </c:pt>
                <c:pt idx="68">
                  <c:v>6.1461538461538501</c:v>
                </c:pt>
                <c:pt idx="69">
                  <c:v>6.3807692307692303</c:v>
                </c:pt>
                <c:pt idx="70">
                  <c:v>6.4653846153846199</c:v>
                </c:pt>
                <c:pt idx="71">
                  <c:v>6.4653846153846199</c:v>
                </c:pt>
                <c:pt idx="72">
                  <c:v>6.4730769230769196</c:v>
                </c:pt>
                <c:pt idx="73">
                  <c:v>6.5461538461538504</c:v>
                </c:pt>
                <c:pt idx="74">
                  <c:v>6.5807692307692296</c:v>
                </c:pt>
                <c:pt idx="75">
                  <c:v>6.6307692307692303</c:v>
                </c:pt>
                <c:pt idx="76">
                  <c:v>6.6461538461538501</c:v>
                </c:pt>
                <c:pt idx="77">
                  <c:v>6.6461538461538501</c:v>
                </c:pt>
                <c:pt idx="78">
                  <c:v>6.6461538461538501</c:v>
                </c:pt>
                <c:pt idx="79">
                  <c:v>6.6153846153846203</c:v>
                </c:pt>
                <c:pt idx="80">
                  <c:v>6.62307692307692</c:v>
                </c:pt>
                <c:pt idx="81">
                  <c:v>6.62307692307692</c:v>
                </c:pt>
                <c:pt idx="82">
                  <c:v>6.6384615384615397</c:v>
                </c:pt>
                <c:pt idx="83">
                  <c:v>6.7269230769230797</c:v>
                </c:pt>
                <c:pt idx="84">
                  <c:v>6.7576923076923103</c:v>
                </c:pt>
                <c:pt idx="85">
                  <c:v>6.7346153846153802</c:v>
                </c:pt>
                <c:pt idx="86">
                  <c:v>6.8038461538461501</c:v>
                </c:pt>
                <c:pt idx="87">
                  <c:v>6.7961538461538504</c:v>
                </c:pt>
                <c:pt idx="88">
                  <c:v>6.7961538461538504</c:v>
                </c:pt>
                <c:pt idx="89">
                  <c:v>6.7961538461538504</c:v>
                </c:pt>
                <c:pt idx="90">
                  <c:v>6.7961538461538504</c:v>
                </c:pt>
                <c:pt idx="91">
                  <c:v>7.0346153846153898</c:v>
                </c:pt>
                <c:pt idx="92">
                  <c:v>7.0115384615384597</c:v>
                </c:pt>
                <c:pt idx="93">
                  <c:v>6.9884615384615403</c:v>
                </c:pt>
                <c:pt idx="94">
                  <c:v>6.9807692307692299</c:v>
                </c:pt>
                <c:pt idx="95">
                  <c:v>6.9576923076923096</c:v>
                </c:pt>
                <c:pt idx="96">
                  <c:v>6.9576923076923096</c:v>
                </c:pt>
                <c:pt idx="97">
                  <c:v>6.9576923076923096</c:v>
                </c:pt>
                <c:pt idx="98">
                  <c:v>6.9653846153846199</c:v>
                </c:pt>
                <c:pt idx="99">
                  <c:v>6.9346153846153804</c:v>
                </c:pt>
                <c:pt idx="100">
                  <c:v>6.9346153846153804</c:v>
                </c:pt>
                <c:pt idx="101">
                  <c:v>6.9576923076923096</c:v>
                </c:pt>
                <c:pt idx="102">
                  <c:v>6.9269230769230798</c:v>
                </c:pt>
                <c:pt idx="103">
                  <c:v>6.9230769230769198</c:v>
                </c:pt>
                <c:pt idx="104">
                  <c:v>6.9153846153846201</c:v>
                </c:pt>
                <c:pt idx="105">
                  <c:v>6.9153846153846201</c:v>
                </c:pt>
                <c:pt idx="106">
                  <c:v>7.0833333333333304</c:v>
                </c:pt>
                <c:pt idx="107">
                  <c:v>6.9461538461538499</c:v>
                </c:pt>
                <c:pt idx="108">
                  <c:v>6.9692307692307702</c:v>
                </c:pt>
                <c:pt idx="109">
                  <c:v>6.9692307692307702</c:v>
                </c:pt>
                <c:pt idx="110">
                  <c:v>6.9692307692307702</c:v>
                </c:pt>
                <c:pt idx="111">
                  <c:v>7.0153846153846198</c:v>
                </c:pt>
                <c:pt idx="112">
                  <c:v>7.1384615384615397</c:v>
                </c:pt>
                <c:pt idx="113">
                  <c:v>7.14230769230769</c:v>
                </c:pt>
                <c:pt idx="114">
                  <c:v>7.12692307692308</c:v>
                </c:pt>
                <c:pt idx="115">
                  <c:v>7.1884615384615396</c:v>
                </c:pt>
                <c:pt idx="116">
                  <c:v>7.1346153846153904</c:v>
                </c:pt>
                <c:pt idx="117">
                  <c:v>7.1346153846153904</c:v>
                </c:pt>
                <c:pt idx="118">
                  <c:v>7.1115384615384603</c:v>
                </c:pt>
                <c:pt idx="119">
                  <c:v>7.1115384615384603</c:v>
                </c:pt>
                <c:pt idx="120">
                  <c:v>7.1115384615384603</c:v>
                </c:pt>
                <c:pt idx="121">
                  <c:v>7.3125</c:v>
                </c:pt>
                <c:pt idx="122">
                  <c:v>7.3125</c:v>
                </c:pt>
                <c:pt idx="123">
                  <c:v>7.3125</c:v>
                </c:pt>
                <c:pt idx="124">
                  <c:v>7.3125</c:v>
                </c:pt>
                <c:pt idx="125">
                  <c:v>7.32</c:v>
                </c:pt>
                <c:pt idx="126">
                  <c:v>7.4916666666666698</c:v>
                </c:pt>
                <c:pt idx="127">
                  <c:v>7.5083333333333302</c:v>
                </c:pt>
                <c:pt idx="128">
                  <c:v>7.5125000000000002</c:v>
                </c:pt>
                <c:pt idx="129">
                  <c:v>7.49583333333333</c:v>
                </c:pt>
                <c:pt idx="130">
                  <c:v>7.49583333333333</c:v>
                </c:pt>
                <c:pt idx="131">
                  <c:v>7.5291666666666703</c:v>
                </c:pt>
                <c:pt idx="132">
                  <c:v>7.5125000000000002</c:v>
                </c:pt>
                <c:pt idx="133">
                  <c:v>7.5291666666666703</c:v>
                </c:pt>
                <c:pt idx="134">
                  <c:v>7.5791666666666702</c:v>
                </c:pt>
                <c:pt idx="135">
                  <c:v>7.5791666666666702</c:v>
                </c:pt>
                <c:pt idx="136">
                  <c:v>7.5791666666666702</c:v>
                </c:pt>
                <c:pt idx="137">
                  <c:v>7.5791666666666702</c:v>
                </c:pt>
                <c:pt idx="138">
                  <c:v>7.5791666666666702</c:v>
                </c:pt>
                <c:pt idx="139">
                  <c:v>7.5791666666666702</c:v>
                </c:pt>
                <c:pt idx="140">
                  <c:v>7.5791666666666702</c:v>
                </c:pt>
                <c:pt idx="141">
                  <c:v>7.5791666666666702</c:v>
                </c:pt>
                <c:pt idx="142">
                  <c:v>7.6375000000000002</c:v>
                </c:pt>
                <c:pt idx="143">
                  <c:v>7.6541666666666703</c:v>
                </c:pt>
                <c:pt idx="144">
                  <c:v>7.6541666666666703</c:v>
                </c:pt>
                <c:pt idx="145">
                  <c:v>7.7374999999999998</c:v>
                </c:pt>
                <c:pt idx="146">
                  <c:v>7.7874999999999996</c:v>
                </c:pt>
                <c:pt idx="147">
                  <c:v>7.8541666666666696</c:v>
                </c:pt>
                <c:pt idx="148">
                  <c:v>7.87083333333333</c:v>
                </c:pt>
                <c:pt idx="149">
                  <c:v>7.87</c:v>
                </c:pt>
                <c:pt idx="150">
                  <c:v>7.81</c:v>
                </c:pt>
                <c:pt idx="151">
                  <c:v>7.86</c:v>
                </c:pt>
                <c:pt idx="152">
                  <c:v>7.85</c:v>
                </c:pt>
                <c:pt idx="153">
                  <c:v>7.85</c:v>
                </c:pt>
                <c:pt idx="154">
                  <c:v>7.82</c:v>
                </c:pt>
                <c:pt idx="155">
                  <c:v>7.78</c:v>
                </c:pt>
                <c:pt idx="156">
                  <c:v>7.7</c:v>
                </c:pt>
                <c:pt idx="157">
                  <c:v>7.7</c:v>
                </c:pt>
                <c:pt idx="158">
                  <c:v>7.66</c:v>
                </c:pt>
                <c:pt idx="159">
                  <c:v>7.66</c:v>
                </c:pt>
                <c:pt idx="160">
                  <c:v>7.66</c:v>
                </c:pt>
                <c:pt idx="161">
                  <c:v>7.66</c:v>
                </c:pt>
                <c:pt idx="162">
                  <c:v>7.6</c:v>
                </c:pt>
                <c:pt idx="163">
                  <c:v>7.6375000000000002</c:v>
                </c:pt>
                <c:pt idx="164">
                  <c:v>7.6375000000000002</c:v>
                </c:pt>
                <c:pt idx="165">
                  <c:v>7.6375000000000002</c:v>
                </c:pt>
                <c:pt idx="166">
                  <c:v>7.66</c:v>
                </c:pt>
                <c:pt idx="167">
                  <c:v>7.66</c:v>
                </c:pt>
                <c:pt idx="168">
                  <c:v>7.62</c:v>
                </c:pt>
                <c:pt idx="169">
                  <c:v>7.62</c:v>
                </c:pt>
                <c:pt idx="170">
                  <c:v>7.62</c:v>
                </c:pt>
                <c:pt idx="171">
                  <c:v>7.62</c:v>
                </c:pt>
                <c:pt idx="172">
                  <c:v>7.62</c:v>
                </c:pt>
                <c:pt idx="173">
                  <c:v>7.62</c:v>
                </c:pt>
                <c:pt idx="174">
                  <c:v>7.6</c:v>
                </c:pt>
                <c:pt idx="175">
                  <c:v>7.6</c:v>
                </c:pt>
                <c:pt idx="176">
                  <c:v>7.58</c:v>
                </c:pt>
                <c:pt idx="177">
                  <c:v>7.625</c:v>
                </c:pt>
                <c:pt idx="178">
                  <c:v>7.625</c:v>
                </c:pt>
                <c:pt idx="179">
                  <c:v>7.625</c:v>
                </c:pt>
                <c:pt idx="180">
                  <c:v>7.7</c:v>
                </c:pt>
                <c:pt idx="181">
                  <c:v>7.7</c:v>
                </c:pt>
                <c:pt idx="182">
                  <c:v>7.7</c:v>
                </c:pt>
                <c:pt idx="183">
                  <c:v>7.72</c:v>
                </c:pt>
                <c:pt idx="184">
                  <c:v>7.76</c:v>
                </c:pt>
                <c:pt idx="185">
                  <c:v>7.78</c:v>
                </c:pt>
                <c:pt idx="186">
                  <c:v>7.78</c:v>
                </c:pt>
                <c:pt idx="187">
                  <c:v>7.82</c:v>
                </c:pt>
                <c:pt idx="188">
                  <c:v>7.98</c:v>
                </c:pt>
                <c:pt idx="189">
                  <c:v>7.93</c:v>
                </c:pt>
                <c:pt idx="190">
                  <c:v>7.89</c:v>
                </c:pt>
                <c:pt idx="191">
                  <c:v>7.88</c:v>
                </c:pt>
                <c:pt idx="192">
                  <c:v>7.88</c:v>
                </c:pt>
                <c:pt idx="193">
                  <c:v>7.92</c:v>
                </c:pt>
                <c:pt idx="194">
                  <c:v>7.88</c:v>
                </c:pt>
                <c:pt idx="195">
                  <c:v>7.95</c:v>
                </c:pt>
                <c:pt idx="196">
                  <c:v>7.95</c:v>
                </c:pt>
                <c:pt idx="197">
                  <c:v>7.95</c:v>
                </c:pt>
                <c:pt idx="198">
                  <c:v>7.9749999999999996</c:v>
                </c:pt>
                <c:pt idx="199">
                  <c:v>7.9916666666666698</c:v>
                </c:pt>
                <c:pt idx="200">
                  <c:v>7.9916666666666698</c:v>
                </c:pt>
                <c:pt idx="201">
                  <c:v>7.9916666666666698</c:v>
                </c:pt>
                <c:pt idx="202">
                  <c:v>8.0083333333333293</c:v>
                </c:pt>
                <c:pt idx="203">
                  <c:v>8.0250000000000004</c:v>
                </c:pt>
                <c:pt idx="204">
                  <c:v>8.0416666666666607</c:v>
                </c:pt>
                <c:pt idx="205">
                  <c:v>8.0416666666666607</c:v>
                </c:pt>
                <c:pt idx="206">
                  <c:v>8.05833333333333</c:v>
                </c:pt>
                <c:pt idx="207">
                  <c:v>8.0916666666666703</c:v>
                </c:pt>
                <c:pt idx="208">
                  <c:v>8.1300000000000008</c:v>
                </c:pt>
                <c:pt idx="209">
                  <c:v>8.15</c:v>
                </c:pt>
                <c:pt idx="210">
                  <c:v>8.1300000000000008</c:v>
                </c:pt>
                <c:pt idx="211">
                  <c:v>8.17</c:v>
                </c:pt>
                <c:pt idx="212">
                  <c:v>8.15</c:v>
                </c:pt>
                <c:pt idx="213">
                  <c:v>8.15</c:v>
                </c:pt>
                <c:pt idx="214">
                  <c:v>8.0875000000000004</c:v>
                </c:pt>
                <c:pt idx="215">
                  <c:v>8.1125000000000007</c:v>
                </c:pt>
                <c:pt idx="216">
                  <c:v>8.1374999999999993</c:v>
                </c:pt>
                <c:pt idx="217">
                  <c:v>8.1374999999999993</c:v>
                </c:pt>
                <c:pt idx="218">
                  <c:v>8.1374999999999993</c:v>
                </c:pt>
                <c:pt idx="219">
                  <c:v>8.1374999999999993</c:v>
                </c:pt>
                <c:pt idx="220">
                  <c:v>8.1374999999999993</c:v>
                </c:pt>
                <c:pt idx="221">
                  <c:v>8.1125000000000007</c:v>
                </c:pt>
                <c:pt idx="222">
                  <c:v>8.1374999999999993</c:v>
                </c:pt>
                <c:pt idx="223">
                  <c:v>8.1374999999999993</c:v>
                </c:pt>
                <c:pt idx="224">
                  <c:v>8.1374999999999993</c:v>
                </c:pt>
                <c:pt idx="225">
                  <c:v>8.1125000000000007</c:v>
                </c:pt>
                <c:pt idx="226">
                  <c:v>8.1125000000000007</c:v>
                </c:pt>
                <c:pt idx="227">
                  <c:v>8.2333333333333307</c:v>
                </c:pt>
                <c:pt idx="228">
                  <c:v>8.2333333333333307</c:v>
                </c:pt>
                <c:pt idx="229">
                  <c:v>8.4</c:v>
                </c:pt>
                <c:pt idx="230">
                  <c:v>8.4</c:v>
                </c:pt>
                <c:pt idx="231">
                  <c:v>8.4</c:v>
                </c:pt>
                <c:pt idx="232">
                  <c:v>8.4</c:v>
                </c:pt>
                <c:pt idx="233">
                  <c:v>8.4</c:v>
                </c:pt>
                <c:pt idx="234">
                  <c:v>8.4</c:v>
                </c:pt>
                <c:pt idx="235">
                  <c:v>8.4</c:v>
                </c:pt>
                <c:pt idx="236">
                  <c:v>8.4</c:v>
                </c:pt>
                <c:pt idx="237">
                  <c:v>8.4</c:v>
                </c:pt>
                <c:pt idx="238">
                  <c:v>8.4</c:v>
                </c:pt>
                <c:pt idx="239">
                  <c:v>8.4</c:v>
                </c:pt>
                <c:pt idx="240">
                  <c:v>8.4</c:v>
                </c:pt>
                <c:pt idx="241">
                  <c:v>8.4</c:v>
                </c:pt>
                <c:pt idx="242">
                  <c:v>8.4</c:v>
                </c:pt>
                <c:pt idx="243">
                  <c:v>8.0192307692307701</c:v>
                </c:pt>
                <c:pt idx="244">
                  <c:v>8.1333333333333293</c:v>
                </c:pt>
                <c:pt idx="245">
                  <c:v>8.1666666666666607</c:v>
                </c:pt>
                <c:pt idx="246">
                  <c:v>8.1666666666666607</c:v>
                </c:pt>
                <c:pt idx="247">
                  <c:v>8.1666666666666607</c:v>
                </c:pt>
                <c:pt idx="248">
                  <c:v>8.1666666666666607</c:v>
                </c:pt>
                <c:pt idx="249">
                  <c:v>8.1666666666666607</c:v>
                </c:pt>
                <c:pt idx="250">
                  <c:v>8.1666666666666607</c:v>
                </c:pt>
                <c:pt idx="251">
                  <c:v>8.0250000000000004</c:v>
                </c:pt>
                <c:pt idx="252">
                  <c:v>8.0250000000000004</c:v>
                </c:pt>
              </c:numCache>
            </c:numRef>
          </c:val>
          <c:smooth val="0"/>
          <c:extLst>
            <c:ext xmlns:c16="http://schemas.microsoft.com/office/drawing/2014/chart" uri="{C3380CC4-5D6E-409C-BE32-E72D297353CC}">
              <c16:uniqueId val="{00000001-04D4-46FF-8191-A9E833E2AABC}"/>
            </c:ext>
          </c:extLst>
        </c:ser>
        <c:ser>
          <c:idx val="2"/>
          <c:order val="2"/>
          <c:tx>
            <c:strRef>
              <c:f>'His53'!$E$1</c:f>
              <c:strCache>
                <c:ptCount val="1"/>
                <c:pt idx="0">
                  <c:v> 9M </c:v>
                </c:pt>
              </c:strCache>
            </c:strRef>
          </c:tx>
          <c:spPr>
            <a:ln w="28575" cap="rnd">
              <a:solidFill>
                <a:schemeClr val="accent3"/>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'His53'!$E$2:$E$254</c:f>
              <c:numCache>
                <c:formatCode>_-* #,##0.00_-;\-* #,##0.00_-;_-* "-"??_-;_-@_-</c:formatCode>
                <c:ptCount val="253"/>
                <c:pt idx="0">
                  <c:v>5.3403846153846102</c:v>
                </c:pt>
                <c:pt idx="1">
                  <c:v>5.3634615384615403</c:v>
                </c:pt>
                <c:pt idx="2">
                  <c:v>5.3634615384615403</c:v>
                </c:pt>
                <c:pt idx="3">
                  <c:v>5.3557692307692299</c:v>
                </c:pt>
                <c:pt idx="4">
                  <c:v>5.3634615384615403</c:v>
                </c:pt>
                <c:pt idx="5">
                  <c:v>5.3711538461538497</c:v>
                </c:pt>
                <c:pt idx="6">
                  <c:v>5.3711538461538497</c:v>
                </c:pt>
                <c:pt idx="7">
                  <c:v>5.3711538461538497</c:v>
                </c:pt>
                <c:pt idx="8">
                  <c:v>5.3865384615384597</c:v>
                </c:pt>
                <c:pt idx="9">
                  <c:v>5.4019230769230804</c:v>
                </c:pt>
                <c:pt idx="10">
                  <c:v>5.4019230769230804</c:v>
                </c:pt>
                <c:pt idx="11">
                  <c:v>5.4192307692307704</c:v>
                </c:pt>
                <c:pt idx="12">
                  <c:v>5.4192307692307704</c:v>
                </c:pt>
                <c:pt idx="13">
                  <c:v>5.4730769230769196</c:v>
                </c:pt>
                <c:pt idx="14">
                  <c:v>5.4730769230769196</c:v>
                </c:pt>
                <c:pt idx="15">
                  <c:v>5.4807692307692299</c:v>
                </c:pt>
                <c:pt idx="16">
                  <c:v>5.4807692307692299</c:v>
                </c:pt>
                <c:pt idx="17">
                  <c:v>5.4807692307692299</c:v>
                </c:pt>
                <c:pt idx="18">
                  <c:v>5.5192307692307701</c:v>
                </c:pt>
                <c:pt idx="19">
                  <c:v>5.4884615384615403</c:v>
                </c:pt>
                <c:pt idx="20">
                  <c:v>5.5192307692307701</c:v>
                </c:pt>
                <c:pt idx="21">
                  <c:v>5.5269230769230804</c:v>
                </c:pt>
                <c:pt idx="22">
                  <c:v>5.5269230769230804</c:v>
                </c:pt>
                <c:pt idx="23">
                  <c:v>5.5576923076923102</c:v>
                </c:pt>
                <c:pt idx="24">
                  <c:v>5.5730769230769202</c:v>
                </c:pt>
                <c:pt idx="25">
                  <c:v>5.5846153846153799</c:v>
                </c:pt>
                <c:pt idx="26">
                  <c:v>5.60769230769231</c:v>
                </c:pt>
                <c:pt idx="27">
                  <c:v>5.60769230769231</c:v>
                </c:pt>
                <c:pt idx="28">
                  <c:v>5.62307692307692</c:v>
                </c:pt>
                <c:pt idx="29">
                  <c:v>5.62307692307692</c:v>
                </c:pt>
                <c:pt idx="30">
                  <c:v>5.6307692307692303</c:v>
                </c:pt>
                <c:pt idx="31">
                  <c:v>5.6307692307692303</c:v>
                </c:pt>
                <c:pt idx="32">
                  <c:v>5.6307692307692303</c:v>
                </c:pt>
                <c:pt idx="33">
                  <c:v>5.6923076923076898</c:v>
                </c:pt>
                <c:pt idx="34">
                  <c:v>5.6923076923076898</c:v>
                </c:pt>
                <c:pt idx="35">
                  <c:v>5.7269230769230797</c:v>
                </c:pt>
                <c:pt idx="36">
                  <c:v>5.7423076923076897</c:v>
                </c:pt>
                <c:pt idx="37">
                  <c:v>5.7576923076923103</c:v>
                </c:pt>
                <c:pt idx="38">
                  <c:v>5.7576923076923103</c:v>
                </c:pt>
                <c:pt idx="39">
                  <c:v>5.7576923076923103</c:v>
                </c:pt>
                <c:pt idx="40">
                  <c:v>5.7730769230769203</c:v>
                </c:pt>
                <c:pt idx="41">
                  <c:v>5.8115384615384604</c:v>
                </c:pt>
                <c:pt idx="42">
                  <c:v>5.8076923076923102</c:v>
                </c:pt>
                <c:pt idx="43">
                  <c:v>5.8153846153846098</c:v>
                </c:pt>
                <c:pt idx="44">
                  <c:v>5.8230769230769202</c:v>
                </c:pt>
                <c:pt idx="45">
                  <c:v>5.8230000000000004</c:v>
                </c:pt>
                <c:pt idx="46">
                  <c:v>6.0250000000000004</c:v>
                </c:pt>
                <c:pt idx="47">
                  <c:v>5.9749999999999996</c:v>
                </c:pt>
                <c:pt idx="48">
                  <c:v>6</c:v>
                </c:pt>
                <c:pt idx="49">
                  <c:v>6.0250000000000004</c:v>
                </c:pt>
                <c:pt idx="50">
                  <c:v>6.0750000000000002</c:v>
                </c:pt>
                <c:pt idx="51">
                  <c:v>6.0750000000000002</c:v>
                </c:pt>
                <c:pt idx="52">
                  <c:v>6.0750000000000002</c:v>
                </c:pt>
                <c:pt idx="53">
                  <c:v>6.125</c:v>
                </c:pt>
                <c:pt idx="54">
                  <c:v>6.05</c:v>
                </c:pt>
                <c:pt idx="55">
                  <c:v>6.06666666666667</c:v>
                </c:pt>
                <c:pt idx="56">
                  <c:v>6.06666666666667</c:v>
                </c:pt>
                <c:pt idx="57">
                  <c:v>6.06666666666667</c:v>
                </c:pt>
                <c:pt idx="58">
                  <c:v>6.06666666666667</c:v>
                </c:pt>
                <c:pt idx="59">
                  <c:v>6.0538461538461501</c:v>
                </c:pt>
                <c:pt idx="60">
                  <c:v>6.0538461538461501</c:v>
                </c:pt>
                <c:pt idx="61">
                  <c:v>6.0538461538461501</c:v>
                </c:pt>
                <c:pt idx="62">
                  <c:v>6.10769230769231</c:v>
                </c:pt>
                <c:pt idx="63">
                  <c:v>6.12307692307692</c:v>
                </c:pt>
                <c:pt idx="64">
                  <c:v>6.1846153846153804</c:v>
                </c:pt>
                <c:pt idx="65">
                  <c:v>6.2038461538461496</c:v>
                </c:pt>
                <c:pt idx="66">
                  <c:v>6.2038461538461496</c:v>
                </c:pt>
                <c:pt idx="67">
                  <c:v>6.2038461538461496</c:v>
                </c:pt>
                <c:pt idx="68">
                  <c:v>6.4749999999999996</c:v>
                </c:pt>
                <c:pt idx="69">
                  <c:v>6.5750000000000002</c:v>
                </c:pt>
                <c:pt idx="70">
                  <c:v>6.65625</c:v>
                </c:pt>
                <c:pt idx="71">
                  <c:v>6.6812500000000004</c:v>
                </c:pt>
                <c:pt idx="72">
                  <c:v>6.6812500000000004</c:v>
                </c:pt>
                <c:pt idx="73">
                  <c:v>6.6437499999999998</c:v>
                </c:pt>
                <c:pt idx="74">
                  <c:v>6.6687500000000002</c:v>
                </c:pt>
                <c:pt idx="75">
                  <c:v>6.6937499999999996</c:v>
                </c:pt>
                <c:pt idx="76">
                  <c:v>6.7562499999999996</c:v>
                </c:pt>
                <c:pt idx="77">
                  <c:v>6.7562499999999996</c:v>
                </c:pt>
                <c:pt idx="78">
                  <c:v>6.7562499999999996</c:v>
                </c:pt>
                <c:pt idx="79">
                  <c:v>6.7312500000000002</c:v>
                </c:pt>
                <c:pt idx="80">
                  <c:v>6.7312500000000002</c:v>
                </c:pt>
                <c:pt idx="81">
                  <c:v>6.7312500000000002</c:v>
                </c:pt>
                <c:pt idx="82">
                  <c:v>6.78125</c:v>
                </c:pt>
                <c:pt idx="83">
                  <c:v>6.9187500000000002</c:v>
                </c:pt>
                <c:pt idx="84">
                  <c:v>6.9437499999999996</c:v>
                </c:pt>
                <c:pt idx="85">
                  <c:v>6.96875</c:v>
                </c:pt>
                <c:pt idx="86">
                  <c:v>7.0187499999999998</c:v>
                </c:pt>
                <c:pt idx="87">
                  <c:v>7.0437500000000002</c:v>
                </c:pt>
                <c:pt idx="88">
                  <c:v>6.9749999999999996</c:v>
                </c:pt>
                <c:pt idx="89">
                  <c:v>6.9749999999999996</c:v>
                </c:pt>
                <c:pt idx="90">
                  <c:v>6.875</c:v>
                </c:pt>
                <c:pt idx="91">
                  <c:v>7.0769230769230802</c:v>
                </c:pt>
                <c:pt idx="92">
                  <c:v>7.0576923076923102</c:v>
                </c:pt>
                <c:pt idx="93">
                  <c:v>7.0576923076923102</c:v>
                </c:pt>
                <c:pt idx="94">
                  <c:v>7.05</c:v>
                </c:pt>
                <c:pt idx="95">
                  <c:v>7.0269230769230804</c:v>
                </c:pt>
                <c:pt idx="96">
                  <c:v>7.15</c:v>
                </c:pt>
                <c:pt idx="97">
                  <c:v>7.18333333333333</c:v>
                </c:pt>
                <c:pt idx="98">
                  <c:v>7.2166666666666703</c:v>
                </c:pt>
                <c:pt idx="99">
                  <c:v>7.25</c:v>
                </c:pt>
                <c:pt idx="100">
                  <c:v>7.15</c:v>
                </c:pt>
                <c:pt idx="101">
                  <c:v>7.18333333333333</c:v>
                </c:pt>
                <c:pt idx="102">
                  <c:v>7.18333333333333</c:v>
                </c:pt>
                <c:pt idx="103">
                  <c:v>7.1333333333333302</c:v>
                </c:pt>
                <c:pt idx="104">
                  <c:v>7.1333333333333302</c:v>
                </c:pt>
                <c:pt idx="105">
                  <c:v>7.1333333333333302</c:v>
                </c:pt>
                <c:pt idx="106">
                  <c:v>7.1666666666666696</c:v>
                </c:pt>
                <c:pt idx="107">
                  <c:v>7.1666666666666696</c:v>
                </c:pt>
                <c:pt idx="108">
                  <c:v>7.1666666666666696</c:v>
                </c:pt>
                <c:pt idx="109">
                  <c:v>7.1666666666666696</c:v>
                </c:pt>
                <c:pt idx="110">
                  <c:v>7.1666666666666696</c:v>
                </c:pt>
                <c:pt idx="111">
                  <c:v>7.2</c:v>
                </c:pt>
                <c:pt idx="112">
                  <c:v>7.31666666666667</c:v>
                </c:pt>
                <c:pt idx="113">
                  <c:v>7.31666666666667</c:v>
                </c:pt>
                <c:pt idx="114">
                  <c:v>7.3</c:v>
                </c:pt>
                <c:pt idx="115">
                  <c:v>7.3333333333333304</c:v>
                </c:pt>
                <c:pt idx="116">
                  <c:v>7.3666666666666698</c:v>
                </c:pt>
                <c:pt idx="117">
                  <c:v>7.3666666666666698</c:v>
                </c:pt>
                <c:pt idx="118">
                  <c:v>7.2666666666666702</c:v>
                </c:pt>
                <c:pt idx="119">
                  <c:v>7.2666666666666702</c:v>
                </c:pt>
                <c:pt idx="120">
                  <c:v>7.2666666666666702</c:v>
                </c:pt>
                <c:pt idx="121">
                  <c:v>7.2</c:v>
                </c:pt>
                <c:pt idx="122">
                  <c:v>7.2</c:v>
                </c:pt>
                <c:pt idx="123">
                  <c:v>7.2153846153846199</c:v>
                </c:pt>
                <c:pt idx="124">
                  <c:v>7.2153846153846199</c:v>
                </c:pt>
                <c:pt idx="125">
                  <c:v>7.2153846153846199</c:v>
                </c:pt>
                <c:pt idx="126">
                  <c:v>7.3307692307692296</c:v>
                </c:pt>
                <c:pt idx="127">
                  <c:v>7.3461538461538503</c:v>
                </c:pt>
                <c:pt idx="128">
                  <c:v>7.45</c:v>
                </c:pt>
                <c:pt idx="129">
                  <c:v>7.45</c:v>
                </c:pt>
                <c:pt idx="130">
                  <c:v>7.3833333333333302</c:v>
                </c:pt>
                <c:pt idx="131">
                  <c:v>7.4833333333333396</c:v>
                </c:pt>
                <c:pt idx="132">
                  <c:v>7.45</c:v>
                </c:pt>
                <c:pt idx="133">
                  <c:v>7.45</c:v>
                </c:pt>
                <c:pt idx="134">
                  <c:v>7.4833333333333396</c:v>
                </c:pt>
                <c:pt idx="135">
                  <c:v>7.4833333333333396</c:v>
                </c:pt>
                <c:pt idx="136">
                  <c:v>7.5166666666666702</c:v>
                </c:pt>
                <c:pt idx="137">
                  <c:v>7.5166666666666702</c:v>
                </c:pt>
                <c:pt idx="138">
                  <c:v>7.5166666666666702</c:v>
                </c:pt>
                <c:pt idx="139">
                  <c:v>7.55</c:v>
                </c:pt>
                <c:pt idx="140">
                  <c:v>7.55</c:v>
                </c:pt>
                <c:pt idx="141">
                  <c:v>7.55</c:v>
                </c:pt>
                <c:pt idx="142">
                  <c:v>7.6166666666666698</c:v>
                </c:pt>
                <c:pt idx="143">
                  <c:v>7.65</c:v>
                </c:pt>
                <c:pt idx="144">
                  <c:v>7.65</c:v>
                </c:pt>
                <c:pt idx="145">
                  <c:v>7.6833333333333398</c:v>
                </c:pt>
                <c:pt idx="146">
                  <c:v>7.6166666666666698</c:v>
                </c:pt>
                <c:pt idx="147">
                  <c:v>7.6166666666666698</c:v>
                </c:pt>
                <c:pt idx="148">
                  <c:v>7.65</c:v>
                </c:pt>
                <c:pt idx="149">
                  <c:v>7.65</c:v>
                </c:pt>
                <c:pt idx="150">
                  <c:v>7.65</c:v>
                </c:pt>
                <c:pt idx="151">
                  <c:v>7.7249999999999996</c:v>
                </c:pt>
                <c:pt idx="152">
                  <c:v>7.7249999999999996</c:v>
                </c:pt>
                <c:pt idx="153">
                  <c:v>7.7249999999999996</c:v>
                </c:pt>
                <c:pt idx="154">
                  <c:v>7.7249999999999996</c:v>
                </c:pt>
                <c:pt idx="155">
                  <c:v>7.7249999999999996</c:v>
                </c:pt>
                <c:pt idx="156">
                  <c:v>7.7750000000000004</c:v>
                </c:pt>
                <c:pt idx="157">
                  <c:v>7.7750000000000004</c:v>
                </c:pt>
                <c:pt idx="158">
                  <c:v>7.7750000000000004</c:v>
                </c:pt>
                <c:pt idx="159">
                  <c:v>7.7750000000000004</c:v>
                </c:pt>
                <c:pt idx="160">
                  <c:v>7.7750000000000004</c:v>
                </c:pt>
                <c:pt idx="161">
                  <c:v>7.7750000000000004</c:v>
                </c:pt>
                <c:pt idx="162">
                  <c:v>7.7750000000000004</c:v>
                </c:pt>
                <c:pt idx="163">
                  <c:v>7.7750000000000004</c:v>
                </c:pt>
                <c:pt idx="164">
                  <c:v>7.7750000000000004</c:v>
                </c:pt>
                <c:pt idx="165">
                  <c:v>7.7750000000000004</c:v>
                </c:pt>
                <c:pt idx="166">
                  <c:v>7.75</c:v>
                </c:pt>
                <c:pt idx="167">
                  <c:v>7.75</c:v>
                </c:pt>
                <c:pt idx="168">
                  <c:v>7.75</c:v>
                </c:pt>
                <c:pt idx="169">
                  <c:v>7.75</c:v>
                </c:pt>
                <c:pt idx="170">
                  <c:v>7.75</c:v>
                </c:pt>
                <c:pt idx="171">
                  <c:v>7.75</c:v>
                </c:pt>
                <c:pt idx="172">
                  <c:v>7.75</c:v>
                </c:pt>
                <c:pt idx="173">
                  <c:v>7.75</c:v>
                </c:pt>
                <c:pt idx="174">
                  <c:v>7.75</c:v>
                </c:pt>
                <c:pt idx="175">
                  <c:v>7.75</c:v>
                </c:pt>
                <c:pt idx="176">
                  <c:v>7.75</c:v>
                </c:pt>
                <c:pt idx="177">
                  <c:v>7.75</c:v>
                </c:pt>
                <c:pt idx="178">
                  <c:v>7.75</c:v>
                </c:pt>
                <c:pt idx="179">
                  <c:v>7.75</c:v>
                </c:pt>
                <c:pt idx="180">
                  <c:v>7.7961538461538504</c:v>
                </c:pt>
                <c:pt idx="181">
                  <c:v>7.7884615384615401</c:v>
                </c:pt>
                <c:pt idx="182">
                  <c:v>7.7884615384615401</c:v>
                </c:pt>
                <c:pt idx="183">
                  <c:v>7.8038461538461599</c:v>
                </c:pt>
                <c:pt idx="184">
                  <c:v>7.8115384615384604</c:v>
                </c:pt>
                <c:pt idx="185">
                  <c:v>7.8192307692307699</c:v>
                </c:pt>
                <c:pt idx="186">
                  <c:v>7.8269230769230802</c:v>
                </c:pt>
                <c:pt idx="187">
                  <c:v>7.8961538461538501</c:v>
                </c:pt>
                <c:pt idx="188">
                  <c:v>7.9461538461538499</c:v>
                </c:pt>
                <c:pt idx="189">
                  <c:v>7.9346153846153902</c:v>
                </c:pt>
                <c:pt idx="190">
                  <c:v>7.9346153846153902</c:v>
                </c:pt>
                <c:pt idx="191">
                  <c:v>7.9230769230769198</c:v>
                </c:pt>
                <c:pt idx="192">
                  <c:v>7.9269230769230798</c:v>
                </c:pt>
                <c:pt idx="193">
                  <c:v>7.9423076923076898</c:v>
                </c:pt>
                <c:pt idx="194">
                  <c:v>7.9423076923076898</c:v>
                </c:pt>
                <c:pt idx="195">
                  <c:v>7.9423076923076898</c:v>
                </c:pt>
                <c:pt idx="196">
                  <c:v>7.9423076923076898</c:v>
                </c:pt>
                <c:pt idx="197">
                  <c:v>7.9653846153846199</c:v>
                </c:pt>
                <c:pt idx="198">
                  <c:v>7.9423076923076898</c:v>
                </c:pt>
                <c:pt idx="199">
                  <c:v>7.9538461538461496</c:v>
                </c:pt>
                <c:pt idx="200">
                  <c:v>7.9538461538461496</c:v>
                </c:pt>
                <c:pt idx="201">
                  <c:v>7.9538461538461496</c:v>
                </c:pt>
                <c:pt idx="202">
                  <c:v>7.9615384615384599</c:v>
                </c:pt>
                <c:pt idx="203">
                  <c:v>7.9807692307692299</c:v>
                </c:pt>
                <c:pt idx="204">
                  <c:v>7.9884615384615403</c:v>
                </c:pt>
                <c:pt idx="205">
                  <c:v>7.9884615384615403</c:v>
                </c:pt>
                <c:pt idx="206">
                  <c:v>7.9884615384615403</c:v>
                </c:pt>
                <c:pt idx="207">
                  <c:v>7.9961538461538497</c:v>
                </c:pt>
                <c:pt idx="208">
                  <c:v>8.0115384615384606</c:v>
                </c:pt>
                <c:pt idx="209">
                  <c:v>8.0115384615384606</c:v>
                </c:pt>
                <c:pt idx="210">
                  <c:v>8.0038461538461494</c:v>
                </c:pt>
                <c:pt idx="211">
                  <c:v>8.0038461538461494</c:v>
                </c:pt>
                <c:pt idx="212">
                  <c:v>8.0038461538461494</c:v>
                </c:pt>
                <c:pt idx="213">
                  <c:v>8.0192307692307701</c:v>
                </c:pt>
                <c:pt idx="214">
                  <c:v>8.0115384615384606</c:v>
                </c:pt>
                <c:pt idx="215">
                  <c:v>8.0634615384615405</c:v>
                </c:pt>
                <c:pt idx="216">
                  <c:v>8.0634615384615405</c:v>
                </c:pt>
                <c:pt idx="217">
                  <c:v>8.0634615384615405</c:v>
                </c:pt>
                <c:pt idx="218">
                  <c:v>8.0711538461538499</c:v>
                </c:pt>
                <c:pt idx="219">
                  <c:v>8.0711538461538499</c:v>
                </c:pt>
                <c:pt idx="220">
                  <c:v>8.0711538461538499</c:v>
                </c:pt>
                <c:pt idx="221">
                  <c:v>8.0711538461538499</c:v>
                </c:pt>
                <c:pt idx="222">
                  <c:v>8.0711538461538499</c:v>
                </c:pt>
                <c:pt idx="223">
                  <c:v>8.0711538461538499</c:v>
                </c:pt>
                <c:pt idx="224">
                  <c:v>8.0711538461538499</c:v>
                </c:pt>
                <c:pt idx="225">
                  <c:v>8.0634615384615405</c:v>
                </c:pt>
                <c:pt idx="226">
                  <c:v>8.0711538461538499</c:v>
                </c:pt>
                <c:pt idx="227">
                  <c:v>8.0711538461538499</c:v>
                </c:pt>
                <c:pt idx="228">
                  <c:v>8.0711538461538499</c:v>
                </c:pt>
                <c:pt idx="229">
                  <c:v>8.10961538461539</c:v>
                </c:pt>
                <c:pt idx="230">
                  <c:v>8.10961538461539</c:v>
                </c:pt>
                <c:pt idx="231">
                  <c:v>8.10961538461539</c:v>
                </c:pt>
                <c:pt idx="232">
                  <c:v>8.1480769230769194</c:v>
                </c:pt>
                <c:pt idx="233">
                  <c:v>8.1480769230769194</c:v>
                </c:pt>
                <c:pt idx="234">
                  <c:v>8.1480769230769194</c:v>
                </c:pt>
                <c:pt idx="235">
                  <c:v>8.3249999999999993</c:v>
                </c:pt>
                <c:pt idx="236">
                  <c:v>8.3249999999999993</c:v>
                </c:pt>
                <c:pt idx="237">
                  <c:v>8.3249999999999993</c:v>
                </c:pt>
                <c:pt idx="238">
                  <c:v>8.3249999999999993</c:v>
                </c:pt>
                <c:pt idx="239">
                  <c:v>8.3249999999999993</c:v>
                </c:pt>
                <c:pt idx="240">
                  <c:v>8.3249999999999993</c:v>
                </c:pt>
                <c:pt idx="241">
                  <c:v>8.2312499999999993</c:v>
                </c:pt>
                <c:pt idx="242">
                  <c:v>8.2312499999999993</c:v>
                </c:pt>
                <c:pt idx="243">
                  <c:v>8.2312499999999993</c:v>
                </c:pt>
                <c:pt idx="244">
                  <c:v>8.3249999999999993</c:v>
                </c:pt>
                <c:pt idx="245">
                  <c:v>8.4312500000000004</c:v>
                </c:pt>
                <c:pt idx="246">
                  <c:v>8.3249999999999993</c:v>
                </c:pt>
                <c:pt idx="247">
                  <c:v>8.3249999999999993</c:v>
                </c:pt>
                <c:pt idx="248">
                  <c:v>8.3249999999999993</c:v>
                </c:pt>
                <c:pt idx="249">
                  <c:v>8.4387500000000006</c:v>
                </c:pt>
                <c:pt idx="250">
                  <c:v>8.3249999999999993</c:v>
                </c:pt>
                <c:pt idx="251">
                  <c:v>8.3562499999999993</c:v>
                </c:pt>
                <c:pt idx="252">
                  <c:v>8.3562499999999993</c:v>
                </c:pt>
              </c:numCache>
            </c:numRef>
          </c:val>
          <c:smooth val="0"/>
          <c:extLst xmlns:c15="http://schemas.microsoft.com/office/drawing/2012/chart">
            <c:ext xmlns:c16="http://schemas.microsoft.com/office/drawing/2014/chart" uri="{C3380CC4-5D6E-409C-BE32-E72D297353CC}">
              <c16:uniqueId val="{00000002-04D4-46FF-8191-A9E833E2AABC}"/>
            </c:ext>
          </c:extLst>
        </c:ser>
        <c:ser>
          <c:idx val="3"/>
          <c:order val="3"/>
          <c:tx>
            <c:strRef>
              <c:f>'His53'!$F$1</c:f>
              <c:strCache>
                <c:ptCount val="1"/>
                <c:pt idx="0">
                  <c:v> 1Y </c:v>
                </c:pt>
              </c:strCache>
            </c:strRef>
          </c:tx>
          <c:spPr>
            <a:ln w="28575" cap="rnd">
              <a:solidFill>
                <a:schemeClr val="accent4"/>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'His53'!$F$2:$F$254</c:f>
              <c:numCache>
                <c:formatCode>_-* #,##0.00_-;\-* #,##0.00_-;_-* "-"??_-;_-@_-</c:formatCode>
                <c:ptCount val="253"/>
                <c:pt idx="0">
                  <c:v>5.4057692307692298</c:v>
                </c:pt>
                <c:pt idx="1">
                  <c:v>5.4057692307692298</c:v>
                </c:pt>
                <c:pt idx="2">
                  <c:v>5.4057692307692298</c:v>
                </c:pt>
                <c:pt idx="3">
                  <c:v>5.4057692307692298</c:v>
                </c:pt>
                <c:pt idx="4">
                  <c:v>5.4519230769230802</c:v>
                </c:pt>
                <c:pt idx="5">
                  <c:v>5.4596153846153799</c:v>
                </c:pt>
                <c:pt idx="6">
                  <c:v>5.4596153846153799</c:v>
                </c:pt>
                <c:pt idx="7">
                  <c:v>5.4596153846153799</c:v>
                </c:pt>
                <c:pt idx="8">
                  <c:v>5.4903846153846096</c:v>
                </c:pt>
                <c:pt idx="9">
                  <c:v>5.5211538461538403</c:v>
                </c:pt>
                <c:pt idx="10">
                  <c:v>5.5288461538461497</c:v>
                </c:pt>
                <c:pt idx="11">
                  <c:v>5.5653846153846196</c:v>
                </c:pt>
                <c:pt idx="12">
                  <c:v>5.5653846153846196</c:v>
                </c:pt>
                <c:pt idx="13">
                  <c:v>5.6038461538461499</c:v>
                </c:pt>
                <c:pt idx="14">
                  <c:v>5.6038461538461499</c:v>
                </c:pt>
                <c:pt idx="15">
                  <c:v>5.6038461538461499</c:v>
                </c:pt>
                <c:pt idx="16">
                  <c:v>5.6038461538461499</c:v>
                </c:pt>
                <c:pt idx="17">
                  <c:v>5.6038461538461499</c:v>
                </c:pt>
                <c:pt idx="18">
                  <c:v>5.6346153846153797</c:v>
                </c:pt>
                <c:pt idx="19">
                  <c:v>5.6038461538461499</c:v>
                </c:pt>
                <c:pt idx="20">
                  <c:v>5.6346153846153797</c:v>
                </c:pt>
                <c:pt idx="21">
                  <c:v>5.6538461538461497</c:v>
                </c:pt>
                <c:pt idx="22">
                  <c:v>5.6538461538461497</c:v>
                </c:pt>
                <c:pt idx="23">
                  <c:v>5.6538461538461497</c:v>
                </c:pt>
                <c:pt idx="24">
                  <c:v>5.6576923076923098</c:v>
                </c:pt>
                <c:pt idx="25">
                  <c:v>5.6807692307692301</c:v>
                </c:pt>
                <c:pt idx="26">
                  <c:v>5.7</c:v>
                </c:pt>
                <c:pt idx="27">
                  <c:v>5.7</c:v>
                </c:pt>
                <c:pt idx="28">
                  <c:v>5.7</c:v>
                </c:pt>
                <c:pt idx="29">
                  <c:v>5.7</c:v>
                </c:pt>
                <c:pt idx="30">
                  <c:v>5.7</c:v>
                </c:pt>
                <c:pt idx="31">
                  <c:v>5.7</c:v>
                </c:pt>
                <c:pt idx="32">
                  <c:v>5.7</c:v>
                </c:pt>
                <c:pt idx="33">
                  <c:v>5.7384615384615403</c:v>
                </c:pt>
                <c:pt idx="34">
                  <c:v>5.7384615384615403</c:v>
                </c:pt>
                <c:pt idx="35">
                  <c:v>5.7615384615384597</c:v>
                </c:pt>
                <c:pt idx="36">
                  <c:v>5.8115384615384604</c:v>
                </c:pt>
                <c:pt idx="37">
                  <c:v>5.8269230769230802</c:v>
                </c:pt>
                <c:pt idx="38">
                  <c:v>5.8269230769230802</c:v>
                </c:pt>
                <c:pt idx="39">
                  <c:v>5.8269230769230802</c:v>
                </c:pt>
                <c:pt idx="40">
                  <c:v>5.8269230769230802</c:v>
                </c:pt>
                <c:pt idx="41">
                  <c:v>5.8538461538461499</c:v>
                </c:pt>
                <c:pt idx="42">
                  <c:v>5.8423076923076902</c:v>
                </c:pt>
                <c:pt idx="43">
                  <c:v>5.87692307692308</c:v>
                </c:pt>
                <c:pt idx="44">
                  <c:v>5.85769230769231</c:v>
                </c:pt>
                <c:pt idx="45">
                  <c:v>5.8579999999999997</c:v>
                </c:pt>
                <c:pt idx="46">
                  <c:v>5.9653846153846199</c:v>
                </c:pt>
                <c:pt idx="47">
                  <c:v>6.0115384615384597</c:v>
                </c:pt>
                <c:pt idx="48">
                  <c:v>6.05</c:v>
                </c:pt>
                <c:pt idx="49">
                  <c:v>6.0653846153846196</c:v>
                </c:pt>
                <c:pt idx="50">
                  <c:v>6.0884615384615399</c:v>
                </c:pt>
                <c:pt idx="51">
                  <c:v>6.31666666666667</c:v>
                </c:pt>
                <c:pt idx="52">
                  <c:v>6.0769230769230802</c:v>
                </c:pt>
                <c:pt idx="53">
                  <c:v>6.3833333333333302</c:v>
                </c:pt>
                <c:pt idx="54">
                  <c:v>6.4625000000000004</c:v>
                </c:pt>
                <c:pt idx="55">
                  <c:v>6.4625000000000004</c:v>
                </c:pt>
                <c:pt idx="56">
                  <c:v>6.4375</c:v>
                </c:pt>
                <c:pt idx="57">
                  <c:v>6.4375</c:v>
                </c:pt>
                <c:pt idx="58">
                  <c:v>6.3875000000000002</c:v>
                </c:pt>
                <c:pt idx="59">
                  <c:v>6.4249999999999998</c:v>
                </c:pt>
                <c:pt idx="60">
                  <c:v>6.4249999999999998</c:v>
                </c:pt>
                <c:pt idx="61">
                  <c:v>6.4249999999999998</c:v>
                </c:pt>
                <c:pt idx="62">
                  <c:v>6.4375</c:v>
                </c:pt>
                <c:pt idx="63">
                  <c:v>6.4874999999999998</c:v>
                </c:pt>
                <c:pt idx="64">
                  <c:v>6.5875000000000004</c:v>
                </c:pt>
                <c:pt idx="65">
                  <c:v>6.6</c:v>
                </c:pt>
                <c:pt idx="66">
                  <c:v>6.57</c:v>
                </c:pt>
                <c:pt idx="67">
                  <c:v>6.6</c:v>
                </c:pt>
                <c:pt idx="68">
                  <c:v>6.45</c:v>
                </c:pt>
                <c:pt idx="69">
                  <c:v>6.6192307692307697</c:v>
                </c:pt>
                <c:pt idx="70">
                  <c:v>6.6576923076923098</c:v>
                </c:pt>
                <c:pt idx="71">
                  <c:v>6.6692307692307704</c:v>
                </c:pt>
                <c:pt idx="72">
                  <c:v>6.7076923076923096</c:v>
                </c:pt>
                <c:pt idx="73">
                  <c:v>6.7769230769230804</c:v>
                </c:pt>
                <c:pt idx="74">
                  <c:v>6.8269230769230802</c:v>
                </c:pt>
                <c:pt idx="75">
                  <c:v>6.8230769230769202</c:v>
                </c:pt>
                <c:pt idx="76">
                  <c:v>6.8384615384615399</c:v>
                </c:pt>
                <c:pt idx="77">
                  <c:v>6.8384615384615399</c:v>
                </c:pt>
                <c:pt idx="78">
                  <c:v>6.8384615384615399</c:v>
                </c:pt>
                <c:pt idx="79">
                  <c:v>6.8076923076923102</c:v>
                </c:pt>
                <c:pt idx="80">
                  <c:v>6.8153846153846196</c:v>
                </c:pt>
                <c:pt idx="81">
                  <c:v>6.8076923076923102</c:v>
                </c:pt>
                <c:pt idx="82">
                  <c:v>6.8230769230769202</c:v>
                </c:pt>
                <c:pt idx="83">
                  <c:v>6.87307692307692</c:v>
                </c:pt>
                <c:pt idx="84">
                  <c:v>6.9115384615384601</c:v>
                </c:pt>
                <c:pt idx="85">
                  <c:v>6.9192307692307704</c:v>
                </c:pt>
                <c:pt idx="86">
                  <c:v>7.0115384615384597</c:v>
                </c:pt>
                <c:pt idx="87">
                  <c:v>6.9423076923076898</c:v>
                </c:pt>
                <c:pt idx="88">
                  <c:v>6.9576923076923096</c:v>
                </c:pt>
                <c:pt idx="89">
                  <c:v>6.9576923076923096</c:v>
                </c:pt>
                <c:pt idx="90">
                  <c:v>6.9576923076923096</c:v>
                </c:pt>
                <c:pt idx="91">
                  <c:v>7.1653846153846201</c:v>
                </c:pt>
                <c:pt idx="92">
                  <c:v>7.1346153846153904</c:v>
                </c:pt>
                <c:pt idx="93">
                  <c:v>7.1038461538461597</c:v>
                </c:pt>
                <c:pt idx="94">
                  <c:v>7.0884615384615399</c:v>
                </c:pt>
                <c:pt idx="95">
                  <c:v>7.0884615384615399</c:v>
                </c:pt>
                <c:pt idx="96">
                  <c:v>7.0884615384615399</c:v>
                </c:pt>
                <c:pt idx="97">
                  <c:v>7.0884615384615399</c:v>
                </c:pt>
                <c:pt idx="98">
                  <c:v>7.0884615384615399</c:v>
                </c:pt>
                <c:pt idx="99">
                  <c:v>7.1038461538461597</c:v>
                </c:pt>
                <c:pt idx="100">
                  <c:v>7.1038461538461597</c:v>
                </c:pt>
                <c:pt idx="101">
                  <c:v>7.12692307692308</c:v>
                </c:pt>
                <c:pt idx="102">
                  <c:v>7.1192307692307697</c:v>
                </c:pt>
                <c:pt idx="103">
                  <c:v>7.10769230769231</c:v>
                </c:pt>
                <c:pt idx="104">
                  <c:v>7.10769230769231</c:v>
                </c:pt>
                <c:pt idx="105">
                  <c:v>7.1</c:v>
                </c:pt>
                <c:pt idx="106">
                  <c:v>7.1</c:v>
                </c:pt>
                <c:pt idx="107">
                  <c:v>7.10769230769231</c:v>
                </c:pt>
                <c:pt idx="108">
                  <c:v>7.1461538461538501</c:v>
                </c:pt>
                <c:pt idx="109">
                  <c:v>7.15</c:v>
                </c:pt>
                <c:pt idx="110">
                  <c:v>7.15</c:v>
                </c:pt>
                <c:pt idx="111">
                  <c:v>7.31666666666667</c:v>
                </c:pt>
                <c:pt idx="112">
                  <c:v>7.25</c:v>
                </c:pt>
                <c:pt idx="113">
                  <c:v>7.2249999999999996</c:v>
                </c:pt>
                <c:pt idx="114">
                  <c:v>7.2249999999999996</c:v>
                </c:pt>
                <c:pt idx="115">
                  <c:v>7.2249999999999996</c:v>
                </c:pt>
                <c:pt idx="116">
                  <c:v>7.2249999999999996</c:v>
                </c:pt>
                <c:pt idx="117">
                  <c:v>7.25</c:v>
                </c:pt>
                <c:pt idx="118">
                  <c:v>7.25</c:v>
                </c:pt>
                <c:pt idx="119">
                  <c:v>7.25</c:v>
                </c:pt>
                <c:pt idx="120">
                  <c:v>7.25</c:v>
                </c:pt>
                <c:pt idx="121">
                  <c:v>7.2833333333333297</c:v>
                </c:pt>
                <c:pt idx="122">
                  <c:v>7.2833333333333297</c:v>
                </c:pt>
                <c:pt idx="123">
                  <c:v>7.2833333333333297</c:v>
                </c:pt>
                <c:pt idx="124">
                  <c:v>7.2833333333333297</c:v>
                </c:pt>
                <c:pt idx="125">
                  <c:v>7.2833333333333297</c:v>
                </c:pt>
                <c:pt idx="126">
                  <c:v>7.31666666666667</c:v>
                </c:pt>
                <c:pt idx="127">
                  <c:v>7.3833333333333302</c:v>
                </c:pt>
                <c:pt idx="128">
                  <c:v>7.48461538461539</c:v>
                </c:pt>
                <c:pt idx="129">
                  <c:v>7.5076923076923103</c:v>
                </c:pt>
                <c:pt idx="130">
                  <c:v>7.5076923076923103</c:v>
                </c:pt>
                <c:pt idx="131">
                  <c:v>7.5153846153846198</c:v>
                </c:pt>
                <c:pt idx="132">
                  <c:v>7.5153846153846198</c:v>
                </c:pt>
                <c:pt idx="133">
                  <c:v>7.5384615384615401</c:v>
                </c:pt>
                <c:pt idx="134">
                  <c:v>7.5384615384615401</c:v>
                </c:pt>
                <c:pt idx="135">
                  <c:v>7.5461538461538504</c:v>
                </c:pt>
                <c:pt idx="136">
                  <c:v>7.5538461538461501</c:v>
                </c:pt>
                <c:pt idx="137">
                  <c:v>7.5538461538461501</c:v>
                </c:pt>
                <c:pt idx="138">
                  <c:v>7.5538461538461501</c:v>
                </c:pt>
                <c:pt idx="139">
                  <c:v>7.5769230769230802</c:v>
                </c:pt>
                <c:pt idx="140">
                  <c:v>7.5769230769230802</c:v>
                </c:pt>
                <c:pt idx="141">
                  <c:v>7.5769230769230802</c:v>
                </c:pt>
                <c:pt idx="142">
                  <c:v>7.6346153846153904</c:v>
                </c:pt>
                <c:pt idx="143">
                  <c:v>7.6576923076923098</c:v>
                </c:pt>
                <c:pt idx="144">
                  <c:v>7.64230769230769</c:v>
                </c:pt>
                <c:pt idx="145">
                  <c:v>7.7269230769230797</c:v>
                </c:pt>
                <c:pt idx="146">
                  <c:v>7.75</c:v>
                </c:pt>
                <c:pt idx="147">
                  <c:v>7.8038461538461599</c:v>
                </c:pt>
                <c:pt idx="148">
                  <c:v>7.7653846153846198</c:v>
                </c:pt>
                <c:pt idx="149">
                  <c:v>7.8038461538461599</c:v>
                </c:pt>
                <c:pt idx="150">
                  <c:v>7.8</c:v>
                </c:pt>
                <c:pt idx="151">
                  <c:v>7.8461538461538503</c:v>
                </c:pt>
                <c:pt idx="152">
                  <c:v>7.87692307692308</c:v>
                </c:pt>
                <c:pt idx="153">
                  <c:v>7.87692307692308</c:v>
                </c:pt>
                <c:pt idx="154">
                  <c:v>7.87692307692308</c:v>
                </c:pt>
                <c:pt idx="155">
                  <c:v>7.9076923076923098</c:v>
                </c:pt>
                <c:pt idx="156">
                  <c:v>7.9076923076923098</c:v>
                </c:pt>
                <c:pt idx="157">
                  <c:v>7.9230769230769198</c:v>
                </c:pt>
                <c:pt idx="158">
                  <c:v>7.9076923076923098</c:v>
                </c:pt>
                <c:pt idx="159">
                  <c:v>7.9</c:v>
                </c:pt>
                <c:pt idx="160">
                  <c:v>7.9</c:v>
                </c:pt>
                <c:pt idx="161">
                  <c:v>7.9</c:v>
                </c:pt>
                <c:pt idx="162">
                  <c:v>7.9</c:v>
                </c:pt>
                <c:pt idx="163">
                  <c:v>7.9</c:v>
                </c:pt>
                <c:pt idx="164">
                  <c:v>7.8961538461538501</c:v>
                </c:pt>
                <c:pt idx="165">
                  <c:v>7.8961538461538501</c:v>
                </c:pt>
                <c:pt idx="166">
                  <c:v>7.8961538461538501</c:v>
                </c:pt>
                <c:pt idx="167">
                  <c:v>7.8961538461538501</c:v>
                </c:pt>
                <c:pt idx="168">
                  <c:v>7.8961538461538501</c:v>
                </c:pt>
                <c:pt idx="169">
                  <c:v>7.8961538461538501</c:v>
                </c:pt>
                <c:pt idx="170">
                  <c:v>7.8961538461538501</c:v>
                </c:pt>
                <c:pt idx="171">
                  <c:v>7.8961538461538501</c:v>
                </c:pt>
                <c:pt idx="172">
                  <c:v>7.8961538461538501</c:v>
                </c:pt>
                <c:pt idx="173">
                  <c:v>7.8807692307692303</c:v>
                </c:pt>
                <c:pt idx="174">
                  <c:v>7.8807692307692303</c:v>
                </c:pt>
                <c:pt idx="175">
                  <c:v>7.8807692307692303</c:v>
                </c:pt>
                <c:pt idx="176">
                  <c:v>7.8807692307692303</c:v>
                </c:pt>
                <c:pt idx="177">
                  <c:v>7.8653846153846203</c:v>
                </c:pt>
                <c:pt idx="178">
                  <c:v>7.8807692307692303</c:v>
                </c:pt>
                <c:pt idx="179">
                  <c:v>7.8807692307692303</c:v>
                </c:pt>
                <c:pt idx="180">
                  <c:v>7.8807692307692303</c:v>
                </c:pt>
                <c:pt idx="181">
                  <c:v>7.8807692307692303</c:v>
                </c:pt>
                <c:pt idx="182">
                  <c:v>7.8807692307692303</c:v>
                </c:pt>
                <c:pt idx="183">
                  <c:v>7.8961538461538501</c:v>
                </c:pt>
                <c:pt idx="184">
                  <c:v>7.9038461538461497</c:v>
                </c:pt>
                <c:pt idx="185">
                  <c:v>7.9038461538461497</c:v>
                </c:pt>
                <c:pt idx="186">
                  <c:v>7.9192307692307704</c:v>
                </c:pt>
                <c:pt idx="187">
                  <c:v>8.0115384615384606</c:v>
                </c:pt>
                <c:pt idx="188">
                  <c:v>8.0423076923076895</c:v>
                </c:pt>
                <c:pt idx="189">
                  <c:v>8.0230769230769194</c:v>
                </c:pt>
                <c:pt idx="190">
                  <c:v>8.0615384615384595</c:v>
                </c:pt>
                <c:pt idx="191">
                  <c:v>8.0461538461538495</c:v>
                </c:pt>
                <c:pt idx="192">
                  <c:v>8.0461538461538495</c:v>
                </c:pt>
                <c:pt idx="193">
                  <c:v>8.0692307692307708</c:v>
                </c:pt>
                <c:pt idx="194">
                  <c:v>8.0692307692307708</c:v>
                </c:pt>
                <c:pt idx="195">
                  <c:v>8.0653846153846196</c:v>
                </c:pt>
                <c:pt idx="196">
                  <c:v>8.0653846153846196</c:v>
                </c:pt>
                <c:pt idx="197">
                  <c:v>8.0730769230769202</c:v>
                </c:pt>
                <c:pt idx="198">
                  <c:v>8.0730769230769202</c:v>
                </c:pt>
                <c:pt idx="199">
                  <c:v>8.1</c:v>
                </c:pt>
                <c:pt idx="200">
                  <c:v>8.1</c:v>
                </c:pt>
                <c:pt idx="201">
                  <c:v>8.1</c:v>
                </c:pt>
                <c:pt idx="202">
                  <c:v>8.1076923076923109</c:v>
                </c:pt>
                <c:pt idx="203">
                  <c:v>8.0961538461538503</c:v>
                </c:pt>
                <c:pt idx="204">
                  <c:v>8.1192307692307697</c:v>
                </c:pt>
                <c:pt idx="205">
                  <c:v>8.1192307692307697</c:v>
                </c:pt>
                <c:pt idx="206">
                  <c:v>8.1192307692307697</c:v>
                </c:pt>
                <c:pt idx="207">
                  <c:v>8.1192307692307697</c:v>
                </c:pt>
                <c:pt idx="208">
                  <c:v>8.1269230769230791</c:v>
                </c:pt>
                <c:pt idx="209">
                  <c:v>8.1269230769230791</c:v>
                </c:pt>
                <c:pt idx="210">
                  <c:v>8.1269230769230791</c:v>
                </c:pt>
                <c:pt idx="211">
                  <c:v>8.1269230769230791</c:v>
                </c:pt>
                <c:pt idx="212">
                  <c:v>8.1269230769230791</c:v>
                </c:pt>
                <c:pt idx="213">
                  <c:v>8.1346153846153904</c:v>
                </c:pt>
                <c:pt idx="214">
                  <c:v>8.1269230769230791</c:v>
                </c:pt>
                <c:pt idx="215">
                  <c:v>8.1269230769230791</c:v>
                </c:pt>
                <c:pt idx="216">
                  <c:v>8.1269230769230791</c:v>
                </c:pt>
                <c:pt idx="217">
                  <c:v>8.1269230769230791</c:v>
                </c:pt>
                <c:pt idx="218">
                  <c:v>8.1346153846153904</c:v>
                </c:pt>
                <c:pt idx="219">
                  <c:v>8.1423076923076891</c:v>
                </c:pt>
                <c:pt idx="220">
                  <c:v>8.1423076923076891</c:v>
                </c:pt>
                <c:pt idx="221">
                  <c:v>8.1423076923076891</c:v>
                </c:pt>
                <c:pt idx="222">
                  <c:v>8.1423076923076891</c:v>
                </c:pt>
                <c:pt idx="223">
                  <c:v>8.1423076923076891</c:v>
                </c:pt>
                <c:pt idx="224">
                  <c:v>8.1423076923076891</c:v>
                </c:pt>
                <c:pt idx="225">
                  <c:v>8.1346153846153904</c:v>
                </c:pt>
                <c:pt idx="226">
                  <c:v>8.1423076923076891</c:v>
                </c:pt>
                <c:pt idx="227">
                  <c:v>8.1423076923076891</c:v>
                </c:pt>
                <c:pt idx="228">
                  <c:v>8.1423076923076891</c:v>
                </c:pt>
                <c:pt idx="229">
                  <c:v>8.1807692307692292</c:v>
                </c:pt>
                <c:pt idx="230">
                  <c:v>8.1807692307692292</c:v>
                </c:pt>
                <c:pt idx="231">
                  <c:v>8.1807692307692292</c:v>
                </c:pt>
                <c:pt idx="232">
                  <c:v>8.2230769230769205</c:v>
                </c:pt>
                <c:pt idx="233">
                  <c:v>8.2230769230769205</c:v>
                </c:pt>
                <c:pt idx="234">
                  <c:v>8.2230769230769205</c:v>
                </c:pt>
                <c:pt idx="235">
                  <c:v>8.2230769230769205</c:v>
                </c:pt>
                <c:pt idx="236">
                  <c:v>8.2230769230769205</c:v>
                </c:pt>
                <c:pt idx="237">
                  <c:v>8.2230769230769205</c:v>
                </c:pt>
                <c:pt idx="238">
                  <c:v>8.2230769230769205</c:v>
                </c:pt>
                <c:pt idx="239">
                  <c:v>8.2192307692307693</c:v>
                </c:pt>
                <c:pt idx="240">
                  <c:v>8.2192307692307693</c:v>
                </c:pt>
                <c:pt idx="241">
                  <c:v>8.2192307692307693</c:v>
                </c:pt>
                <c:pt idx="242">
                  <c:v>8.2192307692307693</c:v>
                </c:pt>
                <c:pt idx="243">
                  <c:v>8.2192307692307693</c:v>
                </c:pt>
                <c:pt idx="244">
                  <c:v>8.2192307692307693</c:v>
                </c:pt>
                <c:pt idx="245">
                  <c:v>8.2192307692307693</c:v>
                </c:pt>
                <c:pt idx="246">
                  <c:v>8.2192307692307693</c:v>
                </c:pt>
                <c:pt idx="247">
                  <c:v>8.2192307692307693</c:v>
                </c:pt>
                <c:pt idx="248">
                  <c:v>8.2192307692307693</c:v>
                </c:pt>
                <c:pt idx="249">
                  <c:v>8.2192307692307693</c:v>
                </c:pt>
                <c:pt idx="250">
                  <c:v>8.2192307692307693</c:v>
                </c:pt>
                <c:pt idx="251">
                  <c:v>8.2192307692307693</c:v>
                </c:pt>
                <c:pt idx="252">
                  <c:v>8.2038461538461505</c:v>
                </c:pt>
              </c:numCache>
            </c:numRef>
          </c:val>
          <c:smooth val="0"/>
          <c:extLst>
            <c:ext xmlns:c16="http://schemas.microsoft.com/office/drawing/2014/chart" uri="{C3380CC4-5D6E-409C-BE32-E72D297353CC}">
              <c16:uniqueId val="{00000003-04D4-46FF-8191-A9E833E2AABC}"/>
            </c:ext>
          </c:extLst>
        </c:ser>
        <c:ser>
          <c:idx val="4"/>
          <c:order val="4"/>
          <c:tx>
            <c:strRef>
              <c:f>'His53'!$G$1</c:f>
              <c:strCache>
                <c:ptCount val="1"/>
                <c:pt idx="0">
                  <c:v> 1.25Y </c:v>
                </c:pt>
              </c:strCache>
            </c:strRef>
          </c:tx>
          <c:spPr>
            <a:ln w="28575" cap="rnd">
              <a:solidFill>
                <a:schemeClr val="accent5"/>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'His53'!$G$2:$G$254</c:f>
            </c:numRef>
          </c:val>
          <c:smooth val="0"/>
          <c:extLst xmlns:c15="http://schemas.microsoft.com/office/drawing/2012/chart">
            <c:ext xmlns:c16="http://schemas.microsoft.com/office/drawing/2014/chart" uri="{C3380CC4-5D6E-409C-BE32-E72D297353CC}">
              <c16:uniqueId val="{00000004-04D4-46FF-8191-A9E833E2AABC}"/>
            </c:ext>
          </c:extLst>
        </c:ser>
        <c:ser>
          <c:idx val="5"/>
          <c:order val="5"/>
          <c:tx>
            <c:strRef>
              <c:f>'His53'!$H$1</c:f>
              <c:strCache>
                <c:ptCount val="1"/>
                <c:pt idx="0">
                  <c:v> 1.5Y </c:v>
                </c:pt>
              </c:strCache>
            </c:strRef>
          </c:tx>
          <c:spPr>
            <a:ln w="28575" cap="rnd">
              <a:solidFill>
                <a:schemeClr val="accent6"/>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'His53'!$H$2:$H$254</c:f>
            </c:numRef>
          </c:val>
          <c:smooth val="0"/>
          <c:extLst xmlns:c15="http://schemas.microsoft.com/office/drawing/2012/chart">
            <c:ext xmlns:c16="http://schemas.microsoft.com/office/drawing/2014/chart" uri="{C3380CC4-5D6E-409C-BE32-E72D297353CC}">
              <c16:uniqueId val="{00000005-04D4-46FF-8191-A9E833E2AABC}"/>
            </c:ext>
          </c:extLst>
        </c:ser>
        <c:ser>
          <c:idx val="6"/>
          <c:order val="6"/>
          <c:tx>
            <c:strRef>
              <c:f>'His53'!$I$1</c:f>
              <c:strCache>
                <c:ptCount val="1"/>
                <c:pt idx="0">
                  <c:v> 1.75Y </c:v>
                </c:pt>
              </c:strCache>
            </c:strRef>
          </c:tx>
          <c:spPr>
            <a:ln w="28575" cap="rnd">
              <a:solidFill>
                <a:schemeClr val="accent1">
                  <a:lumMod val="60000"/>
                </a:schemeClr>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'His53'!$I$2:$I$254</c:f>
            </c:numRef>
          </c:val>
          <c:smooth val="0"/>
          <c:extLst xmlns:c15="http://schemas.microsoft.com/office/drawing/2012/chart">
            <c:ext xmlns:c16="http://schemas.microsoft.com/office/drawing/2014/chart" uri="{C3380CC4-5D6E-409C-BE32-E72D297353CC}">
              <c16:uniqueId val="{00000006-04D4-46FF-8191-A9E833E2AABC}"/>
            </c:ext>
          </c:extLst>
        </c:ser>
        <c:ser>
          <c:idx val="7"/>
          <c:order val="7"/>
          <c:tx>
            <c:strRef>
              <c:f>'His53'!$J$1</c:f>
              <c:strCache>
                <c:ptCount val="1"/>
                <c:pt idx="0">
                  <c:v> 2Y </c:v>
                </c:pt>
              </c:strCache>
            </c:strRef>
          </c:tx>
          <c:spPr>
            <a:ln w="28575" cap="rnd">
              <a:solidFill>
                <a:schemeClr val="accent2">
                  <a:lumMod val="60000"/>
                </a:schemeClr>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'His53'!$J$2:$J$254</c:f>
              <c:numCache>
                <c:formatCode>_-* #,##0.00_-;\-* #,##0.00_-;_-* "-"??_-;_-@_-</c:formatCode>
                <c:ptCount val="253"/>
                <c:pt idx="0">
                  <c:v>5.60769230769231</c:v>
                </c:pt>
                <c:pt idx="1">
                  <c:v>5.60769230769231</c:v>
                </c:pt>
                <c:pt idx="2">
                  <c:v>5.60769230769231</c:v>
                </c:pt>
                <c:pt idx="3">
                  <c:v>5.60769230769231</c:v>
                </c:pt>
                <c:pt idx="4">
                  <c:v>5.6692307692307704</c:v>
                </c:pt>
                <c:pt idx="5">
                  <c:v>5.6769230769230798</c:v>
                </c:pt>
                <c:pt idx="6">
                  <c:v>5.6769230769230798</c:v>
                </c:pt>
                <c:pt idx="7">
                  <c:v>5.6769230769230798</c:v>
                </c:pt>
                <c:pt idx="8">
                  <c:v>5.7153846153846199</c:v>
                </c:pt>
                <c:pt idx="9">
                  <c:v>5.7230769230769196</c:v>
                </c:pt>
                <c:pt idx="10">
                  <c:v>5.7307692307692299</c:v>
                </c:pt>
                <c:pt idx="11">
                  <c:v>5.7692307692307701</c:v>
                </c:pt>
                <c:pt idx="12">
                  <c:v>5.7692307692307701</c:v>
                </c:pt>
                <c:pt idx="13">
                  <c:v>5.8076923076923102</c:v>
                </c:pt>
                <c:pt idx="14">
                  <c:v>5.8076923076923102</c:v>
                </c:pt>
                <c:pt idx="15">
                  <c:v>5.8076923076923102</c:v>
                </c:pt>
                <c:pt idx="16">
                  <c:v>5.8076923076923102</c:v>
                </c:pt>
                <c:pt idx="17">
                  <c:v>5.8076923076923102</c:v>
                </c:pt>
                <c:pt idx="18">
                  <c:v>5.8384615384615399</c:v>
                </c:pt>
                <c:pt idx="19">
                  <c:v>5.8076923076923102</c:v>
                </c:pt>
                <c:pt idx="20">
                  <c:v>5.8384615384615399</c:v>
                </c:pt>
                <c:pt idx="21">
                  <c:v>5.8538461538461499</c:v>
                </c:pt>
                <c:pt idx="22">
                  <c:v>5.8538461538461499</c:v>
                </c:pt>
                <c:pt idx="23">
                  <c:v>5.9</c:v>
                </c:pt>
                <c:pt idx="24">
                  <c:v>5.9</c:v>
                </c:pt>
                <c:pt idx="25">
                  <c:v>5.9230769230769198</c:v>
                </c:pt>
                <c:pt idx="26">
                  <c:v>5.9423076923076898</c:v>
                </c:pt>
                <c:pt idx="27">
                  <c:v>5.9423076923076898</c:v>
                </c:pt>
                <c:pt idx="28">
                  <c:v>5.9576923076923096</c:v>
                </c:pt>
                <c:pt idx="29">
                  <c:v>5.9576923076923096</c:v>
                </c:pt>
                <c:pt idx="30">
                  <c:v>5.9576923076923096</c:v>
                </c:pt>
                <c:pt idx="31">
                  <c:v>5.9576923076923096</c:v>
                </c:pt>
                <c:pt idx="32">
                  <c:v>5.9576923076923096</c:v>
                </c:pt>
                <c:pt idx="33">
                  <c:v>6.0076923076923103</c:v>
                </c:pt>
                <c:pt idx="34">
                  <c:v>6.0076923076923103</c:v>
                </c:pt>
                <c:pt idx="35">
                  <c:v>6.0076923076923103</c:v>
                </c:pt>
                <c:pt idx="36">
                  <c:v>6.0423076923076904</c:v>
                </c:pt>
                <c:pt idx="37">
                  <c:v>6.0769230769230802</c:v>
                </c:pt>
                <c:pt idx="38">
                  <c:v>6.0769230769230802</c:v>
                </c:pt>
                <c:pt idx="39">
                  <c:v>6.0769230769230802</c:v>
                </c:pt>
                <c:pt idx="40">
                  <c:v>6.0846153846153799</c:v>
                </c:pt>
                <c:pt idx="41">
                  <c:v>6.0769230769230802</c:v>
                </c:pt>
                <c:pt idx="42">
                  <c:v>6.0769230769230802</c:v>
                </c:pt>
                <c:pt idx="43">
                  <c:v>6.0961538461538503</c:v>
                </c:pt>
                <c:pt idx="44">
                  <c:v>6.0692307692307699</c:v>
                </c:pt>
                <c:pt idx="45">
                  <c:v>6.069</c:v>
                </c:pt>
                <c:pt idx="46">
                  <c:v>6.1307692307692303</c:v>
                </c:pt>
                <c:pt idx="47">
                  <c:v>6.1307692307692303</c:v>
                </c:pt>
                <c:pt idx="48">
                  <c:v>6.1807692307692301</c:v>
                </c:pt>
                <c:pt idx="49">
                  <c:v>6.1884615384615396</c:v>
                </c:pt>
                <c:pt idx="50">
                  <c:v>6.2038461538461496</c:v>
                </c:pt>
                <c:pt idx="51">
                  <c:v>6.2269230769230797</c:v>
                </c:pt>
                <c:pt idx="52">
                  <c:v>6.1961538461538499</c:v>
                </c:pt>
                <c:pt idx="53">
                  <c:v>6.2384615384615403</c:v>
                </c:pt>
                <c:pt idx="54">
                  <c:v>6.2461538461538497</c:v>
                </c:pt>
                <c:pt idx="55">
                  <c:v>6.2615384615384597</c:v>
                </c:pt>
                <c:pt idx="56">
                  <c:v>6.2538461538461503</c:v>
                </c:pt>
                <c:pt idx="57">
                  <c:v>6.2923076923076904</c:v>
                </c:pt>
                <c:pt idx="58">
                  <c:v>6.2923076923076904</c:v>
                </c:pt>
                <c:pt idx="59">
                  <c:v>6.2923076923076904</c:v>
                </c:pt>
                <c:pt idx="60">
                  <c:v>6.2923076923076904</c:v>
                </c:pt>
                <c:pt idx="61">
                  <c:v>6.2923076923076904</c:v>
                </c:pt>
                <c:pt idx="62">
                  <c:v>6.37692307692308</c:v>
                </c:pt>
                <c:pt idx="63">
                  <c:v>6.39230769230769</c:v>
                </c:pt>
                <c:pt idx="64">
                  <c:v>6.4307692307692301</c:v>
                </c:pt>
                <c:pt idx="65">
                  <c:v>6.4346153846153804</c:v>
                </c:pt>
                <c:pt idx="66">
                  <c:v>6.4346153846153804</c:v>
                </c:pt>
                <c:pt idx="67">
                  <c:v>6.4576923076923096</c:v>
                </c:pt>
                <c:pt idx="68">
                  <c:v>6.5346153846153801</c:v>
                </c:pt>
                <c:pt idx="69">
                  <c:v>6.7115384615384599</c:v>
                </c:pt>
                <c:pt idx="70">
                  <c:v>6.7884615384615401</c:v>
                </c:pt>
                <c:pt idx="71">
                  <c:v>6.7884615384615401</c:v>
                </c:pt>
                <c:pt idx="72">
                  <c:v>6.8230769230769202</c:v>
                </c:pt>
                <c:pt idx="73">
                  <c:v>6.9076923076923098</c:v>
                </c:pt>
                <c:pt idx="74">
                  <c:v>6.9461538461538499</c:v>
                </c:pt>
                <c:pt idx="75">
                  <c:v>6.9461538461538499</c:v>
                </c:pt>
                <c:pt idx="76">
                  <c:v>6.9615384615384599</c:v>
                </c:pt>
                <c:pt idx="77">
                  <c:v>6.9615384615384599</c:v>
                </c:pt>
                <c:pt idx="78">
                  <c:v>6.9692307692307702</c:v>
                </c:pt>
                <c:pt idx="79">
                  <c:v>6.9615384615384599</c:v>
                </c:pt>
                <c:pt idx="80">
                  <c:v>6.9692307692307702</c:v>
                </c:pt>
                <c:pt idx="81">
                  <c:v>6.9692307692307702</c:v>
                </c:pt>
                <c:pt idx="82">
                  <c:v>6.98461538461539</c:v>
                </c:pt>
                <c:pt idx="83">
                  <c:v>7.0153846153846198</c:v>
                </c:pt>
                <c:pt idx="84">
                  <c:v>7.0307692307692298</c:v>
                </c:pt>
                <c:pt idx="85">
                  <c:v>7.0769230769230802</c:v>
                </c:pt>
                <c:pt idx="86">
                  <c:v>7.12307692307692</c:v>
                </c:pt>
                <c:pt idx="87">
                  <c:v>7.12307692307692</c:v>
                </c:pt>
                <c:pt idx="88">
                  <c:v>7.1153846153846096</c:v>
                </c:pt>
                <c:pt idx="89">
                  <c:v>7.1153846153846096</c:v>
                </c:pt>
                <c:pt idx="90">
                  <c:v>7.1153846153846096</c:v>
                </c:pt>
                <c:pt idx="91">
                  <c:v>7.3269230769230802</c:v>
                </c:pt>
                <c:pt idx="92">
                  <c:v>7.3192307692307699</c:v>
                </c:pt>
                <c:pt idx="93">
                  <c:v>7.2961538461538504</c:v>
                </c:pt>
                <c:pt idx="94">
                  <c:v>7.2807692307692298</c:v>
                </c:pt>
                <c:pt idx="95">
                  <c:v>7.2807692307692298</c:v>
                </c:pt>
                <c:pt idx="96">
                  <c:v>7.2807692307692298</c:v>
                </c:pt>
                <c:pt idx="97">
                  <c:v>7.2807692307692298</c:v>
                </c:pt>
                <c:pt idx="98">
                  <c:v>7.2807692307692298</c:v>
                </c:pt>
                <c:pt idx="99">
                  <c:v>7.2884615384615401</c:v>
                </c:pt>
                <c:pt idx="100">
                  <c:v>7.2884615384615401</c:v>
                </c:pt>
                <c:pt idx="101">
                  <c:v>7.3115384615384604</c:v>
                </c:pt>
                <c:pt idx="102">
                  <c:v>7.3115384615384604</c:v>
                </c:pt>
                <c:pt idx="103">
                  <c:v>7.3</c:v>
                </c:pt>
                <c:pt idx="104">
                  <c:v>7.2923076923076904</c:v>
                </c:pt>
                <c:pt idx="105">
                  <c:v>7.2923076923076904</c:v>
                </c:pt>
                <c:pt idx="106">
                  <c:v>7.2923076923076904</c:v>
                </c:pt>
                <c:pt idx="107">
                  <c:v>7.2923076923076904</c:v>
                </c:pt>
                <c:pt idx="108">
                  <c:v>7.3153846153846196</c:v>
                </c:pt>
                <c:pt idx="109">
                  <c:v>7.3230769230769202</c:v>
                </c:pt>
                <c:pt idx="110">
                  <c:v>7.3230769230769202</c:v>
                </c:pt>
                <c:pt idx="111">
                  <c:v>7.3384615384615399</c:v>
                </c:pt>
                <c:pt idx="112">
                  <c:v>7.45</c:v>
                </c:pt>
                <c:pt idx="113">
                  <c:v>7.45</c:v>
                </c:pt>
                <c:pt idx="114">
                  <c:v>7.4384615384615396</c:v>
                </c:pt>
                <c:pt idx="115">
                  <c:v>7.4769230769230797</c:v>
                </c:pt>
                <c:pt idx="116">
                  <c:v>7.4615384615384599</c:v>
                </c:pt>
                <c:pt idx="117">
                  <c:v>7.4615384615384599</c:v>
                </c:pt>
                <c:pt idx="118">
                  <c:v>7.4461538461538499</c:v>
                </c:pt>
                <c:pt idx="119">
                  <c:v>7.4461538461538499</c:v>
                </c:pt>
                <c:pt idx="120">
                  <c:v>7.4461538461538499</c:v>
                </c:pt>
                <c:pt idx="121">
                  <c:v>7.4538461538461496</c:v>
                </c:pt>
                <c:pt idx="122">
                  <c:v>7.4461538461538499</c:v>
                </c:pt>
                <c:pt idx="123">
                  <c:v>7.4461538461538499</c:v>
                </c:pt>
                <c:pt idx="124">
                  <c:v>7.4538461538461496</c:v>
                </c:pt>
                <c:pt idx="125">
                  <c:v>7.4538461538461496</c:v>
                </c:pt>
                <c:pt idx="126">
                  <c:v>7.5538461538461599</c:v>
                </c:pt>
                <c:pt idx="127">
                  <c:v>7.5769230769230802</c:v>
                </c:pt>
                <c:pt idx="128">
                  <c:v>7.5923076923076902</c:v>
                </c:pt>
                <c:pt idx="129">
                  <c:v>7.62307692307692</c:v>
                </c:pt>
                <c:pt idx="130">
                  <c:v>7.62307692307692</c:v>
                </c:pt>
                <c:pt idx="131">
                  <c:v>7.6307692307692303</c:v>
                </c:pt>
                <c:pt idx="132">
                  <c:v>7.6307692307692303</c:v>
                </c:pt>
                <c:pt idx="133">
                  <c:v>7.6538461538461497</c:v>
                </c:pt>
                <c:pt idx="134">
                  <c:v>7.6538461538461497</c:v>
                </c:pt>
                <c:pt idx="135">
                  <c:v>7.6538461538461497</c:v>
                </c:pt>
                <c:pt idx="136">
                  <c:v>7.6538461538461497</c:v>
                </c:pt>
                <c:pt idx="137">
                  <c:v>7.6538461538461497</c:v>
                </c:pt>
                <c:pt idx="138">
                  <c:v>7.6538461538461497</c:v>
                </c:pt>
                <c:pt idx="139">
                  <c:v>7.6846153846153902</c:v>
                </c:pt>
                <c:pt idx="140">
                  <c:v>7.6846153846153902</c:v>
                </c:pt>
                <c:pt idx="141">
                  <c:v>7.6846153846153902</c:v>
                </c:pt>
                <c:pt idx="142">
                  <c:v>7.7269230769230797</c:v>
                </c:pt>
                <c:pt idx="143">
                  <c:v>7.75</c:v>
                </c:pt>
                <c:pt idx="144">
                  <c:v>7.75</c:v>
                </c:pt>
                <c:pt idx="145">
                  <c:v>7.8192307692307699</c:v>
                </c:pt>
                <c:pt idx="146">
                  <c:v>7.8346153846153896</c:v>
                </c:pt>
                <c:pt idx="147">
                  <c:v>7.9115384615384601</c:v>
                </c:pt>
                <c:pt idx="148">
                  <c:v>7.95</c:v>
                </c:pt>
                <c:pt idx="149">
                  <c:v>7.9576923076923096</c:v>
                </c:pt>
                <c:pt idx="150">
                  <c:v>7.9576923076923096</c:v>
                </c:pt>
                <c:pt idx="151">
                  <c:v>8.00384615384616</c:v>
                </c:pt>
                <c:pt idx="152">
                  <c:v>8.0423076923076895</c:v>
                </c:pt>
                <c:pt idx="153">
                  <c:v>8.0423076923076895</c:v>
                </c:pt>
                <c:pt idx="154">
                  <c:v>8.0192307692307701</c:v>
                </c:pt>
                <c:pt idx="155">
                  <c:v>8.0423076923076895</c:v>
                </c:pt>
                <c:pt idx="156">
                  <c:v>8.0423076923076895</c:v>
                </c:pt>
                <c:pt idx="157">
                  <c:v>8.0576923076923102</c:v>
                </c:pt>
                <c:pt idx="158">
                  <c:v>8.0423076923076895</c:v>
                </c:pt>
                <c:pt idx="159">
                  <c:v>8.0423076923076895</c:v>
                </c:pt>
                <c:pt idx="160">
                  <c:v>8.0423076923076895</c:v>
                </c:pt>
                <c:pt idx="161">
                  <c:v>8.0423076923076895</c:v>
                </c:pt>
                <c:pt idx="162">
                  <c:v>8.0423076923076895</c:v>
                </c:pt>
                <c:pt idx="163">
                  <c:v>8.0423076923076895</c:v>
                </c:pt>
                <c:pt idx="164">
                  <c:v>8.0384615384615401</c:v>
                </c:pt>
                <c:pt idx="165">
                  <c:v>8.0384615384615401</c:v>
                </c:pt>
                <c:pt idx="166">
                  <c:v>8.0307692307692307</c:v>
                </c:pt>
                <c:pt idx="167">
                  <c:v>8.0307692307692307</c:v>
                </c:pt>
                <c:pt idx="168">
                  <c:v>8.0307692307692307</c:v>
                </c:pt>
                <c:pt idx="169">
                  <c:v>8.0307692307692307</c:v>
                </c:pt>
                <c:pt idx="170">
                  <c:v>8.0307692307692307</c:v>
                </c:pt>
                <c:pt idx="171">
                  <c:v>8.0307692307692307</c:v>
                </c:pt>
                <c:pt idx="172">
                  <c:v>8.0307692307692307</c:v>
                </c:pt>
                <c:pt idx="173">
                  <c:v>8.0230769230769194</c:v>
                </c:pt>
                <c:pt idx="174">
                  <c:v>8.0346153846153907</c:v>
                </c:pt>
                <c:pt idx="175">
                  <c:v>8.0346153846153907</c:v>
                </c:pt>
                <c:pt idx="176">
                  <c:v>8.0346153846153907</c:v>
                </c:pt>
                <c:pt idx="177">
                  <c:v>8.0115384615384606</c:v>
                </c:pt>
                <c:pt idx="178">
                  <c:v>8.0346153846153907</c:v>
                </c:pt>
                <c:pt idx="179">
                  <c:v>8.0346153846153907</c:v>
                </c:pt>
                <c:pt idx="180">
                  <c:v>8.0346153846153907</c:v>
                </c:pt>
                <c:pt idx="181">
                  <c:v>8.0346153846153907</c:v>
                </c:pt>
                <c:pt idx="182">
                  <c:v>8.0346153846153907</c:v>
                </c:pt>
                <c:pt idx="183">
                  <c:v>8.0500000000000007</c:v>
                </c:pt>
                <c:pt idx="184">
                  <c:v>8.0500000000000007</c:v>
                </c:pt>
                <c:pt idx="185">
                  <c:v>8.0500000000000007</c:v>
                </c:pt>
                <c:pt idx="186">
                  <c:v>8.0653846153846196</c:v>
                </c:pt>
                <c:pt idx="187">
                  <c:v>8.1423076923076891</c:v>
                </c:pt>
                <c:pt idx="188">
                  <c:v>8.1807692307692292</c:v>
                </c:pt>
                <c:pt idx="189">
                  <c:v>8.1692307692307704</c:v>
                </c:pt>
                <c:pt idx="190">
                  <c:v>8.1923076923076898</c:v>
                </c:pt>
                <c:pt idx="191">
                  <c:v>8.1846153846153804</c:v>
                </c:pt>
                <c:pt idx="192">
                  <c:v>8.1846153846153804</c:v>
                </c:pt>
                <c:pt idx="193">
                  <c:v>8.1999999999999993</c:v>
                </c:pt>
                <c:pt idx="194">
                  <c:v>8.1999999999999993</c:v>
                </c:pt>
                <c:pt idx="195">
                  <c:v>8.1999999999999993</c:v>
                </c:pt>
                <c:pt idx="196">
                  <c:v>8.1999999999999993</c:v>
                </c:pt>
                <c:pt idx="197">
                  <c:v>8.2076923076923105</c:v>
                </c:pt>
                <c:pt idx="198">
                  <c:v>8.2076923076923105</c:v>
                </c:pt>
                <c:pt idx="199">
                  <c:v>8.2230769230769205</c:v>
                </c:pt>
                <c:pt idx="200">
                  <c:v>8.2230769230769205</c:v>
                </c:pt>
                <c:pt idx="201">
                  <c:v>8.2230769230769205</c:v>
                </c:pt>
                <c:pt idx="202">
                  <c:v>8.2269230769230806</c:v>
                </c:pt>
                <c:pt idx="203">
                  <c:v>8.2230769230769205</c:v>
                </c:pt>
                <c:pt idx="204">
                  <c:v>8.2384615384615394</c:v>
                </c:pt>
                <c:pt idx="205">
                  <c:v>8.2384615384615394</c:v>
                </c:pt>
                <c:pt idx="206">
                  <c:v>8.2384615384615394</c:v>
                </c:pt>
                <c:pt idx="207">
                  <c:v>8.2384615384615394</c:v>
                </c:pt>
                <c:pt idx="208">
                  <c:v>8.2384615384615394</c:v>
                </c:pt>
                <c:pt idx="209">
                  <c:v>8.2384615384615394</c:v>
                </c:pt>
                <c:pt idx="210">
                  <c:v>8.2307692307692299</c:v>
                </c:pt>
                <c:pt idx="211">
                  <c:v>8.2346153846153793</c:v>
                </c:pt>
                <c:pt idx="212">
                  <c:v>8.2346153846153793</c:v>
                </c:pt>
                <c:pt idx="213">
                  <c:v>8.2423076923076906</c:v>
                </c:pt>
                <c:pt idx="214">
                  <c:v>8.2346153846153793</c:v>
                </c:pt>
                <c:pt idx="215">
                  <c:v>8.2346153846153793</c:v>
                </c:pt>
                <c:pt idx="216">
                  <c:v>8.2346153846153793</c:v>
                </c:pt>
                <c:pt idx="217">
                  <c:v>8.2346153846153793</c:v>
                </c:pt>
                <c:pt idx="218">
                  <c:v>8.2423076923076906</c:v>
                </c:pt>
                <c:pt idx="219">
                  <c:v>8.2423076923076906</c:v>
                </c:pt>
                <c:pt idx="220">
                  <c:v>8.2423076923076906</c:v>
                </c:pt>
                <c:pt idx="221">
                  <c:v>8.2423076923076906</c:v>
                </c:pt>
                <c:pt idx="222">
                  <c:v>8.2423076923076906</c:v>
                </c:pt>
                <c:pt idx="223">
                  <c:v>8.2423076923076906</c:v>
                </c:pt>
                <c:pt idx="224">
                  <c:v>8.2423076923076906</c:v>
                </c:pt>
                <c:pt idx="225">
                  <c:v>8.2423076923076906</c:v>
                </c:pt>
                <c:pt idx="226">
                  <c:v>8.2423076923076906</c:v>
                </c:pt>
                <c:pt idx="227">
                  <c:v>8.2423076923076906</c:v>
                </c:pt>
                <c:pt idx="228">
                  <c:v>8.2423076923076906</c:v>
                </c:pt>
                <c:pt idx="229">
                  <c:v>8.2730769230769194</c:v>
                </c:pt>
                <c:pt idx="230">
                  <c:v>8.2730769230769194</c:v>
                </c:pt>
                <c:pt idx="231">
                  <c:v>8.2730769230769194</c:v>
                </c:pt>
                <c:pt idx="232">
                  <c:v>8.3192307692307708</c:v>
                </c:pt>
                <c:pt idx="233">
                  <c:v>8.3192307692307708</c:v>
                </c:pt>
                <c:pt idx="234">
                  <c:v>8.3192307692307708</c:v>
                </c:pt>
                <c:pt idx="235">
                  <c:v>8.3192307692307708</c:v>
                </c:pt>
                <c:pt idx="236">
                  <c:v>8.3192307692307708</c:v>
                </c:pt>
                <c:pt idx="237">
                  <c:v>8.3192307692307708</c:v>
                </c:pt>
                <c:pt idx="238">
                  <c:v>8.3192307692307708</c:v>
                </c:pt>
                <c:pt idx="239">
                  <c:v>8.3192307692307708</c:v>
                </c:pt>
                <c:pt idx="240">
                  <c:v>8.3192307692307708</c:v>
                </c:pt>
                <c:pt idx="241">
                  <c:v>8.3192307692307708</c:v>
                </c:pt>
                <c:pt idx="242">
                  <c:v>8.3192307692307708</c:v>
                </c:pt>
                <c:pt idx="243">
                  <c:v>8.3192307692307708</c:v>
                </c:pt>
                <c:pt idx="244">
                  <c:v>8.3192307692307708</c:v>
                </c:pt>
                <c:pt idx="245">
                  <c:v>8.3192307692307708</c:v>
                </c:pt>
                <c:pt idx="246">
                  <c:v>8.3192307692307708</c:v>
                </c:pt>
                <c:pt idx="247">
                  <c:v>8.3192307692307708</c:v>
                </c:pt>
                <c:pt idx="248">
                  <c:v>8.3192307692307708</c:v>
                </c:pt>
                <c:pt idx="249">
                  <c:v>8.3192307692307708</c:v>
                </c:pt>
                <c:pt idx="250">
                  <c:v>8.3192307692307708</c:v>
                </c:pt>
                <c:pt idx="251">
                  <c:v>8.3192307692307708</c:v>
                </c:pt>
                <c:pt idx="252">
                  <c:v>8.3038461538461608</c:v>
                </c:pt>
              </c:numCache>
            </c:numRef>
          </c:val>
          <c:smooth val="0"/>
          <c:extLst>
            <c:ext xmlns:c16="http://schemas.microsoft.com/office/drawing/2014/chart" uri="{C3380CC4-5D6E-409C-BE32-E72D297353CC}">
              <c16:uniqueId val="{00000007-04D4-46FF-8191-A9E833E2AABC}"/>
            </c:ext>
          </c:extLst>
        </c:ser>
        <c:ser>
          <c:idx val="8"/>
          <c:order val="8"/>
          <c:tx>
            <c:strRef>
              <c:f>'His53'!$K$1</c:f>
              <c:strCache>
                <c:ptCount val="1"/>
                <c:pt idx="0">
                  <c:v> 2.25Y </c:v>
                </c:pt>
              </c:strCache>
            </c:strRef>
          </c:tx>
          <c:spPr>
            <a:ln w="28575" cap="rnd">
              <a:solidFill>
                <a:schemeClr val="accent3">
                  <a:lumMod val="60000"/>
                </a:schemeClr>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'His53'!$K$2:$K$254</c:f>
            </c:numRef>
          </c:val>
          <c:smooth val="0"/>
          <c:extLst xmlns:c15="http://schemas.microsoft.com/office/drawing/2012/chart">
            <c:ext xmlns:c16="http://schemas.microsoft.com/office/drawing/2014/chart" uri="{C3380CC4-5D6E-409C-BE32-E72D297353CC}">
              <c16:uniqueId val="{00000008-04D4-46FF-8191-A9E833E2AABC}"/>
            </c:ext>
          </c:extLst>
        </c:ser>
        <c:ser>
          <c:idx val="9"/>
          <c:order val="9"/>
          <c:tx>
            <c:strRef>
              <c:f>'His53'!$L$1</c:f>
              <c:strCache>
                <c:ptCount val="1"/>
                <c:pt idx="0">
                  <c:v> 2.5Y </c:v>
                </c:pt>
              </c:strCache>
            </c:strRef>
          </c:tx>
          <c:spPr>
            <a:ln w="28575" cap="rnd">
              <a:solidFill>
                <a:schemeClr val="accent4">
                  <a:lumMod val="60000"/>
                </a:schemeClr>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'His53'!$L$2:$L$254</c:f>
            </c:numRef>
          </c:val>
          <c:smooth val="0"/>
          <c:extLst xmlns:c15="http://schemas.microsoft.com/office/drawing/2012/chart">
            <c:ext xmlns:c16="http://schemas.microsoft.com/office/drawing/2014/chart" uri="{C3380CC4-5D6E-409C-BE32-E72D297353CC}">
              <c16:uniqueId val="{00000009-04D4-46FF-8191-A9E833E2AABC}"/>
            </c:ext>
          </c:extLst>
        </c:ser>
        <c:ser>
          <c:idx val="10"/>
          <c:order val="10"/>
          <c:tx>
            <c:strRef>
              <c:f>'His53'!$M$1</c:f>
              <c:strCache>
                <c:ptCount val="1"/>
                <c:pt idx="0">
                  <c:v> 2.75Y </c:v>
                </c:pt>
              </c:strCache>
            </c:strRef>
          </c:tx>
          <c:spPr>
            <a:ln w="28575" cap="rnd">
              <a:solidFill>
                <a:schemeClr val="accent5">
                  <a:lumMod val="60000"/>
                </a:schemeClr>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'His53'!$M$2:$M$254</c:f>
            </c:numRef>
          </c:val>
          <c:smooth val="0"/>
          <c:extLst xmlns:c15="http://schemas.microsoft.com/office/drawing/2012/chart">
            <c:ext xmlns:c16="http://schemas.microsoft.com/office/drawing/2014/chart" uri="{C3380CC4-5D6E-409C-BE32-E72D297353CC}">
              <c16:uniqueId val="{0000000A-04D4-46FF-8191-A9E833E2AABC}"/>
            </c:ext>
          </c:extLst>
        </c:ser>
        <c:ser>
          <c:idx val="11"/>
          <c:order val="11"/>
          <c:tx>
            <c:strRef>
              <c:f>'His53'!$N$1</c:f>
              <c:strCache>
                <c:ptCount val="1"/>
                <c:pt idx="0">
                  <c:v> 3Y </c:v>
                </c:pt>
              </c:strCache>
            </c:strRef>
          </c:tx>
          <c:spPr>
            <a:ln w="28575" cap="rnd">
              <a:solidFill>
                <a:schemeClr val="accent6">
                  <a:lumMod val="60000"/>
                </a:schemeClr>
              </a:solidFill>
              <a:round/>
            </a:ln>
            <a:effectLst/>
          </c:spPr>
          <c:marker>
            <c:symbol val="none"/>
          </c:marker>
          <c:cat>
            <c:numRef>
              <c:f>'His53'!$B$2:$B$254</c:f>
              <c:numCache>
                <c:formatCode>dd/mm/yyyy</c:formatCode>
                <c:ptCount val="253"/>
                <c:pt idx="0">
                  <c:v>45894</c:v>
                </c:pt>
                <c:pt idx="1">
                  <c:v>45895</c:v>
                </c:pt>
                <c:pt idx="2">
                  <c:v>45896</c:v>
                </c:pt>
                <c:pt idx="3">
                  <c:v>45897</c:v>
                </c:pt>
                <c:pt idx="4">
                  <c:v>45898</c:v>
                </c:pt>
                <c:pt idx="5">
                  <c:v>45903</c:v>
                </c:pt>
                <c:pt idx="6">
                  <c:v>45904</c:v>
                </c:pt>
                <c:pt idx="7">
                  <c:v>45905</c:v>
                </c:pt>
                <c:pt idx="8">
                  <c:v>45908</c:v>
                </c:pt>
                <c:pt idx="9">
                  <c:v>45909</c:v>
                </c:pt>
                <c:pt idx="10">
                  <c:v>45910</c:v>
                </c:pt>
                <c:pt idx="11">
                  <c:v>45911</c:v>
                </c:pt>
                <c:pt idx="12">
                  <c:v>45912</c:v>
                </c:pt>
                <c:pt idx="13">
                  <c:v>45915</c:v>
                </c:pt>
                <c:pt idx="14">
                  <c:v>45916</c:v>
                </c:pt>
                <c:pt idx="15">
                  <c:v>45917</c:v>
                </c:pt>
                <c:pt idx="16">
                  <c:v>45918</c:v>
                </c:pt>
                <c:pt idx="17">
                  <c:v>45919</c:v>
                </c:pt>
                <c:pt idx="18">
                  <c:v>45922</c:v>
                </c:pt>
                <c:pt idx="19">
                  <c:v>45923</c:v>
                </c:pt>
                <c:pt idx="20">
                  <c:v>45924</c:v>
                </c:pt>
                <c:pt idx="21">
                  <c:v>45925</c:v>
                </c:pt>
                <c:pt idx="22">
                  <c:v>45926</c:v>
                </c:pt>
                <c:pt idx="23">
                  <c:v>45929</c:v>
                </c:pt>
                <c:pt idx="24">
                  <c:v>45930</c:v>
                </c:pt>
                <c:pt idx="25">
                  <c:v>45931</c:v>
                </c:pt>
                <c:pt idx="26">
                  <c:v>45932</c:v>
                </c:pt>
                <c:pt idx="27">
                  <c:v>45933</c:v>
                </c:pt>
                <c:pt idx="28">
                  <c:v>45936</c:v>
                </c:pt>
                <c:pt idx="29">
                  <c:v>45937</c:v>
                </c:pt>
                <c:pt idx="30">
                  <c:v>45938</c:v>
                </c:pt>
                <c:pt idx="31">
                  <c:v>45939</c:v>
                </c:pt>
                <c:pt idx="32">
                  <c:v>45940</c:v>
                </c:pt>
                <c:pt idx="33">
                  <c:v>45943</c:v>
                </c:pt>
                <c:pt idx="34">
                  <c:v>45944</c:v>
                </c:pt>
                <c:pt idx="35">
                  <c:v>45945</c:v>
                </c:pt>
                <c:pt idx="36">
                  <c:v>45946</c:v>
                </c:pt>
                <c:pt idx="37">
                  <c:v>45947</c:v>
                </c:pt>
                <c:pt idx="38">
                  <c:v>45950</c:v>
                </c:pt>
                <c:pt idx="39">
                  <c:v>45951</c:v>
                </c:pt>
                <c:pt idx="40">
                  <c:v>45952</c:v>
                </c:pt>
                <c:pt idx="41">
                  <c:v>45953</c:v>
                </c:pt>
                <c:pt idx="42">
                  <c:v>45954</c:v>
                </c:pt>
                <c:pt idx="43">
                  <c:v>45957</c:v>
                </c:pt>
                <c:pt idx="44">
                  <c:v>45958</c:v>
                </c:pt>
                <c:pt idx="45">
                  <c:v>45959</c:v>
                </c:pt>
                <c:pt idx="46">
                  <c:v>45960</c:v>
                </c:pt>
                <c:pt idx="47">
                  <c:v>45961</c:v>
                </c:pt>
                <c:pt idx="48">
                  <c:v>45964</c:v>
                </c:pt>
                <c:pt idx="49">
                  <c:v>45965</c:v>
                </c:pt>
                <c:pt idx="50">
                  <c:v>45966</c:v>
                </c:pt>
                <c:pt idx="51">
                  <c:v>45967</c:v>
                </c:pt>
                <c:pt idx="52">
                  <c:v>45968</c:v>
                </c:pt>
                <c:pt idx="53">
                  <c:v>45971</c:v>
                </c:pt>
                <c:pt idx="54">
                  <c:v>45972</c:v>
                </c:pt>
                <c:pt idx="55">
                  <c:v>45973</c:v>
                </c:pt>
                <c:pt idx="56">
                  <c:v>45974</c:v>
                </c:pt>
                <c:pt idx="57">
                  <c:v>45975</c:v>
                </c:pt>
                <c:pt idx="58">
                  <c:v>45978</c:v>
                </c:pt>
                <c:pt idx="59">
                  <c:v>45979</c:v>
                </c:pt>
                <c:pt idx="60">
                  <c:v>45980</c:v>
                </c:pt>
                <c:pt idx="61">
                  <c:v>45981</c:v>
                </c:pt>
                <c:pt idx="62">
                  <c:v>45982</c:v>
                </c:pt>
                <c:pt idx="63">
                  <c:v>45985</c:v>
                </c:pt>
                <c:pt idx="64">
                  <c:v>45986</c:v>
                </c:pt>
                <c:pt idx="65">
                  <c:v>45987</c:v>
                </c:pt>
                <c:pt idx="66">
                  <c:v>45988</c:v>
                </c:pt>
                <c:pt idx="67">
                  <c:v>45989</c:v>
                </c:pt>
                <c:pt idx="68">
                  <c:v>45992</c:v>
                </c:pt>
                <c:pt idx="69">
                  <c:v>45993</c:v>
                </c:pt>
                <c:pt idx="70">
                  <c:v>45994</c:v>
                </c:pt>
                <c:pt idx="71">
                  <c:v>45995</c:v>
                </c:pt>
                <c:pt idx="72">
                  <c:v>45996</c:v>
                </c:pt>
                <c:pt idx="73">
                  <c:v>45999</c:v>
                </c:pt>
                <c:pt idx="74">
                  <c:v>46000</c:v>
                </c:pt>
                <c:pt idx="75">
                  <c:v>46001</c:v>
                </c:pt>
                <c:pt idx="76">
                  <c:v>46002</c:v>
                </c:pt>
                <c:pt idx="77">
                  <c:v>46003</c:v>
                </c:pt>
                <c:pt idx="78">
                  <c:v>46006</c:v>
                </c:pt>
                <c:pt idx="79">
                  <c:v>46007</c:v>
                </c:pt>
                <c:pt idx="80">
                  <c:v>46008</c:v>
                </c:pt>
                <c:pt idx="81">
                  <c:v>46009</c:v>
                </c:pt>
                <c:pt idx="82">
                  <c:v>46010</c:v>
                </c:pt>
                <c:pt idx="83">
                  <c:v>46013</c:v>
                </c:pt>
                <c:pt idx="84">
                  <c:v>46014</c:v>
                </c:pt>
                <c:pt idx="85">
                  <c:v>46015</c:v>
                </c:pt>
                <c:pt idx="86">
                  <c:v>46016</c:v>
                </c:pt>
                <c:pt idx="87">
                  <c:v>46017</c:v>
                </c:pt>
                <c:pt idx="88">
                  <c:v>46020</c:v>
                </c:pt>
                <c:pt idx="89">
                  <c:v>46021</c:v>
                </c:pt>
                <c:pt idx="90">
                  <c:v>46022</c:v>
                </c:pt>
                <c:pt idx="91">
                  <c:v>46027</c:v>
                </c:pt>
                <c:pt idx="92">
                  <c:v>46028</c:v>
                </c:pt>
                <c:pt idx="93">
                  <c:v>46029</c:v>
                </c:pt>
                <c:pt idx="94">
                  <c:v>46030</c:v>
                </c:pt>
                <c:pt idx="95">
                  <c:v>46031</c:v>
                </c:pt>
                <c:pt idx="96">
                  <c:v>46034</c:v>
                </c:pt>
                <c:pt idx="97">
                  <c:v>46035</c:v>
                </c:pt>
                <c:pt idx="98">
                  <c:v>46036</c:v>
                </c:pt>
                <c:pt idx="99">
                  <c:v>46037</c:v>
                </c:pt>
                <c:pt idx="100">
                  <c:v>46038</c:v>
                </c:pt>
                <c:pt idx="101">
                  <c:v>46041</c:v>
                </c:pt>
                <c:pt idx="102">
                  <c:v>46042</c:v>
                </c:pt>
                <c:pt idx="103">
                  <c:v>46043</c:v>
                </c:pt>
                <c:pt idx="104">
                  <c:v>46044</c:v>
                </c:pt>
                <c:pt idx="105">
                  <c:v>46045</c:v>
                </c:pt>
                <c:pt idx="106">
                  <c:v>46048</c:v>
                </c:pt>
                <c:pt idx="107">
                  <c:v>46049</c:v>
                </c:pt>
                <c:pt idx="108">
                  <c:v>46050</c:v>
                </c:pt>
                <c:pt idx="109">
                  <c:v>46051</c:v>
                </c:pt>
                <c:pt idx="110">
                  <c:v>46052</c:v>
                </c:pt>
                <c:pt idx="111">
                  <c:v>46055</c:v>
                </c:pt>
                <c:pt idx="112">
                  <c:v>46056</c:v>
                </c:pt>
                <c:pt idx="113">
                  <c:v>46057</c:v>
                </c:pt>
                <c:pt idx="114">
                  <c:v>46058</c:v>
                </c:pt>
                <c:pt idx="115">
                  <c:v>46059</c:v>
                </c:pt>
                <c:pt idx="116">
                  <c:v>46062</c:v>
                </c:pt>
                <c:pt idx="117">
                  <c:v>46063</c:v>
                </c:pt>
                <c:pt idx="118">
                  <c:v>46064</c:v>
                </c:pt>
                <c:pt idx="119">
                  <c:v>46065</c:v>
                </c:pt>
                <c:pt idx="120">
                  <c:v>46066</c:v>
                </c:pt>
                <c:pt idx="121">
                  <c:v>46076</c:v>
                </c:pt>
                <c:pt idx="122">
                  <c:v>46077</c:v>
                </c:pt>
                <c:pt idx="123">
                  <c:v>46078</c:v>
                </c:pt>
                <c:pt idx="124">
                  <c:v>46079</c:v>
                </c:pt>
                <c:pt idx="125">
                  <c:v>46080</c:v>
                </c:pt>
                <c:pt idx="126">
                  <c:v>46083</c:v>
                </c:pt>
                <c:pt idx="127">
                  <c:v>46084</c:v>
                </c:pt>
                <c:pt idx="128">
                  <c:v>46085</c:v>
                </c:pt>
                <c:pt idx="129">
                  <c:v>46086</c:v>
                </c:pt>
                <c:pt idx="130">
                  <c:v>46087</c:v>
                </c:pt>
                <c:pt idx="131">
                  <c:v>46090</c:v>
                </c:pt>
                <c:pt idx="132">
                  <c:v>46091</c:v>
                </c:pt>
                <c:pt idx="133">
                  <c:v>46092</c:v>
                </c:pt>
                <c:pt idx="134">
                  <c:v>46093</c:v>
                </c:pt>
                <c:pt idx="135">
                  <c:v>46094</c:v>
                </c:pt>
                <c:pt idx="136">
                  <c:v>46097</c:v>
                </c:pt>
                <c:pt idx="137">
                  <c:v>46098</c:v>
                </c:pt>
                <c:pt idx="138">
                  <c:v>46099</c:v>
                </c:pt>
                <c:pt idx="139">
                  <c:v>46100</c:v>
                </c:pt>
                <c:pt idx="140">
                  <c:v>46101</c:v>
                </c:pt>
                <c:pt idx="141">
                  <c:v>46104</c:v>
                </c:pt>
                <c:pt idx="142">
                  <c:v>46105</c:v>
                </c:pt>
                <c:pt idx="143">
                  <c:v>46106</c:v>
                </c:pt>
                <c:pt idx="144">
                  <c:v>46107</c:v>
                </c:pt>
                <c:pt idx="145">
                  <c:v>46108</c:v>
                </c:pt>
                <c:pt idx="146">
                  <c:v>46111</c:v>
                </c:pt>
                <c:pt idx="147">
                  <c:v>46112</c:v>
                </c:pt>
                <c:pt idx="148">
                  <c:v>46113</c:v>
                </c:pt>
                <c:pt idx="149">
                  <c:v>46114</c:v>
                </c:pt>
                <c:pt idx="150">
                  <c:v>46115</c:v>
                </c:pt>
                <c:pt idx="151">
                  <c:v>46118</c:v>
                </c:pt>
                <c:pt idx="152">
                  <c:v>46119</c:v>
                </c:pt>
                <c:pt idx="153">
                  <c:v>46120</c:v>
                </c:pt>
                <c:pt idx="154">
                  <c:v>46121</c:v>
                </c:pt>
                <c:pt idx="155">
                  <c:v>46122</c:v>
                </c:pt>
                <c:pt idx="156">
                  <c:v>46125</c:v>
                </c:pt>
                <c:pt idx="157">
                  <c:v>46126</c:v>
                </c:pt>
                <c:pt idx="158">
                  <c:v>46127</c:v>
                </c:pt>
                <c:pt idx="159">
                  <c:v>46128</c:v>
                </c:pt>
                <c:pt idx="160">
                  <c:v>46129</c:v>
                </c:pt>
                <c:pt idx="161">
                  <c:v>46132</c:v>
                </c:pt>
                <c:pt idx="162">
                  <c:v>46133</c:v>
                </c:pt>
                <c:pt idx="163">
                  <c:v>46134</c:v>
                </c:pt>
                <c:pt idx="164">
                  <c:v>46135</c:v>
                </c:pt>
                <c:pt idx="165">
                  <c:v>46136</c:v>
                </c:pt>
                <c:pt idx="166">
                  <c:v>46140</c:v>
                </c:pt>
                <c:pt idx="167">
                  <c:v>46141</c:v>
                </c:pt>
                <c:pt idx="168">
                  <c:v>46146</c:v>
                </c:pt>
                <c:pt idx="169">
                  <c:v>46147</c:v>
                </c:pt>
                <c:pt idx="170">
                  <c:v>46148</c:v>
                </c:pt>
                <c:pt idx="171">
                  <c:v>46149</c:v>
                </c:pt>
                <c:pt idx="172">
                  <c:v>46150</c:v>
                </c:pt>
                <c:pt idx="173">
                  <c:v>46153</c:v>
                </c:pt>
                <c:pt idx="174">
                  <c:v>46154</c:v>
                </c:pt>
                <c:pt idx="175">
                  <c:v>46155</c:v>
                </c:pt>
                <c:pt idx="176">
                  <c:v>46156</c:v>
                </c:pt>
                <c:pt idx="177">
                  <c:v>46157</c:v>
                </c:pt>
                <c:pt idx="178">
                  <c:v>46160</c:v>
                </c:pt>
                <c:pt idx="179">
                  <c:v>46161</c:v>
                </c:pt>
                <c:pt idx="180">
                  <c:v>46162</c:v>
                </c:pt>
                <c:pt idx="181">
                  <c:v>46163</c:v>
                </c:pt>
                <c:pt idx="182">
                  <c:v>46164</c:v>
                </c:pt>
                <c:pt idx="183">
                  <c:v>46167</c:v>
                </c:pt>
                <c:pt idx="184">
                  <c:v>46168</c:v>
                </c:pt>
                <c:pt idx="185">
                  <c:v>46169</c:v>
                </c:pt>
                <c:pt idx="186">
                  <c:v>46170</c:v>
                </c:pt>
                <c:pt idx="187">
                  <c:v>46171</c:v>
                </c:pt>
                <c:pt idx="188">
                  <c:v>46174</c:v>
                </c:pt>
                <c:pt idx="189">
                  <c:v>46175</c:v>
                </c:pt>
                <c:pt idx="190">
                  <c:v>46176</c:v>
                </c:pt>
                <c:pt idx="191">
                  <c:v>46177</c:v>
                </c:pt>
                <c:pt idx="192">
                  <c:v>46178</c:v>
                </c:pt>
                <c:pt idx="193">
                  <c:v>46181</c:v>
                </c:pt>
                <c:pt idx="194">
                  <c:v>46182</c:v>
                </c:pt>
                <c:pt idx="195">
                  <c:v>46183</c:v>
                </c:pt>
                <c:pt idx="196">
                  <c:v>46184</c:v>
                </c:pt>
                <c:pt idx="197">
                  <c:v>46185</c:v>
                </c:pt>
                <c:pt idx="198">
                  <c:v>46188</c:v>
                </c:pt>
                <c:pt idx="199">
                  <c:v>46189</c:v>
                </c:pt>
                <c:pt idx="200">
                  <c:v>46190</c:v>
                </c:pt>
                <c:pt idx="201">
                  <c:v>46191</c:v>
                </c:pt>
                <c:pt idx="202">
                  <c:v>46192</c:v>
                </c:pt>
                <c:pt idx="203">
                  <c:v>46195</c:v>
                </c:pt>
                <c:pt idx="204">
                  <c:v>46196</c:v>
                </c:pt>
                <c:pt idx="205">
                  <c:v>46197</c:v>
                </c:pt>
                <c:pt idx="206">
                  <c:v>46198</c:v>
                </c:pt>
                <c:pt idx="207">
                  <c:v>46199</c:v>
                </c:pt>
                <c:pt idx="208">
                  <c:v>46202</c:v>
                </c:pt>
                <c:pt idx="209">
                  <c:v>46203</c:v>
                </c:pt>
                <c:pt idx="210">
                  <c:v>46204</c:v>
                </c:pt>
                <c:pt idx="211">
                  <c:v>46205</c:v>
                </c:pt>
                <c:pt idx="212">
                  <c:v>46206</c:v>
                </c:pt>
                <c:pt idx="213">
                  <c:v>46209</c:v>
                </c:pt>
                <c:pt idx="214">
                  <c:v>46210</c:v>
                </c:pt>
                <c:pt idx="215">
                  <c:v>46211</c:v>
                </c:pt>
                <c:pt idx="216">
                  <c:v>46212</c:v>
                </c:pt>
                <c:pt idx="217">
                  <c:v>46213</c:v>
                </c:pt>
                <c:pt idx="218">
                  <c:v>46216</c:v>
                </c:pt>
                <c:pt idx="219">
                  <c:v>46217</c:v>
                </c:pt>
                <c:pt idx="220">
                  <c:v>46218</c:v>
                </c:pt>
                <c:pt idx="221">
                  <c:v>46219</c:v>
                </c:pt>
                <c:pt idx="222">
                  <c:v>46220</c:v>
                </c:pt>
                <c:pt idx="223">
                  <c:v>46223</c:v>
                </c:pt>
                <c:pt idx="224">
                  <c:v>46224</c:v>
                </c:pt>
                <c:pt idx="225">
                  <c:v>46225</c:v>
                </c:pt>
                <c:pt idx="226">
                  <c:v>46226</c:v>
                </c:pt>
                <c:pt idx="227">
                  <c:v>46227</c:v>
                </c:pt>
                <c:pt idx="228">
                  <c:v>46230</c:v>
                </c:pt>
                <c:pt idx="229">
                  <c:v>46231</c:v>
                </c:pt>
                <c:pt idx="230">
                  <c:v>46232</c:v>
                </c:pt>
                <c:pt idx="231">
                  <c:v>46233</c:v>
                </c:pt>
                <c:pt idx="232">
                  <c:v>46234</c:v>
                </c:pt>
                <c:pt idx="233">
                  <c:v>46237</c:v>
                </c:pt>
                <c:pt idx="234">
                  <c:v>46238</c:v>
                </c:pt>
                <c:pt idx="235">
                  <c:v>46239</c:v>
                </c:pt>
                <c:pt idx="236">
                  <c:v>46240</c:v>
                </c:pt>
                <c:pt idx="237">
                  <c:v>46241</c:v>
                </c:pt>
                <c:pt idx="238">
                  <c:v>46244</c:v>
                </c:pt>
                <c:pt idx="239">
                  <c:v>46245</c:v>
                </c:pt>
                <c:pt idx="240">
                  <c:v>46246</c:v>
                </c:pt>
                <c:pt idx="241">
                  <c:v>46247</c:v>
                </c:pt>
                <c:pt idx="242">
                  <c:v>46248</c:v>
                </c:pt>
                <c:pt idx="243">
                  <c:v>46251</c:v>
                </c:pt>
                <c:pt idx="244">
                  <c:v>46252</c:v>
                </c:pt>
                <c:pt idx="245">
                  <c:v>46253</c:v>
                </c:pt>
                <c:pt idx="246">
                  <c:v>46254</c:v>
                </c:pt>
                <c:pt idx="247">
                  <c:v>46255</c:v>
                </c:pt>
                <c:pt idx="248">
                  <c:v>46258</c:v>
                </c:pt>
                <c:pt idx="249">
                  <c:v>46259</c:v>
                </c:pt>
                <c:pt idx="250">
                  <c:v>46260</c:v>
                </c:pt>
                <c:pt idx="251">
                  <c:v>46261</c:v>
                </c:pt>
                <c:pt idx="252">
                  <c:v>46262</c:v>
                </c:pt>
              </c:numCache>
            </c:numRef>
          </c:cat>
          <c:val>
            <c:numRef>
              <c:f>'His53'!$N$2:$N$254</c:f>
              <c:numCache>
                <c:formatCode>_-* #,##0.00_-;\-* #,##0.00_-;_-* "-"??_-;_-@_-</c:formatCode>
                <c:ptCount val="253"/>
                <c:pt idx="0">
                  <c:v>5.9730769230769196</c:v>
                </c:pt>
                <c:pt idx="1">
                  <c:v>5.9730769230769196</c:v>
                </c:pt>
                <c:pt idx="2">
                  <c:v>5.9730769230769196</c:v>
                </c:pt>
                <c:pt idx="3">
                  <c:v>5.9730769230769196</c:v>
                </c:pt>
                <c:pt idx="4">
                  <c:v>5.9807692307692299</c:v>
                </c:pt>
                <c:pt idx="5">
                  <c:v>5.9884615384615403</c:v>
                </c:pt>
                <c:pt idx="6">
                  <c:v>5.9884615384615403</c:v>
                </c:pt>
                <c:pt idx="7">
                  <c:v>5.9884615384615403</c:v>
                </c:pt>
                <c:pt idx="8">
                  <c:v>5.9884615384615403</c:v>
                </c:pt>
                <c:pt idx="9">
                  <c:v>5.9884615384615403</c:v>
                </c:pt>
                <c:pt idx="10">
                  <c:v>6.0038461538461503</c:v>
                </c:pt>
                <c:pt idx="11">
                  <c:v>6.0461538461538504</c:v>
                </c:pt>
                <c:pt idx="12">
                  <c:v>6.0461538461538504</c:v>
                </c:pt>
                <c:pt idx="13">
                  <c:v>6.0769230769230802</c:v>
                </c:pt>
                <c:pt idx="14">
                  <c:v>6.0769230769230802</c:v>
                </c:pt>
                <c:pt idx="15">
                  <c:v>6.0769230769230802</c:v>
                </c:pt>
                <c:pt idx="16">
                  <c:v>6.0769230769230802</c:v>
                </c:pt>
                <c:pt idx="17">
                  <c:v>6.0769230769230802</c:v>
                </c:pt>
                <c:pt idx="18">
                  <c:v>6.1</c:v>
                </c:pt>
                <c:pt idx="19">
                  <c:v>6.0769230769230802</c:v>
                </c:pt>
                <c:pt idx="20">
                  <c:v>6.1</c:v>
                </c:pt>
                <c:pt idx="21">
                  <c:v>6.1</c:v>
                </c:pt>
                <c:pt idx="22">
                  <c:v>6.1</c:v>
                </c:pt>
                <c:pt idx="23">
                  <c:v>6.1384615384615397</c:v>
                </c:pt>
                <c:pt idx="24">
                  <c:v>6.1384615384615397</c:v>
                </c:pt>
                <c:pt idx="25">
                  <c:v>6.1538461538461497</c:v>
                </c:pt>
                <c:pt idx="26">
                  <c:v>6.1653846153846201</c:v>
                </c:pt>
                <c:pt idx="27">
                  <c:v>6.1653846153846201</c:v>
                </c:pt>
                <c:pt idx="28">
                  <c:v>6.1884615384615396</c:v>
                </c:pt>
                <c:pt idx="29">
                  <c:v>6.1884615384615396</c:v>
                </c:pt>
                <c:pt idx="30">
                  <c:v>6.1884615384615396</c:v>
                </c:pt>
                <c:pt idx="31">
                  <c:v>6.1884615384615396</c:v>
                </c:pt>
                <c:pt idx="32">
                  <c:v>6.1884615384615396</c:v>
                </c:pt>
                <c:pt idx="33">
                  <c:v>6.2423076923076897</c:v>
                </c:pt>
                <c:pt idx="34">
                  <c:v>6.2423076923076897</c:v>
                </c:pt>
                <c:pt idx="35">
                  <c:v>6.25</c:v>
                </c:pt>
                <c:pt idx="36">
                  <c:v>6.2961538461538504</c:v>
                </c:pt>
                <c:pt idx="37">
                  <c:v>6.3076923076923102</c:v>
                </c:pt>
                <c:pt idx="38">
                  <c:v>6.3076923076923102</c:v>
                </c:pt>
                <c:pt idx="39">
                  <c:v>6.3076923076923102</c:v>
                </c:pt>
                <c:pt idx="40">
                  <c:v>6.3307692307692296</c:v>
                </c:pt>
                <c:pt idx="41">
                  <c:v>6.3192307692307699</c:v>
                </c:pt>
                <c:pt idx="42">
                  <c:v>6.3192307692307699</c:v>
                </c:pt>
                <c:pt idx="43">
                  <c:v>6.3192307692307699</c:v>
                </c:pt>
                <c:pt idx="44">
                  <c:v>6.2769230769230804</c:v>
                </c:pt>
                <c:pt idx="45">
                  <c:v>6.2770000000000001</c:v>
                </c:pt>
                <c:pt idx="46">
                  <c:v>6.3</c:v>
                </c:pt>
                <c:pt idx="47">
                  <c:v>6.3</c:v>
                </c:pt>
                <c:pt idx="48">
                  <c:v>6.3076923076923102</c:v>
                </c:pt>
                <c:pt idx="49">
                  <c:v>6.3076923076923102</c:v>
                </c:pt>
                <c:pt idx="50">
                  <c:v>6.3153846153846098</c:v>
                </c:pt>
                <c:pt idx="51">
                  <c:v>6.3384615384615399</c:v>
                </c:pt>
                <c:pt idx="52">
                  <c:v>6.3076923076923102</c:v>
                </c:pt>
                <c:pt idx="53">
                  <c:v>6.35769230769231</c:v>
                </c:pt>
                <c:pt idx="54">
                  <c:v>6.3653846153846203</c:v>
                </c:pt>
                <c:pt idx="55">
                  <c:v>6.37307692307692</c:v>
                </c:pt>
                <c:pt idx="56">
                  <c:v>6.3653846153846203</c:v>
                </c:pt>
                <c:pt idx="57">
                  <c:v>6.3961538461538501</c:v>
                </c:pt>
                <c:pt idx="58">
                  <c:v>6.3961538461538501</c:v>
                </c:pt>
                <c:pt idx="59">
                  <c:v>6.4269230769230798</c:v>
                </c:pt>
                <c:pt idx="60">
                  <c:v>6.4269230769230798</c:v>
                </c:pt>
                <c:pt idx="61">
                  <c:v>6.4269230769230798</c:v>
                </c:pt>
                <c:pt idx="62">
                  <c:v>6.5192307692307701</c:v>
                </c:pt>
                <c:pt idx="63">
                  <c:v>6.5346153846153801</c:v>
                </c:pt>
                <c:pt idx="64">
                  <c:v>6.5961538461538503</c:v>
                </c:pt>
                <c:pt idx="65">
                  <c:v>6.5961538461538503</c:v>
                </c:pt>
                <c:pt idx="66">
                  <c:v>6.5961538461538503</c:v>
                </c:pt>
                <c:pt idx="67">
                  <c:v>6.6038461538461499</c:v>
                </c:pt>
                <c:pt idx="68">
                  <c:v>6.6769230769230798</c:v>
                </c:pt>
                <c:pt idx="69">
                  <c:v>6.8307692307692296</c:v>
                </c:pt>
                <c:pt idx="70">
                  <c:v>6.9384615384615396</c:v>
                </c:pt>
                <c:pt idx="71">
                  <c:v>6.9384615384615396</c:v>
                </c:pt>
                <c:pt idx="72">
                  <c:v>6.9807692307692299</c:v>
                </c:pt>
                <c:pt idx="73">
                  <c:v>7.0615384615384604</c:v>
                </c:pt>
                <c:pt idx="74">
                  <c:v>7.0769230769230802</c:v>
                </c:pt>
                <c:pt idx="75">
                  <c:v>7.0769230769230802</c:v>
                </c:pt>
                <c:pt idx="76">
                  <c:v>7.0923076923076902</c:v>
                </c:pt>
                <c:pt idx="77">
                  <c:v>7.0923076923076902</c:v>
                </c:pt>
                <c:pt idx="78">
                  <c:v>7.10769230769231</c:v>
                </c:pt>
                <c:pt idx="79">
                  <c:v>7.1</c:v>
                </c:pt>
                <c:pt idx="80">
                  <c:v>7.10769230769231</c:v>
                </c:pt>
                <c:pt idx="81">
                  <c:v>7.10769230769231</c:v>
                </c:pt>
                <c:pt idx="82">
                  <c:v>7.12307692307692</c:v>
                </c:pt>
                <c:pt idx="83">
                  <c:v>7.1692307692307704</c:v>
                </c:pt>
                <c:pt idx="84">
                  <c:v>7.1923076923076898</c:v>
                </c:pt>
                <c:pt idx="85">
                  <c:v>7.2230769230769196</c:v>
                </c:pt>
                <c:pt idx="86">
                  <c:v>7.2692307692307701</c:v>
                </c:pt>
                <c:pt idx="87">
                  <c:v>7.2615384615384597</c:v>
                </c:pt>
                <c:pt idx="88">
                  <c:v>7.2615384615384597</c:v>
                </c:pt>
                <c:pt idx="89">
                  <c:v>7.2615384615384597</c:v>
                </c:pt>
                <c:pt idx="90">
                  <c:v>7.2615384615384597</c:v>
                </c:pt>
                <c:pt idx="91">
                  <c:v>7.4269230769230798</c:v>
                </c:pt>
                <c:pt idx="92">
                  <c:v>7.4115384615384601</c:v>
                </c:pt>
                <c:pt idx="93">
                  <c:v>7.4269230769230798</c:v>
                </c:pt>
                <c:pt idx="94">
                  <c:v>7.3961538461538501</c:v>
                </c:pt>
                <c:pt idx="95">
                  <c:v>7.3961538461538501</c:v>
                </c:pt>
                <c:pt idx="96">
                  <c:v>7.3961538461538501</c:v>
                </c:pt>
                <c:pt idx="97">
                  <c:v>7.3961538461538501</c:v>
                </c:pt>
                <c:pt idx="98">
                  <c:v>7.3961538461538501</c:v>
                </c:pt>
                <c:pt idx="99">
                  <c:v>7.3961538461538501</c:v>
                </c:pt>
                <c:pt idx="100">
                  <c:v>7.3961538461538501</c:v>
                </c:pt>
                <c:pt idx="101">
                  <c:v>7.4038461538461604</c:v>
                </c:pt>
                <c:pt idx="102">
                  <c:v>7.4038461538461604</c:v>
                </c:pt>
                <c:pt idx="103">
                  <c:v>7.39230769230769</c:v>
                </c:pt>
                <c:pt idx="104">
                  <c:v>7.3846153846153904</c:v>
                </c:pt>
                <c:pt idx="105">
                  <c:v>7.3846153846153904</c:v>
                </c:pt>
                <c:pt idx="106">
                  <c:v>7.3846153846153904</c:v>
                </c:pt>
                <c:pt idx="107">
                  <c:v>7.3846153846153904</c:v>
                </c:pt>
                <c:pt idx="108">
                  <c:v>7.4</c:v>
                </c:pt>
                <c:pt idx="109">
                  <c:v>7.4076923076923098</c:v>
                </c:pt>
                <c:pt idx="110">
                  <c:v>7.4076923076923098</c:v>
                </c:pt>
                <c:pt idx="111">
                  <c:v>7.4153846153846201</c:v>
                </c:pt>
                <c:pt idx="112">
                  <c:v>7.5269230769230804</c:v>
                </c:pt>
                <c:pt idx="113">
                  <c:v>7.5423076923076904</c:v>
                </c:pt>
                <c:pt idx="114">
                  <c:v>7.5307692307692298</c:v>
                </c:pt>
                <c:pt idx="115">
                  <c:v>7.5923076923076902</c:v>
                </c:pt>
                <c:pt idx="116">
                  <c:v>7.5615384615384604</c:v>
                </c:pt>
                <c:pt idx="117">
                  <c:v>7.5615384615384604</c:v>
                </c:pt>
                <c:pt idx="118">
                  <c:v>7.5461538461538504</c:v>
                </c:pt>
                <c:pt idx="119">
                  <c:v>7.5461538461538504</c:v>
                </c:pt>
                <c:pt idx="120">
                  <c:v>7.5461538461538504</c:v>
                </c:pt>
                <c:pt idx="121">
                  <c:v>7.5538461538461501</c:v>
                </c:pt>
                <c:pt idx="122">
                  <c:v>7.5461538461538504</c:v>
                </c:pt>
                <c:pt idx="123">
                  <c:v>7.5461538461538504</c:v>
                </c:pt>
                <c:pt idx="124">
                  <c:v>7.5538461538461501</c:v>
                </c:pt>
                <c:pt idx="125">
                  <c:v>7.5538461538461501</c:v>
                </c:pt>
                <c:pt idx="126">
                  <c:v>7.6153846153846203</c:v>
                </c:pt>
                <c:pt idx="127">
                  <c:v>7.6384615384615397</c:v>
                </c:pt>
                <c:pt idx="128">
                  <c:v>7.6538461538461497</c:v>
                </c:pt>
                <c:pt idx="129">
                  <c:v>7.6923076923076898</c:v>
                </c:pt>
                <c:pt idx="130">
                  <c:v>7.6923076923076898</c:v>
                </c:pt>
                <c:pt idx="131">
                  <c:v>7.7</c:v>
                </c:pt>
                <c:pt idx="132">
                  <c:v>7.7</c:v>
                </c:pt>
                <c:pt idx="133">
                  <c:v>7.7230769230769196</c:v>
                </c:pt>
                <c:pt idx="134">
                  <c:v>7.7230769230769196</c:v>
                </c:pt>
                <c:pt idx="135">
                  <c:v>7.7230769230769196</c:v>
                </c:pt>
                <c:pt idx="136">
                  <c:v>7.7230769230769196</c:v>
                </c:pt>
                <c:pt idx="137">
                  <c:v>7.7230769230769196</c:v>
                </c:pt>
                <c:pt idx="138">
                  <c:v>7.7230769230769196</c:v>
                </c:pt>
                <c:pt idx="139">
                  <c:v>7.7384615384615403</c:v>
                </c:pt>
                <c:pt idx="140">
                  <c:v>7.7384615384615403</c:v>
                </c:pt>
                <c:pt idx="141">
                  <c:v>7.7384615384615403</c:v>
                </c:pt>
                <c:pt idx="142">
                  <c:v>7.7807692307692298</c:v>
                </c:pt>
                <c:pt idx="143">
                  <c:v>7.7961538461538504</c:v>
                </c:pt>
                <c:pt idx="144">
                  <c:v>7.7961538461538504</c:v>
                </c:pt>
                <c:pt idx="145">
                  <c:v>7.8807692307692303</c:v>
                </c:pt>
                <c:pt idx="146">
                  <c:v>7.8961538461538501</c:v>
                </c:pt>
                <c:pt idx="147">
                  <c:v>7.9730769230769196</c:v>
                </c:pt>
                <c:pt idx="148">
                  <c:v>8.0500000000000007</c:v>
                </c:pt>
                <c:pt idx="149">
                  <c:v>8.0346153846153907</c:v>
                </c:pt>
                <c:pt idx="150">
                  <c:v>8.0346153846153907</c:v>
                </c:pt>
                <c:pt idx="151">
                  <c:v>8.0884615384615408</c:v>
                </c:pt>
                <c:pt idx="152">
                  <c:v>8.1269230769230791</c:v>
                </c:pt>
                <c:pt idx="153">
                  <c:v>8.1269230769230791</c:v>
                </c:pt>
                <c:pt idx="154">
                  <c:v>8.1115384615384603</c:v>
                </c:pt>
                <c:pt idx="155">
                  <c:v>8.1423076923076891</c:v>
                </c:pt>
                <c:pt idx="156">
                  <c:v>8.1423076923076891</c:v>
                </c:pt>
                <c:pt idx="157">
                  <c:v>8.1576923076923098</c:v>
                </c:pt>
                <c:pt idx="158">
                  <c:v>8.1423076923076891</c:v>
                </c:pt>
                <c:pt idx="159">
                  <c:v>8.1423076923076891</c:v>
                </c:pt>
                <c:pt idx="160">
                  <c:v>8.1423076923076891</c:v>
                </c:pt>
                <c:pt idx="161">
                  <c:v>8.1423076923076891</c:v>
                </c:pt>
                <c:pt idx="162">
                  <c:v>8.1423076923076891</c:v>
                </c:pt>
                <c:pt idx="163">
                  <c:v>8.1423076923076891</c:v>
                </c:pt>
                <c:pt idx="164">
                  <c:v>8.1384615384615397</c:v>
                </c:pt>
                <c:pt idx="165">
                  <c:v>8.1384615384615397</c:v>
                </c:pt>
                <c:pt idx="166">
                  <c:v>8.1307692307692303</c:v>
                </c:pt>
                <c:pt idx="167">
                  <c:v>8.1307692307692303</c:v>
                </c:pt>
                <c:pt idx="168">
                  <c:v>8.1307692307692303</c:v>
                </c:pt>
                <c:pt idx="169">
                  <c:v>8.1307692307692303</c:v>
                </c:pt>
                <c:pt idx="170">
                  <c:v>8.1307692307692303</c:v>
                </c:pt>
                <c:pt idx="171">
                  <c:v>8.1307692307692303</c:v>
                </c:pt>
                <c:pt idx="172">
                  <c:v>8.1307692307692303</c:v>
                </c:pt>
                <c:pt idx="173">
                  <c:v>8.1230769230769209</c:v>
                </c:pt>
                <c:pt idx="174">
                  <c:v>8.1346153846153904</c:v>
                </c:pt>
                <c:pt idx="175">
                  <c:v>8.1346153846153904</c:v>
                </c:pt>
                <c:pt idx="176">
                  <c:v>8.1346153846153904</c:v>
                </c:pt>
                <c:pt idx="177">
                  <c:v>8.1038461538461508</c:v>
                </c:pt>
                <c:pt idx="178">
                  <c:v>8.1346153846153904</c:v>
                </c:pt>
                <c:pt idx="179">
                  <c:v>8.1346153846153904</c:v>
                </c:pt>
                <c:pt idx="180">
                  <c:v>8.1346153846153904</c:v>
                </c:pt>
                <c:pt idx="181">
                  <c:v>8.1346153846153904</c:v>
                </c:pt>
                <c:pt idx="182">
                  <c:v>8.1346153846153904</c:v>
                </c:pt>
                <c:pt idx="183">
                  <c:v>8.15</c:v>
                </c:pt>
                <c:pt idx="184">
                  <c:v>8.15</c:v>
                </c:pt>
                <c:pt idx="185">
                  <c:v>8.15</c:v>
                </c:pt>
                <c:pt idx="186">
                  <c:v>8.1653846153846192</c:v>
                </c:pt>
                <c:pt idx="187">
                  <c:v>8.2269230769230806</c:v>
                </c:pt>
                <c:pt idx="188">
                  <c:v>8.2653846153846207</c:v>
                </c:pt>
                <c:pt idx="189">
                  <c:v>8.2615384615384606</c:v>
                </c:pt>
                <c:pt idx="190">
                  <c:v>8.2692307692307701</c:v>
                </c:pt>
                <c:pt idx="191">
                  <c:v>8.2692307692307701</c:v>
                </c:pt>
                <c:pt idx="192">
                  <c:v>8.2692307692307701</c:v>
                </c:pt>
                <c:pt idx="193">
                  <c:v>8.2692307692307701</c:v>
                </c:pt>
                <c:pt idx="194">
                  <c:v>8.2692307692307701</c:v>
                </c:pt>
                <c:pt idx="195">
                  <c:v>8.2692307692307701</c:v>
                </c:pt>
                <c:pt idx="196">
                  <c:v>8.2692307692307701</c:v>
                </c:pt>
                <c:pt idx="197">
                  <c:v>8.2769230769230795</c:v>
                </c:pt>
                <c:pt idx="198">
                  <c:v>8.2769230769230795</c:v>
                </c:pt>
                <c:pt idx="199">
                  <c:v>8.3000000000000007</c:v>
                </c:pt>
                <c:pt idx="200">
                  <c:v>8.3000000000000007</c:v>
                </c:pt>
                <c:pt idx="201">
                  <c:v>8.3000000000000007</c:v>
                </c:pt>
                <c:pt idx="202">
                  <c:v>8.3038461538461608</c:v>
                </c:pt>
                <c:pt idx="203">
                  <c:v>8.3076923076923102</c:v>
                </c:pt>
                <c:pt idx="204">
                  <c:v>8.3153846153846107</c:v>
                </c:pt>
                <c:pt idx="205">
                  <c:v>8.3153846153846107</c:v>
                </c:pt>
                <c:pt idx="206">
                  <c:v>8.3153846153846107</c:v>
                </c:pt>
                <c:pt idx="207">
                  <c:v>8.3153846153846107</c:v>
                </c:pt>
                <c:pt idx="208">
                  <c:v>8.3153846153846107</c:v>
                </c:pt>
                <c:pt idx="209">
                  <c:v>8.3153846153846107</c:v>
                </c:pt>
                <c:pt idx="210">
                  <c:v>8.3076923076923102</c:v>
                </c:pt>
                <c:pt idx="211">
                  <c:v>8.3115384615384595</c:v>
                </c:pt>
                <c:pt idx="212">
                  <c:v>8.3115384615384595</c:v>
                </c:pt>
                <c:pt idx="213">
                  <c:v>8.3269230769230802</c:v>
                </c:pt>
                <c:pt idx="214">
                  <c:v>8.3192307692307708</c:v>
                </c:pt>
                <c:pt idx="215">
                  <c:v>8.3192307692307708</c:v>
                </c:pt>
                <c:pt idx="216">
                  <c:v>8.3192307692307708</c:v>
                </c:pt>
                <c:pt idx="217">
                  <c:v>8.3192307692307708</c:v>
                </c:pt>
                <c:pt idx="218">
                  <c:v>8.3192307692307708</c:v>
                </c:pt>
                <c:pt idx="219">
                  <c:v>8.3192307692307708</c:v>
                </c:pt>
                <c:pt idx="220">
                  <c:v>8.3192307692307708</c:v>
                </c:pt>
                <c:pt idx="221">
                  <c:v>8.3192307692307708</c:v>
                </c:pt>
                <c:pt idx="222">
                  <c:v>8.3192307692307708</c:v>
                </c:pt>
                <c:pt idx="223">
                  <c:v>8.3192307692307708</c:v>
                </c:pt>
                <c:pt idx="224">
                  <c:v>8.3192307692307708</c:v>
                </c:pt>
                <c:pt idx="225">
                  <c:v>8.3192307692307708</c:v>
                </c:pt>
                <c:pt idx="226">
                  <c:v>8.3192307692307708</c:v>
                </c:pt>
                <c:pt idx="227">
                  <c:v>8.3192307692307708</c:v>
                </c:pt>
                <c:pt idx="228">
                  <c:v>8.3192307692307708</c:v>
                </c:pt>
                <c:pt idx="229">
                  <c:v>8.35</c:v>
                </c:pt>
                <c:pt idx="230">
                  <c:v>8.35</c:v>
                </c:pt>
                <c:pt idx="231">
                  <c:v>8.35</c:v>
                </c:pt>
                <c:pt idx="232">
                  <c:v>8.4115384615384592</c:v>
                </c:pt>
                <c:pt idx="233">
                  <c:v>8.4115384615384592</c:v>
                </c:pt>
                <c:pt idx="234">
                  <c:v>8.4115384615384592</c:v>
                </c:pt>
                <c:pt idx="235">
                  <c:v>8.4115384615384592</c:v>
                </c:pt>
                <c:pt idx="236">
                  <c:v>8.4115384615384592</c:v>
                </c:pt>
                <c:pt idx="237">
                  <c:v>8.4115384615384592</c:v>
                </c:pt>
                <c:pt idx="238">
                  <c:v>8.4115384615384592</c:v>
                </c:pt>
                <c:pt idx="239">
                  <c:v>8.4115384615384592</c:v>
                </c:pt>
                <c:pt idx="240">
                  <c:v>8.4115384615384592</c:v>
                </c:pt>
                <c:pt idx="241">
                  <c:v>8.4115384615384592</c:v>
                </c:pt>
                <c:pt idx="242">
                  <c:v>8.4115384615384592</c:v>
                </c:pt>
                <c:pt idx="243">
                  <c:v>8.4115384615384592</c:v>
                </c:pt>
                <c:pt idx="244">
                  <c:v>8.4115384615384592</c:v>
                </c:pt>
                <c:pt idx="245">
                  <c:v>8.4115384615384592</c:v>
                </c:pt>
                <c:pt idx="246">
                  <c:v>8.4115384615384592</c:v>
                </c:pt>
                <c:pt idx="247">
                  <c:v>8.4115384615384592</c:v>
                </c:pt>
                <c:pt idx="248">
                  <c:v>8.4115384615384592</c:v>
                </c:pt>
                <c:pt idx="249">
                  <c:v>8.4115384615384592</c:v>
                </c:pt>
                <c:pt idx="250">
                  <c:v>8.4115384615384592</c:v>
                </c:pt>
                <c:pt idx="251">
                  <c:v>8.4115384615384592</c:v>
                </c:pt>
                <c:pt idx="252">
                  <c:v>8.3961538461538492</c:v>
                </c:pt>
              </c:numCache>
            </c:numRef>
          </c:val>
          <c:smooth val="0"/>
          <c:extLst>
            <c:ext xmlns:c16="http://schemas.microsoft.com/office/drawing/2014/chart" uri="{C3380CC4-5D6E-409C-BE32-E72D297353CC}">
              <c16:uniqueId val="{0000000B-04D4-46FF-8191-A9E833E2AABC}"/>
            </c:ext>
          </c:extLst>
        </c:ser>
        <c:dLbls>
          <c:showLegendKey val="0"/>
          <c:showVal val="0"/>
          <c:showCatName val="0"/>
          <c:showSerName val="0"/>
          <c:showPercent val="0"/>
          <c:showBubbleSize val="0"/>
        </c:dLbls>
        <c:smooth val="0"/>
        <c:axId val="1855927728"/>
        <c:axId val="1855927248"/>
        <c:extLst/>
      </c:lineChart>
      <c:dateAx>
        <c:axId val="1855927728"/>
        <c:scaling>
          <c:orientation val="minMax"/>
        </c:scaling>
        <c:delete val="0"/>
        <c:axPos val="b"/>
        <c:numFmt formatCode="[$-409]d\-mmm;@"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55927248"/>
        <c:crosses val="autoZero"/>
        <c:auto val="1"/>
        <c:lblOffset val="100"/>
        <c:baseTimeUnit val="days"/>
        <c:majorUnit val="2"/>
      </c:dateAx>
      <c:valAx>
        <c:axId val="1855927248"/>
        <c:scaling>
          <c:orientation val="minMax"/>
          <c:min val="4.5"/>
        </c:scaling>
        <c:delete val="0"/>
        <c:axPos val="l"/>
        <c:majorGridlines>
          <c:spPr>
            <a:ln w="9525" cap="flat" cmpd="sng" algn="ctr">
              <a:solidFill>
                <a:schemeClr val="tx1">
                  <a:lumMod val="15000"/>
                  <a:lumOff val="85000"/>
                </a:schemeClr>
              </a:solidFill>
              <a:round/>
            </a:ln>
            <a:effectLst/>
          </c:spPr>
        </c:majorGridlines>
        <c:numFmt formatCode="_(* #,##0.00_);_(* \(#,##0.00\);_(* &quot;-&quot;??_);_(@_)"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55927728"/>
        <c:crosses val="autoZero"/>
        <c:crossBetween val="between"/>
        <c:majorUnit val="0.5"/>
        <c:minorUnit val="0.1"/>
      </c:valAx>
      <c:spPr>
        <a:noFill/>
        <a:ln>
          <a:noFill/>
        </a:ln>
        <a:effectLst/>
      </c:spPr>
    </c:plotArea>
    <c:legend>
      <c:legendPos val="b"/>
      <c:overlay val="0"/>
      <c:spPr>
        <a:noFill/>
        <a:ln w="0" cap="flat">
          <a:noFill/>
          <a:round/>
        </a:ln>
        <a:effectLst/>
      </c:spPr>
      <c:txPr>
        <a:bodyPr rot="0" spcFirstLastPara="1" vertOverflow="ellipsis" vert="horz" wrap="square" anchor="ctr" anchorCtr="1"/>
        <a:lstStyle/>
        <a:p>
          <a:pPr>
            <a:defRPr sz="10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sz="10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a:t>
            </a:r>
            <a:r>
              <a:rPr lang="en-US" baseline="0"/>
              <a:t> sánh 2 đường curve ngày 6/8/2025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chart!$A$2</c:f>
              <c:strCache>
                <c:ptCount val="1"/>
                <c:pt idx="0">
                  <c:v>FI Bond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chart!$B$1:$AR$1</c15:sqref>
                  </c15:fullRef>
                </c:ext>
              </c:extLst>
              <c:f>(chart!$F$1,chart!$I$1,chart!$L$1,chart!$O$1:$Q$1)</c:f>
              <c:strCache>
                <c:ptCount val="6"/>
                <c:pt idx="0">
                  <c:v> 3 Months</c:v>
                </c:pt>
                <c:pt idx="1">
                  <c:v> 6 Months</c:v>
                </c:pt>
                <c:pt idx="2">
                  <c:v> 9 Months</c:v>
                </c:pt>
                <c:pt idx="3">
                  <c:v> 1 Year</c:v>
                </c:pt>
                <c:pt idx="4">
                  <c:v> 2 Years</c:v>
                </c:pt>
                <c:pt idx="5">
                  <c:v> 3 Years</c:v>
                </c:pt>
              </c:strCache>
            </c:strRef>
          </c:cat>
          <c:val>
            <c:numRef>
              <c:extLst>
                <c:ext xmlns:c15="http://schemas.microsoft.com/office/drawing/2012/chart" uri="{02D57815-91ED-43cb-92C2-25804820EDAC}">
                  <c15:fullRef>
                    <c15:sqref>chart!$B$2:$AR$2</c15:sqref>
                  </c15:fullRef>
                </c:ext>
              </c:extLst>
              <c:f>(chart!$F$2,chart!$I$2,chart!$L$2,chart!$O$2:$Q$2)</c:f>
              <c:numCache>
                <c:formatCode>General</c:formatCode>
                <c:ptCount val="6"/>
                <c:pt idx="0">
                  <c:v>5.0025000000000004</c:v>
                </c:pt>
                <c:pt idx="1">
                  <c:v>5.0057689999999999</c:v>
                </c:pt>
                <c:pt idx="2">
                  <c:v>5.1192310000000001</c:v>
                </c:pt>
                <c:pt idx="3">
                  <c:v>5.211538</c:v>
                </c:pt>
                <c:pt idx="4">
                  <c:v>5.5615379999999996</c:v>
                </c:pt>
                <c:pt idx="5">
                  <c:v>5.961538</c:v>
                </c:pt>
              </c:numCache>
            </c:numRef>
          </c:val>
          <c:smooth val="1"/>
          <c:extLst>
            <c:ext xmlns:c16="http://schemas.microsoft.com/office/drawing/2014/chart" uri="{C3380CC4-5D6E-409C-BE32-E72D297353CC}">
              <c16:uniqueId val="{00000000-6CDD-4FD0-8871-47FA3917DE5A}"/>
            </c:ext>
          </c:extLst>
        </c:ser>
        <c:ser>
          <c:idx val="1"/>
          <c:order val="1"/>
          <c:tx>
            <c:strRef>
              <c:f>chart!$A$3</c:f>
              <c:strCache>
                <c:ptCount val="1"/>
                <c:pt idx="0">
                  <c:v>Gov Bond +50bps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chart!$B$1:$AR$1</c15:sqref>
                  </c15:fullRef>
                </c:ext>
              </c:extLst>
              <c:f>(chart!$F$1,chart!$I$1,chart!$L$1,chart!$O$1:$Q$1)</c:f>
              <c:strCache>
                <c:ptCount val="6"/>
                <c:pt idx="0">
                  <c:v> 3 Months</c:v>
                </c:pt>
                <c:pt idx="1">
                  <c:v> 6 Months</c:v>
                </c:pt>
                <c:pt idx="2">
                  <c:v> 9 Months</c:v>
                </c:pt>
                <c:pt idx="3">
                  <c:v> 1 Year</c:v>
                </c:pt>
                <c:pt idx="4">
                  <c:v> 2 Years</c:v>
                </c:pt>
                <c:pt idx="5">
                  <c:v> 3 Years</c:v>
                </c:pt>
              </c:strCache>
            </c:strRef>
          </c:cat>
          <c:val>
            <c:numRef>
              <c:extLst>
                <c:ext xmlns:c15="http://schemas.microsoft.com/office/drawing/2012/chart" uri="{02D57815-91ED-43cb-92C2-25804820EDAC}">
                  <c15:fullRef>
                    <c15:sqref>chart!$B$3:$AR$3</c15:sqref>
                  </c15:fullRef>
                </c:ext>
              </c:extLst>
              <c:f>(chart!$F$3,chart!$I$3,chart!$L$3,chart!$O$3:$Q$3)</c:f>
              <c:numCache>
                <c:formatCode>General</c:formatCode>
                <c:ptCount val="6"/>
                <c:pt idx="0">
                  <c:v>2.8628999999999998</c:v>
                </c:pt>
                <c:pt idx="1">
                  <c:v>2.9893000000000001</c:v>
                </c:pt>
                <c:pt idx="2">
                  <c:v>3.0125000000000002</c:v>
                </c:pt>
                <c:pt idx="3">
                  <c:v>2.8479999999999999</c:v>
                </c:pt>
                <c:pt idx="4">
                  <c:v>2.89</c:v>
                </c:pt>
                <c:pt idx="5">
                  <c:v>2.9710000000000001</c:v>
                </c:pt>
              </c:numCache>
            </c:numRef>
          </c:val>
          <c:smooth val="1"/>
          <c:extLst>
            <c:ext xmlns:c16="http://schemas.microsoft.com/office/drawing/2014/chart" uri="{C3380CC4-5D6E-409C-BE32-E72D297353CC}">
              <c16:uniqueId val="{00000001-6CDD-4FD0-8871-47FA3917DE5A}"/>
            </c:ext>
          </c:extLst>
        </c:ser>
        <c:dLbls>
          <c:showLegendKey val="0"/>
          <c:showVal val="0"/>
          <c:showCatName val="0"/>
          <c:showSerName val="0"/>
          <c:showPercent val="0"/>
          <c:showBubbleSize val="0"/>
        </c:dLbls>
        <c:marker val="1"/>
        <c:smooth val="0"/>
        <c:axId val="2143441024"/>
        <c:axId val="2143431904"/>
      </c:lineChart>
      <c:catAx>
        <c:axId val="214344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431904"/>
        <c:crosses val="autoZero"/>
        <c:auto val="1"/>
        <c:lblAlgn val="ctr"/>
        <c:lblOffset val="100"/>
        <c:noMultiLvlLbl val="0"/>
      </c:catAx>
      <c:valAx>
        <c:axId val="214343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441024"/>
        <c:crosses val="autoZero"/>
        <c:crossBetween val="between"/>
      </c:valAx>
      <c:spPr>
        <a:noFill/>
        <a:ln>
          <a:noFill/>
        </a:ln>
        <a:effectLst/>
      </c:spPr>
    </c:plotArea>
    <c:legend>
      <c:legendPos val="b"/>
      <c:overlay val="0"/>
      <c:spPr>
        <a:noFill/>
        <a:ln>
          <a:solidFill>
            <a:schemeClr val="accent1">
              <a:alpha val="96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_rels/data1.xml.rels><?xml version="1.0" encoding="UTF-8" standalone="yes"?>
<Relationships xmlns="http://schemas.openxmlformats.org/package/2006/relationships"><Relationship Id="rId8" Type="http://schemas.openxmlformats.org/officeDocument/2006/relationships/hyperlink" Target="#'Repo'!A1"/><Relationship Id="rId13" Type="http://schemas.openxmlformats.org/officeDocument/2006/relationships/hyperlink" Target="#'His53'!A1"/><Relationship Id="rId3" Type="http://schemas.openxmlformats.org/officeDocument/2006/relationships/hyperlink" Target="#Report!A1"/><Relationship Id="rId7" Type="http://schemas.openxmlformats.org/officeDocument/2006/relationships/hyperlink" Target="#AllDealps!A1"/><Relationship Id="rId12" Type="http://schemas.openxmlformats.org/officeDocument/2006/relationships/hyperlink" Target="#Runtool!A1"/><Relationship Id="rId2" Type="http://schemas.openxmlformats.org/officeDocument/2006/relationships/hyperlink" Target="#Summary!A1"/><Relationship Id="rId1" Type="http://schemas.openxmlformats.org/officeDocument/2006/relationships/hyperlink" Target="#Ref!A1"/><Relationship Id="rId6" Type="http://schemas.openxmlformats.org/officeDocument/2006/relationships/hyperlink" Target="#GL!A1"/><Relationship Id="rId11" Type="http://schemas.openxmlformats.org/officeDocument/2006/relationships/hyperlink" Target="#DataTT!A1"/><Relationship Id="rId5" Type="http://schemas.openxmlformats.org/officeDocument/2006/relationships/hyperlink" Target="#Upload53!A1"/><Relationship Id="rId10" Type="http://schemas.openxmlformats.org/officeDocument/2006/relationships/hyperlink" Target="#Rating!A1"/><Relationship Id="rId4" Type="http://schemas.openxmlformats.org/officeDocument/2006/relationships/hyperlink" Target="#FNRP!A1"/><Relationship Id="rId9" Type="http://schemas.openxmlformats.org/officeDocument/2006/relationships/hyperlink" Target="#RPBOD3!A1"/></Relationships>
</file>

<file path=xl/diagrams/colors1.xml><?xml version="1.0" encoding="utf-8"?>
<dgm:colorsDef xmlns:dgm="http://schemas.openxmlformats.org/drawingml/2006/diagram" xmlns:a="http://schemas.openxmlformats.org/drawingml/2006/main" uniqueId="urn:microsoft.com/office/officeart/2005/8/colors/accent1_2#4">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5">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5D613038-8DFA-4240-AB6D-A4A143B3FCD3}" type="doc">
      <dgm:prSet loTypeId="urn:microsoft.com/office/officeart/2005/8/layout/hierarchy3" loCatId="hierarchy" qsTypeId="urn:microsoft.com/office/officeart/2005/8/quickstyle/simple1#5" qsCatId="simple" csTypeId="urn:microsoft.com/office/officeart/2005/8/colors/accent1_2#4" csCatId="accent1" phldr="1"/>
      <dgm:spPr/>
      <dgm:t>
        <a:bodyPr/>
        <a:lstStyle/>
        <a:p>
          <a:endParaRPr lang="en-US"/>
        </a:p>
      </dgm:t>
    </dgm:pt>
    <dgm:pt modelId="{5C167686-6C7A-44F5-81D4-AEF7C87A8E7D}">
      <dgm:prSet phldrT="[Text]"/>
      <dgm:spPr/>
      <dgm:t>
        <a:bodyPr/>
        <a:lstStyle/>
        <a:p>
          <a:r>
            <a:rPr lang="en-US"/>
            <a:t>Vận hành</a:t>
          </a:r>
        </a:p>
      </dgm:t>
    </dgm:pt>
    <dgm:pt modelId="{9D622567-D112-4EB3-BCF6-A542145119F7}" type="parTrans" cxnId="{9300D923-7760-4EC0-8D35-D05E7475591B}">
      <dgm:prSet/>
      <dgm:spPr/>
      <dgm:t>
        <a:bodyPr/>
        <a:lstStyle/>
        <a:p>
          <a:endParaRPr lang="en-US"/>
        </a:p>
      </dgm:t>
    </dgm:pt>
    <dgm:pt modelId="{A6CD0787-83C3-4DB2-AE9A-BC6B80CACCF7}" type="sibTrans" cxnId="{9300D923-7760-4EC0-8D35-D05E7475591B}">
      <dgm:prSet/>
      <dgm:spPr/>
      <dgm:t>
        <a:bodyPr/>
        <a:lstStyle/>
        <a:p>
          <a:endParaRPr lang="en-US"/>
        </a:p>
      </dgm:t>
    </dgm:pt>
    <dgm:pt modelId="{56E1ADFE-96F9-4E7F-9094-A06E23A044EC}">
      <dgm:prSet phldrT="[Text]"/>
      <dgm:spPr/>
      <dgm:t>
        <a:bodyPr/>
        <a:lstStyle/>
        <a:p>
          <a:r>
            <a:rPr lang="en-US"/>
            <a:t>Ref: tham chiếu</a:t>
          </a:r>
        </a:p>
      </dgm:t>
      <dgm:extLst>
        <a:ext uri="{E40237B7-FDA0-4F09-8148-C483321AD2D9}">
          <dgm14:cNvPr xmlns:dgm14="http://schemas.microsoft.com/office/drawing/2010/diagram" id="0" name="">
            <a:hlinkClick xmlns:r="http://schemas.openxmlformats.org/officeDocument/2006/relationships" r:id="rId1"/>
          </dgm14:cNvPr>
        </a:ext>
      </dgm:extLst>
    </dgm:pt>
    <dgm:pt modelId="{542103CA-CB91-4728-88B3-6001D9BE5A35}" type="parTrans" cxnId="{4864CAF9-3DCE-4F49-A6A9-B72A9D843EC8}">
      <dgm:prSet/>
      <dgm:spPr/>
      <dgm:t>
        <a:bodyPr/>
        <a:lstStyle/>
        <a:p>
          <a:endParaRPr lang="en-US"/>
        </a:p>
      </dgm:t>
    </dgm:pt>
    <dgm:pt modelId="{8576EC12-8085-48CF-8CC0-2EFFA6BDD16A}" type="sibTrans" cxnId="{4864CAF9-3DCE-4F49-A6A9-B72A9D843EC8}">
      <dgm:prSet/>
      <dgm:spPr/>
      <dgm:t>
        <a:bodyPr/>
        <a:lstStyle/>
        <a:p>
          <a:endParaRPr lang="en-US"/>
        </a:p>
      </dgm:t>
    </dgm:pt>
    <dgm:pt modelId="{DC59F939-9ECF-4636-BE6A-637F9217A3C3}">
      <dgm:prSet phldrT="[Text]"/>
      <dgm:spPr/>
      <dgm:t>
        <a:bodyPr/>
        <a:lstStyle/>
        <a:p>
          <a:r>
            <a:rPr lang="en-US"/>
            <a:t>Phân tích &amp; Report</a:t>
          </a:r>
        </a:p>
      </dgm:t>
    </dgm:pt>
    <dgm:pt modelId="{AA387BE2-45AE-479E-9843-57998FB6EF83}" type="parTrans" cxnId="{78AE4DC6-7F0E-43B8-BC59-9CD664B47496}">
      <dgm:prSet/>
      <dgm:spPr/>
      <dgm:t>
        <a:bodyPr/>
        <a:lstStyle/>
        <a:p>
          <a:endParaRPr lang="en-US"/>
        </a:p>
      </dgm:t>
    </dgm:pt>
    <dgm:pt modelId="{CF6CA1AA-CE86-4583-A343-FA7AA57C446F}" type="sibTrans" cxnId="{78AE4DC6-7F0E-43B8-BC59-9CD664B47496}">
      <dgm:prSet/>
      <dgm:spPr/>
      <dgm:t>
        <a:bodyPr/>
        <a:lstStyle/>
        <a:p>
          <a:endParaRPr lang="en-US"/>
        </a:p>
      </dgm:t>
    </dgm:pt>
    <dgm:pt modelId="{B3D9CB4D-CB6C-4848-AD65-41291579FF77}">
      <dgm:prSet phldrT="[Text]"/>
      <dgm:spPr>
        <a:solidFill>
          <a:srgbClr val="C00000">
            <a:alpha val="90000"/>
          </a:srgbClr>
        </a:solidFill>
      </dgm:spPr>
      <dgm:t>
        <a:bodyPr/>
        <a:lstStyle/>
        <a:p>
          <a:r>
            <a:rPr lang="en-US" b="1">
              <a:solidFill>
                <a:schemeClr val="bg1"/>
              </a:solidFill>
            </a:rPr>
            <a:t>Summary: Tính toán chỉ số</a:t>
          </a:r>
        </a:p>
      </dgm:t>
      <dgm:extLst>
        <a:ext uri="{E40237B7-FDA0-4F09-8148-C483321AD2D9}">
          <dgm14:cNvPr xmlns:dgm14="http://schemas.microsoft.com/office/drawing/2010/diagram" id="0" name="">
            <a:hlinkClick xmlns:r="http://schemas.openxmlformats.org/officeDocument/2006/relationships" r:id="rId2"/>
          </dgm14:cNvPr>
        </a:ext>
      </dgm:extLst>
    </dgm:pt>
    <dgm:pt modelId="{1A6A1D49-FE7F-4D3F-A931-15820987AD11}" type="parTrans" cxnId="{7E34A9C1-8CA2-4A78-8B96-E41F526482B5}">
      <dgm:prSet/>
      <dgm:spPr/>
      <dgm:t>
        <a:bodyPr/>
        <a:lstStyle/>
        <a:p>
          <a:endParaRPr lang="en-US"/>
        </a:p>
      </dgm:t>
    </dgm:pt>
    <dgm:pt modelId="{250F3299-FBAD-4FF0-BD74-5DDAD90F5296}" type="sibTrans" cxnId="{7E34A9C1-8CA2-4A78-8B96-E41F526482B5}">
      <dgm:prSet/>
      <dgm:spPr/>
      <dgm:t>
        <a:bodyPr/>
        <a:lstStyle/>
        <a:p>
          <a:endParaRPr lang="en-US"/>
        </a:p>
      </dgm:t>
    </dgm:pt>
    <dgm:pt modelId="{29F1F443-E691-48B3-BE64-7E89DA3F8E4C}">
      <dgm:prSet phldrT="[Text]"/>
      <dgm:spPr>
        <a:solidFill>
          <a:srgbClr val="C00000">
            <a:alpha val="90000"/>
          </a:srgbClr>
        </a:solidFill>
      </dgm:spPr>
      <dgm:t>
        <a:bodyPr/>
        <a:lstStyle/>
        <a:p>
          <a:r>
            <a:rPr lang="en-US" b="1">
              <a:solidFill>
                <a:schemeClr val="bg1"/>
              </a:solidFill>
            </a:rPr>
            <a:t>Report: Mặt báo cáo</a:t>
          </a:r>
        </a:p>
      </dgm:t>
      <dgm:extLst>
        <a:ext uri="{E40237B7-FDA0-4F09-8148-C483321AD2D9}">
          <dgm14:cNvPr xmlns:dgm14="http://schemas.microsoft.com/office/drawing/2010/diagram" id="0" name="">
            <a:hlinkClick xmlns:r="http://schemas.openxmlformats.org/officeDocument/2006/relationships" r:id="rId3"/>
          </dgm14:cNvPr>
        </a:ext>
      </dgm:extLst>
    </dgm:pt>
    <dgm:pt modelId="{03FE0041-952A-4989-B14D-3056A237B949}" type="parTrans" cxnId="{8D650EE8-A0F4-4B09-B699-117E1318C7FB}">
      <dgm:prSet/>
      <dgm:spPr/>
      <dgm:t>
        <a:bodyPr/>
        <a:lstStyle/>
        <a:p>
          <a:endParaRPr lang="en-US"/>
        </a:p>
      </dgm:t>
    </dgm:pt>
    <dgm:pt modelId="{464A6941-A89B-49B4-983A-FFC8CEEDB065}" type="sibTrans" cxnId="{8D650EE8-A0F4-4B09-B699-117E1318C7FB}">
      <dgm:prSet/>
      <dgm:spPr/>
      <dgm:t>
        <a:bodyPr/>
        <a:lstStyle/>
        <a:p>
          <a:endParaRPr lang="en-US"/>
        </a:p>
      </dgm:t>
    </dgm:pt>
    <dgm:pt modelId="{E4104061-7C52-4F3F-A102-E2390E38363B}">
      <dgm:prSet phldrT="[Text]"/>
      <dgm:spPr/>
      <dgm:t>
        <a:bodyPr/>
        <a:lstStyle/>
        <a:p>
          <a:r>
            <a:rPr lang="en-US"/>
            <a:t>Input</a:t>
          </a:r>
        </a:p>
      </dgm:t>
    </dgm:pt>
    <dgm:pt modelId="{04DD6A0F-1592-460A-8526-D0AAFD0E4D23}" type="parTrans" cxnId="{6A95AEF3-C74B-4754-A5A0-653315EA8038}">
      <dgm:prSet/>
      <dgm:spPr/>
      <dgm:t>
        <a:bodyPr/>
        <a:lstStyle/>
        <a:p>
          <a:endParaRPr lang="en-US"/>
        </a:p>
      </dgm:t>
    </dgm:pt>
    <dgm:pt modelId="{5DFE5A4F-773A-4640-A23C-A82872E5DCC4}" type="sibTrans" cxnId="{6A95AEF3-C74B-4754-A5A0-653315EA8038}">
      <dgm:prSet/>
      <dgm:spPr/>
      <dgm:t>
        <a:bodyPr/>
        <a:lstStyle/>
        <a:p>
          <a:endParaRPr lang="en-US"/>
        </a:p>
      </dgm:t>
    </dgm:pt>
    <dgm:pt modelId="{82BB8A59-0BB6-4DF7-AF2B-BB8FAD760BC5}">
      <dgm:prSet phldrT="[Text]"/>
      <dgm:spPr>
        <a:solidFill>
          <a:schemeClr val="accent4">
            <a:lumMod val="20000"/>
            <a:lumOff val="80000"/>
            <a:alpha val="90000"/>
          </a:schemeClr>
        </a:solidFill>
      </dgm:spPr>
      <dgm:t>
        <a:bodyPr/>
        <a:lstStyle/>
        <a:p>
          <a:r>
            <a:rPr lang="en-US"/>
            <a:t>FNRP: List theo mã FIBond &amp; PPCD + Call/put</a:t>
          </a:r>
        </a:p>
      </dgm:t>
      <dgm:extLst>
        <a:ext uri="{E40237B7-FDA0-4F09-8148-C483321AD2D9}">
          <dgm14:cNvPr xmlns:dgm14="http://schemas.microsoft.com/office/drawing/2010/diagram" id="0" name="">
            <a:hlinkClick xmlns:r="http://schemas.openxmlformats.org/officeDocument/2006/relationships" r:id="rId4"/>
          </dgm14:cNvPr>
        </a:ext>
      </dgm:extLst>
    </dgm:pt>
    <dgm:pt modelId="{50D4FEF4-5EE9-4CC4-AA42-B528CFF84D8F}" type="parTrans" cxnId="{81C3872F-E364-4E65-914D-21606D4FC656}">
      <dgm:prSet/>
      <dgm:spPr/>
      <dgm:t>
        <a:bodyPr/>
        <a:lstStyle/>
        <a:p>
          <a:endParaRPr lang="en-US"/>
        </a:p>
      </dgm:t>
    </dgm:pt>
    <dgm:pt modelId="{A736AFD9-7273-4973-81E4-56F93A7F354A}" type="sibTrans" cxnId="{81C3872F-E364-4E65-914D-21606D4FC656}">
      <dgm:prSet/>
      <dgm:spPr/>
      <dgm:t>
        <a:bodyPr/>
        <a:lstStyle/>
        <a:p>
          <a:endParaRPr lang="en-US"/>
        </a:p>
      </dgm:t>
    </dgm:pt>
    <dgm:pt modelId="{63052555-4226-42E2-9988-A1FD65E27616}">
      <dgm:prSet phldrT="[Text]"/>
      <dgm:spPr/>
      <dgm:t>
        <a:bodyPr/>
        <a:lstStyle/>
        <a:p>
          <a:r>
            <a:rPr lang="en-US"/>
            <a:t>Upload53</a:t>
          </a:r>
        </a:p>
      </dgm:t>
      <dgm:extLst>
        <a:ext uri="{E40237B7-FDA0-4F09-8148-C483321AD2D9}">
          <dgm14:cNvPr xmlns:dgm14="http://schemas.microsoft.com/office/drawing/2010/diagram" id="0" name="">
            <a:hlinkClick xmlns:r="http://schemas.openxmlformats.org/officeDocument/2006/relationships" r:id="rId5"/>
          </dgm14:cNvPr>
        </a:ext>
      </dgm:extLst>
    </dgm:pt>
    <dgm:pt modelId="{8D98267E-1A41-4CA2-9EF8-92543EAC1452}" type="parTrans" cxnId="{B5C034A8-1C78-4D63-A644-C6ADD2762C99}">
      <dgm:prSet/>
      <dgm:spPr/>
      <dgm:t>
        <a:bodyPr/>
        <a:lstStyle/>
        <a:p>
          <a:endParaRPr lang="en-US"/>
        </a:p>
      </dgm:t>
    </dgm:pt>
    <dgm:pt modelId="{F0542713-8A1C-4C8A-93C6-0964954D50DF}" type="sibTrans" cxnId="{B5C034A8-1C78-4D63-A644-C6ADD2762C99}">
      <dgm:prSet/>
      <dgm:spPr/>
      <dgm:t>
        <a:bodyPr/>
        <a:lstStyle/>
        <a:p>
          <a:endParaRPr lang="en-US"/>
        </a:p>
      </dgm:t>
    </dgm:pt>
    <dgm:pt modelId="{16EF016C-D0E2-456A-A200-D871CF77FF45}">
      <dgm:prSet phldrT="[Text]"/>
      <dgm:spPr>
        <a:solidFill>
          <a:schemeClr val="accent4">
            <a:lumMod val="20000"/>
            <a:lumOff val="80000"/>
            <a:alpha val="90000"/>
          </a:schemeClr>
        </a:solidFill>
      </dgm:spPr>
      <dgm:t>
        <a:bodyPr/>
        <a:lstStyle/>
        <a:p>
          <a:r>
            <a:rPr lang="en-US"/>
            <a:t>GL: MR10, GL, LIQ03</a:t>
          </a:r>
        </a:p>
      </dgm:t>
      <dgm:extLst>
        <a:ext uri="{E40237B7-FDA0-4F09-8148-C483321AD2D9}">
          <dgm14:cNvPr xmlns:dgm14="http://schemas.microsoft.com/office/drawing/2010/diagram" id="0" name="">
            <a:hlinkClick xmlns:r="http://schemas.openxmlformats.org/officeDocument/2006/relationships" r:id="rId6"/>
          </dgm14:cNvPr>
        </a:ext>
      </dgm:extLst>
    </dgm:pt>
    <dgm:pt modelId="{4767EC5A-4FD9-4064-BCEE-D5741F14055F}" type="parTrans" cxnId="{97444BF6-797B-4388-8984-D971061F3BD9}">
      <dgm:prSet/>
      <dgm:spPr/>
      <dgm:t>
        <a:bodyPr/>
        <a:lstStyle/>
        <a:p>
          <a:endParaRPr lang="en-US"/>
        </a:p>
      </dgm:t>
    </dgm:pt>
    <dgm:pt modelId="{72C35BC5-4555-4988-A83E-C43ED22CE5F9}" type="sibTrans" cxnId="{97444BF6-797B-4388-8984-D971061F3BD9}">
      <dgm:prSet/>
      <dgm:spPr/>
      <dgm:t>
        <a:bodyPr/>
        <a:lstStyle/>
        <a:p>
          <a:endParaRPr lang="en-US"/>
        </a:p>
      </dgm:t>
    </dgm:pt>
    <dgm:pt modelId="{18D475A8-8FD7-45AE-8D7B-9ADC73EA5B6A}">
      <dgm:prSet phldrT="[Text]"/>
      <dgm:spPr>
        <a:solidFill>
          <a:schemeClr val="accent4">
            <a:lumMod val="20000"/>
            <a:lumOff val="80000"/>
            <a:alpha val="90000"/>
          </a:schemeClr>
        </a:solidFill>
      </dgm:spPr>
      <dgm:t>
        <a:bodyPr/>
        <a:lstStyle/>
        <a:p>
          <a:r>
            <a:rPr lang="en-US"/>
            <a:t>AllDealps: bảng Transaction basel</a:t>
          </a:r>
        </a:p>
      </dgm:t>
      <dgm:extLst>
        <a:ext uri="{E40237B7-FDA0-4F09-8148-C483321AD2D9}">
          <dgm14:cNvPr xmlns:dgm14="http://schemas.microsoft.com/office/drawing/2010/diagram" id="0" name="">
            <a:hlinkClick xmlns:r="http://schemas.openxmlformats.org/officeDocument/2006/relationships" r:id="rId7"/>
          </dgm14:cNvPr>
        </a:ext>
      </dgm:extLst>
    </dgm:pt>
    <dgm:pt modelId="{349DAA20-D616-416F-86D7-08B6C838B0A5}" type="parTrans" cxnId="{819C9F8A-1DF4-4C49-B30A-D169A733E22D}">
      <dgm:prSet/>
      <dgm:spPr/>
      <dgm:t>
        <a:bodyPr/>
        <a:lstStyle/>
        <a:p>
          <a:endParaRPr lang="en-US"/>
        </a:p>
      </dgm:t>
    </dgm:pt>
    <dgm:pt modelId="{83F6D397-D456-460F-8D70-945CBECDA4C2}" type="sibTrans" cxnId="{819C9F8A-1DF4-4C49-B30A-D169A733E22D}">
      <dgm:prSet/>
      <dgm:spPr/>
      <dgm:t>
        <a:bodyPr/>
        <a:lstStyle/>
        <a:p>
          <a:endParaRPr lang="en-US"/>
        </a:p>
      </dgm:t>
    </dgm:pt>
    <dgm:pt modelId="{6434E709-4D9B-4CA6-A176-67C98990FFEB}">
      <dgm:prSet phldrT="[Text]"/>
      <dgm:spPr>
        <a:solidFill>
          <a:schemeClr val="accent4">
            <a:lumMod val="20000"/>
            <a:lumOff val="80000"/>
            <a:alpha val="90000"/>
          </a:schemeClr>
        </a:solidFill>
      </dgm:spPr>
      <dgm:t>
        <a:bodyPr/>
        <a:lstStyle/>
        <a:p>
          <a:r>
            <a:rPr lang="en-US"/>
            <a:t>Repo: chưa đáo hạn từ basel</a:t>
          </a:r>
        </a:p>
      </dgm:t>
      <dgm:extLst>
        <a:ext uri="{E40237B7-FDA0-4F09-8148-C483321AD2D9}">
          <dgm14:cNvPr xmlns:dgm14="http://schemas.microsoft.com/office/drawing/2010/diagram" id="0" name="">
            <a:hlinkClick xmlns:r="http://schemas.openxmlformats.org/officeDocument/2006/relationships" r:id="rId8"/>
          </dgm14:cNvPr>
        </a:ext>
      </dgm:extLst>
    </dgm:pt>
    <dgm:pt modelId="{A05F4C5D-32EB-4CF3-A3A6-7904FD39F448}" type="parTrans" cxnId="{F0E831E5-DF02-4B34-916F-75EDC00EDCBE}">
      <dgm:prSet/>
      <dgm:spPr/>
      <dgm:t>
        <a:bodyPr/>
        <a:lstStyle/>
        <a:p>
          <a:endParaRPr lang="en-US"/>
        </a:p>
      </dgm:t>
    </dgm:pt>
    <dgm:pt modelId="{020E664C-EF88-4991-B25C-BB29F025CD53}" type="sibTrans" cxnId="{F0E831E5-DF02-4B34-916F-75EDC00EDCBE}">
      <dgm:prSet/>
      <dgm:spPr/>
      <dgm:t>
        <a:bodyPr/>
        <a:lstStyle/>
        <a:p>
          <a:endParaRPr lang="en-US"/>
        </a:p>
      </dgm:t>
    </dgm:pt>
    <dgm:pt modelId="{B51AEF47-1E14-436A-A316-1157E7DF0C02}">
      <dgm:prSet phldrT="[Text]"/>
      <dgm:spPr>
        <a:solidFill>
          <a:schemeClr val="accent4">
            <a:lumMod val="20000"/>
            <a:lumOff val="80000"/>
            <a:alpha val="90000"/>
          </a:schemeClr>
        </a:solidFill>
      </dgm:spPr>
      <dgm:t>
        <a:bodyPr/>
        <a:lstStyle/>
        <a:p>
          <a:r>
            <a:rPr lang="en-US"/>
            <a:t>RPBOD3: List deal Outs OnBS từ Kondor</a:t>
          </a:r>
        </a:p>
      </dgm:t>
      <dgm:extLst>
        <a:ext uri="{E40237B7-FDA0-4F09-8148-C483321AD2D9}">
          <dgm14:cNvPr xmlns:dgm14="http://schemas.microsoft.com/office/drawing/2010/diagram" id="0" name="">
            <a:hlinkClick xmlns:r="http://schemas.openxmlformats.org/officeDocument/2006/relationships" r:id="rId9"/>
          </dgm14:cNvPr>
        </a:ext>
      </dgm:extLst>
    </dgm:pt>
    <dgm:pt modelId="{65520066-3DF8-49E2-9430-D299C2FF4B25}" type="parTrans" cxnId="{7F36DAFF-847B-4B3A-9F94-55727801851B}">
      <dgm:prSet/>
      <dgm:spPr/>
      <dgm:t>
        <a:bodyPr/>
        <a:lstStyle/>
        <a:p>
          <a:endParaRPr lang="en-US"/>
        </a:p>
      </dgm:t>
    </dgm:pt>
    <dgm:pt modelId="{18225272-4340-4AB5-BA1F-A59D403A3065}" type="sibTrans" cxnId="{7F36DAFF-847B-4B3A-9F94-55727801851B}">
      <dgm:prSet/>
      <dgm:spPr/>
      <dgm:t>
        <a:bodyPr/>
        <a:lstStyle/>
        <a:p>
          <a:endParaRPr lang="en-US"/>
        </a:p>
      </dgm:t>
    </dgm:pt>
    <dgm:pt modelId="{AA35F137-CBE1-446A-A3C8-788A6D153848}">
      <dgm:prSet phldrT="[Text]"/>
      <dgm:spPr>
        <a:solidFill>
          <a:schemeClr val="accent4">
            <a:lumMod val="20000"/>
            <a:lumOff val="80000"/>
            <a:alpha val="90000"/>
          </a:schemeClr>
        </a:solidFill>
      </dgm:spPr>
      <dgm:t>
        <a:bodyPr/>
        <a:lstStyle/>
        <a:p>
          <a:r>
            <a:rPr lang="en-US"/>
            <a:t>Rating: Available bond từ LR</a:t>
          </a:r>
        </a:p>
      </dgm:t>
      <dgm:extLst>
        <a:ext uri="{E40237B7-FDA0-4F09-8148-C483321AD2D9}">
          <dgm14:cNvPr xmlns:dgm14="http://schemas.microsoft.com/office/drawing/2010/diagram" id="0" name="">
            <a:hlinkClick xmlns:r="http://schemas.openxmlformats.org/officeDocument/2006/relationships" r:id="rId10"/>
          </dgm14:cNvPr>
        </a:ext>
      </dgm:extLst>
    </dgm:pt>
    <dgm:pt modelId="{0F7B394B-DCA9-4B52-9D1D-90A9B3543B66}" type="parTrans" cxnId="{16E78BA8-DCF5-416B-B539-5048C55949CF}">
      <dgm:prSet/>
      <dgm:spPr/>
      <dgm:t>
        <a:bodyPr/>
        <a:lstStyle/>
        <a:p>
          <a:endParaRPr lang="en-US"/>
        </a:p>
      </dgm:t>
    </dgm:pt>
    <dgm:pt modelId="{C3A855FD-8EB7-4037-B000-CDFDF3273520}" type="sibTrans" cxnId="{16E78BA8-DCF5-416B-B539-5048C55949CF}">
      <dgm:prSet/>
      <dgm:spPr/>
      <dgm:t>
        <a:bodyPr/>
        <a:lstStyle/>
        <a:p>
          <a:endParaRPr lang="en-US"/>
        </a:p>
      </dgm:t>
    </dgm:pt>
    <dgm:pt modelId="{17604A48-B839-4C52-95CE-E5BE29678044}">
      <dgm:prSet phldrT="[Text]"/>
      <dgm:spPr>
        <a:solidFill>
          <a:schemeClr val="accent4">
            <a:lumMod val="20000"/>
            <a:lumOff val="80000"/>
            <a:alpha val="90000"/>
          </a:schemeClr>
        </a:solidFill>
      </dgm:spPr>
      <dgm:t>
        <a:bodyPr/>
        <a:lstStyle/>
        <a:p>
          <a:r>
            <a:rPr lang="en-US"/>
            <a:t>DataTT: GTGD TPDN từ VBMA</a:t>
          </a:r>
        </a:p>
      </dgm:t>
      <dgm:extLst>
        <a:ext uri="{E40237B7-FDA0-4F09-8148-C483321AD2D9}">
          <dgm14:cNvPr xmlns:dgm14="http://schemas.microsoft.com/office/drawing/2010/diagram" id="0" name="">
            <a:hlinkClick xmlns:r="http://schemas.openxmlformats.org/officeDocument/2006/relationships" r:id="rId11"/>
          </dgm14:cNvPr>
        </a:ext>
      </dgm:extLst>
    </dgm:pt>
    <dgm:pt modelId="{E6878B4D-78CC-42CE-81A5-65CE5195870F}" type="parTrans" cxnId="{56D19837-249C-40ED-B8A6-C1A56CD2BC04}">
      <dgm:prSet/>
      <dgm:spPr/>
      <dgm:t>
        <a:bodyPr/>
        <a:lstStyle/>
        <a:p>
          <a:endParaRPr lang="en-US"/>
        </a:p>
      </dgm:t>
    </dgm:pt>
    <dgm:pt modelId="{9BD12D91-60E2-4AA1-8296-F7DA113CFFAE}" type="sibTrans" cxnId="{56D19837-249C-40ED-B8A6-C1A56CD2BC04}">
      <dgm:prSet/>
      <dgm:spPr/>
      <dgm:t>
        <a:bodyPr/>
        <a:lstStyle/>
        <a:p>
          <a:endParaRPr lang="en-US"/>
        </a:p>
      </dgm:t>
    </dgm:pt>
    <dgm:pt modelId="{FA56E62D-F808-436A-A959-E039975E6F94}">
      <dgm:prSet phldrT="[Text]"/>
      <dgm:spPr/>
      <dgm:t>
        <a:bodyPr/>
        <a:lstStyle/>
        <a:p>
          <a:r>
            <a:rPr lang="en-US"/>
            <a:t>Log&amp;Process</a:t>
          </a:r>
        </a:p>
      </dgm:t>
    </dgm:pt>
    <dgm:pt modelId="{3DC11723-454E-4A86-A1F7-176AA8F18EE7}" type="parTrans" cxnId="{AB45AF32-439A-4ECD-A71F-7F1378D65FA4}">
      <dgm:prSet/>
      <dgm:spPr/>
      <dgm:t>
        <a:bodyPr/>
        <a:lstStyle/>
        <a:p>
          <a:endParaRPr lang="en-US"/>
        </a:p>
      </dgm:t>
    </dgm:pt>
    <dgm:pt modelId="{D3179954-6EBB-4A9B-9FC7-1FBD33F388A4}" type="sibTrans" cxnId="{AB45AF32-439A-4ECD-A71F-7F1378D65FA4}">
      <dgm:prSet/>
      <dgm:spPr/>
      <dgm:t>
        <a:bodyPr/>
        <a:lstStyle/>
        <a:p>
          <a:endParaRPr lang="en-US"/>
        </a:p>
      </dgm:t>
    </dgm:pt>
    <dgm:pt modelId="{2F85FD25-E5EA-4079-B0CE-E206478C278E}">
      <dgm:prSet phldrT="[Text]"/>
      <dgm:spPr>
        <a:solidFill>
          <a:srgbClr val="C00000">
            <a:alpha val="90000"/>
          </a:srgbClr>
        </a:solidFill>
      </dgm:spPr>
      <dgm:t>
        <a:bodyPr/>
        <a:lstStyle/>
        <a:p>
          <a:r>
            <a:rPr lang="en-US" b="1">
              <a:solidFill>
                <a:schemeClr val="bg1"/>
              </a:solidFill>
            </a:rPr>
            <a:t>Runtool: Nút bấm và Double check</a:t>
          </a:r>
        </a:p>
      </dgm:t>
      <dgm:extLst>
        <a:ext uri="{E40237B7-FDA0-4F09-8148-C483321AD2D9}">
          <dgm14:cNvPr xmlns:dgm14="http://schemas.microsoft.com/office/drawing/2010/diagram" id="0" name="">
            <a:hlinkClick xmlns:r="http://schemas.openxmlformats.org/officeDocument/2006/relationships" r:id="rId12"/>
          </dgm14:cNvPr>
        </a:ext>
      </dgm:extLst>
    </dgm:pt>
    <dgm:pt modelId="{A7933D80-9C42-41F3-A563-9F2735294F17}" type="parTrans" cxnId="{1B83B5E0-3B0B-4B89-80E2-D74AE5865A2B}">
      <dgm:prSet/>
      <dgm:spPr/>
      <dgm:t>
        <a:bodyPr/>
        <a:lstStyle/>
        <a:p>
          <a:endParaRPr lang="en-US"/>
        </a:p>
      </dgm:t>
    </dgm:pt>
    <dgm:pt modelId="{92D8196A-69AF-4F4E-B11D-0D2F8A49C071}" type="sibTrans" cxnId="{1B83B5E0-3B0B-4B89-80E2-D74AE5865A2B}">
      <dgm:prSet/>
      <dgm:spPr/>
      <dgm:t>
        <a:bodyPr/>
        <a:lstStyle/>
        <a:p>
          <a:endParaRPr lang="en-US"/>
        </a:p>
      </dgm:t>
    </dgm:pt>
    <dgm:pt modelId="{F33A4E06-3150-453C-9CB1-59C43678ACDE}">
      <dgm:prSet phldrT="[Text]"/>
      <dgm:spPr>
        <a:solidFill>
          <a:schemeClr val="accent4">
            <a:lumMod val="20000"/>
            <a:lumOff val="80000"/>
            <a:alpha val="90000"/>
          </a:schemeClr>
        </a:solidFill>
      </dgm:spPr>
      <dgm:t>
        <a:bodyPr/>
        <a:lstStyle/>
        <a:p>
          <a:r>
            <a:rPr lang="en-US"/>
            <a:t>His53: Dữ liệu lịch sử lưu trữ</a:t>
          </a:r>
        </a:p>
      </dgm:t>
      <dgm:extLst>
        <a:ext uri="{E40237B7-FDA0-4F09-8148-C483321AD2D9}">
          <dgm14:cNvPr xmlns:dgm14="http://schemas.microsoft.com/office/drawing/2010/diagram" id="0" name="">
            <a:hlinkClick xmlns:r="http://schemas.openxmlformats.org/officeDocument/2006/relationships" r:id="rId13"/>
          </dgm14:cNvPr>
        </a:ext>
      </dgm:extLst>
    </dgm:pt>
    <dgm:pt modelId="{B9AF7E2E-B804-4232-AC27-38D18AC1B921}" type="parTrans" cxnId="{01F4DC59-3FDC-4EEE-A83E-D21489A98E84}">
      <dgm:prSet/>
      <dgm:spPr/>
      <dgm:t>
        <a:bodyPr/>
        <a:lstStyle/>
        <a:p>
          <a:endParaRPr lang="en-US"/>
        </a:p>
      </dgm:t>
    </dgm:pt>
    <dgm:pt modelId="{101E619A-B4E8-4CCB-9C9E-8D58BF4C71D4}" type="sibTrans" cxnId="{01F4DC59-3FDC-4EEE-A83E-D21489A98E84}">
      <dgm:prSet/>
      <dgm:spPr/>
      <dgm:t>
        <a:bodyPr/>
        <a:lstStyle/>
        <a:p>
          <a:endParaRPr lang="en-US"/>
        </a:p>
      </dgm:t>
    </dgm:pt>
    <dgm:pt modelId="{588E6A7D-0689-4956-A0C3-5E59B0E603E6}" type="pres">
      <dgm:prSet presAssocID="{5D613038-8DFA-4240-AB6D-A4A143B3FCD3}" presName="diagram" presStyleCnt="0">
        <dgm:presLayoutVars>
          <dgm:chPref val="1"/>
          <dgm:dir/>
          <dgm:animOne val="branch"/>
          <dgm:animLvl val="lvl"/>
          <dgm:resizeHandles/>
        </dgm:presLayoutVars>
      </dgm:prSet>
      <dgm:spPr/>
    </dgm:pt>
    <dgm:pt modelId="{82358BDC-6D4F-4E2A-BC60-5EADE270D21B}" type="pres">
      <dgm:prSet presAssocID="{5C167686-6C7A-44F5-81D4-AEF7C87A8E7D}" presName="root" presStyleCnt="0"/>
      <dgm:spPr/>
    </dgm:pt>
    <dgm:pt modelId="{51FAA8FB-2C77-47DC-B4D3-344A61BF772D}" type="pres">
      <dgm:prSet presAssocID="{5C167686-6C7A-44F5-81D4-AEF7C87A8E7D}" presName="rootComposite" presStyleCnt="0"/>
      <dgm:spPr/>
    </dgm:pt>
    <dgm:pt modelId="{4543F5A5-412E-4B80-859C-16CC093DC9A8}" type="pres">
      <dgm:prSet presAssocID="{5C167686-6C7A-44F5-81D4-AEF7C87A8E7D}" presName="rootText" presStyleLbl="node1" presStyleIdx="0" presStyleCnt="3"/>
      <dgm:spPr/>
    </dgm:pt>
    <dgm:pt modelId="{5ECD7826-87C9-4FD1-9484-49548AB744F8}" type="pres">
      <dgm:prSet presAssocID="{5C167686-6C7A-44F5-81D4-AEF7C87A8E7D}" presName="rootConnector" presStyleLbl="node1" presStyleIdx="0" presStyleCnt="3"/>
      <dgm:spPr/>
    </dgm:pt>
    <dgm:pt modelId="{5F9DA0AE-DB64-4937-A702-7BF74283B933}" type="pres">
      <dgm:prSet presAssocID="{5C167686-6C7A-44F5-81D4-AEF7C87A8E7D}" presName="childShape" presStyleCnt="0"/>
      <dgm:spPr/>
    </dgm:pt>
    <dgm:pt modelId="{576C2AAB-ADAA-482F-98AE-67FBFC829707}" type="pres">
      <dgm:prSet presAssocID="{542103CA-CB91-4728-88B3-6001D9BE5A35}" presName="Name13" presStyleLbl="parChTrans1D2" presStyleIdx="0" presStyleCnt="14"/>
      <dgm:spPr/>
    </dgm:pt>
    <dgm:pt modelId="{842CD34A-19C0-4C53-80F3-9C43EEED90AD}" type="pres">
      <dgm:prSet presAssocID="{56E1ADFE-96F9-4E7F-9094-A06E23A044EC}" presName="childText" presStyleLbl="bgAcc1" presStyleIdx="0" presStyleCnt="14">
        <dgm:presLayoutVars>
          <dgm:bulletEnabled val="1"/>
        </dgm:presLayoutVars>
      </dgm:prSet>
      <dgm:spPr/>
    </dgm:pt>
    <dgm:pt modelId="{59125463-618B-4E39-A0BF-3E231825AECE}" type="pres">
      <dgm:prSet presAssocID="{3DC11723-454E-4A86-A1F7-176AA8F18EE7}" presName="Name13" presStyleLbl="parChTrans1D2" presStyleIdx="1" presStyleCnt="14"/>
      <dgm:spPr/>
    </dgm:pt>
    <dgm:pt modelId="{07D9A8F2-25E4-47FB-B546-BD2FA0D182E3}" type="pres">
      <dgm:prSet presAssocID="{FA56E62D-F808-436A-A959-E039975E6F94}" presName="childText" presStyleLbl="bgAcc1" presStyleIdx="1" presStyleCnt="14">
        <dgm:presLayoutVars>
          <dgm:bulletEnabled val="1"/>
        </dgm:presLayoutVars>
      </dgm:prSet>
      <dgm:spPr/>
    </dgm:pt>
    <dgm:pt modelId="{CDBC3CCC-43B7-4DD7-9FD1-CB54A608CC8A}" type="pres">
      <dgm:prSet presAssocID="{A7933D80-9C42-41F3-A563-9F2735294F17}" presName="Name13" presStyleLbl="parChTrans1D2" presStyleIdx="2" presStyleCnt="14"/>
      <dgm:spPr/>
    </dgm:pt>
    <dgm:pt modelId="{56DCFB44-26B1-40CC-B79A-BCEA253890C8}" type="pres">
      <dgm:prSet presAssocID="{2F85FD25-E5EA-4079-B0CE-E206478C278E}" presName="childText" presStyleLbl="bgAcc1" presStyleIdx="2" presStyleCnt="14">
        <dgm:presLayoutVars>
          <dgm:bulletEnabled val="1"/>
        </dgm:presLayoutVars>
      </dgm:prSet>
      <dgm:spPr/>
    </dgm:pt>
    <dgm:pt modelId="{DDE50AE9-00AB-40E7-B063-6EA4181F6F65}" type="pres">
      <dgm:prSet presAssocID="{8D98267E-1A41-4CA2-9EF8-92543EAC1452}" presName="Name13" presStyleLbl="parChTrans1D2" presStyleIdx="3" presStyleCnt="14"/>
      <dgm:spPr/>
    </dgm:pt>
    <dgm:pt modelId="{E7963517-6168-4C5B-A0F2-C646714DA71A}" type="pres">
      <dgm:prSet presAssocID="{63052555-4226-42E2-9988-A1FD65E27616}" presName="childText" presStyleLbl="bgAcc1" presStyleIdx="3" presStyleCnt="14">
        <dgm:presLayoutVars>
          <dgm:bulletEnabled val="1"/>
        </dgm:presLayoutVars>
      </dgm:prSet>
      <dgm:spPr/>
    </dgm:pt>
    <dgm:pt modelId="{5E988275-2457-456F-A37C-48B65F13E1BF}" type="pres">
      <dgm:prSet presAssocID="{DC59F939-9ECF-4636-BE6A-637F9217A3C3}" presName="root" presStyleCnt="0"/>
      <dgm:spPr/>
    </dgm:pt>
    <dgm:pt modelId="{42719EA5-C32C-4821-9DE3-CD1DFECEED1A}" type="pres">
      <dgm:prSet presAssocID="{DC59F939-9ECF-4636-BE6A-637F9217A3C3}" presName="rootComposite" presStyleCnt="0"/>
      <dgm:spPr/>
    </dgm:pt>
    <dgm:pt modelId="{C51A834D-DED8-4928-9455-9D1D2AD21994}" type="pres">
      <dgm:prSet presAssocID="{DC59F939-9ECF-4636-BE6A-637F9217A3C3}" presName="rootText" presStyleLbl="node1" presStyleIdx="1" presStyleCnt="3"/>
      <dgm:spPr/>
    </dgm:pt>
    <dgm:pt modelId="{BF1D0CE4-5478-4426-B8B4-D80C6A71A82C}" type="pres">
      <dgm:prSet presAssocID="{DC59F939-9ECF-4636-BE6A-637F9217A3C3}" presName="rootConnector" presStyleLbl="node1" presStyleIdx="1" presStyleCnt="3"/>
      <dgm:spPr/>
    </dgm:pt>
    <dgm:pt modelId="{37DE49EF-AED1-461E-973F-7E43EF5043E2}" type="pres">
      <dgm:prSet presAssocID="{DC59F939-9ECF-4636-BE6A-637F9217A3C3}" presName="childShape" presStyleCnt="0"/>
      <dgm:spPr/>
    </dgm:pt>
    <dgm:pt modelId="{BECFE8F1-E1A6-47CF-BEF3-3B5EAEC21673}" type="pres">
      <dgm:prSet presAssocID="{1A6A1D49-FE7F-4D3F-A931-15820987AD11}" presName="Name13" presStyleLbl="parChTrans1D2" presStyleIdx="4" presStyleCnt="14"/>
      <dgm:spPr/>
    </dgm:pt>
    <dgm:pt modelId="{E43EF2A8-93E4-451D-8123-8961F397D192}" type="pres">
      <dgm:prSet presAssocID="{B3D9CB4D-CB6C-4848-AD65-41291579FF77}" presName="childText" presStyleLbl="bgAcc1" presStyleIdx="4" presStyleCnt="14">
        <dgm:presLayoutVars>
          <dgm:bulletEnabled val="1"/>
        </dgm:presLayoutVars>
      </dgm:prSet>
      <dgm:spPr/>
    </dgm:pt>
    <dgm:pt modelId="{BD310360-5117-423B-8E72-2334648CE35E}" type="pres">
      <dgm:prSet presAssocID="{03FE0041-952A-4989-B14D-3056A237B949}" presName="Name13" presStyleLbl="parChTrans1D2" presStyleIdx="5" presStyleCnt="14"/>
      <dgm:spPr/>
    </dgm:pt>
    <dgm:pt modelId="{2AF8C0EC-DCBF-45FB-80CD-726BE38B4AD5}" type="pres">
      <dgm:prSet presAssocID="{29F1F443-E691-48B3-BE64-7E89DA3F8E4C}" presName="childText" presStyleLbl="bgAcc1" presStyleIdx="5" presStyleCnt="14">
        <dgm:presLayoutVars>
          <dgm:bulletEnabled val="1"/>
        </dgm:presLayoutVars>
      </dgm:prSet>
      <dgm:spPr/>
    </dgm:pt>
    <dgm:pt modelId="{2C167F67-C556-400E-AF24-8ADCF724E344}" type="pres">
      <dgm:prSet presAssocID="{E4104061-7C52-4F3F-A102-E2390E38363B}" presName="root" presStyleCnt="0"/>
      <dgm:spPr/>
    </dgm:pt>
    <dgm:pt modelId="{76A611F1-5D9A-4884-9ED8-662D98755435}" type="pres">
      <dgm:prSet presAssocID="{E4104061-7C52-4F3F-A102-E2390E38363B}" presName="rootComposite" presStyleCnt="0"/>
      <dgm:spPr/>
    </dgm:pt>
    <dgm:pt modelId="{9D1F2C4E-70D6-4E4B-AE55-FDC54787A537}" type="pres">
      <dgm:prSet presAssocID="{E4104061-7C52-4F3F-A102-E2390E38363B}" presName="rootText" presStyleLbl="node1" presStyleIdx="2" presStyleCnt="3"/>
      <dgm:spPr/>
    </dgm:pt>
    <dgm:pt modelId="{15775999-3B95-40B7-B657-08BAD8A81525}" type="pres">
      <dgm:prSet presAssocID="{E4104061-7C52-4F3F-A102-E2390E38363B}" presName="rootConnector" presStyleLbl="node1" presStyleIdx="2" presStyleCnt="3"/>
      <dgm:spPr/>
    </dgm:pt>
    <dgm:pt modelId="{D58DF4B5-81D5-41E3-BA3C-A94DCE35DF31}" type="pres">
      <dgm:prSet presAssocID="{E4104061-7C52-4F3F-A102-E2390E38363B}" presName="childShape" presStyleCnt="0"/>
      <dgm:spPr/>
    </dgm:pt>
    <dgm:pt modelId="{9059F6E0-98D0-4E87-813A-F8CC20935990}" type="pres">
      <dgm:prSet presAssocID="{B9AF7E2E-B804-4232-AC27-38D18AC1B921}" presName="Name13" presStyleLbl="parChTrans1D2" presStyleIdx="6" presStyleCnt="14"/>
      <dgm:spPr/>
    </dgm:pt>
    <dgm:pt modelId="{4109BF42-DE84-4B5F-96D3-2AE139D8AF5A}" type="pres">
      <dgm:prSet presAssocID="{F33A4E06-3150-453C-9CB1-59C43678ACDE}" presName="childText" presStyleLbl="bgAcc1" presStyleIdx="6" presStyleCnt="14">
        <dgm:presLayoutVars>
          <dgm:bulletEnabled val="1"/>
        </dgm:presLayoutVars>
      </dgm:prSet>
      <dgm:spPr/>
    </dgm:pt>
    <dgm:pt modelId="{5999C34C-56A2-4D6E-9598-E091DEB95A40}" type="pres">
      <dgm:prSet presAssocID="{50D4FEF4-5EE9-4CC4-AA42-B528CFF84D8F}" presName="Name13" presStyleLbl="parChTrans1D2" presStyleIdx="7" presStyleCnt="14"/>
      <dgm:spPr/>
    </dgm:pt>
    <dgm:pt modelId="{1CC31CAD-6B22-4CCB-8792-F3606CB32A8E}" type="pres">
      <dgm:prSet presAssocID="{82BB8A59-0BB6-4DF7-AF2B-BB8FAD760BC5}" presName="childText" presStyleLbl="bgAcc1" presStyleIdx="7" presStyleCnt="14">
        <dgm:presLayoutVars>
          <dgm:bulletEnabled val="1"/>
        </dgm:presLayoutVars>
      </dgm:prSet>
      <dgm:spPr/>
    </dgm:pt>
    <dgm:pt modelId="{87FB2659-6023-47FF-B5A7-99F35F29A94B}" type="pres">
      <dgm:prSet presAssocID="{4767EC5A-4FD9-4064-BCEE-D5741F14055F}" presName="Name13" presStyleLbl="parChTrans1D2" presStyleIdx="8" presStyleCnt="14"/>
      <dgm:spPr/>
    </dgm:pt>
    <dgm:pt modelId="{35FD531E-7A32-4061-9DE8-8F22627247D9}" type="pres">
      <dgm:prSet presAssocID="{16EF016C-D0E2-456A-A200-D871CF77FF45}" presName="childText" presStyleLbl="bgAcc1" presStyleIdx="8" presStyleCnt="14">
        <dgm:presLayoutVars>
          <dgm:bulletEnabled val="1"/>
        </dgm:presLayoutVars>
      </dgm:prSet>
      <dgm:spPr/>
    </dgm:pt>
    <dgm:pt modelId="{132CE206-BE65-450D-8222-6B3D6CBAC15E}" type="pres">
      <dgm:prSet presAssocID="{349DAA20-D616-416F-86D7-08B6C838B0A5}" presName="Name13" presStyleLbl="parChTrans1D2" presStyleIdx="9" presStyleCnt="14"/>
      <dgm:spPr/>
    </dgm:pt>
    <dgm:pt modelId="{2C06ADDF-9230-4F27-BC54-BF2A5B7A2AEF}" type="pres">
      <dgm:prSet presAssocID="{18D475A8-8FD7-45AE-8D7B-9ADC73EA5B6A}" presName="childText" presStyleLbl="bgAcc1" presStyleIdx="9" presStyleCnt="14">
        <dgm:presLayoutVars>
          <dgm:bulletEnabled val="1"/>
        </dgm:presLayoutVars>
      </dgm:prSet>
      <dgm:spPr/>
    </dgm:pt>
    <dgm:pt modelId="{05A7C06B-D0C9-4D61-B9E5-E9C440635916}" type="pres">
      <dgm:prSet presAssocID="{A05F4C5D-32EB-4CF3-A3A6-7904FD39F448}" presName="Name13" presStyleLbl="parChTrans1D2" presStyleIdx="10" presStyleCnt="14"/>
      <dgm:spPr/>
    </dgm:pt>
    <dgm:pt modelId="{1FAA40A3-FB74-4F5C-BB1F-7151B0803F20}" type="pres">
      <dgm:prSet presAssocID="{6434E709-4D9B-4CA6-A176-67C98990FFEB}" presName="childText" presStyleLbl="bgAcc1" presStyleIdx="10" presStyleCnt="14">
        <dgm:presLayoutVars>
          <dgm:bulletEnabled val="1"/>
        </dgm:presLayoutVars>
      </dgm:prSet>
      <dgm:spPr/>
    </dgm:pt>
    <dgm:pt modelId="{4D537B13-B575-45A0-85DA-7BE61C7D7C7B}" type="pres">
      <dgm:prSet presAssocID="{65520066-3DF8-49E2-9430-D299C2FF4B25}" presName="Name13" presStyleLbl="parChTrans1D2" presStyleIdx="11" presStyleCnt="14"/>
      <dgm:spPr/>
    </dgm:pt>
    <dgm:pt modelId="{8DA8FAF0-C2A6-4042-BF7E-90972D164F13}" type="pres">
      <dgm:prSet presAssocID="{B51AEF47-1E14-436A-A316-1157E7DF0C02}" presName="childText" presStyleLbl="bgAcc1" presStyleIdx="11" presStyleCnt="14">
        <dgm:presLayoutVars>
          <dgm:bulletEnabled val="1"/>
        </dgm:presLayoutVars>
      </dgm:prSet>
      <dgm:spPr/>
    </dgm:pt>
    <dgm:pt modelId="{E06FD38F-D717-4699-8F6B-57ACC618FBC5}" type="pres">
      <dgm:prSet presAssocID="{0F7B394B-DCA9-4B52-9D1D-90A9B3543B66}" presName="Name13" presStyleLbl="parChTrans1D2" presStyleIdx="12" presStyleCnt="14"/>
      <dgm:spPr/>
    </dgm:pt>
    <dgm:pt modelId="{04CB6DE0-0B53-48AC-974C-B3728D570352}" type="pres">
      <dgm:prSet presAssocID="{AA35F137-CBE1-446A-A3C8-788A6D153848}" presName="childText" presStyleLbl="bgAcc1" presStyleIdx="12" presStyleCnt="14">
        <dgm:presLayoutVars>
          <dgm:bulletEnabled val="1"/>
        </dgm:presLayoutVars>
      </dgm:prSet>
      <dgm:spPr/>
    </dgm:pt>
    <dgm:pt modelId="{E2E97733-7EEF-45C9-BCF5-2953106C6F5D}" type="pres">
      <dgm:prSet presAssocID="{E6878B4D-78CC-42CE-81A5-65CE5195870F}" presName="Name13" presStyleLbl="parChTrans1D2" presStyleIdx="13" presStyleCnt="14"/>
      <dgm:spPr/>
    </dgm:pt>
    <dgm:pt modelId="{8D93E741-98F3-4687-B2E0-10620E99A49D}" type="pres">
      <dgm:prSet presAssocID="{17604A48-B839-4C52-95CE-E5BE29678044}" presName="childText" presStyleLbl="bgAcc1" presStyleIdx="13" presStyleCnt="14">
        <dgm:presLayoutVars>
          <dgm:bulletEnabled val="1"/>
        </dgm:presLayoutVars>
      </dgm:prSet>
      <dgm:spPr/>
    </dgm:pt>
  </dgm:ptLst>
  <dgm:cxnLst>
    <dgm:cxn modelId="{31275E12-EC01-4321-8843-1A5E8722B761}" type="presOf" srcId="{E4104061-7C52-4F3F-A102-E2390E38363B}" destId="{15775999-3B95-40B7-B657-08BAD8A81525}" srcOrd="1" destOrd="0" presId="urn:microsoft.com/office/officeart/2005/8/layout/hierarchy3"/>
    <dgm:cxn modelId="{43DB7C16-1CE7-446A-A584-A2C50962122C}" type="presOf" srcId="{5C167686-6C7A-44F5-81D4-AEF7C87A8E7D}" destId="{5ECD7826-87C9-4FD1-9484-49548AB744F8}" srcOrd="1" destOrd="0" presId="urn:microsoft.com/office/officeart/2005/8/layout/hierarchy3"/>
    <dgm:cxn modelId="{7532C116-352C-4FB6-9758-96455CDFECC4}" type="presOf" srcId="{A05F4C5D-32EB-4CF3-A3A6-7904FD39F448}" destId="{05A7C06B-D0C9-4D61-B9E5-E9C440635916}" srcOrd="0" destOrd="0" presId="urn:microsoft.com/office/officeart/2005/8/layout/hierarchy3"/>
    <dgm:cxn modelId="{9300D923-7760-4EC0-8D35-D05E7475591B}" srcId="{5D613038-8DFA-4240-AB6D-A4A143B3FCD3}" destId="{5C167686-6C7A-44F5-81D4-AEF7C87A8E7D}" srcOrd="0" destOrd="0" parTransId="{9D622567-D112-4EB3-BCF6-A542145119F7}" sibTransId="{A6CD0787-83C3-4DB2-AE9A-BC6B80CACCF7}"/>
    <dgm:cxn modelId="{0C12B125-4B53-4E0D-86D5-65F074AE15C3}" type="presOf" srcId="{5C167686-6C7A-44F5-81D4-AEF7C87A8E7D}" destId="{4543F5A5-412E-4B80-859C-16CC093DC9A8}" srcOrd="0" destOrd="0" presId="urn:microsoft.com/office/officeart/2005/8/layout/hierarchy3"/>
    <dgm:cxn modelId="{A021DE29-7757-4976-997F-B750EE546501}" type="presOf" srcId="{8D98267E-1A41-4CA2-9EF8-92543EAC1452}" destId="{DDE50AE9-00AB-40E7-B063-6EA4181F6F65}" srcOrd="0" destOrd="0" presId="urn:microsoft.com/office/officeart/2005/8/layout/hierarchy3"/>
    <dgm:cxn modelId="{4688F22C-EC6D-429C-A482-A787B18902F4}" type="presOf" srcId="{16EF016C-D0E2-456A-A200-D871CF77FF45}" destId="{35FD531E-7A32-4061-9DE8-8F22627247D9}" srcOrd="0" destOrd="0" presId="urn:microsoft.com/office/officeart/2005/8/layout/hierarchy3"/>
    <dgm:cxn modelId="{B62F802D-0C95-42F3-8904-BB6B9AF1A91E}" type="presOf" srcId="{65520066-3DF8-49E2-9430-D299C2FF4B25}" destId="{4D537B13-B575-45A0-85DA-7BE61C7D7C7B}" srcOrd="0" destOrd="0" presId="urn:microsoft.com/office/officeart/2005/8/layout/hierarchy3"/>
    <dgm:cxn modelId="{81C3872F-E364-4E65-914D-21606D4FC656}" srcId="{E4104061-7C52-4F3F-A102-E2390E38363B}" destId="{82BB8A59-0BB6-4DF7-AF2B-BB8FAD760BC5}" srcOrd="1" destOrd="0" parTransId="{50D4FEF4-5EE9-4CC4-AA42-B528CFF84D8F}" sibTransId="{A736AFD9-7273-4973-81E4-56F93A7F354A}"/>
    <dgm:cxn modelId="{AB45AF32-439A-4ECD-A71F-7F1378D65FA4}" srcId="{5C167686-6C7A-44F5-81D4-AEF7C87A8E7D}" destId="{FA56E62D-F808-436A-A959-E039975E6F94}" srcOrd="1" destOrd="0" parTransId="{3DC11723-454E-4A86-A1F7-176AA8F18EE7}" sibTransId="{D3179954-6EBB-4A9B-9FC7-1FBD33F388A4}"/>
    <dgm:cxn modelId="{69EB3736-56AC-4AAC-95B5-79B4DD1AC749}" type="presOf" srcId="{1A6A1D49-FE7F-4D3F-A931-15820987AD11}" destId="{BECFE8F1-E1A6-47CF-BEF3-3B5EAEC21673}" srcOrd="0" destOrd="0" presId="urn:microsoft.com/office/officeart/2005/8/layout/hierarchy3"/>
    <dgm:cxn modelId="{56D19837-249C-40ED-B8A6-C1A56CD2BC04}" srcId="{E4104061-7C52-4F3F-A102-E2390E38363B}" destId="{17604A48-B839-4C52-95CE-E5BE29678044}" srcOrd="7" destOrd="0" parTransId="{E6878B4D-78CC-42CE-81A5-65CE5195870F}" sibTransId="{9BD12D91-60E2-4AA1-8296-F7DA113CFFAE}"/>
    <dgm:cxn modelId="{58472042-6D02-4E52-8DBF-266FC7EBC4E2}" type="presOf" srcId="{E4104061-7C52-4F3F-A102-E2390E38363B}" destId="{9D1F2C4E-70D6-4E4B-AE55-FDC54787A537}" srcOrd="0" destOrd="0" presId="urn:microsoft.com/office/officeart/2005/8/layout/hierarchy3"/>
    <dgm:cxn modelId="{8800C142-BEF9-4C75-8FC5-555E3D440DF1}" type="presOf" srcId="{AA35F137-CBE1-446A-A3C8-788A6D153848}" destId="{04CB6DE0-0B53-48AC-974C-B3728D570352}" srcOrd="0" destOrd="0" presId="urn:microsoft.com/office/officeart/2005/8/layout/hierarchy3"/>
    <dgm:cxn modelId="{8EBF6066-AE59-48EC-A835-EE5A3C49924F}" type="presOf" srcId="{B3D9CB4D-CB6C-4848-AD65-41291579FF77}" destId="{E43EF2A8-93E4-451D-8123-8961F397D192}" srcOrd="0" destOrd="0" presId="urn:microsoft.com/office/officeart/2005/8/layout/hierarchy3"/>
    <dgm:cxn modelId="{CA9CDE47-9019-42AF-BFE2-7A802C5FF57B}" type="presOf" srcId="{3DC11723-454E-4A86-A1F7-176AA8F18EE7}" destId="{59125463-618B-4E39-A0BF-3E231825AECE}" srcOrd="0" destOrd="0" presId="urn:microsoft.com/office/officeart/2005/8/layout/hierarchy3"/>
    <dgm:cxn modelId="{F1C5BA4A-F9DF-46DD-A600-9DCFEEB66D1B}" type="presOf" srcId="{56E1ADFE-96F9-4E7F-9094-A06E23A044EC}" destId="{842CD34A-19C0-4C53-80F3-9C43EEED90AD}" srcOrd="0" destOrd="0" presId="urn:microsoft.com/office/officeart/2005/8/layout/hierarchy3"/>
    <dgm:cxn modelId="{6108BB70-A808-4C8E-8079-48EB9F75B604}" type="presOf" srcId="{82BB8A59-0BB6-4DF7-AF2B-BB8FAD760BC5}" destId="{1CC31CAD-6B22-4CCB-8792-F3606CB32A8E}" srcOrd="0" destOrd="0" presId="urn:microsoft.com/office/officeart/2005/8/layout/hierarchy3"/>
    <dgm:cxn modelId="{3DDD2872-1EBD-4C3C-B295-909F88BD7CDD}" type="presOf" srcId="{63052555-4226-42E2-9988-A1FD65E27616}" destId="{E7963517-6168-4C5B-A0F2-C646714DA71A}" srcOrd="0" destOrd="0" presId="urn:microsoft.com/office/officeart/2005/8/layout/hierarchy3"/>
    <dgm:cxn modelId="{2EF17972-14AE-43CC-89CC-4E628031340B}" type="presOf" srcId="{B51AEF47-1E14-436A-A316-1157E7DF0C02}" destId="{8DA8FAF0-C2A6-4042-BF7E-90972D164F13}" srcOrd="0" destOrd="0" presId="urn:microsoft.com/office/officeart/2005/8/layout/hierarchy3"/>
    <dgm:cxn modelId="{01F4DC59-3FDC-4EEE-A83E-D21489A98E84}" srcId="{E4104061-7C52-4F3F-A102-E2390E38363B}" destId="{F33A4E06-3150-453C-9CB1-59C43678ACDE}" srcOrd="0" destOrd="0" parTransId="{B9AF7E2E-B804-4232-AC27-38D18AC1B921}" sibTransId="{101E619A-B4E8-4CCB-9C9E-8D58BF4C71D4}"/>
    <dgm:cxn modelId="{264E2F84-0CBB-4E5F-BDFF-D6BA3A4CD2E7}" type="presOf" srcId="{542103CA-CB91-4728-88B3-6001D9BE5A35}" destId="{576C2AAB-ADAA-482F-98AE-67FBFC829707}" srcOrd="0" destOrd="0" presId="urn:microsoft.com/office/officeart/2005/8/layout/hierarchy3"/>
    <dgm:cxn modelId="{819C9F8A-1DF4-4C49-B30A-D169A733E22D}" srcId="{E4104061-7C52-4F3F-A102-E2390E38363B}" destId="{18D475A8-8FD7-45AE-8D7B-9ADC73EA5B6A}" srcOrd="3" destOrd="0" parTransId="{349DAA20-D616-416F-86D7-08B6C838B0A5}" sibTransId="{83F6D397-D456-460F-8D70-945CBECDA4C2}"/>
    <dgm:cxn modelId="{AE8EAD8A-D510-4BB3-B854-F3C4E6939F0C}" type="presOf" srcId="{A7933D80-9C42-41F3-A563-9F2735294F17}" destId="{CDBC3CCC-43B7-4DD7-9FD1-CB54A608CC8A}" srcOrd="0" destOrd="0" presId="urn:microsoft.com/office/officeart/2005/8/layout/hierarchy3"/>
    <dgm:cxn modelId="{4C14099E-B85B-4DE0-A2F7-4EFD23A0678E}" type="presOf" srcId="{03FE0041-952A-4989-B14D-3056A237B949}" destId="{BD310360-5117-423B-8E72-2334648CE35E}" srcOrd="0" destOrd="0" presId="urn:microsoft.com/office/officeart/2005/8/layout/hierarchy3"/>
    <dgm:cxn modelId="{B5C034A8-1C78-4D63-A644-C6ADD2762C99}" srcId="{5C167686-6C7A-44F5-81D4-AEF7C87A8E7D}" destId="{63052555-4226-42E2-9988-A1FD65E27616}" srcOrd="3" destOrd="0" parTransId="{8D98267E-1A41-4CA2-9EF8-92543EAC1452}" sibTransId="{F0542713-8A1C-4C8A-93C6-0964954D50DF}"/>
    <dgm:cxn modelId="{16E78BA8-DCF5-416B-B539-5048C55949CF}" srcId="{E4104061-7C52-4F3F-A102-E2390E38363B}" destId="{AA35F137-CBE1-446A-A3C8-788A6D153848}" srcOrd="6" destOrd="0" parTransId="{0F7B394B-DCA9-4B52-9D1D-90A9B3543B66}" sibTransId="{C3A855FD-8EB7-4037-B000-CDFDF3273520}"/>
    <dgm:cxn modelId="{6B6C57AE-F746-46A1-9782-EF2A915DB773}" type="presOf" srcId="{B9AF7E2E-B804-4232-AC27-38D18AC1B921}" destId="{9059F6E0-98D0-4E87-813A-F8CC20935990}" srcOrd="0" destOrd="0" presId="urn:microsoft.com/office/officeart/2005/8/layout/hierarchy3"/>
    <dgm:cxn modelId="{0D6BFFAF-76B9-4D59-B52E-5EB627F0E8EC}" type="presOf" srcId="{18D475A8-8FD7-45AE-8D7B-9ADC73EA5B6A}" destId="{2C06ADDF-9230-4F27-BC54-BF2A5B7A2AEF}" srcOrd="0" destOrd="0" presId="urn:microsoft.com/office/officeart/2005/8/layout/hierarchy3"/>
    <dgm:cxn modelId="{C2865FB3-AA08-4A07-B2F5-063579BE6471}" type="presOf" srcId="{17604A48-B839-4C52-95CE-E5BE29678044}" destId="{8D93E741-98F3-4687-B2E0-10620E99A49D}" srcOrd="0" destOrd="0" presId="urn:microsoft.com/office/officeart/2005/8/layout/hierarchy3"/>
    <dgm:cxn modelId="{58C5CFB7-2684-4DDC-B563-58A3AF853549}" type="presOf" srcId="{29F1F443-E691-48B3-BE64-7E89DA3F8E4C}" destId="{2AF8C0EC-DCBF-45FB-80CD-726BE38B4AD5}" srcOrd="0" destOrd="0" presId="urn:microsoft.com/office/officeart/2005/8/layout/hierarchy3"/>
    <dgm:cxn modelId="{8B2793B9-DBCB-48F3-A8E1-D55557D9648A}" type="presOf" srcId="{E6878B4D-78CC-42CE-81A5-65CE5195870F}" destId="{E2E97733-7EEF-45C9-BCF5-2953106C6F5D}" srcOrd="0" destOrd="0" presId="urn:microsoft.com/office/officeart/2005/8/layout/hierarchy3"/>
    <dgm:cxn modelId="{C609BEBB-E227-4F5B-92EF-51BB4BAD3227}" type="presOf" srcId="{5D613038-8DFA-4240-AB6D-A4A143B3FCD3}" destId="{588E6A7D-0689-4956-A0C3-5E59B0E603E6}" srcOrd="0" destOrd="0" presId="urn:microsoft.com/office/officeart/2005/8/layout/hierarchy3"/>
    <dgm:cxn modelId="{7D6B8BC1-E259-44B5-B916-CC51BA232F51}" type="presOf" srcId="{349DAA20-D616-416F-86D7-08B6C838B0A5}" destId="{132CE206-BE65-450D-8222-6B3D6CBAC15E}" srcOrd="0" destOrd="0" presId="urn:microsoft.com/office/officeart/2005/8/layout/hierarchy3"/>
    <dgm:cxn modelId="{7E34A9C1-8CA2-4A78-8B96-E41F526482B5}" srcId="{DC59F939-9ECF-4636-BE6A-637F9217A3C3}" destId="{B3D9CB4D-CB6C-4848-AD65-41291579FF77}" srcOrd="0" destOrd="0" parTransId="{1A6A1D49-FE7F-4D3F-A931-15820987AD11}" sibTransId="{250F3299-FBAD-4FF0-BD74-5DDAD90F5296}"/>
    <dgm:cxn modelId="{78AE4DC6-7F0E-43B8-BC59-9CD664B47496}" srcId="{5D613038-8DFA-4240-AB6D-A4A143B3FCD3}" destId="{DC59F939-9ECF-4636-BE6A-637F9217A3C3}" srcOrd="1" destOrd="0" parTransId="{AA387BE2-45AE-479E-9843-57998FB6EF83}" sibTransId="{CF6CA1AA-CE86-4583-A343-FA7AA57C446F}"/>
    <dgm:cxn modelId="{AE7B37CB-FCB1-49AB-9E1D-67B28D0AE041}" type="presOf" srcId="{4767EC5A-4FD9-4064-BCEE-D5741F14055F}" destId="{87FB2659-6023-47FF-B5A7-99F35F29A94B}" srcOrd="0" destOrd="0" presId="urn:microsoft.com/office/officeart/2005/8/layout/hierarchy3"/>
    <dgm:cxn modelId="{F85606D0-56BB-4308-8023-35D54A6629B9}" type="presOf" srcId="{DC59F939-9ECF-4636-BE6A-637F9217A3C3}" destId="{BF1D0CE4-5478-4426-B8B4-D80C6A71A82C}" srcOrd="1" destOrd="0" presId="urn:microsoft.com/office/officeart/2005/8/layout/hierarchy3"/>
    <dgm:cxn modelId="{705658D4-B94B-494C-BA67-D8D40BCD8584}" type="presOf" srcId="{2F85FD25-E5EA-4079-B0CE-E206478C278E}" destId="{56DCFB44-26B1-40CC-B79A-BCEA253890C8}" srcOrd="0" destOrd="0" presId="urn:microsoft.com/office/officeart/2005/8/layout/hierarchy3"/>
    <dgm:cxn modelId="{1BD803D5-CE09-472B-A400-C13018E41199}" type="presOf" srcId="{FA56E62D-F808-436A-A959-E039975E6F94}" destId="{07D9A8F2-25E4-47FB-B546-BD2FA0D182E3}" srcOrd="0" destOrd="0" presId="urn:microsoft.com/office/officeart/2005/8/layout/hierarchy3"/>
    <dgm:cxn modelId="{FC46DED5-CC2A-4B69-8EF4-C3674ACDE89F}" type="presOf" srcId="{F33A4E06-3150-453C-9CB1-59C43678ACDE}" destId="{4109BF42-DE84-4B5F-96D3-2AE139D8AF5A}" srcOrd="0" destOrd="0" presId="urn:microsoft.com/office/officeart/2005/8/layout/hierarchy3"/>
    <dgm:cxn modelId="{1B83B5E0-3B0B-4B89-80E2-D74AE5865A2B}" srcId="{5C167686-6C7A-44F5-81D4-AEF7C87A8E7D}" destId="{2F85FD25-E5EA-4079-B0CE-E206478C278E}" srcOrd="2" destOrd="0" parTransId="{A7933D80-9C42-41F3-A563-9F2735294F17}" sibTransId="{92D8196A-69AF-4F4E-B11D-0D2F8A49C071}"/>
    <dgm:cxn modelId="{F0E831E5-DF02-4B34-916F-75EDC00EDCBE}" srcId="{E4104061-7C52-4F3F-A102-E2390E38363B}" destId="{6434E709-4D9B-4CA6-A176-67C98990FFEB}" srcOrd="4" destOrd="0" parTransId="{A05F4C5D-32EB-4CF3-A3A6-7904FD39F448}" sibTransId="{020E664C-EF88-4991-B25C-BB29F025CD53}"/>
    <dgm:cxn modelId="{F5A4E4E6-6D9E-400F-8D1B-EBF4E084C437}" type="presOf" srcId="{DC59F939-9ECF-4636-BE6A-637F9217A3C3}" destId="{C51A834D-DED8-4928-9455-9D1D2AD21994}" srcOrd="0" destOrd="0" presId="urn:microsoft.com/office/officeart/2005/8/layout/hierarchy3"/>
    <dgm:cxn modelId="{8D650EE8-A0F4-4B09-B699-117E1318C7FB}" srcId="{DC59F939-9ECF-4636-BE6A-637F9217A3C3}" destId="{29F1F443-E691-48B3-BE64-7E89DA3F8E4C}" srcOrd="1" destOrd="0" parTransId="{03FE0041-952A-4989-B14D-3056A237B949}" sibTransId="{464A6941-A89B-49B4-983A-FFC8CEEDB065}"/>
    <dgm:cxn modelId="{E3235FEC-A681-4F92-8E98-6221A87BBDB0}" type="presOf" srcId="{0F7B394B-DCA9-4B52-9D1D-90A9B3543B66}" destId="{E06FD38F-D717-4699-8F6B-57ACC618FBC5}" srcOrd="0" destOrd="0" presId="urn:microsoft.com/office/officeart/2005/8/layout/hierarchy3"/>
    <dgm:cxn modelId="{6A95AEF3-C74B-4754-A5A0-653315EA8038}" srcId="{5D613038-8DFA-4240-AB6D-A4A143B3FCD3}" destId="{E4104061-7C52-4F3F-A102-E2390E38363B}" srcOrd="2" destOrd="0" parTransId="{04DD6A0F-1592-460A-8526-D0AAFD0E4D23}" sibTransId="{5DFE5A4F-773A-4640-A23C-A82872E5DCC4}"/>
    <dgm:cxn modelId="{97444BF6-797B-4388-8984-D971061F3BD9}" srcId="{E4104061-7C52-4F3F-A102-E2390E38363B}" destId="{16EF016C-D0E2-456A-A200-D871CF77FF45}" srcOrd="2" destOrd="0" parTransId="{4767EC5A-4FD9-4064-BCEE-D5741F14055F}" sibTransId="{72C35BC5-4555-4988-A83E-C43ED22CE5F9}"/>
    <dgm:cxn modelId="{DF2F82F6-890F-45E2-89FB-6CA64990B003}" type="presOf" srcId="{50D4FEF4-5EE9-4CC4-AA42-B528CFF84D8F}" destId="{5999C34C-56A2-4D6E-9598-E091DEB95A40}" srcOrd="0" destOrd="0" presId="urn:microsoft.com/office/officeart/2005/8/layout/hierarchy3"/>
    <dgm:cxn modelId="{4864CAF9-3DCE-4F49-A6A9-B72A9D843EC8}" srcId="{5C167686-6C7A-44F5-81D4-AEF7C87A8E7D}" destId="{56E1ADFE-96F9-4E7F-9094-A06E23A044EC}" srcOrd="0" destOrd="0" parTransId="{542103CA-CB91-4728-88B3-6001D9BE5A35}" sibTransId="{8576EC12-8085-48CF-8CC0-2EFFA6BDD16A}"/>
    <dgm:cxn modelId="{358E22FF-581F-44FA-9545-4EBB7F9D240A}" type="presOf" srcId="{6434E709-4D9B-4CA6-A176-67C98990FFEB}" destId="{1FAA40A3-FB74-4F5C-BB1F-7151B0803F20}" srcOrd="0" destOrd="0" presId="urn:microsoft.com/office/officeart/2005/8/layout/hierarchy3"/>
    <dgm:cxn modelId="{7F36DAFF-847B-4B3A-9F94-55727801851B}" srcId="{E4104061-7C52-4F3F-A102-E2390E38363B}" destId="{B51AEF47-1E14-436A-A316-1157E7DF0C02}" srcOrd="5" destOrd="0" parTransId="{65520066-3DF8-49E2-9430-D299C2FF4B25}" sibTransId="{18225272-4340-4AB5-BA1F-A59D403A3065}"/>
    <dgm:cxn modelId="{6AD98180-8619-432D-99E0-9EFD3415350B}" type="presParOf" srcId="{588E6A7D-0689-4956-A0C3-5E59B0E603E6}" destId="{82358BDC-6D4F-4E2A-BC60-5EADE270D21B}" srcOrd="0" destOrd="0" presId="urn:microsoft.com/office/officeart/2005/8/layout/hierarchy3"/>
    <dgm:cxn modelId="{3EF59FC9-3B75-4FCF-925F-EBB3E85154A9}" type="presParOf" srcId="{82358BDC-6D4F-4E2A-BC60-5EADE270D21B}" destId="{51FAA8FB-2C77-47DC-B4D3-344A61BF772D}" srcOrd="0" destOrd="0" presId="urn:microsoft.com/office/officeart/2005/8/layout/hierarchy3"/>
    <dgm:cxn modelId="{8F7BB9CE-3DFA-4F7A-8677-5C052FF97289}" type="presParOf" srcId="{51FAA8FB-2C77-47DC-B4D3-344A61BF772D}" destId="{4543F5A5-412E-4B80-859C-16CC093DC9A8}" srcOrd="0" destOrd="0" presId="urn:microsoft.com/office/officeart/2005/8/layout/hierarchy3"/>
    <dgm:cxn modelId="{12730527-0A18-4860-9848-623A15670A54}" type="presParOf" srcId="{51FAA8FB-2C77-47DC-B4D3-344A61BF772D}" destId="{5ECD7826-87C9-4FD1-9484-49548AB744F8}" srcOrd="1" destOrd="0" presId="urn:microsoft.com/office/officeart/2005/8/layout/hierarchy3"/>
    <dgm:cxn modelId="{18EF7D7D-F451-4C93-B0CA-145877101ED4}" type="presParOf" srcId="{82358BDC-6D4F-4E2A-BC60-5EADE270D21B}" destId="{5F9DA0AE-DB64-4937-A702-7BF74283B933}" srcOrd="1" destOrd="0" presId="urn:microsoft.com/office/officeart/2005/8/layout/hierarchy3"/>
    <dgm:cxn modelId="{7188C6A0-7A1E-4812-9181-61881BC7AD1D}" type="presParOf" srcId="{5F9DA0AE-DB64-4937-A702-7BF74283B933}" destId="{576C2AAB-ADAA-482F-98AE-67FBFC829707}" srcOrd="0" destOrd="0" presId="urn:microsoft.com/office/officeart/2005/8/layout/hierarchy3"/>
    <dgm:cxn modelId="{921AC05C-D1DB-4438-BC0C-93E27AC260FD}" type="presParOf" srcId="{5F9DA0AE-DB64-4937-A702-7BF74283B933}" destId="{842CD34A-19C0-4C53-80F3-9C43EEED90AD}" srcOrd="1" destOrd="0" presId="urn:microsoft.com/office/officeart/2005/8/layout/hierarchy3"/>
    <dgm:cxn modelId="{C41ACE58-5CD1-493F-9227-6B9A5AB44757}" type="presParOf" srcId="{5F9DA0AE-DB64-4937-A702-7BF74283B933}" destId="{59125463-618B-4E39-A0BF-3E231825AECE}" srcOrd="2" destOrd="0" presId="urn:microsoft.com/office/officeart/2005/8/layout/hierarchy3"/>
    <dgm:cxn modelId="{BCF5AD1C-2E4E-41DA-A9E8-A057A409E850}" type="presParOf" srcId="{5F9DA0AE-DB64-4937-A702-7BF74283B933}" destId="{07D9A8F2-25E4-47FB-B546-BD2FA0D182E3}" srcOrd="3" destOrd="0" presId="urn:microsoft.com/office/officeart/2005/8/layout/hierarchy3"/>
    <dgm:cxn modelId="{FA04FD07-8D9E-4EA2-8F15-A0938E4733FE}" type="presParOf" srcId="{5F9DA0AE-DB64-4937-A702-7BF74283B933}" destId="{CDBC3CCC-43B7-4DD7-9FD1-CB54A608CC8A}" srcOrd="4" destOrd="0" presId="urn:microsoft.com/office/officeart/2005/8/layout/hierarchy3"/>
    <dgm:cxn modelId="{2DE3C819-5E76-4C75-B747-C5E0646865DE}" type="presParOf" srcId="{5F9DA0AE-DB64-4937-A702-7BF74283B933}" destId="{56DCFB44-26B1-40CC-B79A-BCEA253890C8}" srcOrd="5" destOrd="0" presId="urn:microsoft.com/office/officeart/2005/8/layout/hierarchy3"/>
    <dgm:cxn modelId="{563FC06F-F599-42D1-867F-625B73130359}" type="presParOf" srcId="{5F9DA0AE-DB64-4937-A702-7BF74283B933}" destId="{DDE50AE9-00AB-40E7-B063-6EA4181F6F65}" srcOrd="6" destOrd="0" presId="urn:microsoft.com/office/officeart/2005/8/layout/hierarchy3"/>
    <dgm:cxn modelId="{98B6EEB3-4BDE-40E7-A000-D9EF8D1FA64E}" type="presParOf" srcId="{5F9DA0AE-DB64-4937-A702-7BF74283B933}" destId="{E7963517-6168-4C5B-A0F2-C646714DA71A}" srcOrd="7" destOrd="0" presId="urn:microsoft.com/office/officeart/2005/8/layout/hierarchy3"/>
    <dgm:cxn modelId="{4B63485C-EAD9-41FC-B717-893FE3FBBE9D}" type="presParOf" srcId="{588E6A7D-0689-4956-A0C3-5E59B0E603E6}" destId="{5E988275-2457-456F-A37C-48B65F13E1BF}" srcOrd="1" destOrd="0" presId="urn:microsoft.com/office/officeart/2005/8/layout/hierarchy3"/>
    <dgm:cxn modelId="{EB1BA0DF-CB12-4A76-8B45-6C2BB5E0329E}" type="presParOf" srcId="{5E988275-2457-456F-A37C-48B65F13E1BF}" destId="{42719EA5-C32C-4821-9DE3-CD1DFECEED1A}" srcOrd="0" destOrd="0" presId="urn:microsoft.com/office/officeart/2005/8/layout/hierarchy3"/>
    <dgm:cxn modelId="{A218AAB4-35D6-4234-BDB7-6921C5EF1A94}" type="presParOf" srcId="{42719EA5-C32C-4821-9DE3-CD1DFECEED1A}" destId="{C51A834D-DED8-4928-9455-9D1D2AD21994}" srcOrd="0" destOrd="0" presId="urn:microsoft.com/office/officeart/2005/8/layout/hierarchy3"/>
    <dgm:cxn modelId="{DD5AD75F-4961-46C1-B954-9D64EC16F6B1}" type="presParOf" srcId="{42719EA5-C32C-4821-9DE3-CD1DFECEED1A}" destId="{BF1D0CE4-5478-4426-B8B4-D80C6A71A82C}" srcOrd="1" destOrd="0" presId="urn:microsoft.com/office/officeart/2005/8/layout/hierarchy3"/>
    <dgm:cxn modelId="{84CB9847-69A0-4BB3-BE6A-ABC3718963C9}" type="presParOf" srcId="{5E988275-2457-456F-A37C-48B65F13E1BF}" destId="{37DE49EF-AED1-461E-973F-7E43EF5043E2}" srcOrd="1" destOrd="0" presId="urn:microsoft.com/office/officeart/2005/8/layout/hierarchy3"/>
    <dgm:cxn modelId="{C1AE8BA7-7B38-454A-AD28-D30C84C32777}" type="presParOf" srcId="{37DE49EF-AED1-461E-973F-7E43EF5043E2}" destId="{BECFE8F1-E1A6-47CF-BEF3-3B5EAEC21673}" srcOrd="0" destOrd="0" presId="urn:microsoft.com/office/officeart/2005/8/layout/hierarchy3"/>
    <dgm:cxn modelId="{5BD8E99B-D4A8-4BF1-BE7D-D7470E8237B3}" type="presParOf" srcId="{37DE49EF-AED1-461E-973F-7E43EF5043E2}" destId="{E43EF2A8-93E4-451D-8123-8961F397D192}" srcOrd="1" destOrd="0" presId="urn:microsoft.com/office/officeart/2005/8/layout/hierarchy3"/>
    <dgm:cxn modelId="{6E052CB0-48E9-403F-B324-0D6206944A7C}" type="presParOf" srcId="{37DE49EF-AED1-461E-973F-7E43EF5043E2}" destId="{BD310360-5117-423B-8E72-2334648CE35E}" srcOrd="2" destOrd="0" presId="urn:microsoft.com/office/officeart/2005/8/layout/hierarchy3"/>
    <dgm:cxn modelId="{3E9188D5-E8A1-4D81-ABB4-E34BB7FB5F22}" type="presParOf" srcId="{37DE49EF-AED1-461E-973F-7E43EF5043E2}" destId="{2AF8C0EC-DCBF-45FB-80CD-726BE38B4AD5}" srcOrd="3" destOrd="0" presId="urn:microsoft.com/office/officeart/2005/8/layout/hierarchy3"/>
    <dgm:cxn modelId="{EC6B63DD-838E-43BA-9C85-37AADF640708}" type="presParOf" srcId="{588E6A7D-0689-4956-A0C3-5E59B0E603E6}" destId="{2C167F67-C556-400E-AF24-8ADCF724E344}" srcOrd="2" destOrd="0" presId="urn:microsoft.com/office/officeart/2005/8/layout/hierarchy3"/>
    <dgm:cxn modelId="{1A4E30D2-E0E1-43F9-A8CC-DE74C35A0EB6}" type="presParOf" srcId="{2C167F67-C556-400E-AF24-8ADCF724E344}" destId="{76A611F1-5D9A-4884-9ED8-662D98755435}" srcOrd="0" destOrd="0" presId="urn:microsoft.com/office/officeart/2005/8/layout/hierarchy3"/>
    <dgm:cxn modelId="{0337B1B8-C978-4BE7-A094-BAEA82310617}" type="presParOf" srcId="{76A611F1-5D9A-4884-9ED8-662D98755435}" destId="{9D1F2C4E-70D6-4E4B-AE55-FDC54787A537}" srcOrd="0" destOrd="0" presId="urn:microsoft.com/office/officeart/2005/8/layout/hierarchy3"/>
    <dgm:cxn modelId="{CFD9631B-0BE0-4F7C-BCAC-7B9B4AC38EC2}" type="presParOf" srcId="{76A611F1-5D9A-4884-9ED8-662D98755435}" destId="{15775999-3B95-40B7-B657-08BAD8A81525}" srcOrd="1" destOrd="0" presId="urn:microsoft.com/office/officeart/2005/8/layout/hierarchy3"/>
    <dgm:cxn modelId="{95E3180B-744E-4EAF-8B81-B3000B9CB3DF}" type="presParOf" srcId="{2C167F67-C556-400E-AF24-8ADCF724E344}" destId="{D58DF4B5-81D5-41E3-BA3C-A94DCE35DF31}" srcOrd="1" destOrd="0" presId="urn:microsoft.com/office/officeart/2005/8/layout/hierarchy3"/>
    <dgm:cxn modelId="{D4C822C9-631D-4859-8E49-AC359DA7C6B2}" type="presParOf" srcId="{D58DF4B5-81D5-41E3-BA3C-A94DCE35DF31}" destId="{9059F6E0-98D0-4E87-813A-F8CC20935990}" srcOrd="0" destOrd="0" presId="urn:microsoft.com/office/officeart/2005/8/layout/hierarchy3"/>
    <dgm:cxn modelId="{217D88D6-853C-4374-9351-49702DE68EE4}" type="presParOf" srcId="{D58DF4B5-81D5-41E3-BA3C-A94DCE35DF31}" destId="{4109BF42-DE84-4B5F-96D3-2AE139D8AF5A}" srcOrd="1" destOrd="0" presId="urn:microsoft.com/office/officeart/2005/8/layout/hierarchy3"/>
    <dgm:cxn modelId="{910A0144-43E4-4318-B063-588EDC5704A9}" type="presParOf" srcId="{D58DF4B5-81D5-41E3-BA3C-A94DCE35DF31}" destId="{5999C34C-56A2-4D6E-9598-E091DEB95A40}" srcOrd="2" destOrd="0" presId="urn:microsoft.com/office/officeart/2005/8/layout/hierarchy3"/>
    <dgm:cxn modelId="{F69F0F33-3CE2-42DC-B53E-C8DFCF253E33}" type="presParOf" srcId="{D58DF4B5-81D5-41E3-BA3C-A94DCE35DF31}" destId="{1CC31CAD-6B22-4CCB-8792-F3606CB32A8E}" srcOrd="3" destOrd="0" presId="urn:microsoft.com/office/officeart/2005/8/layout/hierarchy3"/>
    <dgm:cxn modelId="{B57BF68A-2CF3-417E-BE3A-05ED46D0A989}" type="presParOf" srcId="{D58DF4B5-81D5-41E3-BA3C-A94DCE35DF31}" destId="{87FB2659-6023-47FF-B5A7-99F35F29A94B}" srcOrd="4" destOrd="0" presId="urn:microsoft.com/office/officeart/2005/8/layout/hierarchy3"/>
    <dgm:cxn modelId="{C548692C-8EE8-4E54-A2E0-EA2E2F15F206}" type="presParOf" srcId="{D58DF4B5-81D5-41E3-BA3C-A94DCE35DF31}" destId="{35FD531E-7A32-4061-9DE8-8F22627247D9}" srcOrd="5" destOrd="0" presId="urn:microsoft.com/office/officeart/2005/8/layout/hierarchy3"/>
    <dgm:cxn modelId="{2CA9E16E-3D06-4DD4-8099-179228E22760}" type="presParOf" srcId="{D58DF4B5-81D5-41E3-BA3C-A94DCE35DF31}" destId="{132CE206-BE65-450D-8222-6B3D6CBAC15E}" srcOrd="6" destOrd="0" presId="urn:microsoft.com/office/officeart/2005/8/layout/hierarchy3"/>
    <dgm:cxn modelId="{1A7E08A5-4197-4553-B2D6-D5CBAC226971}" type="presParOf" srcId="{D58DF4B5-81D5-41E3-BA3C-A94DCE35DF31}" destId="{2C06ADDF-9230-4F27-BC54-BF2A5B7A2AEF}" srcOrd="7" destOrd="0" presId="urn:microsoft.com/office/officeart/2005/8/layout/hierarchy3"/>
    <dgm:cxn modelId="{1A44F7C1-8700-42DB-A9D7-6A417607C04C}" type="presParOf" srcId="{D58DF4B5-81D5-41E3-BA3C-A94DCE35DF31}" destId="{05A7C06B-D0C9-4D61-B9E5-E9C440635916}" srcOrd="8" destOrd="0" presId="urn:microsoft.com/office/officeart/2005/8/layout/hierarchy3"/>
    <dgm:cxn modelId="{09AA44E5-C819-47E8-84BD-A294AB2F4683}" type="presParOf" srcId="{D58DF4B5-81D5-41E3-BA3C-A94DCE35DF31}" destId="{1FAA40A3-FB74-4F5C-BB1F-7151B0803F20}" srcOrd="9" destOrd="0" presId="urn:microsoft.com/office/officeart/2005/8/layout/hierarchy3"/>
    <dgm:cxn modelId="{73128930-E67A-4BBC-8770-E0B19F8CFCC9}" type="presParOf" srcId="{D58DF4B5-81D5-41E3-BA3C-A94DCE35DF31}" destId="{4D537B13-B575-45A0-85DA-7BE61C7D7C7B}" srcOrd="10" destOrd="0" presId="urn:microsoft.com/office/officeart/2005/8/layout/hierarchy3"/>
    <dgm:cxn modelId="{2EA186D8-3D36-48CD-AEC0-EDE124CF9F2E}" type="presParOf" srcId="{D58DF4B5-81D5-41E3-BA3C-A94DCE35DF31}" destId="{8DA8FAF0-C2A6-4042-BF7E-90972D164F13}" srcOrd="11" destOrd="0" presId="urn:microsoft.com/office/officeart/2005/8/layout/hierarchy3"/>
    <dgm:cxn modelId="{3E34E521-F91B-4FCA-837C-7A1D1CAC47A5}" type="presParOf" srcId="{D58DF4B5-81D5-41E3-BA3C-A94DCE35DF31}" destId="{E06FD38F-D717-4699-8F6B-57ACC618FBC5}" srcOrd="12" destOrd="0" presId="urn:microsoft.com/office/officeart/2005/8/layout/hierarchy3"/>
    <dgm:cxn modelId="{EE5AB7D1-A1AC-4D97-A442-5A00BBC23EE4}" type="presParOf" srcId="{D58DF4B5-81D5-41E3-BA3C-A94DCE35DF31}" destId="{04CB6DE0-0B53-48AC-974C-B3728D570352}" srcOrd="13" destOrd="0" presId="urn:microsoft.com/office/officeart/2005/8/layout/hierarchy3"/>
    <dgm:cxn modelId="{B97011A2-B1C8-4FB5-ADCC-7797BD0D2EAA}" type="presParOf" srcId="{D58DF4B5-81D5-41E3-BA3C-A94DCE35DF31}" destId="{E2E97733-7EEF-45C9-BCF5-2953106C6F5D}" srcOrd="14" destOrd="0" presId="urn:microsoft.com/office/officeart/2005/8/layout/hierarchy3"/>
    <dgm:cxn modelId="{E352AC7B-BBBD-47A5-AECD-C2A70563AEBA}" type="presParOf" srcId="{D58DF4B5-81D5-41E3-BA3C-A94DCE35DF31}" destId="{8D93E741-98F3-4687-B2E0-10620E99A49D}" srcOrd="15" destOrd="0" presId="urn:microsoft.com/office/officeart/2005/8/layout/hierarchy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6A9B161E-3EF1-40A8-8069-50372124E02A}" type="doc">
      <dgm:prSet loTypeId="urn:microsoft.com/office/officeart/2005/8/layout/vList2" loCatId="list" qsTypeId="urn:microsoft.com/office/officeart/2005/8/quickstyle/simple1#6" qsCatId="simple" csTypeId="urn:microsoft.com/office/officeart/2005/8/colors/accent1_2#5" csCatId="accent1" phldr="1"/>
      <dgm:spPr/>
      <dgm:t>
        <a:bodyPr/>
        <a:lstStyle/>
        <a:p>
          <a:endParaRPr lang="en-US"/>
        </a:p>
      </dgm:t>
    </dgm:pt>
    <dgm:pt modelId="{056750EA-28C6-42E5-9AEC-EBA2EFF59F9A}">
      <dgm:prSet phldrT="[Text]" custT="1">
        <dgm:style>
          <a:lnRef idx="1">
            <a:schemeClr val="accent2"/>
          </a:lnRef>
          <a:fillRef idx="2">
            <a:schemeClr val="accent2"/>
          </a:fillRef>
          <a:effectRef idx="1">
            <a:schemeClr val="accent2"/>
          </a:effectRef>
          <a:fontRef idx="minor">
            <a:schemeClr val="dk1"/>
          </a:fontRef>
        </dgm:style>
      </dgm:prSet>
      <dgm:spPr/>
      <dgm:t>
        <a:bodyPr/>
        <a:lstStyle/>
        <a:p>
          <a:r>
            <a:rPr lang="en-US" sz="1400" b="1"/>
            <a:t>Lấy input</a:t>
          </a:r>
        </a:p>
      </dgm:t>
    </dgm:pt>
    <dgm:pt modelId="{C8C2B71C-D3F0-4CAF-BBD5-22815945606D}" type="parTrans" cxnId="{76639462-F22B-4888-8112-55B8F9CD4F12}">
      <dgm:prSet/>
      <dgm:spPr/>
      <dgm:t>
        <a:bodyPr/>
        <a:lstStyle/>
        <a:p>
          <a:endParaRPr lang="en-US" sz="1100"/>
        </a:p>
      </dgm:t>
    </dgm:pt>
    <dgm:pt modelId="{C9593A91-A108-4DAE-87AE-920745B349EF}" type="sibTrans" cxnId="{76639462-F22B-4888-8112-55B8F9CD4F12}">
      <dgm:prSet/>
      <dgm:spPr/>
      <dgm:t>
        <a:bodyPr/>
        <a:lstStyle/>
        <a:p>
          <a:endParaRPr lang="en-US" sz="1100"/>
        </a:p>
      </dgm:t>
    </dgm:pt>
    <dgm:pt modelId="{5D978180-E491-4C5A-AE49-FFC323490690}">
      <dgm:prSet phldrT="[Text]" custT="1"/>
      <dgm:spPr/>
      <dgm:t>
        <a:bodyPr anchor="ctr"/>
        <a:lstStyle/>
        <a:p>
          <a:r>
            <a:rPr lang="en-US" sz="1100"/>
            <a:t>2 input từ folder 53</a:t>
          </a:r>
        </a:p>
      </dgm:t>
    </dgm:pt>
    <dgm:pt modelId="{F8B806FC-0871-43C4-AF8C-69BF1926174F}" type="parTrans" cxnId="{19C1D8BD-517F-4773-9109-59132409AEF6}">
      <dgm:prSet/>
      <dgm:spPr/>
      <dgm:t>
        <a:bodyPr/>
        <a:lstStyle/>
        <a:p>
          <a:endParaRPr lang="en-US" sz="1100"/>
        </a:p>
      </dgm:t>
    </dgm:pt>
    <dgm:pt modelId="{3EF861E6-06F3-4DFD-AD45-F2A0246C25CE}" type="sibTrans" cxnId="{19C1D8BD-517F-4773-9109-59132409AEF6}">
      <dgm:prSet/>
      <dgm:spPr/>
      <dgm:t>
        <a:bodyPr/>
        <a:lstStyle/>
        <a:p>
          <a:endParaRPr lang="en-US" sz="1100"/>
        </a:p>
      </dgm:t>
    </dgm:pt>
    <dgm:pt modelId="{D3F5F35B-C95E-46AB-A256-45E3C5C411A0}">
      <dgm:prSet phldrT="[Text]" custT="1">
        <dgm:style>
          <a:lnRef idx="1">
            <a:schemeClr val="accent2"/>
          </a:lnRef>
          <a:fillRef idx="2">
            <a:schemeClr val="accent2"/>
          </a:fillRef>
          <a:effectRef idx="1">
            <a:schemeClr val="accent2"/>
          </a:effectRef>
          <a:fontRef idx="minor">
            <a:schemeClr val="dk1"/>
          </a:fontRef>
        </dgm:style>
      </dgm:prSet>
      <dgm:spPr/>
      <dgm:t>
        <a:bodyPr/>
        <a:lstStyle/>
        <a:p>
          <a:r>
            <a:rPr lang="en-US" sz="1400" b="1"/>
            <a:t>Runtool</a:t>
          </a:r>
        </a:p>
      </dgm:t>
    </dgm:pt>
    <dgm:pt modelId="{4970712A-D9B1-421B-B618-30F9874D6361}" type="parTrans" cxnId="{6E5136F5-8475-4B7C-A9BB-DB58870328A6}">
      <dgm:prSet/>
      <dgm:spPr/>
      <dgm:t>
        <a:bodyPr/>
        <a:lstStyle/>
        <a:p>
          <a:endParaRPr lang="en-US" sz="1100"/>
        </a:p>
      </dgm:t>
    </dgm:pt>
    <dgm:pt modelId="{3644DDF0-13D9-418E-A998-A408574782E4}" type="sibTrans" cxnId="{6E5136F5-8475-4B7C-A9BB-DB58870328A6}">
      <dgm:prSet/>
      <dgm:spPr/>
      <dgm:t>
        <a:bodyPr/>
        <a:lstStyle/>
        <a:p>
          <a:endParaRPr lang="en-US" sz="1100"/>
        </a:p>
      </dgm:t>
    </dgm:pt>
    <dgm:pt modelId="{FC9EC416-96D3-402B-9711-7D6D5AC9F614}">
      <dgm:prSet phldrT="[Text]" custT="1"/>
      <dgm:spPr/>
      <dgm:t>
        <a:bodyPr anchor="ctr"/>
        <a:lstStyle/>
        <a:p>
          <a:r>
            <a:rPr lang="en-US" sz="1100"/>
            <a:t>Bấm nút refresh</a:t>
          </a:r>
        </a:p>
      </dgm:t>
    </dgm:pt>
    <dgm:pt modelId="{12DB91DB-C7B1-4A46-80AE-ABF5AD704868}" type="parTrans" cxnId="{7B6726A2-F1D8-46D8-9D83-C22506CD2593}">
      <dgm:prSet/>
      <dgm:spPr/>
      <dgm:t>
        <a:bodyPr/>
        <a:lstStyle/>
        <a:p>
          <a:endParaRPr lang="en-US" sz="1100"/>
        </a:p>
      </dgm:t>
    </dgm:pt>
    <dgm:pt modelId="{6DF0C330-F356-481C-A133-4984457679A8}" type="sibTrans" cxnId="{7B6726A2-F1D8-46D8-9D83-C22506CD2593}">
      <dgm:prSet/>
      <dgm:spPr/>
      <dgm:t>
        <a:bodyPr/>
        <a:lstStyle/>
        <a:p>
          <a:endParaRPr lang="en-US" sz="1100"/>
        </a:p>
      </dgm:t>
    </dgm:pt>
    <dgm:pt modelId="{9CC20EFB-6941-46E6-B84E-30F9A4F777B7}">
      <dgm:prSet phldrT="[Text]" custT="1"/>
      <dgm:spPr/>
      <dgm:t>
        <a:bodyPr anchor="ctr"/>
        <a:lstStyle/>
        <a:p>
          <a:r>
            <a:rPr lang="en-US" sz="1100"/>
            <a:t>Double check &amp; upload 53</a:t>
          </a:r>
        </a:p>
      </dgm:t>
    </dgm:pt>
    <dgm:pt modelId="{C918E373-1C43-4FE0-9F8D-71E75CAB3731}" type="parTrans" cxnId="{DD33A2F9-97AC-46F3-8B3F-4E19749EBCFE}">
      <dgm:prSet/>
      <dgm:spPr/>
      <dgm:t>
        <a:bodyPr/>
        <a:lstStyle/>
        <a:p>
          <a:endParaRPr lang="en-US" sz="1100"/>
        </a:p>
      </dgm:t>
    </dgm:pt>
    <dgm:pt modelId="{2EDEE18A-35A4-4416-9A3D-B5F7D232089F}" type="sibTrans" cxnId="{DD33A2F9-97AC-46F3-8B3F-4E19749EBCFE}">
      <dgm:prSet/>
      <dgm:spPr/>
      <dgm:t>
        <a:bodyPr/>
        <a:lstStyle/>
        <a:p>
          <a:endParaRPr lang="en-US" sz="1100"/>
        </a:p>
      </dgm:t>
    </dgm:pt>
    <dgm:pt modelId="{D4604F27-0AEF-4B4F-9E43-1B1862C4F1B8}">
      <dgm:prSet phldrT="[Text]" custT="1"/>
      <dgm:spPr/>
      <dgm:t>
        <a:bodyPr anchor="ctr"/>
        <a:lstStyle/>
        <a:p>
          <a:r>
            <a:rPr lang="en-US" sz="1100"/>
            <a:t>1 file GTGD TPDN từ mail VBMA</a:t>
          </a:r>
        </a:p>
      </dgm:t>
    </dgm:pt>
    <dgm:pt modelId="{BE7EA624-6EE1-4ACE-826E-17BFCD617829}" type="parTrans" cxnId="{6AF2D2E5-8C38-44AD-82EE-252F37EEED60}">
      <dgm:prSet/>
      <dgm:spPr/>
      <dgm:t>
        <a:bodyPr/>
        <a:lstStyle/>
        <a:p>
          <a:endParaRPr lang="en-US" sz="1100"/>
        </a:p>
      </dgm:t>
    </dgm:pt>
    <dgm:pt modelId="{356A870C-6AE2-4099-8980-1E9D9BA8961B}" type="sibTrans" cxnId="{6AF2D2E5-8C38-44AD-82EE-252F37EEED60}">
      <dgm:prSet/>
      <dgm:spPr/>
      <dgm:t>
        <a:bodyPr/>
        <a:lstStyle/>
        <a:p>
          <a:endParaRPr lang="en-US" sz="1100"/>
        </a:p>
      </dgm:t>
    </dgm:pt>
    <dgm:pt modelId="{DD6D4CE0-3BB9-465E-9068-51C143DD34C9}">
      <dgm:prSet phldrT="[Text]" custT="1"/>
      <dgm:spPr/>
      <dgm:t>
        <a:bodyPr anchor="ctr"/>
        <a:lstStyle/>
        <a:p>
          <a:r>
            <a:rPr lang="en-US" sz="1100" i="1"/>
            <a:t>Nếu có cty chưa được phân ngành thì copy ra cột E-H của sheet Ref</a:t>
          </a:r>
        </a:p>
      </dgm:t>
    </dgm:pt>
    <dgm:pt modelId="{00B9D582-3ABC-45A0-905D-9FE2A5E18F98}" type="parTrans" cxnId="{353C8D9D-3142-47D4-AEA8-4CC32DB658BB}">
      <dgm:prSet/>
      <dgm:spPr/>
      <dgm:t>
        <a:bodyPr/>
        <a:lstStyle/>
        <a:p>
          <a:endParaRPr lang="en-US"/>
        </a:p>
      </dgm:t>
    </dgm:pt>
    <dgm:pt modelId="{E941FC2E-9451-4A3F-BD50-623D5B5B4790}" type="sibTrans" cxnId="{353C8D9D-3142-47D4-AEA8-4CC32DB658BB}">
      <dgm:prSet/>
      <dgm:spPr/>
      <dgm:t>
        <a:bodyPr/>
        <a:lstStyle/>
        <a:p>
          <a:endParaRPr lang="en-US"/>
        </a:p>
      </dgm:t>
    </dgm:pt>
    <dgm:pt modelId="{8F4F41A6-D85E-4221-88C7-ABAEA8D1A1CE}" type="pres">
      <dgm:prSet presAssocID="{6A9B161E-3EF1-40A8-8069-50372124E02A}" presName="linear" presStyleCnt="0">
        <dgm:presLayoutVars>
          <dgm:animLvl val="lvl"/>
          <dgm:resizeHandles val="exact"/>
        </dgm:presLayoutVars>
      </dgm:prSet>
      <dgm:spPr/>
    </dgm:pt>
    <dgm:pt modelId="{57CE178B-CC61-42AB-B94B-905C0F803784}" type="pres">
      <dgm:prSet presAssocID="{056750EA-28C6-42E5-9AEC-EBA2EFF59F9A}" presName="parentText" presStyleLbl="node1" presStyleIdx="0" presStyleCnt="2">
        <dgm:presLayoutVars>
          <dgm:chMax val="0"/>
          <dgm:bulletEnabled val="1"/>
        </dgm:presLayoutVars>
      </dgm:prSet>
      <dgm:spPr/>
    </dgm:pt>
    <dgm:pt modelId="{1832C11B-3DC0-4F68-AAB8-794088BD68F9}" type="pres">
      <dgm:prSet presAssocID="{056750EA-28C6-42E5-9AEC-EBA2EFF59F9A}" presName="childText" presStyleLbl="revTx" presStyleIdx="0" presStyleCnt="2">
        <dgm:presLayoutVars>
          <dgm:bulletEnabled val="1"/>
        </dgm:presLayoutVars>
      </dgm:prSet>
      <dgm:spPr/>
    </dgm:pt>
    <dgm:pt modelId="{8DB697A4-51A4-46E0-9AAA-3122F5F3FCC8}" type="pres">
      <dgm:prSet presAssocID="{D3F5F35B-C95E-46AB-A256-45E3C5C411A0}" presName="parentText" presStyleLbl="node1" presStyleIdx="1" presStyleCnt="2" custLinFactNeighborY="-2312">
        <dgm:presLayoutVars>
          <dgm:chMax val="0"/>
          <dgm:bulletEnabled val="1"/>
        </dgm:presLayoutVars>
      </dgm:prSet>
      <dgm:spPr/>
    </dgm:pt>
    <dgm:pt modelId="{E2504D09-BA13-47F2-9693-238F79FF3632}" type="pres">
      <dgm:prSet presAssocID="{D3F5F35B-C95E-46AB-A256-45E3C5C411A0}" presName="childText" presStyleLbl="revTx" presStyleIdx="1" presStyleCnt="2">
        <dgm:presLayoutVars>
          <dgm:bulletEnabled val="1"/>
        </dgm:presLayoutVars>
      </dgm:prSet>
      <dgm:spPr/>
    </dgm:pt>
  </dgm:ptLst>
  <dgm:cxnLst>
    <dgm:cxn modelId="{EF691B13-CD8C-48D2-B61B-F1CCB2451492}" type="presOf" srcId="{D4604F27-0AEF-4B4F-9E43-1B1862C4F1B8}" destId="{1832C11B-3DC0-4F68-AAB8-794088BD68F9}" srcOrd="0" destOrd="1" presId="urn:microsoft.com/office/officeart/2005/8/layout/vList2"/>
    <dgm:cxn modelId="{8173D514-D596-4005-8972-F1A196DC06DD}" type="presOf" srcId="{5D978180-E491-4C5A-AE49-FFC323490690}" destId="{1832C11B-3DC0-4F68-AAB8-794088BD68F9}" srcOrd="0" destOrd="0" presId="urn:microsoft.com/office/officeart/2005/8/layout/vList2"/>
    <dgm:cxn modelId="{B645AB36-4E73-41BA-B3D0-795F848E75A9}" type="presOf" srcId="{DD6D4CE0-3BB9-465E-9068-51C143DD34C9}" destId="{E2504D09-BA13-47F2-9693-238F79FF3632}" srcOrd="0" destOrd="1" presId="urn:microsoft.com/office/officeart/2005/8/layout/vList2"/>
    <dgm:cxn modelId="{76639462-F22B-4888-8112-55B8F9CD4F12}" srcId="{6A9B161E-3EF1-40A8-8069-50372124E02A}" destId="{056750EA-28C6-42E5-9AEC-EBA2EFF59F9A}" srcOrd="0" destOrd="0" parTransId="{C8C2B71C-D3F0-4CAF-BBD5-22815945606D}" sibTransId="{C9593A91-A108-4DAE-87AE-920745B349EF}"/>
    <dgm:cxn modelId="{F40DF764-3C06-4FB2-90EC-78E9AE6EB50D}" type="presOf" srcId="{FC9EC416-96D3-402B-9711-7D6D5AC9F614}" destId="{E2504D09-BA13-47F2-9693-238F79FF3632}" srcOrd="0" destOrd="0" presId="urn:microsoft.com/office/officeart/2005/8/layout/vList2"/>
    <dgm:cxn modelId="{477A1345-C3B4-4ABA-91F1-93615433DA4B}" type="presOf" srcId="{9CC20EFB-6941-46E6-B84E-30F9A4F777B7}" destId="{E2504D09-BA13-47F2-9693-238F79FF3632}" srcOrd="0" destOrd="2" presId="urn:microsoft.com/office/officeart/2005/8/layout/vList2"/>
    <dgm:cxn modelId="{B37E736B-1AE3-42D2-AD4D-D0944ADFE1B3}" type="presOf" srcId="{6A9B161E-3EF1-40A8-8069-50372124E02A}" destId="{8F4F41A6-D85E-4221-88C7-ABAEA8D1A1CE}" srcOrd="0" destOrd="0" presId="urn:microsoft.com/office/officeart/2005/8/layout/vList2"/>
    <dgm:cxn modelId="{757C3274-B1EF-41AF-9B03-BAA67A91DC09}" type="presOf" srcId="{D3F5F35B-C95E-46AB-A256-45E3C5C411A0}" destId="{8DB697A4-51A4-46E0-9AAA-3122F5F3FCC8}" srcOrd="0" destOrd="0" presId="urn:microsoft.com/office/officeart/2005/8/layout/vList2"/>
    <dgm:cxn modelId="{353C8D9D-3142-47D4-AEA8-4CC32DB658BB}" srcId="{FC9EC416-96D3-402B-9711-7D6D5AC9F614}" destId="{DD6D4CE0-3BB9-465E-9068-51C143DD34C9}" srcOrd="0" destOrd="0" parTransId="{00B9D582-3ABC-45A0-905D-9FE2A5E18F98}" sibTransId="{E941FC2E-9451-4A3F-BD50-623D5B5B4790}"/>
    <dgm:cxn modelId="{7B6726A2-F1D8-46D8-9D83-C22506CD2593}" srcId="{D3F5F35B-C95E-46AB-A256-45E3C5C411A0}" destId="{FC9EC416-96D3-402B-9711-7D6D5AC9F614}" srcOrd="0" destOrd="0" parTransId="{12DB91DB-C7B1-4A46-80AE-ABF5AD704868}" sibTransId="{6DF0C330-F356-481C-A133-4984457679A8}"/>
    <dgm:cxn modelId="{19C1D8BD-517F-4773-9109-59132409AEF6}" srcId="{056750EA-28C6-42E5-9AEC-EBA2EFF59F9A}" destId="{5D978180-E491-4C5A-AE49-FFC323490690}" srcOrd="0" destOrd="0" parTransId="{F8B806FC-0871-43C4-AF8C-69BF1926174F}" sibTransId="{3EF861E6-06F3-4DFD-AD45-F2A0246C25CE}"/>
    <dgm:cxn modelId="{6AF2D2E5-8C38-44AD-82EE-252F37EEED60}" srcId="{056750EA-28C6-42E5-9AEC-EBA2EFF59F9A}" destId="{D4604F27-0AEF-4B4F-9E43-1B1862C4F1B8}" srcOrd="1" destOrd="0" parTransId="{BE7EA624-6EE1-4ACE-826E-17BFCD617829}" sibTransId="{356A870C-6AE2-4099-8980-1E9D9BA8961B}"/>
    <dgm:cxn modelId="{6E5136F5-8475-4B7C-A9BB-DB58870328A6}" srcId="{6A9B161E-3EF1-40A8-8069-50372124E02A}" destId="{D3F5F35B-C95E-46AB-A256-45E3C5C411A0}" srcOrd="1" destOrd="0" parTransId="{4970712A-D9B1-421B-B618-30F9874D6361}" sibTransId="{3644DDF0-13D9-418E-A998-A408574782E4}"/>
    <dgm:cxn modelId="{DD33A2F9-97AC-46F3-8B3F-4E19749EBCFE}" srcId="{D3F5F35B-C95E-46AB-A256-45E3C5C411A0}" destId="{9CC20EFB-6941-46E6-B84E-30F9A4F777B7}" srcOrd="1" destOrd="0" parTransId="{C918E373-1C43-4FE0-9F8D-71E75CAB3731}" sibTransId="{2EDEE18A-35A4-4416-9A3D-B5F7D232089F}"/>
    <dgm:cxn modelId="{6D135BFF-0095-44A6-9199-C7C3F022AAB8}" type="presOf" srcId="{056750EA-28C6-42E5-9AEC-EBA2EFF59F9A}" destId="{57CE178B-CC61-42AB-B94B-905C0F803784}" srcOrd="0" destOrd="0" presId="urn:microsoft.com/office/officeart/2005/8/layout/vList2"/>
    <dgm:cxn modelId="{7BEEAA03-D49F-4547-83A6-6FA3126351A9}" type="presParOf" srcId="{8F4F41A6-D85E-4221-88C7-ABAEA8D1A1CE}" destId="{57CE178B-CC61-42AB-B94B-905C0F803784}" srcOrd="0" destOrd="0" presId="urn:microsoft.com/office/officeart/2005/8/layout/vList2"/>
    <dgm:cxn modelId="{03F91ACC-1683-4912-8840-B93683537D9D}" type="presParOf" srcId="{8F4F41A6-D85E-4221-88C7-ABAEA8D1A1CE}" destId="{1832C11B-3DC0-4F68-AAB8-794088BD68F9}" srcOrd="1" destOrd="0" presId="urn:microsoft.com/office/officeart/2005/8/layout/vList2"/>
    <dgm:cxn modelId="{261EBE93-56FD-47C0-8EA7-7DBC0B369B82}" type="presParOf" srcId="{8F4F41A6-D85E-4221-88C7-ABAEA8D1A1CE}" destId="{8DB697A4-51A4-46E0-9AAA-3122F5F3FCC8}" srcOrd="2" destOrd="0" presId="urn:microsoft.com/office/officeart/2005/8/layout/vList2"/>
    <dgm:cxn modelId="{D0FB0898-1041-4C05-8620-EC91EDDC3E46}" type="presParOf" srcId="{8F4F41A6-D85E-4221-88C7-ABAEA8D1A1CE}" destId="{E2504D09-BA13-47F2-9693-238F79FF3632}" srcOrd="3" destOrd="0" presId="urn:microsoft.com/office/officeart/2005/8/layout/vList2"/>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543F5A5-412E-4B80-859C-16CC093DC9A8}">
      <dsp:nvSpPr>
        <dsp:cNvPr id="0" name=""/>
        <dsp:cNvSpPr/>
      </dsp:nvSpPr>
      <dsp:spPr>
        <a:xfrm>
          <a:off x="135161" y="417"/>
          <a:ext cx="946566" cy="473283"/>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17780" rIns="26670" bIns="17780" numCol="1" spcCol="1270" anchor="ctr" anchorCtr="0">
          <a:noAutofit/>
        </a:bodyPr>
        <a:lstStyle/>
        <a:p>
          <a:pPr marL="0" lvl="0" indent="0" algn="ctr" defTabSz="622300">
            <a:lnSpc>
              <a:spcPct val="90000"/>
            </a:lnSpc>
            <a:spcBef>
              <a:spcPct val="0"/>
            </a:spcBef>
            <a:spcAft>
              <a:spcPct val="35000"/>
            </a:spcAft>
            <a:buNone/>
          </a:pPr>
          <a:r>
            <a:rPr lang="en-US" sz="1400" kern="1200"/>
            <a:t>Vận hành</a:t>
          </a:r>
        </a:p>
      </dsp:txBody>
      <dsp:txXfrm>
        <a:off x="149023" y="14279"/>
        <a:ext cx="918842" cy="445559"/>
      </dsp:txXfrm>
    </dsp:sp>
    <dsp:sp modelId="{576C2AAB-ADAA-482F-98AE-67FBFC829707}">
      <dsp:nvSpPr>
        <dsp:cNvPr id="0" name=""/>
        <dsp:cNvSpPr/>
      </dsp:nvSpPr>
      <dsp:spPr>
        <a:xfrm>
          <a:off x="229817" y="473700"/>
          <a:ext cx="94656" cy="354962"/>
        </a:xfrm>
        <a:custGeom>
          <a:avLst/>
          <a:gdLst/>
          <a:ahLst/>
          <a:cxnLst/>
          <a:rect l="0" t="0" r="0" b="0"/>
          <a:pathLst>
            <a:path>
              <a:moveTo>
                <a:pt x="0" y="0"/>
              </a:moveTo>
              <a:lnTo>
                <a:pt x="0" y="354962"/>
              </a:lnTo>
              <a:lnTo>
                <a:pt x="94656" y="35496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42CD34A-19C0-4C53-80F3-9C43EEED90AD}">
      <dsp:nvSpPr>
        <dsp:cNvPr id="0" name=""/>
        <dsp:cNvSpPr/>
      </dsp:nvSpPr>
      <dsp:spPr>
        <a:xfrm>
          <a:off x="324474" y="592021"/>
          <a:ext cx="757253" cy="47328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Ref: tham chiếu</a:t>
          </a:r>
        </a:p>
      </dsp:txBody>
      <dsp:txXfrm>
        <a:off x="338336" y="605883"/>
        <a:ext cx="729529" cy="445559"/>
      </dsp:txXfrm>
    </dsp:sp>
    <dsp:sp modelId="{59125463-618B-4E39-A0BF-3E231825AECE}">
      <dsp:nvSpPr>
        <dsp:cNvPr id="0" name=""/>
        <dsp:cNvSpPr/>
      </dsp:nvSpPr>
      <dsp:spPr>
        <a:xfrm>
          <a:off x="229817" y="473700"/>
          <a:ext cx="94656" cy="946566"/>
        </a:xfrm>
        <a:custGeom>
          <a:avLst/>
          <a:gdLst/>
          <a:ahLst/>
          <a:cxnLst/>
          <a:rect l="0" t="0" r="0" b="0"/>
          <a:pathLst>
            <a:path>
              <a:moveTo>
                <a:pt x="0" y="0"/>
              </a:moveTo>
              <a:lnTo>
                <a:pt x="0" y="946566"/>
              </a:lnTo>
              <a:lnTo>
                <a:pt x="94656" y="946566"/>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D9A8F2-25E4-47FB-B546-BD2FA0D182E3}">
      <dsp:nvSpPr>
        <dsp:cNvPr id="0" name=""/>
        <dsp:cNvSpPr/>
      </dsp:nvSpPr>
      <dsp:spPr>
        <a:xfrm>
          <a:off x="324474" y="1183625"/>
          <a:ext cx="757253" cy="47328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Log&amp;Process</a:t>
          </a:r>
        </a:p>
      </dsp:txBody>
      <dsp:txXfrm>
        <a:off x="338336" y="1197487"/>
        <a:ext cx="729529" cy="445559"/>
      </dsp:txXfrm>
    </dsp:sp>
    <dsp:sp modelId="{CDBC3CCC-43B7-4DD7-9FD1-CB54A608CC8A}">
      <dsp:nvSpPr>
        <dsp:cNvPr id="0" name=""/>
        <dsp:cNvSpPr/>
      </dsp:nvSpPr>
      <dsp:spPr>
        <a:xfrm>
          <a:off x="229817" y="473700"/>
          <a:ext cx="94656" cy="1538170"/>
        </a:xfrm>
        <a:custGeom>
          <a:avLst/>
          <a:gdLst/>
          <a:ahLst/>
          <a:cxnLst/>
          <a:rect l="0" t="0" r="0" b="0"/>
          <a:pathLst>
            <a:path>
              <a:moveTo>
                <a:pt x="0" y="0"/>
              </a:moveTo>
              <a:lnTo>
                <a:pt x="0" y="1538170"/>
              </a:lnTo>
              <a:lnTo>
                <a:pt x="94656" y="153817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6DCFB44-26B1-40CC-B79A-BCEA253890C8}">
      <dsp:nvSpPr>
        <dsp:cNvPr id="0" name=""/>
        <dsp:cNvSpPr/>
      </dsp:nvSpPr>
      <dsp:spPr>
        <a:xfrm>
          <a:off x="324474" y="1775230"/>
          <a:ext cx="757253" cy="473283"/>
        </a:xfrm>
        <a:prstGeom prst="roundRect">
          <a:avLst>
            <a:gd name="adj" fmla="val 10000"/>
          </a:avLst>
        </a:prstGeom>
        <a:solidFill>
          <a:srgbClr val="C00000">
            <a:alpha val="90000"/>
          </a:srgb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b="1" kern="1200">
              <a:solidFill>
                <a:schemeClr val="bg1"/>
              </a:solidFill>
            </a:rPr>
            <a:t>Runtool: Nút bấm và Double check</a:t>
          </a:r>
        </a:p>
      </dsp:txBody>
      <dsp:txXfrm>
        <a:off x="338336" y="1789092"/>
        <a:ext cx="729529" cy="445559"/>
      </dsp:txXfrm>
    </dsp:sp>
    <dsp:sp modelId="{DDE50AE9-00AB-40E7-B063-6EA4181F6F65}">
      <dsp:nvSpPr>
        <dsp:cNvPr id="0" name=""/>
        <dsp:cNvSpPr/>
      </dsp:nvSpPr>
      <dsp:spPr>
        <a:xfrm>
          <a:off x="229817" y="473700"/>
          <a:ext cx="94656" cy="2129775"/>
        </a:xfrm>
        <a:custGeom>
          <a:avLst/>
          <a:gdLst/>
          <a:ahLst/>
          <a:cxnLst/>
          <a:rect l="0" t="0" r="0" b="0"/>
          <a:pathLst>
            <a:path>
              <a:moveTo>
                <a:pt x="0" y="0"/>
              </a:moveTo>
              <a:lnTo>
                <a:pt x="0" y="2129775"/>
              </a:lnTo>
              <a:lnTo>
                <a:pt x="94656" y="21297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7963517-6168-4C5B-A0F2-C646714DA71A}">
      <dsp:nvSpPr>
        <dsp:cNvPr id="0" name=""/>
        <dsp:cNvSpPr/>
      </dsp:nvSpPr>
      <dsp:spPr>
        <a:xfrm>
          <a:off x="324474" y="2366834"/>
          <a:ext cx="757253" cy="473283"/>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Upload53</a:t>
          </a:r>
        </a:p>
      </dsp:txBody>
      <dsp:txXfrm>
        <a:off x="338336" y="2380696"/>
        <a:ext cx="729529" cy="445559"/>
      </dsp:txXfrm>
    </dsp:sp>
    <dsp:sp modelId="{C51A834D-DED8-4928-9455-9D1D2AD21994}">
      <dsp:nvSpPr>
        <dsp:cNvPr id="0" name=""/>
        <dsp:cNvSpPr/>
      </dsp:nvSpPr>
      <dsp:spPr>
        <a:xfrm>
          <a:off x="1318369" y="417"/>
          <a:ext cx="946566" cy="473283"/>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17780" rIns="26670" bIns="17780" numCol="1" spcCol="1270" anchor="ctr" anchorCtr="0">
          <a:noAutofit/>
        </a:bodyPr>
        <a:lstStyle/>
        <a:p>
          <a:pPr marL="0" lvl="0" indent="0" algn="ctr" defTabSz="622300">
            <a:lnSpc>
              <a:spcPct val="90000"/>
            </a:lnSpc>
            <a:spcBef>
              <a:spcPct val="0"/>
            </a:spcBef>
            <a:spcAft>
              <a:spcPct val="35000"/>
            </a:spcAft>
            <a:buNone/>
          </a:pPr>
          <a:r>
            <a:rPr lang="en-US" sz="1400" kern="1200"/>
            <a:t>Phân tích &amp; Report</a:t>
          </a:r>
        </a:p>
      </dsp:txBody>
      <dsp:txXfrm>
        <a:off x="1332231" y="14279"/>
        <a:ext cx="918842" cy="445559"/>
      </dsp:txXfrm>
    </dsp:sp>
    <dsp:sp modelId="{BECFE8F1-E1A6-47CF-BEF3-3B5EAEC21673}">
      <dsp:nvSpPr>
        <dsp:cNvPr id="0" name=""/>
        <dsp:cNvSpPr/>
      </dsp:nvSpPr>
      <dsp:spPr>
        <a:xfrm>
          <a:off x="1413026" y="473700"/>
          <a:ext cx="94656" cy="354962"/>
        </a:xfrm>
        <a:custGeom>
          <a:avLst/>
          <a:gdLst/>
          <a:ahLst/>
          <a:cxnLst/>
          <a:rect l="0" t="0" r="0" b="0"/>
          <a:pathLst>
            <a:path>
              <a:moveTo>
                <a:pt x="0" y="0"/>
              </a:moveTo>
              <a:lnTo>
                <a:pt x="0" y="354962"/>
              </a:lnTo>
              <a:lnTo>
                <a:pt x="94656" y="35496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43EF2A8-93E4-451D-8123-8961F397D192}">
      <dsp:nvSpPr>
        <dsp:cNvPr id="0" name=""/>
        <dsp:cNvSpPr/>
      </dsp:nvSpPr>
      <dsp:spPr>
        <a:xfrm>
          <a:off x="1507682" y="592021"/>
          <a:ext cx="757253" cy="473283"/>
        </a:xfrm>
        <a:prstGeom prst="roundRect">
          <a:avLst>
            <a:gd name="adj" fmla="val 10000"/>
          </a:avLst>
        </a:prstGeom>
        <a:solidFill>
          <a:srgbClr val="C00000">
            <a:alpha val="90000"/>
          </a:srgb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b="1" kern="1200">
              <a:solidFill>
                <a:schemeClr val="bg1"/>
              </a:solidFill>
            </a:rPr>
            <a:t>Summary: Tính toán chỉ số</a:t>
          </a:r>
        </a:p>
      </dsp:txBody>
      <dsp:txXfrm>
        <a:off x="1521544" y="605883"/>
        <a:ext cx="729529" cy="445559"/>
      </dsp:txXfrm>
    </dsp:sp>
    <dsp:sp modelId="{BD310360-5117-423B-8E72-2334648CE35E}">
      <dsp:nvSpPr>
        <dsp:cNvPr id="0" name=""/>
        <dsp:cNvSpPr/>
      </dsp:nvSpPr>
      <dsp:spPr>
        <a:xfrm>
          <a:off x="1413026" y="473700"/>
          <a:ext cx="94656" cy="946566"/>
        </a:xfrm>
        <a:custGeom>
          <a:avLst/>
          <a:gdLst/>
          <a:ahLst/>
          <a:cxnLst/>
          <a:rect l="0" t="0" r="0" b="0"/>
          <a:pathLst>
            <a:path>
              <a:moveTo>
                <a:pt x="0" y="0"/>
              </a:moveTo>
              <a:lnTo>
                <a:pt x="0" y="946566"/>
              </a:lnTo>
              <a:lnTo>
                <a:pt x="94656" y="946566"/>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AF8C0EC-DCBF-45FB-80CD-726BE38B4AD5}">
      <dsp:nvSpPr>
        <dsp:cNvPr id="0" name=""/>
        <dsp:cNvSpPr/>
      </dsp:nvSpPr>
      <dsp:spPr>
        <a:xfrm>
          <a:off x="1507682" y="1183625"/>
          <a:ext cx="757253" cy="473283"/>
        </a:xfrm>
        <a:prstGeom prst="roundRect">
          <a:avLst>
            <a:gd name="adj" fmla="val 10000"/>
          </a:avLst>
        </a:prstGeom>
        <a:solidFill>
          <a:srgbClr val="C00000">
            <a:alpha val="90000"/>
          </a:srgb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b="1" kern="1200">
              <a:solidFill>
                <a:schemeClr val="bg1"/>
              </a:solidFill>
            </a:rPr>
            <a:t>Report: Mặt báo cáo</a:t>
          </a:r>
        </a:p>
      </dsp:txBody>
      <dsp:txXfrm>
        <a:off x="1521544" y="1197487"/>
        <a:ext cx="729529" cy="445559"/>
      </dsp:txXfrm>
    </dsp:sp>
    <dsp:sp modelId="{9D1F2C4E-70D6-4E4B-AE55-FDC54787A537}">
      <dsp:nvSpPr>
        <dsp:cNvPr id="0" name=""/>
        <dsp:cNvSpPr/>
      </dsp:nvSpPr>
      <dsp:spPr>
        <a:xfrm>
          <a:off x="2501578" y="417"/>
          <a:ext cx="946566" cy="473283"/>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6670" tIns="17780" rIns="26670" bIns="17780" numCol="1" spcCol="1270" anchor="ctr" anchorCtr="0">
          <a:noAutofit/>
        </a:bodyPr>
        <a:lstStyle/>
        <a:p>
          <a:pPr marL="0" lvl="0" indent="0" algn="ctr" defTabSz="622300">
            <a:lnSpc>
              <a:spcPct val="90000"/>
            </a:lnSpc>
            <a:spcBef>
              <a:spcPct val="0"/>
            </a:spcBef>
            <a:spcAft>
              <a:spcPct val="35000"/>
            </a:spcAft>
            <a:buNone/>
          </a:pPr>
          <a:r>
            <a:rPr lang="en-US" sz="1400" kern="1200"/>
            <a:t>Input</a:t>
          </a:r>
        </a:p>
      </dsp:txBody>
      <dsp:txXfrm>
        <a:off x="2515440" y="14279"/>
        <a:ext cx="918842" cy="445559"/>
      </dsp:txXfrm>
    </dsp:sp>
    <dsp:sp modelId="{9059F6E0-98D0-4E87-813A-F8CC20935990}">
      <dsp:nvSpPr>
        <dsp:cNvPr id="0" name=""/>
        <dsp:cNvSpPr/>
      </dsp:nvSpPr>
      <dsp:spPr>
        <a:xfrm>
          <a:off x="2596234" y="473700"/>
          <a:ext cx="94656" cy="354962"/>
        </a:xfrm>
        <a:custGeom>
          <a:avLst/>
          <a:gdLst/>
          <a:ahLst/>
          <a:cxnLst/>
          <a:rect l="0" t="0" r="0" b="0"/>
          <a:pathLst>
            <a:path>
              <a:moveTo>
                <a:pt x="0" y="0"/>
              </a:moveTo>
              <a:lnTo>
                <a:pt x="0" y="354962"/>
              </a:lnTo>
              <a:lnTo>
                <a:pt x="94656" y="354962"/>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109BF42-DE84-4B5F-96D3-2AE139D8AF5A}">
      <dsp:nvSpPr>
        <dsp:cNvPr id="0" name=""/>
        <dsp:cNvSpPr/>
      </dsp:nvSpPr>
      <dsp:spPr>
        <a:xfrm>
          <a:off x="2690891" y="592021"/>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His53: Dữ liệu lịch sử lưu trữ</a:t>
          </a:r>
        </a:p>
      </dsp:txBody>
      <dsp:txXfrm>
        <a:off x="2704753" y="605883"/>
        <a:ext cx="729529" cy="445559"/>
      </dsp:txXfrm>
    </dsp:sp>
    <dsp:sp modelId="{5999C34C-56A2-4D6E-9598-E091DEB95A40}">
      <dsp:nvSpPr>
        <dsp:cNvPr id="0" name=""/>
        <dsp:cNvSpPr/>
      </dsp:nvSpPr>
      <dsp:spPr>
        <a:xfrm>
          <a:off x="2596234" y="473700"/>
          <a:ext cx="94656" cy="946566"/>
        </a:xfrm>
        <a:custGeom>
          <a:avLst/>
          <a:gdLst/>
          <a:ahLst/>
          <a:cxnLst/>
          <a:rect l="0" t="0" r="0" b="0"/>
          <a:pathLst>
            <a:path>
              <a:moveTo>
                <a:pt x="0" y="0"/>
              </a:moveTo>
              <a:lnTo>
                <a:pt x="0" y="946566"/>
              </a:lnTo>
              <a:lnTo>
                <a:pt x="94656" y="946566"/>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CC31CAD-6B22-4CCB-8792-F3606CB32A8E}">
      <dsp:nvSpPr>
        <dsp:cNvPr id="0" name=""/>
        <dsp:cNvSpPr/>
      </dsp:nvSpPr>
      <dsp:spPr>
        <a:xfrm>
          <a:off x="2690891" y="1183625"/>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FNRP: List theo mã FIBond &amp; PPCD + Call/put</a:t>
          </a:r>
        </a:p>
      </dsp:txBody>
      <dsp:txXfrm>
        <a:off x="2704753" y="1197487"/>
        <a:ext cx="729529" cy="445559"/>
      </dsp:txXfrm>
    </dsp:sp>
    <dsp:sp modelId="{87FB2659-6023-47FF-B5A7-99F35F29A94B}">
      <dsp:nvSpPr>
        <dsp:cNvPr id="0" name=""/>
        <dsp:cNvSpPr/>
      </dsp:nvSpPr>
      <dsp:spPr>
        <a:xfrm>
          <a:off x="2596234" y="473700"/>
          <a:ext cx="94656" cy="1538170"/>
        </a:xfrm>
        <a:custGeom>
          <a:avLst/>
          <a:gdLst/>
          <a:ahLst/>
          <a:cxnLst/>
          <a:rect l="0" t="0" r="0" b="0"/>
          <a:pathLst>
            <a:path>
              <a:moveTo>
                <a:pt x="0" y="0"/>
              </a:moveTo>
              <a:lnTo>
                <a:pt x="0" y="1538170"/>
              </a:lnTo>
              <a:lnTo>
                <a:pt x="94656" y="153817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5FD531E-7A32-4061-9DE8-8F22627247D9}">
      <dsp:nvSpPr>
        <dsp:cNvPr id="0" name=""/>
        <dsp:cNvSpPr/>
      </dsp:nvSpPr>
      <dsp:spPr>
        <a:xfrm>
          <a:off x="2690891" y="1775230"/>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GL: MR10, GL, LIQ03</a:t>
          </a:r>
        </a:p>
      </dsp:txBody>
      <dsp:txXfrm>
        <a:off x="2704753" y="1789092"/>
        <a:ext cx="729529" cy="445559"/>
      </dsp:txXfrm>
    </dsp:sp>
    <dsp:sp modelId="{132CE206-BE65-450D-8222-6B3D6CBAC15E}">
      <dsp:nvSpPr>
        <dsp:cNvPr id="0" name=""/>
        <dsp:cNvSpPr/>
      </dsp:nvSpPr>
      <dsp:spPr>
        <a:xfrm>
          <a:off x="2596234" y="473700"/>
          <a:ext cx="94656" cy="2129775"/>
        </a:xfrm>
        <a:custGeom>
          <a:avLst/>
          <a:gdLst/>
          <a:ahLst/>
          <a:cxnLst/>
          <a:rect l="0" t="0" r="0" b="0"/>
          <a:pathLst>
            <a:path>
              <a:moveTo>
                <a:pt x="0" y="0"/>
              </a:moveTo>
              <a:lnTo>
                <a:pt x="0" y="2129775"/>
              </a:lnTo>
              <a:lnTo>
                <a:pt x="94656" y="21297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C06ADDF-9230-4F27-BC54-BF2A5B7A2AEF}">
      <dsp:nvSpPr>
        <dsp:cNvPr id="0" name=""/>
        <dsp:cNvSpPr/>
      </dsp:nvSpPr>
      <dsp:spPr>
        <a:xfrm>
          <a:off x="2690891" y="2366834"/>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AllDealps: bảng Transaction basel</a:t>
          </a:r>
        </a:p>
      </dsp:txBody>
      <dsp:txXfrm>
        <a:off x="2704753" y="2380696"/>
        <a:ext cx="729529" cy="445559"/>
      </dsp:txXfrm>
    </dsp:sp>
    <dsp:sp modelId="{05A7C06B-D0C9-4D61-B9E5-E9C440635916}">
      <dsp:nvSpPr>
        <dsp:cNvPr id="0" name=""/>
        <dsp:cNvSpPr/>
      </dsp:nvSpPr>
      <dsp:spPr>
        <a:xfrm>
          <a:off x="2596234" y="473700"/>
          <a:ext cx="94656" cy="2721379"/>
        </a:xfrm>
        <a:custGeom>
          <a:avLst/>
          <a:gdLst/>
          <a:ahLst/>
          <a:cxnLst/>
          <a:rect l="0" t="0" r="0" b="0"/>
          <a:pathLst>
            <a:path>
              <a:moveTo>
                <a:pt x="0" y="0"/>
              </a:moveTo>
              <a:lnTo>
                <a:pt x="0" y="2721379"/>
              </a:lnTo>
              <a:lnTo>
                <a:pt x="94656" y="2721379"/>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FAA40A3-FB74-4F5C-BB1F-7151B0803F20}">
      <dsp:nvSpPr>
        <dsp:cNvPr id="0" name=""/>
        <dsp:cNvSpPr/>
      </dsp:nvSpPr>
      <dsp:spPr>
        <a:xfrm>
          <a:off x="2690891" y="2958438"/>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Repo: chưa đáo hạn từ basel</a:t>
          </a:r>
        </a:p>
      </dsp:txBody>
      <dsp:txXfrm>
        <a:off x="2704753" y="2972300"/>
        <a:ext cx="729529" cy="445559"/>
      </dsp:txXfrm>
    </dsp:sp>
    <dsp:sp modelId="{4D537B13-B575-45A0-85DA-7BE61C7D7C7B}">
      <dsp:nvSpPr>
        <dsp:cNvPr id="0" name=""/>
        <dsp:cNvSpPr/>
      </dsp:nvSpPr>
      <dsp:spPr>
        <a:xfrm>
          <a:off x="2596234" y="473700"/>
          <a:ext cx="94656" cy="3312983"/>
        </a:xfrm>
        <a:custGeom>
          <a:avLst/>
          <a:gdLst/>
          <a:ahLst/>
          <a:cxnLst/>
          <a:rect l="0" t="0" r="0" b="0"/>
          <a:pathLst>
            <a:path>
              <a:moveTo>
                <a:pt x="0" y="0"/>
              </a:moveTo>
              <a:lnTo>
                <a:pt x="0" y="3312983"/>
              </a:lnTo>
              <a:lnTo>
                <a:pt x="94656" y="3312983"/>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A8FAF0-C2A6-4042-BF7E-90972D164F13}">
      <dsp:nvSpPr>
        <dsp:cNvPr id="0" name=""/>
        <dsp:cNvSpPr/>
      </dsp:nvSpPr>
      <dsp:spPr>
        <a:xfrm>
          <a:off x="2690891" y="3550042"/>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RPBOD3: List deal Outs OnBS từ Kondor</a:t>
          </a:r>
        </a:p>
      </dsp:txBody>
      <dsp:txXfrm>
        <a:off x="2704753" y="3563904"/>
        <a:ext cx="729529" cy="445559"/>
      </dsp:txXfrm>
    </dsp:sp>
    <dsp:sp modelId="{E06FD38F-D717-4699-8F6B-57ACC618FBC5}">
      <dsp:nvSpPr>
        <dsp:cNvPr id="0" name=""/>
        <dsp:cNvSpPr/>
      </dsp:nvSpPr>
      <dsp:spPr>
        <a:xfrm>
          <a:off x="2596234" y="473700"/>
          <a:ext cx="94656" cy="3904587"/>
        </a:xfrm>
        <a:custGeom>
          <a:avLst/>
          <a:gdLst/>
          <a:ahLst/>
          <a:cxnLst/>
          <a:rect l="0" t="0" r="0" b="0"/>
          <a:pathLst>
            <a:path>
              <a:moveTo>
                <a:pt x="0" y="0"/>
              </a:moveTo>
              <a:lnTo>
                <a:pt x="0" y="3904587"/>
              </a:lnTo>
              <a:lnTo>
                <a:pt x="94656" y="3904587"/>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CB6DE0-0B53-48AC-974C-B3728D570352}">
      <dsp:nvSpPr>
        <dsp:cNvPr id="0" name=""/>
        <dsp:cNvSpPr/>
      </dsp:nvSpPr>
      <dsp:spPr>
        <a:xfrm>
          <a:off x="2690891" y="4141646"/>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Rating: Available bond từ LR</a:t>
          </a:r>
        </a:p>
      </dsp:txBody>
      <dsp:txXfrm>
        <a:off x="2704753" y="4155508"/>
        <a:ext cx="729529" cy="445559"/>
      </dsp:txXfrm>
    </dsp:sp>
    <dsp:sp modelId="{E2E97733-7EEF-45C9-BCF5-2953106C6F5D}">
      <dsp:nvSpPr>
        <dsp:cNvPr id="0" name=""/>
        <dsp:cNvSpPr/>
      </dsp:nvSpPr>
      <dsp:spPr>
        <a:xfrm>
          <a:off x="2596234" y="473700"/>
          <a:ext cx="94656" cy="4496191"/>
        </a:xfrm>
        <a:custGeom>
          <a:avLst/>
          <a:gdLst/>
          <a:ahLst/>
          <a:cxnLst/>
          <a:rect l="0" t="0" r="0" b="0"/>
          <a:pathLst>
            <a:path>
              <a:moveTo>
                <a:pt x="0" y="0"/>
              </a:moveTo>
              <a:lnTo>
                <a:pt x="0" y="4496191"/>
              </a:lnTo>
              <a:lnTo>
                <a:pt x="94656" y="4496191"/>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93E741-98F3-4687-B2E0-10620E99A49D}">
      <dsp:nvSpPr>
        <dsp:cNvPr id="0" name=""/>
        <dsp:cNvSpPr/>
      </dsp:nvSpPr>
      <dsp:spPr>
        <a:xfrm>
          <a:off x="2690891" y="4733251"/>
          <a:ext cx="757253" cy="473283"/>
        </a:xfrm>
        <a:prstGeom prst="roundRect">
          <a:avLst>
            <a:gd name="adj" fmla="val 10000"/>
          </a:avLst>
        </a:prstGeom>
        <a:solidFill>
          <a:schemeClr val="accent4">
            <a:lumMod val="20000"/>
            <a:lumOff val="80000"/>
            <a:alpha val="9000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DataTT: GTGD TPDN từ VBMA</a:t>
          </a:r>
        </a:p>
      </dsp:txBody>
      <dsp:txXfrm>
        <a:off x="2704753" y="4747113"/>
        <a:ext cx="729529" cy="445559"/>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7CE178B-CC61-42AB-B94B-905C0F803784}">
      <dsp:nvSpPr>
        <dsp:cNvPr id="0" name=""/>
        <dsp:cNvSpPr/>
      </dsp:nvSpPr>
      <dsp:spPr>
        <a:xfrm>
          <a:off x="0" y="14804"/>
          <a:ext cx="2139315" cy="411840"/>
        </a:xfrm>
        <a:prstGeom prst="roundRect">
          <a:avLst/>
        </a:prstGeom>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dsp:spPr>
      <dsp:style>
        <a:lnRef idx="1">
          <a:schemeClr val="accent2"/>
        </a:lnRef>
        <a:fillRef idx="2">
          <a:schemeClr val="accent2"/>
        </a:fillRef>
        <a:effectRef idx="1">
          <a:schemeClr val="accent2"/>
        </a:effectRef>
        <a:fontRef idx="minor">
          <a:schemeClr val="dk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b="1" kern="1200"/>
            <a:t>Lấy input</a:t>
          </a:r>
        </a:p>
      </dsp:txBody>
      <dsp:txXfrm>
        <a:off x="20104" y="34908"/>
        <a:ext cx="2099107" cy="371632"/>
      </dsp:txXfrm>
    </dsp:sp>
    <dsp:sp modelId="{1832C11B-3DC0-4F68-AAB8-794088BD68F9}">
      <dsp:nvSpPr>
        <dsp:cNvPr id="0" name=""/>
        <dsp:cNvSpPr/>
      </dsp:nvSpPr>
      <dsp:spPr>
        <a:xfrm>
          <a:off x="0" y="426644"/>
          <a:ext cx="2139315" cy="37570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7923" tIns="13970" rIns="78232" bIns="13970" numCol="1" spcCol="1270" anchor="ctr" anchorCtr="0">
          <a:noAutofit/>
        </a:bodyPr>
        <a:lstStyle/>
        <a:p>
          <a:pPr marL="57150" lvl="1" indent="-57150" algn="l" defTabSz="488950">
            <a:lnSpc>
              <a:spcPct val="90000"/>
            </a:lnSpc>
            <a:spcBef>
              <a:spcPct val="0"/>
            </a:spcBef>
            <a:spcAft>
              <a:spcPct val="20000"/>
            </a:spcAft>
            <a:buChar char="•"/>
          </a:pPr>
          <a:r>
            <a:rPr lang="en-US" sz="1100" kern="1200"/>
            <a:t>2 input từ folder 53</a:t>
          </a:r>
        </a:p>
        <a:p>
          <a:pPr marL="57150" lvl="1" indent="-57150" algn="l" defTabSz="488950">
            <a:lnSpc>
              <a:spcPct val="90000"/>
            </a:lnSpc>
            <a:spcBef>
              <a:spcPct val="0"/>
            </a:spcBef>
            <a:spcAft>
              <a:spcPct val="20000"/>
            </a:spcAft>
            <a:buChar char="•"/>
          </a:pPr>
          <a:r>
            <a:rPr lang="en-US" sz="1100" kern="1200"/>
            <a:t>1 file GTGD TPDN từ mail VBMA</a:t>
          </a:r>
        </a:p>
      </dsp:txBody>
      <dsp:txXfrm>
        <a:off x="0" y="426644"/>
        <a:ext cx="2139315" cy="375705"/>
      </dsp:txXfrm>
    </dsp:sp>
    <dsp:sp modelId="{8DB697A4-51A4-46E0-9AAA-3122F5F3FCC8}">
      <dsp:nvSpPr>
        <dsp:cNvPr id="0" name=""/>
        <dsp:cNvSpPr/>
      </dsp:nvSpPr>
      <dsp:spPr>
        <a:xfrm>
          <a:off x="0" y="782345"/>
          <a:ext cx="2139315" cy="411840"/>
        </a:xfrm>
        <a:prstGeom prst="roundRect">
          <a:avLst/>
        </a:prstGeom>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dsp:spPr>
      <dsp:style>
        <a:lnRef idx="1">
          <a:schemeClr val="accent2"/>
        </a:lnRef>
        <a:fillRef idx="2">
          <a:schemeClr val="accent2"/>
        </a:fillRef>
        <a:effectRef idx="1">
          <a:schemeClr val="accent2"/>
        </a:effectRef>
        <a:fontRef idx="minor">
          <a:schemeClr val="dk1"/>
        </a:fontRef>
      </dsp:style>
      <dsp:txBody>
        <a:bodyPr spcFirstLastPara="0" vert="horz" wrap="square" lIns="53340" tIns="53340" rIns="53340" bIns="53340" numCol="1" spcCol="1270" anchor="ctr" anchorCtr="0">
          <a:noAutofit/>
        </a:bodyPr>
        <a:lstStyle/>
        <a:p>
          <a:pPr marL="0" lvl="0" indent="0" algn="l" defTabSz="622300">
            <a:lnSpc>
              <a:spcPct val="90000"/>
            </a:lnSpc>
            <a:spcBef>
              <a:spcPct val="0"/>
            </a:spcBef>
            <a:spcAft>
              <a:spcPct val="35000"/>
            </a:spcAft>
            <a:buNone/>
          </a:pPr>
          <a:r>
            <a:rPr lang="en-US" sz="1400" b="1" kern="1200"/>
            <a:t>Runtool</a:t>
          </a:r>
        </a:p>
      </dsp:txBody>
      <dsp:txXfrm>
        <a:off x="20104" y="802449"/>
        <a:ext cx="2099107" cy="371632"/>
      </dsp:txXfrm>
    </dsp:sp>
    <dsp:sp modelId="{E2504D09-BA13-47F2-9693-238F79FF3632}">
      <dsp:nvSpPr>
        <dsp:cNvPr id="0" name=""/>
        <dsp:cNvSpPr/>
      </dsp:nvSpPr>
      <dsp:spPr>
        <a:xfrm>
          <a:off x="0" y="1214190"/>
          <a:ext cx="2139315" cy="865260"/>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67923" tIns="13970" rIns="78232" bIns="13970" numCol="1" spcCol="1270" anchor="ctr" anchorCtr="0">
          <a:noAutofit/>
        </a:bodyPr>
        <a:lstStyle/>
        <a:p>
          <a:pPr marL="57150" lvl="1" indent="-57150" algn="l" defTabSz="488950">
            <a:lnSpc>
              <a:spcPct val="90000"/>
            </a:lnSpc>
            <a:spcBef>
              <a:spcPct val="0"/>
            </a:spcBef>
            <a:spcAft>
              <a:spcPct val="20000"/>
            </a:spcAft>
            <a:buChar char="•"/>
          </a:pPr>
          <a:r>
            <a:rPr lang="en-US" sz="1100" kern="1200"/>
            <a:t>Bấm nút refresh</a:t>
          </a:r>
        </a:p>
        <a:p>
          <a:pPr marL="114300" lvl="2" indent="-57150" algn="l" defTabSz="488950">
            <a:lnSpc>
              <a:spcPct val="90000"/>
            </a:lnSpc>
            <a:spcBef>
              <a:spcPct val="0"/>
            </a:spcBef>
            <a:spcAft>
              <a:spcPct val="20000"/>
            </a:spcAft>
            <a:buChar char="•"/>
          </a:pPr>
          <a:r>
            <a:rPr lang="en-US" sz="1100" i="1" kern="1200"/>
            <a:t>Nếu có cty chưa được phân ngành thì copy ra cột E-H của sheet Ref</a:t>
          </a:r>
        </a:p>
        <a:p>
          <a:pPr marL="57150" lvl="1" indent="-57150" algn="l" defTabSz="488950">
            <a:lnSpc>
              <a:spcPct val="90000"/>
            </a:lnSpc>
            <a:spcBef>
              <a:spcPct val="0"/>
            </a:spcBef>
            <a:spcAft>
              <a:spcPct val="20000"/>
            </a:spcAft>
            <a:buChar char="•"/>
          </a:pPr>
          <a:r>
            <a:rPr lang="en-US" sz="1100" kern="1200"/>
            <a:t>Double check &amp; upload 53</a:t>
          </a:r>
        </a:p>
      </dsp:txBody>
      <dsp:txXfrm>
        <a:off x="0" y="1214190"/>
        <a:ext cx="2139315" cy="865260"/>
      </dsp:txXfrm>
    </dsp:sp>
  </dsp:spTree>
</dsp:drawing>
</file>

<file path=xl/diagrams/layout1.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5">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6">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_rels/drawing4.xml.rels><?xml version="1.0" encoding="UTF-8" standalone="yes"?>
<Relationships xmlns="http://schemas.openxmlformats.org/package/2006/relationships"><Relationship Id="rId8" Type="http://schemas.openxmlformats.org/officeDocument/2006/relationships/image" Target="../media/image7.emf"/><Relationship Id="rId13" Type="http://schemas.openxmlformats.org/officeDocument/2006/relationships/image" Target="../media/image12.emf"/><Relationship Id="rId3" Type="http://schemas.openxmlformats.org/officeDocument/2006/relationships/image" Target="../media/image2.emf"/><Relationship Id="rId7" Type="http://schemas.openxmlformats.org/officeDocument/2006/relationships/image" Target="../media/image6.emf"/><Relationship Id="rId12" Type="http://schemas.openxmlformats.org/officeDocument/2006/relationships/image" Target="../media/image11.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emf"/><Relationship Id="rId11" Type="http://schemas.openxmlformats.org/officeDocument/2006/relationships/image" Target="../media/image10.emf"/><Relationship Id="rId5" Type="http://schemas.openxmlformats.org/officeDocument/2006/relationships/image" Target="../media/image4.emf"/><Relationship Id="rId10" Type="http://schemas.openxmlformats.org/officeDocument/2006/relationships/image" Target="../media/image9.emf"/><Relationship Id="rId4" Type="http://schemas.openxmlformats.org/officeDocument/2006/relationships/image" Target="../media/image3.emf"/><Relationship Id="rId9" Type="http://schemas.openxmlformats.org/officeDocument/2006/relationships/image" Target="../media/image8.emf"/></Relationships>
</file>

<file path=xl/drawings/_rels/drawing5.xml.rels><?xml version="1.0" encoding="UTF-8" standalone="yes"?>
<Relationships xmlns="http://schemas.openxmlformats.org/package/2006/relationships"><Relationship Id="rId2" Type="http://schemas.openxmlformats.org/officeDocument/2006/relationships/image" Target="../media/image24.emf"/><Relationship Id="rId1"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8" Type="http://schemas.openxmlformats.org/officeDocument/2006/relationships/image" Target="../media/image20.emf"/><Relationship Id="rId3" Type="http://schemas.openxmlformats.org/officeDocument/2006/relationships/image" Target="../media/image15.emf"/><Relationship Id="rId7" Type="http://schemas.openxmlformats.org/officeDocument/2006/relationships/image" Target="../media/image19.emf"/><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8.emf"/><Relationship Id="rId11" Type="http://schemas.openxmlformats.org/officeDocument/2006/relationships/image" Target="../media/image23.emf"/><Relationship Id="rId5" Type="http://schemas.openxmlformats.org/officeDocument/2006/relationships/image" Target="../media/image17.emf"/><Relationship Id="rId10" Type="http://schemas.openxmlformats.org/officeDocument/2006/relationships/image" Target="../media/image22.emf"/><Relationship Id="rId4" Type="http://schemas.openxmlformats.org/officeDocument/2006/relationships/image" Target="../media/image16.emf"/><Relationship Id="rId9" Type="http://schemas.openxmlformats.org/officeDocument/2006/relationships/image" Target="../media/image2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5.emf"/></Relationships>
</file>

<file path=xl/drawings/drawing1.xml><?xml version="1.0" encoding="utf-8"?>
<xdr:wsDr xmlns:xdr="http://schemas.openxmlformats.org/drawingml/2006/spreadsheetDrawing" xmlns:a="http://schemas.openxmlformats.org/drawingml/2006/main">
  <xdr:twoCellAnchor editAs="oneCell">
    <xdr:from>
      <xdr:col>3</xdr:col>
      <xdr:colOff>276225</xdr:colOff>
      <xdr:row>3</xdr:row>
      <xdr:rowOff>38100</xdr:rowOff>
    </xdr:from>
    <xdr:to>
      <xdr:col>7</xdr:col>
      <xdr:colOff>171450</xdr:colOff>
      <xdr:row>15</xdr:row>
      <xdr:rowOff>85725</xdr:rowOff>
    </xdr:to>
    <xdr:pic macro="[0]!ExportPowerQueryScriptsToSheet">
      <xdr:nvPicPr>
        <xdr:cNvPr id="3" name="Picture 2" descr="Angry Doggo">
          <a:extLst>
            <a:ext uri="{FF2B5EF4-FFF2-40B4-BE49-F238E27FC236}">
              <a16:creationId xmlns:a16="http://schemas.microsoft.com/office/drawing/2014/main" id="{E9162A7F-AF05-D724-831E-738CC4E29B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67325" y="609600"/>
          <a:ext cx="2333625" cy="2333625"/>
        </a:xfrm>
        <a:prstGeom prst="round2DiagRect">
          <a:avLst>
            <a:gd name="adj1" fmla="val 16667"/>
            <a:gd name="adj2" fmla="val 0"/>
          </a:avLst>
        </a:prstGeom>
        <a:ln w="88900" cap="sq">
          <a:solidFill>
            <a:srgbClr val="FFFFFF"/>
          </a:solidFill>
          <a:miter lim="800000"/>
        </a:ln>
        <a:effectLst>
          <a:outerShdw blurRad="254000" algn="tl" rotWithShape="0">
            <a:srgbClr val="000000">
              <a:alpha val="43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552449</xdr:colOff>
      <xdr:row>0</xdr:row>
      <xdr:rowOff>190499</xdr:rowOff>
    </xdr:from>
    <xdr:to>
      <xdr:col>11</xdr:col>
      <xdr:colOff>295275</xdr:colOff>
      <xdr:row>21</xdr:row>
      <xdr:rowOff>923925</xdr:rowOff>
    </xdr:to>
    <xdr:graphicFrame macro="">
      <xdr:nvGraphicFramePr>
        <xdr:cNvPr id="2" name="Diagram 1">
          <a:extLst>
            <a:ext uri="{FF2B5EF4-FFF2-40B4-BE49-F238E27FC236}">
              <a16:creationId xmlns:a16="http://schemas.microsoft.com/office/drawing/2014/main" id="{727D0C41-E30B-C9C2-291D-ECDAC23AB8AF}"/>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12</xdr:col>
      <xdr:colOff>0</xdr:colOff>
      <xdr:row>1</xdr:row>
      <xdr:rowOff>4762</xdr:rowOff>
    </xdr:from>
    <xdr:to>
      <xdr:col>15</xdr:col>
      <xdr:colOff>219075</xdr:colOff>
      <xdr:row>12</xdr:row>
      <xdr:rowOff>38100</xdr:rowOff>
    </xdr:to>
    <xdr:graphicFrame macro="">
      <xdr:nvGraphicFramePr>
        <xdr:cNvPr id="3" name="Diagram 2">
          <a:extLst>
            <a:ext uri="{FF2B5EF4-FFF2-40B4-BE49-F238E27FC236}">
              <a16:creationId xmlns:a16="http://schemas.microsoft.com/office/drawing/2014/main" id="{81E2835D-4F80-8F12-236B-3F4E60EC6163}"/>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541607</xdr:colOff>
      <xdr:row>8</xdr:row>
      <xdr:rowOff>140676</xdr:rowOff>
    </xdr:from>
    <xdr:to>
      <xdr:col>6</xdr:col>
      <xdr:colOff>506436</xdr:colOff>
      <xdr:row>16</xdr:row>
      <xdr:rowOff>16043</xdr:rowOff>
    </xdr:to>
    <xdr:sp macro="" textlink="">
      <xdr:nvSpPr>
        <xdr:cNvPr id="9" name="Oval 8">
          <a:extLst>
            <a:ext uri="{FF2B5EF4-FFF2-40B4-BE49-F238E27FC236}">
              <a16:creationId xmlns:a16="http://schemas.microsoft.com/office/drawing/2014/main" id="{39756880-0EFE-4940-88D0-0BAA801C5FA3}"/>
            </a:ext>
          </a:extLst>
        </xdr:cNvPr>
        <xdr:cNvSpPr/>
      </xdr:nvSpPr>
      <xdr:spPr>
        <a:xfrm>
          <a:off x="3896752" y="1603716"/>
          <a:ext cx="1568546" cy="1338407"/>
        </a:xfrm>
        <a:prstGeom prst="ellipse">
          <a:avLst/>
        </a:prstGeom>
        <a:solidFill>
          <a:srgbClr val="92D050"/>
        </a:solidFill>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5</xdr:col>
      <xdr:colOff>714375</xdr:colOff>
      <xdr:row>2</xdr:row>
      <xdr:rowOff>74416</xdr:rowOff>
    </xdr:from>
    <xdr:to>
      <xdr:col>7</xdr:col>
      <xdr:colOff>541990</xdr:colOff>
      <xdr:row>9</xdr:row>
      <xdr:rowOff>111561</xdr:rowOff>
    </xdr:to>
    <xdr:sp macro="" textlink="">
      <xdr:nvSpPr>
        <xdr:cNvPr id="5" name="Oval 4">
          <a:extLst>
            <a:ext uri="{FF2B5EF4-FFF2-40B4-BE49-F238E27FC236}">
              <a16:creationId xmlns:a16="http://schemas.microsoft.com/office/drawing/2014/main" id="{A6D410C6-7C83-02C5-CB60-DF31FAC1DE2D}"/>
            </a:ext>
          </a:extLst>
        </xdr:cNvPr>
        <xdr:cNvSpPr/>
      </xdr:nvSpPr>
      <xdr:spPr>
        <a:xfrm>
          <a:off x="4524375" y="455416"/>
          <a:ext cx="1370665" cy="1370645"/>
        </a:xfrm>
        <a:prstGeom prst="ellipse">
          <a:avLst/>
        </a:prstGeom>
      </xdr:spPr>
      <xdr:style>
        <a:lnRef idx="2">
          <a:schemeClr val="lt1">
            <a:hueOff val="0"/>
            <a:satOff val="0"/>
            <a:lumOff val="0"/>
            <a:alphaOff val="0"/>
          </a:schemeClr>
        </a:lnRef>
        <a:fillRef idx="1">
          <a:schemeClr val="accent4">
            <a:hueOff val="0"/>
            <a:satOff val="0"/>
            <a:lumOff val="0"/>
            <a:alphaOff val="0"/>
          </a:schemeClr>
        </a:fillRef>
        <a:effectRef idx="0">
          <a:schemeClr val="accent4">
            <a:hueOff val="0"/>
            <a:satOff val="0"/>
            <a:lumOff val="0"/>
            <a:alphaOff val="0"/>
          </a:schemeClr>
        </a:effectRef>
        <a:fontRef idx="minor">
          <a:schemeClr val="lt1"/>
        </a:fontRef>
      </xdr:style>
    </xdr:sp>
    <xdr:clientData/>
  </xdr:twoCellAnchor>
  <xdr:twoCellAnchor editAs="oneCell">
    <xdr:from>
      <xdr:col>5</xdr:col>
      <xdr:colOff>714375</xdr:colOff>
      <xdr:row>2</xdr:row>
      <xdr:rowOff>120112</xdr:rowOff>
    </xdr:from>
    <xdr:to>
      <xdr:col>7</xdr:col>
      <xdr:colOff>450348</xdr:colOff>
      <xdr:row>9</xdr:row>
      <xdr:rowOff>65865</xdr:rowOff>
    </xdr:to>
    <xdr:sp macro="[0]!UploadDB" textlink="">
      <xdr:nvSpPr>
        <xdr:cNvPr id="6" name="Freeform: Shape 5">
          <a:extLst>
            <a:ext uri="{FF2B5EF4-FFF2-40B4-BE49-F238E27FC236}">
              <a16:creationId xmlns:a16="http://schemas.microsoft.com/office/drawing/2014/main" id="{607EFFE9-8D33-01FB-693E-2309DA841248}"/>
            </a:ext>
          </a:extLst>
        </xdr:cNvPr>
        <xdr:cNvSpPr/>
      </xdr:nvSpPr>
      <xdr:spPr>
        <a:xfrm>
          <a:off x="4524375" y="501112"/>
          <a:ext cx="1279023" cy="1279253"/>
        </a:xfrm>
        <a:custGeom>
          <a:avLst/>
          <a:gdLst>
            <a:gd name="csX0" fmla="*/ 0 w 1279023"/>
            <a:gd name="csY0" fmla="*/ 639627 h 1279253"/>
            <a:gd name="csX1" fmla="*/ 639512 w 1279023"/>
            <a:gd name="csY1" fmla="*/ 0 h 1279253"/>
            <a:gd name="csX2" fmla="*/ 1279024 w 1279023"/>
            <a:gd name="csY2" fmla="*/ 639627 h 1279253"/>
            <a:gd name="csX3" fmla="*/ 639512 w 1279023"/>
            <a:gd name="csY3" fmla="*/ 1279254 h 1279253"/>
            <a:gd name="csX4" fmla="*/ 0 w 1279023"/>
            <a:gd name="csY4" fmla="*/ 639627 h 1279253"/>
          </a:gdLst>
          <a:ahLst/>
          <a:cxnLst>
            <a:cxn ang="0">
              <a:pos x="csX0" y="csY0"/>
            </a:cxn>
            <a:cxn ang="0">
              <a:pos x="csX1" y="csY1"/>
            </a:cxn>
            <a:cxn ang="0">
              <a:pos x="csX2" y="csY2"/>
            </a:cxn>
            <a:cxn ang="0">
              <a:pos x="csX3" y="csY3"/>
            </a:cxn>
            <a:cxn ang="0">
              <a:pos x="csX4" y="csY4"/>
            </a:cxn>
          </a:cxnLst>
          <a:rect l="l" t="t" r="r" b="b"/>
          <a:pathLst>
            <a:path w="1279023" h="1279253">
              <a:moveTo>
                <a:pt x="0" y="639627"/>
              </a:moveTo>
              <a:cubicBezTo>
                <a:pt x="0" y="286371"/>
                <a:pt x="286319" y="0"/>
                <a:pt x="639512" y="0"/>
              </a:cubicBezTo>
              <a:cubicBezTo>
                <a:pt x="992705" y="0"/>
                <a:pt x="1279024" y="286371"/>
                <a:pt x="1279024" y="639627"/>
              </a:cubicBezTo>
              <a:cubicBezTo>
                <a:pt x="1279024" y="992883"/>
                <a:pt x="992705" y="1279254"/>
                <a:pt x="639512" y="1279254"/>
              </a:cubicBezTo>
              <a:cubicBezTo>
                <a:pt x="286319" y="1279254"/>
                <a:pt x="0" y="992883"/>
                <a:pt x="0" y="639627"/>
              </a:cubicBezTo>
              <a:close/>
            </a:path>
          </a:pathLst>
        </a:custGeom>
      </xdr:spPr>
      <xdr:style>
        <a:lnRef idx="2">
          <a:schemeClr val="accent4">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08378" tIns="208185" rIns="207770" bIns="208185" numCol="1" spcCol="1270" anchor="ctr" anchorCtr="0">
          <a:noAutofit/>
        </a:bodyPr>
        <a:lstStyle/>
        <a:p>
          <a:pPr marL="0" lvl="0" indent="0" algn="ctr" defTabSz="889000">
            <a:lnSpc>
              <a:spcPct val="90000"/>
            </a:lnSpc>
            <a:spcBef>
              <a:spcPct val="0"/>
            </a:spcBef>
            <a:spcAft>
              <a:spcPct val="35000"/>
            </a:spcAft>
            <a:buNone/>
          </a:pPr>
          <a:r>
            <a:rPr lang="en-US" sz="2000" kern="1200"/>
            <a:t>2. Save data</a:t>
          </a:r>
        </a:p>
      </xdr:txBody>
    </xdr:sp>
    <xdr:clientData/>
  </xdr:twoCellAnchor>
  <xdr:twoCellAnchor editAs="oneCell">
    <xdr:from>
      <xdr:col>3</xdr:col>
      <xdr:colOff>391569</xdr:colOff>
      <xdr:row>2</xdr:row>
      <xdr:rowOff>112363</xdr:rowOff>
    </xdr:from>
    <xdr:to>
      <xdr:col>5</xdr:col>
      <xdr:colOff>543079</xdr:colOff>
      <xdr:row>9</xdr:row>
      <xdr:rowOff>149573</xdr:rowOff>
    </xdr:to>
    <xdr:sp macro="" textlink="">
      <xdr:nvSpPr>
        <xdr:cNvPr id="7" name="Teardrop 6">
          <a:extLst>
            <a:ext uri="{FF2B5EF4-FFF2-40B4-BE49-F238E27FC236}">
              <a16:creationId xmlns:a16="http://schemas.microsoft.com/office/drawing/2014/main" id="{0F414A8C-48A6-E083-0F96-2ACC9F6E5646}"/>
            </a:ext>
          </a:extLst>
        </xdr:cNvPr>
        <xdr:cNvSpPr/>
      </xdr:nvSpPr>
      <xdr:spPr>
        <a:xfrm rot="2700000">
          <a:off x="2982369" y="493363"/>
          <a:ext cx="1370710" cy="1370710"/>
        </a:xfrm>
        <a:prstGeom prst="teardrop">
          <a:avLst>
            <a:gd name="adj" fmla="val 100000"/>
          </a:avLst>
        </a:prstGeom>
      </xdr:spPr>
      <xdr:style>
        <a:lnRef idx="2">
          <a:schemeClr val="lt1">
            <a:hueOff val="0"/>
            <a:satOff val="0"/>
            <a:lumOff val="0"/>
            <a:alphaOff val="0"/>
          </a:schemeClr>
        </a:lnRef>
        <a:fillRef idx="1">
          <a:schemeClr val="accent4">
            <a:hueOff val="10395692"/>
            <a:satOff val="-47968"/>
            <a:lumOff val="1765"/>
            <a:alphaOff val="0"/>
          </a:schemeClr>
        </a:fillRef>
        <a:effectRef idx="0">
          <a:schemeClr val="accent4">
            <a:hueOff val="10395692"/>
            <a:satOff val="-47968"/>
            <a:lumOff val="1765"/>
            <a:alphaOff val="0"/>
          </a:schemeClr>
        </a:effectRef>
        <a:fontRef idx="minor">
          <a:schemeClr val="lt1"/>
        </a:fontRef>
      </xdr:style>
    </xdr:sp>
    <xdr:clientData/>
  </xdr:twoCellAnchor>
  <xdr:twoCellAnchor editAs="oneCell">
    <xdr:from>
      <xdr:col>3</xdr:col>
      <xdr:colOff>437413</xdr:colOff>
      <xdr:row>2</xdr:row>
      <xdr:rowOff>158212</xdr:rowOff>
    </xdr:from>
    <xdr:to>
      <xdr:col>5</xdr:col>
      <xdr:colOff>497236</xdr:colOff>
      <xdr:row>9</xdr:row>
      <xdr:rowOff>103965</xdr:rowOff>
    </xdr:to>
    <xdr:sp macro="[0]!RefreshData" textlink="">
      <xdr:nvSpPr>
        <xdr:cNvPr id="8" name="Freeform: Shape 7">
          <a:extLst>
            <a:ext uri="{FF2B5EF4-FFF2-40B4-BE49-F238E27FC236}">
              <a16:creationId xmlns:a16="http://schemas.microsoft.com/office/drawing/2014/main" id="{7FD34957-63DD-9D34-D572-8CED3661A7D4}"/>
            </a:ext>
          </a:extLst>
        </xdr:cNvPr>
        <xdr:cNvSpPr/>
      </xdr:nvSpPr>
      <xdr:spPr>
        <a:xfrm>
          <a:off x="3028213" y="539212"/>
          <a:ext cx="1279023" cy="1279253"/>
        </a:xfrm>
        <a:custGeom>
          <a:avLst/>
          <a:gdLst>
            <a:gd name="csX0" fmla="*/ 0 w 1279023"/>
            <a:gd name="csY0" fmla="*/ 639627 h 1279253"/>
            <a:gd name="csX1" fmla="*/ 639512 w 1279023"/>
            <a:gd name="csY1" fmla="*/ 0 h 1279253"/>
            <a:gd name="csX2" fmla="*/ 1279024 w 1279023"/>
            <a:gd name="csY2" fmla="*/ 639627 h 1279253"/>
            <a:gd name="csX3" fmla="*/ 639512 w 1279023"/>
            <a:gd name="csY3" fmla="*/ 1279254 h 1279253"/>
            <a:gd name="csX4" fmla="*/ 0 w 1279023"/>
            <a:gd name="csY4" fmla="*/ 639627 h 1279253"/>
          </a:gdLst>
          <a:ahLst/>
          <a:cxnLst>
            <a:cxn ang="0">
              <a:pos x="csX0" y="csY0"/>
            </a:cxn>
            <a:cxn ang="0">
              <a:pos x="csX1" y="csY1"/>
            </a:cxn>
            <a:cxn ang="0">
              <a:pos x="csX2" y="csY2"/>
            </a:cxn>
            <a:cxn ang="0">
              <a:pos x="csX3" y="csY3"/>
            </a:cxn>
            <a:cxn ang="0">
              <a:pos x="csX4" y="csY4"/>
            </a:cxn>
          </a:cxnLst>
          <a:rect l="l" t="t" r="r" b="b"/>
          <a:pathLst>
            <a:path w="1279023" h="1279253">
              <a:moveTo>
                <a:pt x="0" y="639627"/>
              </a:moveTo>
              <a:cubicBezTo>
                <a:pt x="0" y="286371"/>
                <a:pt x="286319" y="0"/>
                <a:pt x="639512" y="0"/>
              </a:cubicBezTo>
              <a:cubicBezTo>
                <a:pt x="992705" y="0"/>
                <a:pt x="1279024" y="286371"/>
                <a:pt x="1279024" y="639627"/>
              </a:cubicBezTo>
              <a:cubicBezTo>
                <a:pt x="1279024" y="992883"/>
                <a:pt x="992705" y="1279254"/>
                <a:pt x="639512" y="1279254"/>
              </a:cubicBezTo>
              <a:cubicBezTo>
                <a:pt x="286319" y="1279254"/>
                <a:pt x="0" y="992883"/>
                <a:pt x="0" y="639627"/>
              </a:cubicBezTo>
              <a:close/>
            </a:path>
          </a:pathLst>
        </a:custGeom>
      </xdr:spPr>
      <xdr:style>
        <a:lnRef idx="2">
          <a:schemeClr val="accent4">
            <a:hueOff val="10395692"/>
            <a:satOff val="-47968"/>
            <a:lumOff val="1765"/>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08074" tIns="208185" rIns="208074" bIns="208185" numCol="1" spcCol="1270" anchor="ctr" anchorCtr="0">
          <a:noAutofit/>
        </a:bodyPr>
        <a:lstStyle/>
        <a:p>
          <a:pPr marL="0" lvl="0" indent="0" algn="ctr" defTabSz="889000">
            <a:lnSpc>
              <a:spcPct val="90000"/>
            </a:lnSpc>
            <a:spcBef>
              <a:spcPct val="0"/>
            </a:spcBef>
            <a:spcAft>
              <a:spcPct val="35000"/>
            </a:spcAft>
            <a:buNone/>
          </a:pPr>
          <a:r>
            <a:rPr lang="en-US" sz="2000" kern="1200"/>
            <a:t>1. Refesh data</a:t>
          </a:r>
        </a:p>
      </xdr:txBody>
    </xdr:sp>
    <xdr:clientData/>
  </xdr:twoCellAnchor>
  <xdr:twoCellAnchor editAs="oneCell">
    <xdr:from>
      <xdr:col>5</xdr:col>
      <xdr:colOff>28136</xdr:colOff>
      <xdr:row>9</xdr:row>
      <xdr:rowOff>14068</xdr:rowOff>
    </xdr:from>
    <xdr:to>
      <xdr:col>6</xdr:col>
      <xdr:colOff>341177</xdr:colOff>
      <xdr:row>15</xdr:row>
      <xdr:rowOff>142701</xdr:rowOff>
    </xdr:to>
    <xdr:sp macro="[0]!UploadDB_RPBOD03" textlink="">
      <xdr:nvSpPr>
        <xdr:cNvPr id="4" name="Freeform: Shape 3">
          <a:extLst>
            <a:ext uri="{FF2B5EF4-FFF2-40B4-BE49-F238E27FC236}">
              <a16:creationId xmlns:a16="http://schemas.microsoft.com/office/drawing/2014/main" id="{E6DED915-F162-48BF-90B1-DDAEEE8A33F8}"/>
            </a:ext>
          </a:extLst>
        </xdr:cNvPr>
        <xdr:cNvSpPr/>
      </xdr:nvSpPr>
      <xdr:spPr>
        <a:xfrm>
          <a:off x="4002259" y="1659988"/>
          <a:ext cx="1297780" cy="1225913"/>
        </a:xfrm>
        <a:custGeom>
          <a:avLst/>
          <a:gdLst>
            <a:gd name="csX0" fmla="*/ 0 w 1279023"/>
            <a:gd name="csY0" fmla="*/ 639627 h 1279253"/>
            <a:gd name="csX1" fmla="*/ 639512 w 1279023"/>
            <a:gd name="csY1" fmla="*/ 0 h 1279253"/>
            <a:gd name="csX2" fmla="*/ 1279024 w 1279023"/>
            <a:gd name="csY2" fmla="*/ 639627 h 1279253"/>
            <a:gd name="csX3" fmla="*/ 639512 w 1279023"/>
            <a:gd name="csY3" fmla="*/ 1279254 h 1279253"/>
            <a:gd name="csX4" fmla="*/ 0 w 1279023"/>
            <a:gd name="csY4" fmla="*/ 639627 h 1279253"/>
          </a:gdLst>
          <a:ahLst/>
          <a:cxnLst>
            <a:cxn ang="0">
              <a:pos x="csX0" y="csY0"/>
            </a:cxn>
            <a:cxn ang="0">
              <a:pos x="csX1" y="csY1"/>
            </a:cxn>
            <a:cxn ang="0">
              <a:pos x="csX2" y="csY2"/>
            </a:cxn>
            <a:cxn ang="0">
              <a:pos x="csX3" y="csY3"/>
            </a:cxn>
            <a:cxn ang="0">
              <a:pos x="csX4" y="csY4"/>
            </a:cxn>
          </a:cxnLst>
          <a:rect l="l" t="t" r="r" b="b"/>
          <a:pathLst>
            <a:path w="1279023" h="1279253">
              <a:moveTo>
                <a:pt x="0" y="639627"/>
              </a:moveTo>
              <a:cubicBezTo>
                <a:pt x="0" y="286371"/>
                <a:pt x="286319" y="0"/>
                <a:pt x="639512" y="0"/>
              </a:cubicBezTo>
              <a:cubicBezTo>
                <a:pt x="992705" y="0"/>
                <a:pt x="1279024" y="286371"/>
                <a:pt x="1279024" y="639627"/>
              </a:cubicBezTo>
              <a:cubicBezTo>
                <a:pt x="1279024" y="992883"/>
                <a:pt x="992705" y="1279254"/>
                <a:pt x="639512" y="1279254"/>
              </a:cubicBezTo>
              <a:cubicBezTo>
                <a:pt x="286319" y="1279254"/>
                <a:pt x="0" y="992883"/>
                <a:pt x="0" y="639627"/>
              </a:cubicBezTo>
              <a:close/>
            </a:path>
          </a:pathLst>
        </a:custGeom>
      </xdr:spPr>
      <xdr:style>
        <a:lnRef idx="2">
          <a:schemeClr val="accent4">
            <a:hueOff val="10395692"/>
            <a:satOff val="-47968"/>
            <a:lumOff val="1765"/>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08074" tIns="208185" rIns="208074" bIns="208185" numCol="1" spcCol="1270" anchor="ctr" anchorCtr="0">
          <a:noAutofit/>
        </a:bodyPr>
        <a:lstStyle/>
        <a:p>
          <a:pPr marL="0" lvl="0" indent="0" algn="ctr" defTabSz="889000">
            <a:lnSpc>
              <a:spcPct val="90000"/>
            </a:lnSpc>
            <a:spcBef>
              <a:spcPct val="0"/>
            </a:spcBef>
            <a:spcAft>
              <a:spcPct val="35000"/>
            </a:spcAft>
            <a:buNone/>
          </a:pPr>
          <a:r>
            <a:rPr lang="en-US" sz="2000" kern="1200"/>
            <a:t>3. Upload RPBOD3</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101</xdr:row>
      <xdr:rowOff>1</xdr:rowOff>
    </xdr:from>
    <xdr:to>
      <xdr:col>3</xdr:col>
      <xdr:colOff>561975</xdr:colOff>
      <xdr:row>116</xdr:row>
      <xdr:rowOff>152399</xdr:rowOff>
    </xdr:to>
    <xdr:graphicFrame macro="">
      <xdr:nvGraphicFramePr>
        <xdr:cNvPr id="4" name="Chart 3">
          <a:extLst>
            <a:ext uri="{FF2B5EF4-FFF2-40B4-BE49-F238E27FC236}">
              <a16:creationId xmlns:a16="http://schemas.microsoft.com/office/drawing/2014/main" id="{243A46D2-4918-463E-9B30-A528B6251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647700</xdr:colOff>
      <xdr:row>101</xdr:row>
      <xdr:rowOff>1</xdr:rowOff>
    </xdr:from>
    <xdr:to>
      <xdr:col>8</xdr:col>
      <xdr:colOff>495300</xdr:colOff>
      <xdr:row>116</xdr:row>
      <xdr:rowOff>150877</xdr:rowOff>
    </xdr:to>
    <xdr:graphicFrame macro="">
      <xdr:nvGraphicFramePr>
        <xdr:cNvPr id="5" name="Chart 4">
          <a:extLst>
            <a:ext uri="{FF2B5EF4-FFF2-40B4-BE49-F238E27FC236}">
              <a16:creationId xmlns:a16="http://schemas.microsoft.com/office/drawing/2014/main" id="{3990B1AB-D5B0-4E0A-9964-8DF603540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7034</xdr:colOff>
          <xdr:row>18</xdr:row>
          <xdr:rowOff>40152</xdr:rowOff>
        </xdr:from>
        <xdr:to>
          <xdr:col>7</xdr:col>
          <xdr:colOff>738554</xdr:colOff>
          <xdr:row>31</xdr:row>
          <xdr:rowOff>89389</xdr:rowOff>
        </xdr:to>
        <xdr:pic>
          <xdr:nvPicPr>
            <xdr:cNvPr id="7" name="Picture 6">
              <a:extLst>
                <a:ext uri="{FF2B5EF4-FFF2-40B4-BE49-F238E27FC236}">
                  <a16:creationId xmlns:a16="http://schemas.microsoft.com/office/drawing/2014/main" id="{09B5C127-E8EF-12AD-DCA7-4C35303A60DF}"/>
                </a:ext>
              </a:extLst>
            </xdr:cNvPr>
            <xdr:cNvPicPr>
              <a:picLocks noChangeAspect="1" noChangeArrowheads="1"/>
              <a:extLst>
                <a:ext uri="{84589F7E-364E-4C9E-8A38-B11213B215E9}">
                  <a14:cameraTool cellRange="Summary!$H$1:$R$13" spid="_x0000_s16990"/>
                </a:ext>
              </a:extLst>
            </xdr:cNvPicPr>
          </xdr:nvPicPr>
          <xdr:blipFill>
            <a:blip xmlns:r="http://schemas.openxmlformats.org/officeDocument/2006/relationships" r:embed="rId3"/>
            <a:stretch>
              <a:fillRect/>
            </a:stretch>
          </xdr:blipFill>
          <xdr:spPr bwMode="auto">
            <a:xfrm>
              <a:off x="7034" y="3965038"/>
              <a:ext cx="7202658" cy="243371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165294</xdr:colOff>
          <xdr:row>18</xdr:row>
          <xdr:rowOff>9525</xdr:rowOff>
        </xdr:from>
        <xdr:to>
          <xdr:col>13</xdr:col>
          <xdr:colOff>10549</xdr:colOff>
          <xdr:row>38</xdr:row>
          <xdr:rowOff>72829</xdr:rowOff>
        </xdr:to>
        <xdr:pic>
          <xdr:nvPicPr>
            <xdr:cNvPr id="6" name="Picture 5">
              <a:extLst>
                <a:ext uri="{FF2B5EF4-FFF2-40B4-BE49-F238E27FC236}">
                  <a16:creationId xmlns:a16="http://schemas.microsoft.com/office/drawing/2014/main" id="{93799486-AFAB-A950-A683-DF983D2D5E62}"/>
                </a:ext>
              </a:extLst>
            </xdr:cNvPr>
            <xdr:cNvPicPr>
              <a:picLocks noChangeAspect="1" noChangeArrowheads="1"/>
              <a:extLst>
                <a:ext uri="{84589F7E-364E-4C9E-8A38-B11213B215E9}">
                  <a14:cameraTool cellRange="Summary!$AM$1:$AS$20" spid="_x0000_s16991"/>
                </a:ext>
              </a:extLst>
            </xdr:cNvPicPr>
          </xdr:nvPicPr>
          <xdr:blipFill>
            <a:blip xmlns:r="http://schemas.openxmlformats.org/officeDocument/2006/relationships" r:embed="rId4"/>
            <a:stretch>
              <a:fillRect/>
            </a:stretch>
          </xdr:blipFill>
          <xdr:spPr bwMode="auto">
            <a:xfrm>
              <a:off x="7438291" y="3934411"/>
              <a:ext cx="4965895" cy="372793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600075</xdr:colOff>
          <xdr:row>101</xdr:row>
          <xdr:rowOff>1</xdr:rowOff>
        </xdr:from>
        <xdr:to>
          <xdr:col>12</xdr:col>
          <xdr:colOff>1445749</xdr:colOff>
          <xdr:row>115</xdr:row>
          <xdr:rowOff>56272</xdr:rowOff>
        </xdr:to>
        <xdr:pic>
          <xdr:nvPicPr>
            <xdr:cNvPr id="2" name="Picture 1">
              <a:extLst>
                <a:ext uri="{FF2B5EF4-FFF2-40B4-BE49-F238E27FC236}">
                  <a16:creationId xmlns:a16="http://schemas.microsoft.com/office/drawing/2014/main" id="{688AB0A2-F599-D7AD-1F3D-F988D39DDC4C}"/>
                </a:ext>
              </a:extLst>
            </xdr:cNvPr>
            <xdr:cNvPicPr>
              <a:picLocks noChangeAspect="1" noChangeArrowheads="1"/>
              <a:extLst>
                <a:ext uri="{84589F7E-364E-4C9E-8A38-B11213B215E9}">
                  <a14:cameraTool cellRange="Summary!$BS$1:$BZ$14" spid="_x0000_s16992"/>
                </a:ext>
              </a:extLst>
            </xdr:cNvPicPr>
          </xdr:nvPicPr>
          <xdr:blipFill>
            <a:blip xmlns:r="http://schemas.openxmlformats.org/officeDocument/2006/relationships" r:embed="rId5"/>
            <a:stretch>
              <a:fillRect/>
            </a:stretch>
          </xdr:blipFill>
          <xdr:spPr bwMode="auto">
            <a:xfrm>
              <a:off x="7873072" y="19617398"/>
              <a:ext cx="4487594" cy="261659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75</xdr:row>
          <xdr:rowOff>50555</xdr:rowOff>
        </xdr:from>
        <xdr:to>
          <xdr:col>5</xdr:col>
          <xdr:colOff>499403</xdr:colOff>
          <xdr:row>98</xdr:row>
          <xdr:rowOff>599195</xdr:rowOff>
        </xdr:to>
        <xdr:pic>
          <xdr:nvPicPr>
            <xdr:cNvPr id="3" name="Picture 2">
              <a:extLst>
                <a:ext uri="{FF2B5EF4-FFF2-40B4-BE49-F238E27FC236}">
                  <a16:creationId xmlns:a16="http://schemas.microsoft.com/office/drawing/2014/main" id="{9D8976A3-E586-4CAF-82F3-EEFCB38004D6}"/>
                </a:ext>
              </a:extLst>
            </xdr:cNvPr>
            <xdr:cNvPicPr>
              <a:picLocks noChangeAspect="1" noChangeArrowheads="1"/>
              <a:extLst>
                <a:ext uri="{84589F7E-364E-4C9E-8A38-B11213B215E9}">
                  <a14:cameraTool cellRange="Rating!$A$1:$G$24" spid="_x0000_s16993"/>
                </a:ext>
              </a:extLst>
            </xdr:cNvPicPr>
          </xdr:nvPicPr>
          <xdr:blipFill>
            <a:blip xmlns:r="http://schemas.openxmlformats.org/officeDocument/2006/relationships" r:embed="rId6"/>
            <a:stretch>
              <a:fillRect/>
            </a:stretch>
          </xdr:blipFill>
          <xdr:spPr bwMode="auto">
            <a:xfrm>
              <a:off x="0" y="14589515"/>
              <a:ext cx="5366825" cy="476894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xdr:row>
          <xdr:rowOff>57150</xdr:rowOff>
        </xdr:from>
        <xdr:to>
          <xdr:col>10</xdr:col>
          <xdr:colOff>316524</xdr:colOff>
          <xdr:row>74</xdr:row>
          <xdr:rowOff>1465</xdr:rowOff>
        </xdr:to>
        <xdr:pic>
          <xdr:nvPicPr>
            <xdr:cNvPr id="14" name="Picture 13">
              <a:extLst>
                <a:ext uri="{FF2B5EF4-FFF2-40B4-BE49-F238E27FC236}">
                  <a16:creationId xmlns:a16="http://schemas.microsoft.com/office/drawing/2014/main" id="{08C8CF95-D447-8191-235E-52BE07CF9110}"/>
                </a:ext>
              </a:extLst>
            </xdr:cNvPr>
            <xdr:cNvPicPr>
              <a:picLocks noChangeAspect="1" noChangeArrowheads="1"/>
              <a:extLst>
                <a:ext uri="{84589F7E-364E-4C9E-8A38-B11213B215E9}">
                  <a14:cameraTool cellRange="Summary!$AY$1:$BI$7" spid="_x0000_s16994"/>
                </a:ext>
              </a:extLst>
            </xdr:cNvPicPr>
          </xdr:nvPicPr>
          <xdr:blipFill>
            <a:blip xmlns:r="http://schemas.openxmlformats.org/officeDocument/2006/relationships" r:embed="rId7"/>
            <a:stretch>
              <a:fillRect/>
            </a:stretch>
          </xdr:blipFill>
          <xdr:spPr bwMode="auto">
            <a:xfrm>
              <a:off x="0" y="13041630"/>
              <a:ext cx="9073662" cy="130829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14067</xdr:colOff>
          <xdr:row>32</xdr:row>
          <xdr:rowOff>178337</xdr:rowOff>
        </xdr:from>
        <xdr:to>
          <xdr:col>7</xdr:col>
          <xdr:colOff>668215</xdr:colOff>
          <xdr:row>45</xdr:row>
          <xdr:rowOff>178337</xdr:rowOff>
        </xdr:to>
        <xdr:pic>
          <xdr:nvPicPr>
            <xdr:cNvPr id="11" name="Picture 10">
              <a:extLst>
                <a:ext uri="{FF2B5EF4-FFF2-40B4-BE49-F238E27FC236}">
                  <a16:creationId xmlns:a16="http://schemas.microsoft.com/office/drawing/2014/main" id="{10279A2E-D6F7-B0D6-D2F6-B9BAFF84FD4A}"/>
                </a:ext>
              </a:extLst>
            </xdr:cNvPr>
            <xdr:cNvPicPr>
              <a:picLocks noChangeAspect="1" noChangeArrowheads="1"/>
              <a:extLst>
                <a:ext uri="{84589F7E-364E-4C9E-8A38-B11213B215E9}">
                  <a14:cameraTool cellRange="Summary!$X$1:$AH$13" spid="_x0000_s16995"/>
                </a:ext>
              </a:extLst>
            </xdr:cNvPicPr>
          </xdr:nvPicPr>
          <xdr:blipFill>
            <a:blip xmlns:r="http://schemas.openxmlformats.org/officeDocument/2006/relationships" r:embed="rId8"/>
            <a:stretch>
              <a:fillRect/>
            </a:stretch>
          </xdr:blipFill>
          <xdr:spPr bwMode="auto">
            <a:xfrm>
              <a:off x="14067" y="6670577"/>
              <a:ext cx="7125286" cy="243371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438150</xdr:colOff>
          <xdr:row>75</xdr:row>
          <xdr:rowOff>85725</xdr:rowOff>
        </xdr:from>
        <xdr:to>
          <xdr:col>12</xdr:col>
          <xdr:colOff>1493640</xdr:colOff>
          <xdr:row>98</xdr:row>
          <xdr:rowOff>52624</xdr:rowOff>
        </xdr:to>
        <xdr:pic>
          <xdr:nvPicPr>
            <xdr:cNvPr id="9" name="Picture 8">
              <a:extLst>
                <a:ext uri="{FF2B5EF4-FFF2-40B4-BE49-F238E27FC236}">
                  <a16:creationId xmlns:a16="http://schemas.microsoft.com/office/drawing/2014/main" id="{78A1A42D-F991-7E33-93E4-CA5D8CEC82D4}"/>
                </a:ext>
              </a:extLst>
            </xdr:cNvPr>
            <xdr:cNvPicPr>
              <a:picLocks noChangeAspect="1" noChangeArrowheads="1"/>
              <a:extLst>
                <a:ext uri="{84589F7E-364E-4C9E-8A38-B11213B215E9}">
                  <a14:cameraTool cellRange="Rating!$R$1:$V$22" spid="_x0000_s16996"/>
                </a:ext>
              </a:extLst>
            </xdr:cNvPicPr>
          </xdr:nvPicPr>
          <xdr:blipFill>
            <a:blip xmlns:r="http://schemas.openxmlformats.org/officeDocument/2006/relationships" r:embed="rId9"/>
            <a:stretch>
              <a:fillRect/>
            </a:stretch>
          </xdr:blipFill>
          <xdr:spPr bwMode="auto">
            <a:xfrm>
              <a:off x="8513005" y="14624685"/>
              <a:ext cx="3847927" cy="418720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520504</xdr:colOff>
          <xdr:row>0</xdr:row>
          <xdr:rowOff>0</xdr:rowOff>
        </xdr:from>
        <xdr:to>
          <xdr:col>33</xdr:col>
          <xdr:colOff>126609</xdr:colOff>
          <xdr:row>118</xdr:row>
          <xdr:rowOff>14068</xdr:rowOff>
        </xdr:to>
        <xdr:pic>
          <xdr:nvPicPr>
            <xdr:cNvPr id="10" name="Picture 9">
              <a:extLst>
                <a:ext uri="{FF2B5EF4-FFF2-40B4-BE49-F238E27FC236}">
                  <a16:creationId xmlns:a16="http://schemas.microsoft.com/office/drawing/2014/main" id="{5F7B3870-8594-DA18-C665-EF75072CD32B}"/>
                </a:ext>
              </a:extLst>
            </xdr:cNvPr>
            <xdr:cNvPicPr>
              <a:picLocks noChangeAspect="1" noChangeArrowheads="1"/>
              <a:extLst>
                <a:ext uri="{84589F7E-364E-4C9E-8A38-B11213B215E9}">
                  <a14:cameraTool cellRange="$A$1:$M$118" spid="_x0000_s16997"/>
                </a:ext>
              </a:extLst>
            </xdr:cNvPicPr>
          </xdr:nvPicPr>
          <xdr:blipFill>
            <a:blip xmlns:r="http://schemas.openxmlformats.org/officeDocument/2006/relationships" r:embed="rId10"/>
            <a:stretch>
              <a:fillRect/>
            </a:stretch>
          </xdr:blipFill>
          <xdr:spPr bwMode="auto">
            <a:xfrm>
              <a:off x="12914141" y="0"/>
              <a:ext cx="12407705" cy="2285296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90487</xdr:colOff>
          <xdr:row>75</xdr:row>
          <xdr:rowOff>85725</xdr:rowOff>
        </xdr:from>
        <xdr:to>
          <xdr:col>9</xdr:col>
          <xdr:colOff>1944</xdr:colOff>
          <xdr:row>84</xdr:row>
          <xdr:rowOff>64210</xdr:rowOff>
        </xdr:to>
        <xdr:pic>
          <xdr:nvPicPr>
            <xdr:cNvPr id="15" name="Picture 14">
              <a:extLst>
                <a:ext uri="{FF2B5EF4-FFF2-40B4-BE49-F238E27FC236}">
                  <a16:creationId xmlns:a16="http://schemas.microsoft.com/office/drawing/2014/main" id="{7483224A-4222-ACEC-6933-721AA681BBDD}"/>
                </a:ext>
              </a:extLst>
            </xdr:cNvPr>
            <xdr:cNvPicPr>
              <a:picLocks noChangeAspect="1" noChangeArrowheads="1"/>
              <a:extLst>
                <a:ext uri="{84589F7E-364E-4C9E-8A38-B11213B215E9}">
                  <a14:cameraTool cellRange="Rating!$M$1:$P$8" spid="_x0000_s16998"/>
                </a:ext>
              </a:extLst>
            </xdr:cNvPicPr>
          </xdr:nvPicPr>
          <xdr:blipFill>
            <a:blip xmlns:r="http://schemas.openxmlformats.org/officeDocument/2006/relationships" r:embed="rId11"/>
            <a:stretch>
              <a:fillRect/>
            </a:stretch>
          </xdr:blipFill>
          <xdr:spPr bwMode="auto">
            <a:xfrm>
              <a:off x="5759767" y="14624685"/>
              <a:ext cx="2317032" cy="163847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49</xdr:row>
          <xdr:rowOff>57150</xdr:rowOff>
        </xdr:from>
        <xdr:to>
          <xdr:col>6</xdr:col>
          <xdr:colOff>267286</xdr:colOff>
          <xdr:row>65</xdr:row>
          <xdr:rowOff>36049</xdr:rowOff>
        </xdr:to>
        <xdr:pic>
          <xdr:nvPicPr>
            <xdr:cNvPr id="16" name="Picture 15">
              <a:extLst>
                <a:ext uri="{FF2B5EF4-FFF2-40B4-BE49-F238E27FC236}">
                  <a16:creationId xmlns:a16="http://schemas.microsoft.com/office/drawing/2014/main" id="{70F1552A-140B-D764-0DDF-B746976C11F5}"/>
                </a:ext>
              </a:extLst>
            </xdr:cNvPr>
            <xdr:cNvPicPr>
              <a:picLocks noChangeAspect="1" noChangeArrowheads="1"/>
              <a:extLst>
                <a:ext uri="{84589F7E-364E-4C9E-8A38-B11213B215E9}">
                  <a14:cameraTool cellRange="GL!$A$1:$G$17" spid="_x0000_s16999"/>
                </a:ext>
              </a:extLst>
            </xdr:cNvPicPr>
          </xdr:nvPicPr>
          <xdr:blipFill>
            <a:blip xmlns:r="http://schemas.openxmlformats.org/officeDocument/2006/relationships" r:embed="rId12"/>
            <a:stretch>
              <a:fillRect/>
            </a:stretch>
          </xdr:blipFill>
          <xdr:spPr bwMode="auto">
            <a:xfrm>
              <a:off x="0" y="9714621"/>
              <a:ext cx="5936566" cy="294014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492369</xdr:colOff>
          <xdr:row>49</xdr:row>
          <xdr:rowOff>63305</xdr:rowOff>
        </xdr:from>
        <xdr:to>
          <xdr:col>12</xdr:col>
          <xdr:colOff>1350499</xdr:colOff>
          <xdr:row>60</xdr:row>
          <xdr:rowOff>77373</xdr:rowOff>
        </xdr:to>
        <xdr:pic>
          <xdr:nvPicPr>
            <xdr:cNvPr id="13" name="Picture 12">
              <a:extLst>
                <a:ext uri="{FF2B5EF4-FFF2-40B4-BE49-F238E27FC236}">
                  <a16:creationId xmlns:a16="http://schemas.microsoft.com/office/drawing/2014/main" id="{5A447C7D-90EB-FFD2-F22C-FDE55AE9A2CC}"/>
                </a:ext>
              </a:extLst>
            </xdr:cNvPr>
            <xdr:cNvPicPr>
              <a:picLocks noChangeAspect="1" noChangeArrowheads="1"/>
              <a:extLst>
                <a:ext uri="{84589F7E-364E-4C9E-8A38-B11213B215E9}">
                  <a14:cameraTool cellRange="Summary!$BL$1:$BP$11" spid="_x0000_s17000"/>
                </a:ext>
              </a:extLst>
            </xdr:cNvPicPr>
          </xdr:nvPicPr>
          <xdr:blipFill>
            <a:blip xmlns:r="http://schemas.openxmlformats.org/officeDocument/2006/relationships" r:embed="rId13"/>
            <a:stretch>
              <a:fillRect/>
            </a:stretch>
          </xdr:blipFill>
          <xdr:spPr bwMode="auto">
            <a:xfrm>
              <a:off x="6161649" y="9720776"/>
              <a:ext cx="6056142" cy="206091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2</xdr:col>
      <xdr:colOff>238125</xdr:colOff>
      <xdr:row>5</xdr:row>
      <xdr:rowOff>14287</xdr:rowOff>
    </xdr:from>
    <xdr:to>
      <xdr:col>9</xdr:col>
      <xdr:colOff>542925</xdr:colOff>
      <xdr:row>19</xdr:row>
      <xdr:rowOff>90487</xdr:rowOff>
    </xdr:to>
    <xdr:graphicFrame macro="">
      <xdr:nvGraphicFramePr>
        <xdr:cNvPr id="2" name="Chart 1">
          <a:extLst>
            <a:ext uri="{FF2B5EF4-FFF2-40B4-BE49-F238E27FC236}">
              <a16:creationId xmlns:a16="http://schemas.microsoft.com/office/drawing/2014/main" id="{7E2F3CFF-53D7-8F67-D017-04AFE009F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44</xdr:col>
          <xdr:colOff>0</xdr:colOff>
          <xdr:row>6</xdr:row>
          <xdr:rowOff>0</xdr:rowOff>
        </xdr:from>
        <xdr:to>
          <xdr:col>48</xdr:col>
          <xdr:colOff>19050</xdr:colOff>
          <xdr:row>9</xdr:row>
          <xdr:rowOff>19050</xdr:rowOff>
        </xdr:to>
        <xdr:pic>
          <xdr:nvPicPr>
            <xdr:cNvPr id="3" name="Picture 2">
              <a:extLst>
                <a:ext uri="{FF2B5EF4-FFF2-40B4-BE49-F238E27FC236}">
                  <a16:creationId xmlns:a16="http://schemas.microsoft.com/office/drawing/2014/main" id="{FE3282C3-3979-8DED-E2B4-B1B1E21AE880}"/>
                </a:ext>
              </a:extLst>
            </xdr:cNvPr>
            <xdr:cNvPicPr>
              <a:picLocks noChangeAspect="1" noChangeArrowheads="1"/>
              <a:extLst>
                <a:ext uri="{84589F7E-364E-4C9E-8A38-B11213B215E9}">
                  <a14:cameraTool cellRange="$AT$1:$AW$3" spid="_x0000_s262081"/>
                </a:ext>
              </a:extLst>
            </xdr:cNvPicPr>
          </xdr:nvPicPr>
          <xdr:blipFill>
            <a:blip xmlns:r="http://schemas.openxmlformats.org/officeDocument/2006/relationships" r:embed="rId2"/>
            <a:stretch>
              <a:fillRect/>
            </a:stretch>
          </xdr:blipFill>
          <xdr:spPr bwMode="auto">
            <a:xfrm>
              <a:off x="27289125" y="1143000"/>
              <a:ext cx="3486150" cy="5905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6" xr16:uid="{4DFFF240-DC13-44C8-9AC0-C686F7C6BB33}" autoFormatId="16" applyNumberFormats="0" applyBorderFormats="0" applyFontFormats="0" applyPatternFormats="0" applyAlignmentFormats="0" applyWidthHeightFormats="0">
  <queryTableRefresh nextId="5">
    <queryTableFields count="3">
      <queryTableField id="1" name="Rptdate" tableColumnId="1"/>
      <queryTableField id="2" name="Indicators" tableColumnId="2"/>
      <queryTableField id="3" name="Averag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7" xr16:uid="{1A1E7E2D-F1A3-4882-9512-A2C763827F11}" autoFormatId="16" applyNumberFormats="0" applyBorderFormats="0" applyFontFormats="0" applyPatternFormats="0" applyAlignmentFormats="0" applyWidthHeightFormats="0">
  <queryTableRefresh nextId="27">
    <queryTableFields count="22">
      <queryTableField id="1" name="BondsDeals_Id" tableColumnId="1"/>
      <queryTableField id="2" name="Folder" tableColumnId="2"/>
      <queryTableField id="3" name="Bonds_ShortName" tableColumnId="3"/>
      <queryTableField id="4" name="Issuer" tableColumnId="4"/>
      <queryTableField id="5" name="Quantity" tableColumnId="5"/>
      <queryTableField id="6" name="FaceValue" tableColumnId="6"/>
      <queryTableField id="7" name="Face_Amount" tableColumnId="7"/>
      <queryTableField id="8" name="Gross_Amount" tableColumnId="8"/>
      <queryTableField id="9" name="ValueDate" tableColumnId="9"/>
      <queryTableField id="10" name="IssueDate" tableColumnId="10"/>
      <queryTableField id="11" name="FirstCouponDate" tableColumnId="11"/>
      <queryTableField id="12" name="MaturityDate" tableColumnId="12"/>
      <queryTableField id="13" name="TenorBond" tableColumnId="13"/>
      <queryTableField id="14" name="FirstCouponRate" tableColumnId="14"/>
      <queryTableField id="15" name="ThisCouponRate" tableColumnId="15"/>
      <queryTableField id="16" name="Discount" tableColumnId="16"/>
      <queryTableField id="17" name="Premium" tableColumnId="17"/>
      <queryTableField id="18" name="Discount_Remain" tableColumnId="18"/>
      <queryTableField id="19" name="Premium_Remain" tableColumnId="19"/>
      <queryTableField id="20" name="ValueDate_Accred" tableColumnId="20"/>
      <queryTableField id="21" name="Accr" tableColumnId="21"/>
      <queryTableField id="22" name="TypeOfInstr_ShortName" tableColumnId="22"/>
    </queryTableFields>
    <queryTableDeletedFields count="1">
      <deletedField name="Currencies_ShortNam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9" xr16:uid="{9BC37D91-DCC2-4967-AF15-6848CADE5789}" autoFormatId="16" applyNumberFormats="0" applyBorderFormats="0" applyFontFormats="0" applyPatternFormats="0" applyAlignmentFormats="0" applyWidthHeightFormats="0">
  <queryTableRefresh nextId="23">
    <queryTableFields count="13">
      <queryTableField id="1" name="RptDate" tableColumnId="1"/>
      <queryTableField id="10" name="3M" tableColumnId="10"/>
      <queryTableField id="2" name="6M" tableColumnId="2"/>
      <queryTableField id="5" name="9M" tableColumnId="5"/>
      <queryTableField id="11" name="1Y" tableColumnId="11"/>
      <queryTableField id="6" name="1.25Y" tableColumnId="6"/>
      <queryTableField id="13" name="1.5Y" tableColumnId="13"/>
      <queryTableField id="4" name="1.75Y" tableColumnId="4"/>
      <queryTableField id="9" name="2Y" tableColumnId="9"/>
      <queryTableField id="7" name="2.25Y" tableColumnId="7"/>
      <queryTableField id="12" name="2.5Y" tableColumnId="12"/>
      <queryTableField id="3" name="2.75Y" tableColumnId="3"/>
      <queryTableField id="8" name="3Y"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7" xr16:uid="{F005389A-1B5E-4B0B-8679-79B6EA473F7B}" autoFormatId="16" applyNumberFormats="0" applyBorderFormats="0" applyFontFormats="0" applyPatternFormats="0" applyAlignmentFormats="0" applyWidthHeightFormats="0">
  <queryTableRefresh nextId="5">
    <queryTableFields count="4">
      <queryTableField id="1" name="RptDate" tableColumnId="1"/>
      <queryTableField id="2" name="Product" tableColumnId="2"/>
      <queryTableField id="3" name="Indicators" tableColumnId="3"/>
      <queryTableField id="4" name="Actual"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28" xr16:uid="{4C19D8CB-BEFE-4CD8-A561-2F7CC7EE6F43}" autoFormatId="16" applyNumberFormats="0" applyBorderFormats="0" applyFontFormats="0" applyPatternFormats="0" applyAlignmentFormats="0" applyWidthHeightFormats="0">
  <queryTableRefresh nextId="6">
    <queryTableFields count="5">
      <queryTableField id="1" name="RptDate" tableColumnId="1"/>
      <queryTableField id="2" name="Tenor" tableColumnId="2"/>
      <queryTableField id="3" name="Bid" tableColumnId="3"/>
      <queryTableField id="4" name="Ask" tableColumnId="4"/>
      <queryTableField id="5" name="Averag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connectionId="18" xr16:uid="{97335381-82F4-4563-B36E-0F84A752EC50}" autoFormatId="16" applyNumberFormats="0" applyBorderFormats="0" applyFontFormats="0" applyPatternFormats="0" applyAlignmentFormats="0" applyWidthHeightFormats="0">
  <queryTableRefresh nextId="9" unboundColumnsRight="1">
    <queryTableFields count="4">
      <queryTableField id="1" name="RptDate" tableColumnId="1"/>
      <queryTableField id="6" name="Product" tableColumnId="2"/>
      <queryTableField id="7" name="Actual" tableColumnId="3"/>
      <queryTableField id="8" dataBound="0"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16" xr16:uid="{0EBD86A9-77F1-4DFD-9FD5-CF88E4E6984B}" autoFormatId="16" applyNumberFormats="0" applyBorderFormats="0" applyFontFormats="0" applyPatternFormats="0" applyAlignmentFormats="0" applyWidthHeightFormats="0">
  <queryTableRefresh nextId="9">
    <queryTableFields count="4">
      <queryTableField id="1" name="RptDate" tableColumnId="1"/>
      <queryTableField id="6" name="Indicators" tableColumnId="2"/>
      <queryTableField id="7" name="Actual" tableColumnId="3"/>
      <queryTableField id="8" name="Book"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adjustColumnWidth="0" connectionId="12" xr16:uid="{90A1A089-041C-4A04-A5C8-0A6B9BD05C75}" autoFormatId="16" applyNumberFormats="0" applyBorderFormats="0" applyFontFormats="1" applyPatternFormats="1" applyAlignmentFormats="0" applyWidthHeightFormats="0">
  <queryTableRefresh preserveSortFilterLayout="0" nextId="40" unboundColumnsRight="7">
    <queryTableFields count="39">
      <queryTableField id="1" name="Currency" tableColumnId="1"/>
      <queryTableField id="2" name="Duration_range" tableColumnId="2"/>
      <queryTableField id="3" name="Short Name" tableColumnId="3"/>
      <queryTableField id="4" name="Type of Instr." tableColumnId="4"/>
      <queryTableField id="5" name="Mat. Date" tableColumnId="5"/>
      <queryTableField id="6" name="Open Pos" tableColumnId="6"/>
      <queryTableField id="7" name="Clean Price" tableColumnId="7"/>
      <queryTableField id="8" name="Quantity" tableColumnId="8"/>
      <queryTableField id="9" name="Nominal" tableColumnId="9"/>
      <queryTableField id="10" name="Orig. Nominal" tableColumnId="10"/>
      <queryTableField id="11" name="Avg Price" tableColumnId="11"/>
      <queryTableField id="12" name="Flt. Spread" tableColumnId="12"/>
      <queryTableField id="13" name="Pos. Yield" tableColumnId="13"/>
      <queryTableField id="14" name="Pos. True Yield" tableColumnId="14"/>
      <queryTableField id="15" name="Avg Yield" tableColumnId="15"/>
      <queryTableField id="16" name="Market Value" tableColumnId="16"/>
      <queryTableField id="17" name="Cpn Rate" tableColumnId="17"/>
      <queryTableField id="18" name="Accr Int" tableColumnId="18"/>
      <queryTableField id="19" name="% Sec" tableColumnId="19"/>
      <queryTableField id="20" name="Cpn Cumul" tableColumnId="20"/>
      <queryTableField id="21" name="Cpn Reinvested" tableColumnId="21"/>
      <queryTableField id="22" name="Cost of Carry" tableColumnId="22"/>
      <queryTableField id="23" name="Var. Accr" tableColumnId="23"/>
      <queryTableField id="24" name="Global Carry" tableColumnId="24"/>
      <queryTableField id="25" name="Net Carry" tableColumnId="25"/>
      <queryTableField id="26" name="Mod Dur" tableColumnId="26"/>
      <queryTableField id="27" name="Dur." tableColumnId="27"/>
      <queryTableField id="28" name="Cnvx." tableColumnId="28"/>
      <queryTableField id="29" name="BPV (K)" tableColumnId="29"/>
      <queryTableField id="30" name="Realized Cur" tableColumnId="30"/>
      <queryTableField id="31" name="Unrealized Cur" tableColumnId="31"/>
      <queryTableField id="32" name="P/L Clean Price" tableColumnId="32"/>
      <queryTableField id="33" dataBound="0" tableColumnId="33"/>
      <queryTableField id="34" dataBound="0" tableColumnId="34"/>
      <queryTableField id="35" dataBound="0" tableColumnId="35"/>
      <queryTableField id="36" dataBound="0" tableColumnId="36"/>
      <queryTableField id="37" dataBound="0" tableColumnId="37"/>
      <queryTableField id="38" dataBound="0" tableColumnId="38"/>
      <queryTableField id="39" dataBound="0" tableColumnId="3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6" removeDataOnSave="1" adjustColumnWidth="0" connectionId="15" xr16:uid="{678B5954-7474-4904-A7F7-2764A5E78C63}" autoFormatId="16" applyNumberFormats="0" applyBorderFormats="0" applyFontFormats="1" applyPatternFormats="1" applyAlignmentFormats="0" applyWidthHeightFormats="0">
  <queryTableRefresh preserveSortFilterLayout="0" nextId="27" unboundColumnsRight="5">
    <queryTableFields count="26">
      <queryTableField id="1" name="Book" tableColumnId="1"/>
      <queryTableField id="2" name="Duration_range" tableColumnId="2"/>
      <queryTableField id="3" name="Short Name" tableColumnId="3"/>
      <queryTableField id="4" name="Instrument" tableColumnId="4"/>
      <queryTableField id="5" name="Type of Instr." tableColumnId="5"/>
      <queryTableField id="6" name="Mat. Date" tableColumnId="6"/>
      <queryTableField id="7" name="Type Rate" tableColumnId="7"/>
      <queryTableField id="8" name="Cpn Rate" tableColumnId="8"/>
      <queryTableField id="9" name="Open Pos" tableColumnId="9"/>
      <queryTableField id="10" name="Clean Price" tableColumnId="10"/>
      <queryTableField id="11" name="Nominal" tableColumnId="11"/>
      <queryTableField id="12" name="Market Value" tableColumnId="12"/>
      <queryTableField id="13" name="Cpn Cumul" tableColumnId="13"/>
      <queryTableField id="14" name="Cpn Reinvested" tableColumnId="14"/>
      <queryTableField id="15" name="Cost of Carry" tableColumnId="15"/>
      <queryTableField id="16" name="Mod Dur" tableColumnId="16"/>
      <queryTableField id="17" name="Dur." tableColumnId="17"/>
      <queryTableField id="18" name="Cnvx." tableColumnId="18"/>
      <queryTableField id="19" name="P/L Currency" tableColumnId="19"/>
      <queryTableField id="20" name="P/L Local" tableColumnId="20"/>
      <queryTableField id="21" name="P/L Report" tableColumnId="21"/>
      <queryTableField id="22" dataBound="0" tableColumnId="22"/>
      <queryTableField id="23" dataBound="0" tableColumnId="23"/>
      <queryTableField id="24" dataBound="0" tableColumnId="24"/>
      <queryTableField id="25" dataBound="0" tableColumnId="25"/>
      <queryTableField id="26" dataBound="0" tableColumnId="26"/>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2" connectionId="4" xr16:uid="{C7EA8A12-F222-4348-AF36-F46409ED38C6}" autoFormatId="16" applyNumberFormats="0" applyBorderFormats="0" applyFontFormats="0" applyPatternFormats="0" applyAlignmentFormats="0" applyWidthHeightFormats="0">
  <queryTableRefresh nextId="6">
    <queryTableFields count="5">
      <queryTableField id="1" name="BOND_CODE" tableColumnId="1"/>
      <queryTableField id="2" name="CALL_OR_PUT" tableColumnId="2"/>
      <queryTableField id="3" name="START_DATE" tableColumnId="3"/>
      <queryTableField id="4" name="END_DATE" tableColumnId="4"/>
      <queryTableField id="5" name="REDEMPTION_VALUE" tableColumnId="5"/>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3" removeDataOnSave="1" adjustColumnWidth="0" connectionId="14" xr16:uid="{D9AE42C1-2CB4-4EB1-9BA9-C97888382B5E}" autoFormatId="16" applyNumberFormats="0" applyBorderFormats="0" applyFontFormats="1" applyPatternFormats="1" applyAlignmentFormats="0" applyWidthHeightFormats="0">
  <queryTableRefresh preserveSortFilterLayout="0" nextId="25" unboundColumnsRight="3">
    <queryTableFields count="24">
      <queryTableField id="1" name="Book" tableColumnId="1"/>
      <queryTableField id="2" name="Duration_range" tableColumnId="2"/>
      <queryTableField id="3" name="Short Name" tableColumnId="3"/>
      <queryTableField id="4" name="Instrument" tableColumnId="4"/>
      <queryTableField id="5" name="Type of Instr." tableColumnId="5"/>
      <queryTableField id="6" name="Mat. Date" tableColumnId="6"/>
      <queryTableField id="7" name="Type Rate" tableColumnId="7"/>
      <queryTableField id="8" name="Cpn Rate" tableColumnId="8"/>
      <queryTableField id="9" name="Open Pos" tableColumnId="9"/>
      <queryTableField id="10" name="Clean Price" tableColumnId="10"/>
      <queryTableField id="11" name="Nominal" tableColumnId="11"/>
      <queryTableField id="12" name="Market Value" tableColumnId="12"/>
      <queryTableField id="13" name="Cpn Cumul" tableColumnId="13"/>
      <queryTableField id="14" name="Cpn Reinvested" tableColumnId="14"/>
      <queryTableField id="15" name="Cost of Carry" tableColumnId="15"/>
      <queryTableField id="16" name="Mod Dur" tableColumnId="16"/>
      <queryTableField id="17" name="Dur." tableColumnId="17"/>
      <queryTableField id="18" name="Cnvx." tableColumnId="18"/>
      <queryTableField id="19" name="P/L Currency" tableColumnId="19"/>
      <queryTableField id="20" name="P/L Local" tableColumnId="20"/>
      <queryTableField id="21" name="P/L Report" tableColumnId="21"/>
      <queryTableField id="22" dataBound="0" tableColumnId="22"/>
      <queryTableField id="23" dataBound="0" tableColumnId="23"/>
      <queryTableField id="24" dataBound="0" tableColumnId="2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4" connectionId="13" xr16:uid="{D1848257-190A-4229-9648-2757D1CCE54A}" autoFormatId="16" applyNumberFormats="0" applyBorderFormats="0" applyFontFormats="0" applyPatternFormats="0" applyAlignmentFormats="0" applyWidthHeightFormats="0">
  <queryTableRefresh nextId="44" unboundColumnsRight="8">
    <queryTableFields count="39">
      <queryTableField id="1" name="Currency" tableColumnId="1"/>
      <queryTableField id="2" name="Duration_range" tableColumnId="2"/>
      <queryTableField id="3" name="Security Name" tableColumnId="3"/>
      <queryTableField id="4" name="Type of Instr." tableColumnId="4"/>
      <queryTableField id="5" name="Mat. Date" tableColumnId="5"/>
      <queryTableField id="6" name="Open Pos" tableColumnId="6"/>
      <queryTableField id="7" name="Price" tableColumnId="7"/>
      <queryTableField id="8" name="Clean Price" tableColumnId="8"/>
      <queryTableField id="9" name="QUANTITY" tableColumnId="9"/>
      <queryTableField id="10" name="Nominal" tableColumnId="10"/>
      <queryTableField id="11" name="Avg Price" tableColumnId="11"/>
      <queryTableField id="12" name="MARKET_VALUE" tableColumnId="12"/>
      <queryTableField id="13" name="Cpn Rate" tableColumnId="13"/>
      <queryTableField id="14" name="Accr Int" tableColumnId="14"/>
      <queryTableField id="15" name="Cpn Cumul" tableColumnId="15"/>
      <queryTableField id="16" name="Cpn Reinvested" tableColumnId="16"/>
      <queryTableField id="17" name="Cost of Carry" tableColumnId="17"/>
      <queryTableField id="18" name="Yield Mat" tableColumnId="18"/>
      <queryTableField id="19" name="Mod Dur" tableColumnId="19"/>
      <queryTableField id="20" name="DURATION" tableColumnId="20"/>
      <queryTableField id="21" name="Cnvx." tableColumnId="21"/>
      <queryTableField id="22" name="Cnvx. Value" tableColumnId="22"/>
      <queryTableField id="23" name="BPV (K)" tableColumnId="23"/>
      <queryTableField id="24" name="Theta (K)" tableColumnId="24"/>
      <queryTableField id="25" name="REALIZED_CUR" tableColumnId="25"/>
      <queryTableField id="26" name="UNREALIZED_CUR" tableColumnId="26"/>
      <queryTableField id="27" name="P/L Clean Price" tableColumnId="27"/>
      <queryTableField id="28" name="P/L Currency" tableColumnId="28"/>
      <queryTableField id="29" name="P/L Local" tableColumnId="29"/>
      <queryTableField id="30" name="P/L Report" tableColumnId="30"/>
      <queryTableField id="31" name="avg yield" tableColumnId="31"/>
      <queryTableField id="33" dataBound="0" tableColumnId="33"/>
      <queryTableField id="34" dataBound="0" tableColumnId="34"/>
      <queryTableField id="35" dataBound="0" tableColumnId="35"/>
      <queryTableField id="39" dataBound="0" tableColumnId="32"/>
      <queryTableField id="40" dataBound="0" tableColumnId="37"/>
      <queryTableField id="41" dataBound="0" tableColumnId="38"/>
      <queryTableField id="42" dataBound="0" tableColumnId="36"/>
      <queryTableField id="43" dataBound="0" tableColumnId="39"/>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1" xr16:uid="{C2771906-4184-4885-8CDD-289E70B166F6}" autoFormatId="16" applyNumberFormats="0" applyBorderFormats="0" applyFontFormats="0" applyPatternFormats="0" applyAlignmentFormats="0" applyWidthHeightFormats="0">
  <queryTableRefresh nextId="6">
    <queryTableFields count="3">
      <queryTableField id="1" name="GL_CODE" tableColumnId="1"/>
      <queryTableField id="2" name="SHORT_NAME" tableColumnId="2"/>
      <queryTableField id="5" name="DƯ CUỐI"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19" xr16:uid="{49434B83-1278-497C-93A7-33395460C0E5}" autoFormatId="16" applyNumberFormats="0" applyBorderFormats="0" applyFontFormats="0" applyPatternFormats="0" applyAlignmentFormats="0" applyWidthHeightFormats="0">
  <queryTableRefresh nextId="5">
    <queryTableFields count="3">
      <queryTableField id="2" name="GL_CODE" tableColumnId="2"/>
      <queryTableField id="3" name="SHORT_NAME" tableColumnId="3"/>
      <queryTableField id="4" name="DƯ CUỐI"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3" connectionId="3" xr16:uid="{50CE9B73-C2F6-4BDE-811D-13FFE8D938EE}" autoFormatId="16" applyNumberFormats="0" applyBorderFormats="0" applyFontFormats="0" applyPatternFormats="0" applyAlignmentFormats="0" applyWidthHeightFormats="0">
  <queryTableRefresh nextId="6">
    <queryTableFields count="5">
      <queryTableField id="1" name="GL_CODE" tableColumnId="1"/>
      <queryTableField id="2" name="SHORT_NAME" tableColumnId="2"/>
      <queryTableField id="3" name="CURRENCY_CODE" tableColumnId="3"/>
      <queryTableField id="4" name="DƯ CUỐI" tableColumnId="4"/>
      <queryTableField id="5" name="DƯ CUỐI VND" tableColumnId="5"/>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4" connectionId="20" xr16:uid="{060DE6BC-A5FF-4B6C-AD03-3FA8D2C84F4D}" autoFormatId="16" applyNumberFormats="0" applyBorderFormats="0" applyFontFormats="0" applyPatternFormats="0" applyAlignmentFormats="0" applyWidthHeightFormats="0">
  <queryTableRefresh nextId="6">
    <queryTableFields count="5">
      <queryTableField id="1" name="GL_CODE" tableColumnId="1"/>
      <queryTableField id="2" name="SHORT_NAME" tableColumnId="2"/>
      <queryTableField id="3" name="CURRENCY_CODE" tableColumnId="3"/>
      <queryTableField id="4" name="DƯ CUỐI" tableColumnId="4"/>
      <queryTableField id="5" name="DƯ CUỐI VND" tableColumnId="5"/>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8" connectionId="7" xr16:uid="{A5D0A1D8-705B-4EF5-ACED-75BD6D9D4D9D}" autoFormatId="16" applyNumberFormats="0" applyBorderFormats="0" applyFontFormats="0" applyPatternFormats="0" applyAlignmentFormats="0" applyWidthHeightFormats="0">
  <queryTableRefresh nextId="145" unboundColumnsRight="7">
    <queryTableFields count="26">
      <queryTableField id="1" name="POSTED_DT" tableColumnId="1"/>
      <queryTableField id="3" name="DEAL_ID" tableColumnId="3"/>
      <queryTableField id="47" name="PAPER_CODE" tableColumnId="5"/>
      <queryTableField id="6" name="CPTY_CODE_ISSUER" tableColumnId="6"/>
      <queryTableField id="9" name="CPTY_CODE" tableColumnId="9"/>
      <queryTableField id="12" name="PRODUCT_CODE" tableColumnId="12"/>
      <queryTableField id="15" name="FOLDERS_CODE" tableColumnId="15"/>
      <queryTableField id="17" name="DEAL_TYPE" tableColumnId="17"/>
      <queryTableField id="18" name="CAPTURE_DATE" tableColumnId="18"/>
      <queryTableField id="19" name="TRADING_DATE" tableColumnId="19"/>
      <queryTableField id="20" name="VALUE_DATE" tableColumnId="20"/>
      <queryTableField id="21" name="MATURITY_DATE" tableColumnId="21"/>
      <queryTableField id="24" name="QUANTITY" tableColumnId="24"/>
      <queryTableField id="25" name="FACE_AMOUNT" tableColumnId="25"/>
      <queryTableField id="26" name="PRICE" tableColumnId="26"/>
      <queryTableField id="29" name="ACCRUED" tableColumnId="29"/>
      <queryTableField id="31" name="GROSS_AMOUNT" tableColumnId="31"/>
      <queryTableField id="27" name="YIELD" tableColumnId="27"/>
      <queryTableField id="143" name="TRANSACTION_STATUS" tableColumnId="13"/>
      <queryTableField id="84" dataBound="0" tableColumnId="43"/>
      <queryTableField id="85" dataBound="0" tableColumnId="44"/>
      <queryTableField id="133" dataBound="0" tableColumnId="2"/>
      <queryTableField id="90" dataBound="0" tableColumnId="49"/>
      <queryTableField id="126" dataBound="0" tableColumnId="7"/>
      <queryTableField id="138" dataBound="0" tableColumnId="4"/>
      <queryTableField id="141" dataBound="0" tableColumnId="10"/>
    </queryTableFields>
    <queryTableDeletedFields count="30">
      <deletedField name="Column20"/>
      <deletedField name="Column21"/>
      <deletedField name="Column22"/>
      <deletedField name="Column23"/>
      <deletedField name="Column24"/>
      <deletedField name="Column25"/>
      <deletedField name="Column26"/>
      <deletedField name="Column27"/>
      <deletedField name="Column28"/>
      <deletedField name="Column29"/>
      <deletedField name="Column30"/>
      <deletedField name="Column31"/>
      <deletedField name="Column32"/>
      <deletedField name="Column33"/>
      <deletedField name="Column34"/>
      <deletedField name="Column20"/>
      <deletedField name="Column21"/>
      <deletedField name="Column22"/>
      <deletedField name="Column23"/>
      <deletedField name="Column24"/>
      <deletedField name="Column25"/>
      <deletedField name="Column26"/>
      <deletedField name="Column27"/>
      <deletedField name="Column28"/>
      <deletedField name="Column29"/>
      <deletedField name="Column30"/>
      <deletedField name="Column31"/>
      <deletedField name="Column32"/>
      <deletedField name="Column33"/>
      <deletedField name="Column34"/>
    </queryTableDeleted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0" adjustColumnWidth="0" connectionId="9" xr16:uid="{94B24C5C-F7EB-4667-9F5E-DAA850A8D3DB}" autoFormatId="16" applyNumberFormats="0" applyBorderFormats="0" applyFontFormats="0" applyPatternFormats="0" applyAlignmentFormats="0" applyWidthHeightFormats="0">
  <queryTableRefresh nextId="14">
    <queryTableFields count="8">
      <queryTableField id="1" name="POSTED_DT" tableColumnId="1"/>
      <queryTableField id="2" name="DEAL_ID" tableColumnId="2"/>
      <queryTableField id="9" name="BOND_CODE" tableColumnId="8"/>
      <queryTableField id="11" name="PRODUCT_CODE" tableColumnId="6"/>
      <queryTableField id="7" name="DEAL_TYPE" tableColumnId="7"/>
      <queryTableField id="3" name="AMOUNT_RPT" tableColumnId="3"/>
      <queryTableField id="4" name="AMOUNT_YESTERDAY" tableColumnId="4"/>
      <queryTableField id="13" name="DIFF" tableColumnId="5"/>
    </queryTableFields>
    <queryTableDeletedFields count="1">
      <deletedField name="DIFF"/>
    </queryTableDeleted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1" adjustColumnWidth="0" connectionId="8" xr16:uid="{7C329503-5265-4AB1-B0B1-628060049BBC}" autoFormatId="16" applyNumberFormats="0" applyBorderFormats="0" applyFontFormats="0" applyPatternFormats="0" applyAlignmentFormats="0" applyWidthHeightFormats="0">
  <queryTableRefresh nextId="9">
    <queryTableFields count="7">
      <queryTableField id="1" name="POSTED_DT" tableColumnId="1"/>
      <queryTableField id="2" name="DEAL_ID" tableColumnId="2"/>
      <queryTableField id="3" name="BOND_CODE" tableColumnId="3"/>
      <queryTableField id="4" name="DEAL_TYPE" tableColumnId="4"/>
      <queryTableField id="5" name="FACE_AMOUNT" tableColumnId="5"/>
      <queryTableField id="6" name="FOLDERS_CODE" tableColumnId="6"/>
      <queryTableField id="7" name="PRODUCT_CODE" tableColumnId="7"/>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3" connectionId="11" xr16:uid="{005B3D45-64A6-4207-B8C3-B00C2926581B}" autoFormatId="16" applyNumberFormats="0" applyBorderFormats="0" applyFontFormats="0" applyPatternFormats="0" applyAlignmentFormats="0" applyWidthHeightFormats="0">
  <queryTableRefresh nextId="140" unboundColumnsRight="1">
    <queryTableFields count="20">
      <queryTableField id="1" name="POSTED_DT" tableColumnId="1"/>
      <queryTableField id="3" name="DEAL_ID" tableColumnId="3"/>
      <queryTableField id="47" name="PAPER_CODE" tableColumnId="5"/>
      <queryTableField id="6" name="CPTY_CODE_ISSUER" tableColumnId="6"/>
      <queryTableField id="9" name="CPTY_CODE" tableColumnId="9"/>
      <queryTableField id="12" name="PRODUCT_CODE" tableColumnId="12"/>
      <queryTableField id="15" name="FOLDERS_CODE" tableColumnId="15"/>
      <queryTableField id="17" name="DEAL_TYPE" tableColumnId="17"/>
      <queryTableField id="18" name="CAPTURE_DATE" tableColumnId="18"/>
      <queryTableField id="19" name="TRADING_DATE" tableColumnId="19"/>
      <queryTableField id="20" name="VALUE_DATE" tableColumnId="20"/>
      <queryTableField id="21" name="MATURITY_DATE" tableColumnId="21"/>
      <queryTableField id="24" name="QUANTITY" tableColumnId="24"/>
      <queryTableField id="25" name="FACE_AMOUNT" tableColumnId="25"/>
      <queryTableField id="26" name="PRICE" tableColumnId="26"/>
      <queryTableField id="29" name="ACCRUED" tableColumnId="29"/>
      <queryTableField id="31" name="GROSS_AMOUNT" tableColumnId="31"/>
      <queryTableField id="27" name="YIELD" tableColumnId="27"/>
      <queryTableField id="139" name="TRANSACTION_STATUS" tableColumnId="2"/>
      <queryTableField id="138" dataBound="0" tableColumnId="4"/>
    </queryTableFields>
    <queryTableDeletedFields count="30">
      <deletedField name="Column20"/>
      <deletedField name="Column21"/>
      <deletedField name="Column22"/>
      <deletedField name="Column23"/>
      <deletedField name="Column24"/>
      <deletedField name="Column25"/>
      <deletedField name="Column26"/>
      <deletedField name="Column27"/>
      <deletedField name="Column28"/>
      <deletedField name="Column29"/>
      <deletedField name="Column30"/>
      <deletedField name="Column31"/>
      <deletedField name="Column32"/>
      <deletedField name="Column33"/>
      <deletedField name="Column34"/>
      <deletedField name="Column20"/>
      <deletedField name="Column21"/>
      <deletedField name="Column22"/>
      <deletedField name="Column23"/>
      <deletedField name="Column24"/>
      <deletedField name="Column25"/>
      <deletedField name="Column26"/>
      <deletedField name="Column27"/>
      <deletedField name="Column28"/>
      <deletedField name="Column29"/>
      <deletedField name="Column30"/>
      <deletedField name="Column31"/>
      <deletedField name="Column32"/>
      <deletedField name="Column33"/>
      <deletedField name="Column34"/>
    </queryTableDeleted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4" connectionId="5" xr16:uid="{C6E38836-93D9-4C8C-B52D-91960858E1D5}" autoFormatId="16" applyNumberFormats="0" applyBorderFormats="0" applyFontFormats="0" applyPatternFormats="0" applyAlignmentFormats="0" applyWidthHeightFormats="0">
  <queryTableRefresh nextId="5">
    <queryTableFields count="4">
      <queryTableField id="1" name="POSTED_DT" tableColumnId="1"/>
      <queryTableField id="2" name="PAPER_CODE" tableColumnId="2"/>
      <queryTableField id="3" name="PRODUCT_CODE" tableColumnId="3"/>
      <queryTableField id="4" name="AMOUNT" tableColumnId="4"/>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5" connectionId="10" xr16:uid="{5160D34D-7B5B-42F0-A635-7D8A4103F04D}" autoFormatId="16" applyNumberFormats="0" applyBorderFormats="0" applyFontFormats="0" applyPatternFormats="0" applyAlignmentFormats="0" applyWidthHeightFormats="0">
  <queryTableRefresh nextId="26">
    <queryTableFields count="25">
      <queryTableField id="1" name="BondsDeals_Id" tableColumnId="1"/>
      <queryTableField id="2" name="TradeDate" tableColumnId="2"/>
      <queryTableField id="3" name="SettlementDate" tableColumnId="3"/>
      <queryTableField id="4" name="DealType" tableColumnId="4"/>
      <queryTableField id="5" name="Bonds_ShortName" tableColumnId="5"/>
      <queryTableField id="6" name="Cpty_ShortName" tableColumnId="6"/>
      <queryTableField id="7" name="Issuer Counterparty" tableColumnId="7"/>
      <queryTableField id="8" name="CouponRate" tableColumnId="8"/>
      <queryTableField id="9" name="Yield" tableColumnId="9"/>
      <queryTableField id="10" name="IssueDate" tableColumnId="10"/>
      <queryTableField id="11" name="MaturityDate" tableColumnId="11"/>
      <queryTableField id="12" name="Quantity" tableColumnId="12"/>
      <queryTableField id="13" name="FaceValue" tableColumnId="13"/>
      <queryTableField id="14" name="Price" tableColumnId="14"/>
      <queryTableField id="15" name="Accural" tableColumnId="15"/>
      <queryTableField id="16" name="GrossAmount" tableColumnId="16"/>
      <queryTableField id="17" name="ClearingModes_ShortName" tableColumnId="17"/>
      <queryTableField id="18" name="OurCorres" tableColumnId="18"/>
      <queryTableField id="19" name="Column19" tableColumnId="19"/>
      <queryTableField id="20" name="Column20" tableColumnId="20"/>
      <queryTableField id="21" name="CaptureDate" tableColumnId="21"/>
      <queryTableField id="22" name="Folders_ShortName" tableColumnId="22"/>
      <queryTableField id="23" name="BOCaptureDate" tableColumnId="23"/>
      <queryTableField id="24" name="LegalStatus_Id" tableColumnId="24"/>
      <queryTableField id="25" name="NoExDividendDays" tableColumnId="25"/>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1" connectionId="24" xr16:uid="{E44101FC-4DD4-405B-B4BB-A597B6A7A887}" autoFormatId="16" applyNumberFormats="0" applyBorderFormats="0" applyFontFormats="0" applyPatternFormats="0" applyAlignmentFormats="0" applyWidthHeightFormats="0">
  <queryTableRefresh nextId="15">
    <queryTableFields count="14">
      <queryTableField id="1" name="POSTED_DT" tableColumnId="1"/>
      <queryTableField id="2" name="DEAL_ID" tableColumnId="2"/>
      <queryTableField id="3" name="BOND_CODE" tableColumnId="3"/>
      <queryTableField id="4" name="DEAL_TYPE" tableColumnId="4"/>
      <queryTableField id="5" name="FOLDERS_CODE" tableColumnId="5"/>
      <queryTableField id="6" name="CPTY_CODE" tableColumnId="6"/>
      <queryTableField id="7" name="CAPTURE_DATE" tableColumnId="7"/>
      <queryTableField id="8" name="TRADING_DATE" tableColumnId="8"/>
      <queryTableField id="9" name="VALUE_DATE" tableColumnId="9"/>
      <queryTableField id="10" name="MATURITY_DATE" tableColumnId="10"/>
      <queryTableField id="11" name="FACE_AMOUNT" tableColumnId="11"/>
      <queryTableField id="12" name="GLOBAL_AMOUNT" tableColumnId="12"/>
      <queryTableField id="13" name="FORWARD_AMOUNT" tableColumnId="13"/>
      <queryTableField id="14" name="FIXED_RATE" tableColumnId="14"/>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2" adjustColumnWidth="0" connectionId="25" xr16:uid="{B9C07FB7-82E4-468F-B8AE-FD3ACE08778D}" autoFormatId="16" applyNumberFormats="0" applyBorderFormats="0" applyFontFormats="0" applyPatternFormats="0" applyAlignmentFormats="0" applyWidthHeightFormats="0">
  <queryTableRefresh nextId="37" unboundColumnsRight="2">
    <queryTableFields count="25">
      <queryTableField id="1" name="BondsDeals_Id" tableColumnId="1"/>
      <queryTableField id="2" name="Folder" tableColumnId="2"/>
      <queryTableField id="3" name="Bonds_ShortName" tableColumnId="3"/>
      <queryTableField id="4" name="Issuer" tableColumnId="4"/>
      <queryTableField id="25" name="Quantity" tableColumnId="5"/>
      <queryTableField id="6" name="FaceValue" tableColumnId="6"/>
      <queryTableField id="26" name="Face_Amount" tableColumnId="7"/>
      <queryTableField id="35" name="Currencies_ShortName" tableColumnId="24"/>
      <queryTableField id="27" name="Gross_Amount" tableColumnId="8"/>
      <queryTableField id="9" name="ValueDate" tableColumnId="9"/>
      <queryTableField id="10" name="IssueDate" tableColumnId="10"/>
      <queryTableField id="11" name="FirstCouponDate" tableColumnId="11"/>
      <queryTableField id="12" name="MaturityDate" tableColumnId="12"/>
      <queryTableField id="13" name="TenorBond" tableColumnId="13"/>
      <queryTableField id="14" name="FirstCouponRate" tableColumnId="14"/>
      <queryTableField id="15" name="ThisCouponRate" tableColumnId="15"/>
      <queryTableField id="16" name="Discount" tableColumnId="16"/>
      <queryTableField id="17" name="Premium" tableColumnId="17"/>
      <queryTableField id="18" name="Discount_Remain" tableColumnId="18"/>
      <queryTableField id="19" name="Premium_Remain" tableColumnId="19"/>
      <queryTableField id="20" name="ValueDate_Accred" tableColumnId="20"/>
      <queryTableField id="21" name="Accr" tableColumnId="21"/>
      <queryTableField id="22" name="TypeOfInstr_ShortName" tableColumnId="22"/>
      <queryTableField id="33" dataBound="0" tableColumnId="23"/>
      <queryTableField id="34" dataBound="0" tableColumnId="25"/>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1" adjustColumnWidth="0" connectionId="22" xr16:uid="{685E6D53-6503-4C3B-A999-70668BFA6983}" autoFormatId="16" applyNumberFormats="0" applyBorderFormats="0" applyFontFormats="0" applyPatternFormats="0" applyAlignmentFormats="0" applyWidthHeightFormats="0">
  <queryTableRefresh nextId="19">
    <queryTableFields count="7">
      <queryTableField id="12" name="Issuer" tableColumnId="1"/>
      <queryTableField id="13" name="Total Amount" tableColumnId="2"/>
      <queryTableField id="3" name="Rating" tableColumnId="3"/>
      <queryTableField id="4" name="Review Date" tableColumnId="4"/>
      <queryTableField id="16" name="Fitch Rating" tableColumnId="5"/>
      <queryTableField id="17" name="Moody Rating" tableColumnId="6"/>
      <queryTableField id="18" name="S&amp;P Rating" tableColumnId="7"/>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1" connectionId="6" xr16:uid="{9DFAF1D3-651F-475C-811B-D7AD218C3D8D}" autoFormatId="16" applyNumberFormats="0" applyBorderFormats="0" applyFontFormats="0" applyPatternFormats="0" applyAlignmentFormats="0" applyWidthHeightFormats="0">
  <queryTableRefresh nextId="18" unboundColumnsRight="1">
    <queryTableFields count="13">
      <queryTableField id="1" name="TCPH" tableColumnId="1"/>
      <queryTableField id="2" name="Ngành" tableColumnId="2"/>
      <queryTableField id="3" name="Mã GD" tableColumnId="3"/>
      <queryTableField id="16" name="Kỳ hạn còn lại" tableColumnId="4"/>
      <queryTableField id="5" name="Giá TH gần nhất" tableColumnId="5"/>
      <queryTableField id="6" name="KLTH gần nhất" tableColumnId="6"/>
      <queryTableField id="7" name="Giá TH cao nhất" tableColumnId="7"/>
      <queryTableField id="8" name="KL TH tại mức giá cao nhất" tableColumnId="8"/>
      <queryTableField id="9" name="Giá TH thấp nhất" tableColumnId="9"/>
      <queryTableField id="10" name="KL TH tại mức giá thấp nhất" tableColumnId="10"/>
      <queryTableField id="11" name="KLGD" tableColumnId="11"/>
      <queryTableField id="12" name="GTGD (VNĐ)" tableColumnId="12"/>
      <queryTableField id="13" dataBound="0"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0DE49DF-8A9C-4920-B335-261D73211467}" name="Tygia" displayName="Tygia" ref="AA1:AC39" tableType="queryTable" totalsRowShown="0" headerRowDxfId="310" dataDxfId="309">
  <autoFilter ref="AA1:AC39" xr:uid="{90DE49DF-8A9C-4920-B335-261D73211467}"/>
  <tableColumns count="3">
    <tableColumn id="1" xr3:uid="{754C1F93-DDCC-427F-8EA5-1D05568F8FB8}" uniqueName="1" name="Rptdate" queryTableFieldId="1" dataDxfId="308"/>
    <tableColumn id="2" xr3:uid="{F645188B-BCC2-42C3-979D-4BC70AA9B1E8}" uniqueName="2" name="Indicators" queryTableFieldId="2" dataDxfId="307"/>
    <tableColumn id="3" xr3:uid="{ACB1E426-EEE1-416B-B257-BA28C12FA8FE}" uniqueName="3" name="Average" queryTableFieldId="3" dataDxfId="306"/>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A08235-F36E-41AA-B9C1-3225447803C8}" name="Input" displayName="Input" ref="A1:C28" totalsRowShown="0" headerRowDxfId="299" dataDxfId="298" tableBorderDxfId="297">
  <tableColumns count="3">
    <tableColumn id="1" xr3:uid="{1F6EBC55-90F4-42BF-AFB0-EDBCA3A06DAD}" name="STT" dataDxfId="296"/>
    <tableColumn id="3" xr3:uid="{938BC89C-754D-49F5-94EF-BB9C13F1DBF4}" name="Chỉ tiêu" dataDxfId="295"/>
    <tableColumn id="2" xr3:uid="{76497590-9B45-4E21-9749-BB8586084F4B}" name="Values" dataDxfId="294"/>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4E6C118-DD5E-4CE2-A97B-25BB54F9984E}" name="Upload53_RPBOD03" displayName="Upload53_RPBOD03" ref="B1:W92" tableType="queryTable" totalsRowShown="0">
  <tableColumns count="22">
    <tableColumn id="1" xr3:uid="{66A9D797-0DA1-4822-A062-6BBF27E1115B}" uniqueName="1" name="BondsDeals_Id" queryTableFieldId="1" dataDxfId="293"/>
    <tableColumn id="2" xr3:uid="{14910C5F-1570-477B-8451-481B9D466671}" uniqueName="2" name="Folder" queryTableFieldId="2" dataDxfId="292"/>
    <tableColumn id="3" xr3:uid="{D3DAA13E-103B-4260-9BA5-9742DDD29906}" uniqueName="3" name="Bonds_ShortName" queryTableFieldId="3" dataDxfId="291"/>
    <tableColumn id="4" xr3:uid="{DD2E2C26-83BC-4CBD-BE33-390ACD4EE196}" uniqueName="4" name="Issuer" queryTableFieldId="4" dataDxfId="290"/>
    <tableColumn id="5" xr3:uid="{C6A2CE5C-A803-49F5-80B3-C4E7C98CEDE7}" uniqueName="5" name="Quantity" queryTableFieldId="5" dataDxfId="289"/>
    <tableColumn id="6" xr3:uid="{26E31FD1-D3AD-43EA-9420-98882D75965A}" uniqueName="6" name="FaceValue" queryTableFieldId="6" dataDxfId="288"/>
    <tableColumn id="7" xr3:uid="{FFE37CAB-617A-4632-A5B9-EAFC5F418175}" uniqueName="7" name="Face_Amount" queryTableFieldId="7" dataDxfId="287"/>
    <tableColumn id="8" xr3:uid="{B801504D-5CD9-49DB-8E67-36AD76EB0259}" uniqueName="8" name="Gross_Amount" queryTableFieldId="8" dataDxfId="286"/>
    <tableColumn id="9" xr3:uid="{4AF0C37C-A8EC-4566-911C-5A043F0EC56A}" uniqueName="9" name="ValueDate" queryTableFieldId="9" dataDxfId="285"/>
    <tableColumn id="10" xr3:uid="{F043E393-8B49-492A-BA36-9F318872DF56}" uniqueName="10" name="IssueDate" queryTableFieldId="10" dataDxfId="284"/>
    <tableColumn id="11" xr3:uid="{FE65F30B-338A-4EE5-A2DD-B0EFEE0AAC28}" uniqueName="11" name="FirstCouponDate" queryTableFieldId="11" dataDxfId="283"/>
    <tableColumn id="12" xr3:uid="{30DDCA8A-BF1B-4C4F-B5C7-B1B1B2B7ADE7}" uniqueName="12" name="MaturityDate" queryTableFieldId="12" dataDxfId="282"/>
    <tableColumn id="13" xr3:uid="{A6F86D88-EE9B-490F-8954-8F92B10A6424}" uniqueName="13" name="TenorBond" queryTableFieldId="13" dataDxfId="281"/>
    <tableColumn id="14" xr3:uid="{AAB80D89-ABED-4446-8C14-285CDAF943D2}" uniqueName="14" name="FirstCouponRate" queryTableFieldId="14" dataDxfId="280"/>
    <tableColumn id="15" xr3:uid="{307C0AE8-D079-4D8D-927B-AB88D299A0A8}" uniqueName="15" name="ThisCouponRate" queryTableFieldId="15" dataDxfId="279"/>
    <tableColumn id="16" xr3:uid="{A6D5D6B7-46BE-485F-824C-3EB3266E71C6}" uniqueName="16" name="Discount" queryTableFieldId="16" dataDxfId="278"/>
    <tableColumn id="17" xr3:uid="{3A49AB00-10F3-48E6-B137-35B93D2B4867}" uniqueName="17" name="Premium" queryTableFieldId="17" dataDxfId="277"/>
    <tableColumn id="18" xr3:uid="{9EE1C722-6DA5-4E7F-BE00-844F03CEEEFD}" uniqueName="18" name="Discount_Remain" queryTableFieldId="18" dataDxfId="276"/>
    <tableColumn id="19" xr3:uid="{E1B5099E-6636-491C-98C8-BD4116C70146}" uniqueName="19" name="Premium_Remain" queryTableFieldId="19" dataDxfId="275"/>
    <tableColumn id="20" xr3:uid="{93A94B55-320A-4F27-8269-7FA39DC4A365}" uniqueName="20" name="ValueDate_Accred" queryTableFieldId="20" dataDxfId="274"/>
    <tableColumn id="21" xr3:uid="{B6412A06-1AE8-47B5-A701-02B76571A917}" uniqueName="21" name="Accr" queryTableFieldId="21" dataDxfId="273"/>
    <tableColumn id="22" xr3:uid="{27E03A35-5319-4DBE-9AF3-19E1FD0A5F3D}" uniqueName="22" name="TypeOfInstr_ShortName" queryTableFieldId="22" dataDxfId="272"/>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93C3A70-1DCA-4314-AA5D-1690D6D0861E}" name="FIBond_Daohan" displayName="FIBond_Daohan" ref="CO1:CY14" totalsRowShown="0" headerRowDxfId="329" headerRowBorderDxfId="328" tableBorderDxfId="327" totalsRowBorderDxfId="326">
  <tableColumns count="11">
    <tableColumn id="1" xr3:uid="{D6583D7E-A1B9-4DA1-9C25-557E6F810EB6}" name="Số tháng tiếp" dataDxfId="325"/>
    <tableColumn id="2" xr3:uid="{BD66459E-2AEF-44CC-997D-659A53B0F920}" name="Date" dataDxfId="324">
      <calculatedColumnFormula>EOMONTH(RPT,CO2)</calculatedColumnFormula>
    </tableColumn>
    <tableColumn id="3" xr3:uid="{FD971C69-D433-45F8-B19A-E2F28C68B0DA}" name="Bắt đầu tháng" dataDxfId="323">
      <calculatedColumnFormula>EOMONTH($CP2,-1)+1</calculatedColumnFormula>
    </tableColumn>
    <tableColumn id="4" xr3:uid="{124525BC-C856-4B96-84CC-4E348E2ADBCB}" name="Kết thúc tháng" dataDxfId="322">
      <calculatedColumnFormula>EOMONTH($CP2,0)</calculatedColumnFormula>
    </tableColumn>
    <tableColumn id="5" xr3:uid="{3846E4B5-F06C-4AA0-9C33-FB13FCCCEE36}" name="Amount outs CD" dataDxfId="321" dataCellStyle="Comma">
      <calculatedColumnFormula array="1">SUMPRODUCT((FNRP_PPCD[Mat. Date]&gt;=CQ2)*(FNRP_PPCD[Mat. Date]&lt;=CR2)*FNRP_PPCD[Nominal])/10^9</calculatedColumnFormula>
    </tableColumn>
    <tableColumn id="6" xr3:uid="{F7A23D72-D4F4-4760-9983-4E8BC7D66A38}" name="Amount outs FIBond" dataDxfId="320" dataCellStyle="Comma">
      <calculatedColumnFormula array="1">SUMPRODUCT((FNRP_FIbond[Mat. Date]&gt;=CQ2)*(FNRP_FIbond[Mat. Date]&lt;=CR2)*FNRP_FIbond[Nominal])/10^9</calculatedColumnFormula>
    </tableColumn>
    <tableColumn id="7" xr3:uid="{9D4A9732-DE9E-4669-9D4B-7AA5F9D1670D}" name="Đối ứng" dataDxfId="319" dataCellStyle="Comma">
      <calculatedColumnFormula>SUMIFS(Ref!Q:Q,Ref!S:S,"&gt;"&amp;CR2)/10^9</calculatedColumnFormula>
    </tableColumn>
    <tableColumn id="8" xr3:uid="{850F7555-55D9-4851-9390-B44ECE9C7D38}" name="Amount left" dataDxfId="318" dataCellStyle="Comma">
      <calculatedColumnFormula>CV1-CT2-CS2+CU1-CU2</calculatedColumnFormula>
    </tableColumn>
    <tableColumn id="9" xr3:uid="{762F2452-4FAD-4F4B-AC86-7247B6194383}" name="Yield bình quân" dataDxfId="317">
      <calculatedColumnFormula array="1">SUMPRODUCT((RPBOD_B003[MaturityDate]&gt;CR2)*RPBOD_B003[Yield*Amount])/SUMPRODUCT((RPBOD_B003[MaturityDate]&gt;CR2)*RPBOD_B003[Face_Amount])</calculatedColumnFormula>
    </tableColumn>
    <tableColumn id="10" xr3:uid="{050F6B48-083D-438B-A66F-B3CD42414AF7}" name="Indicator 1" dataDxfId="316">
      <calculatedColumnFormula>IF(YEAR(CP2)=YEAR(RPT),"Est YTM T"&amp;MONTH(CP2)&amp;" "&amp;YEAR(RPT),"")</calculatedColumnFormula>
    </tableColumn>
    <tableColumn id="11" xr3:uid="{2613449F-2B67-452F-B035-50EB990310C6}" name="Indicator 2" dataDxfId="315">
      <calculatedColumnFormula>"Est Posi OnBS T"&amp;MONTH(FIBond_Daohan[[#This Row],[Date]])&amp;" "&amp;YEAR(FIBond_Daohan[[#This Row],[Date]])</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CDB04D4-C1F7-4AFB-B6B7-E363E9056E9C}" name="Yield_VBMA" displayName="Yield_VBMA" ref="B1:N254" tableType="queryTable" totalsRowShown="0">
  <tableColumns count="13">
    <tableColumn id="1" xr3:uid="{F22F9457-8B33-4E35-9847-68A9519D6CF0}" uniqueName="1" name="RptDate" queryTableFieldId="1" dataDxfId="268"/>
    <tableColumn id="10" xr3:uid="{7D61C360-0063-4285-8153-230A4B1D8EBA}" uniqueName="10" name="3M" queryTableFieldId="10" dataDxfId="267" dataCellStyle="Comma"/>
    <tableColumn id="2" xr3:uid="{8AAEED02-B936-4994-B57C-CDF631D057D6}" uniqueName="2" name="6M" queryTableFieldId="2" dataDxfId="266" dataCellStyle="Comma"/>
    <tableColumn id="5" xr3:uid="{F47AA8E5-6501-498B-A41D-5A6B0F3BCE71}" uniqueName="5" name="9M" queryTableFieldId="5" dataDxfId="265" dataCellStyle="Comma"/>
    <tableColumn id="11" xr3:uid="{997A7BE2-3A4A-49C5-B50E-00CBB4A130D1}" uniqueName="11" name="1Y" queryTableFieldId="11" dataDxfId="264" dataCellStyle="Comma"/>
    <tableColumn id="6" xr3:uid="{7EFC4559-5F44-43FC-B984-649596C69E1F}" uniqueName="6" name="1.25Y" queryTableFieldId="6" dataDxfId="263" dataCellStyle="Comma"/>
    <tableColumn id="13" xr3:uid="{F5B6DA21-330A-4CE9-9B93-7CA6FA7107E2}" uniqueName="13" name="1.5Y" queryTableFieldId="13" dataDxfId="262" dataCellStyle="Comma"/>
    <tableColumn id="4" xr3:uid="{F94B86C8-60D0-403C-881C-587A97B6D00E}" uniqueName="4" name="1.75Y" queryTableFieldId="4" dataDxfId="261" dataCellStyle="Comma"/>
    <tableColumn id="9" xr3:uid="{50348CDF-7C09-48B9-8CAB-323B00C56714}" uniqueName="9" name="2Y" queryTableFieldId="9" dataDxfId="260" dataCellStyle="Comma"/>
    <tableColumn id="7" xr3:uid="{19ECF2A1-9495-421B-BAAB-48523A137DB4}" uniqueName="7" name="2.25Y" queryTableFieldId="7" dataDxfId="259" dataCellStyle="Comma"/>
    <tableColumn id="12" xr3:uid="{DFED9DD0-80BB-46C8-9153-CF6BFEF6535E}" uniqueName="12" name="2.5Y" queryTableFieldId="12" dataDxfId="258" dataCellStyle="Comma"/>
    <tableColumn id="3" xr3:uid="{40351402-C675-4F6B-B28A-AC88C96E47E1}" uniqueName="3" name="2.75Y" queryTableFieldId="3" dataDxfId="257" dataCellStyle="Comma"/>
    <tableColumn id="8" xr3:uid="{912F4E78-929B-45B8-90FD-5A08B72BB472}" uniqueName="8" name="3Y" queryTableFieldId="8" dataDxfId="256" dataCellStyle="Comma"/>
  </tableColumns>
  <tableStyleInfo name="TableStyleLight1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D844FCC-DD57-4C6A-B4B6-CA69489CE251}" name="His53_" displayName="His53_" ref="Q1:T6662" tableType="queryTable" totalsRowShown="0">
  <tableColumns count="4">
    <tableColumn id="1" xr3:uid="{318D34BB-0539-4E2D-AA74-CD4E647F0508}" uniqueName="1" name="RptDate" queryTableFieldId="1" dataDxfId="255"/>
    <tableColumn id="2" xr3:uid="{12B454B2-5681-4372-B880-370F7E19F17C}" uniqueName="2" name="Product" queryTableFieldId="2" dataDxfId="254"/>
    <tableColumn id="3" xr3:uid="{DFEF1EB9-4957-42C2-8E5E-B3F6EF77798D}" uniqueName="3" name="Indicators" queryTableFieldId="3" dataDxfId="253"/>
    <tableColumn id="4" xr3:uid="{292A1D65-5C7F-4768-9EE6-BBAF496D5542}" uniqueName="4" name="Actual" queryTableFieldId="4" dataDxfId="252" dataCellStyle="Comma"/>
  </tableColumns>
  <tableStyleInfo name="TableStyleLight1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8F1FEE-C6A7-4506-B595-33E37DE220B2}" name="Yield_BidAsk" displayName="Yield_BidAsk" ref="W1:AA3037" tableType="queryTable" totalsRowShown="0">
  <tableColumns count="5">
    <tableColumn id="1" xr3:uid="{5D38ED50-4687-44D4-B51B-2DA839F322FF}" uniqueName="1" name="RptDate" queryTableFieldId="1" dataDxfId="251"/>
    <tableColumn id="2" xr3:uid="{98CEE30D-C9B8-4702-8ECD-649199131AFC}" uniqueName="2" name="Tenor" queryTableFieldId="2" dataDxfId="250"/>
    <tableColumn id="3" xr3:uid="{0E1A6085-762B-41F0-852E-25CCFC3121D6}" uniqueName="3" name="Bid" queryTableFieldId="3" dataDxfId="249" dataCellStyle="Comma"/>
    <tableColumn id="4" xr3:uid="{2246BCA7-E998-447B-A94F-B04512B9AF55}" uniqueName="4" name="Ask" queryTableFieldId="4" dataDxfId="248" dataCellStyle="Comma"/>
    <tableColumn id="5" xr3:uid="{34292E9B-F4C2-4A53-9723-863FBB6CAFD1}" uniqueName="5" name="Average" queryTableFieldId="5" dataDxfId="247" dataCellStyle="Comma"/>
  </tableColumns>
  <tableStyleInfo name="TableStyleLight1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B3307F-A767-4F93-A782-15185917A093}" name="His53_DataTT" displayName="His53_DataTT" ref="AD1:AG820" tableType="queryTable" totalsRowShown="0">
  <sortState xmlns:xlrd2="http://schemas.microsoft.com/office/spreadsheetml/2017/richdata2" ref="AD2:AG820">
    <sortCondition ref="AD1:AD820"/>
  </sortState>
  <tableColumns count="4">
    <tableColumn id="1" xr3:uid="{CCCBC268-9810-4DE1-A7B4-C145C83F85EA}" uniqueName="1" name="RptDate" queryTableFieldId="1" dataDxfId="246"/>
    <tableColumn id="2" xr3:uid="{683C80DF-22D2-4DD2-858B-03DA994BBB5F}" uniqueName="2" name="Product" queryTableFieldId="6" dataDxfId="245"/>
    <tableColumn id="3" xr3:uid="{336827AD-BD66-4F31-8662-C5EA3809A62B}" uniqueName="3" name="Actual" queryTableFieldId="7"/>
    <tableColumn id="4" xr3:uid="{80F2DF9E-C32C-4199-9339-4A2330CAC9EA}" uniqueName="4" name="Month" queryTableFieldId="8" dataDxfId="244">
      <calculatedColumnFormula>DATE(YEAR(His53_DataTT[[#This Row],[RptDate]]),MONTH(His53_DataTT[[#This Row],[RptDate]]),1)</calculatedColumnFormula>
    </tableColumn>
  </tableColumns>
  <tableStyleInfo name="TableStyleLight14"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EE7B4B4-D70F-4AA1-9846-3B57BEDA0F81}" name="GovBond_BS" displayName="GovBond_BS" ref="AJ1:AM3" tableType="queryTable" totalsRowShown="0">
  <tableColumns count="4">
    <tableColumn id="1" xr3:uid="{EC89ACF1-5380-4737-834C-B77319939870}" uniqueName="1" name="RptDate" queryTableFieldId="1" dataDxfId="243"/>
    <tableColumn id="2" xr3:uid="{6F4DC361-E34F-4820-8199-031899B1A4B2}" uniqueName="2" name="Indicators" queryTableFieldId="6"/>
    <tableColumn id="3" xr3:uid="{E49B6A4C-F2FC-4DB5-B53A-735FBE9D92B0}" uniqueName="3" name="Actual" queryTableFieldId="7" dataDxfId="242" dataCellStyle="Comma [0]"/>
    <tableColumn id="4" xr3:uid="{11CD42DB-A25A-4813-9C35-B65DDF02FF95}" uniqueName="4" name="Book" queryTableFieldId="8"/>
  </tableColumns>
  <tableStyleInfo name="TableStyleLight14"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1F5086-7487-4CC0-A4E6-797C88F599A4}" name="FNRP_FIbond" displayName="FNRP_FIbond" ref="B1:AN17" tableType="queryTable" totalsRowCount="1" headerRowDxfId="238">
  <autoFilter ref="B1:AN16" xr:uid="{E21F5086-7487-4CC0-A4E6-797C88F599A4}"/>
  <tableColumns count="39">
    <tableColumn id="1" xr3:uid="{C8AED84B-E2B7-4B37-B852-6932F82632FB}" uniqueName="1" name="Currency" totalsRowLabel="Total" queryTableFieldId="1"/>
    <tableColumn id="2" xr3:uid="{BE74A0B5-4A68-4F3B-9FBE-451B5295F3F7}" uniqueName="2" name="Duration_range" queryTableFieldId="2"/>
    <tableColumn id="3" xr3:uid="{18782A8B-A58B-457B-981B-52EC27BB03A3}" uniqueName="3" name="Short Name" queryTableFieldId="3"/>
    <tableColumn id="4" xr3:uid="{18AC9D42-9A9E-455C-B168-80A2D22A95BA}" uniqueName="4" name="Type of Instr." queryTableFieldId="4"/>
    <tableColumn id="5" xr3:uid="{F62504E7-E140-4E45-BDF6-02F40B053A12}" uniqueName="5" name="Mat. Date" queryTableFieldId="5"/>
    <tableColumn id="6" xr3:uid="{BBCE5E2E-6AF3-4174-9DDA-1FD3C498E2F4}" uniqueName="6" name="Open Pos" queryTableFieldId="6"/>
    <tableColumn id="7" xr3:uid="{F183B123-7969-4FEB-AE4A-E67F92E5B66E}" uniqueName="7" name="Clean Price" queryTableFieldId="7"/>
    <tableColumn id="8" xr3:uid="{F53F3A53-8EB3-4606-AB66-95A52B1DE72E}" uniqueName="8" name="Quantity" queryTableFieldId="8"/>
    <tableColumn id="9" xr3:uid="{78243486-B603-4817-9A14-5F6978E6D735}" uniqueName="9" name="Nominal" queryTableFieldId="9"/>
    <tableColumn id="10" xr3:uid="{0AD21986-D5C9-4A04-B827-FA2C7DEF9CFD}" uniqueName="10" name="Orig. Nominal" queryTableFieldId="10"/>
    <tableColumn id="11" xr3:uid="{75ACD613-5269-411C-8672-32042DEA9EEB}" uniqueName="11" name="Avg Price" queryTableFieldId="11"/>
    <tableColumn id="12" xr3:uid="{A7A89198-1169-4336-8B62-60A3C44D635A}" uniqueName="12" name="Flt. Spread" queryTableFieldId="12"/>
    <tableColumn id="13" xr3:uid="{512ABC35-8D37-486C-B5AE-DFD00606A87A}" uniqueName="13" name="Pos. Yield" queryTableFieldId="13"/>
    <tableColumn id="14" xr3:uid="{26634CE9-85BE-49C1-8B4F-8501A187F8CB}" uniqueName="14" name="Pos. True Yield" queryTableFieldId="14"/>
    <tableColumn id="15" xr3:uid="{5E328F21-A0AD-474B-984F-D447C3BEE7D8}" uniqueName="15" name="Avg Yield" queryTableFieldId="15"/>
    <tableColumn id="16" xr3:uid="{F89CB1E4-5DEF-49B0-A483-512BE11D08B1}" uniqueName="16" name="Market Value" queryTableFieldId="16"/>
    <tableColumn id="17" xr3:uid="{34BCAA61-2DDF-4EB0-A995-A9C66B19DCE2}" uniqueName="17" name="Cpn Rate" queryTableFieldId="17"/>
    <tableColumn id="18" xr3:uid="{92861640-A521-4613-98E1-10E5FDD56D11}" uniqueName="18" name="Accr Int" queryTableFieldId="18"/>
    <tableColumn id="19" xr3:uid="{8290BDAB-8217-4379-AA0E-85DD918F91B4}" uniqueName="19" name="% Sec" queryTableFieldId="19"/>
    <tableColumn id="20" xr3:uid="{D0A56C00-9939-4373-8213-3E1770D83065}" uniqueName="20" name="Cpn Cumul" queryTableFieldId="20"/>
    <tableColumn id="21" xr3:uid="{21F2D03C-FD20-421F-8F4F-87B344778990}" uniqueName="21" name="Cpn Reinvested" queryTableFieldId="21"/>
    <tableColumn id="22" xr3:uid="{268A6DAA-F320-4B5A-8062-4289FC4F56C0}" uniqueName="22" name="Cost of Carry" queryTableFieldId="22"/>
    <tableColumn id="23" xr3:uid="{A3BC31CF-F2FE-4449-A192-AF05CCB2A4CB}" uniqueName="23" name="Var. Accr" queryTableFieldId="23"/>
    <tableColumn id="24" xr3:uid="{860B518D-F663-4B89-9237-767A925DCBB7}" uniqueName="24" name="Global Carry" queryTableFieldId="24"/>
    <tableColumn id="25" xr3:uid="{DA48A2AC-CA53-418A-8609-A81554AA2C02}" uniqueName="25" name="Net Carry" queryTableFieldId="25"/>
    <tableColumn id="26" xr3:uid="{6180177B-13DF-4DC1-A08B-0DF73933CA80}" uniqueName="26" name="Mod Dur" queryTableFieldId="26"/>
    <tableColumn id="27" xr3:uid="{3919E16D-1DC2-4A20-9DE1-431A3D59BC96}" uniqueName="27" name="Dur." queryTableFieldId="27"/>
    <tableColumn id="28" xr3:uid="{1952BFBD-31E1-4FF5-9D34-CF603EC5E867}" uniqueName="28" name="Cnvx." queryTableFieldId="28"/>
    <tableColumn id="29" xr3:uid="{48281A81-FF35-43C5-9422-1B22FB358AA3}" uniqueName="29" name="BPV (K)" queryTableFieldId="29"/>
    <tableColumn id="30" xr3:uid="{BFF12791-8B53-4CCD-83D9-744C8FF7159B}" uniqueName="30" name="Realized Cur" queryTableFieldId="30"/>
    <tableColumn id="31" xr3:uid="{97AB021F-3569-4078-9C27-858A4B1272E3}" uniqueName="31" name="Unrealized Cur" queryTableFieldId="31"/>
    <tableColumn id="32" xr3:uid="{C5DECFC0-247D-4F90-BB9A-E4F8F6F692D0}" uniqueName="32" name="P/L Clean Price" queryTableFieldId="32"/>
    <tableColumn id="33" xr3:uid="{468CC438-5319-460F-9470-4F144B50E2ED}" uniqueName="33" name="Tenor (call/put)" queryTableFieldId="33" dataDxfId="237" dataCellStyle="Comma">
      <calculatedColumnFormula>IF(_xlfn.XLOOKUP(FNRP_FIbond[[#This Row],[Short Name]],BS:BS,BU:BU,0,0)-RPT&lt;0,FNRP_FIbond[[#This Row],[Tenor]],_xlfn.XLOOKUP(_xlfn.XLOOKUP(FNRP_FIbond[[#This Row],[Short Name]],BS:BS,BU:BU,0,0)-RPT,Ref!$D$1:$D$13,Ref!$C$1:$C$13,"Mat",1,1))</calculatedColumnFormula>
    </tableColumn>
    <tableColumn id="34" xr3:uid="{32137B65-501E-424A-8562-5EFC2D33ACBD}" uniqueName="34" name="Days" queryTableFieldId="34" dataDxfId="236" dataCellStyle="Comma">
      <calculatedColumnFormula>FNRP_FIbond[[#This Row],[Mat. Date]]-RPT</calculatedColumnFormula>
    </tableColumn>
    <tableColumn id="35" xr3:uid="{46BCCA8C-98D7-4D72-9671-D78F22630297}" uniqueName="35" name="Tenor" queryTableFieldId="35" dataDxfId="235" dataCellStyle="Comma">
      <calculatedColumnFormula>IF(FNRP_FIbond[[#This Row],[Mat. Date]]-RPT&lt;=0,"Mat",_xlfn.XLOOKUP(FNRP_FIbond[[#This Row],[Mat. Date]]-RPT,Ref!$D$1:$D$13,Ref!$C$1:$C$13,"Mat",1,1))</calculatedColumnFormula>
    </tableColumn>
    <tableColumn id="36" xr3:uid="{A17C4847-4B71-4947-B83C-94C2D7BA4E86}" uniqueName="36" name="Issuer" queryTableFieldId="36" dataDxfId="234" dataCellStyle="Comma">
      <calculatedColumnFormula>_xlfn.XLOOKUP(FNRP_FIbond[[#This Row],[Short Name]],AllDealps!C:C,AllDealps!D:D,"",0)</calculatedColumnFormula>
    </tableColumn>
    <tableColumn id="37" xr3:uid="{2CD13EBA-7592-4120-923C-B2C25778D7E0}" uniqueName="37" name="Clean Price_edited" queryTableFieldId="37" dataDxfId="233" dataCellStyle="Comma">
      <calculatedColumnFormula>FNRP_FIbond[[#This Row],[Market Value]]/FNRP_FIbond[[#This Row],[Quantity]]</calculatedColumnFormula>
    </tableColumn>
    <tableColumn id="38" xr3:uid="{E5BC87DA-6921-42A9-8B57-88065A952504}" uniqueName="38" name="Đối ứng" queryTableFieldId="38" dataDxfId="232" dataCellStyle="Comma"/>
    <tableColumn id="39" xr3:uid="{60BA5D57-06C6-4F3D-8979-D027CA2F1263}" uniqueName="39" name="Điều chỉnh đối ứng" totalsRowFunction="sum" queryTableFieldId="39" dataDxfId="231" totalsRowDxfId="230" dataCellStyle="Comma"/>
  </tableColumns>
  <tableStyleInfo name="TableStyleLight14"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408543F-9510-4D34-BB72-83692B6B8D52}" name="FNRP_PPCD" displayName="FNRP_PPCD" ref="AQ1:BP42" tableType="queryTable" totalsRowCount="1" headerRowDxfId="229">
  <autoFilter ref="AQ1:BP41" xr:uid="{0408543F-9510-4D34-BB72-83692B6B8D52}"/>
  <sortState xmlns:xlrd2="http://schemas.microsoft.com/office/spreadsheetml/2017/richdata2" ref="AQ2:BP41">
    <sortCondition descending="1" ref="AS1:AS41"/>
  </sortState>
  <tableColumns count="26">
    <tableColumn id="1" xr3:uid="{DD894343-7C7D-4C2A-91A7-FA3BF180B404}" uniqueName="1" name="Book" totalsRowLabel="Total" queryTableFieldId="1"/>
    <tableColumn id="2" xr3:uid="{B9D01AAE-12B6-41C5-B028-22F80508CF59}" uniqueName="2" name="Duration_range" queryTableFieldId="2"/>
    <tableColumn id="3" xr3:uid="{7A1DDC7F-EAAF-4B4A-B6F9-C9E011D6FC8F}" uniqueName="3" name="Short Name" queryTableFieldId="3"/>
    <tableColumn id="4" xr3:uid="{92FC6AFB-012D-4E9B-AFE6-E48D8359DC93}" uniqueName="4" name="Instrument" queryTableFieldId="4"/>
    <tableColumn id="5" xr3:uid="{CE1F672D-B062-4962-AD59-DB60B30D9705}" uniqueName="5" name="Type of Instr." queryTableFieldId="5"/>
    <tableColumn id="6" xr3:uid="{5EFA8C76-3238-4525-A8D4-5F1AFB88D322}" uniqueName="6" name="Mat. Date" queryTableFieldId="6"/>
    <tableColumn id="7" xr3:uid="{05119A7B-8445-4440-8C5F-EA7007743509}" uniqueName="7" name="Type Rate" queryTableFieldId="7"/>
    <tableColumn id="8" xr3:uid="{1D6DF10A-C14A-4378-91B7-EB2CD9F4D5A8}" uniqueName="8" name="Cpn Rate" queryTableFieldId="8"/>
    <tableColumn id="9" xr3:uid="{432934C7-96F2-4D32-927A-1691682218EF}" uniqueName="9" name="Open Pos" queryTableFieldId="9"/>
    <tableColumn id="10" xr3:uid="{9E3F3FE8-9C3A-498E-B985-2A0E11F9B7CA}" uniqueName="10" name="Clean Price" queryTableFieldId="10"/>
    <tableColumn id="11" xr3:uid="{BFB18FDF-D704-4592-B75C-914497581D37}" uniqueName="11" name="Nominal" queryTableFieldId="11"/>
    <tableColumn id="12" xr3:uid="{4A3F3AA1-DA20-44BC-A375-5405342D6005}" uniqueName="12" name="Market Value" queryTableFieldId="12"/>
    <tableColumn id="13" xr3:uid="{26BA97FC-3FA0-4421-A310-F0A1AC19A366}" uniqueName="13" name="Cpn Cumul" queryTableFieldId="13"/>
    <tableColumn id="14" xr3:uid="{0612619B-9418-47CD-96EF-8070B095B27E}" uniqueName="14" name="Cpn Reinvested" queryTableFieldId="14"/>
    <tableColumn id="15" xr3:uid="{6017D20E-7BDC-4BD2-A7E2-3D17522C06CB}" uniqueName="15" name="Cost of Carry" queryTableFieldId="15"/>
    <tableColumn id="16" xr3:uid="{20538D65-2571-49C0-B5F6-25260D0EEEB8}" uniqueName="16" name="Mod Dur" queryTableFieldId="16"/>
    <tableColumn id="17" xr3:uid="{CA71E3E9-95E9-4D1B-B00B-0E1A70FDC0A6}" uniqueName="17" name="Dur." queryTableFieldId="17"/>
    <tableColumn id="18" xr3:uid="{A0AE4E33-9647-41B8-A81E-CE389FAB0037}" uniqueName="18" name="Cnvx." queryTableFieldId="18"/>
    <tableColumn id="19" xr3:uid="{22A1DCE7-3263-4800-A8FB-35BB87AD3799}" uniqueName="19" name="P/L Currency" queryTableFieldId="19"/>
    <tableColumn id="20" xr3:uid="{74D683DD-CF0D-4F32-8351-AED0620169FD}" uniqueName="20" name="P/L Local" queryTableFieldId="20" dataDxfId="228" dataCellStyle="Comma"/>
    <tableColumn id="21" xr3:uid="{BF79F2C1-0E1C-4CA9-8212-4775DE224420}" uniqueName="21" name="P/L Report" queryTableFieldId="21" dataDxfId="227" dataCellStyle="Comma"/>
    <tableColumn id="22" xr3:uid="{1B7C02A7-6F03-44EA-8D09-17B23C0C24D6}" uniqueName="22" name="Days" queryTableFieldId="22" dataDxfId="226" dataCellStyle="Comma">
      <calculatedColumnFormula>FNRP_PPCD[[#This Row],[Mat. Date]]-RPT</calculatedColumnFormula>
    </tableColumn>
    <tableColumn id="23" xr3:uid="{16E6E803-6F97-4806-B68C-07C2B4A3CB67}" uniqueName="23" name="Tenor" queryTableFieldId="23" dataDxfId="225" dataCellStyle="Comma">
      <calculatedColumnFormula>IF(FNRP_PPCD[[#This Row],[Days]]&lt;=0,"Mat",_xlfn.XLOOKUP(FNRP_PPCD[[#This Row],[Days]],Ref!$D$1:$D$13,Ref!$C$1:$C$13,"Mat",1,1))</calculatedColumnFormula>
    </tableColumn>
    <tableColumn id="24" xr3:uid="{EADBAF0B-63EB-442F-BF67-5111E6E277B1}" uniqueName="24" name="Issuer" queryTableFieldId="24" dataDxfId="224" dataCellStyle="Comma">
      <calculatedColumnFormula>IF(FNRP_PPCD[[#This Row],[Days]]&lt;=0,"",VLOOKUP(FNRP_PPCD[[#This Row],[Short Name]],AllDealps!C:D,2,0))</calculatedColumnFormula>
    </tableColumn>
    <tableColumn id="25" xr3:uid="{96549D64-10D8-4A7A-BE33-994AC8BDF603}" uniqueName="25" name="Đối ứng" queryTableFieldId="25" dataDxfId="223" dataCellStyle="Comma [0]"/>
    <tableColumn id="26" xr3:uid="{DBE62148-F7F6-4653-86D4-C3B633AB8CCF}" uniqueName="26" name="Adjust" totalsRowFunction="sum" queryTableFieldId="26" dataDxfId="222" totalsRowDxfId="221" dataCellStyle="Comma [0]"/>
  </tableColumns>
  <tableStyleInfo name="TableStyleLight1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9E45E7B-731D-472E-AB33-26257243AFE0}" name="CallPut" displayName="CallPut" ref="BS1:BW21" tableType="queryTable" totalsRowShown="0">
  <autoFilter ref="BS1:BW21" xr:uid="{29E45E7B-731D-472E-AB33-26257243AFE0}"/>
  <tableColumns count="5">
    <tableColumn id="1" xr3:uid="{5CD2B6FC-4FFC-414D-BA39-68D26A1FFB33}" uniqueName="1" name="BOND_CODE" queryTableFieldId="1" dataDxfId="220"/>
    <tableColumn id="2" xr3:uid="{C3AEF8FF-25A0-46F6-8719-973DB9331228}" uniqueName="2" name="CALL_OR_PUT" queryTableFieldId="2" dataDxfId="219"/>
    <tableColumn id="3" xr3:uid="{A700C129-388F-4BAC-AB69-C9AABA6549A7}" uniqueName="3" name="START_DATE" queryTableFieldId="3" dataDxfId="218"/>
    <tableColumn id="4" xr3:uid="{5BB4AA1B-F484-44C8-8AAC-6F3573C881CD}" uniqueName="4" name="END_DATE" queryTableFieldId="4" dataDxfId="217"/>
    <tableColumn id="5" xr3:uid="{C0129167-236A-456A-BFDB-65675967B985}" uniqueName="5" name="REDEMPTION_VALUE" queryTableFieldId="5" dataDxfId="216" dataCellStyle="Comma [0]"/>
  </tableColumns>
  <tableStyleInfo name="TableStyleLight14"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CB93D70-3EBA-4466-9390-2B7E44B375ED}" name="FNRP_MSB" displayName="FNRP_MSB" ref="BZ1:CW12" tableType="queryTable" totalsRowShown="0" headerRowDxfId="215">
  <tableColumns count="24">
    <tableColumn id="1" xr3:uid="{8A307F07-8B07-40B9-9A09-2DC2E8F0D78E}" uniqueName="1" name="Book" queryTableFieldId="1"/>
    <tableColumn id="2" xr3:uid="{EF02697F-BCCB-4ECB-ADA3-DFFBCEF3D6DA}" uniqueName="2" name="Duration_range" queryTableFieldId="2"/>
    <tableColumn id="3" xr3:uid="{CB264FF4-5B1D-41BD-B768-C4DF25814EA5}" uniqueName="3" name="Short Name" queryTableFieldId="3"/>
    <tableColumn id="4" xr3:uid="{49091717-2514-454C-AFF9-C3A12D9AAFA6}" uniqueName="4" name="Instrument" queryTableFieldId="4"/>
    <tableColumn id="5" xr3:uid="{61B8284F-FA3D-4848-9B8C-7A487275C917}" uniqueName="5" name="Type of Instr." queryTableFieldId="5"/>
    <tableColumn id="6" xr3:uid="{BC4A26DF-5B55-43F3-B076-4B459594AAF8}" uniqueName="6" name="Mat. Date" queryTableFieldId="6"/>
    <tableColumn id="7" xr3:uid="{41618BAE-CC8E-453D-8853-8CC2BBB493FF}" uniqueName="7" name="Type Rate" queryTableFieldId="7"/>
    <tableColumn id="8" xr3:uid="{E0F928CD-D0C2-47FC-BCB6-F66AD6763F43}" uniqueName="8" name="Cpn Rate" queryTableFieldId="8"/>
    <tableColumn id="9" xr3:uid="{CB0079DF-9F70-4F6D-AE01-EB317CE609DB}" uniqueName="9" name="Open Pos" queryTableFieldId="9"/>
    <tableColumn id="10" xr3:uid="{30DA36E7-3F02-4ECE-BD1E-F5B8F78BEC23}" uniqueName="10" name="Clean Price" queryTableFieldId="10"/>
    <tableColumn id="11" xr3:uid="{AD89FDFD-DA28-4044-BFFB-4812CFBDF80F}" uniqueName="11" name="Nominal" queryTableFieldId="11"/>
    <tableColumn id="12" xr3:uid="{03DB9CAF-E9CB-46B7-B67B-F6FBCF190A7C}" uniqueName="12" name="Market Value" queryTableFieldId="12"/>
    <tableColumn id="13" xr3:uid="{7C9511DE-DBDE-4819-9B2D-B15924CBE7F2}" uniqueName="13" name="Cpn Cumul" queryTableFieldId="13"/>
    <tableColumn id="14" xr3:uid="{FB74BEA7-8595-492B-B90C-89AC05C88ABA}" uniqueName="14" name="Cpn Reinvested" queryTableFieldId="14"/>
    <tableColumn id="15" xr3:uid="{90F34448-00E0-4599-8BAC-028623EEECB5}" uniqueName="15" name="Cost of Carry" queryTableFieldId="15"/>
    <tableColumn id="16" xr3:uid="{42169F56-07E1-4BC6-976D-6FAFB529CC5F}" uniqueName="16" name="Mod Dur" queryTableFieldId="16"/>
    <tableColumn id="17" xr3:uid="{7A7F9D39-27BA-4859-B6C8-C2B566BB5126}" uniqueName="17" name="Dur." queryTableFieldId="17"/>
    <tableColumn id="18" xr3:uid="{FE17F1F3-9EAA-47B5-802F-326A7C4970C5}" uniqueName="18" name="Cnvx." queryTableFieldId="18"/>
    <tableColumn id="19" xr3:uid="{C631D1B7-DCC4-4DDD-8FF7-C19B47EB3907}" uniqueName="19" name="P/L Currency" queryTableFieldId="19"/>
    <tableColumn id="20" xr3:uid="{D75BD257-A052-48F5-849A-B83133BC1DCC}" uniqueName="20" name="P/L Local" queryTableFieldId="20" dataDxfId="214" dataCellStyle="Comma"/>
    <tableColumn id="21" xr3:uid="{7D27CE8D-3593-4615-B721-71CDB3983E8D}" uniqueName="21" name="P/L Report" queryTableFieldId="21" dataDxfId="213" dataCellStyle="Comma"/>
    <tableColumn id="22" xr3:uid="{E57C4631-B0E9-4FC9-AEAB-7381A9CD4248}" uniqueName="22" name="Days" queryTableFieldId="22" dataDxfId="212" dataCellStyle="Comma">
      <calculatedColumnFormula>FNRP_MSB[[#This Row],[Mat. Date]]-RPT</calculatedColumnFormula>
    </tableColumn>
    <tableColumn id="23" xr3:uid="{1E0F04AA-9F51-40FC-BC5B-24BCFCA9368B}" uniqueName="23" name="Tenor" queryTableFieldId="23" dataDxfId="211" dataCellStyle="Comma"/>
    <tableColumn id="24" xr3:uid="{CDBF0B36-6D60-44A8-AAEE-A9BC01C0405C}" uniqueName="24" name="Check đối ứng" queryTableFieldId="24" dataDxfId="210" dataCellStyle="Comma"/>
  </tableColumns>
  <tableStyleInfo name="TableStyleLight14"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983ACB2-33AD-4E9A-A1B4-44F04F23B436}" name="FNRP_ITB_2" displayName="FNRP_ITB_2" ref="CZ1:EL4" tableType="queryTable" totalsRowCount="1">
  <tableColumns count="39">
    <tableColumn id="1" xr3:uid="{AE1BD223-B99E-4475-9017-DE544241150E}" uniqueName="1" name="Currency" queryTableFieldId="1" dataDxfId="209"/>
    <tableColumn id="2" xr3:uid="{F67BE4BD-F9F8-4C16-81C4-22E099F4395B}" uniqueName="2" name="Duration_range" queryTableFieldId="2" dataDxfId="208"/>
    <tableColumn id="3" xr3:uid="{669B139A-F967-49D7-AA88-8D1D62E5153B}" uniqueName="3" name="Security Name" queryTableFieldId="3" dataDxfId="207"/>
    <tableColumn id="4" xr3:uid="{35D1829C-16F0-4AA5-8A66-1F799F8D756F}" uniqueName="4" name="Type of Instr." queryTableFieldId="4" dataDxfId="206"/>
    <tableColumn id="5" xr3:uid="{C9443273-7258-479B-80B1-C45951CF7862}" uniqueName="5" name="Mat. Date" queryTableFieldId="5" dataDxfId="205"/>
    <tableColumn id="6" xr3:uid="{4014CA26-0FB0-4768-93EE-04C9374D484D}" uniqueName="6" name="Open Pos" queryTableFieldId="6" dataDxfId="204"/>
    <tableColumn id="7" xr3:uid="{88553E6E-C4C2-4B1D-A923-8436CE53D3CE}" uniqueName="7" name="Price" queryTableFieldId="7"/>
    <tableColumn id="8" xr3:uid="{FE4E0D5E-1237-4AB3-A7E0-691963123D8C}" uniqueName="8" name="Clean Price" queryTableFieldId="8"/>
    <tableColumn id="9" xr3:uid="{53A3BCF6-C535-41AE-8850-AE56E6D329D2}" uniqueName="9" name="QUANTITY" queryTableFieldId="9" dataDxfId="203" totalsRowDxfId="202" dataCellStyle="Comma"/>
    <tableColumn id="10" xr3:uid="{C9415F7F-B56D-41E3-8262-34B92DFAEEEE}" uniqueName="10" name="Nominal" queryTableFieldId="10" dataDxfId="201" totalsRowDxfId="200" dataCellStyle="Comma"/>
    <tableColumn id="11" xr3:uid="{9C8F17EC-69B1-488B-B2B0-DDBC87E7895C}" uniqueName="11" name="Avg Price" queryTableFieldId="11"/>
    <tableColumn id="12" xr3:uid="{01F0CABB-0364-4AC3-B195-F997F0846D74}" uniqueName="12" name="MARKET_VALUE" queryTableFieldId="12"/>
    <tableColumn id="13" xr3:uid="{453D227A-E234-4DEF-8585-714A797873C2}" uniqueName="13" name="Cpn Rate" queryTableFieldId="13"/>
    <tableColumn id="14" xr3:uid="{6C011387-E4C7-4BC8-9ED5-B008AB63DA37}" uniqueName="14" name="Accr Int" queryTableFieldId="14"/>
    <tableColumn id="15" xr3:uid="{56A34A03-B027-42D0-914C-0454ACEBC876}" uniqueName="15" name="Cpn Cumul" queryTableFieldId="15"/>
    <tableColumn id="16" xr3:uid="{6F2AC2A2-ED95-425B-A2E6-17A85A2A64D5}" uniqueName="16" name="Cpn Reinvested" queryTableFieldId="16"/>
    <tableColumn id="17" xr3:uid="{8A02144F-55C1-489F-B4DC-4C40F06E99F2}" uniqueName="17" name="Cost of Carry" queryTableFieldId="17"/>
    <tableColumn id="18" xr3:uid="{58865B58-79BD-473A-AB44-64C9B430C848}" uniqueName="18" name="Yield Mat" queryTableFieldId="18"/>
    <tableColumn id="19" xr3:uid="{1818BBAE-B92E-47DA-911A-E454B3E804CE}" uniqueName="19" name="Mod Dur" queryTableFieldId="19"/>
    <tableColumn id="20" xr3:uid="{F0DE2EF4-A68E-455E-899B-641497AC83D0}" uniqueName="20" name="DURATION" queryTableFieldId="20"/>
    <tableColumn id="21" xr3:uid="{7F443FB5-3013-47A4-A56D-67370C9E7BE6}" uniqueName="21" name="Cnvx." queryTableFieldId="21"/>
    <tableColumn id="22" xr3:uid="{5C7D6531-D2B1-4268-AA18-9E900CE74794}" uniqueName="22" name="Cnvx. Value" queryTableFieldId="22"/>
    <tableColumn id="23" xr3:uid="{822CAFDE-FFB3-46D9-AF3F-A6AEF80827C0}" uniqueName="23" name="BPV (K)" queryTableFieldId="23"/>
    <tableColumn id="24" xr3:uid="{47345897-9786-40E0-8A3E-C1C51E57BD60}" uniqueName="24" name="Theta (K)" queryTableFieldId="24"/>
    <tableColumn id="25" xr3:uid="{26BBB6FB-DB7F-4157-85CE-B4FB7658AC70}" uniqueName="25" name="REALIZED_CUR" queryTableFieldId="25"/>
    <tableColumn id="26" xr3:uid="{5881CF2D-D03F-4CD4-9EB9-5A92EBB9BF51}" uniqueName="26" name="UNREALIZED_CUR" queryTableFieldId="26"/>
    <tableColumn id="27" xr3:uid="{F7FBDD4F-B5B0-4D00-A9BF-2EF89C5AFAA6}" uniqueName="27" name="P/L Clean Price" queryTableFieldId="27"/>
    <tableColumn id="28" xr3:uid="{3F68E7CE-5C6F-4FC9-8AA3-00D7F8011923}" uniqueName="28" name="P/L Currency" queryTableFieldId="28"/>
    <tableColumn id="29" xr3:uid="{FCEB9FEA-554B-4FAA-8E2D-A902BCB8DD1E}" uniqueName="29" name="P/L Local" queryTableFieldId="29"/>
    <tableColumn id="30" xr3:uid="{96E7CC99-0DA9-460B-BC0A-EB56692ECC7F}" uniqueName="30" name="P/L Report" queryTableFieldId="30"/>
    <tableColumn id="31" xr3:uid="{4F00343D-8AC5-459E-BAD2-48CA0A6A9CCF}" uniqueName="31" name="avg yield" queryTableFieldId="31"/>
    <tableColumn id="33" xr3:uid="{C4981A9A-1A97-4164-A907-124276BCE7F8}" uniqueName="33" name="Days" queryTableFieldId="33" dataDxfId="199" totalsRowDxfId="198" dataCellStyle="Comma">
      <calculatedColumnFormula>FNRP_ITB_2[[#This Row],[Mat. Date]]-RPT</calculatedColumnFormula>
    </tableColumn>
    <tableColumn id="34" xr3:uid="{ED065A9F-CF6C-4A36-BECC-C99A7B26399E}" uniqueName="34" name="Tenor" queryTableFieldId="34" dataDxfId="197" totalsRowDxfId="196" dataCellStyle="Comma">
      <calculatedColumnFormula>IF(FNRP_ITB_2[[#This Row],[Mat. Date]]-RPT&lt;=0,"Mat",_xlfn.XLOOKUP(FNRP_ITB_2[[#This Row],[Mat. Date]]-RPT,Ref!$D$1:$D$13,Ref!$C$1:$C$13,"Mat",1,1))</calculatedColumnFormula>
    </tableColumn>
    <tableColumn id="35" xr3:uid="{834ACD83-D71C-410C-9F0C-3B5C68EB0ADA}" uniqueName="35" name="Issuer" queryTableFieldId="35" dataDxfId="195" totalsRowDxfId="194" dataCellStyle="Comma">
      <calculatedColumnFormula>_xlfn.XLOOKUP(FNRP_ITB_2[[#This Row],[Security Name]],AllDealps!C:C,AllDealps!D:D,"",0)</calculatedColumnFormula>
    </tableColumn>
    <tableColumn id="32" xr3:uid="{A85227F7-A1A6-4C9C-A82F-C09FDC18074C}" uniqueName="32" name="Tỷ giá" queryTableFieldId="39" dataDxfId="193" totalsRowDxfId="192" dataCellStyle="Comma">
      <calculatedColumnFormula>SUMIFS(Ref!AC:AC,Ref!AB:AB,"KGS")</calculatedColumnFormula>
    </tableColumn>
    <tableColumn id="37" xr3:uid="{14A43312-44E8-477A-B6A8-379F182D968C}" uniqueName="37" name="Nominal_VND" queryTableFieldId="40" dataDxfId="191" totalsRowDxfId="190" dataCellStyle="Comma">
      <calculatedColumnFormula>FNRP_ITB_2[[#This Row],[Tỷ giá]]*FNRP_ITB_2[[#This Row],[Nominal]]</calculatedColumnFormula>
    </tableColumn>
    <tableColumn id="38" xr3:uid="{62FB115E-D3CF-4025-8077-5990C6F046AA}" uniqueName="38" name="MarketValue_VND" queryTableFieldId="41" dataDxfId="189" totalsRowDxfId="188" dataCellStyle="Comma">
      <calculatedColumnFormula>FNRP_ITB_2[[#This Row],[Tỷ giá]]*FNRP_ITB_2[[#This Row],[Nominal]]*FNRP_ITB_2[[#This Row],[Price]]/100</calculatedColumnFormula>
    </tableColumn>
    <tableColumn id="36" xr3:uid="{CE1DBCFC-0A76-4D6D-A41E-406CE18BDC99}" uniqueName="36" name="Gross amt (KGS)" queryTableFieldId="42" dataDxfId="187" totalsRowDxfId="186" dataCellStyle="Comma"/>
    <tableColumn id="39" xr3:uid="{34C16FC2-0489-456A-A5E6-29FBCF2E1982}" uniqueName="39" name="Gross amt (VND)" queryTableFieldId="43" dataDxfId="185" totalsRowDxfId="184" dataCellStyle="Comma">
      <calculatedColumnFormula>FNRP_ITB_2[[#This Row],[Gross amt (KGS)]]*FNRP_ITB_2[[#This Row],[Tỷ giá]]</calculatedColumnFormula>
    </tableColumn>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D5C4105-BA12-4096-B867-52ABBF6265D2}" name="BS" displayName="BS" ref="J1:L6" tableType="queryTable" totalsRowShown="0">
  <tableColumns count="3">
    <tableColumn id="1" xr3:uid="{CFC5F319-DF67-434C-8E2B-692A6E6778F9}" uniqueName="1" name="GL_CODE" queryTableFieldId="1" dataDxfId="181"/>
    <tableColumn id="2" xr3:uid="{999362F6-432C-4CF0-A421-B92D0D4A14E7}" uniqueName="2" name="SHORT_NAME" queryTableFieldId="2" dataDxfId="180"/>
    <tableColumn id="5" xr3:uid="{5E974396-E06B-4BA7-8996-D6CF9B95F405}" uniqueName="5" name="DƯ CUỐI" queryTableFieldId="5" dataDxfId="179" dataCellStyle="Comma [0]"/>
  </tableColumns>
  <tableStyleInfo name="TableStyleLight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4AAAAA8-4B0E-4530-8962-562F396E12AA}" name="offBS" displayName="offBS" ref="O1:Q3" tableType="queryTable" totalsRowShown="0">
  <tableColumns count="3">
    <tableColumn id="2" xr3:uid="{36D8FE1B-BEC5-4A44-983F-61420688F76B}" uniqueName="2" name="GL_CODE" queryTableFieldId="2"/>
    <tableColumn id="3" xr3:uid="{9A542431-B5FD-4B08-A275-42848446ECB3}" uniqueName="3" name="SHORT_NAME" queryTableFieldId="3" dataDxfId="178" dataCellStyle="Comma"/>
    <tableColumn id="4" xr3:uid="{6E5242B5-ADA2-475D-8AE6-69F86214D688}" uniqueName="4" name="DƯ CUỐI" queryTableFieldId="4" dataDxfId="177" dataCellStyle="Comma [0]"/>
  </tableColumns>
  <tableStyleInfo name="TableStyleLight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EC2422B-F563-44C0-87EB-9AD8E7596ED6}" name="BS_KGS" displayName="BS_KGS" ref="T1:X4" tableType="queryTable" totalsRowShown="0" headerRowDxfId="176" dataDxfId="175">
  <tableColumns count="5">
    <tableColumn id="1" xr3:uid="{850C986D-AEB1-4C7A-B763-CE29879B3E84}" uniqueName="1" name="GL_CODE" queryTableFieldId="1" dataDxfId="174"/>
    <tableColumn id="2" xr3:uid="{A8404CB8-F10E-426D-B8CE-A7456BE7973B}" uniqueName="2" name="SHORT_NAME" queryTableFieldId="2" dataDxfId="173"/>
    <tableColumn id="3" xr3:uid="{23B3E46A-D9DC-4A43-9B91-F2D4EA60546D}" uniqueName="3" name="CURRENCY_CODE" queryTableFieldId="3" dataDxfId="172"/>
    <tableColumn id="4" xr3:uid="{7BE6F9D9-AA24-4DF4-A2B0-8FD6840C7E5E}" uniqueName="4" name="DƯ CUỐI" queryTableFieldId="4" dataDxfId="171" dataCellStyle="Comma"/>
    <tableColumn id="5" xr3:uid="{4992D0BA-7FF6-4B18-85DC-835476B100DB}" uniqueName="5" name="DƯ CUỐI VND" queryTableFieldId="5" dataDxfId="170" dataCellStyle="Comma"/>
  </tableColumns>
  <tableStyleInfo name="TableStyleLight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14E8D25-FDBD-438F-ACB4-FC76B5337E8F}" name="offBS_KGS" displayName="offBS_KGS" ref="AA1:AE2" tableType="queryTable" insertRow="1" totalsRowShown="0" headerRowDxfId="169" dataDxfId="168">
  <autoFilter ref="AA1:AE2" xr:uid="{C14E8D25-FDBD-438F-ACB4-FC76B5337E8F}"/>
  <tableColumns count="5">
    <tableColumn id="1" xr3:uid="{31DF559E-081D-418A-89FB-D43C185D3B1D}" uniqueName="1" name="GL_CODE" queryTableFieldId="1"/>
    <tableColumn id="2" xr3:uid="{3CF5A534-9CD2-4EA5-8A09-063D6D84645A}" uniqueName="2" name="SHORT_NAME" queryTableFieldId="2"/>
    <tableColumn id="3" xr3:uid="{5B58172A-550E-4764-A0B4-4F7334095833}" uniqueName="3" name="CURRENCY_CODE" queryTableFieldId="3"/>
    <tableColumn id="4" xr3:uid="{9EC31A8C-2C7C-4193-901A-B13C0E1F336A}" uniqueName="4" name="DƯ CUỐI" queryTableFieldId="4"/>
    <tableColumn id="5" xr3:uid="{B51AC382-4B2E-4FB8-A7B9-289A0CC161BA}" uniqueName="5" name="DƯ CUỐI VND" queryTableFieldId="5" dataDxfId="167" dataCellStyle="Comma"/>
  </tableColumns>
  <tableStyleInfo name="TableStyleLight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9A706DA-AED5-4EC2-887E-74AF3295F63E}" name="Dealps" displayName="Dealps" ref="A1:Z817" tableType="queryTable">
  <sortState xmlns:xlrd2="http://schemas.microsoft.com/office/spreadsheetml/2017/richdata2" ref="A2:Z817">
    <sortCondition ref="I1:I817"/>
  </sortState>
  <tableColumns count="26">
    <tableColumn id="1" xr3:uid="{B55EAB26-8374-462A-B74F-58E636FD097A}" uniqueName="1" name="POSTED_DT" queryTableFieldId="1" dataDxfId="166" totalsRowDxfId="165"/>
    <tableColumn id="3" xr3:uid="{0AA0394F-2507-4802-82EC-03B0B85E5709}" uniqueName="3" name="DEAL_ID" queryTableFieldId="3" dataDxfId="164"/>
    <tableColumn id="5" xr3:uid="{7D5C5363-C360-4756-837A-5C92937550DF}" uniqueName="5" name="PAPER_CODE" queryTableFieldId="47" dataDxfId="163" dataCellStyle="Comma"/>
    <tableColumn id="6" xr3:uid="{A990D6B5-0BBE-4785-B47E-D767FD883E9F}" uniqueName="6" name="CPTY_CODE_ISSUER" queryTableFieldId="6" dataDxfId="162"/>
    <tableColumn id="9" xr3:uid="{A58962F0-03AE-4813-9773-A99F43E482DA}" uniqueName="9" name="CPTY_CODE" queryTableFieldId="9" dataDxfId="161"/>
    <tableColumn id="12" xr3:uid="{88E8E865-7EF8-4EC4-9019-EEDCDFD9124E}" uniqueName="12" name="PRODUCT_CODE" queryTableFieldId="12" dataDxfId="160"/>
    <tableColumn id="15" xr3:uid="{FCB3ECB3-ECF8-4D7D-BEA3-18A738E9B0C5}" uniqueName="15" name="FOLDERS_CODE" queryTableFieldId="15" dataDxfId="159"/>
    <tableColumn id="17" xr3:uid="{1148C7DB-29CE-434B-9AEA-212EDBD2D7F0}" uniqueName="17" name="DEAL_TYPE" queryTableFieldId="17" dataDxfId="158"/>
    <tableColumn id="18" xr3:uid="{EEA8AEEC-E3E0-46EC-8443-FC086F14664A}" uniqueName="18" name="CAPTURE_DATE" queryTableFieldId="18" dataDxfId="157" totalsRowDxfId="156"/>
    <tableColumn id="19" xr3:uid="{23C318A7-EAAE-4B91-9E60-A5214188762C}" uniqueName="19" name="TRADING_DATE" queryTableFieldId="19" dataDxfId="155" totalsRowDxfId="154"/>
    <tableColumn id="20" xr3:uid="{EA2D4674-980E-4CE1-A2B8-6E5779D9D47C}" uniqueName="20" name="VALUE_DATE" queryTableFieldId="20" dataDxfId="153" totalsRowDxfId="152"/>
    <tableColumn id="21" xr3:uid="{57258BBD-945D-4250-AE52-314CC45FC63C}" uniqueName="21" name="MATURITY_DATE" queryTableFieldId="21" dataDxfId="151" totalsRowDxfId="150"/>
    <tableColumn id="24" xr3:uid="{4BFEC7EA-42DA-4A46-86B6-CBE309F5A31C}" uniqueName="24" name="QUANTITY" queryTableFieldId="24" dataDxfId="149" totalsRowDxfId="148" dataCellStyle="Comma"/>
    <tableColumn id="25" xr3:uid="{46FD428C-E46E-4C47-85E3-745F483D1ACE}" uniqueName="25" name="FACE_AMOUNT" queryTableFieldId="25" dataDxfId="147" totalsRowDxfId="146" dataCellStyle="Comma"/>
    <tableColumn id="26" xr3:uid="{3C66FC2F-7BD7-433D-B36F-AD3897498AC2}" uniqueName="26" name="PRICE" queryTableFieldId="26" dataDxfId="145" dataCellStyle="Comma"/>
    <tableColumn id="29" xr3:uid="{EFBE37C4-A1DA-4509-9965-8D812C2FDE79}" uniqueName="29" name="ACCRUED" queryTableFieldId="29" dataDxfId="144" dataCellStyle="Comma"/>
    <tableColumn id="31" xr3:uid="{6465FA1F-739B-4CAD-962F-D04692584403}" uniqueName="31" name="GROSS_AMOUNT" queryTableFieldId="31" dataDxfId="143" totalsRowDxfId="142" dataCellStyle="Comma"/>
    <tableColumn id="27" xr3:uid="{BAC0900F-2FDB-4DD5-AF47-3EB16CB4F56E}" uniqueName="27" name="YIELD" queryTableFieldId="27" dataDxfId="141"/>
    <tableColumn id="13" xr3:uid="{94D752BC-7E93-4101-8258-FC67C6644B1D}" uniqueName="13" name="TRANSACTION_STATUS" queryTableFieldId="143"/>
    <tableColumn id="43" xr3:uid="{1B95F488-858C-43BF-8F25-B71AE390AB2D}" uniqueName="43" name="TENOR" queryTableFieldId="84" dataDxfId="140" totalsRowDxfId="139" dataCellStyle="Comma">
      <calculatedColumnFormula>IF(Dealps[[#This Row],[MATURITY_DATE]]-Dealps[[#This Row],[POSTED_DT]]&lt;0,0,IF(Dealps[[#This Row],[VALUE_DATE]]-Dealps[[#This Row],[POSTED_DT]]&gt;0,Dealps[[#This Row],[MATURITY_DATE]]-Dealps[[#This Row],[VALUE_DATE]],Dealps[[#This Row],[MATURITY_DATE]]-Dealps[[#This Row],[POSTED_DT]]))</calculatedColumnFormula>
    </tableColumn>
    <tableColumn id="44" xr3:uid="{DE8ECF32-185A-4333-A129-46D6CED9D294}" uniqueName="44" name="AMOUNT" queryTableFieldId="85" dataDxfId="138" totalsRowDxfId="137" dataCellStyle="Comma">
      <calculatedColumnFormula>IF(Dealps[[#This Row],[TENOR]]=0,0,IF(Dealps[[#This Row],[DEAL_TYPE]]="B",Dealps[[#This Row],[FACE_AMOUNT]],-Dealps[[#This Row],[FACE_AMOUNT]]))</calculatedColumnFormula>
    </tableColumn>
    <tableColumn id="2" xr3:uid="{1CF7214E-3753-4DA1-B6F6-BDB0EBD9F5FE}" uniqueName="2" name="MARKET VALUE" queryTableFieldId="133" dataDxfId="136" totalsRowDxfId="135" dataCellStyle="Comma">
      <calculatedColumnFormula>_xlfn.XLOOKUP(Dealps[[#This Row],[PAPER_CODE]],FNRP!D:D,FNRP!H:H,0,0)/100*Dealps[[#This Row],[AMOUNT]]</calculatedColumnFormula>
    </tableColumn>
    <tableColumn id="49" xr3:uid="{C035EF34-2140-4473-94DA-3E8A3CCFCE45}" uniqueName="49" name="BS" queryTableFieldId="90" dataDxfId="134" totalsRowDxfId="133" dataCellStyle="Comma">
      <calculatedColumnFormula>IF(Dealps[[#This Row],[TRANSACTION_STATUS]]&lt;&gt;"V","Ngoai BS",IF(Dealps[[#This Row],[POSTED_DT]]&gt;=Dealps[[#This Row],[VALUE_DATE]],"On BS","Off BS"))</calculatedColumnFormula>
    </tableColumn>
    <tableColumn id="7" xr3:uid="{51A55F74-8245-48BF-8549-3C6BE7BAB8B2}" uniqueName="7" name="FV OUTS/ID" queryTableFieldId="126" dataDxfId="132" totalsRowDxfId="131" dataCellStyle="Comma">
      <calculatedColumnFormula>SUMIFS(U:U,C:C,Dealps[[#This Row],[PAPER_CODE]])</calculatedColumnFormula>
    </tableColumn>
    <tableColumn id="4" xr3:uid="{72063E4C-21AB-4313-BD5F-DC5C1D6514C9}" uniqueName="4" name="Deal đối ứng" queryTableFieldId="138" dataDxfId="130" totalsRowDxfId="129" dataCellStyle="Comma">
      <calculatedColumnFormula>_xlfn.XLOOKUP(Dealps[[#This Row],[DEAL_ID]],Ref!N:N,Ref!Q:Q,0,0)</calculatedColumnFormula>
    </tableColumn>
    <tableColumn id="10" xr3:uid="{CCDF7A35-5E6A-47E8-8022-F955AAA023C2}" uniqueName="10" name="Sơ cấp?" queryTableFieldId="141" dataDxfId="128" totalsRowDxfId="127" dataCellStyle="Comma">
      <calculatedColumnFormula>IF(Dealps[[#This Row],[CPTY_CODE]]=Dealps[[#This Row],[CPTY_CODE_ISSUER]],"Yes","No")</calculatedColumnFormula>
    </tableColumn>
  </tableColumns>
  <tableStyleInfo name="TableStyleLight14"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D516C69-E794-41E1-8B23-41FC29A1D473}" name="Dealps_fixed" displayName="Dealps_fixed" ref="AL1:AS2" tableType="queryTable" totalsRowShown="0">
  <autoFilter ref="AL1:AS2" xr:uid="{8D516C69-E794-41E1-8B23-41FC29A1D473}"/>
  <tableColumns count="8">
    <tableColumn id="1" xr3:uid="{3B4502BF-3629-4B19-BA93-0497730C7EA2}" uniqueName="1" name="POSTED_DT" queryTableFieldId="1" dataDxfId="126"/>
    <tableColumn id="2" xr3:uid="{4E6241E1-7DC9-4DB4-A797-B81D0E668B8E}" uniqueName="2" name="DEAL_ID" queryTableFieldId="2"/>
    <tableColumn id="8" xr3:uid="{BEB89A4F-C020-41B4-8A2D-E45E9BD9AFA5}" uniqueName="8" name="BOND_CODE" queryTableFieldId="9" dataDxfId="125" dataCellStyle="Comma"/>
    <tableColumn id="6" xr3:uid="{C1B8E428-785C-456D-9346-B025D610D003}" uniqueName="6" name="PRODUCT_CODE" queryTableFieldId="11" dataDxfId="124" dataCellStyle="Comma"/>
    <tableColumn id="7" xr3:uid="{7D16C838-DCA9-4A30-9780-34DB2B4ECBF3}" uniqueName="7" name="DEAL_TYPE" queryTableFieldId="7" dataDxfId="123" dataCellStyle="Comma"/>
    <tableColumn id="3" xr3:uid="{A72BE5BA-696E-487F-8AA3-62E39503459F}" uniqueName="3" name="AMOUNT_RPT" queryTableFieldId="3" dataDxfId="122" dataCellStyle="Comma"/>
    <tableColumn id="4" xr3:uid="{45756F37-7303-4FEF-B706-5596486CA7E6}" uniqueName="4" name="AMOUNT_YESTERDAY" queryTableFieldId="4" dataDxfId="121" dataCellStyle="Comma"/>
    <tableColumn id="5" xr3:uid="{B2082C4E-CB94-401B-BC5D-F070851EB9EE}" uniqueName="5" name="DIFF" queryTableFieldId="13" dataDxfId="120" dataCellStyle="Comma"/>
  </tableColumns>
  <tableStyleInfo name="TableStyleLight1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CDA8523-580E-4748-B76F-5DAA4CCE87EC}" name="Dealps_deleted" displayName="Dealps_deleted" ref="AC1:AI2" tableType="queryTable" insertRow="1" totalsRowShown="0" headerRowDxfId="119" dataDxfId="118" headerRowCellStyle="Comma" dataCellStyle="Comma">
  <tableColumns count="7">
    <tableColumn id="1" xr3:uid="{DAD251F6-7E95-4F89-BD22-AEDC9610FEF1}" uniqueName="1" name="POSTED_DT" queryTableFieldId="1" dataDxfId="117" dataCellStyle="Comma"/>
    <tableColumn id="2" xr3:uid="{92E4C5BA-84C7-4B17-883F-93BF8717C0F5}" uniqueName="2" name="DEAL_ID" queryTableFieldId="2" dataDxfId="116" dataCellStyle="Comma"/>
    <tableColumn id="3" xr3:uid="{2533AAEC-F5F0-4CAC-8B84-3A74481B2B6C}" uniqueName="3" name="BOND_CODE" queryTableFieldId="3" dataDxfId="115" dataCellStyle="Comma"/>
    <tableColumn id="4" xr3:uid="{3165671E-D178-47BE-A0CA-1345D85EA650}" uniqueName="4" name="DEAL_TYPE" queryTableFieldId="4" dataDxfId="114" dataCellStyle="Comma"/>
    <tableColumn id="5" xr3:uid="{48F8755F-F26D-450C-8439-EE893854CD97}" uniqueName="5" name="FACE_AMOUNT" queryTableFieldId="5" dataDxfId="113" dataCellStyle="Comma [0]"/>
    <tableColumn id="6" xr3:uid="{F889F227-0E11-4116-BFB9-3919C22ACDD4}" uniqueName="6" name="FOLDERS_CODE" queryTableFieldId="6" dataDxfId="112" dataCellStyle="Comma"/>
    <tableColumn id="7" xr3:uid="{77F6BF7B-9057-47A8-B767-9D29F7F39080}" uniqueName="7" name="PRODUCT_CODE" queryTableFieldId="7" dataDxfId="111" dataCellStyle="Comma"/>
  </tableColumns>
  <tableStyleInfo name="TableStyleLight10"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6702DE3-705E-4D91-B7FF-4D4B8C8EDE31}" name="Dealps_MSB" displayName="Dealps_MSB" ref="BB1:BU568" tableType="queryTable" totalsRowShown="0">
  <sortState xmlns:xlrd2="http://schemas.microsoft.com/office/spreadsheetml/2017/richdata2" ref="BB2:BU568">
    <sortCondition ref="BF1:BF568"/>
  </sortState>
  <tableColumns count="20">
    <tableColumn id="1" xr3:uid="{732981A5-DE10-4AF5-9D45-7E12BDD34BF0}" uniqueName="1" name="POSTED_DT" queryTableFieldId="1" dataDxfId="110"/>
    <tableColumn id="3" xr3:uid="{E48787E8-35F7-4AE5-9053-B307EAB71F5D}" uniqueName="3" name="DEAL_ID" queryTableFieldId="3"/>
    <tableColumn id="5" xr3:uid="{6B1F6649-33D6-4C32-9CBA-ECFF31C054EE}" uniqueName="5" name="PAPER_CODE" queryTableFieldId="47" dataDxfId="109" dataCellStyle="Comma"/>
    <tableColumn id="6" xr3:uid="{18ADDD48-1A32-4A59-9019-8F75F61FC3C6}" uniqueName="6" name="CPTY_CODE_ISSUER" queryTableFieldId="6"/>
    <tableColumn id="9" xr3:uid="{ACDC04A8-2487-49FF-8FE6-C138070A7254}" uniqueName="9" name="CPTY_CODE" queryTableFieldId="9"/>
    <tableColumn id="12" xr3:uid="{DE7C5E98-54BD-4072-925B-4F72B8226CD2}" uniqueName="12" name="PRODUCT_CODE" queryTableFieldId="12"/>
    <tableColumn id="15" xr3:uid="{2669F143-34D2-4AFD-9ABE-494F57FDC8C0}" uniqueName="15" name="FOLDERS_CODE" queryTableFieldId="15"/>
    <tableColumn id="17" xr3:uid="{33397936-CED7-4E44-87D8-9872CD505BC4}" uniqueName="17" name="DEAL_TYPE" queryTableFieldId="17"/>
    <tableColumn id="18" xr3:uid="{7A2FB5B9-2E93-4B09-8666-3824D08EECE5}" uniqueName="18" name="CAPTURE_DATE" queryTableFieldId="18" dataDxfId="108"/>
    <tableColumn id="19" xr3:uid="{B41A6DD0-9D99-46E6-8D28-F64E86A97288}" uniqueName="19" name="TRADING_DATE" queryTableFieldId="19" dataDxfId="107"/>
    <tableColumn id="20" xr3:uid="{359D8EA3-969E-4CD3-A131-1B7B7D47C67E}" uniqueName="20" name="VALUE_DATE" queryTableFieldId="20" dataDxfId="106"/>
    <tableColumn id="21" xr3:uid="{F9D74A99-F5D1-49B6-9BF1-C403B67F85E9}" uniqueName="21" name="MATURITY_DATE" queryTableFieldId="21" dataDxfId="105"/>
    <tableColumn id="24" xr3:uid="{4DD80D19-C476-445E-A448-FF11B000F6F9}" uniqueName="24" name="QUANTITY" queryTableFieldId="24" dataDxfId="104" dataCellStyle="Comma"/>
    <tableColumn id="25" xr3:uid="{C0828CDF-E5C1-4C9E-9B13-4F919E0A0B71}" uniqueName="25" name="FACE_AMOUNT" queryTableFieldId="25" dataDxfId="103" dataCellStyle="Comma"/>
    <tableColumn id="26" xr3:uid="{4E83ABAB-810D-41D2-AB35-0BD15384ECAE}" uniqueName="26" name="PRICE" queryTableFieldId="26" dataDxfId="102" dataCellStyle="Comma"/>
    <tableColumn id="29" xr3:uid="{44F5E597-4D27-44FB-A126-C865EFC2EAE4}" uniqueName="29" name="ACCRUED" queryTableFieldId="29" dataDxfId="101" dataCellStyle="Comma"/>
    <tableColumn id="31" xr3:uid="{6F859684-F87F-4110-8CF1-AFD16019D768}" uniqueName="31" name="GROSS_AMOUNT" queryTableFieldId="31" dataDxfId="100" dataCellStyle="Comma"/>
    <tableColumn id="27" xr3:uid="{DE8BDE01-7D92-4300-A03C-640E7D3252A7}" uniqueName="27" name="YIELD" queryTableFieldId="27"/>
    <tableColumn id="2" xr3:uid="{0C2DB063-3890-47EC-A704-8D43B385D345}" uniqueName="2" name="TRANSACTION_STATUS" queryTableFieldId="139"/>
    <tableColumn id="4" xr3:uid="{F4D7D3EE-A904-44A4-9A60-7F669E8D1B48}" uniqueName="4" name="Check Deal đối ứng" queryTableFieldId="138" dataDxfId="99" dataCellStyle="Comma">
      <calculatedColumnFormula>_xlfn.XLOOKUP(Dealps_MSB[[#This Row],[DEAL_ID]],Ref!V:V,Ref!X:X,0,0)</calculatedColumnFormula>
    </tableColumn>
  </tableColumns>
  <tableStyleInfo name="TableStyleLight14"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56A502E-D60A-423C-BBEE-87BCBE7C30B7}" name="Dao_han" displayName="Dao_han" ref="AV1:AY2" tableType="queryTable" totalsRowShown="0">
  <tableColumns count="4">
    <tableColumn id="1" xr3:uid="{013BBAC6-CA2F-4D66-8CB7-D4FB9D51AEFB}" uniqueName="1" name="POSTED_DT" queryTableFieldId="1" dataDxfId="98"/>
    <tableColumn id="2" xr3:uid="{C80E62EA-C8DB-4100-8966-EFED9DE7AC01}" uniqueName="2" name="PAPER_CODE" queryTableFieldId="2"/>
    <tableColumn id="3" xr3:uid="{5B816155-00C6-4123-9D2A-1B29415B8B8E}" uniqueName="3" name="PRODUCT_CODE" queryTableFieldId="3"/>
    <tableColumn id="4" xr3:uid="{1B93AB8F-BAD7-42E6-BC01-19903D23C07A}" uniqueName="4" name="AMOUNT" queryTableFieldId="4" dataDxfId="97" dataCellStyle="Comma [0]"/>
  </tableColumns>
  <tableStyleInfo name="TableStyleLight10"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A93CD97-B406-4EE0-A448-A4ABB87864FE}" name="Dealps_ITB" displayName="Dealps_ITB" ref="BX1:CV2" tableType="queryTable" insertRow="1" totalsRowShown="0">
  <tableColumns count="25">
    <tableColumn id="1" xr3:uid="{7A385C38-BBBE-4F00-9173-65D45A525021}" uniqueName="1" name="BondsDeals_Id" queryTableFieldId="1"/>
    <tableColumn id="2" xr3:uid="{6A064101-5AB4-413F-AA43-B349CEE79195}" uniqueName="2" name="TradeDate" queryTableFieldId="2" dataDxfId="96"/>
    <tableColumn id="3" xr3:uid="{92412163-9DB2-4BBC-89C9-1F82B239A258}" uniqueName="3" name="SettlementDate" queryTableFieldId="3" dataDxfId="95"/>
    <tableColumn id="4" xr3:uid="{E9558D0B-1163-429F-8A5E-00F406FC1D90}" uniqueName="4" name="DealType" queryTableFieldId="4"/>
    <tableColumn id="5" xr3:uid="{6F5F38E1-C812-4C61-91A6-5B5C1B24B741}" uniqueName="5" name="Bonds_ShortName" queryTableFieldId="5"/>
    <tableColumn id="6" xr3:uid="{30B336D4-B4B6-40C0-99AE-78C81BEE4FE9}" uniqueName="6" name="Cpty_ShortName" queryTableFieldId="6"/>
    <tableColumn id="7" xr3:uid="{151FD139-206D-4606-80F8-87ED644A83D9}" uniqueName="7" name="Issuer Counterparty" queryTableFieldId="7"/>
    <tableColumn id="8" xr3:uid="{30104657-6181-4A8F-A6DB-2D16539B8430}" uniqueName="8" name="CouponRate" queryTableFieldId="8"/>
    <tableColumn id="9" xr3:uid="{DA7B47D7-B51B-4569-AC73-0FC56361EADA}" uniqueName="9" name="Yield" queryTableFieldId="9"/>
    <tableColumn id="10" xr3:uid="{61AF8C70-FFD1-4082-803D-FCDA5BBFD15C}" uniqueName="10" name="IssueDate" queryTableFieldId="10" dataDxfId="94"/>
    <tableColumn id="11" xr3:uid="{D8DBFF98-7D78-4246-87D6-A20A388A0E3C}" uniqueName="11" name="MaturityDate" queryTableFieldId="11" dataDxfId="93"/>
    <tableColumn id="12" xr3:uid="{84D335F6-7FD5-4EDC-933A-CDF10A4815E7}" uniqueName="12" name="Quantity" queryTableFieldId="12"/>
    <tableColumn id="13" xr3:uid="{1EA46B56-749A-455E-9B89-669A501F57B0}" uniqueName="13" name="FaceValue" queryTableFieldId="13"/>
    <tableColumn id="14" xr3:uid="{8810CD0C-0E50-4D94-903C-9D84D1541FE2}" uniqueName="14" name="Price" queryTableFieldId="14"/>
    <tableColumn id="15" xr3:uid="{E300AE8D-BD81-4483-8876-AF5BB9B0A914}" uniqueName="15" name="Accural" queryTableFieldId="15"/>
    <tableColumn id="16" xr3:uid="{211A4ACF-41A9-4B05-8CE2-6E7F6E5650BF}" uniqueName="16" name="GrossAmount" queryTableFieldId="16"/>
    <tableColumn id="17" xr3:uid="{A567FC52-8B21-4ADB-82A6-7FAAA8A70817}" uniqueName="17" name="ClearingModes_ShortName" queryTableFieldId="17"/>
    <tableColumn id="18" xr3:uid="{80D5BC1A-4389-43CD-997E-EDB63DBAEF5B}" uniqueName="18" name="OurCorres" queryTableFieldId="18"/>
    <tableColumn id="19" xr3:uid="{1CA65290-BE9D-4D32-924E-8A0E2AC4493F}" uniqueName="19" name="Column19" queryTableFieldId="19"/>
    <tableColumn id="20" xr3:uid="{67218070-2A94-4830-A99E-6EB6F4401CDF}" uniqueName="20" name="Column20" queryTableFieldId="20"/>
    <tableColumn id="21" xr3:uid="{738423FF-B129-47B7-A001-DD31876D5837}" uniqueName="21" name="CaptureDate" queryTableFieldId="21" dataDxfId="92"/>
    <tableColumn id="22" xr3:uid="{5A5B066D-A16D-4761-AEB5-539AF74DABEE}" uniqueName="22" name="Folders_ShortName" queryTableFieldId="22"/>
    <tableColumn id="23" xr3:uid="{D1A45A9E-E331-4429-9945-82737D09F83E}" uniqueName="23" name="BOCaptureDate" queryTableFieldId="23" dataDxfId="91"/>
    <tableColumn id="24" xr3:uid="{8AB0C1BE-F660-48DA-8DEF-F273A49C39E4}" uniqueName="24" name="LegalStatus_Id" queryTableFieldId="24"/>
    <tableColumn id="25" xr3:uid="{56979F42-4CF9-4906-8A69-C6AC6D6A9F0F}" uniqueName="25" name="NoExDividendDays" queryTableFieldId="25"/>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4544260-8D27-4EEE-AE8D-2C8DA0D11B1C}" name="Repo" displayName="Repo" ref="A1:N7" tableType="queryTable" totalsRowShown="0">
  <tableColumns count="14">
    <tableColumn id="1" xr3:uid="{B29ACD16-17A2-4838-AA8A-1CFECED7DC51}" uniqueName="1" name="POSTED_DT" queryTableFieldId="1" dataDxfId="90"/>
    <tableColumn id="2" xr3:uid="{62BD1965-91B4-4627-A426-798E7C744FE5}" uniqueName="2" name="DEAL_ID" queryTableFieldId="2"/>
    <tableColumn id="3" xr3:uid="{72B5ABD4-D457-4F5F-8FE4-171F53E53C27}" uniqueName="3" name="BOND_CODE" queryTableFieldId="3"/>
    <tableColumn id="4" xr3:uid="{1B61CEE0-42C6-4BC4-B48B-D62BE9F49239}" uniqueName="4" name="DEAL_TYPE" queryTableFieldId="4"/>
    <tableColumn id="5" xr3:uid="{16AC4DFF-91F5-4530-A06F-2F0A0ED2731B}" uniqueName="5" name="FOLDERS_CODE" queryTableFieldId="5"/>
    <tableColumn id="6" xr3:uid="{80DCD4DB-B0DC-4D91-8300-A24AF54D793D}" uniqueName="6" name="CPTY_CODE" queryTableFieldId="6"/>
    <tableColumn id="7" xr3:uid="{DC9808D7-E46D-49F3-8F54-DFA73CC5B56C}" uniqueName="7" name="CAPTURE_DATE" queryTableFieldId="7" dataDxfId="89"/>
    <tableColumn id="8" xr3:uid="{BED83F45-CFDC-4B13-8401-32DBE39CCA91}" uniqueName="8" name="TRADING_DATE" queryTableFieldId="8" dataDxfId="88"/>
    <tableColumn id="9" xr3:uid="{8CB5A031-F129-4986-9BF9-A07211F7F842}" uniqueName="9" name="VALUE_DATE" queryTableFieldId="9" dataDxfId="87"/>
    <tableColumn id="10" xr3:uid="{245EF5A1-A0BE-472C-9FA3-52B9B936102B}" uniqueName="10" name="MATURITY_DATE" queryTableFieldId="10" dataDxfId="86"/>
    <tableColumn id="11" xr3:uid="{5782B10F-7879-4E09-94DF-D8555C8E269D}" uniqueName="11" name="FACE_AMOUNT" queryTableFieldId="11" dataDxfId="85" dataCellStyle="Comma"/>
    <tableColumn id="12" xr3:uid="{25C5A11D-5186-4A36-9941-CAB3532B4A0A}" uniqueName="12" name="GLOBAL_AMOUNT" queryTableFieldId="12" dataDxfId="84" dataCellStyle="Comma"/>
    <tableColumn id="13" xr3:uid="{A953734A-F9B4-4BA8-9B74-929361AF5C26}" uniqueName="13" name="FORWARD_AMOUNT" queryTableFieldId="13" dataDxfId="83" dataCellStyle="Comma"/>
    <tableColumn id="14" xr3:uid="{0893EF4E-3C03-4388-BBA0-6209DCD6F4CC}" uniqueName="14" name="FIXED_RATE" queryTableFieldId="14"/>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87D927C-17E3-4B45-BEB1-19DD866CDC05}" name="RPBOD_B003" displayName="RPBOD_B003" ref="A1:Y92" tableType="queryTable">
  <tableColumns count="25">
    <tableColumn id="1" xr3:uid="{A4717431-FC25-43EF-AD63-D58F3FDC707C}" uniqueName="1" name="BondsDeals_Id" queryTableFieldId="1" dataDxfId="82" totalsRowDxfId="81"/>
    <tableColumn id="2" xr3:uid="{272FB4E0-0949-4C3D-9F11-1F2DB4FC43BC}" uniqueName="2" name="Folder" queryTableFieldId="2" dataDxfId="80" totalsRowDxfId="79"/>
    <tableColumn id="3" xr3:uid="{28759685-546C-42E5-ACC6-5EB40E6FCA66}" uniqueName="3" name="Bonds_ShortName" queryTableFieldId="3" dataDxfId="78" totalsRowDxfId="77"/>
    <tableColumn id="4" xr3:uid="{F7861D64-C3BC-46EB-A2C4-406C713971CE}" uniqueName="4" name="Issuer" queryTableFieldId="4" dataDxfId="76" totalsRowDxfId="75"/>
    <tableColumn id="5" xr3:uid="{04694353-04BC-412F-BA1C-18725A1C7EF1}" uniqueName="5" name="Quantity" queryTableFieldId="25" dataDxfId="74" totalsRowDxfId="73" dataCellStyle="Comma" totalsRowCellStyle="Comma"/>
    <tableColumn id="6" xr3:uid="{2812C191-00CC-4034-8AB9-774E61AEA737}" uniqueName="6" name="FaceValue" queryTableFieldId="6" dataDxfId="72" totalsRowDxfId="71" dataCellStyle="Comma" totalsRowCellStyle="Comma"/>
    <tableColumn id="7" xr3:uid="{3B2D19CE-EF77-4B8A-926C-F06397CFEC6A}" uniqueName="7" name="Face_Amount" queryTableFieldId="26" dataDxfId="70" totalsRowDxfId="69" dataCellStyle="Comma" totalsRowCellStyle="Comma"/>
    <tableColumn id="24" xr3:uid="{7F605908-3141-4C7B-9DE3-87C1E45842F5}" uniqueName="24" name="Currencies_ShortName" queryTableFieldId="35" dataDxfId="68" dataCellStyle="Comma" totalsRowCellStyle="Comma"/>
    <tableColumn id="8" xr3:uid="{7E50D908-178D-40D5-973B-67977EE82DEA}" uniqueName="8" name="Gross_Amount" queryTableFieldId="27" dataDxfId="67" totalsRowDxfId="66" totalsRowCellStyle="Comma"/>
    <tableColumn id="9" xr3:uid="{7B016C32-77F2-424A-8E28-A782666773CF}" uniqueName="9" name="ValueDate" queryTableFieldId="9" dataDxfId="65" totalsRowDxfId="64" dataCellStyle="Comma" totalsRowCellStyle="Comma"/>
    <tableColumn id="10" xr3:uid="{0684D80E-176A-4BAB-8D52-5462E040EA6C}" uniqueName="10" name="IssueDate" queryTableFieldId="10" dataDxfId="63" totalsRowDxfId="62"/>
    <tableColumn id="11" xr3:uid="{73B02FD4-2E9D-4134-A027-ABA74AEC5B02}" uniqueName="11" name="FirstCouponDate" queryTableFieldId="11" dataDxfId="61" totalsRowDxfId="60"/>
    <tableColumn id="12" xr3:uid="{9EDB0939-CBC1-41DF-8FB7-ED9F9901A014}" uniqueName="12" name="MaturityDate" queryTableFieldId="12" dataDxfId="59" totalsRowDxfId="58"/>
    <tableColumn id="13" xr3:uid="{7F5ABD5B-BB74-49B8-A6FA-79291DE0EA8F}" uniqueName="13" name="TenorBond" queryTableFieldId="13" dataDxfId="57" totalsRowDxfId="56"/>
    <tableColumn id="14" xr3:uid="{7630F340-5B0B-4024-92C3-EC709DFED8B4}" uniqueName="14" name="FirstCouponRate" queryTableFieldId="14" dataDxfId="55" totalsRowDxfId="54"/>
    <tableColumn id="15" xr3:uid="{BCAEB273-01B5-4C33-BCD7-DF170A1619F8}" uniqueName="15" name="ThisCouponRate" queryTableFieldId="15" dataDxfId="53" totalsRowDxfId="52"/>
    <tableColumn id="16" xr3:uid="{22FFA824-0C4E-40DB-B601-7395C078D66A}" uniqueName="16" name="Discount" queryTableFieldId="16" dataDxfId="51" totalsRowDxfId="50" dataCellStyle="Comma" totalsRowCellStyle="Comma"/>
    <tableColumn id="17" xr3:uid="{4CD89533-E365-4057-85B3-E05D4671E201}" uniqueName="17" name="Premium" queryTableFieldId="17" dataDxfId="49" totalsRowDxfId="48" dataCellStyle="Comma" totalsRowCellStyle="Comma"/>
    <tableColumn id="18" xr3:uid="{D0D0BD1D-A179-456D-8117-6E588116635B}" uniqueName="18" name="Discount_Remain" queryTableFieldId="18" dataDxfId="47" totalsRowDxfId="46" dataCellStyle="Comma" totalsRowCellStyle="Comma"/>
    <tableColumn id="19" xr3:uid="{4DA5442E-774F-4E7C-88FE-79118105D9A1}" uniqueName="19" name="Premium_Remain" queryTableFieldId="19" dataDxfId="45" totalsRowDxfId="44" dataCellStyle="Comma" totalsRowCellStyle="Comma"/>
    <tableColumn id="20" xr3:uid="{F43A95F3-8579-4CBE-BC39-0B4E8686FD9D}" uniqueName="20" name="ValueDate_Accred" queryTableFieldId="20" dataDxfId="43" totalsRowDxfId="42" dataCellStyle="Comma" totalsRowCellStyle="Comma"/>
    <tableColumn id="21" xr3:uid="{48442C52-EC0F-4111-B0FB-015BA755FD48}" uniqueName="21" name="Accr" queryTableFieldId="21" dataDxfId="41" totalsRowDxfId="40" dataCellStyle="Comma" totalsRowCellStyle="Comma"/>
    <tableColumn id="22" xr3:uid="{AD647BAB-27A7-4666-9AF7-E81C23585AB4}" uniqueName="22" name="TypeOfInstr_ShortName" queryTableFieldId="22" dataDxfId="39" totalsRowDxfId="38"/>
    <tableColumn id="23" xr3:uid="{44872651-C27D-4F07-8275-D4A53DD8A453}" uniqueName="23" name="Yield*Amount" queryTableFieldId="33" dataDxfId="37" totalsRowDxfId="36" dataCellStyle="Comma" totalsRowCellStyle="Comma">
      <calculatedColumnFormula>_xlfn.XLOOKUP(RPBOD_B003[[#This Row],[BondsDeals_Id]],AllDealps!B:B,AllDealps!R:R,,0)*RPBOD_B003[[#This Row],[Face_Amount]]</calculatedColumnFormula>
    </tableColumn>
    <tableColumn id="25" xr3:uid="{68F946C6-EDC4-4017-A839-D2AA8D6B7FEB}" uniqueName="25" name="Coupon*Amount" queryTableFieldId="34" dataDxfId="35" totalsRowDxfId="34" dataCellStyle="Comma" totalsRowCellStyle="Comma">
      <calculatedColumnFormula>RPBOD_B003[[#This Row],[Face_Amount]]*RPBOD_B003[[#This Row],[ThisCouponRate]]</calculatedColumnFormula>
    </tableColumn>
  </tableColumns>
  <tableStyleInfo name="TableStyleLight14"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DEA1BA1-CD55-41DB-806F-DFBD8B11F826}" name="Portfolio_rating" displayName="Portfolio_rating" ref="A1:G24" tableType="queryTable" totalsRowCount="1" headerRowDxfId="31" dataDxfId="29" totalsRowDxfId="27" headerRowBorderDxfId="30" tableBorderDxfId="28">
  <tableColumns count="7">
    <tableColumn id="1" xr3:uid="{F8B66DAD-B08D-47AB-854B-C5BFE727D347}" uniqueName="1" name="Issuer" totalsRowLabel="Total" queryTableFieldId="12" dataDxfId="26" totalsRowDxfId="25"/>
    <tableColumn id="2" xr3:uid="{CFD492FE-CDB3-428D-8332-88BEAA5046CD}" uniqueName="2" name="Total Amount" totalsRowFunction="sum" queryTableFieldId="13" dataDxfId="24" totalsRowDxfId="23" dataCellStyle="Comma [0]"/>
    <tableColumn id="3" xr3:uid="{59B73BF4-8645-44E2-BE70-411095C72473}" uniqueName="3" name="Rating" queryTableFieldId="3" dataDxfId="22" totalsRowDxfId="21"/>
    <tableColumn id="4" xr3:uid="{3E32CBDC-BEEB-48BC-ADAF-9D40C398ADB9}" uniqueName="4" name="Review Date" queryTableFieldId="4" dataDxfId="20" totalsRowDxfId="19"/>
    <tableColumn id="5" xr3:uid="{ADB4D7E3-AD83-42AC-B824-DFABA0A0C015}" uniqueName="5" name="Fitch Rating" queryTableFieldId="16" dataDxfId="18" totalsRowDxfId="17"/>
    <tableColumn id="6" xr3:uid="{7A174CB9-049F-4E6C-A17C-1BED1DAA92D1}" uniqueName="6" name="Moody Rating" queryTableFieldId="17" dataDxfId="16" totalsRowDxfId="15"/>
    <tableColumn id="7" xr3:uid="{4A0771D6-58CF-4F02-8AA6-87B075CAA2C9}" uniqueName="7" name="S&amp;P Rating" queryTableFieldId="18" dataDxfId="14" totalsRowDxfId="13"/>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D0B1317-4D86-48D4-B7ED-3F40A8ADF1D1}" name="DataTT_ps" displayName="DataTT_ps" ref="A1:M147" tableType="queryTable" totalsRowShown="0">
  <autoFilter ref="A1:M147" xr:uid="{FD0B1317-4D86-48D4-B7ED-3F40A8ADF1D1}">
    <filterColumn colId="12">
      <filters blank="1"/>
    </filterColumn>
  </autoFilter>
  <tableColumns count="13">
    <tableColumn id="1" xr3:uid="{3839099A-2ABF-4040-BFAB-7BE168FA9185}" uniqueName="1" name="TCPH" queryTableFieldId="1" dataDxfId="12"/>
    <tableColumn id="2" xr3:uid="{F7E41A44-1F83-4C4B-B1D4-EA771FD856C8}" uniqueName="2" name="Ngành" queryTableFieldId="2" dataDxfId="11"/>
    <tableColumn id="3" xr3:uid="{6E1F6AD5-3038-4DDF-A8C9-51F884B5891E}" uniqueName="3" name="Mã GD" queryTableFieldId="3" dataDxfId="10"/>
    <tableColumn id="4" xr3:uid="{3CB02E36-3BF9-4706-84BC-3682C10014F3}" uniqueName="4" name="Kỳ hạn còn lại" queryTableFieldId="16" dataDxfId="9" dataCellStyle="Comma"/>
    <tableColumn id="5" xr3:uid="{61950FAE-61DF-4AD8-8745-1B8DB4F7935B}" uniqueName="5" name="Giá TH gần nhất" queryTableFieldId="5" dataDxfId="8" dataCellStyle="Comma"/>
    <tableColumn id="6" xr3:uid="{C04866F2-8D18-4067-909B-88DB92365FB6}" uniqueName="6" name="KLTH gần nhất" queryTableFieldId="6" dataDxfId="7" dataCellStyle="Comma"/>
    <tableColumn id="7" xr3:uid="{BE932177-FF75-401F-B33C-6895A601782D}" uniqueName="7" name="Giá TH cao nhất" queryTableFieldId="7" dataDxfId="6" dataCellStyle="Comma"/>
    <tableColumn id="8" xr3:uid="{7735DD3A-AB15-495E-B11B-4BF3991E7A2A}" uniqueName="8" name="KL TH tại mức giá cao nhất" queryTableFieldId="8" dataDxfId="5" dataCellStyle="Comma"/>
    <tableColumn id="9" xr3:uid="{89B32318-8075-461D-A69F-E597D98D9F03}" uniqueName="9" name="Giá TH thấp nhất" queryTableFieldId="9" dataDxfId="4" dataCellStyle="Comma"/>
    <tableColumn id="10" xr3:uid="{8F3ECD23-0E93-4910-848D-6100FAE22091}" uniqueName="10" name="KL TH tại mức giá thấp nhất" queryTableFieldId="10" dataDxfId="3" dataCellStyle="Comma"/>
    <tableColumn id="11" xr3:uid="{6DF38C70-25F0-4D12-8CC8-AF5E396D5E9F}" uniqueName="11" name="KLGD" queryTableFieldId="11" dataDxfId="2" dataCellStyle="Comma"/>
    <tableColumn id="12" xr3:uid="{25B6F970-360B-43CA-AB65-781F8156FD56}" uniqueName="12" name="GTGD (VNĐ)" queryTableFieldId="12" dataDxfId="1" dataCellStyle="Comma"/>
    <tableColumn id="13" xr3:uid="{78D71C86-3C66-419C-914C-2D4EF96F99B9}" uniqueName="13" name="Phân loại" queryTableFieldId="13" dataDxfId="0" dataCellStyle="Comma">
      <calculatedColumnFormula>_xlfn.IFNA(VLOOKUP(DataTT_ps[[#This Row],[TCPH]],Ref!F:H,3,0),"")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file:///C:\02.Trung%20Tam%20QLRR%20Thi%20Truong\02.Phong%20GSRRTT\09.Tuong%20tac%20voi%20FO\LogIssues\2025.10.24_Thong%20nhat%20DCM,%20MR%20voi%20cac%20giao%20dich%20loai%20tru%20khoi%20trang%20thai%20rui%20ro\Thong%20nhat%20nguyen%20tac%20phoi%20hop%20DCM%20va%20QLRR%20voi%20cac%20giao%20dich%20can%20loai%20tru%20khoi%20trang%20thai%20rui%20ro.ms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file:///C:\Users\lampd3\AppData\Roaming\thaottp14\AppData\03.%20Input_data\Thong%20ke%20GD%20FIBond" TargetMode="External"/><Relationship Id="rId7" Type="http://schemas.openxmlformats.org/officeDocument/2006/relationships/comments" Target="../comments1.xml"/><Relationship Id="rId2" Type="http://schemas.openxmlformats.org/officeDocument/2006/relationships/hyperlink" Target="file:///C:\Users\lampd3\AppData\Roaming\Capital%20charge\Input_data\MR10%20-%20Reconcile%20(All).csv" TargetMode="External"/><Relationship Id="rId1" Type="http://schemas.openxmlformats.org/officeDocument/2006/relationships/hyperlink" Target="file:///C:\Users\lampd3\AppData\03.Phong%20QLRRTK\Daily%20Report\LR_2025.01.20\MCO%20Report" TargetMode="External"/><Relationship Id="rId6" Type="http://schemas.openxmlformats.org/officeDocument/2006/relationships/table" Target="../tables/table2.xml"/><Relationship Id="rId5" Type="http://schemas.openxmlformats.org/officeDocument/2006/relationships/vmlDrawing" Target="../drawings/vmlDrawing1.v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5.bin"/><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6.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table" Target="../tables/table15.xml"/><Relationship Id="rId4" Type="http://schemas.openxmlformats.org/officeDocument/2006/relationships/table" Target="../tables/table18.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4.xml"/><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 Id="rId9"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D4D67-D9A5-43D6-B6A6-B273D9D1FCE6}">
  <sheetPr codeName="Sheet14"/>
  <dimension ref="A1:C18"/>
  <sheetViews>
    <sheetView workbookViewId="0">
      <pane ySplit="1" topLeftCell="A2" activePane="bottomLeft" state="frozen"/>
      <selection pane="bottomLeft" activeCell="H29" sqref="H29"/>
    </sheetView>
  </sheetViews>
  <sheetFormatPr defaultRowHeight="14.4" x14ac:dyDescent="0.3"/>
  <cols>
    <col min="1" max="1" width="15" bestFit="1" customWidth="1"/>
    <col min="2" max="2" width="50.69921875" customWidth="1"/>
  </cols>
  <sheetData>
    <row r="1" spans="1:3" s="19" customFormat="1" x14ac:dyDescent="0.3">
      <c r="A1" s="19" t="s">
        <v>567</v>
      </c>
      <c r="B1" s="19" t="s">
        <v>568</v>
      </c>
    </row>
    <row r="2" spans="1:3" x14ac:dyDescent="0.3">
      <c r="A2" t="s">
        <v>569</v>
      </c>
      <c r="B2" t="s">
        <v>570</v>
      </c>
      <c r="C2" t="s">
        <v>9</v>
      </c>
    </row>
    <row r="3" spans="1:3" x14ac:dyDescent="0.3">
      <c r="A3" t="s">
        <v>571</v>
      </c>
      <c r="B3" t="s">
        <v>572</v>
      </c>
      <c r="C3" t="s">
        <v>9</v>
      </c>
    </row>
    <row r="4" spans="1:3" x14ac:dyDescent="0.3">
      <c r="A4" t="s">
        <v>468</v>
      </c>
      <c r="B4" t="s">
        <v>613</v>
      </c>
      <c r="C4" t="s">
        <v>9</v>
      </c>
    </row>
    <row r="5" spans="1:3" x14ac:dyDescent="0.3">
      <c r="A5" t="s">
        <v>302</v>
      </c>
      <c r="B5" t="s">
        <v>575</v>
      </c>
      <c r="C5" t="s">
        <v>9</v>
      </c>
    </row>
    <row r="6" spans="1:3" x14ac:dyDescent="0.3">
      <c r="A6" t="s">
        <v>348</v>
      </c>
      <c r="B6" t="s">
        <v>614</v>
      </c>
      <c r="C6" t="s">
        <v>9</v>
      </c>
    </row>
    <row r="7" spans="1:3" x14ac:dyDescent="0.3">
      <c r="A7" t="s">
        <v>365</v>
      </c>
      <c r="B7" t="s">
        <v>576</v>
      </c>
      <c r="C7" t="s">
        <v>9</v>
      </c>
    </row>
    <row r="8" spans="1:3" x14ac:dyDescent="0.3">
      <c r="A8" t="s">
        <v>266</v>
      </c>
      <c r="B8" t="s">
        <v>615</v>
      </c>
      <c r="C8" t="s">
        <v>9</v>
      </c>
    </row>
    <row r="9" spans="1:3" x14ac:dyDescent="0.3">
      <c r="A9" t="s">
        <v>573</v>
      </c>
      <c r="B9" t="s">
        <v>616</v>
      </c>
      <c r="C9" t="s">
        <v>9</v>
      </c>
    </row>
    <row r="10" spans="1:3" x14ac:dyDescent="0.3">
      <c r="A10" t="s">
        <v>574</v>
      </c>
      <c r="B10" t="s">
        <v>617</v>
      </c>
      <c r="C10" t="s">
        <v>9</v>
      </c>
    </row>
    <row r="11" spans="1:3" x14ac:dyDescent="0.3">
      <c r="A11" t="s">
        <v>352</v>
      </c>
      <c r="B11" t="s">
        <v>618</v>
      </c>
      <c r="C11" t="s">
        <v>9</v>
      </c>
    </row>
    <row r="12" spans="1:3" x14ac:dyDescent="0.3">
      <c r="A12" t="s">
        <v>349</v>
      </c>
      <c r="B12" t="s">
        <v>577</v>
      </c>
      <c r="C12" t="s">
        <v>9</v>
      </c>
    </row>
    <row r="13" spans="1:3" x14ac:dyDescent="0.3">
      <c r="A13" t="s">
        <v>580</v>
      </c>
      <c r="B13" t="s">
        <v>581</v>
      </c>
      <c r="C13" t="s">
        <v>9</v>
      </c>
    </row>
    <row r="14" spans="1:3" x14ac:dyDescent="0.3">
      <c r="A14" t="s">
        <v>590</v>
      </c>
      <c r="B14" t="s">
        <v>619</v>
      </c>
      <c r="C14" t="s">
        <v>9</v>
      </c>
    </row>
    <row r="15" spans="1:3" x14ac:dyDescent="0.3">
      <c r="A15" t="s">
        <v>390</v>
      </c>
      <c r="B15" t="s">
        <v>620</v>
      </c>
      <c r="C15" t="s">
        <v>9</v>
      </c>
    </row>
    <row r="16" spans="1:3" x14ac:dyDescent="0.3">
      <c r="A16" t="s">
        <v>582</v>
      </c>
      <c r="B16" t="s">
        <v>621</v>
      </c>
      <c r="C16" t="s">
        <v>9</v>
      </c>
    </row>
    <row r="17" spans="1:3" x14ac:dyDescent="0.3">
      <c r="A17" t="s">
        <v>578</v>
      </c>
      <c r="B17" t="s">
        <v>579</v>
      </c>
      <c r="C17" t="s">
        <v>9</v>
      </c>
    </row>
    <row r="18" spans="1:3" x14ac:dyDescent="0.3">
      <c r="A18" t="s">
        <v>622</v>
      </c>
      <c r="B18" t="s">
        <v>623</v>
      </c>
      <c r="C18" t="s">
        <v>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5489-2D60-4423-8787-49DA23F94D4A}">
  <sheetPr codeName="Sheet1"/>
  <dimension ref="A1:AC34702"/>
  <sheetViews>
    <sheetView showGridLines="0" topLeftCell="Q1" workbookViewId="0">
      <pane ySplit="1" topLeftCell="A2" activePane="bottomLeft" state="frozen"/>
      <selection pane="bottomLeft" activeCell="AA2" sqref="AA2:AC39"/>
    </sheetView>
  </sheetViews>
  <sheetFormatPr defaultColWidth="9.09765625" defaultRowHeight="14.4" x14ac:dyDescent="0.3"/>
  <cols>
    <col min="1" max="1" width="9.09765625" style="71"/>
    <col min="2" max="2" width="9.3984375" style="71" bestFit="1" customWidth="1"/>
    <col min="3" max="3" width="10.69921875" style="71" bestFit="1" customWidth="1"/>
    <col min="4" max="4" width="13.3984375" style="71" bestFit="1" customWidth="1"/>
    <col min="5" max="5" width="9.09765625" style="71"/>
    <col min="6" max="6" width="32.59765625" style="71" customWidth="1"/>
    <col min="7" max="7" width="23.8984375" style="71" bestFit="1" customWidth="1"/>
    <col min="8" max="8" width="9.09765625" style="15"/>
    <col min="9" max="9" width="9.09765625" style="71"/>
    <col min="10" max="10" width="13.09765625" style="76" bestFit="1" customWidth="1"/>
    <col min="11" max="11" width="10.69921875" style="318" bestFit="1" customWidth="1"/>
    <col min="12" max="12" width="9.09765625" style="71"/>
    <col min="13" max="13" width="12.09765625" style="71" bestFit="1" customWidth="1"/>
    <col min="14" max="14" width="14.09765625" style="71" bestFit="1" customWidth="1"/>
    <col min="15" max="15" width="17.69921875" style="71" bestFit="1" customWidth="1"/>
    <col min="16" max="16" width="6.296875" style="71" bestFit="1" customWidth="1"/>
    <col min="17" max="18" width="18" style="202" bestFit="1" customWidth="1"/>
    <col min="19" max="19" width="18" style="423" customWidth="1"/>
    <col min="20" max="20" width="18.69921875" style="202" bestFit="1" customWidth="1"/>
    <col min="21" max="21" width="9.09765625" style="71"/>
    <col min="22" max="22" width="14.09765625" style="71" bestFit="1" customWidth="1"/>
    <col min="23" max="23" width="17.69921875" style="71" bestFit="1" customWidth="1"/>
    <col min="24" max="24" width="18" style="202" bestFit="1" customWidth="1"/>
    <col min="25" max="26" width="9.09765625" style="71"/>
    <col min="27" max="27" width="9.796875" style="71" bestFit="1" customWidth="1"/>
    <col min="28" max="28" width="11.3984375" style="71" bestFit="1" customWidth="1"/>
    <col min="29" max="29" width="11.8984375" style="71" bestFit="1" customWidth="1"/>
    <col min="30" max="16384" width="9.09765625" style="71"/>
  </cols>
  <sheetData>
    <row r="1" spans="1:29" x14ac:dyDescent="0.3">
      <c r="A1" s="173" t="s">
        <v>291</v>
      </c>
      <c r="B1" s="173" t="s">
        <v>292</v>
      </c>
      <c r="C1" s="173" t="s">
        <v>293</v>
      </c>
      <c r="D1" s="173" t="s">
        <v>294</v>
      </c>
      <c r="F1" s="173" t="s">
        <v>65</v>
      </c>
      <c r="G1" s="173" t="s">
        <v>556</v>
      </c>
      <c r="H1" s="319" t="s">
        <v>554</v>
      </c>
      <c r="J1" s="173" t="s">
        <v>633</v>
      </c>
      <c r="K1" s="319" t="s">
        <v>634</v>
      </c>
      <c r="M1" s="13" t="s">
        <v>985</v>
      </c>
      <c r="N1" s="173" t="s">
        <v>366</v>
      </c>
      <c r="O1" s="173" t="s">
        <v>368</v>
      </c>
      <c r="P1" s="173" t="s">
        <v>267</v>
      </c>
      <c r="Q1" s="200" t="s">
        <v>980</v>
      </c>
      <c r="R1" s="200" t="s">
        <v>1241</v>
      </c>
      <c r="S1" s="421" t="s">
        <v>1242</v>
      </c>
      <c r="T1" s="208" t="s">
        <v>986</v>
      </c>
      <c r="U1" s="169" t="s">
        <v>987</v>
      </c>
      <c r="V1" s="173" t="s">
        <v>366</v>
      </c>
      <c r="W1" s="173" t="s">
        <v>368</v>
      </c>
      <c r="X1" s="200" t="s">
        <v>980</v>
      </c>
      <c r="Z1" s="13" t="s">
        <v>1432</v>
      </c>
      <c r="AA1" t="s">
        <v>1433</v>
      </c>
      <c r="AB1" t="s">
        <v>421</v>
      </c>
      <c r="AC1" t="s">
        <v>511</v>
      </c>
    </row>
    <row r="2" spans="1:29" x14ac:dyDescent="0.3">
      <c r="A2" s="72">
        <v>0</v>
      </c>
      <c r="B2" s="72">
        <v>0.4</v>
      </c>
      <c r="C2" s="72" t="s">
        <v>270</v>
      </c>
      <c r="D2" s="72">
        <v>90</v>
      </c>
      <c r="F2" s="75" t="s">
        <v>85</v>
      </c>
      <c r="G2" s="75" t="s">
        <v>86</v>
      </c>
      <c r="H2" s="414" t="str">
        <f t="shared" ref="H2:H65" si="0">IF(OR(G2="TÀI CHÍNH",G2="NGÂN HÀNG",G2="CHỨNG KHOÁN"),"FI BOND","Others")</f>
        <v>Others</v>
      </c>
      <c r="J2" s="76">
        <v>45989</v>
      </c>
      <c r="K2" s="318">
        <f>J3-J2</f>
        <v>3</v>
      </c>
      <c r="N2" s="83">
        <v>3005</v>
      </c>
      <c r="O2" s="75" t="s">
        <v>1064</v>
      </c>
      <c r="P2" s="75" t="str">
        <f>_xlfn.XLOOKUP(N2,AllDealps!B:B,AllDealps!D:D,,0)</f>
        <v>OCBV</v>
      </c>
      <c r="Q2" s="201">
        <v>1000000000000</v>
      </c>
      <c r="R2" s="201">
        <v>1000000000000</v>
      </c>
      <c r="S2" s="424">
        <f>_xlfn.XLOOKUP(O2,FNRP!AS:AS,FNRP!AV:AV,,0)</f>
        <v>46350</v>
      </c>
      <c r="U2" s="209"/>
      <c r="V2" s="75">
        <v>1965</v>
      </c>
      <c r="W2" s="75" t="s">
        <v>981</v>
      </c>
      <c r="X2" s="201">
        <v>700000000000</v>
      </c>
      <c r="AA2" s="20">
        <v>46262</v>
      </c>
      <c r="AB2" t="s">
        <v>1536</v>
      </c>
      <c r="AC2">
        <v>35538.802649999998</v>
      </c>
    </row>
    <row r="3" spans="1:29" x14ac:dyDescent="0.3">
      <c r="A3" s="72">
        <v>0.4</v>
      </c>
      <c r="B3" s="72">
        <v>0.75</v>
      </c>
      <c r="C3" s="72" t="s">
        <v>271</v>
      </c>
      <c r="D3" s="72">
        <v>180</v>
      </c>
      <c r="F3" s="75" t="s">
        <v>87</v>
      </c>
      <c r="G3" s="75" t="s">
        <v>88</v>
      </c>
      <c r="H3" s="414" t="str">
        <f t="shared" si="0"/>
        <v>Others</v>
      </c>
      <c r="J3" s="76">
        <v>45992</v>
      </c>
      <c r="K3" s="318">
        <f>J4-J3</f>
        <v>1</v>
      </c>
      <c r="N3" s="83">
        <v>3004</v>
      </c>
      <c r="O3" s="75" t="s">
        <v>1064</v>
      </c>
      <c r="P3" s="75" t="s">
        <v>324</v>
      </c>
      <c r="Q3" s="201">
        <v>1000000000000</v>
      </c>
      <c r="R3" s="201">
        <v>1000000000000</v>
      </c>
      <c r="S3" s="424">
        <f>_xlfn.XLOOKUP(O3,FNRP!AS:AS,FNRP!AV:AV,,0)</f>
        <v>46350</v>
      </c>
      <c r="U3" s="209"/>
      <c r="V3" s="75">
        <v>1966</v>
      </c>
      <c r="W3" s="75" t="s">
        <v>981</v>
      </c>
      <c r="X3" s="201">
        <v>700000000000</v>
      </c>
      <c r="AA3" s="20">
        <v>46262</v>
      </c>
      <c r="AB3" t="s">
        <v>1537</v>
      </c>
      <c r="AC3">
        <v>26073</v>
      </c>
    </row>
    <row r="4" spans="1:29" x14ac:dyDescent="0.3">
      <c r="A4" s="72">
        <v>0.75</v>
      </c>
      <c r="B4" s="72">
        <v>1.5</v>
      </c>
      <c r="C4" s="72" t="s">
        <v>273</v>
      </c>
      <c r="D4" s="72">
        <v>365</v>
      </c>
      <c r="F4" s="75" t="s">
        <v>93</v>
      </c>
      <c r="G4" s="75" t="s">
        <v>78</v>
      </c>
      <c r="H4" s="414" t="str">
        <f t="shared" si="0"/>
        <v>FI BOND</v>
      </c>
      <c r="J4" s="76">
        <v>45993</v>
      </c>
      <c r="K4" s="318">
        <f>J5-J4</f>
        <v>1</v>
      </c>
      <c r="N4" s="83"/>
      <c r="O4" s="75" t="s">
        <v>1262</v>
      </c>
      <c r="P4" s="75" t="s">
        <v>318</v>
      </c>
      <c r="Q4" s="201">
        <v>2000000000000</v>
      </c>
      <c r="R4" s="201">
        <v>2000000000000</v>
      </c>
      <c r="S4" s="424">
        <f>_xlfn.XLOOKUP(O4,FNRP_FIbond[Short Name],FNRP_FIbond[Mat. Date],0)</f>
        <v>46498</v>
      </c>
      <c r="U4" s="209"/>
      <c r="V4" s="75">
        <v>1954</v>
      </c>
      <c r="W4" s="75" t="s">
        <v>982</v>
      </c>
      <c r="X4" s="201">
        <v>500000000000</v>
      </c>
      <c r="AA4" s="20">
        <v>46262</v>
      </c>
      <c r="AB4" t="s">
        <v>1538</v>
      </c>
      <c r="AC4">
        <v>164.00175000000002</v>
      </c>
    </row>
    <row r="5" spans="1:29" x14ac:dyDescent="0.3">
      <c r="A5" s="72">
        <f>B4</f>
        <v>1.5</v>
      </c>
      <c r="B5" s="72">
        <f>B4+1</f>
        <v>2.5</v>
      </c>
      <c r="C5" s="72" t="s">
        <v>277</v>
      </c>
      <c r="D5" s="72">
        <v>730</v>
      </c>
      <c r="F5" s="75" t="s">
        <v>114</v>
      </c>
      <c r="G5" s="75" t="s">
        <v>88</v>
      </c>
      <c r="H5" s="414" t="str">
        <f t="shared" si="0"/>
        <v>Others</v>
      </c>
      <c r="J5" s="76">
        <v>45994</v>
      </c>
      <c r="K5" s="318">
        <f>J6-J5</f>
        <v>1</v>
      </c>
      <c r="N5" s="83"/>
      <c r="O5" s="75" t="s">
        <v>1274</v>
      </c>
      <c r="P5" s="75" t="s">
        <v>318</v>
      </c>
      <c r="Q5" s="201">
        <v>1000000000000</v>
      </c>
      <c r="R5" s="201">
        <v>1000000000000</v>
      </c>
      <c r="S5" s="424">
        <f>_xlfn.XLOOKUP(O5,FNRP_FIbond[Short Name],FNRP_FIbond[Mat. Date],0)</f>
        <v>46520</v>
      </c>
      <c r="U5" s="209"/>
      <c r="V5" s="75">
        <v>1955</v>
      </c>
      <c r="W5" s="75" t="s">
        <v>982</v>
      </c>
      <c r="X5" s="201">
        <v>500000000000</v>
      </c>
      <c r="AA5" s="20">
        <v>46262</v>
      </c>
      <c r="AB5" t="s">
        <v>1539</v>
      </c>
      <c r="AC5">
        <v>18723.0213</v>
      </c>
    </row>
    <row r="6" spans="1:29" x14ac:dyDescent="0.3">
      <c r="A6" s="72">
        <f t="shared" ref="A6:A13" si="1">B5</f>
        <v>2.5</v>
      </c>
      <c r="B6" s="72">
        <f>B5+1</f>
        <v>3.5</v>
      </c>
      <c r="C6" s="72" t="s">
        <v>281</v>
      </c>
      <c r="D6" s="72">
        <v>1095</v>
      </c>
      <c r="F6" s="75" t="s">
        <v>139</v>
      </c>
      <c r="G6" s="75" t="s">
        <v>80</v>
      </c>
      <c r="H6" s="414" t="str">
        <f t="shared" si="0"/>
        <v>Others</v>
      </c>
      <c r="J6" s="76">
        <v>45995</v>
      </c>
      <c r="K6" s="318">
        <f>J7-J6</f>
        <v>1</v>
      </c>
      <c r="N6" s="83"/>
      <c r="O6" s="75" t="s">
        <v>1071</v>
      </c>
      <c r="P6" s="75" t="s">
        <v>328</v>
      </c>
      <c r="Q6" s="201">
        <v>1500000000000</v>
      </c>
      <c r="R6" s="201">
        <v>1500000000000</v>
      </c>
      <c r="S6" s="424">
        <f>_xlfn.XLOOKUP(O6,FNRP!AS:AS,FNRP!AV:AV,,0)</f>
        <v>46352</v>
      </c>
      <c r="U6" s="209"/>
      <c r="V6" s="75">
        <v>1979</v>
      </c>
      <c r="W6" s="75" t="s">
        <v>983</v>
      </c>
      <c r="X6" s="201">
        <v>1000000000000</v>
      </c>
      <c r="AA6" s="20">
        <v>46262</v>
      </c>
      <c r="AB6" t="s">
        <v>1540</v>
      </c>
      <c r="AC6">
        <v>32453.325400000002</v>
      </c>
    </row>
    <row r="7" spans="1:29" x14ac:dyDescent="0.3">
      <c r="A7" s="72">
        <f t="shared" si="1"/>
        <v>3.5</v>
      </c>
      <c r="B7" s="72">
        <f>B6+1</f>
        <v>4.5</v>
      </c>
      <c r="C7" s="72" t="s">
        <v>282</v>
      </c>
      <c r="D7" s="72">
        <v>1460</v>
      </c>
      <c r="F7" s="75" t="s">
        <v>97</v>
      </c>
      <c r="G7" s="75" t="s">
        <v>80</v>
      </c>
      <c r="H7" s="414" t="str">
        <f t="shared" si="0"/>
        <v>Others</v>
      </c>
      <c r="J7" s="76">
        <v>45996</v>
      </c>
      <c r="K7" s="318">
        <v>1</v>
      </c>
      <c r="S7" s="422"/>
      <c r="U7" s="209"/>
      <c r="V7" s="75">
        <v>1945</v>
      </c>
      <c r="W7" s="75" t="s">
        <v>984</v>
      </c>
      <c r="X7" s="201">
        <v>800000000000</v>
      </c>
      <c r="AA7" s="20">
        <v>46262</v>
      </c>
      <c r="AB7" t="s">
        <v>1541</v>
      </c>
      <c r="AC7">
        <v>18805.5828</v>
      </c>
    </row>
    <row r="8" spans="1:29" x14ac:dyDescent="0.3">
      <c r="A8" s="72">
        <f t="shared" si="1"/>
        <v>4.5</v>
      </c>
      <c r="B8" s="72">
        <f>B7+1</f>
        <v>5.5</v>
      </c>
      <c r="C8" s="72" t="s">
        <v>283</v>
      </c>
      <c r="D8" s="72">
        <v>1825</v>
      </c>
      <c r="F8" s="75" t="s">
        <v>103</v>
      </c>
      <c r="G8" s="75" t="s">
        <v>88</v>
      </c>
      <c r="H8" s="414" t="str">
        <f t="shared" si="0"/>
        <v>Others</v>
      </c>
      <c r="J8" s="76">
        <v>45999</v>
      </c>
      <c r="K8" s="318">
        <f t="shared" ref="K8:K71" si="2">J9-J8</f>
        <v>1</v>
      </c>
      <c r="S8" s="422"/>
      <c r="U8" s="209"/>
      <c r="V8" s="75">
        <v>1946</v>
      </c>
      <c r="W8" s="75" t="s">
        <v>984</v>
      </c>
      <c r="X8" s="201">
        <v>700000000000</v>
      </c>
      <c r="AA8" s="20">
        <v>46262</v>
      </c>
      <c r="AB8" t="s">
        <v>1542</v>
      </c>
      <c r="AC8">
        <v>30435.012900000002</v>
      </c>
    </row>
    <row r="9" spans="1:29" x14ac:dyDescent="0.3">
      <c r="A9" s="72">
        <f t="shared" si="1"/>
        <v>5.5</v>
      </c>
      <c r="B9" s="72">
        <f>B8+2</f>
        <v>7.5</v>
      </c>
      <c r="C9" s="72" t="s">
        <v>284</v>
      </c>
      <c r="D9" s="72">
        <v>2555</v>
      </c>
      <c r="F9" s="75" t="s">
        <v>127</v>
      </c>
      <c r="G9" s="75" t="s">
        <v>80</v>
      </c>
      <c r="H9" s="414" t="str">
        <f t="shared" si="0"/>
        <v>Others</v>
      </c>
      <c r="J9" s="76">
        <v>46000</v>
      </c>
      <c r="K9" s="318">
        <f t="shared" si="2"/>
        <v>1</v>
      </c>
      <c r="S9" s="422"/>
      <c r="U9" s="209"/>
      <c r="V9" s="75">
        <v>1952</v>
      </c>
      <c r="W9" s="75" t="s">
        <v>982</v>
      </c>
      <c r="X9" s="201">
        <v>500000000000</v>
      </c>
      <c r="AA9" s="20">
        <v>46262</v>
      </c>
      <c r="AB9" t="s">
        <v>1543</v>
      </c>
      <c r="AC9">
        <v>3326.0407999999998</v>
      </c>
    </row>
    <row r="10" spans="1:29" x14ac:dyDescent="0.3">
      <c r="A10" s="72">
        <f t="shared" si="1"/>
        <v>7.5</v>
      </c>
      <c r="B10" s="72">
        <f>B9+3</f>
        <v>10.5</v>
      </c>
      <c r="C10" s="72" t="s">
        <v>285</v>
      </c>
      <c r="D10" s="72">
        <v>3650</v>
      </c>
      <c r="F10" s="75" t="s">
        <v>173</v>
      </c>
      <c r="G10" s="75" t="s">
        <v>111</v>
      </c>
      <c r="H10" s="414" t="str">
        <f t="shared" si="0"/>
        <v>Others</v>
      </c>
      <c r="J10" s="76">
        <v>46001</v>
      </c>
      <c r="K10" s="318">
        <f t="shared" si="2"/>
        <v>1</v>
      </c>
      <c r="S10" s="422"/>
      <c r="U10" s="209"/>
      <c r="V10" s="75">
        <v>1953</v>
      </c>
      <c r="W10" s="75" t="s">
        <v>982</v>
      </c>
      <c r="X10" s="201">
        <v>500000000000</v>
      </c>
      <c r="AA10" s="20">
        <v>46262</v>
      </c>
      <c r="AB10" t="s">
        <v>1544</v>
      </c>
      <c r="AC10">
        <v>20530.729599999999</v>
      </c>
    </row>
    <row r="11" spans="1:29" x14ac:dyDescent="0.3">
      <c r="A11" s="72">
        <f t="shared" si="1"/>
        <v>10.5</v>
      </c>
      <c r="B11" s="72">
        <f>B10+5</f>
        <v>15.5</v>
      </c>
      <c r="C11" s="72" t="s">
        <v>286</v>
      </c>
      <c r="D11" s="72">
        <v>5475</v>
      </c>
      <c r="F11" s="75" t="s">
        <v>102</v>
      </c>
      <c r="G11" s="75" t="s">
        <v>80</v>
      </c>
      <c r="H11" s="414" t="str">
        <f t="shared" si="0"/>
        <v>Others</v>
      </c>
      <c r="J11" s="76">
        <v>46002</v>
      </c>
      <c r="K11" s="318">
        <f t="shared" si="2"/>
        <v>1</v>
      </c>
      <c r="S11" s="422"/>
      <c r="U11" s="209"/>
      <c r="V11" s="75">
        <v>3002</v>
      </c>
      <c r="W11" s="75" t="s">
        <v>1065</v>
      </c>
      <c r="X11" s="201">
        <v>2000000000000</v>
      </c>
      <c r="AA11" s="20">
        <v>46262</v>
      </c>
      <c r="AB11" t="s">
        <v>1545</v>
      </c>
      <c r="AC11">
        <v>795.75780000000009</v>
      </c>
    </row>
    <row r="12" spans="1:29" x14ac:dyDescent="0.3">
      <c r="A12" s="72">
        <f t="shared" si="1"/>
        <v>15.5</v>
      </c>
      <c r="B12" s="72">
        <f>B11+5</f>
        <v>20.5</v>
      </c>
      <c r="C12" s="72" t="s">
        <v>287</v>
      </c>
      <c r="D12" s="72">
        <v>7300</v>
      </c>
      <c r="F12" s="75" t="s">
        <v>91</v>
      </c>
      <c r="G12" s="75" t="s">
        <v>86</v>
      </c>
      <c r="H12" s="414" t="str">
        <f t="shared" si="0"/>
        <v>Others</v>
      </c>
      <c r="J12" s="76">
        <v>46003</v>
      </c>
      <c r="K12" s="318">
        <f t="shared" si="2"/>
        <v>3</v>
      </c>
      <c r="S12" s="422"/>
      <c r="U12" s="209"/>
      <c r="V12" s="75">
        <v>3042</v>
      </c>
      <c r="W12" s="75" t="s">
        <v>1074</v>
      </c>
      <c r="X12" s="201">
        <v>1500000000000</v>
      </c>
      <c r="AA12" s="20">
        <v>46262</v>
      </c>
      <c r="AB12" t="s">
        <v>1546</v>
      </c>
      <c r="AC12">
        <v>2789.4525000000003</v>
      </c>
    </row>
    <row r="13" spans="1:29" x14ac:dyDescent="0.3">
      <c r="A13" s="72">
        <f t="shared" si="1"/>
        <v>20.5</v>
      </c>
      <c r="B13" s="72">
        <f>B12+20</f>
        <v>40.5</v>
      </c>
      <c r="C13" s="72" t="s">
        <v>288</v>
      </c>
      <c r="D13" s="72">
        <v>10955</v>
      </c>
      <c r="F13" s="75" t="s">
        <v>174</v>
      </c>
      <c r="G13" s="75" t="s">
        <v>88</v>
      </c>
      <c r="H13" s="414" t="str">
        <f t="shared" si="0"/>
        <v>Others</v>
      </c>
      <c r="J13" s="76">
        <v>46006</v>
      </c>
      <c r="K13" s="318">
        <f t="shared" si="2"/>
        <v>1</v>
      </c>
      <c r="U13" s="209"/>
      <c r="AA13" s="20">
        <v>46262</v>
      </c>
      <c r="AB13" t="s">
        <v>1547</v>
      </c>
      <c r="AC13">
        <v>2747.7512999999999</v>
      </c>
    </row>
    <row r="14" spans="1:29" x14ac:dyDescent="0.3">
      <c r="F14" s="75" t="s">
        <v>99</v>
      </c>
      <c r="G14" s="75" t="s">
        <v>100</v>
      </c>
      <c r="H14" s="414" t="str">
        <f t="shared" si="0"/>
        <v>FI BOND</v>
      </c>
      <c r="J14" s="76">
        <v>46007</v>
      </c>
      <c r="K14" s="318">
        <f t="shared" si="2"/>
        <v>1</v>
      </c>
      <c r="U14" s="209"/>
      <c r="AA14" s="20">
        <v>46262</v>
      </c>
      <c r="AB14" t="s">
        <v>1548</v>
      </c>
      <c r="AC14">
        <v>1485000</v>
      </c>
    </row>
    <row r="15" spans="1:29" x14ac:dyDescent="0.3">
      <c r="F15" s="75" t="s">
        <v>108</v>
      </c>
      <c r="G15" s="75" t="s">
        <v>109</v>
      </c>
      <c r="H15" s="414" t="str">
        <f t="shared" si="0"/>
        <v>FI BOND</v>
      </c>
      <c r="J15" s="76">
        <v>46008</v>
      </c>
      <c r="K15" s="318">
        <f t="shared" si="2"/>
        <v>1</v>
      </c>
      <c r="U15" s="209"/>
      <c r="AA15" s="20">
        <v>46262</v>
      </c>
      <c r="AB15" t="s">
        <v>1549</v>
      </c>
      <c r="AC15">
        <v>4071.1709499999997</v>
      </c>
    </row>
    <row r="16" spans="1:29" x14ac:dyDescent="0.3">
      <c r="F16" s="75" t="s">
        <v>98</v>
      </c>
      <c r="G16" s="75" t="s">
        <v>80</v>
      </c>
      <c r="H16" s="414" t="str">
        <f t="shared" si="0"/>
        <v>Others</v>
      </c>
      <c r="J16" s="76">
        <v>46009</v>
      </c>
      <c r="K16" s="318">
        <f t="shared" si="2"/>
        <v>1</v>
      </c>
      <c r="U16" s="209"/>
      <c r="AA16" s="20">
        <v>46262</v>
      </c>
      <c r="AB16" t="s">
        <v>1550</v>
      </c>
      <c r="AC16">
        <v>3879.5950000000003</v>
      </c>
    </row>
    <row r="17" spans="6:29" x14ac:dyDescent="0.3">
      <c r="F17" s="75" t="s">
        <v>92</v>
      </c>
      <c r="G17" s="75" t="s">
        <v>80</v>
      </c>
      <c r="H17" s="414" t="str">
        <f t="shared" si="0"/>
        <v>Others</v>
      </c>
      <c r="J17" s="76">
        <v>46010</v>
      </c>
      <c r="K17" s="318">
        <f t="shared" si="2"/>
        <v>3</v>
      </c>
      <c r="U17" s="209"/>
      <c r="AA17" s="20">
        <v>46262</v>
      </c>
      <c r="AB17" t="s">
        <v>1551</v>
      </c>
      <c r="AC17">
        <v>15530.382450000001</v>
      </c>
    </row>
    <row r="18" spans="6:29" x14ac:dyDescent="0.3">
      <c r="F18" s="75" t="s">
        <v>90</v>
      </c>
      <c r="G18" s="75" t="s">
        <v>80</v>
      </c>
      <c r="H18" s="414" t="str">
        <f t="shared" si="0"/>
        <v>Others</v>
      </c>
      <c r="J18" s="76">
        <v>46013</v>
      </c>
      <c r="K18" s="318">
        <f t="shared" si="2"/>
        <v>1</v>
      </c>
      <c r="U18" s="209"/>
      <c r="AA18" s="20">
        <v>46262</v>
      </c>
      <c r="AB18" t="s">
        <v>1552</v>
      </c>
      <c r="AC18">
        <v>819.95740000000001</v>
      </c>
    </row>
    <row r="19" spans="6:29" x14ac:dyDescent="0.3">
      <c r="F19" s="75" t="s">
        <v>121</v>
      </c>
      <c r="G19" s="75" t="s">
        <v>119</v>
      </c>
      <c r="H19" s="414" t="str">
        <f t="shared" si="0"/>
        <v>Others</v>
      </c>
      <c r="J19" s="76">
        <v>46014</v>
      </c>
      <c r="K19" s="318">
        <f t="shared" si="2"/>
        <v>1</v>
      </c>
      <c r="U19" s="209"/>
      <c r="AA19" s="20">
        <v>46262</v>
      </c>
      <c r="AB19" t="s">
        <v>1553</v>
      </c>
      <c r="AC19">
        <v>26073</v>
      </c>
    </row>
    <row r="20" spans="6:29" x14ac:dyDescent="0.3">
      <c r="F20" s="75" t="s">
        <v>113</v>
      </c>
      <c r="G20" s="75" t="s">
        <v>80</v>
      </c>
      <c r="H20" s="414" t="str">
        <f t="shared" si="0"/>
        <v>Others</v>
      </c>
      <c r="J20" s="76">
        <v>46015</v>
      </c>
      <c r="K20" s="318">
        <f t="shared" si="2"/>
        <v>1</v>
      </c>
      <c r="U20" s="209"/>
      <c r="AA20" s="20">
        <v>46262</v>
      </c>
      <c r="AB20" t="s">
        <v>1554</v>
      </c>
      <c r="AC20">
        <v>26080</v>
      </c>
    </row>
    <row r="21" spans="6:29" x14ac:dyDescent="0.3">
      <c r="F21" s="75" t="s">
        <v>79</v>
      </c>
      <c r="G21" s="75" t="s">
        <v>80</v>
      </c>
      <c r="H21" s="414" t="str">
        <f t="shared" si="0"/>
        <v>Others</v>
      </c>
      <c r="J21" s="76">
        <v>46016</v>
      </c>
      <c r="K21" s="318">
        <f t="shared" si="2"/>
        <v>1</v>
      </c>
      <c r="U21" s="209"/>
      <c r="AA21" s="20">
        <v>46262</v>
      </c>
      <c r="AB21" t="s">
        <v>1555</v>
      </c>
      <c r="AC21">
        <v>6480.9907499999999</v>
      </c>
    </row>
    <row r="22" spans="6:29" x14ac:dyDescent="0.3">
      <c r="F22" s="75" t="s">
        <v>132</v>
      </c>
      <c r="G22" s="75" t="s">
        <v>86</v>
      </c>
      <c r="H22" s="414" t="str">
        <f t="shared" si="0"/>
        <v>Others</v>
      </c>
      <c r="J22" s="76">
        <v>46017</v>
      </c>
      <c r="K22" s="318">
        <f t="shared" si="2"/>
        <v>3</v>
      </c>
      <c r="U22" s="209"/>
      <c r="AA22" s="20">
        <v>46262</v>
      </c>
      <c r="AB22" t="s">
        <v>1556</v>
      </c>
      <c r="AC22">
        <v>18.83615</v>
      </c>
    </row>
    <row r="23" spans="6:29" x14ac:dyDescent="0.3">
      <c r="F23" s="75" t="s">
        <v>95</v>
      </c>
      <c r="G23" s="75" t="s">
        <v>96</v>
      </c>
      <c r="H23" s="414" t="str">
        <f t="shared" si="0"/>
        <v>Others</v>
      </c>
      <c r="J23" s="76">
        <v>46020</v>
      </c>
      <c r="K23" s="318">
        <f t="shared" si="2"/>
        <v>1</v>
      </c>
      <c r="U23" s="209"/>
      <c r="AA23" s="20">
        <v>46262</v>
      </c>
      <c r="AB23" t="s">
        <v>1557</v>
      </c>
      <c r="AC23">
        <v>309.80275</v>
      </c>
    </row>
    <row r="24" spans="6:29" x14ac:dyDescent="0.3">
      <c r="F24" s="75" t="s">
        <v>142</v>
      </c>
      <c r="G24" s="75" t="s">
        <v>80</v>
      </c>
      <c r="H24" s="414" t="str">
        <f t="shared" si="0"/>
        <v>Others</v>
      </c>
      <c r="J24" s="76">
        <v>46021</v>
      </c>
      <c r="K24" s="318">
        <f t="shared" si="2"/>
        <v>1</v>
      </c>
      <c r="U24" s="209"/>
      <c r="AA24" s="20">
        <v>46262</v>
      </c>
      <c r="AB24" t="s">
        <v>1558</v>
      </c>
      <c r="AC24">
        <v>541.99399999999991</v>
      </c>
    </row>
    <row r="25" spans="6:29" x14ac:dyDescent="0.3">
      <c r="F25" s="75" t="s">
        <v>82</v>
      </c>
      <c r="G25" s="75" t="s">
        <v>78</v>
      </c>
      <c r="H25" s="414" t="str">
        <f t="shared" si="0"/>
        <v>FI BOND</v>
      </c>
      <c r="J25" s="76">
        <v>46022</v>
      </c>
      <c r="K25" s="318">
        <f t="shared" si="2"/>
        <v>5</v>
      </c>
      <c r="AA25" s="20">
        <v>46262</v>
      </c>
      <c r="AB25" t="s">
        <v>1559</v>
      </c>
      <c r="AC25">
        <v>79.357799999999997</v>
      </c>
    </row>
    <row r="26" spans="6:29" x14ac:dyDescent="0.3">
      <c r="F26" s="75" t="s">
        <v>131</v>
      </c>
      <c r="G26" s="75" t="s">
        <v>80</v>
      </c>
      <c r="H26" s="414" t="str">
        <f t="shared" si="0"/>
        <v>Others</v>
      </c>
      <c r="J26" s="76">
        <v>46027</v>
      </c>
      <c r="K26" s="318">
        <f t="shared" si="2"/>
        <v>1</v>
      </c>
      <c r="AA26" s="20">
        <v>46262</v>
      </c>
      <c r="AB26" t="s">
        <v>1560</v>
      </c>
      <c r="AC26">
        <v>20530.729599999999</v>
      </c>
    </row>
    <row r="27" spans="6:29" x14ac:dyDescent="0.3">
      <c r="F27" s="75" t="s">
        <v>175</v>
      </c>
      <c r="G27" s="75" t="s">
        <v>80</v>
      </c>
      <c r="H27" s="414" t="str">
        <f t="shared" si="0"/>
        <v>Others</v>
      </c>
      <c r="J27" s="76">
        <v>46028</v>
      </c>
      <c r="K27" s="318">
        <f t="shared" si="2"/>
        <v>1</v>
      </c>
      <c r="AA27" s="20">
        <v>46262</v>
      </c>
      <c r="AB27" t="s">
        <v>1561</v>
      </c>
      <c r="AC27">
        <v>273.25175000000002</v>
      </c>
    </row>
    <row r="28" spans="6:29" x14ac:dyDescent="0.3">
      <c r="F28" s="75" t="s">
        <v>126</v>
      </c>
      <c r="G28" s="75" t="s">
        <v>111</v>
      </c>
      <c r="H28" s="414" t="str">
        <f t="shared" si="0"/>
        <v>Others</v>
      </c>
      <c r="J28" s="76">
        <v>46029</v>
      </c>
      <c r="K28" s="318">
        <f t="shared" si="2"/>
        <v>1</v>
      </c>
      <c r="AA28" s="20">
        <v>46262</v>
      </c>
      <c r="AB28" t="s">
        <v>1562</v>
      </c>
      <c r="AC28">
        <v>1.47305</v>
      </c>
    </row>
    <row r="29" spans="6:29" x14ac:dyDescent="0.3">
      <c r="F29" s="75" t="s">
        <v>176</v>
      </c>
      <c r="G29" s="75" t="s">
        <v>80</v>
      </c>
      <c r="H29" s="414" t="str">
        <f t="shared" si="0"/>
        <v>Others</v>
      </c>
      <c r="J29" s="76">
        <v>46030</v>
      </c>
      <c r="K29" s="318">
        <f t="shared" si="2"/>
        <v>1</v>
      </c>
      <c r="AA29" s="20">
        <v>46262</v>
      </c>
      <c r="AB29" t="s">
        <v>1563</v>
      </c>
      <c r="AC29">
        <v>422.92669999999998</v>
      </c>
    </row>
    <row r="30" spans="6:29" x14ac:dyDescent="0.3">
      <c r="F30" s="83" t="s">
        <v>177</v>
      </c>
      <c r="G30" s="83" t="s">
        <v>80</v>
      </c>
      <c r="H30" s="414" t="str">
        <f t="shared" si="0"/>
        <v>Others</v>
      </c>
      <c r="J30" s="76">
        <v>46031</v>
      </c>
      <c r="K30" s="318">
        <f t="shared" si="2"/>
        <v>3</v>
      </c>
      <c r="AA30" s="20">
        <v>46262</v>
      </c>
      <c r="AB30" t="s">
        <v>1564</v>
      </c>
      <c r="AC30">
        <v>6.4457500000000003</v>
      </c>
    </row>
    <row r="31" spans="6:29" x14ac:dyDescent="0.3">
      <c r="F31" s="83" t="s">
        <v>130</v>
      </c>
      <c r="G31" s="83" t="s">
        <v>80</v>
      </c>
      <c r="H31" s="414" t="str">
        <f t="shared" si="0"/>
        <v>Others</v>
      </c>
      <c r="J31" s="76">
        <v>46034</v>
      </c>
      <c r="K31" s="318">
        <f t="shared" si="2"/>
        <v>1</v>
      </c>
      <c r="AA31" s="20">
        <v>46262</v>
      </c>
      <c r="AB31" t="s">
        <v>1565</v>
      </c>
      <c r="AC31">
        <v>1.1617</v>
      </c>
    </row>
    <row r="32" spans="6:29" x14ac:dyDescent="0.3">
      <c r="F32" s="83" t="s">
        <v>89</v>
      </c>
      <c r="G32" s="83" t="s">
        <v>80</v>
      </c>
      <c r="H32" s="414" t="str">
        <f t="shared" si="0"/>
        <v>Others</v>
      </c>
      <c r="J32" s="76">
        <v>46035</v>
      </c>
      <c r="K32" s="318">
        <f t="shared" si="2"/>
        <v>1</v>
      </c>
      <c r="AA32" s="20">
        <v>46262</v>
      </c>
      <c r="AB32" t="s">
        <v>1566</v>
      </c>
      <c r="AC32">
        <v>12.415849999999999</v>
      </c>
    </row>
    <row r="33" spans="6:29" x14ac:dyDescent="0.3">
      <c r="F33" s="83" t="s">
        <v>178</v>
      </c>
      <c r="G33" s="83" t="s">
        <v>111</v>
      </c>
      <c r="H33" s="414" t="str">
        <f t="shared" si="0"/>
        <v>Others</v>
      </c>
      <c r="J33" s="76">
        <v>46036</v>
      </c>
      <c r="K33" s="318">
        <f t="shared" si="2"/>
        <v>1</v>
      </c>
      <c r="AA33" s="20">
        <v>46262</v>
      </c>
      <c r="AB33" t="s">
        <v>1567</v>
      </c>
      <c r="AC33">
        <v>57167.292199999996</v>
      </c>
    </row>
    <row r="34" spans="6:29" x14ac:dyDescent="0.3">
      <c r="F34" s="83" t="s">
        <v>179</v>
      </c>
      <c r="G34" s="83" t="s">
        <v>88</v>
      </c>
      <c r="H34" s="414" t="str">
        <f t="shared" si="0"/>
        <v>Others</v>
      </c>
      <c r="J34" s="76">
        <v>46037</v>
      </c>
      <c r="K34" s="318">
        <f t="shared" si="2"/>
        <v>1</v>
      </c>
      <c r="AA34" s="20">
        <v>46262</v>
      </c>
      <c r="AB34" t="s">
        <v>1568</v>
      </c>
      <c r="AC34">
        <v>1263.5635499999999</v>
      </c>
    </row>
    <row r="35" spans="6:29" x14ac:dyDescent="0.3">
      <c r="F35" s="83" t="s">
        <v>149</v>
      </c>
      <c r="G35" s="83" t="s">
        <v>78</v>
      </c>
      <c r="H35" s="414" t="str">
        <f t="shared" si="0"/>
        <v>FI BOND</v>
      </c>
      <c r="J35" s="76">
        <v>46038</v>
      </c>
      <c r="K35" s="318">
        <f t="shared" si="2"/>
        <v>3</v>
      </c>
      <c r="AA35" s="20">
        <v>46262</v>
      </c>
      <c r="AB35" t="s">
        <v>1569</v>
      </c>
      <c r="AC35">
        <v>7074.6731500000005</v>
      </c>
    </row>
    <row r="36" spans="6:29" x14ac:dyDescent="0.3">
      <c r="F36" s="83" t="s">
        <v>143</v>
      </c>
      <c r="G36" s="83" t="s">
        <v>78</v>
      </c>
      <c r="H36" s="414" t="str">
        <f t="shared" si="0"/>
        <v>FI BOND</v>
      </c>
      <c r="J36" s="76">
        <v>46041</v>
      </c>
      <c r="K36" s="318">
        <f t="shared" si="2"/>
        <v>1</v>
      </c>
      <c r="AA36" s="20">
        <v>46262</v>
      </c>
      <c r="AB36" t="s">
        <v>1570</v>
      </c>
      <c r="AC36">
        <v>7099.1368999999995</v>
      </c>
    </row>
    <row r="37" spans="6:29" x14ac:dyDescent="0.3">
      <c r="F37" s="83" t="s">
        <v>180</v>
      </c>
      <c r="G37" s="83" t="s">
        <v>119</v>
      </c>
      <c r="H37" s="414" t="str">
        <f t="shared" si="0"/>
        <v>Others</v>
      </c>
      <c r="J37" s="76">
        <v>46042</v>
      </c>
      <c r="K37" s="318">
        <f t="shared" si="2"/>
        <v>1</v>
      </c>
      <c r="AA37" s="20">
        <v>46262</v>
      </c>
      <c r="AB37" t="s">
        <v>1571</v>
      </c>
      <c r="AC37">
        <v>84.40325</v>
      </c>
    </row>
    <row r="38" spans="6:29" x14ac:dyDescent="0.3">
      <c r="F38" s="83" t="s">
        <v>181</v>
      </c>
      <c r="G38" s="83" t="s">
        <v>96</v>
      </c>
      <c r="H38" s="414" t="str">
        <f t="shared" si="0"/>
        <v>Others</v>
      </c>
      <c r="J38" s="76">
        <v>46043</v>
      </c>
      <c r="K38" s="318">
        <f t="shared" si="2"/>
        <v>1</v>
      </c>
      <c r="AA38" s="20">
        <v>46262</v>
      </c>
      <c r="AB38" t="s">
        <v>1572</v>
      </c>
      <c r="AC38">
        <v>1635.5527499999998</v>
      </c>
    </row>
    <row r="39" spans="6:29" x14ac:dyDescent="0.3">
      <c r="F39" s="83" t="s">
        <v>124</v>
      </c>
      <c r="G39" s="83" t="s">
        <v>80</v>
      </c>
      <c r="H39" s="414" t="str">
        <f t="shared" si="0"/>
        <v>Others</v>
      </c>
      <c r="J39" s="76">
        <v>46044</v>
      </c>
      <c r="K39" s="318">
        <f t="shared" si="2"/>
        <v>1</v>
      </c>
      <c r="AA39" s="20">
        <v>46262</v>
      </c>
      <c r="AB39" t="s">
        <v>1430</v>
      </c>
      <c r="AC39">
        <v>298.05499999999995</v>
      </c>
    </row>
    <row r="40" spans="6:29" x14ac:dyDescent="0.3">
      <c r="F40" s="83" t="s">
        <v>182</v>
      </c>
      <c r="G40" s="83" t="s">
        <v>119</v>
      </c>
      <c r="H40" s="414" t="str">
        <f t="shared" si="0"/>
        <v>Others</v>
      </c>
      <c r="J40" s="76">
        <v>46045</v>
      </c>
      <c r="K40" s="318">
        <f t="shared" si="2"/>
        <v>3</v>
      </c>
    </row>
    <row r="41" spans="6:29" x14ac:dyDescent="0.3">
      <c r="F41" s="83" t="s">
        <v>183</v>
      </c>
      <c r="G41" s="83" t="s">
        <v>80</v>
      </c>
      <c r="H41" s="414" t="str">
        <f t="shared" si="0"/>
        <v>Others</v>
      </c>
      <c r="J41" s="76">
        <v>46048</v>
      </c>
      <c r="K41" s="318">
        <f t="shared" si="2"/>
        <v>1</v>
      </c>
    </row>
    <row r="42" spans="6:29" x14ac:dyDescent="0.3">
      <c r="F42" s="83" t="s">
        <v>145</v>
      </c>
      <c r="G42" s="83" t="s">
        <v>80</v>
      </c>
      <c r="H42" s="414" t="str">
        <f t="shared" si="0"/>
        <v>Others</v>
      </c>
      <c r="J42" s="76">
        <v>46049</v>
      </c>
      <c r="K42" s="318">
        <f t="shared" si="2"/>
        <v>1</v>
      </c>
    </row>
    <row r="43" spans="6:29" x14ac:dyDescent="0.3">
      <c r="F43" s="83" t="s">
        <v>184</v>
      </c>
      <c r="G43" s="83" t="s">
        <v>78</v>
      </c>
      <c r="H43" s="414" t="str">
        <f t="shared" si="0"/>
        <v>FI BOND</v>
      </c>
      <c r="J43" s="76">
        <v>46050</v>
      </c>
      <c r="K43" s="318">
        <f t="shared" si="2"/>
        <v>1</v>
      </c>
    </row>
    <row r="44" spans="6:29" x14ac:dyDescent="0.3">
      <c r="F44" s="83" t="s">
        <v>150</v>
      </c>
      <c r="G44" s="83" t="s">
        <v>107</v>
      </c>
      <c r="H44" s="414" t="str">
        <f t="shared" si="0"/>
        <v>Others</v>
      </c>
      <c r="J44" s="76">
        <v>46051</v>
      </c>
      <c r="K44" s="318">
        <f t="shared" si="2"/>
        <v>1</v>
      </c>
    </row>
    <row r="45" spans="6:29" x14ac:dyDescent="0.3">
      <c r="F45" s="83" t="s">
        <v>185</v>
      </c>
      <c r="G45" s="83" t="s">
        <v>86</v>
      </c>
      <c r="H45" s="414" t="str">
        <f t="shared" si="0"/>
        <v>Others</v>
      </c>
      <c r="J45" s="76">
        <v>46052</v>
      </c>
      <c r="K45" s="318">
        <f t="shared" si="2"/>
        <v>3</v>
      </c>
    </row>
    <row r="46" spans="6:29" x14ac:dyDescent="0.3">
      <c r="F46" s="83" t="s">
        <v>146</v>
      </c>
      <c r="G46" s="83" t="s">
        <v>109</v>
      </c>
      <c r="H46" s="414" t="str">
        <f t="shared" si="0"/>
        <v>FI BOND</v>
      </c>
      <c r="J46" s="76">
        <v>46055</v>
      </c>
      <c r="K46" s="318">
        <f t="shared" si="2"/>
        <v>1</v>
      </c>
    </row>
    <row r="47" spans="6:29" x14ac:dyDescent="0.3">
      <c r="F47" s="83" t="s">
        <v>147</v>
      </c>
      <c r="G47" s="83" t="s">
        <v>78</v>
      </c>
      <c r="H47" s="414" t="str">
        <f t="shared" si="0"/>
        <v>FI BOND</v>
      </c>
      <c r="J47" s="76">
        <v>46056</v>
      </c>
      <c r="K47" s="318">
        <f t="shared" si="2"/>
        <v>1</v>
      </c>
    </row>
    <row r="48" spans="6:29" x14ac:dyDescent="0.3">
      <c r="F48" s="83" t="s">
        <v>77</v>
      </c>
      <c r="G48" s="83" t="s">
        <v>78</v>
      </c>
      <c r="H48" s="414" t="str">
        <f t="shared" si="0"/>
        <v>FI BOND</v>
      </c>
      <c r="J48" s="76">
        <v>46057</v>
      </c>
      <c r="K48" s="318">
        <f t="shared" si="2"/>
        <v>1</v>
      </c>
    </row>
    <row r="49" spans="6:11" x14ac:dyDescent="0.3">
      <c r="F49" s="83" t="s">
        <v>165</v>
      </c>
      <c r="G49" s="83" t="s">
        <v>78</v>
      </c>
      <c r="H49" s="414" t="str">
        <f t="shared" si="0"/>
        <v>FI BOND</v>
      </c>
      <c r="J49" s="76">
        <v>46058</v>
      </c>
      <c r="K49" s="318">
        <f t="shared" si="2"/>
        <v>1</v>
      </c>
    </row>
    <row r="50" spans="6:11" x14ac:dyDescent="0.3">
      <c r="F50" s="83" t="s">
        <v>167</v>
      </c>
      <c r="G50" s="83" t="s">
        <v>80</v>
      </c>
      <c r="H50" s="414" t="str">
        <f t="shared" si="0"/>
        <v>Others</v>
      </c>
      <c r="J50" s="76">
        <v>46059</v>
      </c>
      <c r="K50" s="318">
        <f t="shared" si="2"/>
        <v>3</v>
      </c>
    </row>
    <row r="51" spans="6:11" x14ac:dyDescent="0.3">
      <c r="F51" s="83" t="s">
        <v>110</v>
      </c>
      <c r="G51" s="83" t="s">
        <v>111</v>
      </c>
      <c r="H51" s="414" t="str">
        <f t="shared" si="0"/>
        <v>Others</v>
      </c>
      <c r="J51" s="76">
        <v>46062</v>
      </c>
      <c r="K51" s="318">
        <f t="shared" si="2"/>
        <v>1</v>
      </c>
    </row>
    <row r="52" spans="6:11" x14ac:dyDescent="0.3">
      <c r="F52" s="83" t="s">
        <v>160</v>
      </c>
      <c r="G52" s="83" t="s">
        <v>111</v>
      </c>
      <c r="H52" s="414" t="str">
        <f t="shared" si="0"/>
        <v>Others</v>
      </c>
      <c r="J52" s="76">
        <v>46063</v>
      </c>
      <c r="K52" s="318">
        <f t="shared" si="2"/>
        <v>1</v>
      </c>
    </row>
    <row r="53" spans="6:11" x14ac:dyDescent="0.3">
      <c r="F53" s="83" t="s">
        <v>161</v>
      </c>
      <c r="G53" s="83" t="s">
        <v>78</v>
      </c>
      <c r="H53" s="414" t="str">
        <f t="shared" si="0"/>
        <v>FI BOND</v>
      </c>
      <c r="J53" s="76">
        <v>46064</v>
      </c>
      <c r="K53" s="318">
        <f t="shared" si="2"/>
        <v>1</v>
      </c>
    </row>
    <row r="54" spans="6:11" x14ac:dyDescent="0.3">
      <c r="F54" s="83" t="s">
        <v>122</v>
      </c>
      <c r="G54" s="83" t="s">
        <v>111</v>
      </c>
      <c r="H54" s="414" t="str">
        <f t="shared" si="0"/>
        <v>Others</v>
      </c>
      <c r="J54" s="76">
        <v>46065</v>
      </c>
      <c r="K54" s="318">
        <f t="shared" si="2"/>
        <v>1</v>
      </c>
    </row>
    <row r="55" spans="6:11" x14ac:dyDescent="0.3">
      <c r="F55" s="83" t="s">
        <v>144</v>
      </c>
      <c r="G55" s="83" t="s">
        <v>80</v>
      </c>
      <c r="H55" s="414" t="str">
        <f t="shared" si="0"/>
        <v>Others</v>
      </c>
      <c r="J55" s="76">
        <v>46066</v>
      </c>
      <c r="K55" s="318">
        <f>J56-J55</f>
        <v>10</v>
      </c>
    </row>
    <row r="56" spans="6:11" x14ac:dyDescent="0.3">
      <c r="F56" s="83" t="s">
        <v>115</v>
      </c>
      <c r="G56" s="83" t="s">
        <v>88</v>
      </c>
      <c r="H56" s="414" t="str">
        <f t="shared" si="0"/>
        <v>Others</v>
      </c>
      <c r="J56" s="76">
        <v>46076</v>
      </c>
      <c r="K56" s="318">
        <f t="shared" si="2"/>
        <v>1</v>
      </c>
    </row>
    <row r="57" spans="6:11" x14ac:dyDescent="0.3">
      <c r="F57" s="83" t="s">
        <v>186</v>
      </c>
      <c r="G57" s="83" t="s">
        <v>78</v>
      </c>
      <c r="H57" s="414" t="str">
        <f t="shared" si="0"/>
        <v>FI BOND</v>
      </c>
      <c r="J57" s="76">
        <v>46077</v>
      </c>
      <c r="K57" s="318">
        <f t="shared" si="2"/>
        <v>1</v>
      </c>
    </row>
    <row r="58" spans="6:11" x14ac:dyDescent="0.3">
      <c r="F58" s="83" t="s">
        <v>187</v>
      </c>
      <c r="G58" s="83" t="s">
        <v>88</v>
      </c>
      <c r="H58" s="414" t="str">
        <f t="shared" si="0"/>
        <v>Others</v>
      </c>
      <c r="J58" s="76">
        <v>46078</v>
      </c>
      <c r="K58" s="318">
        <f t="shared" si="2"/>
        <v>1</v>
      </c>
    </row>
    <row r="59" spans="6:11" x14ac:dyDescent="0.3">
      <c r="F59" s="83" t="s">
        <v>188</v>
      </c>
      <c r="G59" s="83" t="s">
        <v>80</v>
      </c>
      <c r="H59" s="414" t="str">
        <f t="shared" si="0"/>
        <v>Others</v>
      </c>
      <c r="J59" s="76">
        <v>46079</v>
      </c>
      <c r="K59" s="318">
        <f t="shared" si="2"/>
        <v>1</v>
      </c>
    </row>
    <row r="60" spans="6:11" x14ac:dyDescent="0.3">
      <c r="F60" s="83" t="s">
        <v>189</v>
      </c>
      <c r="G60" s="83" t="s">
        <v>88</v>
      </c>
      <c r="H60" s="414" t="str">
        <f t="shared" si="0"/>
        <v>Others</v>
      </c>
      <c r="J60" s="76">
        <v>46080</v>
      </c>
      <c r="K60" s="318">
        <f t="shared" si="2"/>
        <v>3</v>
      </c>
    </row>
    <row r="61" spans="6:11" x14ac:dyDescent="0.3">
      <c r="F61" s="83" t="s">
        <v>190</v>
      </c>
      <c r="G61" s="83" t="s">
        <v>109</v>
      </c>
      <c r="H61" s="414" t="str">
        <f t="shared" si="0"/>
        <v>FI BOND</v>
      </c>
      <c r="J61" s="76">
        <v>46083</v>
      </c>
      <c r="K61" s="318">
        <f t="shared" si="2"/>
        <v>1</v>
      </c>
    </row>
    <row r="62" spans="6:11" x14ac:dyDescent="0.3">
      <c r="F62" s="83" t="s">
        <v>191</v>
      </c>
      <c r="G62" s="83" t="s">
        <v>78</v>
      </c>
      <c r="H62" s="414" t="str">
        <f t="shared" si="0"/>
        <v>FI BOND</v>
      </c>
      <c r="J62" s="76">
        <v>46084</v>
      </c>
      <c r="K62" s="318">
        <f t="shared" si="2"/>
        <v>1</v>
      </c>
    </row>
    <row r="63" spans="6:11" x14ac:dyDescent="0.3">
      <c r="F63" s="83" t="s">
        <v>120</v>
      </c>
      <c r="G63" s="83" t="s">
        <v>80</v>
      </c>
      <c r="H63" s="414" t="str">
        <f t="shared" si="0"/>
        <v>Others</v>
      </c>
      <c r="J63" s="76">
        <v>46085</v>
      </c>
      <c r="K63" s="318">
        <f t="shared" si="2"/>
        <v>1</v>
      </c>
    </row>
    <row r="64" spans="6:11" x14ac:dyDescent="0.3">
      <c r="F64" s="83" t="s">
        <v>192</v>
      </c>
      <c r="G64" s="83" t="s">
        <v>80</v>
      </c>
      <c r="H64" s="414" t="str">
        <f t="shared" si="0"/>
        <v>Others</v>
      </c>
      <c r="J64" s="76">
        <v>46086</v>
      </c>
      <c r="K64" s="318">
        <f t="shared" si="2"/>
        <v>1</v>
      </c>
    </row>
    <row r="65" spans="6:11" x14ac:dyDescent="0.3">
      <c r="F65" s="83" t="s">
        <v>193</v>
      </c>
      <c r="G65" s="83" t="s">
        <v>80</v>
      </c>
      <c r="H65" s="414" t="str">
        <f t="shared" si="0"/>
        <v>Others</v>
      </c>
      <c r="J65" s="76">
        <v>46087</v>
      </c>
      <c r="K65" s="318">
        <v>1</v>
      </c>
    </row>
    <row r="66" spans="6:11" x14ac:dyDescent="0.3">
      <c r="F66" s="83" t="s">
        <v>106</v>
      </c>
      <c r="G66" s="83" t="s">
        <v>107</v>
      </c>
      <c r="H66" s="414" t="str">
        <f t="shared" ref="H66:H129" si="3">IF(OR(G66="TÀI CHÍNH",G66="NGÂN HÀNG",G66="CHỨNG KHOÁN"),"FI BOND","Others")</f>
        <v>Others</v>
      </c>
      <c r="J66" s="76">
        <v>46090</v>
      </c>
      <c r="K66" s="318">
        <f t="shared" si="2"/>
        <v>1</v>
      </c>
    </row>
    <row r="67" spans="6:11" x14ac:dyDescent="0.3">
      <c r="F67" s="83" t="s">
        <v>194</v>
      </c>
      <c r="G67" s="83" t="s">
        <v>80</v>
      </c>
      <c r="H67" s="414" t="str">
        <f t="shared" si="3"/>
        <v>Others</v>
      </c>
      <c r="J67" s="76">
        <v>46091</v>
      </c>
      <c r="K67" s="318">
        <f t="shared" si="2"/>
        <v>1</v>
      </c>
    </row>
    <row r="68" spans="6:11" x14ac:dyDescent="0.3">
      <c r="F68" s="83" t="s">
        <v>195</v>
      </c>
      <c r="G68" s="83" t="s">
        <v>78</v>
      </c>
      <c r="H68" s="414" t="str">
        <f t="shared" si="3"/>
        <v>FI BOND</v>
      </c>
      <c r="J68" s="76">
        <v>46092</v>
      </c>
      <c r="K68" s="318">
        <f t="shared" si="2"/>
        <v>1</v>
      </c>
    </row>
    <row r="69" spans="6:11" x14ac:dyDescent="0.3">
      <c r="F69" s="83" t="s">
        <v>196</v>
      </c>
      <c r="G69" s="83" t="s">
        <v>78</v>
      </c>
      <c r="H69" s="414" t="str">
        <f t="shared" si="3"/>
        <v>FI BOND</v>
      </c>
      <c r="J69" s="76">
        <v>46093</v>
      </c>
      <c r="K69" s="318">
        <f t="shared" si="2"/>
        <v>1</v>
      </c>
    </row>
    <row r="70" spans="6:11" x14ac:dyDescent="0.3">
      <c r="F70" s="83" t="s">
        <v>197</v>
      </c>
      <c r="G70" s="83" t="s">
        <v>80</v>
      </c>
      <c r="H70" s="414" t="str">
        <f t="shared" si="3"/>
        <v>Others</v>
      </c>
      <c r="J70" s="76">
        <v>46094</v>
      </c>
      <c r="K70" s="318">
        <f t="shared" si="2"/>
        <v>3</v>
      </c>
    </row>
    <row r="71" spans="6:11" x14ac:dyDescent="0.3">
      <c r="F71" s="83" t="s">
        <v>162</v>
      </c>
      <c r="G71" s="83" t="s">
        <v>80</v>
      </c>
      <c r="H71" s="414" t="str">
        <f t="shared" si="3"/>
        <v>Others</v>
      </c>
      <c r="J71" s="76">
        <v>46097</v>
      </c>
      <c r="K71" s="318">
        <f t="shared" si="2"/>
        <v>1</v>
      </c>
    </row>
    <row r="72" spans="6:11" x14ac:dyDescent="0.3">
      <c r="F72" s="83" t="s">
        <v>198</v>
      </c>
      <c r="G72" s="83" t="s">
        <v>80</v>
      </c>
      <c r="H72" s="414" t="str">
        <f t="shared" si="3"/>
        <v>Others</v>
      </c>
      <c r="J72" s="76">
        <v>46098</v>
      </c>
      <c r="K72" s="318">
        <f t="shared" ref="K72:K135" si="4">J73-J72</f>
        <v>1</v>
      </c>
    </row>
    <row r="73" spans="6:11" x14ac:dyDescent="0.3">
      <c r="F73" s="83" t="s">
        <v>153</v>
      </c>
      <c r="G73" s="83" t="s">
        <v>78</v>
      </c>
      <c r="H73" s="414" t="str">
        <f t="shared" si="3"/>
        <v>FI BOND</v>
      </c>
      <c r="J73" s="76">
        <v>46099</v>
      </c>
      <c r="K73" s="318">
        <f t="shared" si="4"/>
        <v>1</v>
      </c>
    </row>
    <row r="74" spans="6:11" x14ac:dyDescent="0.3">
      <c r="F74" s="83" t="s">
        <v>199</v>
      </c>
      <c r="G74" s="83" t="s">
        <v>80</v>
      </c>
      <c r="H74" s="414" t="str">
        <f t="shared" si="3"/>
        <v>Others</v>
      </c>
      <c r="J74" s="76">
        <v>46100</v>
      </c>
      <c r="K74" s="318">
        <f t="shared" si="4"/>
        <v>1</v>
      </c>
    </row>
    <row r="75" spans="6:11" x14ac:dyDescent="0.3">
      <c r="F75" s="83" t="s">
        <v>163</v>
      </c>
      <c r="G75" s="83" t="s">
        <v>111</v>
      </c>
      <c r="H75" s="414" t="str">
        <f t="shared" si="3"/>
        <v>Others</v>
      </c>
      <c r="J75" s="76">
        <v>46101</v>
      </c>
      <c r="K75" s="318">
        <f t="shared" si="4"/>
        <v>3</v>
      </c>
    </row>
    <row r="76" spans="6:11" x14ac:dyDescent="0.3">
      <c r="F76" s="83" t="s">
        <v>200</v>
      </c>
      <c r="G76" s="83" t="s">
        <v>78</v>
      </c>
      <c r="H76" s="414" t="str">
        <f t="shared" si="3"/>
        <v>FI BOND</v>
      </c>
      <c r="J76" s="76">
        <v>46104</v>
      </c>
      <c r="K76" s="318">
        <f t="shared" si="4"/>
        <v>1</v>
      </c>
    </row>
    <row r="77" spans="6:11" x14ac:dyDescent="0.3">
      <c r="F77" s="83" t="s">
        <v>201</v>
      </c>
      <c r="G77" s="83" t="s">
        <v>202</v>
      </c>
      <c r="H77" s="414" t="str">
        <f t="shared" si="3"/>
        <v>Others</v>
      </c>
      <c r="J77" s="76">
        <v>46105</v>
      </c>
      <c r="K77" s="318">
        <f t="shared" si="4"/>
        <v>1</v>
      </c>
    </row>
    <row r="78" spans="6:11" x14ac:dyDescent="0.3">
      <c r="F78" s="83" t="s">
        <v>203</v>
      </c>
      <c r="G78" s="83" t="s">
        <v>119</v>
      </c>
      <c r="H78" s="414" t="str">
        <f t="shared" si="3"/>
        <v>Others</v>
      </c>
      <c r="J78" s="76">
        <v>46106</v>
      </c>
      <c r="K78" s="318">
        <f t="shared" si="4"/>
        <v>1</v>
      </c>
    </row>
    <row r="79" spans="6:11" x14ac:dyDescent="0.3">
      <c r="F79" s="83" t="s">
        <v>204</v>
      </c>
      <c r="G79" s="83" t="s">
        <v>78</v>
      </c>
      <c r="H79" s="414" t="str">
        <f t="shared" si="3"/>
        <v>FI BOND</v>
      </c>
      <c r="J79" s="76">
        <v>46107</v>
      </c>
      <c r="K79" s="318">
        <f t="shared" si="4"/>
        <v>1</v>
      </c>
    </row>
    <row r="80" spans="6:11" x14ac:dyDescent="0.3">
      <c r="F80" s="83" t="s">
        <v>205</v>
      </c>
      <c r="G80" s="83" t="s">
        <v>100</v>
      </c>
      <c r="H80" s="414" t="str">
        <f t="shared" si="3"/>
        <v>FI BOND</v>
      </c>
      <c r="J80" s="76">
        <v>46108</v>
      </c>
      <c r="K80" s="318">
        <f t="shared" si="4"/>
        <v>3</v>
      </c>
    </row>
    <row r="81" spans="6:11" x14ac:dyDescent="0.3">
      <c r="F81" s="83" t="s">
        <v>206</v>
      </c>
      <c r="G81" s="83" t="s">
        <v>78</v>
      </c>
      <c r="H81" s="414" t="str">
        <f t="shared" si="3"/>
        <v>FI BOND</v>
      </c>
      <c r="J81" s="172">
        <v>46111</v>
      </c>
      <c r="K81" s="318">
        <f t="shared" si="4"/>
        <v>1</v>
      </c>
    </row>
    <row r="82" spans="6:11" x14ac:dyDescent="0.3">
      <c r="F82" s="83" t="s">
        <v>207</v>
      </c>
      <c r="G82" s="83" t="s">
        <v>100</v>
      </c>
      <c r="H82" s="414" t="str">
        <f t="shared" si="3"/>
        <v>FI BOND</v>
      </c>
      <c r="J82" s="172">
        <v>46112</v>
      </c>
      <c r="K82" s="318">
        <f t="shared" si="4"/>
        <v>1</v>
      </c>
    </row>
    <row r="83" spans="6:11" x14ac:dyDescent="0.3">
      <c r="F83" s="83" t="s">
        <v>208</v>
      </c>
      <c r="G83" s="83" t="s">
        <v>109</v>
      </c>
      <c r="H83" s="414" t="str">
        <f t="shared" si="3"/>
        <v>FI BOND</v>
      </c>
      <c r="J83" s="172">
        <v>46113</v>
      </c>
      <c r="K83" s="318">
        <f t="shared" si="4"/>
        <v>1</v>
      </c>
    </row>
    <row r="84" spans="6:11" x14ac:dyDescent="0.3">
      <c r="F84" s="83" t="s">
        <v>135</v>
      </c>
      <c r="G84" s="83" t="s">
        <v>119</v>
      </c>
      <c r="H84" s="414" t="str">
        <f t="shared" si="3"/>
        <v>Others</v>
      </c>
      <c r="J84" s="172">
        <v>46114</v>
      </c>
      <c r="K84" s="318">
        <f t="shared" si="4"/>
        <v>1</v>
      </c>
    </row>
    <row r="85" spans="6:11" x14ac:dyDescent="0.3">
      <c r="F85" s="83" t="s">
        <v>134</v>
      </c>
      <c r="G85" s="83" t="s">
        <v>80</v>
      </c>
      <c r="H85" s="414" t="str">
        <f t="shared" si="3"/>
        <v>Others</v>
      </c>
      <c r="J85" s="76">
        <v>46115</v>
      </c>
      <c r="K85" s="318">
        <f t="shared" si="4"/>
        <v>3</v>
      </c>
    </row>
    <row r="86" spans="6:11" x14ac:dyDescent="0.3">
      <c r="F86" s="83" t="s">
        <v>116</v>
      </c>
      <c r="G86" s="83" t="s">
        <v>80</v>
      </c>
      <c r="H86" s="414" t="str">
        <f t="shared" si="3"/>
        <v>Others</v>
      </c>
      <c r="J86" s="76">
        <v>46118</v>
      </c>
      <c r="K86" s="318">
        <f t="shared" si="4"/>
        <v>1</v>
      </c>
    </row>
    <row r="87" spans="6:11" x14ac:dyDescent="0.3">
      <c r="F87" s="83" t="s">
        <v>209</v>
      </c>
      <c r="G87" s="83" t="s">
        <v>100</v>
      </c>
      <c r="H87" s="414" t="str">
        <f t="shared" si="3"/>
        <v>FI BOND</v>
      </c>
      <c r="J87" s="76">
        <v>46119</v>
      </c>
      <c r="K87" s="318">
        <f t="shared" si="4"/>
        <v>1</v>
      </c>
    </row>
    <row r="88" spans="6:11" x14ac:dyDescent="0.3">
      <c r="F88" s="83" t="s">
        <v>210</v>
      </c>
      <c r="G88" s="83" t="s">
        <v>80</v>
      </c>
      <c r="H88" s="414" t="str">
        <f t="shared" si="3"/>
        <v>Others</v>
      </c>
      <c r="J88" s="76">
        <v>46120</v>
      </c>
      <c r="K88" s="318">
        <f t="shared" si="4"/>
        <v>1</v>
      </c>
    </row>
    <row r="89" spans="6:11" x14ac:dyDescent="0.3">
      <c r="F89" s="83" t="s">
        <v>211</v>
      </c>
      <c r="G89" s="83" t="s">
        <v>202</v>
      </c>
      <c r="H89" s="414" t="str">
        <f t="shared" si="3"/>
        <v>Others</v>
      </c>
      <c r="J89" s="76">
        <v>46121</v>
      </c>
      <c r="K89" s="318">
        <f t="shared" si="4"/>
        <v>1</v>
      </c>
    </row>
    <row r="90" spans="6:11" x14ac:dyDescent="0.3">
      <c r="F90" s="83" t="s">
        <v>156</v>
      </c>
      <c r="G90" s="83" t="s">
        <v>78</v>
      </c>
      <c r="H90" s="414" t="str">
        <f t="shared" si="3"/>
        <v>FI BOND</v>
      </c>
      <c r="J90" s="76">
        <v>46122</v>
      </c>
      <c r="K90" s="318">
        <f t="shared" si="4"/>
        <v>3</v>
      </c>
    </row>
    <row r="91" spans="6:11" x14ac:dyDescent="0.3">
      <c r="F91" s="83" t="s">
        <v>133</v>
      </c>
      <c r="G91" s="83" t="s">
        <v>86</v>
      </c>
      <c r="H91" s="414" t="str">
        <f t="shared" si="3"/>
        <v>Others</v>
      </c>
      <c r="J91" s="76">
        <v>46125</v>
      </c>
      <c r="K91" s="318">
        <f t="shared" si="4"/>
        <v>1</v>
      </c>
    </row>
    <row r="92" spans="6:11" x14ac:dyDescent="0.3">
      <c r="F92" s="83" t="s">
        <v>170</v>
      </c>
      <c r="G92" s="83" t="s">
        <v>80</v>
      </c>
      <c r="H92" s="414" t="str">
        <f t="shared" si="3"/>
        <v>Others</v>
      </c>
      <c r="J92" s="76">
        <v>46126</v>
      </c>
      <c r="K92" s="318">
        <f t="shared" si="4"/>
        <v>1</v>
      </c>
    </row>
    <row r="93" spans="6:11" x14ac:dyDescent="0.3">
      <c r="F93" s="83" t="s">
        <v>172</v>
      </c>
      <c r="G93" s="83" t="s">
        <v>80</v>
      </c>
      <c r="H93" s="414" t="str">
        <f t="shared" si="3"/>
        <v>Others</v>
      </c>
      <c r="J93" s="76">
        <v>46127</v>
      </c>
      <c r="K93" s="318">
        <f t="shared" si="4"/>
        <v>1</v>
      </c>
    </row>
    <row r="94" spans="6:11" x14ac:dyDescent="0.3">
      <c r="F94" s="83" t="s">
        <v>213</v>
      </c>
      <c r="G94" s="83" t="s">
        <v>80</v>
      </c>
      <c r="H94" s="414" t="str">
        <f t="shared" si="3"/>
        <v>Others</v>
      </c>
      <c r="J94" s="76">
        <v>46128</v>
      </c>
      <c r="K94" s="318">
        <f t="shared" si="4"/>
        <v>1</v>
      </c>
    </row>
    <row r="95" spans="6:11" x14ac:dyDescent="0.3">
      <c r="F95" s="83" t="s">
        <v>214</v>
      </c>
      <c r="G95" s="83" t="s">
        <v>80</v>
      </c>
      <c r="H95" s="414" t="str">
        <f t="shared" si="3"/>
        <v>Others</v>
      </c>
      <c r="J95" s="76">
        <v>46129</v>
      </c>
      <c r="K95" s="318">
        <f t="shared" si="4"/>
        <v>3</v>
      </c>
    </row>
    <row r="96" spans="6:11" x14ac:dyDescent="0.3">
      <c r="F96" s="83" t="s">
        <v>168</v>
      </c>
      <c r="G96" s="83" t="s">
        <v>78</v>
      </c>
      <c r="H96" s="414" t="str">
        <f t="shared" si="3"/>
        <v>FI BOND</v>
      </c>
      <c r="J96" s="76">
        <v>46132</v>
      </c>
      <c r="K96" s="318">
        <f t="shared" si="4"/>
        <v>1</v>
      </c>
    </row>
    <row r="97" spans="6:11" x14ac:dyDescent="0.3">
      <c r="F97" s="83" t="s">
        <v>215</v>
      </c>
      <c r="G97" s="83" t="s">
        <v>80</v>
      </c>
      <c r="H97" s="414" t="str">
        <f t="shared" si="3"/>
        <v>Others</v>
      </c>
      <c r="J97" s="76">
        <v>46133</v>
      </c>
      <c r="K97" s="318">
        <f t="shared" si="4"/>
        <v>1</v>
      </c>
    </row>
    <row r="98" spans="6:11" x14ac:dyDescent="0.3">
      <c r="F98" s="83" t="s">
        <v>216</v>
      </c>
      <c r="G98" s="83" t="s">
        <v>111</v>
      </c>
      <c r="H98" s="414" t="str">
        <f t="shared" si="3"/>
        <v>Others</v>
      </c>
      <c r="J98" s="76">
        <v>46134</v>
      </c>
      <c r="K98" s="318">
        <f t="shared" si="4"/>
        <v>1</v>
      </c>
    </row>
    <row r="99" spans="6:11" x14ac:dyDescent="0.3">
      <c r="F99" s="83" t="s">
        <v>217</v>
      </c>
      <c r="G99" s="83" t="s">
        <v>111</v>
      </c>
      <c r="H99" s="414" t="str">
        <f t="shared" si="3"/>
        <v>Others</v>
      </c>
      <c r="J99" s="76">
        <v>46135</v>
      </c>
      <c r="K99" s="318">
        <f t="shared" si="4"/>
        <v>1</v>
      </c>
    </row>
    <row r="100" spans="6:11" x14ac:dyDescent="0.3">
      <c r="F100" s="83" t="s">
        <v>218</v>
      </c>
      <c r="G100" s="83" t="s">
        <v>86</v>
      </c>
      <c r="H100" s="414" t="str">
        <f t="shared" si="3"/>
        <v>Others</v>
      </c>
      <c r="J100" s="76">
        <v>46136</v>
      </c>
      <c r="K100" s="318">
        <f t="shared" si="4"/>
        <v>4</v>
      </c>
    </row>
    <row r="101" spans="6:11" x14ac:dyDescent="0.3">
      <c r="F101" s="83" t="s">
        <v>219</v>
      </c>
      <c r="G101" s="83" t="s">
        <v>80</v>
      </c>
      <c r="H101" s="414" t="str">
        <f t="shared" si="3"/>
        <v>Others</v>
      </c>
      <c r="J101" s="76">
        <v>46140</v>
      </c>
      <c r="K101" s="318">
        <f t="shared" si="4"/>
        <v>1</v>
      </c>
    </row>
    <row r="102" spans="6:11" x14ac:dyDescent="0.3">
      <c r="F102" s="83" t="s">
        <v>105</v>
      </c>
      <c r="G102" s="83" t="s">
        <v>78</v>
      </c>
      <c r="H102" s="414" t="str">
        <f t="shared" si="3"/>
        <v>FI BOND</v>
      </c>
      <c r="J102" s="76">
        <v>46141</v>
      </c>
      <c r="K102" s="318">
        <f t="shared" si="4"/>
        <v>5</v>
      </c>
    </row>
    <row r="103" spans="6:11" x14ac:dyDescent="0.3">
      <c r="F103" s="83" t="s">
        <v>104</v>
      </c>
      <c r="G103" s="83" t="s">
        <v>80</v>
      </c>
      <c r="H103" s="414" t="str">
        <f t="shared" si="3"/>
        <v>Others</v>
      </c>
      <c r="J103" s="76">
        <v>46146</v>
      </c>
      <c r="K103" s="318">
        <f t="shared" si="4"/>
        <v>1</v>
      </c>
    </row>
    <row r="104" spans="6:11" x14ac:dyDescent="0.3">
      <c r="F104" s="83" t="s">
        <v>220</v>
      </c>
      <c r="G104" s="83" t="s">
        <v>88</v>
      </c>
      <c r="H104" s="414" t="str">
        <f t="shared" si="3"/>
        <v>Others</v>
      </c>
      <c r="J104" s="76">
        <v>46147</v>
      </c>
      <c r="K104" s="318">
        <f t="shared" si="4"/>
        <v>1</v>
      </c>
    </row>
    <row r="105" spans="6:11" x14ac:dyDescent="0.3">
      <c r="F105" s="83" t="s">
        <v>140</v>
      </c>
      <c r="G105" s="83" t="s">
        <v>88</v>
      </c>
      <c r="H105" s="414" t="str">
        <f t="shared" si="3"/>
        <v>Others</v>
      </c>
      <c r="J105" s="76">
        <v>46148</v>
      </c>
      <c r="K105" s="318">
        <f t="shared" si="4"/>
        <v>1</v>
      </c>
    </row>
    <row r="106" spans="6:11" x14ac:dyDescent="0.3">
      <c r="F106" s="83" t="s">
        <v>221</v>
      </c>
      <c r="G106" s="83" t="s">
        <v>86</v>
      </c>
      <c r="H106" s="414" t="str">
        <f t="shared" si="3"/>
        <v>Others</v>
      </c>
      <c r="J106" s="76">
        <v>46149</v>
      </c>
      <c r="K106" s="318">
        <f t="shared" si="4"/>
        <v>1</v>
      </c>
    </row>
    <row r="107" spans="6:11" x14ac:dyDescent="0.3">
      <c r="F107" s="83" t="s">
        <v>222</v>
      </c>
      <c r="G107" s="83" t="s">
        <v>80</v>
      </c>
      <c r="H107" s="414" t="str">
        <f t="shared" si="3"/>
        <v>Others</v>
      </c>
      <c r="J107" s="76">
        <v>46150</v>
      </c>
      <c r="K107" s="318">
        <f t="shared" si="4"/>
        <v>3</v>
      </c>
    </row>
    <row r="108" spans="6:11" x14ac:dyDescent="0.3">
      <c r="F108" s="83" t="s">
        <v>94</v>
      </c>
      <c r="G108" s="83" t="s">
        <v>80</v>
      </c>
      <c r="H108" s="414" t="str">
        <f t="shared" si="3"/>
        <v>Others</v>
      </c>
      <c r="J108" s="76">
        <v>46153</v>
      </c>
      <c r="K108" s="318">
        <f t="shared" si="4"/>
        <v>1</v>
      </c>
    </row>
    <row r="109" spans="6:11" x14ac:dyDescent="0.3">
      <c r="F109" s="83" t="s">
        <v>151</v>
      </c>
      <c r="G109" s="83" t="s">
        <v>80</v>
      </c>
      <c r="H109" s="414" t="str">
        <f t="shared" si="3"/>
        <v>Others</v>
      </c>
      <c r="J109" s="76">
        <v>46154</v>
      </c>
      <c r="K109" s="318">
        <f t="shared" si="4"/>
        <v>1</v>
      </c>
    </row>
    <row r="110" spans="6:11" x14ac:dyDescent="0.3">
      <c r="F110" s="83" t="s">
        <v>223</v>
      </c>
      <c r="G110" s="83" t="s">
        <v>80</v>
      </c>
      <c r="H110" s="414" t="str">
        <f t="shared" si="3"/>
        <v>Others</v>
      </c>
      <c r="J110" s="76">
        <v>46155</v>
      </c>
      <c r="K110" s="318">
        <f t="shared" si="4"/>
        <v>1</v>
      </c>
    </row>
    <row r="111" spans="6:11" x14ac:dyDescent="0.3">
      <c r="F111" s="83" t="s">
        <v>169</v>
      </c>
      <c r="G111" s="83" t="s">
        <v>80</v>
      </c>
      <c r="H111" s="414" t="str">
        <f t="shared" si="3"/>
        <v>Others</v>
      </c>
      <c r="J111" s="76">
        <v>46156</v>
      </c>
      <c r="K111" s="318">
        <f t="shared" si="4"/>
        <v>1</v>
      </c>
    </row>
    <row r="112" spans="6:11" x14ac:dyDescent="0.3">
      <c r="F112" s="83" t="s">
        <v>101</v>
      </c>
      <c r="G112" s="83" t="s">
        <v>78</v>
      </c>
      <c r="H112" s="414" t="str">
        <f t="shared" si="3"/>
        <v>FI BOND</v>
      </c>
      <c r="J112" s="76">
        <v>46157</v>
      </c>
      <c r="K112" s="318">
        <f t="shared" si="4"/>
        <v>3</v>
      </c>
    </row>
    <row r="113" spans="6:11" x14ac:dyDescent="0.3">
      <c r="F113" s="83" t="s">
        <v>224</v>
      </c>
      <c r="G113" s="83" t="s">
        <v>80</v>
      </c>
      <c r="H113" s="414" t="str">
        <f t="shared" si="3"/>
        <v>Others</v>
      </c>
      <c r="J113" s="76">
        <v>46160</v>
      </c>
      <c r="K113" s="318">
        <f t="shared" si="4"/>
        <v>1</v>
      </c>
    </row>
    <row r="114" spans="6:11" x14ac:dyDescent="0.3">
      <c r="F114" s="83" t="s">
        <v>225</v>
      </c>
      <c r="G114" s="83" t="s">
        <v>226</v>
      </c>
      <c r="H114" s="414" t="str">
        <f t="shared" si="3"/>
        <v>Others</v>
      </c>
      <c r="J114" s="76">
        <v>46161</v>
      </c>
      <c r="K114" s="318">
        <f t="shared" si="4"/>
        <v>1</v>
      </c>
    </row>
    <row r="115" spans="6:11" x14ac:dyDescent="0.3">
      <c r="F115" s="83" t="s">
        <v>227</v>
      </c>
      <c r="G115" s="83" t="s">
        <v>80</v>
      </c>
      <c r="H115" s="414" t="str">
        <f t="shared" si="3"/>
        <v>Others</v>
      </c>
      <c r="J115" s="76">
        <v>46162</v>
      </c>
      <c r="K115" s="318">
        <f t="shared" si="4"/>
        <v>1</v>
      </c>
    </row>
    <row r="116" spans="6:11" x14ac:dyDescent="0.3">
      <c r="F116" s="83" t="s">
        <v>228</v>
      </c>
      <c r="G116" s="83" t="s">
        <v>119</v>
      </c>
      <c r="H116" s="414" t="str">
        <f t="shared" si="3"/>
        <v>Others</v>
      </c>
      <c r="J116" s="76">
        <v>46163</v>
      </c>
      <c r="K116" s="318">
        <f t="shared" si="4"/>
        <v>1</v>
      </c>
    </row>
    <row r="117" spans="6:11" x14ac:dyDescent="0.3">
      <c r="F117" s="83" t="s">
        <v>229</v>
      </c>
      <c r="G117" s="83" t="s">
        <v>100</v>
      </c>
      <c r="H117" s="414" t="str">
        <f t="shared" si="3"/>
        <v>FI BOND</v>
      </c>
      <c r="J117" s="76">
        <v>46164</v>
      </c>
      <c r="K117" s="318">
        <f t="shared" si="4"/>
        <v>3</v>
      </c>
    </row>
    <row r="118" spans="6:11" x14ac:dyDescent="0.3">
      <c r="F118" s="83" t="s">
        <v>230</v>
      </c>
      <c r="G118" s="83" t="s">
        <v>226</v>
      </c>
      <c r="H118" s="414" t="str">
        <f t="shared" si="3"/>
        <v>Others</v>
      </c>
      <c r="J118" s="76">
        <v>46167</v>
      </c>
      <c r="K118" s="318">
        <f t="shared" si="4"/>
        <v>1</v>
      </c>
    </row>
    <row r="119" spans="6:11" x14ac:dyDescent="0.3">
      <c r="F119" s="83" t="s">
        <v>112</v>
      </c>
      <c r="G119" s="83" t="s">
        <v>100</v>
      </c>
      <c r="H119" s="414" t="str">
        <f t="shared" si="3"/>
        <v>FI BOND</v>
      </c>
      <c r="J119" s="76">
        <v>46168</v>
      </c>
      <c r="K119" s="318">
        <f t="shared" si="4"/>
        <v>1</v>
      </c>
    </row>
    <row r="120" spans="6:11" x14ac:dyDescent="0.3">
      <c r="F120" s="83" t="s">
        <v>232</v>
      </c>
      <c r="G120" s="83" t="s">
        <v>80</v>
      </c>
      <c r="H120" s="414" t="str">
        <f t="shared" si="3"/>
        <v>Others</v>
      </c>
      <c r="J120" s="76">
        <v>46169</v>
      </c>
      <c r="K120" s="318">
        <f t="shared" si="4"/>
        <v>1</v>
      </c>
    </row>
    <row r="121" spans="6:11" x14ac:dyDescent="0.3">
      <c r="F121" s="83" t="s">
        <v>117</v>
      </c>
      <c r="G121" s="83" t="s">
        <v>80</v>
      </c>
      <c r="H121" s="414" t="str">
        <f t="shared" si="3"/>
        <v>Others</v>
      </c>
      <c r="J121" s="76">
        <v>46170</v>
      </c>
      <c r="K121" s="318">
        <f t="shared" si="4"/>
        <v>1</v>
      </c>
    </row>
    <row r="122" spans="6:11" x14ac:dyDescent="0.3">
      <c r="F122" s="83" t="s">
        <v>81</v>
      </c>
      <c r="G122" s="83" t="s">
        <v>80</v>
      </c>
      <c r="H122" s="414" t="str">
        <f t="shared" si="3"/>
        <v>Others</v>
      </c>
      <c r="J122" s="76">
        <v>46171</v>
      </c>
      <c r="K122" s="318">
        <f t="shared" si="4"/>
        <v>3</v>
      </c>
    </row>
    <row r="123" spans="6:11" x14ac:dyDescent="0.3">
      <c r="F123" s="83" t="s">
        <v>233</v>
      </c>
      <c r="G123" s="83" t="s">
        <v>78</v>
      </c>
      <c r="H123" s="414" t="str">
        <f t="shared" si="3"/>
        <v>FI BOND</v>
      </c>
      <c r="J123" s="76">
        <v>46174</v>
      </c>
      <c r="K123" s="318">
        <f t="shared" si="4"/>
        <v>1</v>
      </c>
    </row>
    <row r="124" spans="6:11" x14ac:dyDescent="0.3">
      <c r="F124" s="83" t="s">
        <v>84</v>
      </c>
      <c r="G124" s="83" t="s">
        <v>78</v>
      </c>
      <c r="H124" s="414" t="str">
        <f t="shared" si="3"/>
        <v>FI BOND</v>
      </c>
      <c r="J124" s="76">
        <v>46175</v>
      </c>
      <c r="K124" s="318">
        <f t="shared" si="4"/>
        <v>1</v>
      </c>
    </row>
    <row r="125" spans="6:11" x14ac:dyDescent="0.3">
      <c r="F125" s="83" t="s">
        <v>234</v>
      </c>
      <c r="G125" s="83" t="s">
        <v>86</v>
      </c>
      <c r="H125" s="414" t="str">
        <f t="shared" si="3"/>
        <v>Others</v>
      </c>
      <c r="J125" s="76">
        <v>46176</v>
      </c>
      <c r="K125" s="318">
        <f t="shared" si="4"/>
        <v>1</v>
      </c>
    </row>
    <row r="126" spans="6:11" x14ac:dyDescent="0.3">
      <c r="F126" s="83" t="s">
        <v>235</v>
      </c>
      <c r="G126" s="83" t="s">
        <v>119</v>
      </c>
      <c r="H126" s="414" t="str">
        <f t="shared" si="3"/>
        <v>Others</v>
      </c>
      <c r="J126" s="76">
        <v>46177</v>
      </c>
      <c r="K126" s="318">
        <f t="shared" si="4"/>
        <v>1</v>
      </c>
    </row>
    <row r="127" spans="6:11" x14ac:dyDescent="0.3">
      <c r="F127" s="83" t="s">
        <v>236</v>
      </c>
      <c r="G127" s="83" t="s">
        <v>237</v>
      </c>
      <c r="H127" s="414" t="str">
        <f t="shared" si="3"/>
        <v>Others</v>
      </c>
      <c r="J127" s="76">
        <v>46178</v>
      </c>
      <c r="K127" s="318">
        <f t="shared" si="4"/>
        <v>3</v>
      </c>
    </row>
    <row r="128" spans="6:11" x14ac:dyDescent="0.3">
      <c r="F128" s="83" t="s">
        <v>159</v>
      </c>
      <c r="G128" s="83" t="s">
        <v>80</v>
      </c>
      <c r="H128" s="414" t="str">
        <f t="shared" si="3"/>
        <v>Others</v>
      </c>
      <c r="J128" s="76">
        <v>46181</v>
      </c>
      <c r="K128" s="318">
        <f t="shared" si="4"/>
        <v>1</v>
      </c>
    </row>
    <row r="129" spans="6:11" x14ac:dyDescent="0.3">
      <c r="F129" s="83" t="s">
        <v>238</v>
      </c>
      <c r="G129" s="83" t="s">
        <v>80</v>
      </c>
      <c r="H129" s="414" t="str">
        <f t="shared" si="3"/>
        <v>Others</v>
      </c>
      <c r="J129" s="76">
        <v>46182</v>
      </c>
      <c r="K129" s="318">
        <f t="shared" si="4"/>
        <v>1</v>
      </c>
    </row>
    <row r="130" spans="6:11" x14ac:dyDescent="0.3">
      <c r="F130" s="83" t="s">
        <v>239</v>
      </c>
      <c r="G130" s="83" t="s">
        <v>88</v>
      </c>
      <c r="H130" s="414" t="str">
        <f t="shared" ref="H130:H193" si="5">IF(OR(G130="TÀI CHÍNH",G130="NGÂN HÀNG",G130="CHỨNG KHOÁN"),"FI BOND","Others")</f>
        <v>Others</v>
      </c>
      <c r="J130" s="76">
        <v>46183</v>
      </c>
      <c r="K130" s="318">
        <f t="shared" si="4"/>
        <v>1</v>
      </c>
    </row>
    <row r="131" spans="6:11" x14ac:dyDescent="0.3">
      <c r="F131" s="83" t="s">
        <v>138</v>
      </c>
      <c r="G131" s="83" t="s">
        <v>100</v>
      </c>
      <c r="H131" s="414" t="str">
        <f t="shared" si="5"/>
        <v>FI BOND</v>
      </c>
      <c r="J131" s="76">
        <v>46184</v>
      </c>
      <c r="K131" s="318">
        <f t="shared" si="4"/>
        <v>1</v>
      </c>
    </row>
    <row r="132" spans="6:11" x14ac:dyDescent="0.3">
      <c r="F132" s="83" t="s">
        <v>240</v>
      </c>
      <c r="G132" s="83" t="s">
        <v>86</v>
      </c>
      <c r="H132" s="414" t="str">
        <f t="shared" si="5"/>
        <v>Others</v>
      </c>
      <c r="J132" s="76">
        <v>46185</v>
      </c>
      <c r="K132" s="318">
        <f t="shared" si="4"/>
        <v>3</v>
      </c>
    </row>
    <row r="133" spans="6:11" x14ac:dyDescent="0.3">
      <c r="F133" s="83" t="s">
        <v>241</v>
      </c>
      <c r="G133" s="83" t="s">
        <v>80</v>
      </c>
      <c r="H133" s="414" t="str">
        <f t="shared" si="5"/>
        <v>Others</v>
      </c>
      <c r="J133" s="76">
        <v>46188</v>
      </c>
      <c r="K133" s="318">
        <f t="shared" si="4"/>
        <v>1</v>
      </c>
    </row>
    <row r="134" spans="6:11" x14ac:dyDescent="0.3">
      <c r="F134" s="83" t="s">
        <v>136</v>
      </c>
      <c r="G134" s="83" t="s">
        <v>80</v>
      </c>
      <c r="H134" s="414" t="str">
        <f t="shared" si="5"/>
        <v>Others</v>
      </c>
      <c r="J134" s="76">
        <v>46189</v>
      </c>
      <c r="K134" s="318">
        <f t="shared" si="4"/>
        <v>1</v>
      </c>
    </row>
    <row r="135" spans="6:11" x14ac:dyDescent="0.3">
      <c r="F135" s="83" t="s">
        <v>242</v>
      </c>
      <c r="G135" s="83" t="s">
        <v>86</v>
      </c>
      <c r="H135" s="414" t="str">
        <f t="shared" si="5"/>
        <v>Others</v>
      </c>
      <c r="J135" s="76">
        <v>46190</v>
      </c>
      <c r="K135" s="318">
        <f t="shared" si="4"/>
        <v>1</v>
      </c>
    </row>
    <row r="136" spans="6:11" x14ac:dyDescent="0.3">
      <c r="F136" s="83" t="s">
        <v>243</v>
      </c>
      <c r="G136" s="83" t="s">
        <v>202</v>
      </c>
      <c r="H136" s="414" t="str">
        <f t="shared" si="5"/>
        <v>Others</v>
      </c>
      <c r="J136" s="76">
        <v>46191</v>
      </c>
      <c r="K136" s="318">
        <f t="shared" ref="K136:K199" si="6">J137-J136</f>
        <v>1</v>
      </c>
    </row>
    <row r="137" spans="6:11" x14ac:dyDescent="0.3">
      <c r="F137" s="83" t="s">
        <v>118</v>
      </c>
      <c r="G137" s="83" t="s">
        <v>119</v>
      </c>
      <c r="H137" s="414" t="str">
        <f t="shared" si="5"/>
        <v>Others</v>
      </c>
      <c r="J137" s="76">
        <v>46192</v>
      </c>
      <c r="K137" s="318">
        <f t="shared" si="6"/>
        <v>3</v>
      </c>
    </row>
    <row r="138" spans="6:11" x14ac:dyDescent="0.3">
      <c r="F138" s="83" t="s">
        <v>158</v>
      </c>
      <c r="G138" s="83" t="s">
        <v>109</v>
      </c>
      <c r="H138" s="414" t="str">
        <f t="shared" si="5"/>
        <v>FI BOND</v>
      </c>
      <c r="J138" s="76">
        <v>46195</v>
      </c>
      <c r="K138" s="318">
        <f t="shared" si="6"/>
        <v>1</v>
      </c>
    </row>
    <row r="139" spans="6:11" x14ac:dyDescent="0.3">
      <c r="F139" s="83" t="s">
        <v>164</v>
      </c>
      <c r="G139" s="83" t="s">
        <v>80</v>
      </c>
      <c r="H139" s="414" t="str">
        <f t="shared" si="5"/>
        <v>Others</v>
      </c>
      <c r="J139" s="76">
        <v>46196</v>
      </c>
      <c r="K139" s="318">
        <f t="shared" si="6"/>
        <v>1</v>
      </c>
    </row>
    <row r="140" spans="6:11" x14ac:dyDescent="0.3">
      <c r="F140" s="83" t="s">
        <v>244</v>
      </c>
      <c r="G140" s="83" t="s">
        <v>80</v>
      </c>
      <c r="H140" s="414" t="str">
        <f t="shared" si="5"/>
        <v>Others</v>
      </c>
      <c r="J140" s="76">
        <v>46197</v>
      </c>
      <c r="K140" s="318">
        <f t="shared" si="6"/>
        <v>1</v>
      </c>
    </row>
    <row r="141" spans="6:11" x14ac:dyDescent="0.3">
      <c r="F141" s="83" t="s">
        <v>128</v>
      </c>
      <c r="G141" s="83" t="s">
        <v>80</v>
      </c>
      <c r="H141" s="414" t="str">
        <f t="shared" si="5"/>
        <v>Others</v>
      </c>
      <c r="J141" s="76">
        <v>46198</v>
      </c>
      <c r="K141" s="318">
        <f t="shared" si="6"/>
        <v>1</v>
      </c>
    </row>
    <row r="142" spans="6:11" x14ac:dyDescent="0.3">
      <c r="F142" s="83" t="s">
        <v>125</v>
      </c>
      <c r="G142" s="83" t="s">
        <v>80</v>
      </c>
      <c r="H142" s="414" t="str">
        <f t="shared" si="5"/>
        <v>Others</v>
      </c>
      <c r="J142" s="76">
        <v>46199</v>
      </c>
      <c r="K142" s="318">
        <f t="shared" si="6"/>
        <v>3</v>
      </c>
    </row>
    <row r="143" spans="6:11" x14ac:dyDescent="0.3">
      <c r="F143" s="83" t="s">
        <v>246</v>
      </c>
      <c r="G143" s="83" t="s">
        <v>107</v>
      </c>
      <c r="H143" s="414" t="str">
        <f t="shared" si="5"/>
        <v>Others</v>
      </c>
      <c r="J143" s="76">
        <v>46202</v>
      </c>
      <c r="K143" s="318">
        <f t="shared" si="6"/>
        <v>1</v>
      </c>
    </row>
    <row r="144" spans="6:11" x14ac:dyDescent="0.3">
      <c r="F144" s="83" t="s">
        <v>157</v>
      </c>
      <c r="G144" s="83" t="s">
        <v>80</v>
      </c>
      <c r="H144" s="414" t="str">
        <f t="shared" si="5"/>
        <v>Others</v>
      </c>
      <c r="J144" s="76">
        <v>46203</v>
      </c>
      <c r="K144" s="318">
        <f t="shared" si="6"/>
        <v>1</v>
      </c>
    </row>
    <row r="145" spans="6:11" x14ac:dyDescent="0.3">
      <c r="F145" s="83" t="s">
        <v>247</v>
      </c>
      <c r="G145" s="83" t="s">
        <v>80</v>
      </c>
      <c r="H145" s="414" t="str">
        <f t="shared" si="5"/>
        <v>Others</v>
      </c>
      <c r="J145" s="76">
        <v>46204</v>
      </c>
      <c r="K145" s="318">
        <f t="shared" si="6"/>
        <v>1</v>
      </c>
    </row>
    <row r="146" spans="6:11" x14ac:dyDescent="0.3">
      <c r="F146" s="83" t="s">
        <v>171</v>
      </c>
      <c r="G146" s="83" t="s">
        <v>78</v>
      </c>
      <c r="H146" s="414" t="str">
        <f t="shared" si="5"/>
        <v>FI BOND</v>
      </c>
      <c r="J146" s="76">
        <v>46205</v>
      </c>
      <c r="K146" s="318">
        <f t="shared" si="6"/>
        <v>1</v>
      </c>
    </row>
    <row r="147" spans="6:11" x14ac:dyDescent="0.3">
      <c r="F147" s="83" t="s">
        <v>248</v>
      </c>
      <c r="G147" s="83" t="s">
        <v>80</v>
      </c>
      <c r="H147" s="414" t="str">
        <f t="shared" si="5"/>
        <v>Others</v>
      </c>
      <c r="J147" s="76">
        <v>46206</v>
      </c>
      <c r="K147" s="318">
        <f t="shared" si="6"/>
        <v>3</v>
      </c>
    </row>
    <row r="148" spans="6:11" x14ac:dyDescent="0.3">
      <c r="F148" s="83" t="s">
        <v>83</v>
      </c>
      <c r="G148" s="83" t="s">
        <v>80</v>
      </c>
      <c r="H148" s="414" t="str">
        <f t="shared" si="5"/>
        <v>Others</v>
      </c>
      <c r="J148" s="76">
        <v>46209</v>
      </c>
      <c r="K148" s="318">
        <f t="shared" si="6"/>
        <v>1</v>
      </c>
    </row>
    <row r="149" spans="6:11" x14ac:dyDescent="0.3">
      <c r="F149" s="83" t="s">
        <v>148</v>
      </c>
      <c r="G149" s="83" t="s">
        <v>80</v>
      </c>
      <c r="H149" s="414" t="str">
        <f t="shared" si="5"/>
        <v>Others</v>
      </c>
      <c r="J149" s="76">
        <v>46210</v>
      </c>
      <c r="K149" s="318">
        <f t="shared" si="6"/>
        <v>1</v>
      </c>
    </row>
    <row r="150" spans="6:11" x14ac:dyDescent="0.3">
      <c r="F150" s="83" t="s">
        <v>249</v>
      </c>
      <c r="G150" s="83" t="s">
        <v>80</v>
      </c>
      <c r="H150" s="414" t="str">
        <f t="shared" si="5"/>
        <v>Others</v>
      </c>
      <c r="J150" s="76">
        <v>46211</v>
      </c>
      <c r="K150" s="318">
        <f t="shared" si="6"/>
        <v>1</v>
      </c>
    </row>
    <row r="151" spans="6:11" x14ac:dyDescent="0.3">
      <c r="F151" s="83" t="s">
        <v>250</v>
      </c>
      <c r="G151" s="83" t="s">
        <v>88</v>
      </c>
      <c r="H151" s="414" t="str">
        <f t="shared" si="5"/>
        <v>Others</v>
      </c>
      <c r="J151" s="76">
        <v>46212</v>
      </c>
      <c r="K151" s="318">
        <f t="shared" si="6"/>
        <v>1</v>
      </c>
    </row>
    <row r="152" spans="6:11" x14ac:dyDescent="0.3">
      <c r="F152" s="83" t="s">
        <v>251</v>
      </c>
      <c r="G152" s="83" t="s">
        <v>226</v>
      </c>
      <c r="H152" s="414" t="str">
        <f t="shared" si="5"/>
        <v>Others</v>
      </c>
      <c r="J152" s="76">
        <v>46213</v>
      </c>
      <c r="K152" s="318">
        <f t="shared" si="6"/>
        <v>3</v>
      </c>
    </row>
    <row r="153" spans="6:11" x14ac:dyDescent="0.3">
      <c r="F153" s="83" t="s">
        <v>253</v>
      </c>
      <c r="G153" s="83" t="s">
        <v>80</v>
      </c>
      <c r="H153" s="414" t="str">
        <f t="shared" si="5"/>
        <v>Others</v>
      </c>
      <c r="J153" s="76">
        <v>46216</v>
      </c>
      <c r="K153" s="318">
        <f t="shared" si="6"/>
        <v>1</v>
      </c>
    </row>
    <row r="154" spans="6:11" x14ac:dyDescent="0.3">
      <c r="F154" s="83" t="s">
        <v>129</v>
      </c>
      <c r="G154" s="83" t="s">
        <v>80</v>
      </c>
      <c r="H154" s="414" t="str">
        <f t="shared" si="5"/>
        <v>Others</v>
      </c>
      <c r="J154" s="76">
        <v>46217</v>
      </c>
      <c r="K154" s="318">
        <f t="shared" si="6"/>
        <v>1</v>
      </c>
    </row>
    <row r="155" spans="6:11" x14ac:dyDescent="0.3">
      <c r="F155" s="83" t="s">
        <v>155</v>
      </c>
      <c r="G155" s="83" t="s">
        <v>80</v>
      </c>
      <c r="H155" s="414" t="str">
        <f t="shared" si="5"/>
        <v>Others</v>
      </c>
      <c r="J155" s="76">
        <v>46218</v>
      </c>
      <c r="K155" s="318">
        <f t="shared" si="6"/>
        <v>1</v>
      </c>
    </row>
    <row r="156" spans="6:11" x14ac:dyDescent="0.3">
      <c r="F156" s="83" t="s">
        <v>254</v>
      </c>
      <c r="G156" s="83" t="s">
        <v>80</v>
      </c>
      <c r="H156" s="414" t="str">
        <f t="shared" si="5"/>
        <v>Others</v>
      </c>
      <c r="J156" s="76">
        <v>46219</v>
      </c>
      <c r="K156" s="318">
        <f t="shared" si="6"/>
        <v>1</v>
      </c>
    </row>
    <row r="157" spans="6:11" x14ac:dyDescent="0.3">
      <c r="F157" s="83" t="s">
        <v>141</v>
      </c>
      <c r="G157" s="83" t="s">
        <v>109</v>
      </c>
      <c r="H157" s="414" t="str">
        <f t="shared" si="5"/>
        <v>FI BOND</v>
      </c>
      <c r="J157" s="76">
        <v>46220</v>
      </c>
      <c r="K157" s="318">
        <f t="shared" si="6"/>
        <v>3</v>
      </c>
    </row>
    <row r="158" spans="6:11" x14ac:dyDescent="0.3">
      <c r="F158" s="83" t="s">
        <v>137</v>
      </c>
      <c r="G158" s="83" t="s">
        <v>119</v>
      </c>
      <c r="H158" s="414" t="str">
        <f t="shared" si="5"/>
        <v>Others</v>
      </c>
      <c r="J158" s="76">
        <v>46223</v>
      </c>
      <c r="K158" s="318">
        <f t="shared" si="6"/>
        <v>1</v>
      </c>
    </row>
    <row r="159" spans="6:11" x14ac:dyDescent="0.3">
      <c r="F159" s="83" t="s">
        <v>255</v>
      </c>
      <c r="G159" s="83" t="s">
        <v>119</v>
      </c>
      <c r="H159" s="414" t="str">
        <f t="shared" si="5"/>
        <v>Others</v>
      </c>
      <c r="J159" s="76">
        <v>46224</v>
      </c>
      <c r="K159" s="318">
        <f t="shared" si="6"/>
        <v>1</v>
      </c>
    </row>
    <row r="160" spans="6:11" x14ac:dyDescent="0.3">
      <c r="F160" s="83" t="s">
        <v>258</v>
      </c>
      <c r="G160" s="83" t="s">
        <v>80</v>
      </c>
      <c r="H160" s="414" t="str">
        <f t="shared" si="5"/>
        <v>Others</v>
      </c>
      <c r="J160" s="76">
        <v>46225</v>
      </c>
      <c r="K160" s="318">
        <f t="shared" si="6"/>
        <v>1</v>
      </c>
    </row>
    <row r="161" spans="6:11" x14ac:dyDescent="0.3">
      <c r="F161" s="83" t="s">
        <v>260</v>
      </c>
      <c r="G161" s="83" t="s">
        <v>80</v>
      </c>
      <c r="H161" s="414" t="str">
        <f t="shared" si="5"/>
        <v>Others</v>
      </c>
      <c r="J161" s="76">
        <v>46226</v>
      </c>
      <c r="K161" s="318">
        <f t="shared" si="6"/>
        <v>1</v>
      </c>
    </row>
    <row r="162" spans="6:11" x14ac:dyDescent="0.3">
      <c r="F162" s="83" t="s">
        <v>261</v>
      </c>
      <c r="G162" s="83" t="s">
        <v>119</v>
      </c>
      <c r="H162" s="414" t="str">
        <f t="shared" si="5"/>
        <v>Others</v>
      </c>
      <c r="J162" s="76">
        <v>46227</v>
      </c>
      <c r="K162" s="318">
        <f t="shared" si="6"/>
        <v>3</v>
      </c>
    </row>
    <row r="163" spans="6:11" x14ac:dyDescent="0.3">
      <c r="F163" s="83" t="s">
        <v>152</v>
      </c>
      <c r="G163" s="83" t="s">
        <v>88</v>
      </c>
      <c r="H163" s="414" t="str">
        <f t="shared" si="5"/>
        <v>Others</v>
      </c>
      <c r="J163" s="76">
        <v>46230</v>
      </c>
      <c r="K163" s="318">
        <f t="shared" si="6"/>
        <v>1</v>
      </c>
    </row>
    <row r="164" spans="6:11" x14ac:dyDescent="0.3">
      <c r="F164" s="83" t="s">
        <v>263</v>
      </c>
      <c r="G164" s="83" t="s">
        <v>109</v>
      </c>
      <c r="H164" s="414" t="str">
        <f t="shared" si="5"/>
        <v>FI BOND</v>
      </c>
      <c r="J164" s="76">
        <v>46231</v>
      </c>
      <c r="K164" s="318">
        <f t="shared" si="6"/>
        <v>1</v>
      </c>
    </row>
    <row r="165" spans="6:11" x14ac:dyDescent="0.3">
      <c r="F165" s="83" t="s">
        <v>264</v>
      </c>
      <c r="G165" s="83" t="s">
        <v>119</v>
      </c>
      <c r="H165" s="414" t="str">
        <f t="shared" si="5"/>
        <v>Others</v>
      </c>
      <c r="J165" s="76">
        <v>46232</v>
      </c>
      <c r="K165" s="318">
        <f t="shared" si="6"/>
        <v>1</v>
      </c>
    </row>
    <row r="166" spans="6:11" x14ac:dyDescent="0.3">
      <c r="F166" s="83" t="s">
        <v>265</v>
      </c>
      <c r="G166" s="83" t="s">
        <v>78</v>
      </c>
      <c r="H166" s="414" t="str">
        <f t="shared" si="5"/>
        <v>FI BOND</v>
      </c>
      <c r="J166" s="76">
        <v>46233</v>
      </c>
      <c r="K166" s="318">
        <f t="shared" si="6"/>
        <v>1</v>
      </c>
    </row>
    <row r="167" spans="6:11" x14ac:dyDescent="0.3">
      <c r="F167" s="83" t="s">
        <v>154</v>
      </c>
      <c r="G167" s="83" t="s">
        <v>80</v>
      </c>
      <c r="H167" s="414" t="str">
        <f t="shared" si="5"/>
        <v>Others</v>
      </c>
      <c r="J167" s="76">
        <v>46234</v>
      </c>
      <c r="K167" s="318">
        <f t="shared" si="6"/>
        <v>3</v>
      </c>
    </row>
    <row r="168" spans="6:11" x14ac:dyDescent="0.3">
      <c r="F168" s="83" t="s">
        <v>358</v>
      </c>
      <c r="G168" s="83" t="s">
        <v>78</v>
      </c>
      <c r="H168" s="414" t="str">
        <f t="shared" si="5"/>
        <v>FI BOND</v>
      </c>
      <c r="J168" s="76">
        <v>46237</v>
      </c>
      <c r="K168" s="318">
        <f t="shared" si="6"/>
        <v>1</v>
      </c>
    </row>
    <row r="169" spans="6:11" x14ac:dyDescent="0.3">
      <c r="F169" s="83" t="s">
        <v>359</v>
      </c>
      <c r="G169" s="83" t="s">
        <v>88</v>
      </c>
      <c r="H169" s="414" t="str">
        <f t="shared" si="5"/>
        <v>Others</v>
      </c>
      <c r="J169" s="76">
        <v>46238</v>
      </c>
      <c r="K169" s="318">
        <f t="shared" si="6"/>
        <v>1</v>
      </c>
    </row>
    <row r="170" spans="6:11" x14ac:dyDescent="0.3">
      <c r="F170" s="83" t="s">
        <v>166</v>
      </c>
      <c r="G170" s="83" t="s">
        <v>86</v>
      </c>
      <c r="H170" s="414" t="str">
        <f t="shared" si="5"/>
        <v>Others</v>
      </c>
      <c r="J170" s="76">
        <v>46239</v>
      </c>
      <c r="K170" s="318">
        <f t="shared" si="6"/>
        <v>1</v>
      </c>
    </row>
    <row r="171" spans="6:11" x14ac:dyDescent="0.3">
      <c r="F171" s="83" t="s">
        <v>360</v>
      </c>
      <c r="G171" s="83" t="s">
        <v>100</v>
      </c>
      <c r="H171" s="414" t="str">
        <f t="shared" si="5"/>
        <v>FI BOND</v>
      </c>
      <c r="J171" s="76">
        <v>46240</v>
      </c>
      <c r="K171" s="318">
        <f t="shared" si="6"/>
        <v>1</v>
      </c>
    </row>
    <row r="172" spans="6:11" x14ac:dyDescent="0.3">
      <c r="F172" s="83" t="s">
        <v>361</v>
      </c>
      <c r="G172" s="83" t="s">
        <v>80</v>
      </c>
      <c r="H172" s="414" t="str">
        <f t="shared" si="5"/>
        <v>Others</v>
      </c>
      <c r="J172" s="76">
        <v>46241</v>
      </c>
      <c r="K172" s="318">
        <f t="shared" si="6"/>
        <v>3</v>
      </c>
    </row>
    <row r="173" spans="6:11" x14ac:dyDescent="0.3">
      <c r="F173" s="83" t="s">
        <v>408</v>
      </c>
      <c r="G173" s="83" t="s">
        <v>80</v>
      </c>
      <c r="H173" s="414" t="str">
        <f t="shared" si="5"/>
        <v>Others</v>
      </c>
      <c r="J173" s="76">
        <v>46244</v>
      </c>
      <c r="K173" s="318">
        <f t="shared" si="6"/>
        <v>1</v>
      </c>
    </row>
    <row r="174" spans="6:11" x14ac:dyDescent="0.3">
      <c r="F174" s="83" t="s">
        <v>470</v>
      </c>
      <c r="G174" s="83" t="s">
        <v>80</v>
      </c>
      <c r="H174" s="414" t="str">
        <f t="shared" si="5"/>
        <v>Others</v>
      </c>
      <c r="J174" s="76">
        <v>46245</v>
      </c>
      <c r="K174" s="318">
        <f t="shared" si="6"/>
        <v>1</v>
      </c>
    </row>
    <row r="175" spans="6:11" x14ac:dyDescent="0.3">
      <c r="F175" s="83" t="s">
        <v>529</v>
      </c>
      <c r="G175" s="83" t="s">
        <v>88</v>
      </c>
      <c r="H175" s="414" t="str">
        <f t="shared" si="5"/>
        <v>Others</v>
      </c>
      <c r="J175" s="76">
        <v>46246</v>
      </c>
      <c r="K175" s="318">
        <f t="shared" si="6"/>
        <v>1</v>
      </c>
    </row>
    <row r="176" spans="6:11" x14ac:dyDescent="0.3">
      <c r="F176" s="83" t="s">
        <v>552</v>
      </c>
      <c r="G176" s="83" t="s">
        <v>80</v>
      </c>
      <c r="H176" s="414" t="str">
        <f t="shared" si="5"/>
        <v>Others</v>
      </c>
      <c r="J176" s="76">
        <v>46247</v>
      </c>
      <c r="K176" s="318">
        <f t="shared" si="6"/>
        <v>1</v>
      </c>
    </row>
    <row r="177" spans="6:11" x14ac:dyDescent="0.3">
      <c r="F177" s="75" t="s">
        <v>559</v>
      </c>
      <c r="G177" s="75" t="s">
        <v>80</v>
      </c>
      <c r="H177" s="414" t="str">
        <f t="shared" si="5"/>
        <v>Others</v>
      </c>
      <c r="J177" s="76">
        <v>46248</v>
      </c>
      <c r="K177" s="318">
        <f t="shared" si="6"/>
        <v>3</v>
      </c>
    </row>
    <row r="178" spans="6:11" x14ac:dyDescent="0.3">
      <c r="F178" s="75" t="s">
        <v>560</v>
      </c>
      <c r="G178" s="75" t="s">
        <v>80</v>
      </c>
      <c r="H178" s="414" t="str">
        <f t="shared" si="5"/>
        <v>Others</v>
      </c>
      <c r="J178" s="76">
        <v>46251</v>
      </c>
      <c r="K178" s="318">
        <f t="shared" si="6"/>
        <v>1</v>
      </c>
    </row>
    <row r="179" spans="6:11" x14ac:dyDescent="0.3">
      <c r="F179" s="75" t="s">
        <v>561</v>
      </c>
      <c r="G179" s="75" t="s">
        <v>109</v>
      </c>
      <c r="H179" s="414" t="str">
        <f t="shared" si="5"/>
        <v>FI BOND</v>
      </c>
      <c r="J179" s="76">
        <v>46252</v>
      </c>
      <c r="K179" s="318">
        <f t="shared" si="6"/>
        <v>1</v>
      </c>
    </row>
    <row r="180" spans="6:11" x14ac:dyDescent="0.3">
      <c r="F180" s="75" t="s">
        <v>565</v>
      </c>
      <c r="G180" s="75" t="s">
        <v>80</v>
      </c>
      <c r="H180" s="414" t="str">
        <f t="shared" si="5"/>
        <v>Others</v>
      </c>
      <c r="J180" s="76">
        <v>46253</v>
      </c>
      <c r="K180" s="318">
        <f t="shared" si="6"/>
        <v>1</v>
      </c>
    </row>
    <row r="181" spans="6:11" x14ac:dyDescent="0.3">
      <c r="F181" s="75" t="s">
        <v>566</v>
      </c>
      <c r="G181" s="75" t="s">
        <v>80</v>
      </c>
      <c r="H181" s="414" t="str">
        <f t="shared" si="5"/>
        <v>Others</v>
      </c>
      <c r="J181" s="76">
        <v>46254</v>
      </c>
      <c r="K181" s="318">
        <f t="shared" si="6"/>
        <v>1</v>
      </c>
    </row>
    <row r="182" spans="6:11" x14ac:dyDescent="0.3">
      <c r="F182" s="83" t="s">
        <v>583</v>
      </c>
      <c r="G182" s="83" t="s">
        <v>80</v>
      </c>
      <c r="H182" s="414" t="str">
        <f t="shared" si="5"/>
        <v>Others</v>
      </c>
      <c r="J182" s="76">
        <v>46255</v>
      </c>
      <c r="K182" s="318">
        <f t="shared" si="6"/>
        <v>3</v>
      </c>
    </row>
    <row r="183" spans="6:11" x14ac:dyDescent="0.3">
      <c r="F183" s="83" t="s">
        <v>584</v>
      </c>
      <c r="G183" s="83" t="s">
        <v>80</v>
      </c>
      <c r="H183" s="414" t="str">
        <f t="shared" si="5"/>
        <v>Others</v>
      </c>
      <c r="J183" s="76">
        <v>46258</v>
      </c>
      <c r="K183" s="318">
        <f t="shared" si="6"/>
        <v>1</v>
      </c>
    </row>
    <row r="184" spans="6:11" x14ac:dyDescent="0.3">
      <c r="F184" s="83" t="s">
        <v>602</v>
      </c>
      <c r="G184" s="83" t="s">
        <v>80</v>
      </c>
      <c r="H184" s="414" t="str">
        <f t="shared" si="5"/>
        <v>Others</v>
      </c>
      <c r="J184" s="76">
        <v>46259</v>
      </c>
      <c r="K184" s="318">
        <f t="shared" si="6"/>
        <v>1</v>
      </c>
    </row>
    <row r="185" spans="6:11" x14ac:dyDescent="0.3">
      <c r="F185" s="83" t="s">
        <v>607</v>
      </c>
      <c r="G185" s="83" t="s">
        <v>80</v>
      </c>
      <c r="H185" s="414" t="str">
        <f t="shared" si="5"/>
        <v>Others</v>
      </c>
      <c r="J185" s="76">
        <v>46260</v>
      </c>
      <c r="K185" s="318">
        <f t="shared" si="6"/>
        <v>1</v>
      </c>
    </row>
    <row r="186" spans="6:11" x14ac:dyDescent="0.3">
      <c r="F186" s="83" t="s">
        <v>629</v>
      </c>
      <c r="G186" s="83" t="s">
        <v>80</v>
      </c>
      <c r="H186" s="414" t="str">
        <f t="shared" si="5"/>
        <v>Others</v>
      </c>
      <c r="J186" s="76">
        <v>46261</v>
      </c>
      <c r="K186" s="318">
        <f t="shared" si="6"/>
        <v>1</v>
      </c>
    </row>
    <row r="187" spans="6:11" x14ac:dyDescent="0.3">
      <c r="F187" s="83" t="s">
        <v>635</v>
      </c>
      <c r="G187" s="83" t="s">
        <v>202</v>
      </c>
      <c r="H187" s="414" t="str">
        <f t="shared" si="5"/>
        <v>Others</v>
      </c>
      <c r="J187" s="76">
        <v>46262</v>
      </c>
      <c r="K187" s="318">
        <f t="shared" si="6"/>
        <v>3</v>
      </c>
    </row>
    <row r="188" spans="6:11" x14ac:dyDescent="0.3">
      <c r="F188" s="83" t="s">
        <v>637</v>
      </c>
      <c r="G188" s="83" t="s">
        <v>80</v>
      </c>
      <c r="H188" s="414" t="str">
        <f t="shared" si="5"/>
        <v>Others</v>
      </c>
      <c r="J188" s="76">
        <v>46265</v>
      </c>
      <c r="K188" s="318">
        <f t="shared" si="6"/>
        <v>1</v>
      </c>
    </row>
    <row r="189" spans="6:11" x14ac:dyDescent="0.3">
      <c r="F189" s="83" t="s">
        <v>639</v>
      </c>
      <c r="G189" s="83" t="s">
        <v>80</v>
      </c>
      <c r="H189" s="414" t="str">
        <f t="shared" si="5"/>
        <v>Others</v>
      </c>
      <c r="J189" s="76">
        <v>46266</v>
      </c>
      <c r="K189" s="318">
        <f t="shared" si="6"/>
        <v>2</v>
      </c>
    </row>
    <row r="190" spans="6:11" x14ac:dyDescent="0.3">
      <c r="F190" s="83" t="s">
        <v>661</v>
      </c>
      <c r="G190" s="83" t="s">
        <v>80</v>
      </c>
      <c r="H190" s="414" t="str">
        <f t="shared" si="5"/>
        <v>Others</v>
      </c>
      <c r="J190" s="76">
        <v>46268</v>
      </c>
      <c r="K190" s="318">
        <f t="shared" si="6"/>
        <v>1</v>
      </c>
    </row>
    <row r="191" spans="6:11" x14ac:dyDescent="0.3">
      <c r="F191" s="83" t="s">
        <v>662</v>
      </c>
      <c r="G191" s="83" t="s">
        <v>80</v>
      </c>
      <c r="H191" s="414" t="str">
        <f t="shared" si="5"/>
        <v>Others</v>
      </c>
      <c r="J191" s="76">
        <v>46269</v>
      </c>
      <c r="K191" s="318">
        <f t="shared" si="6"/>
        <v>3</v>
      </c>
    </row>
    <row r="192" spans="6:11" x14ac:dyDescent="0.3">
      <c r="F192" s="69" t="s">
        <v>897</v>
      </c>
      <c r="G192" s="69" t="s">
        <v>80</v>
      </c>
      <c r="H192" s="414" t="str">
        <f t="shared" si="5"/>
        <v>Others</v>
      </c>
      <c r="J192" s="76">
        <v>46272</v>
      </c>
      <c r="K192" s="318">
        <f t="shared" si="6"/>
        <v>1</v>
      </c>
    </row>
    <row r="193" spans="6:11" x14ac:dyDescent="0.3">
      <c r="F193" s="83" t="s">
        <v>941</v>
      </c>
      <c r="G193" s="83" t="s">
        <v>80</v>
      </c>
      <c r="H193" s="160" t="str">
        <f t="shared" si="5"/>
        <v>Others</v>
      </c>
      <c r="J193" s="76">
        <v>46273</v>
      </c>
      <c r="K193" s="318">
        <f t="shared" si="6"/>
        <v>1</v>
      </c>
    </row>
    <row r="194" spans="6:11" x14ac:dyDescent="0.3">
      <c r="F194" s="83" t="s">
        <v>943</v>
      </c>
      <c r="G194" s="83" t="s">
        <v>119</v>
      </c>
      <c r="H194" s="160" t="str">
        <f t="shared" ref="H194:H228" si="7">IF(OR(G194="TÀI CHÍNH",G194="NGÂN HÀNG",G194="CHỨNG KHOÁN"),"FI BOND","Others")</f>
        <v>Others</v>
      </c>
      <c r="J194" s="76">
        <v>46274</v>
      </c>
      <c r="K194" s="318">
        <f t="shared" si="6"/>
        <v>1</v>
      </c>
    </row>
    <row r="195" spans="6:11" x14ac:dyDescent="0.3">
      <c r="F195" s="83" t="s">
        <v>944</v>
      </c>
      <c r="G195" s="83" t="s">
        <v>78</v>
      </c>
      <c r="H195" s="160" t="str">
        <f t="shared" si="7"/>
        <v>FI BOND</v>
      </c>
      <c r="J195" s="76">
        <v>46275</v>
      </c>
      <c r="K195" s="318">
        <f t="shared" si="6"/>
        <v>1</v>
      </c>
    </row>
    <row r="196" spans="6:11" x14ac:dyDescent="0.3">
      <c r="F196" s="83" t="s">
        <v>947</v>
      </c>
      <c r="G196" s="83" t="s">
        <v>107</v>
      </c>
      <c r="H196" s="160" t="str">
        <f t="shared" si="7"/>
        <v>Others</v>
      </c>
      <c r="J196" s="76">
        <v>46276</v>
      </c>
      <c r="K196" s="318">
        <f t="shared" si="6"/>
        <v>3</v>
      </c>
    </row>
    <row r="197" spans="6:11" x14ac:dyDescent="0.3">
      <c r="F197" s="50" t="s">
        <v>951</v>
      </c>
      <c r="G197" s="50" t="s">
        <v>80</v>
      </c>
      <c r="H197" s="414" t="str">
        <f t="shared" si="7"/>
        <v>Others</v>
      </c>
      <c r="J197" s="76">
        <v>46279</v>
      </c>
      <c r="K197" s="318">
        <f t="shared" si="6"/>
        <v>1</v>
      </c>
    </row>
    <row r="198" spans="6:11" x14ac:dyDescent="0.3">
      <c r="F198" s="83" t="s">
        <v>955</v>
      </c>
      <c r="G198" s="83" t="s">
        <v>202</v>
      </c>
      <c r="H198" s="414" t="str">
        <f t="shared" si="7"/>
        <v>Others</v>
      </c>
      <c r="J198" s="76">
        <v>46280</v>
      </c>
      <c r="K198" s="318">
        <f t="shared" si="6"/>
        <v>1</v>
      </c>
    </row>
    <row r="199" spans="6:11" x14ac:dyDescent="0.3">
      <c r="F199" s="83" t="s">
        <v>956</v>
      </c>
      <c r="G199" s="83" t="s">
        <v>80</v>
      </c>
      <c r="H199" s="414" t="str">
        <f t="shared" si="7"/>
        <v>Others</v>
      </c>
      <c r="J199" s="76">
        <v>46281</v>
      </c>
      <c r="K199" s="318">
        <f t="shared" si="6"/>
        <v>1</v>
      </c>
    </row>
    <row r="200" spans="6:11" x14ac:dyDescent="0.3">
      <c r="F200" s="83" t="s">
        <v>958</v>
      </c>
      <c r="G200" s="83" t="s">
        <v>80</v>
      </c>
      <c r="H200" s="414" t="str">
        <f t="shared" si="7"/>
        <v>Others</v>
      </c>
      <c r="J200" s="76">
        <v>46282</v>
      </c>
      <c r="K200" s="318">
        <f t="shared" ref="K200:K263" si="8">J201-J200</f>
        <v>1</v>
      </c>
    </row>
    <row r="201" spans="6:11" x14ac:dyDescent="0.3">
      <c r="F201" s="83" t="s">
        <v>962</v>
      </c>
      <c r="G201" s="83" t="s">
        <v>80</v>
      </c>
      <c r="H201" s="414" t="str">
        <f t="shared" si="7"/>
        <v>Others</v>
      </c>
      <c r="J201" s="76">
        <v>46283</v>
      </c>
      <c r="K201" s="318">
        <f t="shared" si="8"/>
        <v>3</v>
      </c>
    </row>
    <row r="202" spans="6:11" x14ac:dyDescent="0.3">
      <c r="F202" s="83" t="s">
        <v>964</v>
      </c>
      <c r="G202" s="83" t="s">
        <v>80</v>
      </c>
      <c r="H202" s="414" t="str">
        <f t="shared" si="7"/>
        <v>Others</v>
      </c>
      <c r="J202" s="76">
        <v>46286</v>
      </c>
      <c r="K202" s="318">
        <f t="shared" si="8"/>
        <v>1</v>
      </c>
    </row>
    <row r="203" spans="6:11" x14ac:dyDescent="0.3">
      <c r="F203" s="83" t="s">
        <v>966</v>
      </c>
      <c r="G203" s="83" t="s">
        <v>80</v>
      </c>
      <c r="H203" s="414" t="str">
        <f t="shared" si="7"/>
        <v>Others</v>
      </c>
      <c r="J203" s="76">
        <v>46287</v>
      </c>
      <c r="K203" s="318">
        <f t="shared" si="8"/>
        <v>1</v>
      </c>
    </row>
    <row r="204" spans="6:11" x14ac:dyDescent="0.3">
      <c r="F204" s="83" t="s">
        <v>967</v>
      </c>
      <c r="G204" s="83" t="s">
        <v>100</v>
      </c>
      <c r="H204" s="414" t="str">
        <f t="shared" si="7"/>
        <v>FI BOND</v>
      </c>
      <c r="J204" s="76">
        <v>46288</v>
      </c>
      <c r="K204" s="318">
        <f t="shared" si="8"/>
        <v>1</v>
      </c>
    </row>
    <row r="205" spans="6:11" x14ac:dyDescent="0.3">
      <c r="F205" s="83" t="s">
        <v>972</v>
      </c>
      <c r="G205" s="83" t="s">
        <v>80</v>
      </c>
      <c r="H205" s="414" t="str">
        <f t="shared" si="7"/>
        <v>Others</v>
      </c>
      <c r="J205" s="76">
        <v>46289</v>
      </c>
      <c r="K205" s="318">
        <f t="shared" si="8"/>
        <v>1</v>
      </c>
    </row>
    <row r="206" spans="6:11" x14ac:dyDescent="0.3">
      <c r="F206" s="83" t="s">
        <v>1035</v>
      </c>
      <c r="G206" s="83" t="s">
        <v>96</v>
      </c>
      <c r="H206" s="414" t="str">
        <f t="shared" si="7"/>
        <v>Others</v>
      </c>
      <c r="J206" s="76">
        <v>46290</v>
      </c>
      <c r="K206" s="318">
        <f t="shared" si="8"/>
        <v>3</v>
      </c>
    </row>
    <row r="207" spans="6:11" x14ac:dyDescent="0.3">
      <c r="F207" s="83" t="s">
        <v>1037</v>
      </c>
      <c r="G207" s="83" t="s">
        <v>80</v>
      </c>
      <c r="H207" s="414" t="str">
        <f t="shared" si="7"/>
        <v>Others</v>
      </c>
      <c r="J207" s="76">
        <v>46293</v>
      </c>
      <c r="K207" s="318">
        <f t="shared" si="8"/>
        <v>1</v>
      </c>
    </row>
    <row r="208" spans="6:11" x14ac:dyDescent="0.3">
      <c r="F208" s="83" t="s">
        <v>1039</v>
      </c>
      <c r="G208" s="83" t="s">
        <v>80</v>
      </c>
      <c r="H208" s="414" t="str">
        <f t="shared" si="7"/>
        <v>Others</v>
      </c>
      <c r="J208" s="76">
        <v>46294</v>
      </c>
      <c r="K208" s="318">
        <f t="shared" si="8"/>
        <v>1</v>
      </c>
    </row>
    <row r="209" spans="6:11" x14ac:dyDescent="0.3">
      <c r="F209" s="83" t="s">
        <v>1053</v>
      </c>
      <c r="G209" s="83" t="s">
        <v>80</v>
      </c>
      <c r="H209" s="414" t="str">
        <f t="shared" si="7"/>
        <v>Others</v>
      </c>
      <c r="J209" s="76">
        <v>46295</v>
      </c>
      <c r="K209" s="318">
        <f t="shared" si="8"/>
        <v>1</v>
      </c>
    </row>
    <row r="210" spans="6:11" x14ac:dyDescent="0.3">
      <c r="F210" s="83" t="s">
        <v>1117</v>
      </c>
      <c r="G210" s="83" t="s">
        <v>80</v>
      </c>
      <c r="H210" s="414" t="str">
        <f t="shared" si="7"/>
        <v>Others</v>
      </c>
      <c r="J210" s="76">
        <v>46296</v>
      </c>
      <c r="K210" s="318">
        <f t="shared" si="8"/>
        <v>1</v>
      </c>
    </row>
    <row r="211" spans="6:11" x14ac:dyDescent="0.3">
      <c r="F211" s="83" t="s">
        <v>1123</v>
      </c>
      <c r="G211" s="83" t="s">
        <v>80</v>
      </c>
      <c r="H211" s="414" t="str">
        <f t="shared" si="7"/>
        <v>Others</v>
      </c>
      <c r="J211" s="76">
        <v>46297</v>
      </c>
      <c r="K211" s="318">
        <f t="shared" si="8"/>
        <v>3</v>
      </c>
    </row>
    <row r="212" spans="6:11" x14ac:dyDescent="0.3">
      <c r="F212" s="83" t="s">
        <v>1137</v>
      </c>
      <c r="G212" s="83" t="s">
        <v>80</v>
      </c>
      <c r="H212" s="414" t="str">
        <f t="shared" si="7"/>
        <v>Others</v>
      </c>
      <c r="J212" s="76">
        <v>46300</v>
      </c>
      <c r="K212" s="318">
        <f t="shared" si="8"/>
        <v>1</v>
      </c>
    </row>
    <row r="213" spans="6:11" x14ac:dyDescent="0.3">
      <c r="F213" s="83" t="s">
        <v>1247</v>
      </c>
      <c r="G213" s="83" t="s">
        <v>80</v>
      </c>
      <c r="H213" s="414" t="str">
        <f t="shared" si="7"/>
        <v>Others</v>
      </c>
      <c r="J213" s="76">
        <v>46301</v>
      </c>
      <c r="K213" s="318">
        <f t="shared" si="8"/>
        <v>1</v>
      </c>
    </row>
    <row r="214" spans="6:11" x14ac:dyDescent="0.3">
      <c r="F214" s="83" t="s">
        <v>1248</v>
      </c>
      <c r="G214" s="83" t="s">
        <v>119</v>
      </c>
      <c r="H214" s="414" t="str">
        <f t="shared" si="7"/>
        <v>Others</v>
      </c>
      <c r="J214" s="76">
        <v>46302</v>
      </c>
      <c r="K214" s="318">
        <f t="shared" si="8"/>
        <v>1</v>
      </c>
    </row>
    <row r="215" spans="6:11" x14ac:dyDescent="0.3">
      <c r="F215" s="83" t="s">
        <v>1255</v>
      </c>
      <c r="G215" s="83" t="s">
        <v>80</v>
      </c>
      <c r="H215" s="414" t="str">
        <f t="shared" si="7"/>
        <v>Others</v>
      </c>
      <c r="J215" s="76">
        <v>46303</v>
      </c>
      <c r="K215" s="318">
        <f t="shared" si="8"/>
        <v>1</v>
      </c>
    </row>
    <row r="216" spans="6:11" x14ac:dyDescent="0.3">
      <c r="F216" s="83" t="s">
        <v>1266</v>
      </c>
      <c r="G216" s="83" t="s">
        <v>78</v>
      </c>
      <c r="H216" s="414" t="str">
        <f t="shared" si="7"/>
        <v>FI BOND</v>
      </c>
      <c r="J216" s="76">
        <v>46304</v>
      </c>
      <c r="K216" s="318">
        <f t="shared" si="8"/>
        <v>3</v>
      </c>
    </row>
    <row r="217" spans="6:11" x14ac:dyDescent="0.3">
      <c r="F217" s="83" t="s">
        <v>1271</v>
      </c>
      <c r="G217" s="83" t="s">
        <v>109</v>
      </c>
      <c r="H217" s="414" t="str">
        <f t="shared" si="7"/>
        <v>FI BOND</v>
      </c>
      <c r="J217" s="76">
        <v>46307</v>
      </c>
      <c r="K217" s="318">
        <f t="shared" si="8"/>
        <v>1</v>
      </c>
    </row>
    <row r="218" spans="6:11" x14ac:dyDescent="0.3">
      <c r="F218" s="83" t="s">
        <v>1276</v>
      </c>
      <c r="G218" s="83" t="s">
        <v>119</v>
      </c>
      <c r="H218" s="414" t="str">
        <f t="shared" si="7"/>
        <v>Others</v>
      </c>
      <c r="J218" s="76">
        <v>46308</v>
      </c>
      <c r="K218" s="318">
        <f t="shared" si="8"/>
        <v>1</v>
      </c>
    </row>
    <row r="219" spans="6:11" x14ac:dyDescent="0.3">
      <c r="F219" s="83" t="s">
        <v>1300</v>
      </c>
      <c r="G219" s="83" t="s">
        <v>80</v>
      </c>
      <c r="H219" s="414" t="str">
        <f t="shared" si="7"/>
        <v>Others</v>
      </c>
      <c r="J219" s="76">
        <v>46309</v>
      </c>
      <c r="K219" s="318">
        <f t="shared" si="8"/>
        <v>1</v>
      </c>
    </row>
    <row r="220" spans="6:11" x14ac:dyDescent="0.3">
      <c r="F220" s="83" t="s">
        <v>1301</v>
      </c>
      <c r="G220" s="83" t="s">
        <v>109</v>
      </c>
      <c r="H220" s="414" t="str">
        <f t="shared" si="7"/>
        <v>FI BOND</v>
      </c>
      <c r="J220" s="76">
        <v>46310</v>
      </c>
      <c r="K220" s="318">
        <f t="shared" si="8"/>
        <v>1</v>
      </c>
    </row>
    <row r="221" spans="6:11" x14ac:dyDescent="0.3">
      <c r="F221" s="83" t="s">
        <v>1308</v>
      </c>
      <c r="G221" s="83" t="s">
        <v>88</v>
      </c>
      <c r="H221" s="414" t="str">
        <f t="shared" si="7"/>
        <v>Others</v>
      </c>
      <c r="J221" s="76">
        <v>46311</v>
      </c>
      <c r="K221" s="318">
        <f t="shared" si="8"/>
        <v>3</v>
      </c>
    </row>
    <row r="222" spans="6:11" x14ac:dyDescent="0.3">
      <c r="F222" s="83" t="s">
        <v>1309</v>
      </c>
      <c r="G222" s="83" t="s">
        <v>80</v>
      </c>
      <c r="H222" s="414" t="str">
        <f t="shared" si="7"/>
        <v>Others</v>
      </c>
      <c r="J222" s="76">
        <v>46314</v>
      </c>
      <c r="K222" s="318">
        <f t="shared" si="8"/>
        <v>1</v>
      </c>
    </row>
    <row r="223" spans="6:11" x14ac:dyDescent="0.3">
      <c r="F223" s="83" t="s">
        <v>1321</v>
      </c>
      <c r="G223" s="83" t="s">
        <v>80</v>
      </c>
      <c r="H223" s="414" t="str">
        <f t="shared" si="7"/>
        <v>Others</v>
      </c>
      <c r="J223" s="76">
        <v>46315</v>
      </c>
      <c r="K223" s="318">
        <f t="shared" si="8"/>
        <v>1</v>
      </c>
    </row>
    <row r="224" spans="6:11" x14ac:dyDescent="0.3">
      <c r="F224" s="83" t="s">
        <v>1322</v>
      </c>
      <c r="G224" s="83" t="s">
        <v>80</v>
      </c>
      <c r="H224" s="414" t="str">
        <f t="shared" si="7"/>
        <v>Others</v>
      </c>
      <c r="J224" s="76">
        <v>46316</v>
      </c>
      <c r="K224" s="318">
        <f t="shared" si="8"/>
        <v>1</v>
      </c>
    </row>
    <row r="225" spans="6:11" x14ac:dyDescent="0.3">
      <c r="F225" s="83" t="s">
        <v>1323</v>
      </c>
      <c r="G225" s="83" t="s">
        <v>80</v>
      </c>
      <c r="H225" s="414" t="str">
        <f t="shared" si="7"/>
        <v>Others</v>
      </c>
      <c r="J225" s="76">
        <v>46317</v>
      </c>
      <c r="K225" s="318">
        <f t="shared" si="8"/>
        <v>1</v>
      </c>
    </row>
    <row r="226" spans="6:11" x14ac:dyDescent="0.3">
      <c r="F226" s="83" t="s">
        <v>1324</v>
      </c>
      <c r="G226" s="83" t="s">
        <v>80</v>
      </c>
      <c r="H226" s="414" t="str">
        <f t="shared" si="7"/>
        <v>Others</v>
      </c>
      <c r="J226" s="76">
        <v>46318</v>
      </c>
      <c r="K226" s="318">
        <f t="shared" si="8"/>
        <v>3</v>
      </c>
    </row>
    <row r="227" spans="6:11" x14ac:dyDescent="0.3">
      <c r="F227" s="83" t="s">
        <v>1316</v>
      </c>
      <c r="G227" s="83" t="s">
        <v>100</v>
      </c>
      <c r="H227" s="414" t="str">
        <f t="shared" si="7"/>
        <v>FI BOND</v>
      </c>
      <c r="J227" s="76">
        <v>46321</v>
      </c>
      <c r="K227" s="318">
        <f t="shared" si="8"/>
        <v>1</v>
      </c>
    </row>
    <row r="228" spans="6:11" x14ac:dyDescent="0.3">
      <c r="F228" s="83" t="s">
        <v>1325</v>
      </c>
      <c r="G228" s="83" t="s">
        <v>88</v>
      </c>
      <c r="H228" s="414" t="str">
        <f t="shared" si="7"/>
        <v>Others</v>
      </c>
      <c r="J228" s="76">
        <v>46322</v>
      </c>
      <c r="K228" s="318">
        <f t="shared" si="8"/>
        <v>1</v>
      </c>
    </row>
    <row r="229" spans="6:11" x14ac:dyDescent="0.3">
      <c r="F229" s="317" t="s">
        <v>146</v>
      </c>
      <c r="G229" s="316" t="s">
        <v>109</v>
      </c>
      <c r="H229" s="74" t="str">
        <f t="shared" ref="H229:H264" si="9">IF(OR(G229="TÀI CHÍNH",G229="NGÂN HÀNG",G229="CHỨNG KHOÁN"),"FI BOND","Others")</f>
        <v>FI BOND</v>
      </c>
      <c r="J229" s="76">
        <v>46323</v>
      </c>
      <c r="K229" s="318">
        <f t="shared" si="8"/>
        <v>1</v>
      </c>
    </row>
    <row r="230" spans="6:11" x14ac:dyDescent="0.3">
      <c r="F230" s="317" t="s">
        <v>146</v>
      </c>
      <c r="G230" s="316" t="s">
        <v>109</v>
      </c>
      <c r="H230" s="74" t="str">
        <f t="shared" si="9"/>
        <v>FI BOND</v>
      </c>
      <c r="J230" s="76">
        <v>46324</v>
      </c>
      <c r="K230" s="318">
        <f t="shared" si="8"/>
        <v>1</v>
      </c>
    </row>
    <row r="231" spans="6:11" x14ac:dyDescent="0.3">
      <c r="F231" s="317" t="s">
        <v>146</v>
      </c>
      <c r="G231" s="316" t="s">
        <v>109</v>
      </c>
      <c r="H231" s="74" t="str">
        <f t="shared" si="9"/>
        <v>FI BOND</v>
      </c>
      <c r="J231" s="76">
        <v>46325</v>
      </c>
      <c r="K231" s="318">
        <f t="shared" si="8"/>
        <v>3</v>
      </c>
    </row>
    <row r="232" spans="6:11" x14ac:dyDescent="0.3">
      <c r="F232" s="317" t="s">
        <v>122</v>
      </c>
      <c r="G232" s="316" t="s">
        <v>111</v>
      </c>
      <c r="H232" s="74" t="str">
        <f t="shared" si="9"/>
        <v>Others</v>
      </c>
      <c r="J232" s="76">
        <v>46328</v>
      </c>
      <c r="K232" s="318">
        <f t="shared" si="8"/>
        <v>1</v>
      </c>
    </row>
    <row r="233" spans="6:11" x14ac:dyDescent="0.3">
      <c r="F233" s="317" t="s">
        <v>122</v>
      </c>
      <c r="G233" s="316" t="s">
        <v>111</v>
      </c>
      <c r="H233" s="74" t="str">
        <f t="shared" si="9"/>
        <v>Others</v>
      </c>
      <c r="I233"/>
      <c r="J233" s="76">
        <v>46329</v>
      </c>
      <c r="K233" s="318">
        <f t="shared" si="8"/>
        <v>1</v>
      </c>
    </row>
    <row r="234" spans="6:11" x14ac:dyDescent="0.3">
      <c r="F234" s="317" t="s">
        <v>125</v>
      </c>
      <c r="G234" s="316" t="s">
        <v>80</v>
      </c>
      <c r="H234" s="74" t="str">
        <f t="shared" si="9"/>
        <v>Others</v>
      </c>
      <c r="I234"/>
      <c r="J234" s="76">
        <v>46330</v>
      </c>
      <c r="K234" s="318">
        <f t="shared" si="8"/>
        <v>1</v>
      </c>
    </row>
    <row r="235" spans="6:11" x14ac:dyDescent="0.3">
      <c r="F235" s="317" t="s">
        <v>125</v>
      </c>
      <c r="G235" s="316" t="s">
        <v>80</v>
      </c>
      <c r="H235" s="74" t="str">
        <f t="shared" si="9"/>
        <v>Others</v>
      </c>
      <c r="I235"/>
      <c r="J235" s="76">
        <v>46331</v>
      </c>
      <c r="K235" s="318">
        <f t="shared" si="8"/>
        <v>1</v>
      </c>
    </row>
    <row r="236" spans="6:11" x14ac:dyDescent="0.3">
      <c r="F236" s="317" t="s">
        <v>125</v>
      </c>
      <c r="G236" s="316" t="s">
        <v>80</v>
      </c>
      <c r="H236" s="74" t="str">
        <f t="shared" si="9"/>
        <v>Others</v>
      </c>
      <c r="I236"/>
      <c r="J236" s="76">
        <v>46332</v>
      </c>
      <c r="K236" s="318">
        <f t="shared" si="8"/>
        <v>3</v>
      </c>
    </row>
    <row r="237" spans="6:11" x14ac:dyDescent="0.3">
      <c r="F237" s="317" t="s">
        <v>125</v>
      </c>
      <c r="G237" s="316" t="s">
        <v>80</v>
      </c>
      <c r="H237" s="74" t="str">
        <f t="shared" si="9"/>
        <v>Others</v>
      </c>
      <c r="I237"/>
      <c r="J237" s="76">
        <v>46335</v>
      </c>
      <c r="K237" s="318">
        <f t="shared" si="8"/>
        <v>1</v>
      </c>
    </row>
    <row r="238" spans="6:11" x14ac:dyDescent="0.3">
      <c r="F238" s="317" t="s">
        <v>1053</v>
      </c>
      <c r="G238" s="316" t="s">
        <v>80</v>
      </c>
      <c r="H238" s="74" t="str">
        <f t="shared" si="9"/>
        <v>Others</v>
      </c>
      <c r="I238"/>
      <c r="J238" s="76">
        <v>46336</v>
      </c>
      <c r="K238" s="318">
        <f t="shared" si="8"/>
        <v>1</v>
      </c>
    </row>
    <row r="239" spans="6:11" x14ac:dyDescent="0.3">
      <c r="F239" s="317" t="s">
        <v>126</v>
      </c>
      <c r="G239" s="316" t="s">
        <v>111</v>
      </c>
      <c r="H239" s="74" t="str">
        <f t="shared" si="9"/>
        <v>Others</v>
      </c>
      <c r="I239"/>
      <c r="J239" s="76">
        <v>46337</v>
      </c>
      <c r="K239" s="318">
        <f t="shared" si="8"/>
        <v>1</v>
      </c>
    </row>
    <row r="240" spans="6:11" x14ac:dyDescent="0.3">
      <c r="F240" s="317" t="s">
        <v>126</v>
      </c>
      <c r="G240" s="316" t="s">
        <v>111</v>
      </c>
      <c r="H240" s="74" t="str">
        <f t="shared" si="9"/>
        <v>Others</v>
      </c>
      <c r="I240"/>
      <c r="J240" s="76">
        <v>46338</v>
      </c>
      <c r="K240" s="318">
        <f t="shared" si="8"/>
        <v>1</v>
      </c>
    </row>
    <row r="241" spans="6:11" x14ac:dyDescent="0.3">
      <c r="F241" s="317" t="s">
        <v>126</v>
      </c>
      <c r="G241" s="316" t="s">
        <v>111</v>
      </c>
      <c r="H241" s="74" t="str">
        <f t="shared" si="9"/>
        <v>Others</v>
      </c>
      <c r="I241"/>
      <c r="J241" s="76">
        <v>46339</v>
      </c>
      <c r="K241" s="318">
        <f t="shared" si="8"/>
        <v>3</v>
      </c>
    </row>
    <row r="242" spans="6:11" x14ac:dyDescent="0.3">
      <c r="F242" s="317" t="s">
        <v>126</v>
      </c>
      <c r="G242" s="316" t="s">
        <v>111</v>
      </c>
      <c r="H242" s="74" t="str">
        <f t="shared" si="9"/>
        <v>Others</v>
      </c>
      <c r="I242"/>
      <c r="J242" s="76">
        <v>46342</v>
      </c>
      <c r="K242" s="318">
        <f t="shared" si="8"/>
        <v>1</v>
      </c>
    </row>
    <row r="243" spans="6:11" x14ac:dyDescent="0.3">
      <c r="F243" s="317" t="s">
        <v>127</v>
      </c>
      <c r="G243" s="316" t="s">
        <v>80</v>
      </c>
      <c r="H243" s="74" t="str">
        <f t="shared" si="9"/>
        <v>Others</v>
      </c>
      <c r="I243"/>
      <c r="J243" s="76">
        <v>46343</v>
      </c>
      <c r="K243" s="318">
        <f t="shared" si="8"/>
        <v>1</v>
      </c>
    </row>
    <row r="244" spans="6:11" x14ac:dyDescent="0.3">
      <c r="F244" s="317" t="s">
        <v>127</v>
      </c>
      <c r="G244" s="316" t="s">
        <v>80</v>
      </c>
      <c r="H244" s="74" t="str">
        <f t="shared" si="9"/>
        <v>Others</v>
      </c>
      <c r="I244"/>
      <c r="J244" s="76">
        <v>46344</v>
      </c>
      <c r="K244" s="318">
        <f t="shared" si="8"/>
        <v>1</v>
      </c>
    </row>
    <row r="245" spans="6:11" x14ac:dyDescent="0.3">
      <c r="F245" s="317" t="s">
        <v>127</v>
      </c>
      <c r="G245" s="316" t="s">
        <v>80</v>
      </c>
      <c r="H245" s="74" t="str">
        <f t="shared" si="9"/>
        <v>Others</v>
      </c>
      <c r="I245"/>
      <c r="J245" s="76">
        <v>46345</v>
      </c>
      <c r="K245" s="318">
        <f t="shared" si="8"/>
        <v>1</v>
      </c>
    </row>
    <row r="246" spans="6:11" x14ac:dyDescent="0.3">
      <c r="F246" s="317" t="s">
        <v>662</v>
      </c>
      <c r="G246" s="316" t="s">
        <v>80</v>
      </c>
      <c r="H246" s="74" t="str">
        <f t="shared" si="9"/>
        <v>Others</v>
      </c>
      <c r="I246"/>
      <c r="J246" s="76">
        <v>46346</v>
      </c>
      <c r="K246" s="318">
        <f t="shared" si="8"/>
        <v>3</v>
      </c>
    </row>
    <row r="247" spans="6:11" x14ac:dyDescent="0.3">
      <c r="F247" s="317" t="s">
        <v>186</v>
      </c>
      <c r="G247" s="316" t="s">
        <v>78</v>
      </c>
      <c r="H247" s="74" t="str">
        <f t="shared" si="9"/>
        <v>FI BOND</v>
      </c>
      <c r="I247"/>
      <c r="J247" s="76">
        <v>46349</v>
      </c>
      <c r="K247" s="318">
        <f t="shared" si="8"/>
        <v>1</v>
      </c>
    </row>
    <row r="248" spans="6:11" x14ac:dyDescent="0.3">
      <c r="F248" s="317" t="s">
        <v>964</v>
      </c>
      <c r="G248" s="316" t="s">
        <v>80</v>
      </c>
      <c r="H248" s="74" t="str">
        <f t="shared" si="9"/>
        <v>Others</v>
      </c>
      <c r="I248"/>
      <c r="J248" s="76">
        <v>46350</v>
      </c>
      <c r="K248" s="318">
        <f t="shared" si="8"/>
        <v>1</v>
      </c>
    </row>
    <row r="249" spans="6:11" x14ac:dyDescent="0.3">
      <c r="F249" s="317" t="s">
        <v>964</v>
      </c>
      <c r="G249" s="316" t="s">
        <v>80</v>
      </c>
      <c r="H249" s="74" t="str">
        <f t="shared" si="9"/>
        <v>Others</v>
      </c>
      <c r="I249"/>
      <c r="J249" s="76">
        <v>46351</v>
      </c>
      <c r="K249" s="318">
        <f t="shared" si="8"/>
        <v>1</v>
      </c>
    </row>
    <row r="250" spans="6:11" x14ac:dyDescent="0.3">
      <c r="F250" s="317" t="s">
        <v>128</v>
      </c>
      <c r="G250" s="316" t="s">
        <v>80</v>
      </c>
      <c r="H250" s="74" t="str">
        <f t="shared" si="9"/>
        <v>Others</v>
      </c>
      <c r="I250"/>
      <c r="J250" s="76">
        <v>46352</v>
      </c>
      <c r="K250" s="318">
        <f t="shared" si="8"/>
        <v>1</v>
      </c>
    </row>
    <row r="251" spans="6:11" x14ac:dyDescent="0.3">
      <c r="F251" s="317" t="s">
        <v>128</v>
      </c>
      <c r="G251" s="316" t="s">
        <v>80</v>
      </c>
      <c r="H251" s="74" t="str">
        <f t="shared" si="9"/>
        <v>Others</v>
      </c>
      <c r="I251"/>
      <c r="J251" s="76">
        <v>46353</v>
      </c>
      <c r="K251" s="318">
        <f t="shared" si="8"/>
        <v>3</v>
      </c>
    </row>
    <row r="252" spans="6:11" x14ac:dyDescent="0.3">
      <c r="F252" s="317" t="s">
        <v>958</v>
      </c>
      <c r="G252" s="316" t="s">
        <v>80</v>
      </c>
      <c r="H252" s="74" t="str">
        <f t="shared" si="9"/>
        <v>Others</v>
      </c>
      <c r="I252"/>
      <c r="J252" s="76">
        <v>46356</v>
      </c>
      <c r="K252" s="318">
        <f t="shared" si="8"/>
        <v>1</v>
      </c>
    </row>
    <row r="253" spans="6:11" x14ac:dyDescent="0.3">
      <c r="F253" s="317" t="s">
        <v>958</v>
      </c>
      <c r="G253" s="316" t="s">
        <v>80</v>
      </c>
      <c r="H253" s="74" t="str">
        <f t="shared" si="9"/>
        <v>Others</v>
      </c>
      <c r="I253"/>
      <c r="J253" s="76">
        <v>46357</v>
      </c>
      <c r="K253" s="318">
        <f t="shared" si="8"/>
        <v>1</v>
      </c>
    </row>
    <row r="254" spans="6:11" x14ac:dyDescent="0.3">
      <c r="F254" s="317" t="s">
        <v>958</v>
      </c>
      <c r="G254" s="316" t="s">
        <v>80</v>
      </c>
      <c r="H254" s="74" t="str">
        <f t="shared" si="9"/>
        <v>Others</v>
      </c>
      <c r="I254"/>
      <c r="J254" s="76">
        <v>46358</v>
      </c>
      <c r="K254" s="318">
        <f t="shared" si="8"/>
        <v>1</v>
      </c>
    </row>
    <row r="255" spans="6:11" x14ac:dyDescent="0.3">
      <c r="F255" s="317" t="s">
        <v>151</v>
      </c>
      <c r="G255" s="316" t="s">
        <v>80</v>
      </c>
      <c r="H255" s="74" t="str">
        <f t="shared" si="9"/>
        <v>Others</v>
      </c>
      <c r="I255"/>
      <c r="J255" s="76">
        <v>46359</v>
      </c>
      <c r="K255" s="318">
        <f t="shared" si="8"/>
        <v>1</v>
      </c>
    </row>
    <row r="256" spans="6:11" x14ac:dyDescent="0.3">
      <c r="F256" s="317" t="s">
        <v>129</v>
      </c>
      <c r="G256" s="316" t="s">
        <v>80</v>
      </c>
      <c r="H256" s="74" t="str">
        <f t="shared" si="9"/>
        <v>Others</v>
      </c>
      <c r="I256"/>
      <c r="J256" s="76">
        <v>46360</v>
      </c>
      <c r="K256" s="318">
        <f t="shared" si="8"/>
        <v>3</v>
      </c>
    </row>
    <row r="257" spans="6:11" x14ac:dyDescent="0.3">
      <c r="F257" s="317" t="s">
        <v>129</v>
      </c>
      <c r="G257" s="316" t="s">
        <v>80</v>
      </c>
      <c r="H257" s="74" t="str">
        <f t="shared" si="9"/>
        <v>Others</v>
      </c>
      <c r="I257"/>
      <c r="J257" s="76">
        <v>46363</v>
      </c>
      <c r="K257" s="318">
        <f t="shared" si="8"/>
        <v>1</v>
      </c>
    </row>
    <row r="258" spans="6:11" x14ac:dyDescent="0.3">
      <c r="F258" s="317" t="s">
        <v>129</v>
      </c>
      <c r="G258" s="316" t="s">
        <v>80</v>
      </c>
      <c r="H258" s="74" t="str">
        <f t="shared" si="9"/>
        <v>Others</v>
      </c>
      <c r="I258"/>
      <c r="J258" s="76">
        <v>46364</v>
      </c>
      <c r="K258" s="318">
        <f t="shared" si="8"/>
        <v>1</v>
      </c>
    </row>
    <row r="259" spans="6:11" x14ac:dyDescent="0.3">
      <c r="F259" s="317" t="s">
        <v>129</v>
      </c>
      <c r="G259" s="316" t="s">
        <v>80</v>
      </c>
      <c r="H259" s="74" t="str">
        <f t="shared" si="9"/>
        <v>Others</v>
      </c>
      <c r="I259"/>
      <c r="J259" s="76">
        <v>46365</v>
      </c>
      <c r="K259" s="318">
        <f t="shared" si="8"/>
        <v>1</v>
      </c>
    </row>
    <row r="260" spans="6:11" x14ac:dyDescent="0.3">
      <c r="F260" s="317" t="s">
        <v>129</v>
      </c>
      <c r="G260" s="316" t="s">
        <v>80</v>
      </c>
      <c r="H260" s="74" t="str">
        <f t="shared" si="9"/>
        <v>Others</v>
      </c>
      <c r="I260"/>
      <c r="J260" s="76">
        <v>46366</v>
      </c>
      <c r="K260" s="318">
        <f t="shared" si="8"/>
        <v>1</v>
      </c>
    </row>
    <row r="261" spans="6:11" x14ac:dyDescent="0.3">
      <c r="F261" s="317" t="s">
        <v>130</v>
      </c>
      <c r="G261" s="316" t="s">
        <v>80</v>
      </c>
      <c r="H261" s="74" t="str">
        <f t="shared" si="9"/>
        <v>Others</v>
      </c>
      <c r="I261"/>
      <c r="J261" s="76">
        <v>46367</v>
      </c>
      <c r="K261" s="318">
        <f t="shared" si="8"/>
        <v>3</v>
      </c>
    </row>
    <row r="262" spans="6:11" x14ac:dyDescent="0.3">
      <c r="F262" s="317" t="s">
        <v>130</v>
      </c>
      <c r="G262" s="316" t="s">
        <v>80</v>
      </c>
      <c r="H262" s="74" t="str">
        <f t="shared" si="9"/>
        <v>Others</v>
      </c>
      <c r="I262"/>
      <c r="J262" s="76">
        <v>46370</v>
      </c>
      <c r="K262" s="318">
        <f t="shared" si="8"/>
        <v>1</v>
      </c>
    </row>
    <row r="263" spans="6:11" x14ac:dyDescent="0.3">
      <c r="F263" s="317" t="s">
        <v>130</v>
      </c>
      <c r="G263" s="316" t="s">
        <v>80</v>
      </c>
      <c r="H263" s="74" t="str">
        <f t="shared" si="9"/>
        <v>Others</v>
      </c>
      <c r="I263"/>
      <c r="J263" s="76">
        <v>46371</v>
      </c>
      <c r="K263" s="318">
        <f t="shared" si="8"/>
        <v>1</v>
      </c>
    </row>
    <row r="264" spans="6:11" x14ac:dyDescent="0.3">
      <c r="F264" s="317" t="s">
        <v>130</v>
      </c>
      <c r="G264" s="316" t="s">
        <v>80</v>
      </c>
      <c r="H264" s="74" t="str">
        <f t="shared" si="9"/>
        <v>Others</v>
      </c>
      <c r="I264"/>
      <c r="J264" s="76">
        <v>46372</v>
      </c>
      <c r="K264" s="318">
        <f t="shared" ref="K264:K274" si="10">J265-J264</f>
        <v>1</v>
      </c>
    </row>
    <row r="265" spans="6:11" x14ac:dyDescent="0.3">
      <c r="F265" s="317" t="s">
        <v>130</v>
      </c>
      <c r="G265" s="316" t="s">
        <v>80</v>
      </c>
      <c r="H265" s="74" t="str">
        <f t="shared" ref="H265:H311" si="11">IF(OR(G265="TÀI CHÍNH",G265="NGÂN HÀNG",G265="CHỨNG KHOÁN"),"FI BOND","Others")</f>
        <v>Others</v>
      </c>
      <c r="I265"/>
      <c r="J265" s="76">
        <v>46373</v>
      </c>
      <c r="K265" s="318">
        <f t="shared" si="10"/>
        <v>1</v>
      </c>
    </row>
    <row r="266" spans="6:11" x14ac:dyDescent="0.3">
      <c r="F266" s="317" t="s">
        <v>130</v>
      </c>
      <c r="G266" s="316" t="s">
        <v>80</v>
      </c>
      <c r="H266" s="74" t="str">
        <f t="shared" si="11"/>
        <v>Others</v>
      </c>
      <c r="I266"/>
      <c r="J266" s="76">
        <v>46374</v>
      </c>
      <c r="K266" s="318">
        <f t="shared" si="10"/>
        <v>3</v>
      </c>
    </row>
    <row r="267" spans="6:11" x14ac:dyDescent="0.3">
      <c r="F267" s="317" t="s">
        <v>130</v>
      </c>
      <c r="G267" s="316" t="s">
        <v>80</v>
      </c>
      <c r="H267" s="74" t="str">
        <f t="shared" si="11"/>
        <v>Others</v>
      </c>
      <c r="I267"/>
      <c r="J267" s="76">
        <v>46377</v>
      </c>
      <c r="K267" s="318">
        <f t="shared" si="10"/>
        <v>1</v>
      </c>
    </row>
    <row r="268" spans="6:11" x14ac:dyDescent="0.3">
      <c r="F268" s="317" t="s">
        <v>130</v>
      </c>
      <c r="G268" s="316" t="s">
        <v>80</v>
      </c>
      <c r="H268" s="74" t="str">
        <f t="shared" si="11"/>
        <v>Others</v>
      </c>
      <c r="I268"/>
      <c r="J268" s="76">
        <v>46378</v>
      </c>
      <c r="K268" s="318">
        <f t="shared" si="10"/>
        <v>1</v>
      </c>
    </row>
    <row r="269" spans="6:11" x14ac:dyDescent="0.3">
      <c r="F269" s="317" t="s">
        <v>130</v>
      </c>
      <c r="G269" s="316" t="s">
        <v>80</v>
      </c>
      <c r="H269" s="74" t="str">
        <f t="shared" si="11"/>
        <v>Others</v>
      </c>
      <c r="I269"/>
      <c r="J269" s="76">
        <v>46379</v>
      </c>
      <c r="K269" s="318">
        <f t="shared" si="10"/>
        <v>1</v>
      </c>
    </row>
    <row r="270" spans="6:11" x14ac:dyDescent="0.3">
      <c r="F270" s="317" t="s">
        <v>130</v>
      </c>
      <c r="G270" s="316" t="s">
        <v>80</v>
      </c>
      <c r="H270" s="74" t="str">
        <f t="shared" si="11"/>
        <v>Others</v>
      </c>
      <c r="I270"/>
      <c r="J270" s="76">
        <v>46380</v>
      </c>
      <c r="K270" s="318">
        <f t="shared" si="10"/>
        <v>1</v>
      </c>
    </row>
    <row r="271" spans="6:11" x14ac:dyDescent="0.3">
      <c r="F271" s="317" t="s">
        <v>147</v>
      </c>
      <c r="G271" s="316" t="s">
        <v>78</v>
      </c>
      <c r="H271" s="74" t="str">
        <f t="shared" si="11"/>
        <v>FI BOND</v>
      </c>
      <c r="I271"/>
      <c r="J271" s="76">
        <v>46381</v>
      </c>
      <c r="K271" s="318">
        <f t="shared" si="10"/>
        <v>3</v>
      </c>
    </row>
    <row r="272" spans="6:11" x14ac:dyDescent="0.3">
      <c r="F272" s="317" t="s">
        <v>147</v>
      </c>
      <c r="G272" s="316" t="s">
        <v>78</v>
      </c>
      <c r="H272" s="74" t="str">
        <f t="shared" si="11"/>
        <v>FI BOND</v>
      </c>
      <c r="I272"/>
      <c r="J272" s="76">
        <v>46384</v>
      </c>
      <c r="K272" s="318">
        <f t="shared" si="10"/>
        <v>1</v>
      </c>
    </row>
    <row r="273" spans="6:11" x14ac:dyDescent="0.3">
      <c r="F273" s="317" t="s">
        <v>147</v>
      </c>
      <c r="G273" s="316" t="s">
        <v>78</v>
      </c>
      <c r="H273" s="74" t="str">
        <f t="shared" si="11"/>
        <v>FI BOND</v>
      </c>
      <c r="I273"/>
      <c r="J273" s="76">
        <v>46385</v>
      </c>
      <c r="K273" s="318">
        <f t="shared" si="10"/>
        <v>1</v>
      </c>
    </row>
    <row r="274" spans="6:11" x14ac:dyDescent="0.3">
      <c r="F274" s="317" t="s">
        <v>131</v>
      </c>
      <c r="G274" s="316" t="s">
        <v>80</v>
      </c>
      <c r="H274" s="74" t="str">
        <f t="shared" si="11"/>
        <v>Others</v>
      </c>
      <c r="I274"/>
      <c r="J274" s="76">
        <v>46386</v>
      </c>
      <c r="K274" s="318">
        <f t="shared" si="10"/>
        <v>1</v>
      </c>
    </row>
    <row r="275" spans="6:11" x14ac:dyDescent="0.3">
      <c r="F275" s="317" t="s">
        <v>131</v>
      </c>
      <c r="G275" s="316" t="s">
        <v>80</v>
      </c>
      <c r="H275" s="74" t="str">
        <f t="shared" si="11"/>
        <v>Others</v>
      </c>
      <c r="I275"/>
      <c r="J275" s="76">
        <v>46387</v>
      </c>
    </row>
    <row r="276" spans="6:11" x14ac:dyDescent="0.3">
      <c r="F276" s="317" t="s">
        <v>131</v>
      </c>
      <c r="G276" s="316" t="s">
        <v>80</v>
      </c>
      <c r="H276" s="74" t="str">
        <f t="shared" si="11"/>
        <v>Others</v>
      </c>
      <c r="I276"/>
    </row>
    <row r="277" spans="6:11" x14ac:dyDescent="0.3">
      <c r="F277" s="317" t="s">
        <v>131</v>
      </c>
      <c r="G277" s="316" t="s">
        <v>80</v>
      </c>
      <c r="H277" s="74" t="str">
        <f t="shared" si="11"/>
        <v>Others</v>
      </c>
      <c r="I277"/>
    </row>
    <row r="278" spans="6:11" x14ac:dyDescent="0.3">
      <c r="F278" s="317" t="s">
        <v>132</v>
      </c>
      <c r="G278" s="316" t="s">
        <v>86</v>
      </c>
      <c r="H278" s="74" t="str">
        <f t="shared" si="11"/>
        <v>Others</v>
      </c>
      <c r="I278"/>
    </row>
    <row r="279" spans="6:11" x14ac:dyDescent="0.3">
      <c r="F279" s="317" t="s">
        <v>132</v>
      </c>
      <c r="G279" s="316" t="s">
        <v>86</v>
      </c>
      <c r="H279" s="74" t="str">
        <f t="shared" si="11"/>
        <v>Others</v>
      </c>
      <c r="I279"/>
    </row>
    <row r="280" spans="6:11" x14ac:dyDescent="0.3">
      <c r="F280" s="317" t="s">
        <v>132</v>
      </c>
      <c r="G280" s="316" t="s">
        <v>86</v>
      </c>
      <c r="H280" s="74" t="str">
        <f t="shared" si="11"/>
        <v>Others</v>
      </c>
      <c r="I280"/>
    </row>
    <row r="281" spans="6:11" x14ac:dyDescent="0.3">
      <c r="F281" s="317" t="s">
        <v>132</v>
      </c>
      <c r="G281" s="316" t="s">
        <v>86</v>
      </c>
      <c r="H281" s="74" t="str">
        <f t="shared" si="11"/>
        <v>Others</v>
      </c>
      <c r="I281"/>
    </row>
    <row r="282" spans="6:11" x14ac:dyDescent="0.3">
      <c r="F282" s="317" t="s">
        <v>133</v>
      </c>
      <c r="G282" s="316" t="s">
        <v>86</v>
      </c>
      <c r="H282" s="74" t="str">
        <f t="shared" si="11"/>
        <v>Others</v>
      </c>
      <c r="I282"/>
    </row>
    <row r="283" spans="6:11" x14ac:dyDescent="0.3">
      <c r="F283" s="317" t="s">
        <v>133</v>
      </c>
      <c r="G283" s="316" t="s">
        <v>86</v>
      </c>
      <c r="H283" s="74" t="str">
        <f t="shared" si="11"/>
        <v>Others</v>
      </c>
      <c r="I283"/>
    </row>
    <row r="284" spans="6:11" x14ac:dyDescent="0.3">
      <c r="F284" s="317" t="s">
        <v>133</v>
      </c>
      <c r="G284" s="316" t="s">
        <v>86</v>
      </c>
      <c r="H284" s="74" t="str">
        <f t="shared" si="11"/>
        <v>Others</v>
      </c>
      <c r="I284"/>
    </row>
    <row r="285" spans="6:11" x14ac:dyDescent="0.3">
      <c r="F285" s="317" t="s">
        <v>133</v>
      </c>
      <c r="G285" s="316" t="s">
        <v>86</v>
      </c>
      <c r="H285" s="74" t="str">
        <f t="shared" si="11"/>
        <v>Others</v>
      </c>
      <c r="I285"/>
    </row>
    <row r="286" spans="6:11" x14ac:dyDescent="0.3">
      <c r="F286" s="317" t="s">
        <v>133</v>
      </c>
      <c r="G286" s="316" t="s">
        <v>86</v>
      </c>
      <c r="H286" s="74" t="str">
        <f t="shared" si="11"/>
        <v>Others</v>
      </c>
      <c r="I286"/>
    </row>
    <row r="287" spans="6:11" x14ac:dyDescent="0.3">
      <c r="F287" s="317" t="s">
        <v>133</v>
      </c>
      <c r="G287" s="316" t="s">
        <v>86</v>
      </c>
      <c r="H287" s="74" t="str">
        <f t="shared" si="11"/>
        <v>Others</v>
      </c>
      <c r="I287"/>
    </row>
    <row r="288" spans="6:11" x14ac:dyDescent="0.3">
      <c r="F288" s="317" t="s">
        <v>133</v>
      </c>
      <c r="G288" s="316" t="s">
        <v>86</v>
      </c>
      <c r="H288" s="74" t="str">
        <f t="shared" si="11"/>
        <v>Others</v>
      </c>
      <c r="I288"/>
    </row>
    <row r="289" spans="6:9" x14ac:dyDescent="0.3">
      <c r="F289" s="317" t="s">
        <v>133</v>
      </c>
      <c r="G289" s="316" t="s">
        <v>86</v>
      </c>
      <c r="H289" s="74" t="str">
        <f t="shared" si="11"/>
        <v>Others</v>
      </c>
      <c r="I289"/>
    </row>
    <row r="290" spans="6:9" x14ac:dyDescent="0.3">
      <c r="F290" s="317" t="s">
        <v>133</v>
      </c>
      <c r="G290" s="316" t="s">
        <v>86</v>
      </c>
      <c r="H290" s="74" t="str">
        <f t="shared" si="11"/>
        <v>Others</v>
      </c>
      <c r="I290"/>
    </row>
    <row r="291" spans="6:9" x14ac:dyDescent="0.3">
      <c r="F291" s="317" t="s">
        <v>152</v>
      </c>
      <c r="G291" s="316" t="s">
        <v>88</v>
      </c>
      <c r="H291" s="74" t="str">
        <f t="shared" si="11"/>
        <v>Others</v>
      </c>
      <c r="I291"/>
    </row>
    <row r="292" spans="6:9" x14ac:dyDescent="0.3">
      <c r="F292" s="317" t="s">
        <v>196</v>
      </c>
      <c r="G292" s="316" t="s">
        <v>78</v>
      </c>
      <c r="H292" s="74" t="str">
        <f t="shared" si="11"/>
        <v>FI BOND</v>
      </c>
      <c r="I292"/>
    </row>
    <row r="293" spans="6:9" x14ac:dyDescent="0.3">
      <c r="F293" s="317" t="s">
        <v>134</v>
      </c>
      <c r="G293" s="316" t="s">
        <v>80</v>
      </c>
      <c r="H293" s="74" t="str">
        <f t="shared" si="11"/>
        <v>Others</v>
      </c>
      <c r="I293"/>
    </row>
    <row r="294" spans="6:9" x14ac:dyDescent="0.3">
      <c r="F294" s="317" t="s">
        <v>135</v>
      </c>
      <c r="G294" s="316" t="s">
        <v>119</v>
      </c>
      <c r="H294" s="74" t="str">
        <f t="shared" si="11"/>
        <v>Others</v>
      </c>
      <c r="I294"/>
    </row>
    <row r="295" spans="6:9" x14ac:dyDescent="0.3">
      <c r="F295" s="317" t="s">
        <v>1247</v>
      </c>
      <c r="G295" s="316" t="s">
        <v>80</v>
      </c>
      <c r="H295" s="74" t="str">
        <f t="shared" si="11"/>
        <v>Others</v>
      </c>
      <c r="I295"/>
    </row>
    <row r="296" spans="6:9" x14ac:dyDescent="0.3">
      <c r="F296" s="317" t="s">
        <v>1248</v>
      </c>
      <c r="G296" s="316" t="s">
        <v>119</v>
      </c>
      <c r="H296" s="74" t="str">
        <f t="shared" si="11"/>
        <v>Others</v>
      </c>
      <c r="I296"/>
    </row>
    <row r="297" spans="6:9" x14ac:dyDescent="0.3">
      <c r="F297" s="317" t="s">
        <v>1255</v>
      </c>
      <c r="G297" s="316" t="s">
        <v>80</v>
      </c>
      <c r="H297" s="74" t="str">
        <f t="shared" si="11"/>
        <v>Others</v>
      </c>
      <c r="I297"/>
    </row>
    <row r="298" spans="6:9" x14ac:dyDescent="0.3">
      <c r="F298" s="317" t="s">
        <v>1266</v>
      </c>
      <c r="G298" s="316" t="s">
        <v>78</v>
      </c>
      <c r="H298" s="74" t="str">
        <f t="shared" si="11"/>
        <v>FI BOND</v>
      </c>
      <c r="I298"/>
    </row>
    <row r="299" spans="6:9" x14ac:dyDescent="0.3">
      <c r="F299" s="317" t="s">
        <v>1271</v>
      </c>
      <c r="G299" s="316" t="s">
        <v>109</v>
      </c>
      <c r="H299" s="74" t="str">
        <f t="shared" si="11"/>
        <v>FI BOND</v>
      </c>
      <c r="I299"/>
    </row>
    <row r="300" spans="6:9" x14ac:dyDescent="0.3">
      <c r="F300" s="317" t="s">
        <v>1276</v>
      </c>
      <c r="G300" s="316" t="s">
        <v>119</v>
      </c>
      <c r="H300" s="74" t="str">
        <f t="shared" si="11"/>
        <v>Others</v>
      </c>
      <c r="I300"/>
    </row>
    <row r="301" spans="6:9" x14ac:dyDescent="0.3">
      <c r="F301" s="317" t="s">
        <v>1300</v>
      </c>
      <c r="G301" s="316" t="s">
        <v>80</v>
      </c>
      <c r="H301" s="74" t="str">
        <f t="shared" si="11"/>
        <v>Others</v>
      </c>
      <c r="I301"/>
    </row>
    <row r="302" spans="6:9" x14ac:dyDescent="0.3">
      <c r="F302" s="317" t="s">
        <v>1301</v>
      </c>
      <c r="G302" s="316" t="s">
        <v>109</v>
      </c>
      <c r="H302" s="74" t="str">
        <f t="shared" si="11"/>
        <v>FI BOND</v>
      </c>
      <c r="I302"/>
    </row>
    <row r="303" spans="6:9" x14ac:dyDescent="0.3">
      <c r="F303" s="317" t="s">
        <v>1308</v>
      </c>
      <c r="G303" s="316" t="s">
        <v>88</v>
      </c>
      <c r="H303" s="74" t="str">
        <f t="shared" si="11"/>
        <v>Others</v>
      </c>
      <c r="I303"/>
    </row>
    <row r="304" spans="6:9" x14ac:dyDescent="0.3">
      <c r="F304" s="317" t="s">
        <v>1309</v>
      </c>
      <c r="G304" s="316" t="s">
        <v>80</v>
      </c>
      <c r="H304" s="74" t="str">
        <f t="shared" si="11"/>
        <v>Others</v>
      </c>
      <c r="I304"/>
    </row>
    <row r="305" spans="6:9" x14ac:dyDescent="0.3">
      <c r="F305" s="412" t="s">
        <v>1317</v>
      </c>
      <c r="G305" s="413" t="s">
        <v>80</v>
      </c>
      <c r="H305" s="74" t="str">
        <f t="shared" si="11"/>
        <v>Others</v>
      </c>
      <c r="I305"/>
    </row>
    <row r="306" spans="6:9" x14ac:dyDescent="0.3">
      <c r="F306" s="317" t="s">
        <v>1398</v>
      </c>
      <c r="G306" s="316" t="s">
        <v>80</v>
      </c>
      <c r="H306" s="74" t="str">
        <f t="shared" si="11"/>
        <v>Others</v>
      </c>
      <c r="I306"/>
    </row>
    <row r="307" spans="6:9" x14ac:dyDescent="0.3">
      <c r="F307" s="317" t="s">
        <v>1458</v>
      </c>
      <c r="G307" s="316" t="s">
        <v>80</v>
      </c>
      <c r="H307" s="74" t="str">
        <f t="shared" si="11"/>
        <v>Others</v>
      </c>
      <c r="I307"/>
    </row>
    <row r="308" spans="6:9" x14ac:dyDescent="0.3">
      <c r="F308" s="317" t="s">
        <v>1476</v>
      </c>
      <c r="G308" s="316" t="s">
        <v>88</v>
      </c>
      <c r="H308" s="74" t="str">
        <f t="shared" si="11"/>
        <v>Others</v>
      </c>
      <c r="I308"/>
    </row>
    <row r="309" spans="6:9" x14ac:dyDescent="0.3">
      <c r="F309" s="317" t="s">
        <v>1477</v>
      </c>
      <c r="G309" s="316" t="s">
        <v>80</v>
      </c>
      <c r="H309" s="74" t="str">
        <f t="shared" si="11"/>
        <v>Others</v>
      </c>
      <c r="I309"/>
    </row>
    <row r="310" spans="6:9" x14ac:dyDescent="0.3">
      <c r="F310" s="317" t="s">
        <v>1488</v>
      </c>
      <c r="G310" s="316" t="s">
        <v>80</v>
      </c>
      <c r="H310" s="74" t="str">
        <f t="shared" si="11"/>
        <v>Others</v>
      </c>
      <c r="I310"/>
    </row>
    <row r="311" spans="6:9" x14ac:dyDescent="0.3">
      <c r="F311" s="317" t="s">
        <v>1615</v>
      </c>
      <c r="G311" s="316" t="s">
        <v>80</v>
      </c>
      <c r="H311" s="74" t="str">
        <f t="shared" si="11"/>
        <v>Others</v>
      </c>
      <c r="I311"/>
    </row>
    <row r="312" spans="6:9" x14ac:dyDescent="0.3">
      <c r="F312" s="317"/>
      <c r="G312" s="316"/>
      <c r="H312" s="74"/>
      <c r="I312"/>
    </row>
    <row r="313" spans="6:9" x14ac:dyDescent="0.3">
      <c r="F313" s="317"/>
      <c r="G313" s="316"/>
      <c r="H313" s="74"/>
      <c r="I313"/>
    </row>
    <row r="314" spans="6:9" x14ac:dyDescent="0.3">
      <c r="F314" s="317"/>
      <c r="G314" s="316"/>
      <c r="H314" s="74"/>
      <c r="I314"/>
    </row>
    <row r="315" spans="6:9" x14ac:dyDescent="0.3">
      <c r="F315" s="317"/>
      <c r="G315" s="316"/>
      <c r="H315" s="74"/>
      <c r="I315"/>
    </row>
    <row r="316" spans="6:9" x14ac:dyDescent="0.3">
      <c r="F316"/>
      <c r="G316"/>
      <c r="H316"/>
      <c r="I316"/>
    </row>
    <row r="317" spans="6:9" x14ac:dyDescent="0.3">
      <c r="F317"/>
      <c r="G317"/>
      <c r="H317"/>
      <c r="I317"/>
    </row>
    <row r="318" spans="6:9" x14ac:dyDescent="0.3">
      <c r="F318"/>
      <c r="G318"/>
      <c r="H318"/>
      <c r="I318"/>
    </row>
    <row r="319" spans="6:9" x14ac:dyDescent="0.3">
      <c r="F319"/>
      <c r="G319"/>
      <c r="H319"/>
      <c r="I319"/>
    </row>
    <row r="320" spans="6:9" x14ac:dyDescent="0.3">
      <c r="F320"/>
      <c r="G320"/>
      <c r="H320"/>
      <c r="I320"/>
    </row>
    <row r="321" spans="6:9" x14ac:dyDescent="0.3">
      <c r="F321"/>
      <c r="G321"/>
      <c r="H321"/>
      <c r="I321"/>
    </row>
    <row r="322" spans="6:9" x14ac:dyDescent="0.3">
      <c r="F322"/>
      <c r="G322"/>
      <c r="H322"/>
      <c r="I322"/>
    </row>
    <row r="323" spans="6:9" x14ac:dyDescent="0.3">
      <c r="F323"/>
      <c r="G323"/>
      <c r="H323"/>
      <c r="I323"/>
    </row>
    <row r="324" spans="6:9" x14ac:dyDescent="0.3">
      <c r="F324"/>
      <c r="G324"/>
      <c r="H324"/>
      <c r="I324"/>
    </row>
    <row r="325" spans="6:9" x14ac:dyDescent="0.3">
      <c r="F325"/>
      <c r="G325"/>
      <c r="H325"/>
      <c r="I325"/>
    </row>
    <row r="326" spans="6:9" x14ac:dyDescent="0.3">
      <c r="F326"/>
      <c r="G326"/>
      <c r="H326"/>
      <c r="I326"/>
    </row>
    <row r="327" spans="6:9" x14ac:dyDescent="0.3">
      <c r="F327"/>
      <c r="G327"/>
      <c r="H327"/>
      <c r="I327"/>
    </row>
    <row r="328" spans="6:9" x14ac:dyDescent="0.3">
      <c r="F328"/>
      <c r="G328"/>
      <c r="H328"/>
      <c r="I328"/>
    </row>
    <row r="329" spans="6:9" x14ac:dyDescent="0.3">
      <c r="F329"/>
      <c r="G329"/>
      <c r="H329"/>
      <c r="I329"/>
    </row>
    <row r="330" spans="6:9" x14ac:dyDescent="0.3">
      <c r="F330"/>
      <c r="G330"/>
      <c r="H330"/>
      <c r="I330"/>
    </row>
    <row r="331" spans="6:9" x14ac:dyDescent="0.3">
      <c r="F331"/>
      <c r="G331"/>
      <c r="H331"/>
      <c r="I331"/>
    </row>
    <row r="332" spans="6:9" x14ac:dyDescent="0.3">
      <c r="F332"/>
      <c r="G332"/>
      <c r="H332"/>
      <c r="I332"/>
    </row>
    <row r="333" spans="6:9" x14ac:dyDescent="0.3">
      <c r="F333"/>
      <c r="G333"/>
      <c r="H333"/>
      <c r="I333"/>
    </row>
    <row r="334" spans="6:9" x14ac:dyDescent="0.3">
      <c r="F334"/>
      <c r="G334"/>
      <c r="H334"/>
      <c r="I334"/>
    </row>
    <row r="335" spans="6:9" x14ac:dyDescent="0.3">
      <c r="F335"/>
      <c r="G335"/>
      <c r="H335"/>
      <c r="I335"/>
    </row>
    <row r="336" spans="6:9" x14ac:dyDescent="0.3">
      <c r="F336"/>
      <c r="G336"/>
      <c r="H336"/>
      <c r="I336"/>
    </row>
    <row r="337" spans="6:9" x14ac:dyDescent="0.3">
      <c r="F337"/>
      <c r="G337"/>
      <c r="H337"/>
      <c r="I337"/>
    </row>
    <row r="338" spans="6:9" x14ac:dyDescent="0.3">
      <c r="F338"/>
      <c r="G338"/>
      <c r="H338"/>
      <c r="I338"/>
    </row>
    <row r="339" spans="6:9" x14ac:dyDescent="0.3">
      <c r="F339"/>
      <c r="G339"/>
      <c r="H339"/>
      <c r="I339"/>
    </row>
    <row r="340" spans="6:9" x14ac:dyDescent="0.3">
      <c r="F340"/>
      <c r="G340"/>
      <c r="H340"/>
      <c r="I340"/>
    </row>
    <row r="341" spans="6:9" x14ac:dyDescent="0.3">
      <c r="F341"/>
      <c r="G341"/>
      <c r="H341"/>
      <c r="I341"/>
    </row>
    <row r="342" spans="6:9" x14ac:dyDescent="0.3">
      <c r="F342"/>
      <c r="G342"/>
      <c r="H342"/>
      <c r="I342"/>
    </row>
    <row r="343" spans="6:9" x14ac:dyDescent="0.3">
      <c r="F343"/>
      <c r="G343"/>
      <c r="H343"/>
      <c r="I343"/>
    </row>
    <row r="344" spans="6:9" x14ac:dyDescent="0.3">
      <c r="F344"/>
      <c r="G344"/>
      <c r="H344"/>
      <c r="I344"/>
    </row>
    <row r="345" spans="6:9" x14ac:dyDescent="0.3">
      <c r="F345"/>
      <c r="G345"/>
      <c r="H345"/>
      <c r="I345"/>
    </row>
    <row r="346" spans="6:9" x14ac:dyDescent="0.3">
      <c r="F346"/>
      <c r="G346"/>
      <c r="H346"/>
      <c r="I346"/>
    </row>
    <row r="347" spans="6:9" x14ac:dyDescent="0.3">
      <c r="F347"/>
      <c r="G347"/>
      <c r="H347"/>
      <c r="I347"/>
    </row>
    <row r="348" spans="6:9" x14ac:dyDescent="0.3">
      <c r="F348"/>
      <c r="G348"/>
      <c r="H348"/>
      <c r="I348"/>
    </row>
    <row r="349" spans="6:9" x14ac:dyDescent="0.3">
      <c r="F349"/>
      <c r="G349"/>
      <c r="H349"/>
      <c r="I349"/>
    </row>
    <row r="350" spans="6:9" x14ac:dyDescent="0.3">
      <c r="F350"/>
      <c r="G350"/>
      <c r="H350"/>
      <c r="I350"/>
    </row>
    <row r="351" spans="6:9" x14ac:dyDescent="0.3">
      <c r="F351"/>
      <c r="G351"/>
      <c r="H351"/>
      <c r="I351"/>
    </row>
    <row r="352" spans="6:9" x14ac:dyDescent="0.3">
      <c r="F352"/>
      <c r="G352"/>
      <c r="H352"/>
      <c r="I352"/>
    </row>
    <row r="353" spans="6:9" x14ac:dyDescent="0.3">
      <c r="F353"/>
      <c r="G353"/>
      <c r="H353"/>
      <c r="I353"/>
    </row>
    <row r="354" spans="6:9" x14ac:dyDescent="0.3">
      <c r="F354"/>
      <c r="G354"/>
      <c r="H354"/>
      <c r="I354"/>
    </row>
    <row r="355" spans="6:9" x14ac:dyDescent="0.3">
      <c r="F355"/>
      <c r="G355"/>
      <c r="H355"/>
      <c r="I355"/>
    </row>
    <row r="356" spans="6:9" x14ac:dyDescent="0.3">
      <c r="F356"/>
      <c r="G356"/>
      <c r="H356"/>
      <c r="I356"/>
    </row>
    <row r="357" spans="6:9" x14ac:dyDescent="0.3">
      <c r="F357"/>
      <c r="G357"/>
      <c r="H357"/>
      <c r="I357"/>
    </row>
    <row r="358" spans="6:9" x14ac:dyDescent="0.3">
      <c r="F358"/>
      <c r="G358"/>
      <c r="H358"/>
      <c r="I358"/>
    </row>
    <row r="359" spans="6:9" x14ac:dyDescent="0.3">
      <c r="F359"/>
      <c r="G359"/>
      <c r="H359"/>
      <c r="I359"/>
    </row>
    <row r="360" spans="6:9" x14ac:dyDescent="0.3">
      <c r="F360"/>
      <c r="G360"/>
      <c r="H360"/>
      <c r="I360"/>
    </row>
    <row r="361" spans="6:9" x14ac:dyDescent="0.3">
      <c r="F361"/>
      <c r="G361"/>
      <c r="H361"/>
      <c r="I361"/>
    </row>
    <row r="362" spans="6:9" x14ac:dyDescent="0.3">
      <c r="F362"/>
      <c r="G362"/>
      <c r="H362"/>
      <c r="I362"/>
    </row>
    <row r="363" spans="6:9" x14ac:dyDescent="0.3">
      <c r="F363"/>
      <c r="G363"/>
      <c r="H363"/>
      <c r="I363"/>
    </row>
    <row r="364" spans="6:9" x14ac:dyDescent="0.3">
      <c r="F364"/>
      <c r="G364"/>
      <c r="H364"/>
      <c r="I364"/>
    </row>
    <row r="365" spans="6:9" x14ac:dyDescent="0.3">
      <c r="F365"/>
      <c r="G365"/>
      <c r="H365"/>
      <c r="I365"/>
    </row>
    <row r="366" spans="6:9" x14ac:dyDescent="0.3">
      <c r="F366"/>
      <c r="G366"/>
      <c r="H366"/>
      <c r="I366"/>
    </row>
    <row r="367" spans="6:9" x14ac:dyDescent="0.3">
      <c r="F367"/>
      <c r="G367"/>
      <c r="H367"/>
      <c r="I367"/>
    </row>
    <row r="368" spans="6:9" x14ac:dyDescent="0.3">
      <c r="F368"/>
      <c r="G368"/>
      <c r="H368"/>
      <c r="I368"/>
    </row>
    <row r="369" spans="6:9" x14ac:dyDescent="0.3">
      <c r="F369"/>
      <c r="G369"/>
      <c r="H369"/>
      <c r="I369"/>
    </row>
    <row r="370" spans="6:9" x14ac:dyDescent="0.3">
      <c r="F370"/>
      <c r="G370"/>
      <c r="H370"/>
      <c r="I370"/>
    </row>
    <row r="371" spans="6:9" x14ac:dyDescent="0.3">
      <c r="F371"/>
      <c r="G371"/>
      <c r="H371"/>
      <c r="I371"/>
    </row>
    <row r="372" spans="6:9" x14ac:dyDescent="0.3">
      <c r="F372"/>
      <c r="G372"/>
      <c r="H372"/>
      <c r="I372"/>
    </row>
    <row r="373" spans="6:9" x14ac:dyDescent="0.3">
      <c r="F373"/>
      <c r="G373"/>
      <c r="H373"/>
      <c r="I373"/>
    </row>
    <row r="374" spans="6:9" x14ac:dyDescent="0.3">
      <c r="F374"/>
      <c r="G374"/>
      <c r="H374"/>
      <c r="I374"/>
    </row>
    <row r="375" spans="6:9" x14ac:dyDescent="0.3">
      <c r="F375"/>
      <c r="G375"/>
      <c r="H375"/>
      <c r="I375"/>
    </row>
    <row r="376" spans="6:9" x14ac:dyDescent="0.3">
      <c r="F376"/>
      <c r="G376"/>
      <c r="H376"/>
      <c r="I376"/>
    </row>
    <row r="377" spans="6:9" x14ac:dyDescent="0.3">
      <c r="F377"/>
      <c r="G377"/>
      <c r="H377"/>
      <c r="I377"/>
    </row>
    <row r="378" spans="6:9" x14ac:dyDescent="0.3">
      <c r="F378"/>
      <c r="G378"/>
      <c r="H378"/>
      <c r="I378"/>
    </row>
    <row r="379" spans="6:9" x14ac:dyDescent="0.3">
      <c r="F379"/>
      <c r="G379"/>
      <c r="H379"/>
      <c r="I379"/>
    </row>
    <row r="380" spans="6:9" x14ac:dyDescent="0.3">
      <c r="F380"/>
      <c r="G380"/>
      <c r="H380"/>
      <c r="I380"/>
    </row>
    <row r="381" spans="6:9" x14ac:dyDescent="0.3">
      <c r="F381"/>
      <c r="G381"/>
      <c r="H381"/>
      <c r="I381"/>
    </row>
    <row r="382" spans="6:9" x14ac:dyDescent="0.3">
      <c r="F382"/>
      <c r="G382"/>
      <c r="H382"/>
      <c r="I382"/>
    </row>
    <row r="383" spans="6:9" x14ac:dyDescent="0.3">
      <c r="F383"/>
      <c r="G383"/>
      <c r="H383"/>
      <c r="I383"/>
    </row>
    <row r="384" spans="6:9" x14ac:dyDescent="0.3">
      <c r="F384"/>
      <c r="G384"/>
      <c r="H384"/>
      <c r="I384"/>
    </row>
    <row r="385" spans="6:9" x14ac:dyDescent="0.3">
      <c r="F385"/>
      <c r="G385"/>
      <c r="H385"/>
      <c r="I385"/>
    </row>
    <row r="386" spans="6:9" x14ac:dyDescent="0.3">
      <c r="F386"/>
      <c r="G386"/>
      <c r="H386"/>
      <c r="I386"/>
    </row>
    <row r="387" spans="6:9" x14ac:dyDescent="0.3">
      <c r="F387"/>
      <c r="G387"/>
      <c r="H387"/>
      <c r="I387"/>
    </row>
    <row r="388" spans="6:9" x14ac:dyDescent="0.3">
      <c r="F388"/>
      <c r="G388"/>
      <c r="H388"/>
      <c r="I388"/>
    </row>
    <row r="389" spans="6:9" x14ac:dyDescent="0.3">
      <c r="F389"/>
      <c r="G389"/>
      <c r="H389"/>
      <c r="I389"/>
    </row>
    <row r="390" spans="6:9" x14ac:dyDescent="0.3">
      <c r="F390"/>
      <c r="G390"/>
      <c r="H390"/>
      <c r="I390"/>
    </row>
    <row r="391" spans="6:9" x14ac:dyDescent="0.3">
      <c r="F391"/>
      <c r="G391"/>
      <c r="H391"/>
      <c r="I391"/>
    </row>
    <row r="392" spans="6:9" x14ac:dyDescent="0.3">
      <c r="F392"/>
      <c r="G392"/>
      <c r="H392"/>
      <c r="I392"/>
    </row>
    <row r="393" spans="6:9" x14ac:dyDescent="0.3">
      <c r="F393"/>
      <c r="G393"/>
      <c r="H393"/>
      <c r="I393"/>
    </row>
    <row r="394" spans="6:9" x14ac:dyDescent="0.3">
      <c r="F394"/>
      <c r="G394"/>
      <c r="H394"/>
      <c r="I394"/>
    </row>
    <row r="395" spans="6:9" x14ac:dyDescent="0.3">
      <c r="F395"/>
      <c r="G395"/>
      <c r="H395"/>
      <c r="I395"/>
    </row>
    <row r="396" spans="6:9" x14ac:dyDescent="0.3">
      <c r="F396"/>
      <c r="G396"/>
      <c r="H396"/>
      <c r="I396"/>
    </row>
    <row r="397" spans="6:9" x14ac:dyDescent="0.3">
      <c r="F397"/>
      <c r="G397"/>
      <c r="H397"/>
      <c r="I397"/>
    </row>
    <row r="398" spans="6:9" x14ac:dyDescent="0.3">
      <c r="F398"/>
      <c r="G398"/>
      <c r="H398"/>
      <c r="I398"/>
    </row>
    <row r="399" spans="6:9" x14ac:dyDescent="0.3">
      <c r="F399"/>
      <c r="G399"/>
      <c r="H399"/>
      <c r="I399"/>
    </row>
    <row r="400" spans="6:9" x14ac:dyDescent="0.3">
      <c r="F400"/>
      <c r="G400"/>
      <c r="H400"/>
      <c r="I400"/>
    </row>
    <row r="401" spans="6:9" x14ac:dyDescent="0.3">
      <c r="F401"/>
      <c r="G401"/>
      <c r="H401"/>
      <c r="I401"/>
    </row>
    <row r="402" spans="6:9" x14ac:dyDescent="0.3">
      <c r="F402"/>
      <c r="G402"/>
      <c r="H402"/>
      <c r="I402"/>
    </row>
    <row r="403" spans="6:9" x14ac:dyDescent="0.3">
      <c r="F403"/>
      <c r="G403"/>
      <c r="H403"/>
      <c r="I403"/>
    </row>
    <row r="404" spans="6:9" x14ac:dyDescent="0.3">
      <c r="F404"/>
      <c r="G404"/>
      <c r="H404"/>
      <c r="I404"/>
    </row>
    <row r="405" spans="6:9" x14ac:dyDescent="0.3">
      <c r="F405"/>
      <c r="G405"/>
      <c r="H405"/>
      <c r="I405"/>
    </row>
    <row r="406" spans="6:9" x14ac:dyDescent="0.3">
      <c r="F406"/>
      <c r="G406"/>
      <c r="H406"/>
      <c r="I406"/>
    </row>
    <row r="407" spans="6:9" x14ac:dyDescent="0.3">
      <c r="F407"/>
      <c r="G407"/>
      <c r="H407"/>
      <c r="I407"/>
    </row>
    <row r="408" spans="6:9" x14ac:dyDescent="0.3">
      <c r="F408"/>
      <c r="G408"/>
      <c r="H408"/>
      <c r="I408"/>
    </row>
    <row r="409" spans="6:9" x14ac:dyDescent="0.3">
      <c r="F409"/>
      <c r="G409"/>
      <c r="H409"/>
      <c r="I409"/>
    </row>
    <row r="410" spans="6:9" x14ac:dyDescent="0.3">
      <c r="F410"/>
      <c r="G410"/>
      <c r="H410"/>
      <c r="I410"/>
    </row>
    <row r="411" spans="6:9" x14ac:dyDescent="0.3">
      <c r="F411"/>
      <c r="G411"/>
      <c r="H411"/>
      <c r="I411"/>
    </row>
    <row r="412" spans="6:9" x14ac:dyDescent="0.3">
      <c r="F412"/>
      <c r="G412"/>
      <c r="H412"/>
      <c r="I412"/>
    </row>
    <row r="413" spans="6:9" x14ac:dyDescent="0.3">
      <c r="F413"/>
      <c r="G413"/>
      <c r="H413"/>
      <c r="I413"/>
    </row>
    <row r="414" spans="6:9" x14ac:dyDescent="0.3">
      <c r="F414"/>
      <c r="G414"/>
      <c r="H414"/>
      <c r="I414"/>
    </row>
    <row r="415" spans="6:9" x14ac:dyDescent="0.3">
      <c r="F415"/>
      <c r="G415"/>
      <c r="H415"/>
      <c r="I415"/>
    </row>
    <row r="416" spans="6:9" x14ac:dyDescent="0.3">
      <c r="F416"/>
      <c r="G416"/>
      <c r="H416"/>
      <c r="I416"/>
    </row>
    <row r="417" spans="6:9" x14ac:dyDescent="0.3">
      <c r="F417"/>
      <c r="G417"/>
      <c r="H417"/>
      <c r="I417"/>
    </row>
    <row r="418" spans="6:9" x14ac:dyDescent="0.3">
      <c r="F418"/>
      <c r="G418"/>
      <c r="H418"/>
      <c r="I418"/>
    </row>
    <row r="419" spans="6:9" x14ac:dyDescent="0.3">
      <c r="F419"/>
      <c r="G419"/>
      <c r="H419"/>
      <c r="I419"/>
    </row>
    <row r="420" spans="6:9" x14ac:dyDescent="0.3">
      <c r="F420"/>
      <c r="G420"/>
      <c r="H420"/>
      <c r="I420"/>
    </row>
    <row r="421" spans="6:9" x14ac:dyDescent="0.3">
      <c r="F421"/>
      <c r="G421"/>
      <c r="H421"/>
      <c r="I421"/>
    </row>
    <row r="422" spans="6:9" x14ac:dyDescent="0.3">
      <c r="F422"/>
      <c r="G422"/>
      <c r="H422"/>
      <c r="I422"/>
    </row>
    <row r="423" spans="6:9" x14ac:dyDescent="0.3">
      <c r="F423"/>
      <c r="G423"/>
      <c r="H423"/>
      <c r="I423"/>
    </row>
    <row r="424" spans="6:9" x14ac:dyDescent="0.3">
      <c r="F424"/>
      <c r="G424"/>
      <c r="H424"/>
      <c r="I424"/>
    </row>
    <row r="425" spans="6:9" x14ac:dyDescent="0.3">
      <c r="F425"/>
      <c r="G425"/>
      <c r="H425"/>
      <c r="I425"/>
    </row>
    <row r="426" spans="6:9" x14ac:dyDescent="0.3">
      <c r="F426"/>
      <c r="G426"/>
      <c r="H426"/>
      <c r="I426"/>
    </row>
    <row r="427" spans="6:9" x14ac:dyDescent="0.3">
      <c r="F427"/>
      <c r="G427"/>
      <c r="H427"/>
      <c r="I427"/>
    </row>
    <row r="428" spans="6:9" x14ac:dyDescent="0.3">
      <c r="F428"/>
      <c r="G428"/>
      <c r="H428"/>
      <c r="I428"/>
    </row>
    <row r="429" spans="6:9" x14ac:dyDescent="0.3">
      <c r="F429"/>
      <c r="G429"/>
      <c r="H429"/>
      <c r="I429"/>
    </row>
    <row r="430" spans="6:9" x14ac:dyDescent="0.3">
      <c r="F430"/>
      <c r="G430"/>
      <c r="H430"/>
      <c r="I430"/>
    </row>
    <row r="431" spans="6:9" x14ac:dyDescent="0.3">
      <c r="F431"/>
      <c r="G431"/>
      <c r="H431"/>
      <c r="I431"/>
    </row>
    <row r="432" spans="6:9" x14ac:dyDescent="0.3">
      <c r="F432"/>
      <c r="G432"/>
      <c r="H432"/>
      <c r="I432"/>
    </row>
    <row r="433" spans="6:9" x14ac:dyDescent="0.3">
      <c r="F433"/>
      <c r="G433"/>
      <c r="H433"/>
      <c r="I433"/>
    </row>
    <row r="434" spans="6:9" x14ac:dyDescent="0.3">
      <c r="F434"/>
      <c r="G434"/>
      <c r="H434"/>
      <c r="I434"/>
    </row>
    <row r="435" spans="6:9" x14ac:dyDescent="0.3">
      <c r="F435"/>
      <c r="G435"/>
      <c r="H435"/>
      <c r="I435"/>
    </row>
    <row r="436" spans="6:9" x14ac:dyDescent="0.3">
      <c r="F436"/>
      <c r="G436"/>
      <c r="H436"/>
      <c r="I436"/>
    </row>
    <row r="437" spans="6:9" x14ac:dyDescent="0.3">
      <c r="F437"/>
      <c r="G437"/>
      <c r="H437"/>
      <c r="I437"/>
    </row>
    <row r="438" spans="6:9" x14ac:dyDescent="0.3">
      <c r="F438"/>
      <c r="G438"/>
      <c r="H438"/>
      <c r="I438"/>
    </row>
    <row r="439" spans="6:9" x14ac:dyDescent="0.3">
      <c r="F439"/>
      <c r="G439"/>
      <c r="H439"/>
      <c r="I439"/>
    </row>
    <row r="440" spans="6:9" x14ac:dyDescent="0.3">
      <c r="F440"/>
      <c r="G440"/>
      <c r="H440"/>
      <c r="I440"/>
    </row>
    <row r="441" spans="6:9" x14ac:dyDescent="0.3">
      <c r="F441"/>
      <c r="G441"/>
      <c r="H441"/>
      <c r="I441"/>
    </row>
    <row r="442" spans="6:9" x14ac:dyDescent="0.3">
      <c r="F442"/>
      <c r="G442"/>
      <c r="H442"/>
      <c r="I442"/>
    </row>
    <row r="443" spans="6:9" x14ac:dyDescent="0.3">
      <c r="F443"/>
      <c r="G443"/>
      <c r="H443"/>
      <c r="I443"/>
    </row>
    <row r="444" spans="6:9" x14ac:dyDescent="0.3">
      <c r="F444"/>
      <c r="G444"/>
      <c r="H444"/>
      <c r="I444"/>
    </row>
    <row r="445" spans="6:9" x14ac:dyDescent="0.3">
      <c r="F445"/>
      <c r="G445"/>
      <c r="H445"/>
      <c r="I445"/>
    </row>
    <row r="446" spans="6:9" x14ac:dyDescent="0.3">
      <c r="F446"/>
      <c r="G446"/>
      <c r="H446"/>
      <c r="I446"/>
    </row>
    <row r="447" spans="6:9" x14ac:dyDescent="0.3">
      <c r="F447"/>
      <c r="G447"/>
      <c r="H447"/>
      <c r="I447"/>
    </row>
    <row r="448" spans="6:9" x14ac:dyDescent="0.3">
      <c r="F448"/>
      <c r="G448"/>
      <c r="H448"/>
      <c r="I448"/>
    </row>
    <row r="449" spans="6:9" x14ac:dyDescent="0.3">
      <c r="F449"/>
      <c r="G449"/>
      <c r="H449"/>
      <c r="I449"/>
    </row>
    <row r="450" spans="6:9" x14ac:dyDescent="0.3">
      <c r="F450"/>
      <c r="G450"/>
      <c r="H450"/>
      <c r="I450"/>
    </row>
    <row r="451" spans="6:9" x14ac:dyDescent="0.3">
      <c r="F451"/>
      <c r="G451"/>
      <c r="H451"/>
      <c r="I451"/>
    </row>
    <row r="452" spans="6:9" x14ac:dyDescent="0.3">
      <c r="F452"/>
      <c r="G452"/>
      <c r="H452"/>
      <c r="I452"/>
    </row>
    <row r="453" spans="6:9" x14ac:dyDescent="0.3">
      <c r="F453"/>
      <c r="G453"/>
      <c r="H453"/>
      <c r="I453"/>
    </row>
    <row r="454" spans="6:9" x14ac:dyDescent="0.3">
      <c r="F454"/>
      <c r="G454"/>
      <c r="H454"/>
      <c r="I454"/>
    </row>
    <row r="455" spans="6:9" x14ac:dyDescent="0.3">
      <c r="F455"/>
      <c r="G455"/>
      <c r="H455"/>
      <c r="I455"/>
    </row>
    <row r="456" spans="6:9" x14ac:dyDescent="0.3">
      <c r="F456"/>
      <c r="G456"/>
      <c r="H456"/>
      <c r="I456"/>
    </row>
    <row r="457" spans="6:9" x14ac:dyDescent="0.3">
      <c r="F457"/>
      <c r="G457"/>
      <c r="H457"/>
      <c r="I457"/>
    </row>
    <row r="458" spans="6:9" x14ac:dyDescent="0.3">
      <c r="F458"/>
      <c r="G458"/>
      <c r="H458"/>
      <c r="I458"/>
    </row>
    <row r="459" spans="6:9" x14ac:dyDescent="0.3">
      <c r="F459"/>
      <c r="G459"/>
      <c r="H459"/>
      <c r="I459"/>
    </row>
    <row r="460" spans="6:9" x14ac:dyDescent="0.3">
      <c r="F460"/>
      <c r="G460"/>
      <c r="H460"/>
      <c r="I460"/>
    </row>
    <row r="461" spans="6:9" x14ac:dyDescent="0.3">
      <c r="F461"/>
      <c r="G461"/>
      <c r="H461"/>
      <c r="I461"/>
    </row>
    <row r="462" spans="6:9" x14ac:dyDescent="0.3">
      <c r="F462"/>
      <c r="G462"/>
      <c r="H462"/>
      <c r="I462"/>
    </row>
    <row r="463" spans="6:9" x14ac:dyDescent="0.3">
      <c r="F463"/>
      <c r="G463"/>
      <c r="H463"/>
      <c r="I463"/>
    </row>
    <row r="464" spans="6:9" x14ac:dyDescent="0.3">
      <c r="F464"/>
      <c r="G464"/>
      <c r="H464"/>
      <c r="I464"/>
    </row>
    <row r="465" spans="6:9" x14ac:dyDescent="0.3">
      <c r="F465"/>
      <c r="G465"/>
      <c r="H465"/>
      <c r="I465"/>
    </row>
    <row r="466" spans="6:9" x14ac:dyDescent="0.3">
      <c r="F466"/>
      <c r="G466"/>
      <c r="H466"/>
      <c r="I466"/>
    </row>
    <row r="467" spans="6:9" x14ac:dyDescent="0.3">
      <c r="F467"/>
      <c r="G467"/>
      <c r="H467"/>
      <c r="I467"/>
    </row>
    <row r="468" spans="6:9" x14ac:dyDescent="0.3">
      <c r="F468"/>
      <c r="G468"/>
      <c r="H468"/>
      <c r="I468"/>
    </row>
    <row r="469" spans="6:9" x14ac:dyDescent="0.3">
      <c r="F469"/>
      <c r="G469"/>
      <c r="H469"/>
      <c r="I469"/>
    </row>
    <row r="470" spans="6:9" x14ac:dyDescent="0.3">
      <c r="F470"/>
      <c r="G470"/>
      <c r="H470"/>
      <c r="I470"/>
    </row>
    <row r="471" spans="6:9" x14ac:dyDescent="0.3">
      <c r="F471"/>
      <c r="G471"/>
      <c r="H471"/>
      <c r="I471"/>
    </row>
    <row r="472" spans="6:9" x14ac:dyDescent="0.3">
      <c r="F472"/>
      <c r="G472"/>
      <c r="H472"/>
      <c r="I472"/>
    </row>
    <row r="473" spans="6:9" x14ac:dyDescent="0.3">
      <c r="F473"/>
      <c r="G473"/>
      <c r="H473"/>
      <c r="I473"/>
    </row>
    <row r="474" spans="6:9" x14ac:dyDescent="0.3">
      <c r="F474"/>
      <c r="G474"/>
      <c r="H474"/>
      <c r="I474"/>
    </row>
    <row r="475" spans="6:9" x14ac:dyDescent="0.3">
      <c r="F475"/>
      <c r="G475"/>
      <c r="H475"/>
      <c r="I475"/>
    </row>
    <row r="476" spans="6:9" x14ac:dyDescent="0.3">
      <c r="F476"/>
      <c r="G476"/>
      <c r="H476"/>
      <c r="I476"/>
    </row>
    <row r="477" spans="6:9" x14ac:dyDescent="0.3">
      <c r="F477"/>
      <c r="G477"/>
      <c r="H477"/>
      <c r="I477"/>
    </row>
    <row r="478" spans="6:9" x14ac:dyDescent="0.3">
      <c r="F478"/>
      <c r="G478"/>
      <c r="H478"/>
      <c r="I478"/>
    </row>
    <row r="479" spans="6:9" x14ac:dyDescent="0.3">
      <c r="F479"/>
      <c r="G479"/>
      <c r="H479"/>
      <c r="I479"/>
    </row>
    <row r="480" spans="6:9" x14ac:dyDescent="0.3">
      <c r="F480"/>
      <c r="G480"/>
      <c r="H480"/>
      <c r="I480"/>
    </row>
    <row r="481" spans="6:9" x14ac:dyDescent="0.3">
      <c r="F481"/>
      <c r="G481"/>
      <c r="H481"/>
      <c r="I481"/>
    </row>
    <row r="482" spans="6:9" x14ac:dyDescent="0.3">
      <c r="F482"/>
      <c r="G482"/>
      <c r="H482"/>
      <c r="I482"/>
    </row>
    <row r="483" spans="6:9" x14ac:dyDescent="0.3">
      <c r="F483"/>
      <c r="G483"/>
      <c r="H483"/>
      <c r="I483"/>
    </row>
    <row r="484" spans="6:9" x14ac:dyDescent="0.3">
      <c r="F484"/>
      <c r="G484"/>
      <c r="H484"/>
      <c r="I484"/>
    </row>
    <row r="485" spans="6:9" x14ac:dyDescent="0.3">
      <c r="F485"/>
      <c r="G485"/>
      <c r="H485"/>
      <c r="I485"/>
    </row>
    <row r="486" spans="6:9" x14ac:dyDescent="0.3">
      <c r="F486"/>
      <c r="G486"/>
      <c r="H486"/>
      <c r="I486"/>
    </row>
    <row r="487" spans="6:9" x14ac:dyDescent="0.3">
      <c r="F487"/>
      <c r="G487"/>
      <c r="H487"/>
      <c r="I487"/>
    </row>
    <row r="488" spans="6:9" x14ac:dyDescent="0.3">
      <c r="F488"/>
      <c r="G488"/>
      <c r="H488"/>
      <c r="I488"/>
    </row>
    <row r="489" spans="6:9" x14ac:dyDescent="0.3">
      <c r="F489"/>
      <c r="G489"/>
      <c r="H489"/>
      <c r="I489"/>
    </row>
    <row r="490" spans="6:9" x14ac:dyDescent="0.3">
      <c r="F490"/>
      <c r="G490"/>
      <c r="H490"/>
      <c r="I490"/>
    </row>
    <row r="491" spans="6:9" x14ac:dyDescent="0.3">
      <c r="F491"/>
      <c r="G491"/>
      <c r="H491"/>
      <c r="I491"/>
    </row>
    <row r="492" spans="6:9" x14ac:dyDescent="0.3">
      <c r="F492"/>
      <c r="G492"/>
      <c r="H492"/>
      <c r="I492"/>
    </row>
    <row r="493" spans="6:9" x14ac:dyDescent="0.3">
      <c r="F493"/>
      <c r="G493"/>
      <c r="H493"/>
      <c r="I493"/>
    </row>
    <row r="494" spans="6:9" x14ac:dyDescent="0.3">
      <c r="F494"/>
      <c r="G494"/>
      <c r="H494"/>
      <c r="I494"/>
    </row>
    <row r="495" spans="6:9" x14ac:dyDescent="0.3">
      <c r="F495"/>
      <c r="G495"/>
      <c r="H495"/>
      <c r="I495"/>
    </row>
    <row r="496" spans="6:9" x14ac:dyDescent="0.3">
      <c r="F496"/>
      <c r="G496"/>
      <c r="H496"/>
      <c r="I496"/>
    </row>
    <row r="497" spans="6:9" x14ac:dyDescent="0.3">
      <c r="F497"/>
      <c r="G497"/>
      <c r="H497"/>
      <c r="I497"/>
    </row>
    <row r="498" spans="6:9" x14ac:dyDescent="0.3">
      <c r="F498"/>
      <c r="G498"/>
      <c r="H498"/>
      <c r="I498"/>
    </row>
    <row r="499" spans="6:9" x14ac:dyDescent="0.3">
      <c r="F499"/>
      <c r="G499"/>
      <c r="H499"/>
      <c r="I499"/>
    </row>
    <row r="500" spans="6:9" x14ac:dyDescent="0.3">
      <c r="F500"/>
      <c r="G500"/>
      <c r="H500"/>
      <c r="I500"/>
    </row>
    <row r="501" spans="6:9" x14ac:dyDescent="0.3">
      <c r="F501"/>
      <c r="G501"/>
      <c r="H501"/>
      <c r="I501"/>
    </row>
    <row r="502" spans="6:9" x14ac:dyDescent="0.3">
      <c r="F502"/>
      <c r="G502"/>
      <c r="H502"/>
      <c r="I502"/>
    </row>
    <row r="503" spans="6:9" x14ac:dyDescent="0.3">
      <c r="F503"/>
      <c r="G503"/>
      <c r="H503"/>
      <c r="I503"/>
    </row>
    <row r="504" spans="6:9" x14ac:dyDescent="0.3">
      <c r="F504"/>
      <c r="G504"/>
      <c r="H504"/>
      <c r="I504"/>
    </row>
    <row r="505" spans="6:9" x14ac:dyDescent="0.3">
      <c r="F505"/>
      <c r="G505"/>
      <c r="H505"/>
      <c r="I505"/>
    </row>
    <row r="506" spans="6:9" x14ac:dyDescent="0.3">
      <c r="F506"/>
      <c r="G506"/>
      <c r="H506"/>
      <c r="I506"/>
    </row>
    <row r="507" spans="6:9" x14ac:dyDescent="0.3">
      <c r="F507"/>
      <c r="G507"/>
      <c r="H507"/>
      <c r="I507"/>
    </row>
    <row r="508" spans="6:9" x14ac:dyDescent="0.3">
      <c r="F508"/>
      <c r="G508"/>
      <c r="H508"/>
      <c r="I508"/>
    </row>
    <row r="509" spans="6:9" x14ac:dyDescent="0.3">
      <c r="F509"/>
      <c r="G509"/>
      <c r="H509"/>
      <c r="I509"/>
    </row>
    <row r="510" spans="6:9" x14ac:dyDescent="0.3">
      <c r="F510"/>
      <c r="G510"/>
      <c r="H510"/>
      <c r="I510"/>
    </row>
    <row r="511" spans="6:9" x14ac:dyDescent="0.3">
      <c r="F511"/>
      <c r="G511"/>
      <c r="H511"/>
      <c r="I511"/>
    </row>
    <row r="512" spans="6:9" x14ac:dyDescent="0.3">
      <c r="F512"/>
      <c r="G512"/>
      <c r="H512"/>
      <c r="I512"/>
    </row>
    <row r="513" spans="6:9" x14ac:dyDescent="0.3">
      <c r="F513"/>
      <c r="G513"/>
      <c r="H513"/>
      <c r="I513"/>
    </row>
    <row r="514" spans="6:9" x14ac:dyDescent="0.3">
      <c r="F514"/>
      <c r="G514"/>
      <c r="H514"/>
      <c r="I514"/>
    </row>
    <row r="515" spans="6:9" x14ac:dyDescent="0.3">
      <c r="F515"/>
      <c r="G515"/>
      <c r="H515"/>
      <c r="I515"/>
    </row>
    <row r="516" spans="6:9" x14ac:dyDescent="0.3">
      <c r="F516"/>
      <c r="G516"/>
      <c r="H516"/>
      <c r="I516"/>
    </row>
    <row r="517" spans="6:9" x14ac:dyDescent="0.3">
      <c r="F517"/>
      <c r="G517"/>
      <c r="H517"/>
      <c r="I517"/>
    </row>
    <row r="518" spans="6:9" x14ac:dyDescent="0.3">
      <c r="F518"/>
      <c r="G518"/>
      <c r="H518"/>
      <c r="I518"/>
    </row>
    <row r="519" spans="6:9" x14ac:dyDescent="0.3">
      <c r="F519"/>
      <c r="G519"/>
      <c r="H519"/>
      <c r="I519"/>
    </row>
    <row r="520" spans="6:9" x14ac:dyDescent="0.3">
      <c r="F520"/>
      <c r="G520"/>
      <c r="H520"/>
      <c r="I520"/>
    </row>
    <row r="521" spans="6:9" x14ac:dyDescent="0.3">
      <c r="F521"/>
      <c r="G521"/>
      <c r="H521"/>
      <c r="I521"/>
    </row>
    <row r="522" spans="6:9" x14ac:dyDescent="0.3">
      <c r="F522"/>
      <c r="G522"/>
      <c r="H522"/>
      <c r="I522"/>
    </row>
    <row r="523" spans="6:9" x14ac:dyDescent="0.3">
      <c r="F523"/>
      <c r="G523"/>
      <c r="H523"/>
      <c r="I523"/>
    </row>
    <row r="524" spans="6:9" x14ac:dyDescent="0.3">
      <c r="F524"/>
      <c r="G524"/>
      <c r="H524"/>
      <c r="I524"/>
    </row>
    <row r="525" spans="6:9" x14ac:dyDescent="0.3">
      <c r="F525"/>
      <c r="G525"/>
      <c r="H525"/>
      <c r="I525"/>
    </row>
    <row r="526" spans="6:9" x14ac:dyDescent="0.3">
      <c r="F526"/>
      <c r="G526"/>
      <c r="H526"/>
      <c r="I526"/>
    </row>
    <row r="527" spans="6:9" x14ac:dyDescent="0.3">
      <c r="F527"/>
      <c r="G527"/>
      <c r="H527"/>
      <c r="I527"/>
    </row>
    <row r="528" spans="6:9" x14ac:dyDescent="0.3">
      <c r="F528"/>
      <c r="G528"/>
      <c r="H528"/>
      <c r="I528"/>
    </row>
    <row r="529" spans="6:9" x14ac:dyDescent="0.3">
      <c r="F529"/>
      <c r="G529"/>
      <c r="H529"/>
      <c r="I529"/>
    </row>
    <row r="530" spans="6:9" x14ac:dyDescent="0.3">
      <c r="F530"/>
      <c r="G530"/>
      <c r="H530"/>
      <c r="I530"/>
    </row>
    <row r="531" spans="6:9" x14ac:dyDescent="0.3">
      <c r="F531"/>
      <c r="G531"/>
      <c r="H531"/>
      <c r="I531"/>
    </row>
    <row r="532" spans="6:9" x14ac:dyDescent="0.3">
      <c r="F532"/>
      <c r="G532"/>
      <c r="H532"/>
      <c r="I532"/>
    </row>
    <row r="533" spans="6:9" x14ac:dyDescent="0.3">
      <c r="F533"/>
      <c r="G533"/>
      <c r="H533"/>
      <c r="I533"/>
    </row>
    <row r="534" spans="6:9" x14ac:dyDescent="0.3">
      <c r="F534"/>
      <c r="G534"/>
      <c r="H534"/>
      <c r="I534"/>
    </row>
    <row r="535" spans="6:9" x14ac:dyDescent="0.3">
      <c r="F535"/>
      <c r="G535"/>
      <c r="H535"/>
      <c r="I535"/>
    </row>
    <row r="536" spans="6:9" x14ac:dyDescent="0.3">
      <c r="F536"/>
      <c r="G536"/>
      <c r="H536"/>
      <c r="I536"/>
    </row>
    <row r="537" spans="6:9" x14ac:dyDescent="0.3">
      <c r="F537"/>
      <c r="G537"/>
      <c r="H537"/>
      <c r="I537"/>
    </row>
    <row r="538" spans="6:9" x14ac:dyDescent="0.3">
      <c r="F538"/>
      <c r="G538"/>
      <c r="H538"/>
      <c r="I538"/>
    </row>
    <row r="539" spans="6:9" x14ac:dyDescent="0.3">
      <c r="F539"/>
      <c r="G539"/>
      <c r="H539"/>
      <c r="I539"/>
    </row>
    <row r="540" spans="6:9" x14ac:dyDescent="0.3">
      <c r="F540"/>
      <c r="G540"/>
      <c r="H540"/>
      <c r="I540"/>
    </row>
    <row r="541" spans="6:9" x14ac:dyDescent="0.3">
      <c r="F541"/>
      <c r="G541"/>
      <c r="H541"/>
      <c r="I541"/>
    </row>
    <row r="542" spans="6:9" x14ac:dyDescent="0.3">
      <c r="F542"/>
      <c r="G542"/>
      <c r="H542"/>
      <c r="I542"/>
    </row>
    <row r="543" spans="6:9" x14ac:dyDescent="0.3">
      <c r="F543"/>
      <c r="G543"/>
      <c r="H543"/>
      <c r="I543"/>
    </row>
    <row r="544" spans="6:9" x14ac:dyDescent="0.3">
      <c r="F544"/>
      <c r="G544"/>
      <c r="H544"/>
      <c r="I544"/>
    </row>
    <row r="545" spans="6:9" x14ac:dyDescent="0.3">
      <c r="F545"/>
      <c r="G545"/>
      <c r="H545"/>
      <c r="I545"/>
    </row>
    <row r="546" spans="6:9" x14ac:dyDescent="0.3">
      <c r="F546"/>
      <c r="G546"/>
      <c r="H546"/>
      <c r="I546"/>
    </row>
    <row r="547" spans="6:9" x14ac:dyDescent="0.3">
      <c r="F547"/>
      <c r="G547"/>
      <c r="H547"/>
      <c r="I547"/>
    </row>
    <row r="548" spans="6:9" x14ac:dyDescent="0.3">
      <c r="F548"/>
      <c r="G548"/>
      <c r="H548"/>
      <c r="I548"/>
    </row>
    <row r="549" spans="6:9" x14ac:dyDescent="0.3">
      <c r="F549"/>
      <c r="G549"/>
      <c r="H549"/>
      <c r="I549"/>
    </row>
    <row r="550" spans="6:9" x14ac:dyDescent="0.3">
      <c r="F550"/>
      <c r="G550"/>
      <c r="H550"/>
      <c r="I550"/>
    </row>
    <row r="551" spans="6:9" x14ac:dyDescent="0.3">
      <c r="F551"/>
      <c r="G551"/>
      <c r="H551"/>
      <c r="I551"/>
    </row>
    <row r="552" spans="6:9" x14ac:dyDescent="0.3">
      <c r="F552"/>
      <c r="G552"/>
      <c r="H552"/>
      <c r="I552"/>
    </row>
    <row r="553" spans="6:9" x14ac:dyDescent="0.3">
      <c r="F553"/>
      <c r="G553"/>
      <c r="H553"/>
      <c r="I553"/>
    </row>
    <row r="554" spans="6:9" x14ac:dyDescent="0.3">
      <c r="F554"/>
      <c r="G554"/>
      <c r="H554"/>
      <c r="I554"/>
    </row>
    <row r="555" spans="6:9" x14ac:dyDescent="0.3">
      <c r="F555"/>
      <c r="G555"/>
      <c r="H555"/>
      <c r="I555"/>
    </row>
    <row r="556" spans="6:9" x14ac:dyDescent="0.3">
      <c r="F556"/>
      <c r="G556"/>
      <c r="H556"/>
      <c r="I556"/>
    </row>
    <row r="557" spans="6:9" x14ac:dyDescent="0.3">
      <c r="F557"/>
      <c r="G557"/>
      <c r="H557"/>
      <c r="I557"/>
    </row>
    <row r="558" spans="6:9" x14ac:dyDescent="0.3">
      <c r="F558"/>
      <c r="G558"/>
      <c r="H558"/>
      <c r="I558"/>
    </row>
    <row r="559" spans="6:9" x14ac:dyDescent="0.3">
      <c r="F559"/>
      <c r="G559"/>
      <c r="H559"/>
      <c r="I559"/>
    </row>
    <row r="560" spans="6:9" x14ac:dyDescent="0.3">
      <c r="F560"/>
      <c r="G560"/>
      <c r="H560"/>
      <c r="I560"/>
    </row>
    <row r="561" spans="6:9" x14ac:dyDescent="0.3">
      <c r="F561"/>
      <c r="G561"/>
      <c r="H561"/>
      <c r="I561"/>
    </row>
    <row r="562" spans="6:9" x14ac:dyDescent="0.3">
      <c r="F562"/>
      <c r="G562"/>
      <c r="H562"/>
      <c r="I562"/>
    </row>
    <row r="563" spans="6:9" x14ac:dyDescent="0.3">
      <c r="F563"/>
      <c r="G563"/>
      <c r="H563"/>
      <c r="I563"/>
    </row>
    <row r="564" spans="6:9" x14ac:dyDescent="0.3">
      <c r="F564"/>
      <c r="G564"/>
      <c r="H564"/>
      <c r="I564"/>
    </row>
    <row r="565" spans="6:9" x14ac:dyDescent="0.3">
      <c r="F565"/>
      <c r="G565"/>
      <c r="H565"/>
      <c r="I565"/>
    </row>
    <row r="566" spans="6:9" x14ac:dyDescent="0.3">
      <c r="F566"/>
      <c r="G566"/>
      <c r="H566"/>
      <c r="I566"/>
    </row>
    <row r="567" spans="6:9" x14ac:dyDescent="0.3">
      <c r="F567"/>
      <c r="G567"/>
      <c r="H567"/>
      <c r="I567"/>
    </row>
    <row r="568" spans="6:9" x14ac:dyDescent="0.3">
      <c r="F568"/>
      <c r="G568"/>
      <c r="H568"/>
      <c r="I568"/>
    </row>
    <row r="569" spans="6:9" x14ac:dyDescent="0.3">
      <c r="F569"/>
      <c r="G569"/>
      <c r="H569"/>
      <c r="I569"/>
    </row>
    <row r="570" spans="6:9" x14ac:dyDescent="0.3">
      <c r="F570"/>
      <c r="G570"/>
      <c r="H570"/>
      <c r="I570"/>
    </row>
    <row r="571" spans="6:9" x14ac:dyDescent="0.3">
      <c r="F571"/>
      <c r="G571"/>
      <c r="H571"/>
      <c r="I571"/>
    </row>
    <row r="572" spans="6:9" x14ac:dyDescent="0.3">
      <c r="F572"/>
      <c r="G572"/>
      <c r="H572"/>
      <c r="I572"/>
    </row>
    <row r="573" spans="6:9" x14ac:dyDescent="0.3">
      <c r="F573"/>
      <c r="G573"/>
      <c r="H573"/>
      <c r="I573"/>
    </row>
    <row r="574" spans="6:9" x14ac:dyDescent="0.3">
      <c r="F574"/>
      <c r="G574"/>
      <c r="H574"/>
      <c r="I574"/>
    </row>
    <row r="575" spans="6:9" x14ac:dyDescent="0.3">
      <c r="F575"/>
      <c r="G575"/>
      <c r="H575"/>
      <c r="I575"/>
    </row>
    <row r="576" spans="6:9" x14ac:dyDescent="0.3">
      <c r="F576"/>
      <c r="G576"/>
      <c r="H576"/>
      <c r="I576"/>
    </row>
    <row r="577" spans="6:9" x14ac:dyDescent="0.3">
      <c r="F577"/>
      <c r="G577"/>
      <c r="H577"/>
      <c r="I577"/>
    </row>
    <row r="578" spans="6:9" x14ac:dyDescent="0.3">
      <c r="F578"/>
      <c r="G578"/>
      <c r="H578"/>
      <c r="I578"/>
    </row>
    <row r="579" spans="6:9" x14ac:dyDescent="0.3">
      <c r="F579"/>
      <c r="G579"/>
      <c r="H579"/>
      <c r="I579"/>
    </row>
    <row r="580" spans="6:9" x14ac:dyDescent="0.3">
      <c r="F580"/>
      <c r="G580"/>
      <c r="H580"/>
      <c r="I580"/>
    </row>
    <row r="581" spans="6:9" x14ac:dyDescent="0.3">
      <c r="F581"/>
      <c r="G581"/>
      <c r="H581"/>
      <c r="I581"/>
    </row>
    <row r="582" spans="6:9" x14ac:dyDescent="0.3">
      <c r="F582"/>
      <c r="G582"/>
      <c r="H582"/>
      <c r="I582"/>
    </row>
    <row r="583" spans="6:9" x14ac:dyDescent="0.3">
      <c r="F583"/>
      <c r="G583"/>
      <c r="H583"/>
      <c r="I583"/>
    </row>
    <row r="584" spans="6:9" x14ac:dyDescent="0.3">
      <c r="F584"/>
      <c r="G584"/>
      <c r="H584"/>
      <c r="I584"/>
    </row>
    <row r="585" spans="6:9" x14ac:dyDescent="0.3">
      <c r="F585"/>
      <c r="G585"/>
      <c r="H585"/>
      <c r="I585"/>
    </row>
    <row r="586" spans="6:9" x14ac:dyDescent="0.3">
      <c r="F586"/>
      <c r="G586"/>
      <c r="H586"/>
      <c r="I586"/>
    </row>
    <row r="587" spans="6:9" x14ac:dyDescent="0.3">
      <c r="F587"/>
      <c r="G587"/>
      <c r="H587"/>
      <c r="I587"/>
    </row>
    <row r="588" spans="6:9" x14ac:dyDescent="0.3">
      <c r="F588"/>
      <c r="G588"/>
      <c r="H588"/>
      <c r="I588"/>
    </row>
    <row r="589" spans="6:9" x14ac:dyDescent="0.3">
      <c r="F589"/>
      <c r="G589"/>
      <c r="H589"/>
      <c r="I589"/>
    </row>
    <row r="590" spans="6:9" x14ac:dyDescent="0.3">
      <c r="F590"/>
      <c r="G590"/>
      <c r="H590"/>
      <c r="I590"/>
    </row>
    <row r="591" spans="6:9" x14ac:dyDescent="0.3">
      <c r="F591"/>
      <c r="G591"/>
      <c r="H591"/>
      <c r="I591"/>
    </row>
    <row r="592" spans="6:9" x14ac:dyDescent="0.3">
      <c r="F592"/>
      <c r="G592"/>
      <c r="H592"/>
      <c r="I592"/>
    </row>
    <row r="593" spans="6:9" x14ac:dyDescent="0.3">
      <c r="F593"/>
      <c r="G593"/>
      <c r="H593"/>
      <c r="I593"/>
    </row>
    <row r="594" spans="6:9" x14ac:dyDescent="0.3">
      <c r="F594"/>
      <c r="G594"/>
      <c r="H594"/>
      <c r="I594"/>
    </row>
    <row r="595" spans="6:9" x14ac:dyDescent="0.3">
      <c r="F595"/>
      <c r="G595"/>
      <c r="H595"/>
      <c r="I595"/>
    </row>
    <row r="596" spans="6:9" x14ac:dyDescent="0.3">
      <c r="F596"/>
      <c r="G596"/>
      <c r="H596"/>
      <c r="I596"/>
    </row>
    <row r="597" spans="6:9" x14ac:dyDescent="0.3">
      <c r="F597"/>
      <c r="G597"/>
      <c r="H597"/>
      <c r="I597"/>
    </row>
    <row r="598" spans="6:9" x14ac:dyDescent="0.3">
      <c r="F598"/>
      <c r="G598"/>
      <c r="H598"/>
      <c r="I598"/>
    </row>
    <row r="599" spans="6:9" x14ac:dyDescent="0.3">
      <c r="F599"/>
      <c r="G599"/>
      <c r="H599"/>
      <c r="I599"/>
    </row>
    <row r="600" spans="6:9" x14ac:dyDescent="0.3">
      <c r="F600"/>
      <c r="G600"/>
      <c r="H600"/>
      <c r="I600"/>
    </row>
    <row r="601" spans="6:9" x14ac:dyDescent="0.3">
      <c r="F601"/>
      <c r="G601"/>
      <c r="H601"/>
      <c r="I601"/>
    </row>
    <row r="602" spans="6:9" x14ac:dyDescent="0.3">
      <c r="F602"/>
      <c r="G602"/>
      <c r="H602"/>
      <c r="I602"/>
    </row>
    <row r="603" spans="6:9" x14ac:dyDescent="0.3">
      <c r="F603"/>
      <c r="G603"/>
      <c r="H603"/>
      <c r="I603"/>
    </row>
    <row r="604" spans="6:9" x14ac:dyDescent="0.3">
      <c r="F604"/>
      <c r="G604"/>
      <c r="H604"/>
      <c r="I604"/>
    </row>
    <row r="605" spans="6:9" x14ac:dyDescent="0.3">
      <c r="F605"/>
      <c r="G605"/>
      <c r="H605"/>
      <c r="I605"/>
    </row>
    <row r="606" spans="6:9" x14ac:dyDescent="0.3">
      <c r="F606"/>
      <c r="G606"/>
      <c r="H606"/>
      <c r="I606"/>
    </row>
    <row r="607" spans="6:9" x14ac:dyDescent="0.3">
      <c r="F607"/>
      <c r="G607"/>
      <c r="H607"/>
      <c r="I607"/>
    </row>
    <row r="608" spans="6:9" x14ac:dyDescent="0.3">
      <c r="F608"/>
      <c r="G608"/>
      <c r="H608"/>
      <c r="I608"/>
    </row>
    <row r="609" spans="6:9" x14ac:dyDescent="0.3">
      <c r="F609"/>
      <c r="G609"/>
      <c r="H609"/>
      <c r="I609"/>
    </row>
    <row r="610" spans="6:9" x14ac:dyDescent="0.3">
      <c r="F610"/>
      <c r="G610"/>
      <c r="H610"/>
      <c r="I610"/>
    </row>
    <row r="611" spans="6:9" x14ac:dyDescent="0.3">
      <c r="F611"/>
      <c r="G611"/>
      <c r="H611"/>
      <c r="I611"/>
    </row>
    <row r="612" spans="6:9" x14ac:dyDescent="0.3">
      <c r="F612"/>
      <c r="G612"/>
      <c r="H612"/>
      <c r="I612"/>
    </row>
    <row r="613" spans="6:9" x14ac:dyDescent="0.3">
      <c r="F613"/>
      <c r="G613"/>
      <c r="H613"/>
      <c r="I613"/>
    </row>
    <row r="614" spans="6:9" x14ac:dyDescent="0.3">
      <c r="F614"/>
      <c r="G614"/>
      <c r="H614"/>
      <c r="I614"/>
    </row>
    <row r="615" spans="6:9" x14ac:dyDescent="0.3">
      <c r="F615"/>
      <c r="G615"/>
      <c r="H615"/>
      <c r="I615"/>
    </row>
    <row r="616" spans="6:9" x14ac:dyDescent="0.3">
      <c r="F616"/>
      <c r="G616"/>
      <c r="H616"/>
      <c r="I616"/>
    </row>
    <row r="617" spans="6:9" x14ac:dyDescent="0.3">
      <c r="F617"/>
      <c r="G617"/>
      <c r="H617"/>
      <c r="I617"/>
    </row>
    <row r="618" spans="6:9" x14ac:dyDescent="0.3">
      <c r="F618"/>
      <c r="G618"/>
      <c r="H618"/>
      <c r="I618"/>
    </row>
    <row r="619" spans="6:9" x14ac:dyDescent="0.3">
      <c r="F619"/>
      <c r="G619"/>
      <c r="H619"/>
      <c r="I619"/>
    </row>
    <row r="620" spans="6:9" x14ac:dyDescent="0.3">
      <c r="F620"/>
      <c r="G620"/>
      <c r="H620"/>
      <c r="I620"/>
    </row>
    <row r="621" spans="6:9" x14ac:dyDescent="0.3">
      <c r="F621"/>
      <c r="G621"/>
      <c r="H621"/>
      <c r="I621"/>
    </row>
    <row r="622" spans="6:9" x14ac:dyDescent="0.3">
      <c r="F622"/>
      <c r="G622"/>
      <c r="H622"/>
      <c r="I622"/>
    </row>
    <row r="623" spans="6:9" x14ac:dyDescent="0.3">
      <c r="F623"/>
      <c r="G623"/>
      <c r="H623"/>
      <c r="I623"/>
    </row>
    <row r="624" spans="6:9" x14ac:dyDescent="0.3">
      <c r="F624"/>
      <c r="G624"/>
      <c r="H624"/>
      <c r="I624"/>
    </row>
    <row r="625" spans="6:9" x14ac:dyDescent="0.3">
      <c r="F625"/>
      <c r="G625"/>
      <c r="H625"/>
      <c r="I625"/>
    </row>
    <row r="626" spans="6:9" x14ac:dyDescent="0.3">
      <c r="F626"/>
      <c r="G626"/>
      <c r="H626"/>
      <c r="I626"/>
    </row>
    <row r="627" spans="6:9" x14ac:dyDescent="0.3">
      <c r="F627"/>
      <c r="G627"/>
      <c r="H627"/>
      <c r="I627"/>
    </row>
    <row r="628" spans="6:9" x14ac:dyDescent="0.3">
      <c r="F628"/>
      <c r="G628"/>
      <c r="H628"/>
      <c r="I628"/>
    </row>
    <row r="629" spans="6:9" x14ac:dyDescent="0.3">
      <c r="F629"/>
      <c r="G629"/>
      <c r="H629"/>
      <c r="I629"/>
    </row>
    <row r="630" spans="6:9" x14ac:dyDescent="0.3">
      <c r="F630"/>
      <c r="G630"/>
      <c r="H630"/>
      <c r="I630"/>
    </row>
    <row r="631" spans="6:9" x14ac:dyDescent="0.3">
      <c r="F631"/>
      <c r="G631"/>
      <c r="H631"/>
      <c r="I631"/>
    </row>
    <row r="632" spans="6:9" x14ac:dyDescent="0.3">
      <c r="F632"/>
      <c r="G632"/>
      <c r="H632"/>
      <c r="I632"/>
    </row>
    <row r="633" spans="6:9" x14ac:dyDescent="0.3">
      <c r="F633"/>
      <c r="G633"/>
      <c r="H633"/>
      <c r="I633"/>
    </row>
    <row r="634" spans="6:9" x14ac:dyDescent="0.3">
      <c r="F634"/>
      <c r="G634"/>
      <c r="H634"/>
      <c r="I634"/>
    </row>
    <row r="635" spans="6:9" x14ac:dyDescent="0.3">
      <c r="F635"/>
      <c r="G635"/>
      <c r="H635"/>
      <c r="I635"/>
    </row>
    <row r="636" spans="6:9" x14ac:dyDescent="0.3">
      <c r="F636"/>
      <c r="G636"/>
      <c r="H636"/>
      <c r="I636"/>
    </row>
    <row r="637" spans="6:9" x14ac:dyDescent="0.3">
      <c r="F637"/>
      <c r="G637"/>
      <c r="H637"/>
      <c r="I637"/>
    </row>
    <row r="638" spans="6:9" x14ac:dyDescent="0.3">
      <c r="F638"/>
      <c r="G638"/>
      <c r="H638"/>
      <c r="I638"/>
    </row>
    <row r="639" spans="6:9" x14ac:dyDescent="0.3">
      <c r="F639"/>
      <c r="G639"/>
      <c r="H639"/>
      <c r="I639"/>
    </row>
    <row r="640" spans="6:9" x14ac:dyDescent="0.3">
      <c r="F640"/>
      <c r="G640"/>
      <c r="H640"/>
      <c r="I640"/>
    </row>
    <row r="641" spans="6:9" x14ac:dyDescent="0.3">
      <c r="F641"/>
      <c r="G641"/>
      <c r="H641"/>
      <c r="I641"/>
    </row>
    <row r="642" spans="6:9" x14ac:dyDescent="0.3">
      <c r="F642"/>
      <c r="G642"/>
      <c r="H642"/>
      <c r="I642"/>
    </row>
    <row r="643" spans="6:9" x14ac:dyDescent="0.3">
      <c r="F643"/>
      <c r="G643"/>
      <c r="H643"/>
      <c r="I643"/>
    </row>
    <row r="644" spans="6:9" x14ac:dyDescent="0.3">
      <c r="F644"/>
      <c r="G644"/>
      <c r="H644"/>
      <c r="I644"/>
    </row>
    <row r="645" spans="6:9" x14ac:dyDescent="0.3">
      <c r="F645"/>
      <c r="G645"/>
      <c r="H645"/>
      <c r="I645"/>
    </row>
    <row r="646" spans="6:9" x14ac:dyDescent="0.3">
      <c r="F646"/>
      <c r="G646"/>
      <c r="H646"/>
      <c r="I646"/>
    </row>
    <row r="647" spans="6:9" x14ac:dyDescent="0.3">
      <c r="F647"/>
      <c r="G647"/>
      <c r="H647"/>
      <c r="I647"/>
    </row>
    <row r="648" spans="6:9" x14ac:dyDescent="0.3">
      <c r="F648"/>
      <c r="G648"/>
      <c r="H648"/>
      <c r="I648"/>
    </row>
    <row r="649" spans="6:9" x14ac:dyDescent="0.3">
      <c r="F649"/>
      <c r="G649"/>
      <c r="H649"/>
      <c r="I649"/>
    </row>
    <row r="650" spans="6:9" x14ac:dyDescent="0.3">
      <c r="F650"/>
      <c r="G650"/>
      <c r="H650"/>
      <c r="I650"/>
    </row>
    <row r="651" spans="6:9" x14ac:dyDescent="0.3">
      <c r="F651"/>
      <c r="G651"/>
      <c r="H651"/>
      <c r="I651"/>
    </row>
    <row r="652" spans="6:9" x14ac:dyDescent="0.3">
      <c r="F652"/>
      <c r="G652"/>
      <c r="H652"/>
      <c r="I652"/>
    </row>
    <row r="653" spans="6:9" x14ac:dyDescent="0.3">
      <c r="F653"/>
      <c r="G653"/>
      <c r="H653"/>
      <c r="I653"/>
    </row>
    <row r="654" spans="6:9" x14ac:dyDescent="0.3">
      <c r="F654"/>
      <c r="G654"/>
      <c r="H654"/>
      <c r="I654"/>
    </row>
    <row r="655" spans="6:9" x14ac:dyDescent="0.3">
      <c r="F655"/>
      <c r="G655"/>
      <c r="H655"/>
      <c r="I655"/>
    </row>
    <row r="656" spans="6:9" x14ac:dyDescent="0.3">
      <c r="F656"/>
      <c r="G656"/>
      <c r="H656"/>
      <c r="I656"/>
    </row>
    <row r="657" spans="6:9" x14ac:dyDescent="0.3">
      <c r="F657"/>
      <c r="G657"/>
      <c r="H657"/>
      <c r="I657"/>
    </row>
    <row r="658" spans="6:9" x14ac:dyDescent="0.3">
      <c r="F658"/>
      <c r="G658"/>
      <c r="H658"/>
      <c r="I658"/>
    </row>
    <row r="659" spans="6:9" x14ac:dyDescent="0.3">
      <c r="F659"/>
      <c r="G659"/>
      <c r="H659"/>
      <c r="I659"/>
    </row>
    <row r="660" spans="6:9" x14ac:dyDescent="0.3">
      <c r="F660"/>
      <c r="G660"/>
      <c r="H660"/>
      <c r="I660"/>
    </row>
    <row r="661" spans="6:9" x14ac:dyDescent="0.3">
      <c r="F661"/>
      <c r="G661"/>
      <c r="H661"/>
      <c r="I661"/>
    </row>
    <row r="662" spans="6:9" x14ac:dyDescent="0.3">
      <c r="F662"/>
      <c r="G662"/>
      <c r="H662"/>
      <c r="I662"/>
    </row>
    <row r="663" spans="6:9" x14ac:dyDescent="0.3">
      <c r="F663"/>
      <c r="G663"/>
      <c r="H663"/>
      <c r="I663"/>
    </row>
    <row r="664" spans="6:9" x14ac:dyDescent="0.3">
      <c r="F664"/>
      <c r="G664"/>
      <c r="H664"/>
      <c r="I664"/>
    </row>
    <row r="665" spans="6:9" x14ac:dyDescent="0.3">
      <c r="F665"/>
      <c r="G665"/>
      <c r="H665"/>
      <c r="I665"/>
    </row>
    <row r="666" spans="6:9" x14ac:dyDescent="0.3">
      <c r="F666"/>
      <c r="G666"/>
      <c r="H666"/>
      <c r="I666"/>
    </row>
    <row r="667" spans="6:9" x14ac:dyDescent="0.3">
      <c r="F667"/>
      <c r="G667"/>
      <c r="H667"/>
      <c r="I667"/>
    </row>
    <row r="668" spans="6:9" x14ac:dyDescent="0.3">
      <c r="F668"/>
      <c r="G668"/>
      <c r="H668"/>
      <c r="I668"/>
    </row>
    <row r="669" spans="6:9" x14ac:dyDescent="0.3">
      <c r="F669"/>
      <c r="G669"/>
      <c r="H669"/>
      <c r="I669"/>
    </row>
    <row r="670" spans="6:9" x14ac:dyDescent="0.3">
      <c r="F670"/>
      <c r="G670"/>
      <c r="H670"/>
      <c r="I670"/>
    </row>
    <row r="671" spans="6:9" x14ac:dyDescent="0.3">
      <c r="F671"/>
      <c r="G671"/>
      <c r="H671"/>
      <c r="I671"/>
    </row>
    <row r="672" spans="6:9" x14ac:dyDescent="0.3">
      <c r="F672"/>
      <c r="G672"/>
      <c r="H672"/>
      <c r="I672"/>
    </row>
    <row r="673" spans="6:9" x14ac:dyDescent="0.3">
      <c r="F673"/>
      <c r="G673"/>
      <c r="H673"/>
      <c r="I673"/>
    </row>
    <row r="674" spans="6:9" x14ac:dyDescent="0.3">
      <c r="F674"/>
      <c r="G674"/>
      <c r="H674"/>
      <c r="I674"/>
    </row>
    <row r="675" spans="6:9" x14ac:dyDescent="0.3">
      <c r="F675"/>
      <c r="G675"/>
      <c r="H675"/>
      <c r="I675"/>
    </row>
    <row r="676" spans="6:9" x14ac:dyDescent="0.3">
      <c r="F676"/>
      <c r="G676"/>
      <c r="H676"/>
      <c r="I676"/>
    </row>
    <row r="677" spans="6:9" x14ac:dyDescent="0.3">
      <c r="F677"/>
      <c r="G677"/>
      <c r="H677"/>
      <c r="I677"/>
    </row>
    <row r="678" spans="6:9" x14ac:dyDescent="0.3">
      <c r="F678"/>
      <c r="G678"/>
      <c r="H678"/>
      <c r="I678"/>
    </row>
    <row r="679" spans="6:9" x14ac:dyDescent="0.3">
      <c r="F679"/>
      <c r="G679"/>
      <c r="H679"/>
      <c r="I679"/>
    </row>
    <row r="680" spans="6:9" x14ac:dyDescent="0.3">
      <c r="F680"/>
      <c r="G680"/>
      <c r="H680"/>
      <c r="I680"/>
    </row>
    <row r="681" spans="6:9" x14ac:dyDescent="0.3">
      <c r="F681"/>
      <c r="G681"/>
      <c r="H681"/>
      <c r="I681"/>
    </row>
    <row r="682" spans="6:9" x14ac:dyDescent="0.3">
      <c r="F682"/>
      <c r="G682"/>
      <c r="H682"/>
      <c r="I682"/>
    </row>
    <row r="683" spans="6:9" x14ac:dyDescent="0.3">
      <c r="F683"/>
      <c r="G683"/>
      <c r="H683"/>
      <c r="I683"/>
    </row>
    <row r="684" spans="6:9" x14ac:dyDescent="0.3">
      <c r="F684"/>
      <c r="G684"/>
      <c r="H684"/>
      <c r="I684"/>
    </row>
    <row r="685" spans="6:9" x14ac:dyDescent="0.3">
      <c r="F685"/>
      <c r="G685"/>
      <c r="H685"/>
      <c r="I685"/>
    </row>
    <row r="686" spans="6:9" x14ac:dyDescent="0.3">
      <c r="F686"/>
      <c r="G686"/>
      <c r="H686"/>
      <c r="I686"/>
    </row>
    <row r="687" spans="6:9" x14ac:dyDescent="0.3">
      <c r="F687"/>
      <c r="G687"/>
      <c r="H687"/>
      <c r="I687"/>
    </row>
    <row r="688" spans="6:9" x14ac:dyDescent="0.3">
      <c r="F688"/>
      <c r="G688"/>
      <c r="H688"/>
      <c r="I688"/>
    </row>
    <row r="689" spans="6:9" x14ac:dyDescent="0.3">
      <c r="F689"/>
      <c r="G689"/>
      <c r="H689"/>
      <c r="I689"/>
    </row>
    <row r="690" spans="6:9" x14ac:dyDescent="0.3">
      <c r="F690"/>
      <c r="G690"/>
      <c r="H690"/>
      <c r="I690"/>
    </row>
    <row r="691" spans="6:9" x14ac:dyDescent="0.3">
      <c r="F691"/>
      <c r="G691"/>
      <c r="H691"/>
      <c r="I691"/>
    </row>
    <row r="692" spans="6:9" x14ac:dyDescent="0.3">
      <c r="F692"/>
      <c r="G692"/>
      <c r="H692"/>
      <c r="I692"/>
    </row>
    <row r="693" spans="6:9" x14ac:dyDescent="0.3">
      <c r="F693"/>
      <c r="G693"/>
      <c r="H693"/>
      <c r="I693"/>
    </row>
    <row r="694" spans="6:9" x14ac:dyDescent="0.3">
      <c r="F694"/>
      <c r="G694"/>
      <c r="H694"/>
      <c r="I694"/>
    </row>
    <row r="695" spans="6:9" x14ac:dyDescent="0.3">
      <c r="F695"/>
      <c r="G695"/>
      <c r="H695"/>
      <c r="I695"/>
    </row>
    <row r="696" spans="6:9" x14ac:dyDescent="0.3">
      <c r="F696"/>
      <c r="G696"/>
      <c r="H696"/>
      <c r="I696"/>
    </row>
    <row r="697" spans="6:9" x14ac:dyDescent="0.3">
      <c r="F697"/>
      <c r="G697"/>
      <c r="H697"/>
      <c r="I697"/>
    </row>
    <row r="698" spans="6:9" x14ac:dyDescent="0.3">
      <c r="F698"/>
      <c r="G698"/>
      <c r="H698"/>
      <c r="I698"/>
    </row>
    <row r="699" spans="6:9" x14ac:dyDescent="0.3">
      <c r="F699"/>
      <c r="G699"/>
      <c r="H699"/>
      <c r="I699"/>
    </row>
    <row r="700" spans="6:9" x14ac:dyDescent="0.3">
      <c r="F700"/>
      <c r="G700"/>
      <c r="H700"/>
      <c r="I700"/>
    </row>
    <row r="701" spans="6:9" x14ac:dyDescent="0.3">
      <c r="F701"/>
      <c r="G701"/>
      <c r="H701"/>
      <c r="I701"/>
    </row>
    <row r="702" spans="6:9" x14ac:dyDescent="0.3">
      <c r="F702"/>
      <c r="G702"/>
      <c r="H702"/>
      <c r="I702"/>
    </row>
    <row r="703" spans="6:9" x14ac:dyDescent="0.3">
      <c r="F703"/>
      <c r="G703"/>
      <c r="H703"/>
      <c r="I703"/>
    </row>
    <row r="704" spans="6:9" x14ac:dyDescent="0.3">
      <c r="F704"/>
      <c r="G704"/>
      <c r="H704"/>
      <c r="I704"/>
    </row>
    <row r="705" spans="6:9" x14ac:dyDescent="0.3">
      <c r="F705"/>
      <c r="G705"/>
      <c r="H705"/>
      <c r="I705"/>
    </row>
    <row r="706" spans="6:9" x14ac:dyDescent="0.3">
      <c r="F706"/>
      <c r="G706"/>
      <c r="H706"/>
      <c r="I706"/>
    </row>
    <row r="707" spans="6:9" x14ac:dyDescent="0.3">
      <c r="F707"/>
      <c r="G707"/>
      <c r="H707"/>
      <c r="I707"/>
    </row>
    <row r="708" spans="6:9" x14ac:dyDescent="0.3">
      <c r="F708"/>
      <c r="G708"/>
      <c r="H708"/>
      <c r="I708"/>
    </row>
    <row r="709" spans="6:9" x14ac:dyDescent="0.3">
      <c r="F709"/>
      <c r="G709"/>
      <c r="H709"/>
      <c r="I709"/>
    </row>
    <row r="710" spans="6:9" x14ac:dyDescent="0.3">
      <c r="F710"/>
      <c r="G710"/>
      <c r="H710"/>
      <c r="I710"/>
    </row>
    <row r="711" spans="6:9" x14ac:dyDescent="0.3">
      <c r="F711"/>
      <c r="G711"/>
      <c r="H711"/>
      <c r="I711"/>
    </row>
    <row r="712" spans="6:9" x14ac:dyDescent="0.3">
      <c r="F712"/>
      <c r="G712"/>
      <c r="H712"/>
      <c r="I712"/>
    </row>
    <row r="713" spans="6:9" x14ac:dyDescent="0.3">
      <c r="F713"/>
      <c r="G713"/>
      <c r="H713"/>
      <c r="I713"/>
    </row>
    <row r="714" spans="6:9" x14ac:dyDescent="0.3">
      <c r="F714"/>
      <c r="G714"/>
      <c r="H714"/>
      <c r="I714"/>
    </row>
    <row r="715" spans="6:9" x14ac:dyDescent="0.3">
      <c r="F715"/>
      <c r="G715"/>
      <c r="H715"/>
      <c r="I715"/>
    </row>
    <row r="716" spans="6:9" x14ac:dyDescent="0.3">
      <c r="F716"/>
      <c r="G716"/>
      <c r="H716"/>
      <c r="I716"/>
    </row>
    <row r="717" spans="6:9" x14ac:dyDescent="0.3">
      <c r="F717"/>
      <c r="G717"/>
      <c r="H717"/>
      <c r="I717"/>
    </row>
    <row r="718" spans="6:9" x14ac:dyDescent="0.3">
      <c r="F718"/>
      <c r="G718"/>
      <c r="H718"/>
      <c r="I718"/>
    </row>
    <row r="719" spans="6:9" x14ac:dyDescent="0.3">
      <c r="F719"/>
      <c r="G719"/>
      <c r="H719"/>
      <c r="I719"/>
    </row>
    <row r="720" spans="6:9" x14ac:dyDescent="0.3">
      <c r="F720"/>
      <c r="G720"/>
      <c r="H720"/>
      <c r="I720"/>
    </row>
    <row r="721" spans="6:9" x14ac:dyDescent="0.3">
      <c r="F721"/>
      <c r="G721"/>
      <c r="H721"/>
      <c r="I721"/>
    </row>
    <row r="722" spans="6:9" x14ac:dyDescent="0.3">
      <c r="F722"/>
      <c r="G722"/>
      <c r="H722"/>
      <c r="I722"/>
    </row>
    <row r="723" spans="6:9" x14ac:dyDescent="0.3">
      <c r="F723"/>
      <c r="G723"/>
      <c r="H723"/>
      <c r="I723"/>
    </row>
    <row r="724" spans="6:9" x14ac:dyDescent="0.3">
      <c r="F724"/>
      <c r="G724"/>
      <c r="H724"/>
      <c r="I724"/>
    </row>
    <row r="725" spans="6:9" x14ac:dyDescent="0.3">
      <c r="F725"/>
      <c r="G725"/>
      <c r="H725"/>
      <c r="I725"/>
    </row>
    <row r="726" spans="6:9" x14ac:dyDescent="0.3">
      <c r="F726"/>
      <c r="G726"/>
      <c r="H726"/>
      <c r="I726"/>
    </row>
    <row r="727" spans="6:9" x14ac:dyDescent="0.3">
      <c r="F727"/>
      <c r="G727"/>
      <c r="H727"/>
      <c r="I727"/>
    </row>
    <row r="728" spans="6:9" x14ac:dyDescent="0.3">
      <c r="F728"/>
      <c r="G728"/>
      <c r="H728"/>
      <c r="I728"/>
    </row>
    <row r="729" spans="6:9" x14ac:dyDescent="0.3">
      <c r="F729"/>
      <c r="G729"/>
      <c r="H729"/>
      <c r="I729"/>
    </row>
    <row r="730" spans="6:9" x14ac:dyDescent="0.3">
      <c r="F730"/>
      <c r="G730"/>
      <c r="H730"/>
      <c r="I730"/>
    </row>
    <row r="731" spans="6:9" x14ac:dyDescent="0.3">
      <c r="F731"/>
      <c r="G731"/>
      <c r="H731"/>
      <c r="I731"/>
    </row>
    <row r="732" spans="6:9" x14ac:dyDescent="0.3">
      <c r="F732"/>
      <c r="G732"/>
      <c r="H732"/>
      <c r="I732"/>
    </row>
    <row r="733" spans="6:9" x14ac:dyDescent="0.3">
      <c r="F733"/>
      <c r="G733"/>
      <c r="H733"/>
      <c r="I733"/>
    </row>
    <row r="734" spans="6:9" x14ac:dyDescent="0.3">
      <c r="F734"/>
      <c r="G734"/>
      <c r="H734"/>
      <c r="I734"/>
    </row>
    <row r="735" spans="6:9" x14ac:dyDescent="0.3">
      <c r="F735"/>
      <c r="G735"/>
      <c r="H735"/>
      <c r="I735"/>
    </row>
    <row r="736" spans="6:9" x14ac:dyDescent="0.3">
      <c r="F736"/>
      <c r="G736"/>
      <c r="H736"/>
      <c r="I736"/>
    </row>
    <row r="737" spans="6:9" x14ac:dyDescent="0.3">
      <c r="F737"/>
      <c r="G737"/>
      <c r="H737"/>
      <c r="I737"/>
    </row>
    <row r="738" spans="6:9" x14ac:dyDescent="0.3">
      <c r="F738"/>
      <c r="G738"/>
      <c r="H738"/>
      <c r="I738"/>
    </row>
    <row r="739" spans="6:9" x14ac:dyDescent="0.3">
      <c r="F739"/>
      <c r="G739"/>
      <c r="H739"/>
      <c r="I739"/>
    </row>
    <row r="740" spans="6:9" x14ac:dyDescent="0.3">
      <c r="F740"/>
      <c r="G740"/>
      <c r="H740"/>
      <c r="I740"/>
    </row>
    <row r="741" spans="6:9" x14ac:dyDescent="0.3">
      <c r="F741"/>
      <c r="G741"/>
      <c r="H741"/>
      <c r="I741"/>
    </row>
    <row r="742" spans="6:9" x14ac:dyDescent="0.3">
      <c r="F742"/>
      <c r="G742"/>
      <c r="H742"/>
      <c r="I742"/>
    </row>
    <row r="743" spans="6:9" x14ac:dyDescent="0.3">
      <c r="F743"/>
      <c r="G743"/>
      <c r="H743"/>
      <c r="I743"/>
    </row>
    <row r="744" spans="6:9" x14ac:dyDescent="0.3">
      <c r="F744"/>
      <c r="G744"/>
      <c r="H744"/>
      <c r="I744"/>
    </row>
    <row r="745" spans="6:9" x14ac:dyDescent="0.3">
      <c r="F745"/>
      <c r="G745"/>
      <c r="H745"/>
      <c r="I745"/>
    </row>
    <row r="746" spans="6:9" x14ac:dyDescent="0.3">
      <c r="F746"/>
      <c r="G746"/>
      <c r="H746"/>
      <c r="I746"/>
    </row>
    <row r="747" spans="6:9" x14ac:dyDescent="0.3">
      <c r="F747"/>
      <c r="G747"/>
      <c r="H747"/>
      <c r="I747"/>
    </row>
    <row r="748" spans="6:9" x14ac:dyDescent="0.3">
      <c r="F748"/>
      <c r="G748"/>
      <c r="H748"/>
      <c r="I748"/>
    </row>
    <row r="749" spans="6:9" x14ac:dyDescent="0.3">
      <c r="F749"/>
      <c r="G749"/>
      <c r="H749"/>
      <c r="I749"/>
    </row>
    <row r="750" spans="6:9" x14ac:dyDescent="0.3">
      <c r="F750"/>
      <c r="G750"/>
      <c r="H750"/>
      <c r="I750"/>
    </row>
    <row r="751" spans="6:9" x14ac:dyDescent="0.3">
      <c r="F751"/>
      <c r="G751"/>
      <c r="H751"/>
      <c r="I751"/>
    </row>
    <row r="752" spans="6:9" x14ac:dyDescent="0.3">
      <c r="F752"/>
      <c r="G752"/>
      <c r="H752"/>
      <c r="I752"/>
    </row>
    <row r="753" spans="6:9" x14ac:dyDescent="0.3">
      <c r="F753"/>
      <c r="G753"/>
      <c r="H753"/>
      <c r="I753"/>
    </row>
    <row r="754" spans="6:9" x14ac:dyDescent="0.3">
      <c r="F754"/>
      <c r="G754"/>
      <c r="H754"/>
      <c r="I754"/>
    </row>
    <row r="755" spans="6:9" x14ac:dyDescent="0.3">
      <c r="F755"/>
      <c r="G755"/>
      <c r="H755"/>
      <c r="I755"/>
    </row>
    <row r="756" spans="6:9" x14ac:dyDescent="0.3">
      <c r="F756"/>
      <c r="G756"/>
      <c r="H756"/>
      <c r="I756"/>
    </row>
    <row r="757" spans="6:9" x14ac:dyDescent="0.3">
      <c r="F757"/>
      <c r="G757"/>
      <c r="H757"/>
      <c r="I757"/>
    </row>
    <row r="758" spans="6:9" x14ac:dyDescent="0.3">
      <c r="F758"/>
      <c r="G758"/>
      <c r="H758"/>
      <c r="I758"/>
    </row>
    <row r="759" spans="6:9" x14ac:dyDescent="0.3">
      <c r="F759"/>
      <c r="G759"/>
      <c r="H759"/>
      <c r="I759"/>
    </row>
    <row r="760" spans="6:9" x14ac:dyDescent="0.3">
      <c r="F760"/>
      <c r="G760"/>
      <c r="H760"/>
      <c r="I760"/>
    </row>
    <row r="761" spans="6:9" x14ac:dyDescent="0.3">
      <c r="F761"/>
      <c r="G761"/>
      <c r="H761"/>
      <c r="I761"/>
    </row>
    <row r="762" spans="6:9" x14ac:dyDescent="0.3">
      <c r="F762"/>
      <c r="G762"/>
      <c r="H762"/>
      <c r="I762"/>
    </row>
    <row r="763" spans="6:9" x14ac:dyDescent="0.3">
      <c r="F763"/>
      <c r="G763"/>
      <c r="H763"/>
      <c r="I763"/>
    </row>
    <row r="764" spans="6:9" x14ac:dyDescent="0.3">
      <c r="F764"/>
      <c r="G764"/>
      <c r="H764"/>
      <c r="I764"/>
    </row>
    <row r="765" spans="6:9" x14ac:dyDescent="0.3">
      <c r="F765"/>
      <c r="G765"/>
      <c r="H765"/>
      <c r="I765"/>
    </row>
    <row r="766" spans="6:9" x14ac:dyDescent="0.3">
      <c r="F766"/>
      <c r="G766"/>
      <c r="H766"/>
      <c r="I766"/>
    </row>
    <row r="767" spans="6:9" x14ac:dyDescent="0.3">
      <c r="F767"/>
      <c r="G767"/>
      <c r="H767"/>
      <c r="I767"/>
    </row>
    <row r="768" spans="6:9" x14ac:dyDescent="0.3">
      <c r="F768"/>
      <c r="G768"/>
      <c r="H768"/>
      <c r="I768"/>
    </row>
    <row r="769" spans="6:9" x14ac:dyDescent="0.3">
      <c r="F769"/>
      <c r="G769"/>
      <c r="H769"/>
      <c r="I769"/>
    </row>
    <row r="770" spans="6:9" x14ac:dyDescent="0.3">
      <c r="F770"/>
      <c r="G770"/>
      <c r="H770"/>
      <c r="I770"/>
    </row>
    <row r="771" spans="6:9" x14ac:dyDescent="0.3">
      <c r="F771"/>
      <c r="G771"/>
      <c r="H771"/>
      <c r="I771"/>
    </row>
    <row r="772" spans="6:9" x14ac:dyDescent="0.3">
      <c r="F772"/>
      <c r="G772"/>
      <c r="H772"/>
      <c r="I772"/>
    </row>
    <row r="773" spans="6:9" x14ac:dyDescent="0.3">
      <c r="F773"/>
      <c r="G773"/>
      <c r="H773"/>
      <c r="I773"/>
    </row>
    <row r="774" spans="6:9" x14ac:dyDescent="0.3">
      <c r="F774"/>
      <c r="G774"/>
      <c r="H774"/>
      <c r="I774"/>
    </row>
    <row r="775" spans="6:9" x14ac:dyDescent="0.3">
      <c r="F775"/>
      <c r="G775"/>
      <c r="H775"/>
      <c r="I775"/>
    </row>
    <row r="776" spans="6:9" x14ac:dyDescent="0.3">
      <c r="F776"/>
      <c r="G776"/>
      <c r="H776"/>
      <c r="I776"/>
    </row>
    <row r="777" spans="6:9" x14ac:dyDescent="0.3">
      <c r="F777"/>
      <c r="G777"/>
      <c r="H777"/>
      <c r="I777"/>
    </row>
    <row r="778" spans="6:9" x14ac:dyDescent="0.3">
      <c r="F778"/>
      <c r="G778"/>
      <c r="H778"/>
      <c r="I778"/>
    </row>
    <row r="779" spans="6:9" x14ac:dyDescent="0.3">
      <c r="F779"/>
      <c r="G779"/>
      <c r="H779"/>
      <c r="I779"/>
    </row>
    <row r="780" spans="6:9" x14ac:dyDescent="0.3">
      <c r="F780"/>
      <c r="G780"/>
      <c r="H780"/>
      <c r="I780"/>
    </row>
    <row r="781" spans="6:9" x14ac:dyDescent="0.3">
      <c r="F781"/>
      <c r="G781"/>
      <c r="H781"/>
      <c r="I781"/>
    </row>
    <row r="782" spans="6:9" x14ac:dyDescent="0.3">
      <c r="F782"/>
      <c r="G782"/>
      <c r="H782"/>
      <c r="I782"/>
    </row>
    <row r="783" spans="6:9" x14ac:dyDescent="0.3">
      <c r="F783"/>
      <c r="G783"/>
      <c r="H783"/>
      <c r="I783"/>
    </row>
    <row r="784" spans="6:9" x14ac:dyDescent="0.3">
      <c r="F784"/>
      <c r="G784"/>
      <c r="H784"/>
      <c r="I784"/>
    </row>
    <row r="785" spans="6:9" x14ac:dyDescent="0.3">
      <c r="F785"/>
      <c r="G785"/>
      <c r="H785"/>
      <c r="I785"/>
    </row>
    <row r="786" spans="6:9" x14ac:dyDescent="0.3">
      <c r="F786"/>
      <c r="G786"/>
      <c r="H786"/>
      <c r="I786"/>
    </row>
    <row r="787" spans="6:9" x14ac:dyDescent="0.3">
      <c r="F787"/>
      <c r="G787"/>
      <c r="H787"/>
      <c r="I787"/>
    </row>
    <row r="788" spans="6:9" x14ac:dyDescent="0.3">
      <c r="F788"/>
      <c r="G788"/>
      <c r="H788"/>
      <c r="I788"/>
    </row>
    <row r="789" spans="6:9" x14ac:dyDescent="0.3">
      <c r="F789"/>
      <c r="G789"/>
      <c r="H789"/>
      <c r="I789"/>
    </row>
    <row r="790" spans="6:9" x14ac:dyDescent="0.3">
      <c r="F790"/>
      <c r="G790"/>
      <c r="H790"/>
      <c r="I790"/>
    </row>
    <row r="791" spans="6:9" x14ac:dyDescent="0.3">
      <c r="F791"/>
      <c r="G791"/>
      <c r="H791"/>
      <c r="I791"/>
    </row>
    <row r="792" spans="6:9" x14ac:dyDescent="0.3">
      <c r="F792"/>
      <c r="G792"/>
      <c r="H792"/>
      <c r="I792"/>
    </row>
    <row r="793" spans="6:9" x14ac:dyDescent="0.3">
      <c r="F793"/>
      <c r="G793"/>
      <c r="H793"/>
      <c r="I793"/>
    </row>
    <row r="794" spans="6:9" x14ac:dyDescent="0.3">
      <c r="F794"/>
      <c r="G794"/>
      <c r="H794"/>
      <c r="I794"/>
    </row>
    <row r="795" spans="6:9" x14ac:dyDescent="0.3">
      <c r="F795"/>
      <c r="G795"/>
      <c r="H795"/>
      <c r="I795"/>
    </row>
    <row r="796" spans="6:9" x14ac:dyDescent="0.3">
      <c r="F796"/>
      <c r="G796"/>
      <c r="H796"/>
      <c r="I796"/>
    </row>
    <row r="797" spans="6:9" x14ac:dyDescent="0.3">
      <c r="F797"/>
      <c r="G797"/>
      <c r="H797"/>
      <c r="I797"/>
    </row>
    <row r="798" spans="6:9" x14ac:dyDescent="0.3">
      <c r="F798"/>
      <c r="G798"/>
      <c r="H798"/>
      <c r="I798"/>
    </row>
    <row r="799" spans="6:9" x14ac:dyDescent="0.3">
      <c r="F799"/>
      <c r="G799"/>
      <c r="H799"/>
      <c r="I799"/>
    </row>
    <row r="800" spans="6:9" x14ac:dyDescent="0.3">
      <c r="F800"/>
      <c r="G800"/>
      <c r="H800"/>
      <c r="I800"/>
    </row>
    <row r="801" spans="6:9" x14ac:dyDescent="0.3">
      <c r="F801"/>
      <c r="G801"/>
      <c r="H801"/>
      <c r="I801"/>
    </row>
    <row r="802" spans="6:9" x14ac:dyDescent="0.3">
      <c r="F802"/>
      <c r="G802"/>
      <c r="H802"/>
      <c r="I802"/>
    </row>
    <row r="803" spans="6:9" x14ac:dyDescent="0.3">
      <c r="F803"/>
      <c r="G803"/>
      <c r="H803"/>
      <c r="I803"/>
    </row>
    <row r="804" spans="6:9" x14ac:dyDescent="0.3">
      <c r="F804"/>
      <c r="G804"/>
      <c r="H804"/>
      <c r="I804"/>
    </row>
    <row r="805" spans="6:9" x14ac:dyDescent="0.3">
      <c r="F805"/>
      <c r="G805"/>
      <c r="H805"/>
      <c r="I805"/>
    </row>
    <row r="806" spans="6:9" x14ac:dyDescent="0.3">
      <c r="F806"/>
      <c r="G806"/>
      <c r="H806"/>
      <c r="I806"/>
    </row>
    <row r="807" spans="6:9" x14ac:dyDescent="0.3">
      <c r="F807"/>
      <c r="G807"/>
      <c r="H807"/>
      <c r="I807"/>
    </row>
    <row r="808" spans="6:9" x14ac:dyDescent="0.3">
      <c r="F808"/>
      <c r="G808"/>
      <c r="H808"/>
      <c r="I808"/>
    </row>
    <row r="809" spans="6:9" x14ac:dyDescent="0.3">
      <c r="F809"/>
      <c r="G809"/>
      <c r="H809"/>
      <c r="I809"/>
    </row>
    <row r="810" spans="6:9" x14ac:dyDescent="0.3">
      <c r="F810"/>
      <c r="G810"/>
      <c r="H810"/>
      <c r="I810"/>
    </row>
    <row r="811" spans="6:9" x14ac:dyDescent="0.3">
      <c r="F811"/>
      <c r="G811"/>
      <c r="H811"/>
      <c r="I811"/>
    </row>
    <row r="812" spans="6:9" x14ac:dyDescent="0.3">
      <c r="F812"/>
      <c r="G812"/>
      <c r="H812"/>
      <c r="I812"/>
    </row>
    <row r="813" spans="6:9" x14ac:dyDescent="0.3">
      <c r="F813"/>
      <c r="G813"/>
      <c r="H813"/>
      <c r="I813"/>
    </row>
    <row r="814" spans="6:9" x14ac:dyDescent="0.3">
      <c r="F814"/>
      <c r="G814"/>
      <c r="H814"/>
      <c r="I814"/>
    </row>
    <row r="815" spans="6:9" x14ac:dyDescent="0.3">
      <c r="F815"/>
      <c r="G815"/>
      <c r="H815"/>
      <c r="I815"/>
    </row>
    <row r="816" spans="6:9" x14ac:dyDescent="0.3">
      <c r="F816"/>
      <c r="G816"/>
      <c r="H816"/>
      <c r="I816"/>
    </row>
    <row r="817" spans="6:9" x14ac:dyDescent="0.3">
      <c r="F817"/>
      <c r="G817"/>
      <c r="H817"/>
      <c r="I817"/>
    </row>
    <row r="818" spans="6:9" x14ac:dyDescent="0.3">
      <c r="F818"/>
      <c r="G818"/>
      <c r="H818"/>
      <c r="I818"/>
    </row>
    <row r="819" spans="6:9" x14ac:dyDescent="0.3">
      <c r="F819"/>
      <c r="G819"/>
      <c r="H819"/>
      <c r="I819"/>
    </row>
    <row r="820" spans="6:9" x14ac:dyDescent="0.3">
      <c r="F820"/>
      <c r="G820"/>
      <c r="H820"/>
      <c r="I820"/>
    </row>
    <row r="821" spans="6:9" x14ac:dyDescent="0.3">
      <c r="F821"/>
      <c r="G821"/>
      <c r="H821"/>
      <c r="I821"/>
    </row>
    <row r="822" spans="6:9" x14ac:dyDescent="0.3">
      <c r="F822"/>
      <c r="G822"/>
      <c r="H822"/>
      <c r="I822"/>
    </row>
    <row r="823" spans="6:9" x14ac:dyDescent="0.3">
      <c r="F823"/>
      <c r="G823"/>
      <c r="H823"/>
      <c r="I823"/>
    </row>
    <row r="824" spans="6:9" x14ac:dyDescent="0.3">
      <c r="F824"/>
      <c r="G824"/>
      <c r="H824"/>
      <c r="I824"/>
    </row>
    <row r="825" spans="6:9" x14ac:dyDescent="0.3">
      <c r="F825"/>
      <c r="G825"/>
      <c r="H825"/>
      <c r="I825"/>
    </row>
    <row r="826" spans="6:9" x14ac:dyDescent="0.3">
      <c r="F826"/>
      <c r="G826"/>
      <c r="H826"/>
      <c r="I826"/>
    </row>
    <row r="827" spans="6:9" x14ac:dyDescent="0.3">
      <c r="F827"/>
      <c r="G827"/>
      <c r="H827"/>
      <c r="I827"/>
    </row>
    <row r="828" spans="6:9" x14ac:dyDescent="0.3">
      <c r="F828"/>
      <c r="G828"/>
      <c r="H828"/>
      <c r="I828"/>
    </row>
    <row r="829" spans="6:9" x14ac:dyDescent="0.3">
      <c r="F829"/>
      <c r="G829"/>
      <c r="H829"/>
      <c r="I829"/>
    </row>
    <row r="830" spans="6:9" x14ac:dyDescent="0.3">
      <c r="F830"/>
      <c r="G830"/>
      <c r="H830"/>
      <c r="I830"/>
    </row>
    <row r="831" spans="6:9" x14ac:dyDescent="0.3">
      <c r="F831"/>
      <c r="G831"/>
      <c r="H831"/>
      <c r="I831"/>
    </row>
    <row r="832" spans="6:9" x14ac:dyDescent="0.3">
      <c r="F832"/>
      <c r="G832"/>
      <c r="H832"/>
      <c r="I832"/>
    </row>
    <row r="833" spans="6:9" x14ac:dyDescent="0.3">
      <c r="F833"/>
      <c r="G833"/>
      <c r="H833"/>
      <c r="I833"/>
    </row>
    <row r="834" spans="6:9" x14ac:dyDescent="0.3">
      <c r="F834"/>
      <c r="G834"/>
      <c r="H834"/>
      <c r="I834"/>
    </row>
    <row r="835" spans="6:9" x14ac:dyDescent="0.3">
      <c r="F835"/>
      <c r="G835"/>
      <c r="H835"/>
      <c r="I835"/>
    </row>
    <row r="836" spans="6:9" x14ac:dyDescent="0.3">
      <c r="F836"/>
      <c r="G836"/>
      <c r="H836"/>
      <c r="I836"/>
    </row>
    <row r="837" spans="6:9" x14ac:dyDescent="0.3">
      <c r="F837"/>
      <c r="G837"/>
      <c r="H837"/>
      <c r="I837"/>
    </row>
    <row r="838" spans="6:9" x14ac:dyDescent="0.3">
      <c r="F838"/>
      <c r="G838"/>
      <c r="H838"/>
      <c r="I838"/>
    </row>
    <row r="839" spans="6:9" x14ac:dyDescent="0.3">
      <c r="F839"/>
      <c r="G839"/>
      <c r="H839"/>
      <c r="I839"/>
    </row>
    <row r="840" spans="6:9" x14ac:dyDescent="0.3">
      <c r="F840"/>
      <c r="G840"/>
      <c r="H840"/>
      <c r="I840"/>
    </row>
    <row r="841" spans="6:9" x14ac:dyDescent="0.3">
      <c r="F841"/>
      <c r="G841"/>
      <c r="H841"/>
      <c r="I841"/>
    </row>
    <row r="842" spans="6:9" x14ac:dyDescent="0.3">
      <c r="F842"/>
      <c r="G842"/>
      <c r="H842"/>
      <c r="I842"/>
    </row>
    <row r="843" spans="6:9" x14ac:dyDescent="0.3">
      <c r="F843"/>
      <c r="G843"/>
      <c r="H843"/>
      <c r="I843"/>
    </row>
    <row r="844" spans="6:9" x14ac:dyDescent="0.3">
      <c r="F844"/>
      <c r="G844"/>
      <c r="H844"/>
      <c r="I844"/>
    </row>
    <row r="845" spans="6:9" x14ac:dyDescent="0.3">
      <c r="F845"/>
      <c r="G845"/>
      <c r="H845"/>
      <c r="I845"/>
    </row>
    <row r="846" spans="6:9" x14ac:dyDescent="0.3">
      <c r="F846"/>
      <c r="G846"/>
      <c r="H846"/>
      <c r="I846"/>
    </row>
    <row r="847" spans="6:9" x14ac:dyDescent="0.3">
      <c r="F847"/>
      <c r="G847"/>
      <c r="H847"/>
      <c r="I847"/>
    </row>
    <row r="848" spans="6:9" x14ac:dyDescent="0.3">
      <c r="F848"/>
      <c r="G848"/>
      <c r="H848"/>
      <c r="I848"/>
    </row>
    <row r="849" spans="6:9" x14ac:dyDescent="0.3">
      <c r="F849"/>
      <c r="G849"/>
      <c r="H849"/>
      <c r="I849"/>
    </row>
    <row r="850" spans="6:9" x14ac:dyDescent="0.3">
      <c r="F850"/>
      <c r="G850"/>
      <c r="H850"/>
      <c r="I850"/>
    </row>
    <row r="851" spans="6:9" x14ac:dyDescent="0.3">
      <c r="F851"/>
      <c r="G851"/>
      <c r="H851"/>
      <c r="I851"/>
    </row>
    <row r="852" spans="6:9" x14ac:dyDescent="0.3">
      <c r="F852"/>
      <c r="G852"/>
      <c r="H852"/>
      <c r="I852"/>
    </row>
    <row r="853" spans="6:9" x14ac:dyDescent="0.3">
      <c r="F853"/>
      <c r="G853"/>
      <c r="H853"/>
      <c r="I853"/>
    </row>
    <row r="854" spans="6:9" x14ac:dyDescent="0.3">
      <c r="F854"/>
      <c r="G854"/>
      <c r="H854"/>
      <c r="I854"/>
    </row>
    <row r="855" spans="6:9" x14ac:dyDescent="0.3">
      <c r="F855"/>
      <c r="G855"/>
      <c r="H855"/>
      <c r="I855"/>
    </row>
    <row r="856" spans="6:9" x14ac:dyDescent="0.3">
      <c r="F856"/>
      <c r="G856"/>
      <c r="H856"/>
      <c r="I856"/>
    </row>
    <row r="857" spans="6:9" x14ac:dyDescent="0.3">
      <c r="F857"/>
      <c r="G857"/>
      <c r="H857"/>
      <c r="I857"/>
    </row>
    <row r="858" spans="6:9" x14ac:dyDescent="0.3">
      <c r="F858"/>
      <c r="G858"/>
      <c r="H858"/>
      <c r="I858"/>
    </row>
    <row r="859" spans="6:9" x14ac:dyDescent="0.3">
      <c r="F859"/>
      <c r="G859"/>
      <c r="H859"/>
      <c r="I859"/>
    </row>
    <row r="860" spans="6:9" x14ac:dyDescent="0.3">
      <c r="F860"/>
      <c r="G860"/>
      <c r="H860"/>
      <c r="I860"/>
    </row>
    <row r="861" spans="6:9" x14ac:dyDescent="0.3">
      <c r="F861"/>
      <c r="G861"/>
      <c r="H861"/>
      <c r="I861"/>
    </row>
    <row r="862" spans="6:9" x14ac:dyDescent="0.3">
      <c r="F862"/>
      <c r="G862"/>
      <c r="H862"/>
      <c r="I862"/>
    </row>
    <row r="863" spans="6:9" x14ac:dyDescent="0.3">
      <c r="F863"/>
      <c r="G863"/>
      <c r="H863"/>
      <c r="I863"/>
    </row>
    <row r="864" spans="6:9" x14ac:dyDescent="0.3">
      <c r="F864"/>
      <c r="G864"/>
      <c r="H864"/>
      <c r="I864"/>
    </row>
    <row r="865" spans="6:9" x14ac:dyDescent="0.3">
      <c r="F865"/>
      <c r="G865"/>
      <c r="H865"/>
      <c r="I865"/>
    </row>
    <row r="866" spans="6:9" x14ac:dyDescent="0.3">
      <c r="F866"/>
      <c r="G866"/>
      <c r="H866"/>
      <c r="I866"/>
    </row>
    <row r="867" spans="6:9" x14ac:dyDescent="0.3">
      <c r="F867"/>
      <c r="G867"/>
      <c r="H867"/>
      <c r="I867"/>
    </row>
    <row r="868" spans="6:9" x14ac:dyDescent="0.3">
      <c r="F868"/>
      <c r="G868"/>
      <c r="H868"/>
      <c r="I868"/>
    </row>
    <row r="869" spans="6:9" x14ac:dyDescent="0.3">
      <c r="F869"/>
      <c r="G869"/>
      <c r="H869"/>
      <c r="I869"/>
    </row>
    <row r="870" spans="6:9" x14ac:dyDescent="0.3">
      <c r="F870"/>
      <c r="G870"/>
      <c r="H870"/>
      <c r="I870"/>
    </row>
    <row r="871" spans="6:9" x14ac:dyDescent="0.3">
      <c r="F871"/>
      <c r="G871"/>
      <c r="H871"/>
      <c r="I871"/>
    </row>
    <row r="872" spans="6:9" x14ac:dyDescent="0.3">
      <c r="F872"/>
      <c r="G872"/>
      <c r="H872"/>
      <c r="I872"/>
    </row>
    <row r="873" spans="6:9" x14ac:dyDescent="0.3">
      <c r="F873"/>
      <c r="G873"/>
      <c r="H873"/>
      <c r="I873"/>
    </row>
    <row r="874" spans="6:9" x14ac:dyDescent="0.3">
      <c r="F874"/>
      <c r="G874"/>
      <c r="H874"/>
      <c r="I874"/>
    </row>
    <row r="875" spans="6:9" x14ac:dyDescent="0.3">
      <c r="F875"/>
      <c r="G875"/>
      <c r="H875"/>
      <c r="I875"/>
    </row>
    <row r="876" spans="6:9" x14ac:dyDescent="0.3">
      <c r="F876"/>
      <c r="G876"/>
      <c r="H876"/>
      <c r="I876"/>
    </row>
    <row r="877" spans="6:9" x14ac:dyDescent="0.3">
      <c r="F877"/>
      <c r="G877"/>
      <c r="H877"/>
      <c r="I877"/>
    </row>
    <row r="878" spans="6:9" x14ac:dyDescent="0.3">
      <c r="F878"/>
      <c r="G878"/>
      <c r="H878"/>
      <c r="I878"/>
    </row>
    <row r="879" spans="6:9" x14ac:dyDescent="0.3">
      <c r="F879"/>
      <c r="G879"/>
      <c r="H879"/>
      <c r="I879"/>
    </row>
    <row r="880" spans="6:9" x14ac:dyDescent="0.3">
      <c r="F880"/>
      <c r="G880"/>
      <c r="H880"/>
      <c r="I880"/>
    </row>
    <row r="881" spans="6:9" x14ac:dyDescent="0.3">
      <c r="F881"/>
      <c r="G881"/>
      <c r="H881"/>
      <c r="I881"/>
    </row>
    <row r="882" spans="6:9" x14ac:dyDescent="0.3">
      <c r="F882"/>
      <c r="G882"/>
      <c r="H882"/>
      <c r="I882"/>
    </row>
    <row r="883" spans="6:9" x14ac:dyDescent="0.3">
      <c r="F883"/>
      <c r="G883"/>
      <c r="H883"/>
      <c r="I883"/>
    </row>
    <row r="884" spans="6:9" x14ac:dyDescent="0.3">
      <c r="F884"/>
      <c r="G884"/>
      <c r="H884"/>
      <c r="I884"/>
    </row>
    <row r="885" spans="6:9" x14ac:dyDescent="0.3">
      <c r="F885"/>
      <c r="G885"/>
      <c r="H885"/>
      <c r="I885"/>
    </row>
    <row r="886" spans="6:9" x14ac:dyDescent="0.3">
      <c r="F886"/>
      <c r="G886"/>
      <c r="H886"/>
      <c r="I886"/>
    </row>
    <row r="887" spans="6:9" x14ac:dyDescent="0.3">
      <c r="F887"/>
      <c r="G887"/>
      <c r="H887"/>
      <c r="I887"/>
    </row>
    <row r="888" spans="6:9" x14ac:dyDescent="0.3">
      <c r="F888"/>
      <c r="G888"/>
      <c r="H888"/>
      <c r="I888"/>
    </row>
    <row r="889" spans="6:9" x14ac:dyDescent="0.3">
      <c r="F889"/>
      <c r="G889"/>
      <c r="H889"/>
      <c r="I889"/>
    </row>
    <row r="890" spans="6:9" x14ac:dyDescent="0.3">
      <c r="F890"/>
      <c r="G890"/>
      <c r="H890"/>
      <c r="I890"/>
    </row>
    <row r="891" spans="6:9" x14ac:dyDescent="0.3">
      <c r="F891"/>
      <c r="G891"/>
      <c r="H891"/>
      <c r="I891"/>
    </row>
    <row r="892" spans="6:9" x14ac:dyDescent="0.3">
      <c r="F892"/>
      <c r="G892"/>
      <c r="H892"/>
      <c r="I892"/>
    </row>
    <row r="893" spans="6:9" x14ac:dyDescent="0.3">
      <c r="F893"/>
      <c r="G893"/>
      <c r="H893"/>
      <c r="I893"/>
    </row>
    <row r="894" spans="6:9" x14ac:dyDescent="0.3">
      <c r="F894"/>
      <c r="G894"/>
      <c r="H894"/>
      <c r="I894"/>
    </row>
    <row r="895" spans="6:9" x14ac:dyDescent="0.3">
      <c r="F895"/>
      <c r="G895"/>
      <c r="H895"/>
      <c r="I895"/>
    </row>
    <row r="896" spans="6:9" x14ac:dyDescent="0.3">
      <c r="F896"/>
      <c r="G896"/>
      <c r="H896"/>
      <c r="I896"/>
    </row>
    <row r="897" spans="6:9" x14ac:dyDescent="0.3">
      <c r="F897"/>
      <c r="G897"/>
      <c r="H897"/>
      <c r="I897"/>
    </row>
    <row r="898" spans="6:9" x14ac:dyDescent="0.3">
      <c r="F898"/>
      <c r="G898"/>
      <c r="H898"/>
      <c r="I898"/>
    </row>
    <row r="899" spans="6:9" x14ac:dyDescent="0.3">
      <c r="F899"/>
      <c r="G899"/>
      <c r="H899"/>
      <c r="I899"/>
    </row>
    <row r="900" spans="6:9" x14ac:dyDescent="0.3">
      <c r="F900"/>
      <c r="G900"/>
      <c r="H900"/>
      <c r="I900"/>
    </row>
    <row r="901" spans="6:9" x14ac:dyDescent="0.3">
      <c r="F901"/>
      <c r="G901"/>
      <c r="H901"/>
      <c r="I901"/>
    </row>
    <row r="902" spans="6:9" x14ac:dyDescent="0.3">
      <c r="F902"/>
      <c r="G902"/>
      <c r="H902"/>
      <c r="I902"/>
    </row>
    <row r="903" spans="6:9" x14ac:dyDescent="0.3">
      <c r="F903"/>
      <c r="G903"/>
      <c r="H903"/>
      <c r="I903"/>
    </row>
    <row r="904" spans="6:9" x14ac:dyDescent="0.3">
      <c r="F904"/>
      <c r="G904"/>
      <c r="H904"/>
      <c r="I904"/>
    </row>
    <row r="905" spans="6:9" x14ac:dyDescent="0.3">
      <c r="F905"/>
      <c r="G905"/>
      <c r="H905"/>
      <c r="I905"/>
    </row>
    <row r="906" spans="6:9" x14ac:dyDescent="0.3">
      <c r="F906"/>
      <c r="G906"/>
      <c r="H906"/>
      <c r="I906"/>
    </row>
    <row r="907" spans="6:9" x14ac:dyDescent="0.3">
      <c r="F907"/>
      <c r="G907"/>
      <c r="H907"/>
      <c r="I907"/>
    </row>
    <row r="908" spans="6:9" x14ac:dyDescent="0.3">
      <c r="F908"/>
      <c r="G908"/>
      <c r="H908"/>
      <c r="I908"/>
    </row>
    <row r="909" spans="6:9" x14ac:dyDescent="0.3">
      <c r="F909"/>
      <c r="G909"/>
      <c r="H909"/>
      <c r="I909"/>
    </row>
    <row r="910" spans="6:9" x14ac:dyDescent="0.3">
      <c r="F910"/>
      <c r="G910"/>
      <c r="H910"/>
      <c r="I910"/>
    </row>
    <row r="911" spans="6:9" x14ac:dyDescent="0.3">
      <c r="F911"/>
      <c r="G911"/>
      <c r="H911"/>
      <c r="I911"/>
    </row>
    <row r="912" spans="6:9" x14ac:dyDescent="0.3">
      <c r="F912"/>
      <c r="G912"/>
      <c r="H912"/>
      <c r="I912"/>
    </row>
    <row r="913" spans="6:9" x14ac:dyDescent="0.3">
      <c r="F913"/>
      <c r="G913"/>
      <c r="H913"/>
      <c r="I913"/>
    </row>
    <row r="914" spans="6:9" x14ac:dyDescent="0.3">
      <c r="F914"/>
      <c r="G914"/>
      <c r="H914"/>
      <c r="I914"/>
    </row>
    <row r="915" spans="6:9" x14ac:dyDescent="0.3">
      <c r="F915"/>
      <c r="G915"/>
      <c r="H915"/>
      <c r="I915"/>
    </row>
    <row r="916" spans="6:9" x14ac:dyDescent="0.3">
      <c r="F916"/>
      <c r="G916"/>
      <c r="H916"/>
      <c r="I916"/>
    </row>
    <row r="917" spans="6:9" x14ac:dyDescent="0.3">
      <c r="F917"/>
      <c r="G917"/>
      <c r="H917"/>
      <c r="I917"/>
    </row>
    <row r="918" spans="6:9" x14ac:dyDescent="0.3">
      <c r="F918"/>
      <c r="G918"/>
      <c r="H918"/>
      <c r="I918"/>
    </row>
    <row r="919" spans="6:9" x14ac:dyDescent="0.3">
      <c r="F919"/>
      <c r="G919"/>
      <c r="H919"/>
      <c r="I919"/>
    </row>
    <row r="920" spans="6:9" x14ac:dyDescent="0.3">
      <c r="F920"/>
      <c r="G920"/>
      <c r="H920"/>
      <c r="I920"/>
    </row>
    <row r="921" spans="6:9" x14ac:dyDescent="0.3">
      <c r="F921"/>
      <c r="G921"/>
      <c r="H921"/>
      <c r="I921"/>
    </row>
    <row r="922" spans="6:9" x14ac:dyDescent="0.3">
      <c r="F922"/>
      <c r="G922"/>
      <c r="H922"/>
      <c r="I922"/>
    </row>
    <row r="923" spans="6:9" x14ac:dyDescent="0.3">
      <c r="F923"/>
      <c r="G923"/>
      <c r="H923"/>
      <c r="I923"/>
    </row>
    <row r="924" spans="6:9" x14ac:dyDescent="0.3">
      <c r="F924"/>
      <c r="G924"/>
      <c r="H924"/>
      <c r="I924"/>
    </row>
    <row r="925" spans="6:9" x14ac:dyDescent="0.3">
      <c r="F925"/>
      <c r="G925"/>
      <c r="H925"/>
      <c r="I925"/>
    </row>
    <row r="926" spans="6:9" x14ac:dyDescent="0.3">
      <c r="F926"/>
      <c r="G926"/>
      <c r="H926"/>
      <c r="I926"/>
    </row>
    <row r="927" spans="6:9" x14ac:dyDescent="0.3">
      <c r="F927"/>
      <c r="G927"/>
      <c r="H927"/>
      <c r="I927"/>
    </row>
    <row r="928" spans="6:9" x14ac:dyDescent="0.3">
      <c r="F928"/>
      <c r="G928"/>
      <c r="H928"/>
      <c r="I928"/>
    </row>
    <row r="929" spans="6:9" x14ac:dyDescent="0.3">
      <c r="F929"/>
      <c r="G929"/>
      <c r="H929"/>
      <c r="I929"/>
    </row>
    <row r="930" spans="6:9" x14ac:dyDescent="0.3">
      <c r="F930"/>
      <c r="G930"/>
      <c r="H930"/>
      <c r="I930"/>
    </row>
    <row r="931" spans="6:9" x14ac:dyDescent="0.3">
      <c r="F931"/>
      <c r="G931"/>
      <c r="H931"/>
      <c r="I931"/>
    </row>
    <row r="932" spans="6:9" x14ac:dyDescent="0.3">
      <c r="F932"/>
      <c r="G932"/>
      <c r="H932"/>
      <c r="I932"/>
    </row>
    <row r="933" spans="6:9" x14ac:dyDescent="0.3">
      <c r="F933"/>
      <c r="G933"/>
      <c r="H933"/>
      <c r="I933"/>
    </row>
    <row r="934" spans="6:9" x14ac:dyDescent="0.3">
      <c r="F934"/>
      <c r="G934"/>
      <c r="H934"/>
      <c r="I934"/>
    </row>
    <row r="935" spans="6:9" x14ac:dyDescent="0.3">
      <c r="F935"/>
      <c r="G935"/>
      <c r="H935"/>
      <c r="I935"/>
    </row>
    <row r="936" spans="6:9" x14ac:dyDescent="0.3">
      <c r="F936"/>
      <c r="G936"/>
      <c r="H936"/>
      <c r="I936"/>
    </row>
    <row r="937" spans="6:9" x14ac:dyDescent="0.3">
      <c r="F937"/>
      <c r="G937"/>
      <c r="H937"/>
      <c r="I937"/>
    </row>
    <row r="938" spans="6:9" x14ac:dyDescent="0.3">
      <c r="F938"/>
      <c r="G938"/>
      <c r="H938"/>
      <c r="I938"/>
    </row>
    <row r="939" spans="6:9" x14ac:dyDescent="0.3">
      <c r="F939"/>
      <c r="G939"/>
      <c r="H939"/>
      <c r="I939"/>
    </row>
    <row r="940" spans="6:9" x14ac:dyDescent="0.3">
      <c r="F940"/>
      <c r="G940"/>
      <c r="H940"/>
      <c r="I940"/>
    </row>
    <row r="941" spans="6:9" x14ac:dyDescent="0.3">
      <c r="F941"/>
      <c r="G941"/>
      <c r="H941"/>
      <c r="I941"/>
    </row>
    <row r="942" spans="6:9" x14ac:dyDescent="0.3">
      <c r="F942"/>
      <c r="G942"/>
      <c r="H942"/>
      <c r="I942"/>
    </row>
    <row r="943" spans="6:9" x14ac:dyDescent="0.3">
      <c r="F943"/>
      <c r="G943"/>
      <c r="H943"/>
      <c r="I943"/>
    </row>
    <row r="944" spans="6:9" x14ac:dyDescent="0.3">
      <c r="F944"/>
      <c r="G944"/>
      <c r="H944"/>
      <c r="I944"/>
    </row>
    <row r="945" spans="6:9" x14ac:dyDescent="0.3">
      <c r="F945"/>
      <c r="G945"/>
      <c r="H945"/>
      <c r="I945"/>
    </row>
    <row r="946" spans="6:9" x14ac:dyDescent="0.3">
      <c r="F946"/>
      <c r="G946"/>
      <c r="H946"/>
      <c r="I946"/>
    </row>
    <row r="947" spans="6:9" x14ac:dyDescent="0.3">
      <c r="F947"/>
      <c r="G947"/>
      <c r="H947"/>
      <c r="I947"/>
    </row>
    <row r="948" spans="6:9" x14ac:dyDescent="0.3">
      <c r="F948"/>
      <c r="G948"/>
      <c r="H948"/>
      <c r="I948"/>
    </row>
    <row r="949" spans="6:9" x14ac:dyDescent="0.3">
      <c r="F949"/>
      <c r="G949"/>
      <c r="H949"/>
      <c r="I949"/>
    </row>
    <row r="950" spans="6:9" x14ac:dyDescent="0.3">
      <c r="F950"/>
      <c r="G950"/>
      <c r="H950"/>
      <c r="I950"/>
    </row>
    <row r="951" spans="6:9" x14ac:dyDescent="0.3">
      <c r="F951"/>
      <c r="G951"/>
      <c r="H951"/>
      <c r="I951"/>
    </row>
    <row r="952" spans="6:9" x14ac:dyDescent="0.3">
      <c r="F952"/>
      <c r="G952"/>
      <c r="H952"/>
      <c r="I952"/>
    </row>
    <row r="953" spans="6:9" x14ac:dyDescent="0.3">
      <c r="F953"/>
      <c r="G953"/>
      <c r="H953"/>
      <c r="I953"/>
    </row>
    <row r="954" spans="6:9" x14ac:dyDescent="0.3">
      <c r="F954"/>
      <c r="G954"/>
      <c r="H954"/>
      <c r="I954"/>
    </row>
    <row r="955" spans="6:9" x14ac:dyDescent="0.3">
      <c r="F955"/>
      <c r="G955"/>
      <c r="H955"/>
      <c r="I955"/>
    </row>
    <row r="956" spans="6:9" x14ac:dyDescent="0.3">
      <c r="F956"/>
      <c r="G956"/>
      <c r="H956"/>
      <c r="I956"/>
    </row>
    <row r="957" spans="6:9" x14ac:dyDescent="0.3">
      <c r="F957"/>
      <c r="G957"/>
      <c r="H957"/>
      <c r="I957"/>
    </row>
    <row r="958" spans="6:9" x14ac:dyDescent="0.3">
      <c r="F958"/>
      <c r="G958"/>
      <c r="H958"/>
      <c r="I958"/>
    </row>
    <row r="959" spans="6:9" x14ac:dyDescent="0.3">
      <c r="F959"/>
      <c r="G959"/>
      <c r="H959"/>
      <c r="I959"/>
    </row>
    <row r="960" spans="6:9" x14ac:dyDescent="0.3">
      <c r="F960"/>
      <c r="G960"/>
      <c r="H960"/>
      <c r="I960"/>
    </row>
    <row r="961" spans="6:9" x14ac:dyDescent="0.3">
      <c r="F961"/>
      <c r="G961"/>
      <c r="H961"/>
      <c r="I961"/>
    </row>
    <row r="962" spans="6:9" x14ac:dyDescent="0.3">
      <c r="F962"/>
      <c r="G962"/>
      <c r="H962"/>
      <c r="I962"/>
    </row>
    <row r="963" spans="6:9" x14ac:dyDescent="0.3">
      <c r="F963"/>
      <c r="G963"/>
      <c r="H963"/>
      <c r="I963"/>
    </row>
    <row r="964" spans="6:9" x14ac:dyDescent="0.3">
      <c r="F964"/>
      <c r="G964"/>
      <c r="H964"/>
      <c r="I964"/>
    </row>
    <row r="965" spans="6:9" x14ac:dyDescent="0.3">
      <c r="F965"/>
      <c r="G965"/>
      <c r="H965"/>
      <c r="I965"/>
    </row>
    <row r="966" spans="6:9" x14ac:dyDescent="0.3">
      <c r="F966"/>
      <c r="G966"/>
      <c r="H966"/>
      <c r="I966"/>
    </row>
    <row r="967" spans="6:9" x14ac:dyDescent="0.3">
      <c r="F967"/>
      <c r="G967"/>
      <c r="H967"/>
      <c r="I967"/>
    </row>
    <row r="968" spans="6:9" x14ac:dyDescent="0.3">
      <c r="F968"/>
      <c r="G968"/>
      <c r="H968"/>
      <c r="I968"/>
    </row>
    <row r="969" spans="6:9" x14ac:dyDescent="0.3">
      <c r="F969"/>
      <c r="G969"/>
      <c r="H969"/>
      <c r="I969"/>
    </row>
    <row r="970" spans="6:9" x14ac:dyDescent="0.3">
      <c r="F970"/>
      <c r="G970"/>
      <c r="H970"/>
      <c r="I970"/>
    </row>
    <row r="971" spans="6:9" x14ac:dyDescent="0.3">
      <c r="F971"/>
      <c r="G971"/>
      <c r="H971"/>
      <c r="I971"/>
    </row>
    <row r="972" spans="6:9" x14ac:dyDescent="0.3">
      <c r="F972"/>
      <c r="G972"/>
      <c r="H972"/>
      <c r="I972"/>
    </row>
    <row r="973" spans="6:9" x14ac:dyDescent="0.3">
      <c r="F973"/>
      <c r="G973"/>
      <c r="H973"/>
      <c r="I973"/>
    </row>
    <row r="974" spans="6:9" x14ac:dyDescent="0.3">
      <c r="F974"/>
      <c r="G974"/>
      <c r="H974"/>
      <c r="I974"/>
    </row>
    <row r="975" spans="6:9" x14ac:dyDescent="0.3">
      <c r="F975"/>
      <c r="G975"/>
      <c r="H975"/>
      <c r="I975"/>
    </row>
    <row r="976" spans="6:9" x14ac:dyDescent="0.3">
      <c r="F976"/>
      <c r="G976"/>
      <c r="H976"/>
      <c r="I976"/>
    </row>
    <row r="977" spans="6:9" x14ac:dyDescent="0.3">
      <c r="F977"/>
      <c r="G977"/>
      <c r="H977"/>
      <c r="I977"/>
    </row>
    <row r="978" spans="6:9" x14ac:dyDescent="0.3">
      <c r="F978"/>
      <c r="G978"/>
      <c r="H978"/>
      <c r="I978"/>
    </row>
    <row r="979" spans="6:9" x14ac:dyDescent="0.3">
      <c r="F979"/>
      <c r="G979"/>
      <c r="H979"/>
      <c r="I979"/>
    </row>
    <row r="980" spans="6:9" x14ac:dyDescent="0.3">
      <c r="F980"/>
      <c r="G980"/>
      <c r="H980"/>
      <c r="I980"/>
    </row>
    <row r="981" spans="6:9" x14ac:dyDescent="0.3">
      <c r="F981"/>
      <c r="G981"/>
      <c r="H981"/>
      <c r="I981"/>
    </row>
    <row r="982" spans="6:9" x14ac:dyDescent="0.3">
      <c r="F982"/>
      <c r="G982"/>
      <c r="H982"/>
      <c r="I982"/>
    </row>
    <row r="983" spans="6:9" x14ac:dyDescent="0.3">
      <c r="F983"/>
      <c r="G983"/>
      <c r="H983"/>
      <c r="I983"/>
    </row>
    <row r="984" spans="6:9" x14ac:dyDescent="0.3">
      <c r="F984"/>
      <c r="G984"/>
      <c r="H984"/>
      <c r="I984"/>
    </row>
    <row r="985" spans="6:9" x14ac:dyDescent="0.3">
      <c r="F985"/>
      <c r="G985"/>
      <c r="H985"/>
      <c r="I985"/>
    </row>
    <row r="986" spans="6:9" x14ac:dyDescent="0.3">
      <c r="F986"/>
      <c r="G986"/>
      <c r="H986"/>
      <c r="I986"/>
    </row>
    <row r="987" spans="6:9" x14ac:dyDescent="0.3">
      <c r="F987"/>
      <c r="G987"/>
      <c r="H987"/>
      <c r="I987"/>
    </row>
    <row r="988" spans="6:9" x14ac:dyDescent="0.3">
      <c r="F988"/>
      <c r="G988"/>
      <c r="H988"/>
      <c r="I988"/>
    </row>
    <row r="989" spans="6:9" x14ac:dyDescent="0.3">
      <c r="F989"/>
      <c r="G989"/>
      <c r="H989"/>
      <c r="I989"/>
    </row>
    <row r="990" spans="6:9" x14ac:dyDescent="0.3">
      <c r="F990"/>
      <c r="G990"/>
      <c r="H990"/>
      <c r="I990"/>
    </row>
    <row r="991" spans="6:9" x14ac:dyDescent="0.3">
      <c r="F991"/>
      <c r="G991"/>
      <c r="H991"/>
      <c r="I991"/>
    </row>
    <row r="992" spans="6:9" x14ac:dyDescent="0.3">
      <c r="F992"/>
      <c r="G992"/>
      <c r="H992"/>
      <c r="I992"/>
    </row>
    <row r="993" spans="6:9" x14ac:dyDescent="0.3">
      <c r="F993"/>
      <c r="G993"/>
      <c r="H993"/>
      <c r="I993"/>
    </row>
    <row r="994" spans="6:9" x14ac:dyDescent="0.3">
      <c r="F994"/>
      <c r="G994"/>
      <c r="H994"/>
      <c r="I994"/>
    </row>
    <row r="995" spans="6:9" x14ac:dyDescent="0.3">
      <c r="F995"/>
      <c r="G995"/>
      <c r="H995"/>
      <c r="I995"/>
    </row>
    <row r="996" spans="6:9" x14ac:dyDescent="0.3">
      <c r="F996"/>
      <c r="G996"/>
      <c r="H996"/>
      <c r="I996"/>
    </row>
    <row r="997" spans="6:9" x14ac:dyDescent="0.3">
      <c r="F997"/>
      <c r="G997"/>
      <c r="H997"/>
      <c r="I997"/>
    </row>
    <row r="998" spans="6:9" x14ac:dyDescent="0.3">
      <c r="F998"/>
      <c r="G998"/>
      <c r="H998"/>
      <c r="I998"/>
    </row>
    <row r="999" spans="6:9" x14ac:dyDescent="0.3">
      <c r="F999"/>
      <c r="G999"/>
      <c r="H999"/>
      <c r="I999"/>
    </row>
    <row r="1000" spans="6:9" x14ac:dyDescent="0.3">
      <c r="F1000"/>
      <c r="G1000"/>
      <c r="H1000"/>
      <c r="I1000"/>
    </row>
    <row r="1001" spans="6:9" x14ac:dyDescent="0.3">
      <c r="F1001"/>
      <c r="G1001"/>
      <c r="H1001"/>
      <c r="I1001"/>
    </row>
    <row r="1002" spans="6:9" x14ac:dyDescent="0.3">
      <c r="F1002"/>
      <c r="G1002"/>
      <c r="H1002"/>
      <c r="I1002"/>
    </row>
    <row r="1003" spans="6:9" x14ac:dyDescent="0.3">
      <c r="F1003"/>
      <c r="G1003"/>
      <c r="H1003"/>
      <c r="I1003"/>
    </row>
    <row r="1004" spans="6:9" x14ac:dyDescent="0.3">
      <c r="F1004"/>
      <c r="G1004"/>
      <c r="H1004"/>
      <c r="I1004"/>
    </row>
    <row r="1005" spans="6:9" x14ac:dyDescent="0.3">
      <c r="F1005"/>
      <c r="G1005"/>
      <c r="H1005"/>
      <c r="I1005"/>
    </row>
    <row r="1006" spans="6:9" x14ac:dyDescent="0.3">
      <c r="F1006"/>
      <c r="G1006"/>
      <c r="H1006"/>
      <c r="I1006"/>
    </row>
    <row r="1007" spans="6:9" x14ac:dyDescent="0.3">
      <c r="F1007"/>
      <c r="G1007"/>
      <c r="H1007"/>
      <c r="I1007"/>
    </row>
    <row r="1008" spans="6:9" x14ac:dyDescent="0.3">
      <c r="F1008"/>
      <c r="G1008"/>
      <c r="H1008"/>
      <c r="I1008"/>
    </row>
    <row r="1009" spans="6:9" x14ac:dyDescent="0.3">
      <c r="F1009"/>
      <c r="G1009"/>
      <c r="H1009"/>
      <c r="I1009"/>
    </row>
    <row r="1010" spans="6:9" x14ac:dyDescent="0.3">
      <c r="F1010"/>
      <c r="G1010"/>
      <c r="H1010"/>
      <c r="I1010"/>
    </row>
    <row r="1011" spans="6:9" x14ac:dyDescent="0.3">
      <c r="F1011"/>
      <c r="G1011"/>
      <c r="H1011"/>
      <c r="I1011"/>
    </row>
    <row r="1012" spans="6:9" x14ac:dyDescent="0.3">
      <c r="F1012"/>
      <c r="G1012"/>
      <c r="H1012"/>
      <c r="I1012"/>
    </row>
    <row r="1013" spans="6:9" x14ac:dyDescent="0.3">
      <c r="F1013"/>
      <c r="G1013"/>
      <c r="H1013"/>
      <c r="I1013"/>
    </row>
    <row r="1014" spans="6:9" x14ac:dyDescent="0.3">
      <c r="F1014"/>
      <c r="G1014"/>
      <c r="H1014"/>
      <c r="I1014"/>
    </row>
    <row r="1015" spans="6:9" x14ac:dyDescent="0.3">
      <c r="F1015"/>
      <c r="G1015"/>
      <c r="H1015"/>
      <c r="I1015"/>
    </row>
    <row r="1016" spans="6:9" x14ac:dyDescent="0.3">
      <c r="F1016"/>
      <c r="G1016"/>
      <c r="H1016"/>
      <c r="I1016"/>
    </row>
    <row r="1017" spans="6:9" x14ac:dyDescent="0.3">
      <c r="F1017"/>
      <c r="G1017"/>
      <c r="H1017"/>
      <c r="I1017"/>
    </row>
    <row r="1018" spans="6:9" x14ac:dyDescent="0.3">
      <c r="F1018"/>
      <c r="G1018"/>
      <c r="H1018"/>
      <c r="I1018"/>
    </row>
    <row r="1019" spans="6:9" x14ac:dyDescent="0.3">
      <c r="F1019"/>
      <c r="G1019"/>
      <c r="H1019"/>
      <c r="I1019"/>
    </row>
    <row r="1020" spans="6:9" x14ac:dyDescent="0.3">
      <c r="F1020"/>
      <c r="G1020"/>
      <c r="H1020"/>
      <c r="I1020"/>
    </row>
    <row r="1021" spans="6:9" x14ac:dyDescent="0.3">
      <c r="F1021"/>
      <c r="G1021"/>
      <c r="H1021"/>
      <c r="I1021"/>
    </row>
    <row r="1022" spans="6:9" x14ac:dyDescent="0.3">
      <c r="F1022"/>
      <c r="G1022"/>
      <c r="H1022"/>
      <c r="I1022"/>
    </row>
    <row r="1023" spans="6:9" x14ac:dyDescent="0.3">
      <c r="F1023"/>
      <c r="G1023"/>
      <c r="H1023"/>
      <c r="I1023"/>
    </row>
    <row r="1024" spans="6:9" x14ac:dyDescent="0.3">
      <c r="F1024"/>
      <c r="G1024"/>
      <c r="H1024"/>
      <c r="I1024"/>
    </row>
    <row r="1025" spans="6:9" x14ac:dyDescent="0.3">
      <c r="F1025"/>
      <c r="G1025"/>
      <c r="H1025"/>
      <c r="I1025"/>
    </row>
    <row r="1026" spans="6:9" x14ac:dyDescent="0.3">
      <c r="F1026"/>
      <c r="G1026"/>
      <c r="H1026"/>
      <c r="I1026"/>
    </row>
    <row r="1027" spans="6:9" x14ac:dyDescent="0.3">
      <c r="F1027"/>
      <c r="G1027"/>
      <c r="H1027"/>
      <c r="I1027"/>
    </row>
    <row r="1028" spans="6:9" x14ac:dyDescent="0.3">
      <c r="F1028"/>
      <c r="G1028"/>
      <c r="H1028"/>
      <c r="I1028"/>
    </row>
    <row r="1029" spans="6:9" x14ac:dyDescent="0.3">
      <c r="F1029"/>
      <c r="G1029"/>
      <c r="H1029"/>
      <c r="I1029"/>
    </row>
    <row r="1030" spans="6:9" x14ac:dyDescent="0.3">
      <c r="F1030"/>
      <c r="G1030"/>
      <c r="H1030"/>
      <c r="I1030"/>
    </row>
    <row r="1031" spans="6:9" x14ac:dyDescent="0.3">
      <c r="F1031"/>
      <c r="G1031"/>
      <c r="H1031"/>
      <c r="I1031"/>
    </row>
    <row r="1032" spans="6:9" x14ac:dyDescent="0.3">
      <c r="F1032"/>
      <c r="G1032"/>
      <c r="H1032"/>
      <c r="I1032"/>
    </row>
    <row r="1033" spans="6:9" x14ac:dyDescent="0.3">
      <c r="F1033"/>
      <c r="G1033"/>
      <c r="H1033"/>
      <c r="I1033"/>
    </row>
    <row r="1034" spans="6:9" x14ac:dyDescent="0.3">
      <c r="F1034"/>
      <c r="G1034"/>
      <c r="H1034"/>
      <c r="I1034"/>
    </row>
    <row r="1035" spans="6:9" x14ac:dyDescent="0.3">
      <c r="F1035"/>
      <c r="G1035"/>
      <c r="H1035"/>
      <c r="I1035"/>
    </row>
    <row r="1036" spans="6:9" x14ac:dyDescent="0.3">
      <c r="F1036"/>
      <c r="G1036"/>
      <c r="H1036"/>
      <c r="I1036"/>
    </row>
    <row r="1037" spans="6:9" x14ac:dyDescent="0.3">
      <c r="F1037"/>
      <c r="G1037"/>
      <c r="H1037"/>
      <c r="I1037"/>
    </row>
    <row r="1038" spans="6:9" x14ac:dyDescent="0.3">
      <c r="F1038"/>
      <c r="G1038"/>
      <c r="H1038"/>
      <c r="I1038"/>
    </row>
    <row r="1039" spans="6:9" x14ac:dyDescent="0.3">
      <c r="F1039"/>
      <c r="G1039"/>
      <c r="H1039"/>
      <c r="I1039"/>
    </row>
    <row r="1040" spans="6:9" x14ac:dyDescent="0.3">
      <c r="F1040"/>
      <c r="G1040"/>
      <c r="H1040"/>
      <c r="I1040"/>
    </row>
    <row r="1041" spans="6:9" x14ac:dyDescent="0.3">
      <c r="F1041"/>
      <c r="G1041"/>
      <c r="H1041"/>
      <c r="I1041"/>
    </row>
    <row r="1042" spans="6:9" x14ac:dyDescent="0.3">
      <c r="F1042"/>
      <c r="G1042"/>
      <c r="H1042"/>
      <c r="I1042"/>
    </row>
    <row r="1043" spans="6:9" x14ac:dyDescent="0.3">
      <c r="F1043"/>
      <c r="G1043"/>
      <c r="H1043"/>
      <c r="I1043"/>
    </row>
    <row r="1044" spans="6:9" x14ac:dyDescent="0.3">
      <c r="F1044"/>
      <c r="G1044"/>
      <c r="H1044"/>
      <c r="I1044"/>
    </row>
    <row r="1045" spans="6:9" x14ac:dyDescent="0.3">
      <c r="F1045"/>
      <c r="G1045"/>
      <c r="H1045"/>
      <c r="I1045"/>
    </row>
    <row r="1046" spans="6:9" x14ac:dyDescent="0.3">
      <c r="F1046"/>
      <c r="G1046"/>
      <c r="H1046"/>
      <c r="I1046"/>
    </row>
    <row r="1047" spans="6:9" x14ac:dyDescent="0.3">
      <c r="F1047"/>
      <c r="G1047"/>
      <c r="H1047"/>
      <c r="I1047"/>
    </row>
    <row r="1048" spans="6:9" x14ac:dyDescent="0.3">
      <c r="F1048"/>
      <c r="G1048"/>
      <c r="H1048"/>
      <c r="I1048"/>
    </row>
    <row r="1049" spans="6:9" x14ac:dyDescent="0.3">
      <c r="F1049"/>
      <c r="G1049"/>
      <c r="H1049"/>
      <c r="I1049"/>
    </row>
    <row r="1050" spans="6:9" x14ac:dyDescent="0.3">
      <c r="F1050"/>
      <c r="G1050"/>
      <c r="H1050"/>
      <c r="I1050"/>
    </row>
    <row r="1051" spans="6:9" x14ac:dyDescent="0.3">
      <c r="F1051"/>
      <c r="G1051"/>
      <c r="H1051"/>
      <c r="I1051"/>
    </row>
    <row r="1052" spans="6:9" x14ac:dyDescent="0.3">
      <c r="F1052"/>
      <c r="G1052"/>
      <c r="H1052"/>
      <c r="I1052"/>
    </row>
    <row r="1053" spans="6:9" x14ac:dyDescent="0.3">
      <c r="F1053"/>
      <c r="G1053"/>
      <c r="H1053"/>
      <c r="I1053"/>
    </row>
    <row r="1054" spans="6:9" x14ac:dyDescent="0.3">
      <c r="F1054"/>
      <c r="G1054"/>
      <c r="H1054"/>
      <c r="I1054"/>
    </row>
    <row r="1055" spans="6:9" x14ac:dyDescent="0.3">
      <c r="F1055"/>
      <c r="G1055"/>
      <c r="H1055"/>
      <c r="I1055"/>
    </row>
    <row r="1056" spans="6:9" x14ac:dyDescent="0.3">
      <c r="F1056"/>
      <c r="G1056"/>
      <c r="H1056"/>
      <c r="I1056"/>
    </row>
    <row r="1057" spans="6:9" x14ac:dyDescent="0.3">
      <c r="F1057"/>
      <c r="G1057"/>
      <c r="H1057"/>
      <c r="I1057"/>
    </row>
    <row r="1058" spans="6:9" x14ac:dyDescent="0.3">
      <c r="F1058"/>
      <c r="G1058"/>
      <c r="H1058"/>
      <c r="I1058"/>
    </row>
    <row r="1059" spans="6:9" x14ac:dyDescent="0.3">
      <c r="F1059"/>
      <c r="G1059"/>
      <c r="H1059"/>
      <c r="I1059"/>
    </row>
    <row r="1060" spans="6:9" x14ac:dyDescent="0.3">
      <c r="F1060"/>
      <c r="G1060"/>
      <c r="H1060"/>
      <c r="I1060"/>
    </row>
    <row r="1061" spans="6:9" x14ac:dyDescent="0.3">
      <c r="F1061"/>
      <c r="G1061"/>
      <c r="H1061"/>
      <c r="I1061"/>
    </row>
    <row r="1062" spans="6:9" x14ac:dyDescent="0.3">
      <c r="F1062"/>
      <c r="G1062"/>
      <c r="H1062"/>
      <c r="I1062"/>
    </row>
    <row r="1063" spans="6:9" x14ac:dyDescent="0.3">
      <c r="F1063"/>
      <c r="G1063"/>
      <c r="H1063"/>
      <c r="I1063"/>
    </row>
    <row r="1064" spans="6:9" x14ac:dyDescent="0.3">
      <c r="F1064"/>
      <c r="G1064"/>
      <c r="H1064"/>
      <c r="I1064"/>
    </row>
    <row r="1065" spans="6:9" x14ac:dyDescent="0.3">
      <c r="F1065"/>
      <c r="G1065"/>
      <c r="H1065"/>
      <c r="I1065"/>
    </row>
    <row r="1066" spans="6:9" x14ac:dyDescent="0.3">
      <c r="F1066"/>
      <c r="G1066"/>
      <c r="H1066"/>
      <c r="I1066"/>
    </row>
    <row r="1067" spans="6:9" x14ac:dyDescent="0.3">
      <c r="F1067"/>
      <c r="G1067"/>
      <c r="H1067"/>
      <c r="I1067"/>
    </row>
    <row r="1068" spans="6:9" x14ac:dyDescent="0.3">
      <c r="F1068"/>
      <c r="G1068"/>
      <c r="H1068"/>
      <c r="I1068"/>
    </row>
    <row r="1069" spans="6:9" x14ac:dyDescent="0.3">
      <c r="F1069"/>
      <c r="G1069"/>
      <c r="H1069"/>
      <c r="I1069"/>
    </row>
    <row r="1070" spans="6:9" x14ac:dyDescent="0.3">
      <c r="F1070"/>
      <c r="G1070"/>
      <c r="H1070"/>
      <c r="I1070"/>
    </row>
    <row r="1071" spans="6:9" x14ac:dyDescent="0.3">
      <c r="F1071"/>
      <c r="G1071"/>
      <c r="H1071"/>
      <c r="I1071"/>
    </row>
    <row r="1072" spans="6:9" x14ac:dyDescent="0.3">
      <c r="F1072"/>
      <c r="G1072"/>
      <c r="H1072"/>
      <c r="I1072"/>
    </row>
    <row r="1073" spans="6:9" x14ac:dyDescent="0.3">
      <c r="F1073"/>
      <c r="G1073"/>
      <c r="H1073"/>
      <c r="I1073"/>
    </row>
    <row r="1074" spans="6:9" x14ac:dyDescent="0.3">
      <c r="F1074"/>
      <c r="G1074"/>
      <c r="H1074"/>
      <c r="I1074"/>
    </row>
    <row r="1075" spans="6:9" x14ac:dyDescent="0.3">
      <c r="F1075"/>
      <c r="G1075"/>
      <c r="H1075"/>
      <c r="I1075"/>
    </row>
    <row r="1076" spans="6:9" x14ac:dyDescent="0.3">
      <c r="F1076"/>
      <c r="G1076"/>
      <c r="H1076"/>
      <c r="I1076"/>
    </row>
    <row r="1077" spans="6:9" x14ac:dyDescent="0.3">
      <c r="F1077"/>
      <c r="G1077"/>
      <c r="H1077"/>
      <c r="I1077"/>
    </row>
    <row r="1078" spans="6:9" x14ac:dyDescent="0.3">
      <c r="F1078"/>
      <c r="G1078"/>
      <c r="H1078"/>
      <c r="I1078"/>
    </row>
    <row r="1079" spans="6:9" x14ac:dyDescent="0.3">
      <c r="F1079"/>
      <c r="G1079"/>
      <c r="H1079"/>
      <c r="I1079"/>
    </row>
    <row r="1080" spans="6:9" x14ac:dyDescent="0.3">
      <c r="F1080"/>
      <c r="G1080"/>
      <c r="H1080"/>
      <c r="I1080"/>
    </row>
    <row r="1081" spans="6:9" x14ac:dyDescent="0.3">
      <c r="F1081"/>
      <c r="G1081"/>
      <c r="H1081"/>
      <c r="I1081"/>
    </row>
    <row r="1082" spans="6:9" x14ac:dyDescent="0.3">
      <c r="F1082"/>
      <c r="G1082"/>
      <c r="H1082"/>
      <c r="I1082"/>
    </row>
    <row r="1083" spans="6:9" x14ac:dyDescent="0.3">
      <c r="F1083"/>
      <c r="G1083"/>
      <c r="H1083"/>
      <c r="I1083"/>
    </row>
    <row r="1084" spans="6:9" x14ac:dyDescent="0.3">
      <c r="F1084"/>
      <c r="G1084"/>
      <c r="H1084"/>
      <c r="I1084"/>
    </row>
    <row r="1085" spans="6:9" x14ac:dyDescent="0.3">
      <c r="F1085"/>
      <c r="G1085"/>
      <c r="H1085"/>
      <c r="I1085"/>
    </row>
    <row r="1086" spans="6:9" x14ac:dyDescent="0.3">
      <c r="F1086"/>
      <c r="G1086"/>
      <c r="H1086"/>
      <c r="I1086"/>
    </row>
    <row r="1087" spans="6:9" x14ac:dyDescent="0.3">
      <c r="F1087"/>
      <c r="G1087"/>
      <c r="H1087"/>
      <c r="I1087"/>
    </row>
    <row r="1088" spans="6:9" x14ac:dyDescent="0.3">
      <c r="F1088"/>
      <c r="G1088"/>
      <c r="H1088"/>
      <c r="I1088"/>
    </row>
    <row r="1089" spans="6:9" x14ac:dyDescent="0.3">
      <c r="F1089"/>
      <c r="G1089"/>
      <c r="H1089"/>
      <c r="I1089"/>
    </row>
    <row r="1090" spans="6:9" x14ac:dyDescent="0.3">
      <c r="F1090"/>
      <c r="G1090"/>
      <c r="H1090"/>
      <c r="I1090"/>
    </row>
    <row r="1091" spans="6:9" x14ac:dyDescent="0.3">
      <c r="F1091"/>
      <c r="G1091"/>
      <c r="H1091"/>
      <c r="I1091"/>
    </row>
    <row r="1092" spans="6:9" x14ac:dyDescent="0.3">
      <c r="F1092"/>
      <c r="G1092"/>
      <c r="H1092"/>
      <c r="I1092"/>
    </row>
    <row r="1093" spans="6:9" x14ac:dyDescent="0.3">
      <c r="F1093"/>
      <c r="G1093"/>
      <c r="H1093"/>
      <c r="I1093"/>
    </row>
    <row r="1094" spans="6:9" x14ac:dyDescent="0.3">
      <c r="F1094"/>
      <c r="G1094"/>
      <c r="H1094"/>
      <c r="I1094"/>
    </row>
    <row r="1095" spans="6:9" x14ac:dyDescent="0.3">
      <c r="F1095"/>
      <c r="G1095"/>
      <c r="H1095"/>
      <c r="I1095"/>
    </row>
    <row r="1096" spans="6:9" x14ac:dyDescent="0.3">
      <c r="F1096"/>
      <c r="G1096"/>
      <c r="H1096"/>
      <c r="I1096"/>
    </row>
    <row r="1097" spans="6:9" x14ac:dyDescent="0.3">
      <c r="F1097"/>
      <c r="G1097"/>
      <c r="H1097"/>
      <c r="I1097"/>
    </row>
    <row r="1098" spans="6:9" x14ac:dyDescent="0.3">
      <c r="F1098"/>
      <c r="G1098"/>
      <c r="H1098"/>
      <c r="I1098"/>
    </row>
    <row r="1099" spans="6:9" x14ac:dyDescent="0.3">
      <c r="F1099"/>
      <c r="G1099"/>
      <c r="H1099"/>
      <c r="I1099"/>
    </row>
    <row r="1100" spans="6:9" x14ac:dyDescent="0.3">
      <c r="F1100"/>
      <c r="G1100"/>
      <c r="H1100"/>
      <c r="I1100"/>
    </row>
    <row r="1101" spans="6:9" x14ac:dyDescent="0.3">
      <c r="F1101"/>
      <c r="G1101"/>
      <c r="H1101"/>
      <c r="I1101"/>
    </row>
    <row r="1102" spans="6:9" x14ac:dyDescent="0.3">
      <c r="F1102"/>
      <c r="G1102"/>
      <c r="H1102"/>
      <c r="I1102"/>
    </row>
    <row r="1103" spans="6:9" x14ac:dyDescent="0.3">
      <c r="F1103"/>
      <c r="G1103"/>
      <c r="H1103"/>
      <c r="I1103"/>
    </row>
    <row r="1104" spans="6:9" x14ac:dyDescent="0.3">
      <c r="F1104"/>
      <c r="G1104"/>
      <c r="H1104"/>
      <c r="I1104"/>
    </row>
    <row r="1105" spans="6:9" x14ac:dyDescent="0.3">
      <c r="F1105"/>
      <c r="G1105"/>
      <c r="H1105"/>
      <c r="I1105"/>
    </row>
    <row r="1106" spans="6:9" x14ac:dyDescent="0.3">
      <c r="F1106"/>
      <c r="G1106"/>
      <c r="H1106"/>
      <c r="I1106"/>
    </row>
    <row r="1107" spans="6:9" x14ac:dyDescent="0.3">
      <c r="F1107"/>
      <c r="G1107"/>
      <c r="H1107"/>
      <c r="I1107"/>
    </row>
    <row r="1108" spans="6:9" x14ac:dyDescent="0.3">
      <c r="F1108"/>
      <c r="G1108"/>
      <c r="H1108"/>
      <c r="I1108"/>
    </row>
    <row r="1109" spans="6:9" x14ac:dyDescent="0.3">
      <c r="F1109"/>
      <c r="G1109"/>
      <c r="H1109"/>
      <c r="I1109"/>
    </row>
    <row r="1110" spans="6:9" x14ac:dyDescent="0.3">
      <c r="F1110"/>
      <c r="G1110"/>
      <c r="H1110"/>
      <c r="I1110"/>
    </row>
    <row r="1111" spans="6:9" x14ac:dyDescent="0.3">
      <c r="F1111"/>
      <c r="G1111"/>
      <c r="H1111"/>
      <c r="I1111"/>
    </row>
    <row r="1112" spans="6:9" x14ac:dyDescent="0.3">
      <c r="F1112"/>
      <c r="G1112"/>
      <c r="H1112"/>
      <c r="I1112"/>
    </row>
    <row r="1113" spans="6:9" x14ac:dyDescent="0.3">
      <c r="F1113"/>
      <c r="G1113"/>
      <c r="H1113"/>
      <c r="I1113"/>
    </row>
    <row r="1114" spans="6:9" x14ac:dyDescent="0.3">
      <c r="F1114"/>
      <c r="G1114"/>
      <c r="H1114"/>
      <c r="I1114"/>
    </row>
    <row r="1115" spans="6:9" x14ac:dyDescent="0.3">
      <c r="F1115"/>
      <c r="G1115"/>
      <c r="H1115"/>
      <c r="I1115"/>
    </row>
    <row r="1116" spans="6:9" x14ac:dyDescent="0.3">
      <c r="F1116"/>
      <c r="G1116"/>
      <c r="H1116"/>
      <c r="I1116"/>
    </row>
    <row r="1117" spans="6:9" x14ac:dyDescent="0.3">
      <c r="F1117"/>
      <c r="G1117"/>
      <c r="H1117"/>
      <c r="I1117"/>
    </row>
    <row r="1118" spans="6:9" x14ac:dyDescent="0.3">
      <c r="F1118"/>
      <c r="G1118"/>
      <c r="H1118"/>
      <c r="I1118"/>
    </row>
    <row r="1119" spans="6:9" x14ac:dyDescent="0.3">
      <c r="F1119"/>
      <c r="G1119"/>
      <c r="H1119"/>
      <c r="I1119"/>
    </row>
    <row r="1120" spans="6:9" x14ac:dyDescent="0.3">
      <c r="F1120"/>
      <c r="G1120"/>
      <c r="H1120"/>
      <c r="I1120"/>
    </row>
    <row r="1121" spans="6:9" x14ac:dyDescent="0.3">
      <c r="F1121"/>
      <c r="G1121"/>
      <c r="H1121"/>
      <c r="I1121"/>
    </row>
    <row r="1122" spans="6:9" x14ac:dyDescent="0.3">
      <c r="F1122"/>
      <c r="G1122"/>
      <c r="H1122"/>
      <c r="I1122"/>
    </row>
    <row r="1123" spans="6:9" x14ac:dyDescent="0.3">
      <c r="F1123"/>
      <c r="G1123"/>
      <c r="H1123"/>
      <c r="I1123"/>
    </row>
    <row r="1124" spans="6:9" x14ac:dyDescent="0.3">
      <c r="F1124"/>
      <c r="G1124"/>
      <c r="H1124"/>
      <c r="I1124"/>
    </row>
    <row r="1125" spans="6:9" x14ac:dyDescent="0.3">
      <c r="F1125"/>
      <c r="G1125"/>
      <c r="H1125"/>
      <c r="I1125"/>
    </row>
    <row r="1126" spans="6:9" x14ac:dyDescent="0.3">
      <c r="F1126"/>
      <c r="G1126"/>
      <c r="H1126"/>
      <c r="I1126"/>
    </row>
    <row r="1127" spans="6:9" x14ac:dyDescent="0.3">
      <c r="F1127"/>
      <c r="G1127"/>
      <c r="H1127"/>
      <c r="I1127"/>
    </row>
    <row r="1128" spans="6:9" x14ac:dyDescent="0.3">
      <c r="F1128"/>
      <c r="G1128"/>
      <c r="H1128"/>
      <c r="I1128"/>
    </row>
    <row r="1129" spans="6:9" x14ac:dyDescent="0.3">
      <c r="F1129"/>
      <c r="G1129"/>
      <c r="H1129"/>
      <c r="I1129"/>
    </row>
    <row r="1130" spans="6:9" x14ac:dyDescent="0.3">
      <c r="F1130"/>
      <c r="G1130"/>
      <c r="H1130"/>
      <c r="I1130"/>
    </row>
    <row r="1131" spans="6:9" x14ac:dyDescent="0.3">
      <c r="F1131"/>
      <c r="G1131"/>
      <c r="H1131"/>
      <c r="I1131"/>
    </row>
    <row r="1132" spans="6:9" x14ac:dyDescent="0.3">
      <c r="F1132"/>
      <c r="G1132"/>
      <c r="H1132"/>
      <c r="I1132"/>
    </row>
    <row r="1133" spans="6:9" x14ac:dyDescent="0.3">
      <c r="F1133"/>
      <c r="G1133"/>
      <c r="H1133"/>
      <c r="I1133"/>
    </row>
    <row r="1134" spans="6:9" x14ac:dyDescent="0.3">
      <c r="F1134"/>
      <c r="G1134"/>
      <c r="H1134"/>
      <c r="I1134"/>
    </row>
    <row r="1135" spans="6:9" x14ac:dyDescent="0.3">
      <c r="F1135"/>
      <c r="G1135"/>
      <c r="H1135"/>
      <c r="I1135"/>
    </row>
    <row r="1136" spans="6:9" x14ac:dyDescent="0.3">
      <c r="F1136"/>
      <c r="G1136"/>
      <c r="H1136"/>
      <c r="I1136"/>
    </row>
    <row r="1137" spans="6:9" x14ac:dyDescent="0.3">
      <c r="F1137"/>
      <c r="G1137"/>
      <c r="H1137"/>
      <c r="I1137"/>
    </row>
    <row r="1138" spans="6:9" x14ac:dyDescent="0.3">
      <c r="F1138"/>
      <c r="G1138"/>
      <c r="H1138"/>
      <c r="I1138"/>
    </row>
    <row r="1139" spans="6:9" x14ac:dyDescent="0.3">
      <c r="F1139"/>
      <c r="G1139"/>
      <c r="H1139"/>
      <c r="I1139"/>
    </row>
    <row r="1140" spans="6:9" x14ac:dyDescent="0.3">
      <c r="F1140"/>
      <c r="G1140"/>
      <c r="H1140"/>
      <c r="I1140"/>
    </row>
    <row r="1141" spans="6:9" x14ac:dyDescent="0.3">
      <c r="F1141"/>
      <c r="G1141"/>
      <c r="H1141"/>
      <c r="I1141"/>
    </row>
    <row r="1142" spans="6:9" x14ac:dyDescent="0.3">
      <c r="F1142"/>
      <c r="G1142"/>
      <c r="H1142"/>
      <c r="I1142"/>
    </row>
    <row r="1143" spans="6:9" x14ac:dyDescent="0.3">
      <c r="F1143"/>
      <c r="G1143"/>
      <c r="H1143"/>
      <c r="I1143"/>
    </row>
    <row r="1144" spans="6:9" x14ac:dyDescent="0.3">
      <c r="F1144"/>
      <c r="G1144"/>
      <c r="H1144"/>
      <c r="I1144"/>
    </row>
    <row r="1145" spans="6:9" x14ac:dyDescent="0.3">
      <c r="F1145"/>
      <c r="G1145"/>
      <c r="H1145"/>
      <c r="I1145"/>
    </row>
    <row r="1146" spans="6:9" x14ac:dyDescent="0.3">
      <c r="F1146"/>
      <c r="G1146"/>
      <c r="H1146"/>
      <c r="I1146"/>
    </row>
    <row r="1147" spans="6:9" x14ac:dyDescent="0.3">
      <c r="F1147"/>
      <c r="G1147"/>
      <c r="H1147"/>
      <c r="I1147"/>
    </row>
    <row r="1148" spans="6:9" x14ac:dyDescent="0.3">
      <c r="F1148"/>
      <c r="G1148"/>
      <c r="H1148"/>
      <c r="I1148"/>
    </row>
    <row r="1149" spans="6:9" x14ac:dyDescent="0.3">
      <c r="F1149"/>
      <c r="G1149"/>
      <c r="H1149"/>
      <c r="I1149"/>
    </row>
    <row r="1150" spans="6:9" x14ac:dyDescent="0.3">
      <c r="F1150"/>
      <c r="G1150"/>
      <c r="H1150"/>
      <c r="I1150"/>
    </row>
    <row r="1151" spans="6:9" x14ac:dyDescent="0.3">
      <c r="F1151"/>
      <c r="G1151"/>
      <c r="H1151"/>
      <c r="I1151"/>
    </row>
    <row r="1152" spans="6:9" x14ac:dyDescent="0.3">
      <c r="F1152"/>
      <c r="G1152"/>
      <c r="H1152"/>
      <c r="I1152"/>
    </row>
    <row r="1153" spans="6:9" x14ac:dyDescent="0.3">
      <c r="F1153"/>
      <c r="G1153"/>
      <c r="H1153"/>
      <c r="I1153"/>
    </row>
    <row r="1154" spans="6:9" x14ac:dyDescent="0.3">
      <c r="F1154"/>
      <c r="G1154"/>
      <c r="H1154"/>
      <c r="I1154"/>
    </row>
    <row r="1155" spans="6:9" x14ac:dyDescent="0.3">
      <c r="F1155"/>
      <c r="G1155"/>
      <c r="H1155"/>
      <c r="I1155"/>
    </row>
    <row r="1156" spans="6:9" x14ac:dyDescent="0.3">
      <c r="F1156"/>
      <c r="G1156"/>
      <c r="H1156"/>
      <c r="I1156"/>
    </row>
    <row r="1157" spans="6:9" x14ac:dyDescent="0.3">
      <c r="F1157"/>
      <c r="G1157"/>
      <c r="H1157"/>
      <c r="I1157"/>
    </row>
    <row r="1158" spans="6:9" x14ac:dyDescent="0.3">
      <c r="F1158"/>
      <c r="G1158"/>
      <c r="H1158"/>
      <c r="I1158"/>
    </row>
    <row r="1159" spans="6:9" x14ac:dyDescent="0.3">
      <c r="F1159"/>
      <c r="G1159"/>
      <c r="H1159"/>
      <c r="I1159"/>
    </row>
    <row r="1160" spans="6:9" x14ac:dyDescent="0.3">
      <c r="F1160"/>
      <c r="G1160"/>
      <c r="H1160"/>
      <c r="I1160"/>
    </row>
    <row r="1161" spans="6:9" x14ac:dyDescent="0.3">
      <c r="F1161"/>
      <c r="G1161"/>
      <c r="H1161"/>
      <c r="I1161"/>
    </row>
    <row r="1162" spans="6:9" x14ac:dyDescent="0.3">
      <c r="F1162"/>
      <c r="G1162"/>
      <c r="H1162"/>
      <c r="I1162"/>
    </row>
    <row r="1163" spans="6:9" x14ac:dyDescent="0.3">
      <c r="F1163"/>
      <c r="G1163"/>
      <c r="H1163"/>
      <c r="I1163"/>
    </row>
    <row r="1164" spans="6:9" x14ac:dyDescent="0.3">
      <c r="F1164"/>
      <c r="G1164"/>
      <c r="H1164"/>
      <c r="I1164"/>
    </row>
    <row r="1165" spans="6:9" x14ac:dyDescent="0.3">
      <c r="F1165"/>
      <c r="G1165"/>
      <c r="H1165"/>
      <c r="I1165"/>
    </row>
    <row r="1166" spans="6:9" x14ac:dyDescent="0.3">
      <c r="F1166"/>
      <c r="G1166"/>
      <c r="H1166"/>
      <c r="I1166"/>
    </row>
    <row r="1167" spans="6:9" x14ac:dyDescent="0.3">
      <c r="F1167"/>
      <c r="G1167"/>
      <c r="H1167"/>
      <c r="I1167"/>
    </row>
    <row r="1168" spans="6:9" x14ac:dyDescent="0.3">
      <c r="F1168"/>
      <c r="G1168"/>
      <c r="H1168"/>
      <c r="I1168"/>
    </row>
    <row r="1169" spans="6:9" x14ac:dyDescent="0.3">
      <c r="F1169"/>
      <c r="G1169"/>
      <c r="H1169"/>
      <c r="I1169"/>
    </row>
    <row r="1170" spans="6:9" x14ac:dyDescent="0.3">
      <c r="F1170"/>
      <c r="G1170"/>
      <c r="H1170"/>
      <c r="I1170"/>
    </row>
    <row r="1171" spans="6:9" x14ac:dyDescent="0.3">
      <c r="F1171"/>
      <c r="G1171"/>
      <c r="H1171"/>
      <c r="I1171"/>
    </row>
    <row r="1172" spans="6:9" x14ac:dyDescent="0.3">
      <c r="F1172"/>
      <c r="G1172"/>
      <c r="H1172"/>
      <c r="I1172"/>
    </row>
    <row r="1173" spans="6:9" x14ac:dyDescent="0.3">
      <c r="F1173"/>
      <c r="G1173"/>
      <c r="H1173"/>
      <c r="I1173"/>
    </row>
    <row r="1174" spans="6:9" x14ac:dyDescent="0.3">
      <c r="F1174"/>
      <c r="G1174"/>
      <c r="H1174"/>
      <c r="I1174"/>
    </row>
    <row r="1175" spans="6:9" x14ac:dyDescent="0.3">
      <c r="F1175"/>
      <c r="G1175"/>
      <c r="H1175"/>
      <c r="I1175"/>
    </row>
    <row r="1176" spans="6:9" x14ac:dyDescent="0.3">
      <c r="F1176"/>
      <c r="G1176"/>
      <c r="H1176"/>
      <c r="I1176"/>
    </row>
    <row r="1177" spans="6:9" x14ac:dyDescent="0.3">
      <c r="F1177"/>
      <c r="G1177"/>
      <c r="H1177"/>
      <c r="I1177"/>
    </row>
    <row r="1178" spans="6:9" x14ac:dyDescent="0.3">
      <c r="F1178"/>
      <c r="G1178"/>
      <c r="H1178"/>
      <c r="I1178"/>
    </row>
    <row r="1179" spans="6:9" x14ac:dyDescent="0.3">
      <c r="F1179"/>
      <c r="G1179"/>
      <c r="H1179"/>
      <c r="I1179"/>
    </row>
    <row r="1180" spans="6:9" x14ac:dyDescent="0.3">
      <c r="F1180"/>
      <c r="G1180"/>
      <c r="H1180"/>
      <c r="I1180"/>
    </row>
    <row r="1181" spans="6:9" x14ac:dyDescent="0.3">
      <c r="F1181"/>
      <c r="G1181"/>
      <c r="H1181"/>
      <c r="I1181"/>
    </row>
    <row r="1182" spans="6:9" x14ac:dyDescent="0.3">
      <c r="F1182"/>
      <c r="G1182"/>
      <c r="H1182"/>
      <c r="I1182"/>
    </row>
    <row r="1183" spans="6:9" x14ac:dyDescent="0.3">
      <c r="F1183"/>
      <c r="G1183"/>
      <c r="H1183"/>
      <c r="I1183"/>
    </row>
    <row r="1184" spans="6:9" x14ac:dyDescent="0.3">
      <c r="F1184"/>
      <c r="G1184"/>
      <c r="H1184"/>
      <c r="I1184"/>
    </row>
    <row r="1185" spans="6:9" x14ac:dyDescent="0.3">
      <c r="F1185"/>
      <c r="G1185"/>
      <c r="H1185"/>
      <c r="I1185"/>
    </row>
    <row r="1186" spans="6:9" x14ac:dyDescent="0.3">
      <c r="F1186"/>
      <c r="G1186"/>
      <c r="H1186"/>
      <c r="I1186"/>
    </row>
    <row r="1187" spans="6:9" x14ac:dyDescent="0.3">
      <c r="F1187"/>
      <c r="G1187"/>
      <c r="H1187"/>
      <c r="I1187"/>
    </row>
    <row r="1188" spans="6:9" x14ac:dyDescent="0.3">
      <c r="F1188"/>
      <c r="G1188"/>
      <c r="H1188"/>
      <c r="I1188"/>
    </row>
    <row r="1189" spans="6:9" x14ac:dyDescent="0.3">
      <c r="F1189"/>
      <c r="G1189"/>
      <c r="H1189"/>
      <c r="I1189"/>
    </row>
    <row r="1190" spans="6:9" x14ac:dyDescent="0.3">
      <c r="F1190"/>
      <c r="G1190"/>
      <c r="H1190"/>
      <c r="I1190"/>
    </row>
    <row r="1191" spans="6:9" x14ac:dyDescent="0.3">
      <c r="F1191"/>
      <c r="G1191"/>
      <c r="H1191"/>
      <c r="I1191"/>
    </row>
    <row r="1192" spans="6:9" x14ac:dyDescent="0.3">
      <c r="F1192"/>
      <c r="G1192"/>
      <c r="H1192"/>
      <c r="I1192"/>
    </row>
    <row r="1193" spans="6:9" x14ac:dyDescent="0.3">
      <c r="F1193"/>
      <c r="G1193"/>
      <c r="H1193"/>
      <c r="I1193"/>
    </row>
    <row r="1194" spans="6:9" x14ac:dyDescent="0.3">
      <c r="F1194"/>
      <c r="G1194"/>
      <c r="H1194"/>
      <c r="I1194"/>
    </row>
    <row r="1195" spans="6:9" x14ac:dyDescent="0.3">
      <c r="F1195"/>
      <c r="G1195"/>
      <c r="H1195"/>
      <c r="I1195"/>
    </row>
    <row r="1196" spans="6:9" x14ac:dyDescent="0.3">
      <c r="F1196"/>
      <c r="G1196"/>
      <c r="H1196"/>
      <c r="I1196"/>
    </row>
    <row r="1197" spans="6:9" x14ac:dyDescent="0.3">
      <c r="F1197"/>
      <c r="G1197"/>
      <c r="H1197"/>
      <c r="I1197"/>
    </row>
    <row r="1198" spans="6:9" x14ac:dyDescent="0.3">
      <c r="F1198"/>
      <c r="G1198"/>
      <c r="H1198"/>
      <c r="I1198"/>
    </row>
    <row r="1199" spans="6:9" x14ac:dyDescent="0.3">
      <c r="F1199"/>
      <c r="G1199"/>
      <c r="H1199"/>
      <c r="I1199"/>
    </row>
    <row r="1200" spans="6:9" x14ac:dyDescent="0.3">
      <c r="F1200"/>
      <c r="G1200"/>
      <c r="H1200"/>
      <c r="I1200"/>
    </row>
    <row r="1201" spans="6:9" x14ac:dyDescent="0.3">
      <c r="F1201"/>
      <c r="G1201"/>
      <c r="H1201"/>
      <c r="I1201"/>
    </row>
    <row r="1202" spans="6:9" x14ac:dyDescent="0.3">
      <c r="F1202"/>
      <c r="G1202"/>
      <c r="H1202"/>
      <c r="I1202"/>
    </row>
    <row r="1203" spans="6:9" x14ac:dyDescent="0.3">
      <c r="F1203"/>
      <c r="G1203"/>
      <c r="H1203"/>
      <c r="I1203"/>
    </row>
    <row r="1204" spans="6:9" x14ac:dyDescent="0.3">
      <c r="F1204"/>
      <c r="G1204"/>
      <c r="H1204"/>
      <c r="I1204"/>
    </row>
    <row r="1205" spans="6:9" x14ac:dyDescent="0.3">
      <c r="F1205"/>
      <c r="G1205"/>
      <c r="H1205"/>
      <c r="I1205"/>
    </row>
    <row r="1206" spans="6:9" x14ac:dyDescent="0.3">
      <c r="F1206"/>
      <c r="G1206"/>
      <c r="H1206"/>
      <c r="I1206"/>
    </row>
    <row r="1207" spans="6:9" x14ac:dyDescent="0.3">
      <c r="F1207"/>
      <c r="G1207"/>
      <c r="H1207"/>
      <c r="I1207"/>
    </row>
    <row r="1208" spans="6:9" x14ac:dyDescent="0.3">
      <c r="F1208"/>
      <c r="G1208"/>
      <c r="H1208"/>
      <c r="I1208"/>
    </row>
    <row r="1209" spans="6:9" x14ac:dyDescent="0.3">
      <c r="F1209"/>
      <c r="G1209"/>
      <c r="H1209"/>
      <c r="I1209"/>
    </row>
    <row r="1210" spans="6:9" x14ac:dyDescent="0.3">
      <c r="F1210"/>
      <c r="G1210"/>
      <c r="H1210"/>
      <c r="I1210"/>
    </row>
    <row r="1211" spans="6:9" x14ac:dyDescent="0.3">
      <c r="F1211"/>
      <c r="G1211"/>
      <c r="H1211"/>
      <c r="I1211"/>
    </row>
    <row r="1212" spans="6:9" x14ac:dyDescent="0.3">
      <c r="F1212"/>
      <c r="G1212"/>
      <c r="H1212"/>
      <c r="I1212"/>
    </row>
    <row r="1213" spans="6:9" x14ac:dyDescent="0.3">
      <c r="F1213"/>
      <c r="G1213"/>
      <c r="H1213"/>
      <c r="I1213"/>
    </row>
    <row r="1214" spans="6:9" x14ac:dyDescent="0.3">
      <c r="F1214"/>
      <c r="G1214"/>
      <c r="H1214"/>
      <c r="I1214"/>
    </row>
    <row r="1215" spans="6:9" x14ac:dyDescent="0.3">
      <c r="F1215"/>
      <c r="G1215"/>
      <c r="H1215"/>
      <c r="I1215"/>
    </row>
    <row r="1216" spans="6:9" x14ac:dyDescent="0.3">
      <c r="F1216"/>
      <c r="G1216"/>
      <c r="H1216"/>
      <c r="I1216"/>
    </row>
    <row r="1217" spans="6:9" x14ac:dyDescent="0.3">
      <c r="F1217"/>
      <c r="G1217"/>
      <c r="H1217"/>
      <c r="I1217"/>
    </row>
    <row r="1218" spans="6:9" x14ac:dyDescent="0.3">
      <c r="F1218"/>
      <c r="G1218"/>
      <c r="H1218"/>
      <c r="I1218"/>
    </row>
    <row r="1219" spans="6:9" x14ac:dyDescent="0.3">
      <c r="F1219"/>
      <c r="G1219"/>
      <c r="H1219"/>
      <c r="I1219"/>
    </row>
    <row r="1220" spans="6:9" x14ac:dyDescent="0.3">
      <c r="F1220"/>
      <c r="G1220"/>
      <c r="H1220"/>
      <c r="I1220"/>
    </row>
    <row r="1221" spans="6:9" x14ac:dyDescent="0.3">
      <c r="F1221"/>
      <c r="G1221"/>
      <c r="H1221"/>
      <c r="I1221"/>
    </row>
    <row r="1222" spans="6:9" x14ac:dyDescent="0.3">
      <c r="F1222"/>
      <c r="G1222"/>
      <c r="H1222"/>
      <c r="I1222"/>
    </row>
    <row r="1223" spans="6:9" x14ac:dyDescent="0.3">
      <c r="F1223"/>
      <c r="G1223"/>
      <c r="H1223"/>
      <c r="I1223"/>
    </row>
    <row r="1224" spans="6:9" x14ac:dyDescent="0.3">
      <c r="F1224"/>
      <c r="G1224"/>
      <c r="H1224"/>
      <c r="I1224"/>
    </row>
    <row r="1225" spans="6:9" x14ac:dyDescent="0.3">
      <c r="F1225"/>
      <c r="G1225"/>
      <c r="H1225"/>
      <c r="I1225"/>
    </row>
    <row r="1226" spans="6:9" x14ac:dyDescent="0.3">
      <c r="F1226"/>
      <c r="G1226"/>
      <c r="H1226"/>
      <c r="I1226"/>
    </row>
    <row r="1227" spans="6:9" x14ac:dyDescent="0.3">
      <c r="F1227"/>
      <c r="G1227"/>
      <c r="H1227"/>
      <c r="I1227"/>
    </row>
    <row r="1228" spans="6:9" x14ac:dyDescent="0.3">
      <c r="F1228"/>
      <c r="G1228"/>
      <c r="H1228"/>
      <c r="I1228"/>
    </row>
    <row r="1229" spans="6:9" x14ac:dyDescent="0.3">
      <c r="F1229"/>
      <c r="G1229"/>
      <c r="H1229"/>
      <c r="I1229"/>
    </row>
    <row r="1230" spans="6:9" x14ac:dyDescent="0.3">
      <c r="F1230"/>
      <c r="G1230"/>
      <c r="H1230"/>
      <c r="I1230"/>
    </row>
    <row r="1231" spans="6:9" x14ac:dyDescent="0.3">
      <c r="F1231"/>
      <c r="G1231"/>
      <c r="H1231"/>
      <c r="I1231"/>
    </row>
    <row r="1232" spans="6:9" x14ac:dyDescent="0.3">
      <c r="F1232"/>
      <c r="G1232"/>
      <c r="H1232"/>
      <c r="I1232"/>
    </row>
    <row r="1233" spans="6:9" x14ac:dyDescent="0.3">
      <c r="F1233"/>
      <c r="G1233"/>
      <c r="H1233"/>
      <c r="I1233"/>
    </row>
    <row r="1234" spans="6:9" x14ac:dyDescent="0.3">
      <c r="F1234"/>
      <c r="G1234"/>
      <c r="H1234"/>
      <c r="I1234"/>
    </row>
    <row r="1235" spans="6:9" x14ac:dyDescent="0.3">
      <c r="F1235"/>
      <c r="G1235"/>
      <c r="H1235"/>
      <c r="I1235"/>
    </row>
    <row r="1236" spans="6:9" x14ac:dyDescent="0.3">
      <c r="F1236"/>
      <c r="G1236"/>
      <c r="H1236"/>
      <c r="I1236"/>
    </row>
    <row r="1237" spans="6:9" x14ac:dyDescent="0.3">
      <c r="F1237"/>
      <c r="G1237"/>
      <c r="H1237"/>
      <c r="I1237"/>
    </row>
    <row r="1238" spans="6:9" x14ac:dyDescent="0.3">
      <c r="F1238"/>
      <c r="G1238"/>
      <c r="H1238"/>
      <c r="I1238"/>
    </row>
    <row r="1239" spans="6:9" x14ac:dyDescent="0.3">
      <c r="F1239"/>
      <c r="G1239"/>
      <c r="H1239"/>
      <c r="I1239"/>
    </row>
    <row r="1240" spans="6:9" x14ac:dyDescent="0.3">
      <c r="F1240"/>
      <c r="G1240"/>
      <c r="H1240"/>
      <c r="I1240"/>
    </row>
    <row r="1241" spans="6:9" x14ac:dyDescent="0.3">
      <c r="F1241"/>
      <c r="G1241"/>
      <c r="H1241"/>
      <c r="I1241"/>
    </row>
    <row r="1242" spans="6:9" x14ac:dyDescent="0.3">
      <c r="F1242"/>
      <c r="G1242"/>
      <c r="H1242"/>
      <c r="I1242"/>
    </row>
    <row r="1243" spans="6:9" x14ac:dyDescent="0.3">
      <c r="F1243"/>
      <c r="G1243"/>
      <c r="H1243"/>
      <c r="I1243"/>
    </row>
    <row r="1244" spans="6:9" x14ac:dyDescent="0.3">
      <c r="F1244"/>
      <c r="G1244"/>
      <c r="H1244"/>
      <c r="I1244"/>
    </row>
    <row r="1245" spans="6:9" x14ac:dyDescent="0.3">
      <c r="F1245"/>
      <c r="G1245"/>
      <c r="H1245"/>
      <c r="I1245"/>
    </row>
    <row r="1246" spans="6:9" x14ac:dyDescent="0.3">
      <c r="F1246"/>
      <c r="G1246"/>
      <c r="H1246"/>
      <c r="I1246"/>
    </row>
    <row r="1247" spans="6:9" x14ac:dyDescent="0.3">
      <c r="F1247"/>
      <c r="G1247"/>
      <c r="H1247"/>
      <c r="I1247"/>
    </row>
    <row r="1248" spans="6:9" x14ac:dyDescent="0.3">
      <c r="F1248"/>
      <c r="G1248"/>
      <c r="H1248"/>
      <c r="I1248"/>
    </row>
    <row r="1249" spans="6:9" x14ac:dyDescent="0.3">
      <c r="F1249"/>
      <c r="G1249"/>
      <c r="H1249"/>
      <c r="I1249"/>
    </row>
    <row r="1250" spans="6:9" x14ac:dyDescent="0.3">
      <c r="F1250"/>
      <c r="G1250"/>
      <c r="H1250"/>
      <c r="I1250"/>
    </row>
    <row r="1251" spans="6:9" x14ac:dyDescent="0.3">
      <c r="F1251"/>
      <c r="G1251"/>
      <c r="H1251"/>
      <c r="I1251"/>
    </row>
    <row r="1252" spans="6:9" x14ac:dyDescent="0.3">
      <c r="F1252"/>
      <c r="G1252"/>
      <c r="H1252"/>
      <c r="I1252"/>
    </row>
    <row r="1253" spans="6:9" x14ac:dyDescent="0.3">
      <c r="F1253"/>
      <c r="G1253"/>
      <c r="H1253"/>
      <c r="I1253"/>
    </row>
    <row r="1254" spans="6:9" x14ac:dyDescent="0.3">
      <c r="F1254"/>
      <c r="G1254"/>
      <c r="H1254"/>
      <c r="I1254"/>
    </row>
    <row r="1255" spans="6:9" x14ac:dyDescent="0.3">
      <c r="F1255"/>
      <c r="G1255"/>
      <c r="H1255"/>
      <c r="I1255"/>
    </row>
    <row r="1256" spans="6:9" x14ac:dyDescent="0.3">
      <c r="F1256"/>
      <c r="G1256"/>
      <c r="H1256"/>
      <c r="I1256"/>
    </row>
    <row r="1257" spans="6:9" x14ac:dyDescent="0.3">
      <c r="F1257"/>
      <c r="G1257"/>
      <c r="H1257"/>
      <c r="I1257"/>
    </row>
    <row r="1258" spans="6:9" x14ac:dyDescent="0.3">
      <c r="F1258"/>
      <c r="G1258"/>
      <c r="H1258"/>
      <c r="I1258"/>
    </row>
    <row r="1259" spans="6:9" x14ac:dyDescent="0.3">
      <c r="F1259"/>
      <c r="G1259"/>
      <c r="H1259"/>
      <c r="I1259"/>
    </row>
    <row r="1260" spans="6:9" x14ac:dyDescent="0.3">
      <c r="F1260"/>
      <c r="G1260"/>
      <c r="H1260"/>
      <c r="I1260"/>
    </row>
    <row r="1261" spans="6:9" x14ac:dyDescent="0.3">
      <c r="F1261"/>
      <c r="G1261"/>
      <c r="H1261"/>
      <c r="I1261"/>
    </row>
    <row r="1262" spans="6:9" x14ac:dyDescent="0.3">
      <c r="F1262"/>
      <c r="G1262"/>
      <c r="H1262"/>
      <c r="I1262"/>
    </row>
    <row r="1263" spans="6:9" x14ac:dyDescent="0.3">
      <c r="F1263"/>
      <c r="G1263"/>
      <c r="H1263"/>
      <c r="I1263"/>
    </row>
    <row r="1264" spans="6:9" x14ac:dyDescent="0.3">
      <c r="F1264"/>
      <c r="G1264"/>
      <c r="H1264"/>
      <c r="I1264"/>
    </row>
    <row r="1265" spans="6:9" x14ac:dyDescent="0.3">
      <c r="F1265"/>
      <c r="G1265"/>
      <c r="H1265"/>
      <c r="I1265"/>
    </row>
    <row r="1266" spans="6:9" x14ac:dyDescent="0.3">
      <c r="F1266"/>
      <c r="G1266"/>
      <c r="H1266"/>
      <c r="I1266"/>
    </row>
    <row r="1267" spans="6:9" x14ac:dyDescent="0.3">
      <c r="F1267"/>
      <c r="G1267"/>
      <c r="H1267"/>
      <c r="I1267"/>
    </row>
    <row r="1268" spans="6:9" x14ac:dyDescent="0.3">
      <c r="F1268"/>
      <c r="G1268"/>
      <c r="H1268"/>
      <c r="I1268"/>
    </row>
    <row r="1269" spans="6:9" x14ac:dyDescent="0.3">
      <c r="F1269"/>
      <c r="G1269"/>
      <c r="H1269"/>
      <c r="I1269"/>
    </row>
    <row r="1270" spans="6:9" x14ac:dyDescent="0.3">
      <c r="F1270"/>
      <c r="G1270"/>
      <c r="H1270"/>
      <c r="I1270"/>
    </row>
    <row r="1271" spans="6:9" x14ac:dyDescent="0.3">
      <c r="F1271"/>
      <c r="G1271"/>
      <c r="H1271"/>
      <c r="I1271"/>
    </row>
    <row r="1272" spans="6:9" x14ac:dyDescent="0.3">
      <c r="F1272"/>
      <c r="G1272"/>
      <c r="H1272"/>
      <c r="I1272"/>
    </row>
    <row r="1273" spans="6:9" x14ac:dyDescent="0.3">
      <c r="F1273"/>
      <c r="G1273"/>
      <c r="H1273"/>
      <c r="I1273"/>
    </row>
    <row r="1274" spans="6:9" x14ac:dyDescent="0.3">
      <c r="F1274"/>
      <c r="G1274"/>
      <c r="H1274"/>
      <c r="I1274"/>
    </row>
    <row r="1275" spans="6:9" x14ac:dyDescent="0.3">
      <c r="F1275"/>
      <c r="G1275"/>
      <c r="H1275"/>
      <c r="I1275"/>
    </row>
    <row r="1276" spans="6:9" x14ac:dyDescent="0.3">
      <c r="F1276"/>
      <c r="G1276"/>
      <c r="H1276"/>
      <c r="I1276"/>
    </row>
    <row r="1277" spans="6:9" x14ac:dyDescent="0.3">
      <c r="F1277"/>
      <c r="G1277"/>
      <c r="H1277"/>
      <c r="I1277"/>
    </row>
    <row r="1278" spans="6:9" x14ac:dyDescent="0.3">
      <c r="F1278"/>
      <c r="G1278"/>
      <c r="H1278"/>
      <c r="I1278"/>
    </row>
    <row r="1279" spans="6:9" x14ac:dyDescent="0.3">
      <c r="F1279"/>
      <c r="G1279"/>
      <c r="H1279"/>
      <c r="I1279"/>
    </row>
    <row r="1280" spans="6:9" x14ac:dyDescent="0.3">
      <c r="F1280"/>
      <c r="G1280"/>
      <c r="H1280"/>
      <c r="I1280"/>
    </row>
    <row r="1281" spans="6:9" x14ac:dyDescent="0.3">
      <c r="F1281"/>
      <c r="G1281"/>
      <c r="H1281"/>
      <c r="I1281"/>
    </row>
    <row r="1282" spans="6:9" x14ac:dyDescent="0.3">
      <c r="F1282"/>
      <c r="G1282"/>
      <c r="H1282"/>
      <c r="I1282"/>
    </row>
    <row r="1283" spans="6:9" x14ac:dyDescent="0.3">
      <c r="F1283"/>
      <c r="G1283"/>
      <c r="H1283"/>
      <c r="I1283"/>
    </row>
    <row r="1284" spans="6:9" x14ac:dyDescent="0.3">
      <c r="F1284"/>
      <c r="G1284"/>
      <c r="H1284"/>
      <c r="I1284"/>
    </row>
    <row r="1285" spans="6:9" x14ac:dyDescent="0.3">
      <c r="F1285"/>
      <c r="G1285"/>
      <c r="H1285"/>
      <c r="I1285"/>
    </row>
    <row r="1286" spans="6:9" x14ac:dyDescent="0.3">
      <c r="F1286"/>
      <c r="G1286"/>
      <c r="H1286"/>
      <c r="I1286"/>
    </row>
    <row r="1287" spans="6:9" x14ac:dyDescent="0.3">
      <c r="F1287"/>
      <c r="G1287"/>
      <c r="H1287"/>
      <c r="I1287"/>
    </row>
    <row r="1288" spans="6:9" x14ac:dyDescent="0.3">
      <c r="F1288"/>
      <c r="G1288"/>
      <c r="H1288"/>
      <c r="I1288"/>
    </row>
    <row r="1289" spans="6:9" x14ac:dyDescent="0.3">
      <c r="F1289"/>
      <c r="G1289"/>
      <c r="H1289"/>
      <c r="I1289"/>
    </row>
    <row r="1290" spans="6:9" x14ac:dyDescent="0.3">
      <c r="F1290"/>
      <c r="G1290"/>
      <c r="H1290"/>
      <c r="I1290"/>
    </row>
    <row r="1291" spans="6:9" x14ac:dyDescent="0.3">
      <c r="F1291"/>
      <c r="G1291"/>
      <c r="H1291"/>
      <c r="I1291"/>
    </row>
    <row r="1292" spans="6:9" x14ac:dyDescent="0.3">
      <c r="F1292"/>
      <c r="G1292"/>
      <c r="H1292"/>
      <c r="I1292"/>
    </row>
    <row r="1293" spans="6:9" x14ac:dyDescent="0.3">
      <c r="F1293"/>
      <c r="G1293"/>
      <c r="H1293"/>
      <c r="I1293"/>
    </row>
    <row r="1294" spans="6:9" x14ac:dyDescent="0.3">
      <c r="F1294"/>
      <c r="G1294"/>
      <c r="H1294"/>
      <c r="I1294"/>
    </row>
    <row r="1295" spans="6:9" x14ac:dyDescent="0.3">
      <c r="F1295"/>
      <c r="G1295"/>
      <c r="H1295"/>
      <c r="I1295"/>
    </row>
    <row r="1296" spans="6:9" x14ac:dyDescent="0.3">
      <c r="F1296"/>
      <c r="G1296"/>
      <c r="H1296"/>
      <c r="I1296"/>
    </row>
    <row r="1297" spans="6:9" x14ac:dyDescent="0.3">
      <c r="F1297"/>
      <c r="G1297"/>
      <c r="H1297"/>
      <c r="I1297"/>
    </row>
    <row r="1298" spans="6:9" x14ac:dyDescent="0.3">
      <c r="F1298"/>
      <c r="G1298"/>
      <c r="H1298"/>
      <c r="I1298"/>
    </row>
    <row r="1299" spans="6:9" x14ac:dyDescent="0.3">
      <c r="F1299"/>
      <c r="G1299"/>
      <c r="H1299"/>
      <c r="I1299"/>
    </row>
    <row r="1300" spans="6:9" x14ac:dyDescent="0.3">
      <c r="F1300"/>
      <c r="G1300"/>
      <c r="H1300"/>
      <c r="I1300"/>
    </row>
    <row r="1301" spans="6:9" x14ac:dyDescent="0.3">
      <c r="F1301"/>
      <c r="G1301"/>
      <c r="H1301"/>
      <c r="I1301"/>
    </row>
    <row r="1302" spans="6:9" x14ac:dyDescent="0.3">
      <c r="F1302"/>
      <c r="G1302"/>
      <c r="H1302"/>
      <c r="I1302"/>
    </row>
    <row r="1303" spans="6:9" x14ac:dyDescent="0.3">
      <c r="F1303"/>
      <c r="G1303"/>
      <c r="H1303"/>
      <c r="I1303"/>
    </row>
    <row r="1304" spans="6:9" x14ac:dyDescent="0.3">
      <c r="F1304"/>
      <c r="G1304"/>
      <c r="H1304"/>
      <c r="I1304"/>
    </row>
    <row r="1305" spans="6:9" x14ac:dyDescent="0.3">
      <c r="F1305"/>
      <c r="G1305"/>
      <c r="H1305"/>
      <c r="I1305"/>
    </row>
    <row r="1306" spans="6:9" x14ac:dyDescent="0.3">
      <c r="F1306"/>
      <c r="G1306"/>
      <c r="H1306"/>
      <c r="I1306"/>
    </row>
    <row r="1307" spans="6:9" x14ac:dyDescent="0.3">
      <c r="F1307"/>
      <c r="G1307"/>
      <c r="H1307"/>
      <c r="I1307"/>
    </row>
    <row r="1308" spans="6:9" x14ac:dyDescent="0.3">
      <c r="F1308"/>
      <c r="G1308"/>
      <c r="H1308"/>
      <c r="I1308"/>
    </row>
    <row r="1309" spans="6:9" x14ac:dyDescent="0.3">
      <c r="F1309"/>
      <c r="G1309"/>
      <c r="H1309"/>
      <c r="I1309"/>
    </row>
    <row r="1310" spans="6:9" x14ac:dyDescent="0.3">
      <c r="F1310"/>
      <c r="G1310"/>
      <c r="H1310"/>
      <c r="I1310"/>
    </row>
    <row r="1311" spans="6:9" x14ac:dyDescent="0.3">
      <c r="F1311"/>
      <c r="G1311"/>
      <c r="H1311"/>
      <c r="I1311"/>
    </row>
    <row r="1312" spans="6:9" x14ac:dyDescent="0.3">
      <c r="F1312"/>
      <c r="G1312"/>
      <c r="H1312"/>
      <c r="I1312"/>
    </row>
    <row r="1313" spans="6:9" x14ac:dyDescent="0.3">
      <c r="F1313"/>
      <c r="G1313"/>
      <c r="H1313"/>
      <c r="I1313"/>
    </row>
    <row r="1314" spans="6:9" x14ac:dyDescent="0.3">
      <c r="F1314"/>
      <c r="G1314"/>
      <c r="H1314"/>
      <c r="I1314"/>
    </row>
    <row r="1315" spans="6:9" x14ac:dyDescent="0.3">
      <c r="F1315"/>
      <c r="G1315"/>
      <c r="H1315"/>
      <c r="I1315"/>
    </row>
    <row r="1316" spans="6:9" x14ac:dyDescent="0.3">
      <c r="F1316"/>
      <c r="G1316"/>
      <c r="H1316"/>
      <c r="I1316"/>
    </row>
    <row r="1317" spans="6:9" x14ac:dyDescent="0.3">
      <c r="F1317"/>
      <c r="G1317"/>
      <c r="H1317"/>
      <c r="I1317"/>
    </row>
    <row r="1318" spans="6:9" x14ac:dyDescent="0.3">
      <c r="F1318"/>
      <c r="G1318"/>
      <c r="H1318"/>
      <c r="I1318"/>
    </row>
    <row r="1319" spans="6:9" x14ac:dyDescent="0.3">
      <c r="F1319"/>
      <c r="G1319"/>
      <c r="H1319"/>
      <c r="I1319"/>
    </row>
    <row r="1320" spans="6:9" x14ac:dyDescent="0.3">
      <c r="F1320"/>
      <c r="G1320"/>
      <c r="H1320"/>
      <c r="I1320"/>
    </row>
    <row r="1321" spans="6:9" x14ac:dyDescent="0.3">
      <c r="F1321"/>
      <c r="G1321"/>
      <c r="H1321"/>
      <c r="I1321"/>
    </row>
    <row r="1322" spans="6:9" x14ac:dyDescent="0.3">
      <c r="F1322"/>
      <c r="G1322"/>
      <c r="H1322"/>
      <c r="I1322"/>
    </row>
    <row r="1323" spans="6:9" x14ac:dyDescent="0.3">
      <c r="F1323"/>
      <c r="G1323"/>
      <c r="H1323"/>
      <c r="I1323"/>
    </row>
    <row r="1324" spans="6:9" x14ac:dyDescent="0.3">
      <c r="F1324"/>
      <c r="G1324"/>
      <c r="H1324"/>
      <c r="I1324"/>
    </row>
    <row r="1325" spans="6:9" x14ac:dyDescent="0.3">
      <c r="F1325"/>
      <c r="G1325"/>
      <c r="H1325"/>
      <c r="I1325"/>
    </row>
    <row r="1326" spans="6:9" x14ac:dyDescent="0.3">
      <c r="F1326"/>
      <c r="G1326"/>
      <c r="H1326"/>
      <c r="I1326"/>
    </row>
    <row r="1327" spans="6:9" x14ac:dyDescent="0.3">
      <c r="F1327"/>
      <c r="G1327"/>
      <c r="H1327"/>
      <c r="I1327"/>
    </row>
    <row r="1328" spans="6:9" x14ac:dyDescent="0.3">
      <c r="F1328"/>
      <c r="G1328"/>
      <c r="H1328"/>
      <c r="I1328"/>
    </row>
    <row r="1329" spans="6:9" x14ac:dyDescent="0.3">
      <c r="F1329"/>
      <c r="G1329"/>
      <c r="H1329"/>
      <c r="I1329"/>
    </row>
    <row r="1330" spans="6:9" x14ac:dyDescent="0.3">
      <c r="F1330"/>
      <c r="G1330"/>
      <c r="H1330"/>
      <c r="I1330"/>
    </row>
    <row r="1331" spans="6:9" x14ac:dyDescent="0.3">
      <c r="F1331"/>
      <c r="G1331"/>
      <c r="H1331"/>
      <c r="I1331"/>
    </row>
    <row r="1332" spans="6:9" x14ac:dyDescent="0.3">
      <c r="F1332"/>
      <c r="G1332"/>
      <c r="H1332"/>
      <c r="I1332"/>
    </row>
    <row r="1333" spans="6:9" x14ac:dyDescent="0.3">
      <c r="F1333"/>
      <c r="G1333"/>
      <c r="H1333"/>
      <c r="I1333"/>
    </row>
    <row r="1334" spans="6:9" x14ac:dyDescent="0.3">
      <c r="F1334"/>
      <c r="G1334"/>
      <c r="H1334"/>
      <c r="I1334"/>
    </row>
    <row r="1335" spans="6:9" x14ac:dyDescent="0.3">
      <c r="F1335"/>
      <c r="G1335"/>
      <c r="H1335"/>
      <c r="I1335"/>
    </row>
    <row r="1336" spans="6:9" x14ac:dyDescent="0.3">
      <c r="F1336"/>
      <c r="G1336"/>
      <c r="H1336"/>
      <c r="I1336"/>
    </row>
    <row r="1337" spans="6:9" x14ac:dyDescent="0.3">
      <c r="F1337"/>
      <c r="G1337"/>
      <c r="H1337"/>
      <c r="I1337"/>
    </row>
    <row r="1338" spans="6:9" x14ac:dyDescent="0.3">
      <c r="F1338"/>
      <c r="G1338"/>
      <c r="H1338"/>
      <c r="I1338"/>
    </row>
    <row r="1339" spans="6:9" x14ac:dyDescent="0.3">
      <c r="F1339"/>
      <c r="G1339"/>
      <c r="H1339"/>
      <c r="I1339"/>
    </row>
    <row r="1340" spans="6:9" x14ac:dyDescent="0.3">
      <c r="F1340"/>
      <c r="G1340"/>
      <c r="H1340"/>
      <c r="I1340"/>
    </row>
    <row r="1341" spans="6:9" x14ac:dyDescent="0.3">
      <c r="F1341"/>
      <c r="G1341"/>
      <c r="H1341"/>
      <c r="I1341"/>
    </row>
    <row r="1342" spans="6:9" x14ac:dyDescent="0.3">
      <c r="F1342"/>
      <c r="G1342"/>
      <c r="H1342"/>
      <c r="I1342"/>
    </row>
    <row r="1343" spans="6:9" x14ac:dyDescent="0.3">
      <c r="F1343"/>
      <c r="G1343"/>
      <c r="H1343"/>
      <c r="I1343"/>
    </row>
    <row r="1344" spans="6:9" x14ac:dyDescent="0.3">
      <c r="F1344"/>
      <c r="G1344"/>
      <c r="H1344"/>
      <c r="I1344"/>
    </row>
    <row r="1345" spans="6:9" x14ac:dyDescent="0.3">
      <c r="F1345"/>
      <c r="G1345"/>
      <c r="H1345"/>
      <c r="I1345"/>
    </row>
    <row r="1346" spans="6:9" x14ac:dyDescent="0.3">
      <c r="F1346"/>
      <c r="G1346"/>
      <c r="H1346"/>
      <c r="I1346"/>
    </row>
    <row r="1347" spans="6:9" x14ac:dyDescent="0.3">
      <c r="F1347"/>
      <c r="G1347"/>
      <c r="H1347"/>
      <c r="I1347"/>
    </row>
    <row r="1348" spans="6:9" x14ac:dyDescent="0.3">
      <c r="F1348"/>
      <c r="G1348"/>
      <c r="H1348"/>
      <c r="I1348"/>
    </row>
    <row r="1349" spans="6:9" x14ac:dyDescent="0.3">
      <c r="F1349"/>
      <c r="G1349"/>
      <c r="H1349"/>
      <c r="I1349"/>
    </row>
    <row r="1350" spans="6:9" x14ac:dyDescent="0.3">
      <c r="F1350"/>
      <c r="G1350"/>
      <c r="H1350"/>
      <c r="I1350"/>
    </row>
    <row r="1351" spans="6:9" x14ac:dyDescent="0.3">
      <c r="F1351"/>
      <c r="G1351"/>
      <c r="H1351"/>
      <c r="I1351"/>
    </row>
    <row r="1352" spans="6:9" x14ac:dyDescent="0.3">
      <c r="F1352"/>
      <c r="G1352"/>
      <c r="H1352"/>
      <c r="I1352"/>
    </row>
    <row r="1353" spans="6:9" x14ac:dyDescent="0.3">
      <c r="F1353"/>
      <c r="G1353"/>
      <c r="H1353"/>
      <c r="I1353"/>
    </row>
    <row r="1354" spans="6:9" x14ac:dyDescent="0.3">
      <c r="F1354"/>
      <c r="G1354"/>
      <c r="H1354"/>
      <c r="I1354"/>
    </row>
    <row r="1355" spans="6:9" x14ac:dyDescent="0.3">
      <c r="F1355"/>
      <c r="G1355"/>
      <c r="H1355"/>
      <c r="I1355"/>
    </row>
    <row r="1356" spans="6:9" x14ac:dyDescent="0.3">
      <c r="F1356"/>
      <c r="G1356"/>
      <c r="H1356"/>
      <c r="I1356"/>
    </row>
    <row r="1357" spans="6:9" x14ac:dyDescent="0.3">
      <c r="F1357"/>
      <c r="G1357"/>
      <c r="H1357"/>
      <c r="I1357"/>
    </row>
    <row r="1358" spans="6:9" x14ac:dyDescent="0.3">
      <c r="F1358"/>
      <c r="G1358"/>
      <c r="H1358"/>
      <c r="I1358"/>
    </row>
    <row r="1359" spans="6:9" x14ac:dyDescent="0.3">
      <c r="F1359"/>
      <c r="G1359"/>
      <c r="H1359"/>
      <c r="I1359"/>
    </row>
    <row r="1360" spans="6:9" x14ac:dyDescent="0.3">
      <c r="F1360"/>
      <c r="G1360"/>
      <c r="H1360"/>
      <c r="I1360"/>
    </row>
    <row r="1361" spans="6:9" x14ac:dyDescent="0.3">
      <c r="F1361"/>
      <c r="G1361"/>
      <c r="H1361"/>
      <c r="I1361"/>
    </row>
    <row r="1362" spans="6:9" x14ac:dyDescent="0.3">
      <c r="F1362"/>
      <c r="G1362"/>
      <c r="H1362"/>
      <c r="I1362"/>
    </row>
    <row r="1363" spans="6:9" x14ac:dyDescent="0.3">
      <c r="F1363"/>
      <c r="G1363"/>
      <c r="H1363"/>
      <c r="I1363"/>
    </row>
    <row r="1364" spans="6:9" x14ac:dyDescent="0.3">
      <c r="F1364"/>
      <c r="G1364"/>
      <c r="H1364"/>
      <c r="I1364"/>
    </row>
    <row r="1365" spans="6:9" x14ac:dyDescent="0.3">
      <c r="F1365"/>
      <c r="G1365"/>
      <c r="H1365"/>
      <c r="I1365"/>
    </row>
    <row r="1366" spans="6:9" x14ac:dyDescent="0.3">
      <c r="F1366"/>
      <c r="G1366"/>
      <c r="H1366"/>
      <c r="I1366"/>
    </row>
    <row r="1367" spans="6:9" x14ac:dyDescent="0.3">
      <c r="F1367"/>
      <c r="G1367"/>
      <c r="H1367"/>
      <c r="I1367"/>
    </row>
    <row r="1368" spans="6:9" x14ac:dyDescent="0.3">
      <c r="F1368"/>
      <c r="G1368"/>
      <c r="H1368"/>
      <c r="I1368"/>
    </row>
    <row r="1369" spans="6:9" x14ac:dyDescent="0.3">
      <c r="F1369"/>
      <c r="G1369"/>
      <c r="H1369"/>
      <c r="I1369"/>
    </row>
    <row r="1370" spans="6:9" x14ac:dyDescent="0.3">
      <c r="F1370"/>
      <c r="G1370"/>
      <c r="H1370"/>
      <c r="I1370"/>
    </row>
    <row r="1371" spans="6:9" x14ac:dyDescent="0.3">
      <c r="F1371"/>
      <c r="G1371"/>
      <c r="H1371"/>
      <c r="I1371"/>
    </row>
    <row r="1372" spans="6:9" x14ac:dyDescent="0.3">
      <c r="F1372"/>
      <c r="G1372"/>
      <c r="H1372"/>
      <c r="I1372"/>
    </row>
    <row r="1373" spans="6:9" x14ac:dyDescent="0.3">
      <c r="F1373"/>
      <c r="G1373"/>
      <c r="H1373"/>
      <c r="I1373"/>
    </row>
    <row r="1374" spans="6:9" x14ac:dyDescent="0.3">
      <c r="F1374"/>
      <c r="G1374"/>
      <c r="H1374"/>
      <c r="I1374"/>
    </row>
    <row r="1375" spans="6:9" x14ac:dyDescent="0.3">
      <c r="F1375"/>
      <c r="G1375"/>
      <c r="H1375"/>
      <c r="I1375"/>
    </row>
    <row r="1376" spans="6:9" x14ac:dyDescent="0.3">
      <c r="F1376"/>
      <c r="G1376"/>
      <c r="H1376"/>
      <c r="I1376"/>
    </row>
    <row r="1377" spans="6:9" x14ac:dyDescent="0.3">
      <c r="F1377"/>
      <c r="G1377"/>
      <c r="H1377"/>
      <c r="I1377"/>
    </row>
    <row r="1378" spans="6:9" x14ac:dyDescent="0.3">
      <c r="F1378"/>
      <c r="G1378"/>
      <c r="H1378"/>
      <c r="I1378"/>
    </row>
    <row r="1379" spans="6:9" x14ac:dyDescent="0.3">
      <c r="F1379"/>
      <c r="G1379"/>
      <c r="H1379"/>
      <c r="I1379"/>
    </row>
    <row r="1380" spans="6:9" x14ac:dyDescent="0.3">
      <c r="F1380"/>
      <c r="G1380"/>
      <c r="H1380"/>
      <c r="I1380"/>
    </row>
    <row r="1381" spans="6:9" x14ac:dyDescent="0.3">
      <c r="F1381"/>
      <c r="G1381"/>
      <c r="H1381"/>
      <c r="I1381"/>
    </row>
    <row r="1382" spans="6:9" x14ac:dyDescent="0.3">
      <c r="F1382"/>
      <c r="G1382"/>
      <c r="H1382"/>
      <c r="I1382"/>
    </row>
    <row r="1383" spans="6:9" x14ac:dyDescent="0.3">
      <c r="F1383"/>
      <c r="G1383"/>
      <c r="H1383"/>
      <c r="I1383"/>
    </row>
    <row r="1384" spans="6:9" x14ac:dyDescent="0.3">
      <c r="F1384"/>
      <c r="G1384"/>
      <c r="H1384"/>
      <c r="I1384"/>
    </row>
    <row r="1385" spans="6:9" x14ac:dyDescent="0.3">
      <c r="F1385"/>
      <c r="G1385"/>
      <c r="H1385"/>
      <c r="I1385"/>
    </row>
    <row r="1386" spans="6:9" x14ac:dyDescent="0.3">
      <c r="F1386"/>
      <c r="G1386"/>
      <c r="H1386"/>
      <c r="I1386"/>
    </row>
    <row r="1387" spans="6:9" x14ac:dyDescent="0.3">
      <c r="F1387"/>
      <c r="G1387"/>
      <c r="H1387"/>
      <c r="I1387"/>
    </row>
    <row r="1388" spans="6:9" x14ac:dyDescent="0.3">
      <c r="F1388"/>
      <c r="G1388"/>
      <c r="H1388"/>
      <c r="I1388"/>
    </row>
    <row r="1389" spans="6:9" x14ac:dyDescent="0.3">
      <c r="F1389"/>
      <c r="G1389"/>
      <c r="H1389"/>
      <c r="I1389"/>
    </row>
    <row r="1390" spans="6:9" x14ac:dyDescent="0.3">
      <c r="F1390"/>
      <c r="G1390"/>
      <c r="H1390"/>
      <c r="I1390"/>
    </row>
    <row r="1391" spans="6:9" x14ac:dyDescent="0.3">
      <c r="F1391"/>
      <c r="G1391"/>
      <c r="H1391"/>
      <c r="I1391"/>
    </row>
    <row r="1392" spans="6:9" x14ac:dyDescent="0.3">
      <c r="F1392"/>
      <c r="G1392"/>
      <c r="H1392"/>
      <c r="I1392"/>
    </row>
    <row r="1393" spans="6:9" x14ac:dyDescent="0.3">
      <c r="F1393"/>
      <c r="G1393"/>
      <c r="H1393"/>
      <c r="I1393"/>
    </row>
    <row r="1394" spans="6:9" x14ac:dyDescent="0.3">
      <c r="F1394"/>
      <c r="G1394"/>
      <c r="H1394"/>
      <c r="I1394"/>
    </row>
    <row r="1395" spans="6:9" x14ac:dyDescent="0.3">
      <c r="F1395"/>
      <c r="G1395"/>
      <c r="H1395"/>
      <c r="I1395"/>
    </row>
    <row r="1396" spans="6:9" x14ac:dyDescent="0.3">
      <c r="F1396"/>
      <c r="G1396"/>
      <c r="H1396"/>
      <c r="I1396"/>
    </row>
    <row r="1397" spans="6:9" x14ac:dyDescent="0.3">
      <c r="F1397"/>
      <c r="G1397"/>
      <c r="H1397"/>
      <c r="I1397"/>
    </row>
    <row r="1398" spans="6:9" x14ac:dyDescent="0.3">
      <c r="F1398"/>
      <c r="G1398"/>
      <c r="H1398"/>
      <c r="I1398"/>
    </row>
    <row r="1399" spans="6:9" x14ac:dyDescent="0.3">
      <c r="F1399"/>
      <c r="G1399"/>
      <c r="H1399"/>
      <c r="I1399"/>
    </row>
    <row r="1400" spans="6:9" x14ac:dyDescent="0.3">
      <c r="F1400"/>
      <c r="G1400"/>
      <c r="H1400"/>
      <c r="I1400"/>
    </row>
    <row r="1401" spans="6:9" x14ac:dyDescent="0.3">
      <c r="F1401"/>
      <c r="G1401"/>
      <c r="H1401"/>
      <c r="I1401"/>
    </row>
    <row r="1402" spans="6:9" x14ac:dyDescent="0.3">
      <c r="F1402"/>
      <c r="G1402"/>
      <c r="H1402"/>
      <c r="I1402"/>
    </row>
    <row r="1403" spans="6:9" x14ac:dyDescent="0.3">
      <c r="F1403"/>
      <c r="G1403"/>
      <c r="H1403"/>
      <c r="I1403"/>
    </row>
    <row r="1404" spans="6:9" x14ac:dyDescent="0.3">
      <c r="F1404"/>
      <c r="G1404"/>
      <c r="H1404"/>
      <c r="I1404"/>
    </row>
    <row r="1405" spans="6:9" x14ac:dyDescent="0.3">
      <c r="F1405"/>
      <c r="G1405"/>
      <c r="H1405"/>
      <c r="I1405"/>
    </row>
    <row r="1406" spans="6:9" x14ac:dyDescent="0.3">
      <c r="F1406"/>
      <c r="G1406"/>
      <c r="H1406"/>
      <c r="I1406"/>
    </row>
    <row r="1407" spans="6:9" x14ac:dyDescent="0.3">
      <c r="F1407"/>
      <c r="G1407"/>
      <c r="H1407"/>
      <c r="I1407"/>
    </row>
    <row r="1408" spans="6:9" x14ac:dyDescent="0.3">
      <c r="F1408"/>
      <c r="G1408"/>
      <c r="H1408"/>
      <c r="I1408"/>
    </row>
    <row r="1409" spans="6:9" x14ac:dyDescent="0.3">
      <c r="F1409"/>
      <c r="G1409"/>
      <c r="H1409"/>
      <c r="I1409"/>
    </row>
    <row r="1410" spans="6:9" x14ac:dyDescent="0.3">
      <c r="F1410"/>
      <c r="G1410"/>
      <c r="H1410"/>
      <c r="I1410"/>
    </row>
    <row r="1411" spans="6:9" x14ac:dyDescent="0.3">
      <c r="F1411"/>
      <c r="G1411"/>
      <c r="H1411"/>
      <c r="I1411"/>
    </row>
    <row r="1412" spans="6:9" x14ac:dyDescent="0.3">
      <c r="F1412"/>
      <c r="G1412"/>
      <c r="H1412"/>
      <c r="I1412"/>
    </row>
    <row r="1413" spans="6:9" x14ac:dyDescent="0.3">
      <c r="F1413"/>
      <c r="G1413"/>
      <c r="H1413"/>
      <c r="I1413"/>
    </row>
    <row r="1414" spans="6:9" x14ac:dyDescent="0.3">
      <c r="F1414"/>
      <c r="G1414"/>
      <c r="H1414"/>
      <c r="I1414"/>
    </row>
    <row r="1415" spans="6:9" x14ac:dyDescent="0.3">
      <c r="F1415"/>
      <c r="G1415"/>
      <c r="H1415"/>
      <c r="I1415"/>
    </row>
    <row r="1416" spans="6:9" x14ac:dyDescent="0.3">
      <c r="F1416"/>
      <c r="G1416"/>
      <c r="H1416"/>
      <c r="I1416"/>
    </row>
    <row r="1417" spans="6:9" x14ac:dyDescent="0.3">
      <c r="F1417"/>
      <c r="G1417"/>
      <c r="H1417"/>
      <c r="I1417"/>
    </row>
    <row r="1418" spans="6:9" x14ac:dyDescent="0.3">
      <c r="F1418"/>
      <c r="G1418"/>
      <c r="H1418"/>
      <c r="I1418"/>
    </row>
    <row r="1419" spans="6:9" x14ac:dyDescent="0.3">
      <c r="F1419"/>
      <c r="G1419"/>
      <c r="H1419"/>
      <c r="I1419"/>
    </row>
    <row r="1420" spans="6:9" x14ac:dyDescent="0.3">
      <c r="F1420"/>
      <c r="G1420"/>
      <c r="H1420"/>
      <c r="I1420"/>
    </row>
    <row r="1421" spans="6:9" x14ac:dyDescent="0.3">
      <c r="F1421"/>
      <c r="G1421"/>
      <c r="H1421"/>
      <c r="I1421"/>
    </row>
    <row r="1422" spans="6:9" x14ac:dyDescent="0.3">
      <c r="F1422"/>
      <c r="G1422"/>
      <c r="H1422"/>
      <c r="I1422"/>
    </row>
    <row r="1423" spans="6:9" x14ac:dyDescent="0.3">
      <c r="F1423"/>
      <c r="G1423"/>
      <c r="H1423"/>
      <c r="I1423"/>
    </row>
    <row r="1424" spans="6:9" x14ac:dyDescent="0.3">
      <c r="F1424"/>
      <c r="G1424"/>
      <c r="H1424"/>
      <c r="I1424"/>
    </row>
    <row r="1425" spans="6:9" x14ac:dyDescent="0.3">
      <c r="F1425"/>
      <c r="G1425"/>
      <c r="H1425"/>
      <c r="I1425"/>
    </row>
    <row r="1426" spans="6:9" x14ac:dyDescent="0.3">
      <c r="F1426"/>
      <c r="G1426"/>
      <c r="H1426"/>
      <c r="I1426"/>
    </row>
    <row r="1427" spans="6:9" x14ac:dyDescent="0.3">
      <c r="F1427"/>
      <c r="G1427"/>
      <c r="H1427"/>
      <c r="I1427"/>
    </row>
    <row r="1428" spans="6:9" x14ac:dyDescent="0.3">
      <c r="F1428"/>
      <c r="G1428"/>
      <c r="H1428"/>
      <c r="I1428"/>
    </row>
    <row r="1429" spans="6:9" x14ac:dyDescent="0.3">
      <c r="F1429"/>
      <c r="G1429"/>
      <c r="H1429"/>
      <c r="I1429"/>
    </row>
    <row r="1430" spans="6:9" x14ac:dyDescent="0.3">
      <c r="F1430"/>
      <c r="G1430"/>
      <c r="H1430"/>
      <c r="I1430"/>
    </row>
    <row r="1431" spans="6:9" x14ac:dyDescent="0.3">
      <c r="F1431"/>
      <c r="G1431"/>
      <c r="H1431"/>
      <c r="I1431"/>
    </row>
    <row r="1432" spans="6:9" x14ac:dyDescent="0.3">
      <c r="F1432"/>
      <c r="G1432"/>
      <c r="H1432"/>
      <c r="I1432"/>
    </row>
    <row r="1433" spans="6:9" x14ac:dyDescent="0.3">
      <c r="F1433"/>
      <c r="G1433"/>
      <c r="H1433"/>
      <c r="I1433"/>
    </row>
    <row r="1434" spans="6:9" x14ac:dyDescent="0.3">
      <c r="F1434"/>
      <c r="G1434"/>
      <c r="H1434"/>
      <c r="I1434"/>
    </row>
    <row r="1435" spans="6:9" x14ac:dyDescent="0.3">
      <c r="F1435"/>
      <c r="G1435"/>
      <c r="H1435"/>
      <c r="I1435"/>
    </row>
    <row r="1436" spans="6:9" x14ac:dyDescent="0.3">
      <c r="F1436"/>
      <c r="G1436"/>
      <c r="H1436"/>
      <c r="I1436"/>
    </row>
    <row r="1437" spans="6:9" x14ac:dyDescent="0.3">
      <c r="F1437"/>
      <c r="G1437"/>
      <c r="H1437"/>
      <c r="I1437"/>
    </row>
    <row r="1438" spans="6:9" x14ac:dyDescent="0.3">
      <c r="F1438"/>
      <c r="G1438"/>
      <c r="H1438"/>
      <c r="I1438"/>
    </row>
    <row r="1439" spans="6:9" x14ac:dyDescent="0.3">
      <c r="F1439"/>
      <c r="G1439"/>
      <c r="H1439"/>
      <c r="I1439"/>
    </row>
    <row r="1440" spans="6:9" x14ac:dyDescent="0.3">
      <c r="F1440"/>
      <c r="G1440"/>
      <c r="H1440"/>
      <c r="I1440"/>
    </row>
    <row r="1441" spans="6:9" x14ac:dyDescent="0.3">
      <c r="F1441"/>
      <c r="G1441"/>
      <c r="H1441"/>
      <c r="I1441"/>
    </row>
    <row r="1442" spans="6:9" x14ac:dyDescent="0.3">
      <c r="F1442"/>
      <c r="G1442"/>
      <c r="H1442"/>
      <c r="I1442"/>
    </row>
    <row r="1443" spans="6:9" x14ac:dyDescent="0.3">
      <c r="F1443"/>
      <c r="G1443"/>
      <c r="H1443"/>
      <c r="I1443"/>
    </row>
    <row r="1444" spans="6:9" x14ac:dyDescent="0.3">
      <c r="F1444"/>
      <c r="G1444"/>
      <c r="H1444"/>
      <c r="I1444"/>
    </row>
    <row r="1445" spans="6:9" x14ac:dyDescent="0.3">
      <c r="F1445"/>
      <c r="G1445"/>
      <c r="H1445"/>
      <c r="I1445"/>
    </row>
    <row r="1446" spans="6:9" x14ac:dyDescent="0.3">
      <c r="F1446"/>
      <c r="G1446"/>
      <c r="H1446"/>
      <c r="I1446"/>
    </row>
    <row r="1447" spans="6:9" x14ac:dyDescent="0.3">
      <c r="F1447"/>
      <c r="G1447"/>
      <c r="H1447"/>
      <c r="I1447"/>
    </row>
    <row r="1448" spans="6:9" x14ac:dyDescent="0.3">
      <c r="F1448"/>
      <c r="G1448"/>
      <c r="H1448"/>
      <c r="I1448"/>
    </row>
    <row r="1449" spans="6:9" x14ac:dyDescent="0.3">
      <c r="F1449"/>
      <c r="G1449"/>
      <c r="H1449"/>
      <c r="I1449"/>
    </row>
    <row r="1450" spans="6:9" x14ac:dyDescent="0.3">
      <c r="F1450"/>
      <c r="G1450"/>
      <c r="H1450"/>
      <c r="I1450"/>
    </row>
    <row r="1451" spans="6:9" x14ac:dyDescent="0.3">
      <c r="F1451"/>
      <c r="G1451"/>
      <c r="H1451"/>
      <c r="I1451"/>
    </row>
    <row r="1452" spans="6:9" x14ac:dyDescent="0.3">
      <c r="F1452"/>
      <c r="G1452"/>
      <c r="H1452"/>
      <c r="I1452"/>
    </row>
    <row r="1453" spans="6:9" x14ac:dyDescent="0.3">
      <c r="F1453"/>
      <c r="G1453"/>
      <c r="H1453"/>
      <c r="I1453"/>
    </row>
    <row r="1454" spans="6:9" x14ac:dyDescent="0.3">
      <c r="F1454"/>
      <c r="G1454"/>
      <c r="H1454"/>
      <c r="I1454"/>
    </row>
    <row r="1455" spans="6:9" x14ac:dyDescent="0.3">
      <c r="F1455"/>
      <c r="G1455"/>
      <c r="H1455"/>
      <c r="I1455"/>
    </row>
    <row r="1456" spans="6:9" x14ac:dyDescent="0.3">
      <c r="F1456"/>
      <c r="G1456"/>
      <c r="H1456"/>
      <c r="I1456"/>
    </row>
    <row r="1457" spans="6:9" x14ac:dyDescent="0.3">
      <c r="F1457"/>
      <c r="G1457"/>
      <c r="H1457"/>
      <c r="I1457"/>
    </row>
    <row r="1458" spans="6:9" x14ac:dyDescent="0.3">
      <c r="F1458"/>
      <c r="G1458"/>
      <c r="H1458"/>
      <c r="I1458"/>
    </row>
    <row r="1459" spans="6:9" x14ac:dyDescent="0.3">
      <c r="F1459"/>
      <c r="G1459"/>
      <c r="H1459"/>
      <c r="I1459"/>
    </row>
    <row r="1460" spans="6:9" x14ac:dyDescent="0.3">
      <c r="F1460"/>
      <c r="G1460"/>
      <c r="H1460"/>
      <c r="I1460"/>
    </row>
    <row r="1461" spans="6:9" x14ac:dyDescent="0.3">
      <c r="F1461"/>
      <c r="G1461"/>
      <c r="H1461"/>
      <c r="I1461"/>
    </row>
    <row r="1462" spans="6:9" x14ac:dyDescent="0.3">
      <c r="F1462"/>
      <c r="G1462"/>
      <c r="H1462"/>
      <c r="I1462"/>
    </row>
    <row r="1463" spans="6:9" x14ac:dyDescent="0.3">
      <c r="F1463"/>
      <c r="G1463"/>
      <c r="H1463"/>
      <c r="I1463"/>
    </row>
    <row r="1464" spans="6:9" x14ac:dyDescent="0.3">
      <c r="F1464"/>
      <c r="G1464"/>
      <c r="H1464"/>
      <c r="I1464"/>
    </row>
    <row r="1465" spans="6:9" x14ac:dyDescent="0.3">
      <c r="F1465"/>
      <c r="G1465"/>
      <c r="H1465"/>
      <c r="I1465"/>
    </row>
    <row r="1466" spans="6:9" x14ac:dyDescent="0.3">
      <c r="F1466"/>
      <c r="G1466"/>
      <c r="H1466"/>
      <c r="I1466"/>
    </row>
    <row r="1467" spans="6:9" x14ac:dyDescent="0.3">
      <c r="F1467"/>
      <c r="G1467"/>
      <c r="H1467"/>
      <c r="I1467"/>
    </row>
    <row r="1468" spans="6:9" x14ac:dyDescent="0.3">
      <c r="F1468"/>
      <c r="G1468"/>
      <c r="H1468"/>
      <c r="I1468"/>
    </row>
    <row r="1469" spans="6:9" x14ac:dyDescent="0.3">
      <c r="F1469"/>
      <c r="G1469"/>
      <c r="H1469"/>
      <c r="I1469"/>
    </row>
    <row r="1470" spans="6:9" x14ac:dyDescent="0.3">
      <c r="F1470"/>
      <c r="G1470"/>
      <c r="H1470"/>
      <c r="I1470"/>
    </row>
    <row r="1471" spans="6:9" x14ac:dyDescent="0.3">
      <c r="F1471"/>
      <c r="G1471"/>
      <c r="H1471"/>
      <c r="I1471"/>
    </row>
    <row r="1472" spans="6:9" x14ac:dyDescent="0.3">
      <c r="F1472"/>
      <c r="G1472"/>
      <c r="H1472"/>
      <c r="I1472"/>
    </row>
    <row r="1473" spans="6:9" x14ac:dyDescent="0.3">
      <c r="F1473"/>
      <c r="G1473"/>
      <c r="H1473"/>
      <c r="I1473"/>
    </row>
    <row r="1474" spans="6:9" x14ac:dyDescent="0.3">
      <c r="F1474"/>
      <c r="G1474"/>
      <c r="H1474"/>
      <c r="I1474"/>
    </row>
    <row r="1475" spans="6:9" x14ac:dyDescent="0.3">
      <c r="F1475"/>
      <c r="G1475"/>
      <c r="H1475"/>
      <c r="I1475"/>
    </row>
    <row r="1476" spans="6:9" x14ac:dyDescent="0.3">
      <c r="F1476"/>
      <c r="G1476"/>
      <c r="H1476"/>
      <c r="I1476"/>
    </row>
    <row r="1477" spans="6:9" x14ac:dyDescent="0.3">
      <c r="F1477"/>
      <c r="G1477"/>
      <c r="H1477"/>
      <c r="I1477"/>
    </row>
    <row r="1478" spans="6:9" x14ac:dyDescent="0.3">
      <c r="F1478"/>
      <c r="G1478"/>
      <c r="H1478"/>
      <c r="I1478"/>
    </row>
    <row r="1479" spans="6:9" x14ac:dyDescent="0.3">
      <c r="F1479"/>
      <c r="G1479"/>
      <c r="H1479"/>
      <c r="I1479"/>
    </row>
    <row r="1480" spans="6:9" x14ac:dyDescent="0.3">
      <c r="F1480"/>
      <c r="G1480"/>
      <c r="H1480"/>
      <c r="I1480"/>
    </row>
    <row r="1481" spans="6:9" x14ac:dyDescent="0.3">
      <c r="F1481"/>
      <c r="G1481"/>
      <c r="H1481"/>
      <c r="I1481"/>
    </row>
    <row r="1482" spans="6:9" x14ac:dyDescent="0.3">
      <c r="F1482"/>
      <c r="G1482"/>
      <c r="H1482"/>
      <c r="I1482"/>
    </row>
    <row r="1483" spans="6:9" x14ac:dyDescent="0.3">
      <c r="F1483"/>
      <c r="G1483"/>
      <c r="H1483"/>
      <c r="I1483"/>
    </row>
    <row r="1484" spans="6:9" x14ac:dyDescent="0.3">
      <c r="F1484"/>
      <c r="G1484"/>
      <c r="H1484"/>
      <c r="I1484"/>
    </row>
    <row r="1485" spans="6:9" x14ac:dyDescent="0.3">
      <c r="F1485"/>
      <c r="G1485"/>
      <c r="H1485"/>
      <c r="I1485"/>
    </row>
    <row r="1486" spans="6:9" x14ac:dyDescent="0.3">
      <c r="F1486"/>
      <c r="G1486"/>
      <c r="H1486"/>
      <c r="I1486"/>
    </row>
    <row r="1487" spans="6:9" x14ac:dyDescent="0.3">
      <c r="F1487"/>
      <c r="G1487"/>
      <c r="H1487"/>
      <c r="I1487"/>
    </row>
    <row r="1488" spans="6:9" x14ac:dyDescent="0.3">
      <c r="F1488"/>
      <c r="G1488"/>
      <c r="H1488"/>
      <c r="I1488"/>
    </row>
    <row r="1489" spans="6:9" x14ac:dyDescent="0.3">
      <c r="F1489"/>
      <c r="G1489"/>
      <c r="H1489"/>
      <c r="I1489"/>
    </row>
    <row r="1490" spans="6:9" x14ac:dyDescent="0.3">
      <c r="F1490"/>
      <c r="G1490"/>
      <c r="H1490"/>
      <c r="I1490"/>
    </row>
    <row r="1491" spans="6:9" x14ac:dyDescent="0.3">
      <c r="F1491"/>
      <c r="G1491"/>
      <c r="H1491"/>
      <c r="I1491"/>
    </row>
    <row r="1492" spans="6:9" x14ac:dyDescent="0.3">
      <c r="F1492"/>
      <c r="G1492"/>
      <c r="H1492"/>
      <c r="I1492"/>
    </row>
    <row r="1493" spans="6:9" x14ac:dyDescent="0.3">
      <c r="F1493"/>
      <c r="G1493"/>
      <c r="H1493"/>
      <c r="I1493"/>
    </row>
    <row r="1494" spans="6:9" x14ac:dyDescent="0.3">
      <c r="F1494"/>
      <c r="G1494"/>
      <c r="H1494"/>
      <c r="I1494"/>
    </row>
    <row r="1495" spans="6:9" x14ac:dyDescent="0.3">
      <c r="F1495"/>
      <c r="G1495"/>
      <c r="H1495"/>
      <c r="I1495"/>
    </row>
    <row r="1496" spans="6:9" x14ac:dyDescent="0.3">
      <c r="F1496"/>
      <c r="G1496"/>
      <c r="H1496"/>
      <c r="I1496"/>
    </row>
    <row r="1497" spans="6:9" x14ac:dyDescent="0.3">
      <c r="F1497"/>
      <c r="G1497"/>
      <c r="H1497"/>
      <c r="I1497"/>
    </row>
    <row r="1498" spans="6:9" x14ac:dyDescent="0.3">
      <c r="F1498"/>
      <c r="G1498"/>
      <c r="H1498"/>
      <c r="I1498"/>
    </row>
    <row r="1499" spans="6:9" x14ac:dyDescent="0.3">
      <c r="F1499"/>
      <c r="G1499"/>
      <c r="H1499"/>
      <c r="I1499"/>
    </row>
    <row r="1500" spans="6:9" x14ac:dyDescent="0.3">
      <c r="F1500"/>
      <c r="G1500"/>
      <c r="H1500"/>
      <c r="I1500"/>
    </row>
    <row r="1501" spans="6:9" x14ac:dyDescent="0.3">
      <c r="F1501"/>
      <c r="G1501"/>
      <c r="H1501"/>
      <c r="I1501"/>
    </row>
    <row r="1502" spans="6:9" x14ac:dyDescent="0.3">
      <c r="F1502"/>
      <c r="G1502"/>
      <c r="H1502"/>
      <c r="I1502"/>
    </row>
    <row r="1503" spans="6:9" x14ac:dyDescent="0.3">
      <c r="F1503"/>
      <c r="G1503"/>
      <c r="H1503"/>
      <c r="I1503"/>
    </row>
    <row r="1504" spans="6:9" x14ac:dyDescent="0.3">
      <c r="F1504"/>
      <c r="G1504"/>
      <c r="H1504"/>
      <c r="I1504"/>
    </row>
    <row r="1505" spans="6:9" x14ac:dyDescent="0.3">
      <c r="F1505"/>
      <c r="G1505"/>
      <c r="H1505"/>
      <c r="I1505"/>
    </row>
    <row r="1506" spans="6:9" x14ac:dyDescent="0.3">
      <c r="F1506"/>
      <c r="G1506"/>
      <c r="H1506"/>
      <c r="I1506"/>
    </row>
    <row r="1507" spans="6:9" x14ac:dyDescent="0.3">
      <c r="F1507"/>
      <c r="G1507"/>
      <c r="H1507"/>
      <c r="I1507"/>
    </row>
    <row r="1508" spans="6:9" x14ac:dyDescent="0.3">
      <c r="F1508"/>
      <c r="G1508"/>
      <c r="H1508"/>
      <c r="I1508"/>
    </row>
    <row r="1509" spans="6:9" x14ac:dyDescent="0.3">
      <c r="F1509"/>
      <c r="G1509"/>
      <c r="H1509"/>
      <c r="I1509"/>
    </row>
    <row r="1510" spans="6:9" x14ac:dyDescent="0.3">
      <c r="F1510"/>
      <c r="G1510"/>
      <c r="H1510"/>
      <c r="I1510"/>
    </row>
    <row r="1511" spans="6:9" x14ac:dyDescent="0.3">
      <c r="F1511"/>
      <c r="G1511"/>
      <c r="H1511"/>
      <c r="I1511"/>
    </row>
    <row r="1512" spans="6:9" x14ac:dyDescent="0.3">
      <c r="F1512"/>
      <c r="G1512"/>
      <c r="H1512"/>
      <c r="I1512"/>
    </row>
    <row r="1513" spans="6:9" x14ac:dyDescent="0.3">
      <c r="F1513"/>
      <c r="G1513"/>
      <c r="H1513"/>
      <c r="I1513"/>
    </row>
    <row r="1514" spans="6:9" x14ac:dyDescent="0.3">
      <c r="F1514"/>
      <c r="G1514"/>
      <c r="H1514"/>
      <c r="I1514"/>
    </row>
    <row r="1515" spans="6:9" x14ac:dyDescent="0.3">
      <c r="F1515"/>
      <c r="G1515"/>
      <c r="H1515"/>
      <c r="I1515"/>
    </row>
    <row r="1516" spans="6:9" x14ac:dyDescent="0.3">
      <c r="F1516"/>
      <c r="G1516"/>
      <c r="H1516"/>
      <c r="I1516"/>
    </row>
    <row r="1517" spans="6:9" x14ac:dyDescent="0.3">
      <c r="F1517"/>
      <c r="G1517"/>
      <c r="H1517"/>
      <c r="I1517"/>
    </row>
    <row r="1518" spans="6:9" x14ac:dyDescent="0.3">
      <c r="F1518"/>
      <c r="G1518"/>
      <c r="H1518"/>
      <c r="I1518"/>
    </row>
    <row r="1519" spans="6:9" x14ac:dyDescent="0.3">
      <c r="F1519"/>
      <c r="G1519"/>
      <c r="H1519"/>
      <c r="I1519"/>
    </row>
    <row r="1520" spans="6:9" x14ac:dyDescent="0.3">
      <c r="F1520"/>
      <c r="G1520"/>
      <c r="H1520"/>
      <c r="I1520"/>
    </row>
    <row r="1521" spans="6:9" x14ac:dyDescent="0.3">
      <c r="F1521"/>
      <c r="G1521"/>
      <c r="H1521"/>
      <c r="I1521"/>
    </row>
    <row r="1522" spans="6:9" x14ac:dyDescent="0.3">
      <c r="F1522"/>
      <c r="G1522"/>
      <c r="H1522"/>
      <c r="I1522"/>
    </row>
    <row r="1523" spans="6:9" x14ac:dyDescent="0.3">
      <c r="F1523"/>
      <c r="G1523"/>
      <c r="H1523"/>
      <c r="I1523"/>
    </row>
    <row r="1524" spans="6:9" x14ac:dyDescent="0.3">
      <c r="F1524"/>
      <c r="G1524"/>
      <c r="H1524"/>
      <c r="I1524"/>
    </row>
    <row r="1525" spans="6:9" x14ac:dyDescent="0.3">
      <c r="F1525"/>
      <c r="G1525"/>
      <c r="H1525"/>
      <c r="I1525"/>
    </row>
    <row r="1526" spans="6:9" x14ac:dyDescent="0.3">
      <c r="F1526"/>
      <c r="G1526"/>
      <c r="H1526"/>
      <c r="I1526"/>
    </row>
    <row r="1527" spans="6:9" x14ac:dyDescent="0.3">
      <c r="F1527"/>
      <c r="G1527"/>
      <c r="H1527"/>
      <c r="I1527"/>
    </row>
    <row r="1528" spans="6:9" x14ac:dyDescent="0.3">
      <c r="F1528"/>
      <c r="G1528"/>
      <c r="H1528"/>
      <c r="I1528"/>
    </row>
    <row r="1529" spans="6:9" x14ac:dyDescent="0.3">
      <c r="F1529"/>
      <c r="G1529"/>
      <c r="H1529"/>
      <c r="I1529"/>
    </row>
    <row r="1530" spans="6:9" x14ac:dyDescent="0.3">
      <c r="F1530"/>
      <c r="G1530"/>
      <c r="H1530"/>
      <c r="I1530"/>
    </row>
    <row r="1531" spans="6:9" x14ac:dyDescent="0.3">
      <c r="F1531"/>
      <c r="G1531"/>
      <c r="H1531"/>
      <c r="I1531"/>
    </row>
    <row r="1532" spans="6:9" x14ac:dyDescent="0.3">
      <c r="F1532"/>
      <c r="G1532"/>
      <c r="H1532"/>
      <c r="I1532"/>
    </row>
    <row r="1533" spans="6:9" x14ac:dyDescent="0.3">
      <c r="F1533"/>
      <c r="G1533"/>
      <c r="H1533"/>
      <c r="I1533"/>
    </row>
    <row r="1534" spans="6:9" x14ac:dyDescent="0.3">
      <c r="F1534"/>
      <c r="G1534"/>
      <c r="H1534"/>
      <c r="I1534"/>
    </row>
    <row r="1535" spans="6:9" x14ac:dyDescent="0.3">
      <c r="F1535"/>
      <c r="G1535"/>
      <c r="H1535"/>
      <c r="I1535"/>
    </row>
    <row r="1536" spans="6:9" x14ac:dyDescent="0.3">
      <c r="F1536"/>
      <c r="G1536"/>
      <c r="H1536"/>
      <c r="I1536"/>
    </row>
    <row r="1537" spans="6:9" x14ac:dyDescent="0.3">
      <c r="F1537"/>
      <c r="G1537"/>
      <c r="H1537"/>
      <c r="I1537"/>
    </row>
    <row r="1538" spans="6:9" x14ac:dyDescent="0.3">
      <c r="F1538"/>
      <c r="G1538"/>
      <c r="H1538"/>
      <c r="I1538"/>
    </row>
    <row r="1539" spans="6:9" x14ac:dyDescent="0.3">
      <c r="F1539"/>
      <c r="G1539"/>
      <c r="H1539"/>
      <c r="I1539"/>
    </row>
    <row r="1540" spans="6:9" x14ac:dyDescent="0.3">
      <c r="F1540"/>
      <c r="G1540"/>
      <c r="H1540"/>
      <c r="I1540"/>
    </row>
    <row r="1541" spans="6:9" x14ac:dyDescent="0.3">
      <c r="F1541"/>
      <c r="G1541"/>
      <c r="H1541"/>
      <c r="I1541"/>
    </row>
    <row r="1542" spans="6:9" x14ac:dyDescent="0.3">
      <c r="F1542"/>
      <c r="G1542"/>
      <c r="H1542"/>
      <c r="I1542"/>
    </row>
    <row r="1543" spans="6:9" x14ac:dyDescent="0.3">
      <c r="F1543"/>
      <c r="G1543"/>
      <c r="H1543"/>
      <c r="I1543"/>
    </row>
    <row r="1544" spans="6:9" x14ac:dyDescent="0.3">
      <c r="F1544"/>
      <c r="G1544"/>
      <c r="H1544"/>
      <c r="I1544"/>
    </row>
    <row r="1545" spans="6:9" x14ac:dyDescent="0.3">
      <c r="F1545"/>
      <c r="G1545"/>
      <c r="H1545"/>
      <c r="I1545"/>
    </row>
    <row r="1546" spans="6:9" x14ac:dyDescent="0.3">
      <c r="F1546"/>
      <c r="G1546"/>
      <c r="H1546"/>
      <c r="I1546"/>
    </row>
    <row r="1547" spans="6:9" x14ac:dyDescent="0.3">
      <c r="F1547"/>
      <c r="G1547"/>
      <c r="H1547"/>
      <c r="I1547"/>
    </row>
    <row r="1548" spans="6:9" x14ac:dyDescent="0.3">
      <c r="F1548"/>
      <c r="G1548"/>
      <c r="H1548"/>
      <c r="I1548"/>
    </row>
    <row r="1549" spans="6:9" x14ac:dyDescent="0.3">
      <c r="F1549"/>
      <c r="G1549"/>
      <c r="H1549"/>
      <c r="I1549"/>
    </row>
    <row r="1550" spans="6:9" x14ac:dyDescent="0.3">
      <c r="F1550"/>
      <c r="G1550"/>
      <c r="H1550"/>
      <c r="I1550"/>
    </row>
    <row r="1551" spans="6:9" x14ac:dyDescent="0.3">
      <c r="F1551"/>
      <c r="G1551"/>
      <c r="H1551"/>
      <c r="I1551"/>
    </row>
    <row r="1552" spans="6:9" x14ac:dyDescent="0.3">
      <c r="F1552"/>
      <c r="G1552"/>
      <c r="H1552"/>
      <c r="I1552"/>
    </row>
    <row r="1553" spans="6:9" x14ac:dyDescent="0.3">
      <c r="F1553"/>
      <c r="G1553"/>
      <c r="H1553"/>
      <c r="I1553"/>
    </row>
    <row r="1554" spans="6:9" x14ac:dyDescent="0.3">
      <c r="F1554"/>
      <c r="G1554"/>
      <c r="H1554"/>
      <c r="I1554"/>
    </row>
    <row r="1555" spans="6:9" x14ac:dyDescent="0.3">
      <c r="F1555"/>
      <c r="G1555"/>
      <c r="H1555"/>
      <c r="I1555"/>
    </row>
    <row r="1556" spans="6:9" x14ac:dyDescent="0.3">
      <c r="F1556"/>
      <c r="G1556"/>
      <c r="H1556"/>
      <c r="I1556"/>
    </row>
    <row r="1557" spans="6:9" x14ac:dyDescent="0.3">
      <c r="F1557"/>
      <c r="G1557"/>
      <c r="H1557"/>
      <c r="I1557"/>
    </row>
    <row r="1558" spans="6:9" x14ac:dyDescent="0.3">
      <c r="F1558"/>
      <c r="G1558"/>
      <c r="H1558"/>
      <c r="I1558"/>
    </row>
    <row r="1559" spans="6:9" x14ac:dyDescent="0.3">
      <c r="F1559"/>
      <c r="G1559"/>
      <c r="H1559"/>
      <c r="I1559"/>
    </row>
    <row r="1560" spans="6:9" x14ac:dyDescent="0.3">
      <c r="F1560"/>
      <c r="G1560"/>
      <c r="H1560"/>
      <c r="I1560"/>
    </row>
    <row r="1561" spans="6:9" x14ac:dyDescent="0.3">
      <c r="F1561"/>
      <c r="G1561"/>
      <c r="H1561"/>
      <c r="I1561"/>
    </row>
    <row r="1562" spans="6:9" x14ac:dyDescent="0.3">
      <c r="F1562"/>
      <c r="G1562"/>
      <c r="H1562"/>
      <c r="I1562"/>
    </row>
    <row r="1563" spans="6:9" x14ac:dyDescent="0.3">
      <c r="F1563"/>
      <c r="G1563"/>
      <c r="H1563"/>
      <c r="I1563"/>
    </row>
    <row r="1564" spans="6:9" x14ac:dyDescent="0.3">
      <c r="F1564"/>
      <c r="G1564"/>
      <c r="H1564"/>
      <c r="I1564"/>
    </row>
    <row r="1565" spans="6:9" x14ac:dyDescent="0.3">
      <c r="F1565"/>
      <c r="G1565"/>
      <c r="H1565"/>
      <c r="I1565"/>
    </row>
    <row r="1566" spans="6:9" x14ac:dyDescent="0.3">
      <c r="F1566"/>
      <c r="G1566"/>
      <c r="H1566"/>
      <c r="I1566"/>
    </row>
    <row r="1567" spans="6:9" x14ac:dyDescent="0.3">
      <c r="F1567"/>
      <c r="G1567"/>
      <c r="H1567"/>
      <c r="I1567"/>
    </row>
    <row r="1568" spans="6:9" x14ac:dyDescent="0.3">
      <c r="F1568"/>
      <c r="G1568"/>
      <c r="H1568"/>
      <c r="I1568"/>
    </row>
    <row r="1569" spans="6:9" x14ac:dyDescent="0.3">
      <c r="F1569"/>
      <c r="G1569"/>
      <c r="H1569"/>
      <c r="I1569"/>
    </row>
    <row r="1570" spans="6:9" x14ac:dyDescent="0.3">
      <c r="F1570"/>
      <c r="G1570"/>
      <c r="H1570"/>
      <c r="I1570"/>
    </row>
    <row r="1571" spans="6:9" x14ac:dyDescent="0.3">
      <c r="F1571"/>
      <c r="G1571"/>
      <c r="H1571"/>
      <c r="I1571"/>
    </row>
    <row r="1572" spans="6:9" x14ac:dyDescent="0.3">
      <c r="F1572"/>
      <c r="G1572"/>
      <c r="H1572"/>
      <c r="I1572"/>
    </row>
    <row r="1573" spans="6:9" x14ac:dyDescent="0.3">
      <c r="F1573"/>
      <c r="G1573"/>
      <c r="H1573"/>
      <c r="I1573"/>
    </row>
    <row r="1574" spans="6:9" x14ac:dyDescent="0.3">
      <c r="F1574"/>
      <c r="G1574"/>
      <c r="H1574"/>
      <c r="I1574"/>
    </row>
    <row r="1575" spans="6:9" x14ac:dyDescent="0.3">
      <c r="F1575"/>
      <c r="G1575"/>
      <c r="H1575"/>
      <c r="I1575"/>
    </row>
    <row r="1576" spans="6:9" x14ac:dyDescent="0.3">
      <c r="F1576"/>
      <c r="G1576"/>
      <c r="H1576"/>
      <c r="I1576"/>
    </row>
    <row r="1577" spans="6:9" x14ac:dyDescent="0.3">
      <c r="F1577"/>
      <c r="G1577"/>
      <c r="H1577"/>
      <c r="I1577"/>
    </row>
    <row r="1578" spans="6:9" x14ac:dyDescent="0.3">
      <c r="F1578"/>
      <c r="G1578"/>
      <c r="H1578"/>
      <c r="I1578"/>
    </row>
    <row r="1579" spans="6:9" x14ac:dyDescent="0.3">
      <c r="F1579"/>
      <c r="G1579"/>
      <c r="H1579"/>
      <c r="I1579"/>
    </row>
    <row r="1580" spans="6:9" x14ac:dyDescent="0.3">
      <c r="F1580"/>
      <c r="G1580"/>
      <c r="H1580"/>
      <c r="I1580"/>
    </row>
    <row r="1581" spans="6:9" x14ac:dyDescent="0.3">
      <c r="F1581"/>
      <c r="G1581"/>
      <c r="H1581"/>
      <c r="I1581"/>
    </row>
    <row r="1582" spans="6:9" x14ac:dyDescent="0.3">
      <c r="F1582"/>
      <c r="G1582"/>
      <c r="H1582"/>
      <c r="I1582"/>
    </row>
    <row r="1583" spans="6:9" x14ac:dyDescent="0.3">
      <c r="F1583"/>
      <c r="G1583"/>
      <c r="H1583"/>
      <c r="I1583"/>
    </row>
    <row r="1584" spans="6:9" x14ac:dyDescent="0.3">
      <c r="F1584"/>
      <c r="G1584"/>
      <c r="H1584"/>
      <c r="I1584"/>
    </row>
    <row r="1585" spans="6:9" x14ac:dyDescent="0.3">
      <c r="F1585"/>
      <c r="G1585"/>
      <c r="H1585"/>
      <c r="I1585"/>
    </row>
    <row r="1586" spans="6:9" x14ac:dyDescent="0.3">
      <c r="F1586"/>
      <c r="G1586"/>
      <c r="H1586"/>
      <c r="I1586"/>
    </row>
    <row r="1587" spans="6:9" x14ac:dyDescent="0.3">
      <c r="F1587"/>
      <c r="G1587"/>
      <c r="H1587"/>
      <c r="I1587"/>
    </row>
    <row r="1588" spans="6:9" x14ac:dyDescent="0.3">
      <c r="F1588"/>
      <c r="G1588"/>
      <c r="H1588"/>
      <c r="I1588"/>
    </row>
    <row r="1589" spans="6:9" x14ac:dyDescent="0.3">
      <c r="F1589"/>
      <c r="G1589"/>
      <c r="H1589"/>
      <c r="I1589"/>
    </row>
    <row r="1590" spans="6:9" x14ac:dyDescent="0.3">
      <c r="F1590"/>
      <c r="G1590"/>
      <c r="H1590"/>
      <c r="I1590"/>
    </row>
    <row r="1591" spans="6:9" x14ac:dyDescent="0.3">
      <c r="F1591"/>
      <c r="G1591"/>
      <c r="H1591"/>
      <c r="I1591"/>
    </row>
    <row r="1592" spans="6:9" x14ac:dyDescent="0.3">
      <c r="F1592"/>
      <c r="G1592"/>
      <c r="H1592"/>
      <c r="I1592"/>
    </row>
    <row r="1593" spans="6:9" x14ac:dyDescent="0.3">
      <c r="F1593"/>
      <c r="G1593"/>
      <c r="H1593"/>
      <c r="I1593"/>
    </row>
    <row r="1594" spans="6:9" x14ac:dyDescent="0.3">
      <c r="F1594"/>
      <c r="G1594"/>
      <c r="H1594"/>
      <c r="I1594"/>
    </row>
    <row r="1595" spans="6:9" x14ac:dyDescent="0.3">
      <c r="F1595"/>
      <c r="G1595"/>
      <c r="H1595"/>
      <c r="I1595"/>
    </row>
    <row r="1596" spans="6:9" x14ac:dyDescent="0.3">
      <c r="F1596"/>
      <c r="G1596"/>
      <c r="H1596"/>
      <c r="I1596"/>
    </row>
    <row r="1597" spans="6:9" x14ac:dyDescent="0.3">
      <c r="F1597"/>
      <c r="G1597"/>
      <c r="H1597"/>
      <c r="I1597"/>
    </row>
    <row r="1598" spans="6:9" x14ac:dyDescent="0.3">
      <c r="F1598"/>
      <c r="G1598"/>
      <c r="H1598"/>
      <c r="I1598"/>
    </row>
    <row r="1599" spans="6:9" x14ac:dyDescent="0.3">
      <c r="F1599"/>
      <c r="G1599"/>
      <c r="H1599"/>
      <c r="I1599"/>
    </row>
    <row r="1600" spans="6:9" x14ac:dyDescent="0.3">
      <c r="F1600"/>
      <c r="G1600"/>
      <c r="H1600"/>
      <c r="I1600"/>
    </row>
    <row r="1601" spans="6:9" x14ac:dyDescent="0.3">
      <c r="F1601"/>
      <c r="G1601"/>
      <c r="H1601"/>
      <c r="I1601"/>
    </row>
    <row r="1602" spans="6:9" x14ac:dyDescent="0.3">
      <c r="F1602"/>
      <c r="G1602"/>
      <c r="H1602"/>
      <c r="I1602"/>
    </row>
    <row r="1603" spans="6:9" x14ac:dyDescent="0.3">
      <c r="F1603"/>
      <c r="G1603"/>
      <c r="H1603"/>
      <c r="I1603"/>
    </row>
    <row r="1604" spans="6:9" x14ac:dyDescent="0.3">
      <c r="F1604"/>
      <c r="G1604"/>
      <c r="H1604"/>
      <c r="I1604"/>
    </row>
    <row r="1605" spans="6:9" x14ac:dyDescent="0.3">
      <c r="F1605"/>
      <c r="G1605"/>
      <c r="H1605"/>
      <c r="I1605"/>
    </row>
    <row r="1606" spans="6:9" x14ac:dyDescent="0.3">
      <c r="F1606"/>
      <c r="G1606"/>
      <c r="H1606"/>
      <c r="I1606"/>
    </row>
    <row r="1607" spans="6:9" x14ac:dyDescent="0.3">
      <c r="F1607"/>
      <c r="G1607"/>
      <c r="H1607"/>
      <c r="I1607"/>
    </row>
    <row r="1608" spans="6:9" x14ac:dyDescent="0.3">
      <c r="F1608"/>
      <c r="G1608"/>
      <c r="H1608"/>
      <c r="I1608"/>
    </row>
    <row r="1609" spans="6:9" x14ac:dyDescent="0.3">
      <c r="F1609"/>
      <c r="G1609"/>
      <c r="H1609"/>
      <c r="I1609"/>
    </row>
    <row r="1610" spans="6:9" x14ac:dyDescent="0.3">
      <c r="F1610"/>
      <c r="G1610"/>
      <c r="H1610"/>
      <c r="I1610"/>
    </row>
    <row r="1611" spans="6:9" x14ac:dyDescent="0.3">
      <c r="F1611"/>
      <c r="G1611"/>
      <c r="H1611"/>
      <c r="I1611"/>
    </row>
    <row r="1612" spans="6:9" x14ac:dyDescent="0.3">
      <c r="F1612"/>
      <c r="G1612"/>
      <c r="H1612"/>
      <c r="I1612"/>
    </row>
    <row r="1613" spans="6:9" x14ac:dyDescent="0.3">
      <c r="F1613"/>
      <c r="G1613"/>
      <c r="H1613"/>
      <c r="I1613"/>
    </row>
    <row r="1614" spans="6:9" x14ac:dyDescent="0.3">
      <c r="F1614"/>
      <c r="G1614"/>
      <c r="H1614"/>
      <c r="I1614"/>
    </row>
    <row r="1615" spans="6:9" x14ac:dyDescent="0.3">
      <c r="F1615"/>
      <c r="G1615"/>
      <c r="H1615"/>
      <c r="I1615"/>
    </row>
    <row r="1616" spans="6:9" x14ac:dyDescent="0.3">
      <c r="F1616"/>
      <c r="G1616"/>
      <c r="H1616"/>
      <c r="I1616"/>
    </row>
    <row r="1617" spans="6:9" x14ac:dyDescent="0.3">
      <c r="F1617"/>
      <c r="G1617"/>
      <c r="H1617"/>
      <c r="I1617"/>
    </row>
    <row r="1618" spans="6:9" x14ac:dyDescent="0.3">
      <c r="F1618"/>
      <c r="G1618"/>
      <c r="H1618"/>
      <c r="I1618"/>
    </row>
    <row r="1619" spans="6:9" x14ac:dyDescent="0.3">
      <c r="F1619"/>
      <c r="G1619"/>
      <c r="H1619"/>
      <c r="I1619"/>
    </row>
    <row r="1620" spans="6:9" x14ac:dyDescent="0.3">
      <c r="F1620"/>
      <c r="G1620"/>
      <c r="H1620"/>
      <c r="I1620"/>
    </row>
    <row r="1621" spans="6:9" x14ac:dyDescent="0.3">
      <c r="F1621"/>
      <c r="G1621"/>
      <c r="H1621"/>
      <c r="I1621"/>
    </row>
    <row r="1622" spans="6:9" x14ac:dyDescent="0.3">
      <c r="F1622"/>
      <c r="G1622"/>
      <c r="H1622"/>
      <c r="I1622"/>
    </row>
    <row r="1623" spans="6:9" x14ac:dyDescent="0.3">
      <c r="F1623"/>
      <c r="G1623"/>
      <c r="H1623"/>
      <c r="I1623"/>
    </row>
    <row r="1624" spans="6:9" x14ac:dyDescent="0.3">
      <c r="F1624"/>
      <c r="G1624"/>
      <c r="H1624"/>
      <c r="I1624"/>
    </row>
    <row r="1625" spans="6:9" x14ac:dyDescent="0.3">
      <c r="F1625"/>
      <c r="G1625"/>
      <c r="H1625"/>
      <c r="I1625"/>
    </row>
    <row r="1626" spans="6:9" x14ac:dyDescent="0.3">
      <c r="F1626"/>
      <c r="G1626"/>
      <c r="H1626"/>
      <c r="I1626"/>
    </row>
    <row r="1627" spans="6:9" x14ac:dyDescent="0.3">
      <c r="F1627"/>
      <c r="G1627"/>
      <c r="H1627"/>
      <c r="I1627"/>
    </row>
    <row r="1628" spans="6:9" x14ac:dyDescent="0.3">
      <c r="F1628"/>
      <c r="G1628"/>
      <c r="H1628"/>
      <c r="I1628"/>
    </row>
    <row r="1629" spans="6:9" x14ac:dyDescent="0.3">
      <c r="F1629"/>
      <c r="G1629"/>
      <c r="H1629"/>
      <c r="I1629"/>
    </row>
    <row r="1630" spans="6:9" x14ac:dyDescent="0.3">
      <c r="F1630"/>
      <c r="G1630"/>
      <c r="H1630"/>
      <c r="I1630"/>
    </row>
    <row r="1631" spans="6:9" x14ac:dyDescent="0.3">
      <c r="F1631"/>
      <c r="G1631"/>
      <c r="H1631"/>
      <c r="I1631"/>
    </row>
    <row r="1632" spans="6:9" x14ac:dyDescent="0.3">
      <c r="F1632"/>
      <c r="G1632"/>
      <c r="H1632"/>
      <c r="I1632"/>
    </row>
    <row r="1633" spans="6:9" x14ac:dyDescent="0.3">
      <c r="F1633"/>
      <c r="G1633"/>
      <c r="H1633"/>
      <c r="I1633"/>
    </row>
    <row r="1634" spans="6:9" x14ac:dyDescent="0.3">
      <c r="F1634"/>
      <c r="G1634"/>
      <c r="H1634"/>
      <c r="I1634"/>
    </row>
    <row r="1635" spans="6:9" x14ac:dyDescent="0.3">
      <c r="F1635"/>
      <c r="G1635"/>
      <c r="H1635"/>
      <c r="I1635"/>
    </row>
    <row r="1636" spans="6:9" x14ac:dyDescent="0.3">
      <c r="F1636"/>
      <c r="G1636"/>
      <c r="H1636"/>
      <c r="I1636"/>
    </row>
    <row r="1637" spans="6:9" x14ac:dyDescent="0.3">
      <c r="F1637"/>
      <c r="G1637"/>
      <c r="H1637"/>
      <c r="I1637"/>
    </row>
    <row r="1638" spans="6:9" x14ac:dyDescent="0.3">
      <c r="F1638"/>
      <c r="G1638"/>
      <c r="H1638"/>
      <c r="I1638"/>
    </row>
    <row r="1639" spans="6:9" x14ac:dyDescent="0.3">
      <c r="F1639"/>
      <c r="G1639"/>
      <c r="H1639"/>
      <c r="I1639"/>
    </row>
    <row r="1640" spans="6:9" x14ac:dyDescent="0.3">
      <c r="F1640"/>
      <c r="G1640"/>
      <c r="H1640"/>
      <c r="I1640"/>
    </row>
    <row r="1641" spans="6:9" x14ac:dyDescent="0.3">
      <c r="F1641"/>
      <c r="G1641"/>
      <c r="H1641"/>
      <c r="I1641"/>
    </row>
    <row r="1642" spans="6:9" x14ac:dyDescent="0.3">
      <c r="F1642"/>
      <c r="G1642"/>
      <c r="H1642"/>
      <c r="I1642"/>
    </row>
    <row r="1643" spans="6:9" x14ac:dyDescent="0.3">
      <c r="F1643"/>
      <c r="G1643"/>
      <c r="H1643"/>
      <c r="I1643"/>
    </row>
    <row r="1644" spans="6:9" x14ac:dyDescent="0.3">
      <c r="F1644"/>
      <c r="G1644"/>
      <c r="H1644"/>
      <c r="I1644"/>
    </row>
    <row r="1645" spans="6:9" x14ac:dyDescent="0.3">
      <c r="F1645"/>
      <c r="G1645"/>
      <c r="H1645"/>
      <c r="I1645"/>
    </row>
    <row r="1646" spans="6:9" x14ac:dyDescent="0.3">
      <c r="F1646"/>
      <c r="G1646"/>
      <c r="H1646"/>
      <c r="I1646"/>
    </row>
    <row r="1647" spans="6:9" x14ac:dyDescent="0.3">
      <c r="F1647"/>
      <c r="G1647"/>
      <c r="H1647"/>
      <c r="I1647"/>
    </row>
    <row r="1648" spans="6:9" x14ac:dyDescent="0.3">
      <c r="F1648"/>
      <c r="G1648"/>
      <c r="H1648"/>
      <c r="I1648"/>
    </row>
    <row r="1649" spans="6:9" x14ac:dyDescent="0.3">
      <c r="F1649"/>
      <c r="G1649"/>
      <c r="H1649"/>
      <c r="I1649"/>
    </row>
    <row r="1650" spans="6:9" x14ac:dyDescent="0.3">
      <c r="F1650"/>
      <c r="G1650"/>
      <c r="H1650"/>
      <c r="I1650"/>
    </row>
    <row r="1651" spans="6:9" x14ac:dyDescent="0.3">
      <c r="F1651"/>
      <c r="G1651"/>
      <c r="H1651"/>
      <c r="I1651"/>
    </row>
    <row r="1652" spans="6:9" x14ac:dyDescent="0.3">
      <c r="F1652"/>
      <c r="G1652"/>
      <c r="H1652"/>
      <c r="I1652"/>
    </row>
    <row r="1653" spans="6:9" x14ac:dyDescent="0.3">
      <c r="F1653"/>
      <c r="G1653"/>
      <c r="H1653"/>
      <c r="I1653"/>
    </row>
    <row r="1654" spans="6:9" x14ac:dyDescent="0.3">
      <c r="F1654"/>
      <c r="G1654"/>
      <c r="H1654"/>
      <c r="I1654"/>
    </row>
    <row r="1655" spans="6:9" x14ac:dyDescent="0.3">
      <c r="F1655"/>
      <c r="G1655"/>
      <c r="H1655"/>
      <c r="I1655"/>
    </row>
    <row r="1656" spans="6:9" x14ac:dyDescent="0.3">
      <c r="F1656"/>
      <c r="G1656"/>
      <c r="H1656"/>
      <c r="I1656"/>
    </row>
    <row r="1657" spans="6:9" x14ac:dyDescent="0.3">
      <c r="F1657"/>
      <c r="G1657"/>
      <c r="H1657"/>
      <c r="I1657"/>
    </row>
    <row r="1658" spans="6:9" x14ac:dyDescent="0.3">
      <c r="F1658"/>
      <c r="G1658"/>
      <c r="H1658"/>
      <c r="I1658"/>
    </row>
    <row r="1659" spans="6:9" x14ac:dyDescent="0.3">
      <c r="F1659"/>
      <c r="G1659"/>
      <c r="H1659"/>
      <c r="I1659"/>
    </row>
    <row r="1660" spans="6:9" x14ac:dyDescent="0.3">
      <c r="F1660"/>
      <c r="G1660"/>
      <c r="H1660"/>
      <c r="I1660"/>
    </row>
    <row r="1661" spans="6:9" x14ac:dyDescent="0.3">
      <c r="F1661"/>
      <c r="G1661"/>
      <c r="H1661"/>
      <c r="I1661"/>
    </row>
    <row r="1662" spans="6:9" x14ac:dyDescent="0.3">
      <c r="F1662"/>
      <c r="G1662"/>
      <c r="H1662"/>
      <c r="I1662"/>
    </row>
    <row r="1663" spans="6:9" x14ac:dyDescent="0.3">
      <c r="F1663"/>
      <c r="G1663"/>
      <c r="H1663"/>
      <c r="I1663"/>
    </row>
    <row r="1664" spans="6:9" x14ac:dyDescent="0.3">
      <c r="F1664"/>
      <c r="G1664"/>
      <c r="H1664"/>
      <c r="I1664"/>
    </row>
    <row r="1665" spans="6:9" x14ac:dyDescent="0.3">
      <c r="F1665"/>
      <c r="G1665"/>
      <c r="H1665"/>
      <c r="I1665"/>
    </row>
    <row r="1666" spans="6:9" x14ac:dyDescent="0.3">
      <c r="F1666"/>
      <c r="G1666"/>
      <c r="H1666"/>
      <c r="I1666"/>
    </row>
    <row r="1667" spans="6:9" x14ac:dyDescent="0.3">
      <c r="F1667"/>
      <c r="G1667"/>
      <c r="H1667"/>
      <c r="I1667"/>
    </row>
    <row r="1668" spans="6:9" x14ac:dyDescent="0.3">
      <c r="F1668"/>
      <c r="G1668"/>
      <c r="H1668"/>
      <c r="I1668"/>
    </row>
    <row r="1669" spans="6:9" x14ac:dyDescent="0.3">
      <c r="F1669"/>
      <c r="G1669"/>
      <c r="H1669"/>
      <c r="I1669"/>
    </row>
    <row r="1670" spans="6:9" x14ac:dyDescent="0.3">
      <c r="F1670"/>
      <c r="G1670"/>
      <c r="H1670"/>
      <c r="I1670"/>
    </row>
    <row r="1671" spans="6:9" x14ac:dyDescent="0.3">
      <c r="F1671"/>
      <c r="G1671"/>
      <c r="H1671"/>
      <c r="I1671"/>
    </row>
    <row r="1672" spans="6:9" x14ac:dyDescent="0.3">
      <c r="F1672"/>
      <c r="G1672"/>
      <c r="H1672"/>
      <c r="I1672"/>
    </row>
    <row r="1673" spans="6:9" x14ac:dyDescent="0.3">
      <c r="F1673"/>
      <c r="G1673"/>
      <c r="H1673"/>
      <c r="I1673"/>
    </row>
    <row r="1674" spans="6:9" x14ac:dyDescent="0.3">
      <c r="F1674"/>
      <c r="G1674"/>
      <c r="H1674"/>
      <c r="I1674"/>
    </row>
    <row r="1675" spans="6:9" x14ac:dyDescent="0.3">
      <c r="F1675"/>
      <c r="G1675"/>
      <c r="H1675"/>
      <c r="I1675"/>
    </row>
    <row r="1676" spans="6:9" x14ac:dyDescent="0.3">
      <c r="F1676"/>
      <c r="G1676"/>
      <c r="H1676"/>
      <c r="I1676"/>
    </row>
    <row r="1677" spans="6:9" x14ac:dyDescent="0.3">
      <c r="F1677"/>
      <c r="G1677"/>
      <c r="H1677"/>
      <c r="I1677"/>
    </row>
    <row r="1678" spans="6:9" x14ac:dyDescent="0.3">
      <c r="F1678"/>
      <c r="G1678"/>
      <c r="H1678"/>
      <c r="I1678"/>
    </row>
    <row r="1679" spans="6:9" x14ac:dyDescent="0.3">
      <c r="F1679"/>
      <c r="G1679"/>
      <c r="H1679"/>
      <c r="I1679"/>
    </row>
    <row r="1680" spans="6:9" x14ac:dyDescent="0.3">
      <c r="F1680"/>
      <c r="G1680"/>
      <c r="H1680"/>
      <c r="I1680"/>
    </row>
    <row r="1681" spans="6:9" x14ac:dyDescent="0.3">
      <c r="F1681"/>
      <c r="G1681"/>
      <c r="H1681"/>
      <c r="I1681"/>
    </row>
    <row r="1682" spans="6:9" x14ac:dyDescent="0.3">
      <c r="F1682"/>
      <c r="G1682"/>
      <c r="H1682"/>
      <c r="I1682"/>
    </row>
    <row r="1683" spans="6:9" x14ac:dyDescent="0.3">
      <c r="F1683"/>
      <c r="G1683"/>
      <c r="H1683"/>
      <c r="I1683"/>
    </row>
    <row r="1684" spans="6:9" x14ac:dyDescent="0.3">
      <c r="F1684"/>
      <c r="G1684"/>
      <c r="H1684"/>
      <c r="I1684"/>
    </row>
    <row r="1685" spans="6:9" x14ac:dyDescent="0.3">
      <c r="F1685"/>
      <c r="G1685"/>
      <c r="H1685"/>
      <c r="I1685"/>
    </row>
    <row r="1686" spans="6:9" x14ac:dyDescent="0.3">
      <c r="F1686"/>
      <c r="G1686"/>
      <c r="H1686"/>
      <c r="I1686"/>
    </row>
    <row r="1687" spans="6:9" x14ac:dyDescent="0.3">
      <c r="F1687"/>
      <c r="G1687"/>
      <c r="H1687"/>
      <c r="I1687"/>
    </row>
    <row r="1688" spans="6:9" x14ac:dyDescent="0.3">
      <c r="F1688"/>
      <c r="G1688"/>
      <c r="H1688"/>
      <c r="I1688"/>
    </row>
    <row r="1689" spans="6:9" x14ac:dyDescent="0.3">
      <c r="F1689"/>
      <c r="G1689"/>
      <c r="H1689"/>
      <c r="I1689"/>
    </row>
    <row r="1690" spans="6:9" x14ac:dyDescent="0.3">
      <c r="F1690"/>
      <c r="G1690"/>
      <c r="H1690"/>
      <c r="I1690"/>
    </row>
    <row r="1691" spans="6:9" x14ac:dyDescent="0.3">
      <c r="F1691"/>
      <c r="G1691"/>
      <c r="H1691"/>
      <c r="I1691"/>
    </row>
    <row r="1692" spans="6:9" x14ac:dyDescent="0.3">
      <c r="F1692"/>
      <c r="G1692"/>
      <c r="H1692"/>
      <c r="I1692"/>
    </row>
    <row r="1693" spans="6:9" x14ac:dyDescent="0.3">
      <c r="F1693"/>
      <c r="G1693"/>
      <c r="H1693"/>
      <c r="I1693"/>
    </row>
    <row r="1694" spans="6:9" x14ac:dyDescent="0.3">
      <c r="F1694"/>
      <c r="G1694"/>
      <c r="H1694"/>
      <c r="I1694"/>
    </row>
    <row r="1695" spans="6:9" x14ac:dyDescent="0.3">
      <c r="F1695"/>
      <c r="G1695"/>
      <c r="H1695"/>
      <c r="I1695"/>
    </row>
    <row r="1696" spans="6:9" x14ac:dyDescent="0.3">
      <c r="F1696"/>
      <c r="G1696"/>
      <c r="H1696"/>
      <c r="I1696"/>
    </row>
    <row r="1697" spans="6:9" x14ac:dyDescent="0.3">
      <c r="F1697"/>
      <c r="G1697"/>
      <c r="H1697"/>
      <c r="I1697"/>
    </row>
    <row r="1698" spans="6:9" x14ac:dyDescent="0.3">
      <c r="F1698"/>
      <c r="G1698"/>
      <c r="H1698"/>
      <c r="I1698"/>
    </row>
    <row r="1699" spans="6:9" x14ac:dyDescent="0.3">
      <c r="F1699"/>
      <c r="G1699"/>
      <c r="H1699"/>
      <c r="I1699"/>
    </row>
    <row r="1700" spans="6:9" x14ac:dyDescent="0.3">
      <c r="F1700"/>
      <c r="G1700"/>
      <c r="H1700"/>
      <c r="I1700"/>
    </row>
    <row r="1701" spans="6:9" x14ac:dyDescent="0.3">
      <c r="F1701"/>
      <c r="G1701"/>
      <c r="H1701"/>
      <c r="I1701"/>
    </row>
    <row r="1702" spans="6:9" x14ac:dyDescent="0.3">
      <c r="F1702"/>
      <c r="G1702"/>
      <c r="H1702"/>
      <c r="I1702"/>
    </row>
    <row r="1703" spans="6:9" x14ac:dyDescent="0.3">
      <c r="F1703"/>
      <c r="G1703"/>
      <c r="H1703"/>
      <c r="I1703"/>
    </row>
    <row r="1704" spans="6:9" x14ac:dyDescent="0.3">
      <c r="F1704"/>
      <c r="G1704"/>
      <c r="H1704"/>
      <c r="I1704"/>
    </row>
    <row r="1705" spans="6:9" x14ac:dyDescent="0.3">
      <c r="F1705"/>
      <c r="G1705"/>
      <c r="H1705"/>
      <c r="I1705"/>
    </row>
    <row r="1706" spans="6:9" x14ac:dyDescent="0.3">
      <c r="F1706"/>
      <c r="G1706"/>
      <c r="H1706"/>
      <c r="I1706"/>
    </row>
    <row r="1707" spans="6:9" x14ac:dyDescent="0.3">
      <c r="F1707"/>
      <c r="G1707"/>
      <c r="H1707"/>
      <c r="I1707"/>
    </row>
    <row r="1708" spans="6:9" x14ac:dyDescent="0.3">
      <c r="F1708"/>
      <c r="G1708"/>
      <c r="H1708"/>
      <c r="I1708"/>
    </row>
    <row r="1709" spans="6:9" x14ac:dyDescent="0.3">
      <c r="F1709"/>
      <c r="G1709"/>
      <c r="H1709"/>
      <c r="I1709"/>
    </row>
    <row r="1710" spans="6:9" x14ac:dyDescent="0.3">
      <c r="F1710"/>
      <c r="G1710"/>
      <c r="H1710"/>
      <c r="I1710"/>
    </row>
    <row r="1711" spans="6:9" x14ac:dyDescent="0.3">
      <c r="F1711"/>
      <c r="G1711"/>
      <c r="H1711"/>
      <c r="I1711"/>
    </row>
    <row r="1712" spans="6:9" x14ac:dyDescent="0.3">
      <c r="F1712"/>
      <c r="G1712"/>
      <c r="H1712"/>
      <c r="I1712"/>
    </row>
    <row r="1713" spans="6:9" x14ac:dyDescent="0.3">
      <c r="F1713"/>
      <c r="G1713"/>
      <c r="H1713"/>
      <c r="I1713"/>
    </row>
    <row r="1714" spans="6:9" x14ac:dyDescent="0.3">
      <c r="F1714"/>
      <c r="G1714"/>
      <c r="H1714"/>
      <c r="I1714"/>
    </row>
    <row r="1715" spans="6:9" x14ac:dyDescent="0.3">
      <c r="F1715"/>
      <c r="G1715"/>
      <c r="H1715"/>
      <c r="I1715"/>
    </row>
    <row r="1716" spans="6:9" x14ac:dyDescent="0.3">
      <c r="F1716"/>
      <c r="G1716"/>
      <c r="H1716"/>
      <c r="I1716"/>
    </row>
    <row r="1717" spans="6:9" x14ac:dyDescent="0.3">
      <c r="F1717"/>
      <c r="G1717"/>
      <c r="H1717"/>
      <c r="I1717"/>
    </row>
    <row r="1718" spans="6:9" x14ac:dyDescent="0.3">
      <c r="F1718"/>
      <c r="G1718"/>
      <c r="H1718"/>
      <c r="I1718"/>
    </row>
    <row r="1719" spans="6:9" x14ac:dyDescent="0.3">
      <c r="F1719"/>
      <c r="G1719"/>
      <c r="H1719"/>
      <c r="I1719"/>
    </row>
    <row r="1720" spans="6:9" x14ac:dyDescent="0.3">
      <c r="F1720"/>
      <c r="G1720"/>
      <c r="H1720"/>
      <c r="I1720"/>
    </row>
    <row r="1721" spans="6:9" x14ac:dyDescent="0.3">
      <c r="F1721"/>
      <c r="G1721"/>
      <c r="H1721"/>
      <c r="I1721"/>
    </row>
    <row r="1722" spans="6:9" x14ac:dyDescent="0.3">
      <c r="F1722"/>
      <c r="G1722"/>
      <c r="H1722"/>
      <c r="I1722"/>
    </row>
    <row r="1723" spans="6:9" x14ac:dyDescent="0.3">
      <c r="F1723"/>
      <c r="G1723"/>
      <c r="H1723"/>
      <c r="I1723"/>
    </row>
    <row r="1724" spans="6:9" x14ac:dyDescent="0.3">
      <c r="F1724"/>
      <c r="G1724"/>
      <c r="H1724"/>
      <c r="I1724"/>
    </row>
    <row r="1725" spans="6:9" x14ac:dyDescent="0.3">
      <c r="F1725"/>
      <c r="G1725"/>
      <c r="H1725"/>
      <c r="I1725"/>
    </row>
    <row r="1726" spans="6:9" x14ac:dyDescent="0.3">
      <c r="F1726"/>
      <c r="G1726"/>
      <c r="H1726"/>
      <c r="I1726"/>
    </row>
    <row r="1727" spans="6:9" x14ac:dyDescent="0.3">
      <c r="F1727"/>
      <c r="G1727"/>
      <c r="H1727"/>
      <c r="I1727"/>
    </row>
    <row r="1728" spans="6:9" x14ac:dyDescent="0.3">
      <c r="F1728"/>
      <c r="G1728"/>
      <c r="H1728"/>
      <c r="I1728"/>
    </row>
    <row r="1729" spans="6:9" x14ac:dyDescent="0.3">
      <c r="F1729"/>
      <c r="G1729"/>
      <c r="H1729"/>
      <c r="I1729"/>
    </row>
    <row r="1730" spans="6:9" x14ac:dyDescent="0.3">
      <c r="F1730"/>
      <c r="G1730"/>
      <c r="H1730"/>
      <c r="I1730"/>
    </row>
    <row r="1731" spans="6:9" x14ac:dyDescent="0.3">
      <c r="F1731"/>
      <c r="G1731"/>
      <c r="H1731"/>
      <c r="I1731"/>
    </row>
    <row r="1732" spans="6:9" x14ac:dyDescent="0.3">
      <c r="F1732"/>
      <c r="G1732"/>
      <c r="H1732"/>
      <c r="I1732"/>
    </row>
    <row r="1733" spans="6:9" x14ac:dyDescent="0.3">
      <c r="F1733"/>
      <c r="G1733"/>
      <c r="H1733"/>
      <c r="I1733"/>
    </row>
    <row r="1734" spans="6:9" x14ac:dyDescent="0.3">
      <c r="F1734"/>
      <c r="G1734"/>
      <c r="H1734"/>
      <c r="I1734"/>
    </row>
    <row r="1735" spans="6:9" x14ac:dyDescent="0.3">
      <c r="F1735"/>
      <c r="G1735"/>
      <c r="H1735"/>
      <c r="I1735"/>
    </row>
    <row r="1736" spans="6:9" x14ac:dyDescent="0.3">
      <c r="F1736"/>
      <c r="G1736"/>
      <c r="H1736"/>
      <c r="I1736"/>
    </row>
    <row r="1737" spans="6:9" x14ac:dyDescent="0.3">
      <c r="F1737"/>
      <c r="G1737"/>
      <c r="H1737"/>
      <c r="I1737"/>
    </row>
    <row r="1738" spans="6:9" x14ac:dyDescent="0.3">
      <c r="F1738"/>
      <c r="G1738"/>
      <c r="H1738"/>
      <c r="I1738"/>
    </row>
    <row r="1739" spans="6:9" x14ac:dyDescent="0.3">
      <c r="F1739"/>
      <c r="G1739"/>
      <c r="H1739"/>
      <c r="I1739"/>
    </row>
    <row r="1740" spans="6:9" x14ac:dyDescent="0.3">
      <c r="F1740"/>
      <c r="G1740"/>
      <c r="H1740"/>
      <c r="I1740"/>
    </row>
    <row r="1741" spans="6:9" x14ac:dyDescent="0.3">
      <c r="F1741"/>
      <c r="G1741"/>
      <c r="H1741"/>
      <c r="I1741"/>
    </row>
    <row r="1742" spans="6:9" x14ac:dyDescent="0.3">
      <c r="F1742"/>
      <c r="G1742"/>
      <c r="H1742"/>
      <c r="I1742"/>
    </row>
    <row r="1743" spans="6:9" x14ac:dyDescent="0.3">
      <c r="F1743"/>
      <c r="G1743"/>
      <c r="H1743"/>
      <c r="I1743"/>
    </row>
    <row r="1744" spans="6:9" x14ac:dyDescent="0.3">
      <c r="F1744"/>
      <c r="G1744"/>
      <c r="H1744"/>
      <c r="I1744"/>
    </row>
    <row r="1745" spans="6:9" x14ac:dyDescent="0.3">
      <c r="F1745"/>
      <c r="G1745"/>
      <c r="H1745"/>
      <c r="I1745"/>
    </row>
    <row r="1746" spans="6:9" x14ac:dyDescent="0.3">
      <c r="F1746"/>
      <c r="G1746"/>
      <c r="H1746"/>
      <c r="I1746"/>
    </row>
    <row r="1747" spans="6:9" x14ac:dyDescent="0.3">
      <c r="F1747"/>
      <c r="G1747"/>
      <c r="H1747"/>
      <c r="I1747"/>
    </row>
    <row r="1748" spans="6:9" x14ac:dyDescent="0.3">
      <c r="F1748"/>
      <c r="G1748"/>
      <c r="H1748"/>
      <c r="I1748"/>
    </row>
    <row r="1749" spans="6:9" x14ac:dyDescent="0.3">
      <c r="F1749"/>
      <c r="G1749"/>
      <c r="H1749"/>
      <c r="I1749"/>
    </row>
    <row r="1750" spans="6:9" x14ac:dyDescent="0.3">
      <c r="F1750"/>
      <c r="G1750"/>
      <c r="H1750"/>
      <c r="I1750"/>
    </row>
    <row r="1751" spans="6:9" x14ac:dyDescent="0.3">
      <c r="F1751"/>
      <c r="G1751"/>
      <c r="H1751"/>
      <c r="I1751"/>
    </row>
    <row r="1752" spans="6:9" x14ac:dyDescent="0.3">
      <c r="F1752"/>
      <c r="G1752"/>
      <c r="H1752"/>
      <c r="I1752"/>
    </row>
    <row r="1753" spans="6:9" x14ac:dyDescent="0.3">
      <c r="F1753"/>
      <c r="G1753"/>
      <c r="H1753"/>
      <c r="I1753"/>
    </row>
    <row r="1754" spans="6:9" x14ac:dyDescent="0.3">
      <c r="F1754"/>
      <c r="G1754"/>
      <c r="H1754"/>
      <c r="I1754"/>
    </row>
    <row r="1755" spans="6:9" x14ac:dyDescent="0.3">
      <c r="F1755"/>
      <c r="G1755"/>
      <c r="H1755"/>
      <c r="I1755"/>
    </row>
    <row r="1756" spans="6:9" x14ac:dyDescent="0.3">
      <c r="F1756"/>
      <c r="G1756"/>
      <c r="H1756"/>
      <c r="I1756"/>
    </row>
    <row r="1757" spans="6:9" x14ac:dyDescent="0.3">
      <c r="F1757"/>
      <c r="G1757"/>
      <c r="H1757"/>
      <c r="I1757"/>
    </row>
    <row r="1758" spans="6:9" x14ac:dyDescent="0.3">
      <c r="F1758"/>
      <c r="G1758"/>
      <c r="H1758"/>
      <c r="I1758"/>
    </row>
    <row r="1759" spans="6:9" x14ac:dyDescent="0.3">
      <c r="F1759"/>
      <c r="G1759"/>
      <c r="H1759"/>
      <c r="I1759"/>
    </row>
    <row r="1760" spans="6:9" x14ac:dyDescent="0.3">
      <c r="F1760"/>
      <c r="G1760"/>
      <c r="H1760"/>
      <c r="I1760"/>
    </row>
    <row r="1761" spans="6:9" x14ac:dyDescent="0.3">
      <c r="F1761"/>
      <c r="G1761"/>
      <c r="H1761"/>
      <c r="I1761"/>
    </row>
    <row r="1762" spans="6:9" x14ac:dyDescent="0.3">
      <c r="F1762"/>
      <c r="G1762"/>
      <c r="H1762"/>
      <c r="I1762"/>
    </row>
    <row r="1763" spans="6:9" x14ac:dyDescent="0.3">
      <c r="F1763"/>
      <c r="G1763"/>
      <c r="H1763"/>
      <c r="I1763"/>
    </row>
    <row r="1764" spans="6:9" x14ac:dyDescent="0.3">
      <c r="F1764"/>
      <c r="G1764"/>
      <c r="H1764"/>
      <c r="I1764"/>
    </row>
    <row r="1765" spans="6:9" x14ac:dyDescent="0.3">
      <c r="F1765"/>
      <c r="G1765"/>
      <c r="H1765"/>
      <c r="I1765"/>
    </row>
    <row r="1766" spans="6:9" x14ac:dyDescent="0.3">
      <c r="F1766"/>
      <c r="G1766"/>
      <c r="H1766"/>
      <c r="I1766"/>
    </row>
    <row r="1767" spans="6:9" x14ac:dyDescent="0.3">
      <c r="F1767"/>
      <c r="G1767"/>
      <c r="H1767"/>
      <c r="I1767"/>
    </row>
    <row r="1768" spans="6:9" x14ac:dyDescent="0.3">
      <c r="F1768"/>
      <c r="G1768"/>
      <c r="H1768"/>
      <c r="I1768"/>
    </row>
    <row r="1769" spans="6:9" x14ac:dyDescent="0.3">
      <c r="F1769"/>
      <c r="G1769"/>
      <c r="H1769"/>
      <c r="I1769"/>
    </row>
    <row r="1770" spans="6:9" x14ac:dyDescent="0.3">
      <c r="F1770"/>
      <c r="G1770"/>
      <c r="H1770"/>
      <c r="I1770"/>
    </row>
    <row r="1771" spans="6:9" x14ac:dyDescent="0.3">
      <c r="F1771"/>
      <c r="G1771"/>
      <c r="H1771"/>
      <c r="I1771"/>
    </row>
    <row r="1772" spans="6:9" x14ac:dyDescent="0.3">
      <c r="F1772"/>
      <c r="G1772"/>
      <c r="H1772"/>
      <c r="I1772"/>
    </row>
    <row r="1773" spans="6:9" x14ac:dyDescent="0.3">
      <c r="F1773"/>
      <c r="G1773"/>
      <c r="H1773"/>
      <c r="I1773"/>
    </row>
    <row r="1774" spans="6:9" x14ac:dyDescent="0.3">
      <c r="F1774"/>
      <c r="G1774"/>
      <c r="H1774"/>
      <c r="I1774"/>
    </row>
    <row r="1775" spans="6:9" x14ac:dyDescent="0.3">
      <c r="F1775"/>
      <c r="G1775"/>
      <c r="H1775"/>
      <c r="I1775"/>
    </row>
    <row r="1776" spans="6:9" x14ac:dyDescent="0.3">
      <c r="F1776"/>
      <c r="G1776"/>
      <c r="H1776"/>
      <c r="I1776"/>
    </row>
    <row r="1777" spans="6:9" x14ac:dyDescent="0.3">
      <c r="F1777"/>
      <c r="G1777"/>
      <c r="H1777"/>
      <c r="I1777"/>
    </row>
    <row r="1778" spans="6:9" x14ac:dyDescent="0.3">
      <c r="F1778"/>
      <c r="G1778"/>
      <c r="H1778"/>
      <c r="I1778"/>
    </row>
    <row r="1779" spans="6:9" x14ac:dyDescent="0.3">
      <c r="F1779"/>
      <c r="G1779"/>
      <c r="H1779"/>
      <c r="I1779"/>
    </row>
    <row r="1780" spans="6:9" x14ac:dyDescent="0.3">
      <c r="F1780"/>
      <c r="G1780"/>
      <c r="H1780"/>
      <c r="I1780"/>
    </row>
    <row r="1781" spans="6:9" x14ac:dyDescent="0.3">
      <c r="F1781"/>
      <c r="G1781"/>
      <c r="H1781"/>
      <c r="I1781"/>
    </row>
    <row r="1782" spans="6:9" x14ac:dyDescent="0.3">
      <c r="F1782"/>
      <c r="G1782"/>
      <c r="H1782"/>
      <c r="I1782"/>
    </row>
    <row r="1783" spans="6:9" x14ac:dyDescent="0.3">
      <c r="F1783"/>
      <c r="G1783"/>
      <c r="H1783"/>
      <c r="I1783"/>
    </row>
    <row r="1784" spans="6:9" x14ac:dyDescent="0.3">
      <c r="F1784"/>
      <c r="G1784"/>
      <c r="H1784"/>
      <c r="I1784"/>
    </row>
    <row r="1785" spans="6:9" x14ac:dyDescent="0.3">
      <c r="F1785"/>
      <c r="G1785"/>
      <c r="H1785"/>
      <c r="I1785"/>
    </row>
    <row r="1786" spans="6:9" x14ac:dyDescent="0.3">
      <c r="F1786"/>
      <c r="G1786"/>
      <c r="H1786"/>
      <c r="I1786"/>
    </row>
    <row r="1787" spans="6:9" x14ac:dyDescent="0.3">
      <c r="F1787"/>
      <c r="G1787"/>
      <c r="H1787"/>
      <c r="I1787"/>
    </row>
    <row r="1788" spans="6:9" x14ac:dyDescent="0.3">
      <c r="F1788"/>
      <c r="G1788"/>
      <c r="H1788"/>
      <c r="I1788"/>
    </row>
    <row r="1789" spans="6:9" x14ac:dyDescent="0.3">
      <c r="F1789"/>
      <c r="G1789"/>
      <c r="H1789"/>
      <c r="I1789"/>
    </row>
    <row r="1790" spans="6:9" x14ac:dyDescent="0.3">
      <c r="F1790"/>
      <c r="G1790"/>
      <c r="H1790"/>
      <c r="I1790"/>
    </row>
    <row r="1791" spans="6:9" x14ac:dyDescent="0.3">
      <c r="F1791"/>
      <c r="G1791"/>
      <c r="H1791"/>
      <c r="I1791"/>
    </row>
    <row r="1792" spans="6:9" x14ac:dyDescent="0.3">
      <c r="F1792"/>
      <c r="G1792"/>
      <c r="H1792"/>
      <c r="I1792"/>
    </row>
    <row r="1793" spans="6:9" x14ac:dyDescent="0.3">
      <c r="F1793"/>
      <c r="G1793"/>
      <c r="H1793"/>
      <c r="I1793"/>
    </row>
    <row r="1794" spans="6:9" x14ac:dyDescent="0.3">
      <c r="F1794"/>
      <c r="G1794"/>
      <c r="H1794"/>
      <c r="I1794"/>
    </row>
    <row r="1795" spans="6:9" x14ac:dyDescent="0.3">
      <c r="F1795"/>
      <c r="G1795"/>
      <c r="H1795"/>
      <c r="I1795"/>
    </row>
    <row r="1796" spans="6:9" x14ac:dyDescent="0.3">
      <c r="F1796"/>
      <c r="G1796"/>
      <c r="H1796"/>
      <c r="I1796"/>
    </row>
    <row r="1797" spans="6:9" x14ac:dyDescent="0.3">
      <c r="F1797"/>
      <c r="G1797"/>
      <c r="H1797"/>
      <c r="I1797"/>
    </row>
    <row r="1798" spans="6:9" x14ac:dyDescent="0.3">
      <c r="F1798"/>
      <c r="G1798"/>
      <c r="H1798"/>
      <c r="I1798"/>
    </row>
    <row r="1799" spans="6:9" x14ac:dyDescent="0.3">
      <c r="F1799"/>
      <c r="G1799"/>
      <c r="H1799"/>
      <c r="I1799"/>
    </row>
    <row r="1800" spans="6:9" x14ac:dyDescent="0.3">
      <c r="F1800"/>
      <c r="G1800"/>
      <c r="H1800"/>
      <c r="I1800"/>
    </row>
    <row r="1801" spans="6:9" x14ac:dyDescent="0.3">
      <c r="F1801"/>
      <c r="G1801"/>
      <c r="H1801"/>
      <c r="I1801"/>
    </row>
    <row r="1802" spans="6:9" x14ac:dyDescent="0.3">
      <c r="F1802"/>
      <c r="G1802"/>
      <c r="H1802"/>
      <c r="I1802"/>
    </row>
    <row r="1803" spans="6:9" x14ac:dyDescent="0.3">
      <c r="F1803"/>
      <c r="G1803"/>
      <c r="H1803"/>
      <c r="I1803"/>
    </row>
    <row r="1804" spans="6:9" x14ac:dyDescent="0.3">
      <c r="F1804"/>
      <c r="G1804"/>
      <c r="H1804"/>
      <c r="I1804"/>
    </row>
    <row r="1805" spans="6:9" x14ac:dyDescent="0.3">
      <c r="F1805"/>
      <c r="G1805"/>
      <c r="H1805"/>
      <c r="I1805"/>
    </row>
    <row r="1806" spans="6:9" x14ac:dyDescent="0.3">
      <c r="F1806"/>
      <c r="G1806"/>
      <c r="H1806"/>
      <c r="I1806"/>
    </row>
    <row r="1807" spans="6:9" x14ac:dyDescent="0.3">
      <c r="F1807"/>
      <c r="G1807"/>
      <c r="H1807"/>
      <c r="I1807"/>
    </row>
    <row r="1808" spans="6:9" x14ac:dyDescent="0.3">
      <c r="F1808"/>
      <c r="G1808"/>
      <c r="H1808"/>
      <c r="I1808"/>
    </row>
    <row r="1809" spans="6:9" x14ac:dyDescent="0.3">
      <c r="F1809"/>
      <c r="G1809"/>
      <c r="H1809"/>
      <c r="I1809"/>
    </row>
    <row r="1810" spans="6:9" x14ac:dyDescent="0.3">
      <c r="F1810"/>
      <c r="G1810"/>
      <c r="H1810"/>
      <c r="I1810"/>
    </row>
    <row r="1811" spans="6:9" x14ac:dyDescent="0.3">
      <c r="F1811"/>
      <c r="G1811"/>
      <c r="H1811"/>
      <c r="I1811"/>
    </row>
    <row r="1812" spans="6:9" x14ac:dyDescent="0.3">
      <c r="F1812"/>
      <c r="G1812"/>
      <c r="H1812"/>
      <c r="I1812"/>
    </row>
    <row r="1813" spans="6:9" x14ac:dyDescent="0.3">
      <c r="F1813"/>
      <c r="G1813"/>
      <c r="H1813"/>
      <c r="I1813"/>
    </row>
    <row r="1814" spans="6:9" x14ac:dyDescent="0.3">
      <c r="F1814"/>
      <c r="G1814"/>
      <c r="H1814"/>
      <c r="I1814"/>
    </row>
    <row r="1815" spans="6:9" x14ac:dyDescent="0.3">
      <c r="F1815"/>
      <c r="G1815"/>
      <c r="H1815"/>
      <c r="I1815"/>
    </row>
    <row r="1816" spans="6:9" x14ac:dyDescent="0.3">
      <c r="F1816"/>
      <c r="G1816"/>
      <c r="H1816"/>
      <c r="I1816"/>
    </row>
    <row r="1817" spans="6:9" x14ac:dyDescent="0.3">
      <c r="F1817"/>
      <c r="G1817"/>
      <c r="H1817"/>
      <c r="I1817"/>
    </row>
    <row r="1818" spans="6:9" x14ac:dyDescent="0.3">
      <c r="F1818"/>
      <c r="G1818"/>
      <c r="H1818"/>
      <c r="I1818"/>
    </row>
    <row r="1819" spans="6:9" x14ac:dyDescent="0.3">
      <c r="F1819"/>
      <c r="G1819"/>
      <c r="H1819"/>
      <c r="I1819"/>
    </row>
    <row r="1820" spans="6:9" x14ac:dyDescent="0.3">
      <c r="F1820"/>
      <c r="G1820"/>
      <c r="H1820"/>
      <c r="I1820"/>
    </row>
    <row r="1821" spans="6:9" x14ac:dyDescent="0.3">
      <c r="F1821"/>
      <c r="G1821"/>
      <c r="H1821"/>
      <c r="I1821"/>
    </row>
    <row r="1822" spans="6:9" x14ac:dyDescent="0.3">
      <c r="F1822"/>
      <c r="G1822"/>
      <c r="H1822"/>
      <c r="I1822"/>
    </row>
    <row r="1823" spans="6:9" x14ac:dyDescent="0.3">
      <c r="F1823"/>
      <c r="G1823"/>
      <c r="H1823"/>
      <c r="I1823"/>
    </row>
    <row r="1824" spans="6:9" x14ac:dyDescent="0.3">
      <c r="F1824"/>
      <c r="G1824"/>
      <c r="H1824"/>
      <c r="I1824"/>
    </row>
    <row r="1825" spans="6:9" x14ac:dyDescent="0.3">
      <c r="F1825"/>
      <c r="G1825"/>
      <c r="H1825"/>
      <c r="I1825"/>
    </row>
    <row r="1826" spans="6:9" x14ac:dyDescent="0.3">
      <c r="F1826"/>
      <c r="G1826"/>
      <c r="H1826"/>
      <c r="I1826"/>
    </row>
    <row r="1827" spans="6:9" x14ac:dyDescent="0.3">
      <c r="F1827"/>
      <c r="G1827"/>
      <c r="H1827"/>
      <c r="I1827"/>
    </row>
    <row r="1828" spans="6:9" x14ac:dyDescent="0.3">
      <c r="F1828"/>
      <c r="G1828"/>
      <c r="H1828"/>
      <c r="I1828"/>
    </row>
    <row r="1829" spans="6:9" x14ac:dyDescent="0.3">
      <c r="F1829"/>
      <c r="G1829"/>
      <c r="H1829"/>
      <c r="I1829"/>
    </row>
    <row r="1830" spans="6:9" x14ac:dyDescent="0.3">
      <c r="F1830"/>
      <c r="G1830"/>
      <c r="H1830"/>
      <c r="I1830"/>
    </row>
    <row r="1831" spans="6:9" x14ac:dyDescent="0.3">
      <c r="F1831"/>
      <c r="G1831"/>
      <c r="H1831"/>
      <c r="I1831"/>
    </row>
    <row r="1832" spans="6:9" x14ac:dyDescent="0.3">
      <c r="F1832"/>
      <c r="G1832"/>
      <c r="H1832"/>
      <c r="I1832"/>
    </row>
    <row r="1833" spans="6:9" x14ac:dyDescent="0.3">
      <c r="F1833"/>
      <c r="G1833"/>
      <c r="H1833"/>
      <c r="I1833"/>
    </row>
    <row r="1834" spans="6:9" x14ac:dyDescent="0.3">
      <c r="F1834"/>
      <c r="G1834"/>
      <c r="H1834"/>
      <c r="I1834"/>
    </row>
    <row r="1835" spans="6:9" x14ac:dyDescent="0.3">
      <c r="F1835"/>
      <c r="G1835"/>
      <c r="H1835"/>
      <c r="I1835"/>
    </row>
    <row r="1836" spans="6:9" x14ac:dyDescent="0.3">
      <c r="F1836"/>
      <c r="G1836"/>
      <c r="H1836"/>
      <c r="I1836"/>
    </row>
    <row r="1837" spans="6:9" x14ac:dyDescent="0.3">
      <c r="F1837"/>
      <c r="G1837"/>
      <c r="H1837"/>
      <c r="I1837"/>
    </row>
    <row r="1838" spans="6:9" x14ac:dyDescent="0.3">
      <c r="F1838"/>
      <c r="G1838"/>
      <c r="H1838"/>
      <c r="I1838"/>
    </row>
    <row r="1839" spans="6:9" x14ac:dyDescent="0.3">
      <c r="F1839"/>
      <c r="G1839"/>
      <c r="H1839"/>
      <c r="I1839"/>
    </row>
    <row r="1840" spans="6:9" x14ac:dyDescent="0.3">
      <c r="F1840"/>
      <c r="G1840"/>
      <c r="H1840"/>
      <c r="I1840"/>
    </row>
    <row r="1841" spans="6:9" x14ac:dyDescent="0.3">
      <c r="F1841"/>
      <c r="G1841"/>
      <c r="H1841"/>
      <c r="I1841"/>
    </row>
    <row r="1842" spans="6:9" x14ac:dyDescent="0.3">
      <c r="F1842"/>
      <c r="G1842"/>
      <c r="H1842"/>
      <c r="I1842"/>
    </row>
    <row r="1843" spans="6:9" x14ac:dyDescent="0.3">
      <c r="F1843"/>
      <c r="G1843"/>
      <c r="H1843"/>
      <c r="I1843"/>
    </row>
    <row r="1844" spans="6:9" x14ac:dyDescent="0.3">
      <c r="F1844"/>
      <c r="G1844"/>
      <c r="H1844"/>
      <c r="I1844"/>
    </row>
    <row r="1845" spans="6:9" x14ac:dyDescent="0.3">
      <c r="F1845"/>
      <c r="G1845"/>
      <c r="H1845"/>
      <c r="I1845"/>
    </row>
    <row r="1846" spans="6:9" x14ac:dyDescent="0.3">
      <c r="F1846"/>
      <c r="G1846"/>
      <c r="H1846"/>
      <c r="I1846"/>
    </row>
    <row r="1847" spans="6:9" x14ac:dyDescent="0.3">
      <c r="F1847"/>
      <c r="G1847"/>
      <c r="H1847"/>
      <c r="I1847"/>
    </row>
    <row r="1848" spans="6:9" x14ac:dyDescent="0.3">
      <c r="F1848"/>
      <c r="G1848"/>
      <c r="H1848"/>
      <c r="I1848"/>
    </row>
    <row r="1849" spans="6:9" x14ac:dyDescent="0.3">
      <c r="F1849"/>
      <c r="G1849"/>
      <c r="H1849"/>
      <c r="I1849"/>
    </row>
    <row r="1850" spans="6:9" x14ac:dyDescent="0.3">
      <c r="F1850"/>
      <c r="G1850"/>
      <c r="H1850"/>
      <c r="I1850"/>
    </row>
    <row r="1851" spans="6:9" x14ac:dyDescent="0.3">
      <c r="F1851"/>
      <c r="G1851"/>
      <c r="H1851"/>
      <c r="I1851"/>
    </row>
    <row r="1852" spans="6:9" x14ac:dyDescent="0.3">
      <c r="F1852"/>
      <c r="G1852"/>
      <c r="H1852"/>
      <c r="I1852"/>
    </row>
    <row r="1853" spans="6:9" x14ac:dyDescent="0.3">
      <c r="F1853"/>
      <c r="G1853"/>
      <c r="H1853"/>
      <c r="I1853"/>
    </row>
    <row r="1854" spans="6:9" x14ac:dyDescent="0.3">
      <c r="F1854"/>
      <c r="G1854"/>
      <c r="H1854"/>
      <c r="I1854"/>
    </row>
    <row r="1855" spans="6:9" x14ac:dyDescent="0.3">
      <c r="F1855"/>
      <c r="G1855"/>
      <c r="H1855"/>
      <c r="I1855"/>
    </row>
    <row r="1856" spans="6:9" x14ac:dyDescent="0.3">
      <c r="F1856"/>
      <c r="G1856"/>
      <c r="H1856"/>
      <c r="I1856"/>
    </row>
    <row r="1857" spans="6:9" x14ac:dyDescent="0.3">
      <c r="F1857"/>
      <c r="G1857"/>
      <c r="H1857"/>
      <c r="I1857"/>
    </row>
    <row r="1858" spans="6:9" x14ac:dyDescent="0.3">
      <c r="F1858"/>
      <c r="G1858"/>
      <c r="H1858"/>
      <c r="I1858"/>
    </row>
    <row r="1859" spans="6:9" x14ac:dyDescent="0.3">
      <c r="F1859"/>
      <c r="G1859"/>
      <c r="H1859"/>
      <c r="I1859"/>
    </row>
    <row r="1860" spans="6:9" x14ac:dyDescent="0.3">
      <c r="F1860"/>
      <c r="G1860"/>
      <c r="H1860"/>
      <c r="I1860"/>
    </row>
    <row r="1861" spans="6:9" x14ac:dyDescent="0.3">
      <c r="F1861"/>
      <c r="G1861"/>
      <c r="H1861"/>
      <c r="I1861"/>
    </row>
    <row r="1862" spans="6:9" x14ac:dyDescent="0.3">
      <c r="F1862"/>
      <c r="G1862"/>
      <c r="H1862"/>
      <c r="I1862"/>
    </row>
    <row r="1863" spans="6:9" x14ac:dyDescent="0.3">
      <c r="F1863"/>
      <c r="G1863"/>
      <c r="H1863"/>
      <c r="I1863"/>
    </row>
    <row r="1864" spans="6:9" x14ac:dyDescent="0.3">
      <c r="F1864"/>
      <c r="G1864"/>
      <c r="H1864"/>
      <c r="I1864"/>
    </row>
    <row r="1865" spans="6:9" x14ac:dyDescent="0.3">
      <c r="F1865"/>
      <c r="G1865"/>
      <c r="H1865"/>
      <c r="I1865"/>
    </row>
    <row r="1866" spans="6:9" x14ac:dyDescent="0.3">
      <c r="F1866"/>
      <c r="G1866"/>
      <c r="H1866"/>
      <c r="I1866"/>
    </row>
    <row r="1867" spans="6:9" x14ac:dyDescent="0.3">
      <c r="F1867"/>
      <c r="G1867"/>
      <c r="H1867"/>
      <c r="I1867"/>
    </row>
    <row r="1868" spans="6:9" x14ac:dyDescent="0.3">
      <c r="F1868"/>
      <c r="G1868"/>
      <c r="H1868"/>
      <c r="I1868"/>
    </row>
    <row r="1869" spans="6:9" x14ac:dyDescent="0.3">
      <c r="F1869"/>
      <c r="G1869"/>
      <c r="H1869"/>
      <c r="I1869"/>
    </row>
    <row r="1870" spans="6:9" x14ac:dyDescent="0.3">
      <c r="F1870"/>
      <c r="G1870"/>
      <c r="H1870"/>
      <c r="I1870"/>
    </row>
    <row r="1871" spans="6:9" x14ac:dyDescent="0.3">
      <c r="F1871"/>
      <c r="G1871"/>
      <c r="H1871"/>
      <c r="I1871"/>
    </row>
    <row r="1872" spans="6:9" x14ac:dyDescent="0.3">
      <c r="F1872"/>
      <c r="G1872"/>
      <c r="H1872"/>
      <c r="I1872"/>
    </row>
    <row r="1873" spans="6:9" x14ac:dyDescent="0.3">
      <c r="F1873"/>
      <c r="G1873"/>
      <c r="H1873"/>
      <c r="I1873"/>
    </row>
    <row r="1874" spans="6:9" x14ac:dyDescent="0.3">
      <c r="F1874"/>
      <c r="G1874"/>
      <c r="H1874"/>
      <c r="I1874"/>
    </row>
    <row r="1875" spans="6:9" x14ac:dyDescent="0.3">
      <c r="F1875"/>
      <c r="G1875"/>
      <c r="H1875"/>
      <c r="I1875"/>
    </row>
    <row r="1876" spans="6:9" x14ac:dyDescent="0.3">
      <c r="F1876"/>
      <c r="G1876"/>
      <c r="H1876"/>
      <c r="I1876"/>
    </row>
    <row r="1877" spans="6:9" x14ac:dyDescent="0.3">
      <c r="F1877"/>
      <c r="G1877"/>
      <c r="H1877"/>
      <c r="I1877"/>
    </row>
    <row r="1878" spans="6:9" x14ac:dyDescent="0.3">
      <c r="F1878"/>
      <c r="G1878"/>
      <c r="H1878"/>
      <c r="I1878"/>
    </row>
    <row r="1879" spans="6:9" x14ac:dyDescent="0.3">
      <c r="F1879"/>
      <c r="G1879"/>
      <c r="H1879"/>
      <c r="I1879"/>
    </row>
    <row r="1880" spans="6:9" x14ac:dyDescent="0.3">
      <c r="F1880"/>
      <c r="G1880"/>
      <c r="H1880"/>
      <c r="I1880"/>
    </row>
    <row r="1881" spans="6:9" x14ac:dyDescent="0.3">
      <c r="F1881"/>
      <c r="G1881"/>
      <c r="H1881"/>
      <c r="I1881"/>
    </row>
    <row r="1882" spans="6:9" x14ac:dyDescent="0.3">
      <c r="F1882"/>
      <c r="G1882"/>
      <c r="H1882"/>
      <c r="I1882"/>
    </row>
    <row r="1883" spans="6:9" x14ac:dyDescent="0.3">
      <c r="F1883"/>
      <c r="G1883"/>
      <c r="H1883"/>
      <c r="I1883"/>
    </row>
    <row r="1884" spans="6:9" x14ac:dyDescent="0.3">
      <c r="F1884"/>
      <c r="G1884"/>
      <c r="H1884"/>
      <c r="I1884"/>
    </row>
    <row r="1885" spans="6:9" x14ac:dyDescent="0.3">
      <c r="F1885"/>
      <c r="G1885"/>
      <c r="H1885"/>
      <c r="I1885"/>
    </row>
    <row r="1886" spans="6:9" x14ac:dyDescent="0.3">
      <c r="F1886"/>
      <c r="G1886"/>
      <c r="H1886"/>
      <c r="I1886"/>
    </row>
    <row r="1887" spans="6:9" x14ac:dyDescent="0.3">
      <c r="F1887"/>
      <c r="G1887"/>
      <c r="H1887"/>
      <c r="I1887"/>
    </row>
    <row r="1888" spans="6:9" x14ac:dyDescent="0.3">
      <c r="F1888"/>
      <c r="G1888"/>
      <c r="H1888"/>
      <c r="I1888"/>
    </row>
    <row r="1889" spans="6:9" x14ac:dyDescent="0.3">
      <c r="F1889"/>
      <c r="G1889"/>
      <c r="H1889"/>
      <c r="I1889"/>
    </row>
    <row r="1890" spans="6:9" x14ac:dyDescent="0.3">
      <c r="F1890"/>
      <c r="G1890"/>
      <c r="H1890"/>
      <c r="I1890"/>
    </row>
    <row r="1891" spans="6:9" x14ac:dyDescent="0.3">
      <c r="F1891"/>
      <c r="G1891"/>
      <c r="H1891"/>
      <c r="I1891"/>
    </row>
    <row r="1892" spans="6:9" x14ac:dyDescent="0.3">
      <c r="F1892"/>
      <c r="G1892"/>
      <c r="H1892"/>
      <c r="I1892"/>
    </row>
    <row r="1893" spans="6:9" x14ac:dyDescent="0.3">
      <c r="F1893"/>
      <c r="G1893"/>
      <c r="H1893"/>
      <c r="I1893"/>
    </row>
    <row r="1894" spans="6:9" x14ac:dyDescent="0.3">
      <c r="F1894"/>
      <c r="G1894"/>
      <c r="H1894"/>
      <c r="I1894"/>
    </row>
    <row r="1895" spans="6:9" x14ac:dyDescent="0.3">
      <c r="F1895"/>
      <c r="G1895"/>
      <c r="H1895"/>
      <c r="I1895"/>
    </row>
    <row r="1896" spans="6:9" x14ac:dyDescent="0.3">
      <c r="F1896"/>
      <c r="G1896"/>
      <c r="H1896"/>
      <c r="I1896"/>
    </row>
    <row r="1897" spans="6:9" x14ac:dyDescent="0.3">
      <c r="F1897"/>
      <c r="G1897"/>
      <c r="H1897"/>
      <c r="I1897"/>
    </row>
    <row r="1898" spans="6:9" x14ac:dyDescent="0.3">
      <c r="F1898"/>
      <c r="G1898"/>
      <c r="H1898"/>
      <c r="I1898"/>
    </row>
    <row r="1899" spans="6:9" x14ac:dyDescent="0.3">
      <c r="F1899"/>
      <c r="G1899"/>
      <c r="H1899"/>
      <c r="I1899"/>
    </row>
    <row r="1900" spans="6:9" x14ac:dyDescent="0.3">
      <c r="F1900"/>
      <c r="G1900"/>
      <c r="H1900"/>
      <c r="I1900"/>
    </row>
    <row r="1901" spans="6:9" x14ac:dyDescent="0.3">
      <c r="F1901"/>
      <c r="G1901"/>
      <c r="H1901"/>
      <c r="I1901"/>
    </row>
    <row r="1902" spans="6:9" x14ac:dyDescent="0.3">
      <c r="F1902"/>
      <c r="G1902"/>
      <c r="H1902"/>
      <c r="I1902"/>
    </row>
    <row r="1903" spans="6:9" x14ac:dyDescent="0.3">
      <c r="F1903"/>
      <c r="G1903"/>
      <c r="H1903"/>
      <c r="I1903"/>
    </row>
    <row r="1904" spans="6:9" x14ac:dyDescent="0.3">
      <c r="F1904"/>
      <c r="G1904"/>
      <c r="H1904"/>
      <c r="I1904"/>
    </row>
    <row r="1905" spans="6:9" x14ac:dyDescent="0.3">
      <c r="F1905"/>
      <c r="G1905"/>
      <c r="H1905"/>
      <c r="I1905"/>
    </row>
    <row r="1906" spans="6:9" x14ac:dyDescent="0.3">
      <c r="F1906"/>
      <c r="G1906"/>
      <c r="H1906"/>
      <c r="I1906"/>
    </row>
    <row r="1907" spans="6:9" x14ac:dyDescent="0.3">
      <c r="F1907"/>
      <c r="G1907"/>
      <c r="H1907"/>
      <c r="I1907"/>
    </row>
    <row r="1908" spans="6:9" x14ac:dyDescent="0.3">
      <c r="F1908"/>
      <c r="G1908"/>
      <c r="H1908"/>
      <c r="I1908"/>
    </row>
    <row r="1909" spans="6:9" x14ac:dyDescent="0.3">
      <c r="F1909"/>
      <c r="G1909"/>
      <c r="H1909"/>
      <c r="I1909"/>
    </row>
    <row r="1910" spans="6:9" x14ac:dyDescent="0.3">
      <c r="F1910"/>
      <c r="G1910"/>
      <c r="H1910"/>
      <c r="I1910"/>
    </row>
    <row r="1911" spans="6:9" x14ac:dyDescent="0.3">
      <c r="F1911"/>
      <c r="G1911"/>
      <c r="H1911"/>
      <c r="I1911"/>
    </row>
    <row r="1912" spans="6:9" x14ac:dyDescent="0.3">
      <c r="F1912"/>
      <c r="G1912"/>
      <c r="H1912"/>
      <c r="I1912"/>
    </row>
    <row r="1913" spans="6:9" x14ac:dyDescent="0.3">
      <c r="F1913"/>
      <c r="G1913"/>
      <c r="H1913"/>
      <c r="I1913"/>
    </row>
    <row r="1914" spans="6:9" x14ac:dyDescent="0.3">
      <c r="F1914"/>
      <c r="G1914"/>
      <c r="H1914"/>
      <c r="I1914"/>
    </row>
    <row r="1915" spans="6:9" x14ac:dyDescent="0.3">
      <c r="F1915"/>
      <c r="G1915"/>
      <c r="H1915"/>
      <c r="I1915"/>
    </row>
    <row r="1916" spans="6:9" x14ac:dyDescent="0.3">
      <c r="F1916"/>
      <c r="G1916"/>
      <c r="H1916"/>
      <c r="I1916"/>
    </row>
    <row r="1917" spans="6:9" x14ac:dyDescent="0.3">
      <c r="F1917"/>
      <c r="G1917"/>
      <c r="H1917"/>
      <c r="I1917"/>
    </row>
    <row r="1918" spans="6:9" x14ac:dyDescent="0.3">
      <c r="F1918"/>
      <c r="G1918"/>
      <c r="H1918"/>
      <c r="I1918"/>
    </row>
    <row r="1919" spans="6:9" x14ac:dyDescent="0.3">
      <c r="F1919"/>
      <c r="G1919"/>
      <c r="H1919"/>
      <c r="I1919"/>
    </row>
    <row r="1920" spans="6:9" x14ac:dyDescent="0.3">
      <c r="F1920"/>
      <c r="G1920"/>
      <c r="H1920"/>
      <c r="I1920"/>
    </row>
    <row r="1921" spans="6:9" x14ac:dyDescent="0.3">
      <c r="F1921"/>
      <c r="G1921"/>
      <c r="H1921"/>
      <c r="I1921"/>
    </row>
    <row r="1922" spans="6:9" x14ac:dyDescent="0.3">
      <c r="F1922"/>
      <c r="G1922"/>
      <c r="H1922"/>
      <c r="I1922"/>
    </row>
    <row r="1923" spans="6:9" x14ac:dyDescent="0.3">
      <c r="F1923"/>
      <c r="G1923"/>
      <c r="H1923"/>
      <c r="I1923"/>
    </row>
    <row r="1924" spans="6:9" x14ac:dyDescent="0.3">
      <c r="F1924"/>
      <c r="G1924"/>
      <c r="H1924"/>
      <c r="I1924"/>
    </row>
    <row r="1925" spans="6:9" x14ac:dyDescent="0.3">
      <c r="F1925"/>
      <c r="G1925"/>
      <c r="H1925"/>
      <c r="I1925"/>
    </row>
    <row r="1926" spans="6:9" x14ac:dyDescent="0.3">
      <c r="F1926"/>
      <c r="G1926"/>
      <c r="H1926"/>
      <c r="I1926"/>
    </row>
    <row r="1927" spans="6:9" x14ac:dyDescent="0.3">
      <c r="F1927"/>
      <c r="G1927"/>
      <c r="H1927"/>
      <c r="I1927"/>
    </row>
    <row r="1928" spans="6:9" x14ac:dyDescent="0.3">
      <c r="F1928"/>
      <c r="G1928"/>
      <c r="H1928"/>
      <c r="I1928"/>
    </row>
    <row r="1929" spans="6:9" x14ac:dyDescent="0.3">
      <c r="F1929"/>
      <c r="G1929"/>
      <c r="H1929"/>
      <c r="I1929"/>
    </row>
    <row r="1930" spans="6:9" x14ac:dyDescent="0.3">
      <c r="F1930"/>
      <c r="G1930"/>
      <c r="H1930"/>
      <c r="I1930"/>
    </row>
    <row r="1931" spans="6:9" x14ac:dyDescent="0.3">
      <c r="F1931"/>
      <c r="G1931"/>
      <c r="H1931"/>
      <c r="I1931"/>
    </row>
    <row r="1932" spans="6:9" x14ac:dyDescent="0.3">
      <c r="F1932"/>
      <c r="G1932"/>
      <c r="H1932"/>
      <c r="I1932"/>
    </row>
    <row r="1933" spans="6:9" x14ac:dyDescent="0.3">
      <c r="F1933"/>
      <c r="G1933"/>
      <c r="H1933"/>
      <c r="I1933"/>
    </row>
    <row r="1934" spans="6:9" x14ac:dyDescent="0.3">
      <c r="F1934"/>
      <c r="G1934"/>
      <c r="H1934"/>
      <c r="I1934"/>
    </row>
    <row r="1935" spans="6:9" x14ac:dyDescent="0.3">
      <c r="F1935"/>
      <c r="G1935"/>
      <c r="H1935"/>
      <c r="I1935"/>
    </row>
    <row r="1936" spans="6:9" x14ac:dyDescent="0.3">
      <c r="F1936"/>
      <c r="G1936"/>
      <c r="H1936"/>
      <c r="I1936"/>
    </row>
    <row r="1937" spans="6:9" x14ac:dyDescent="0.3">
      <c r="F1937"/>
      <c r="G1937"/>
      <c r="H1937"/>
      <c r="I1937"/>
    </row>
    <row r="1938" spans="6:9" x14ac:dyDescent="0.3">
      <c r="F1938"/>
      <c r="G1938"/>
      <c r="H1938"/>
      <c r="I1938"/>
    </row>
    <row r="1939" spans="6:9" x14ac:dyDescent="0.3">
      <c r="F1939"/>
      <c r="G1939"/>
      <c r="H1939"/>
      <c r="I1939"/>
    </row>
    <row r="1940" spans="6:9" x14ac:dyDescent="0.3">
      <c r="F1940"/>
      <c r="G1940"/>
      <c r="H1940"/>
      <c r="I1940"/>
    </row>
    <row r="1941" spans="6:9" x14ac:dyDescent="0.3">
      <c r="F1941"/>
      <c r="G1941"/>
      <c r="H1941"/>
      <c r="I1941"/>
    </row>
    <row r="1942" spans="6:9" x14ac:dyDescent="0.3">
      <c r="F1942"/>
      <c r="G1942"/>
      <c r="H1942"/>
      <c r="I1942"/>
    </row>
    <row r="1943" spans="6:9" x14ac:dyDescent="0.3">
      <c r="F1943"/>
      <c r="G1943"/>
      <c r="H1943"/>
      <c r="I1943"/>
    </row>
    <row r="1944" spans="6:9" x14ac:dyDescent="0.3">
      <c r="F1944"/>
      <c r="G1944"/>
      <c r="H1944"/>
      <c r="I1944"/>
    </row>
    <row r="1945" spans="6:9" x14ac:dyDescent="0.3">
      <c r="F1945"/>
      <c r="G1945"/>
      <c r="H1945"/>
      <c r="I1945"/>
    </row>
    <row r="1946" spans="6:9" x14ac:dyDescent="0.3">
      <c r="F1946"/>
      <c r="G1946"/>
      <c r="H1946"/>
      <c r="I1946"/>
    </row>
    <row r="1947" spans="6:9" x14ac:dyDescent="0.3">
      <c r="F1947"/>
      <c r="G1947"/>
      <c r="H1947"/>
      <c r="I1947"/>
    </row>
    <row r="1948" spans="6:9" x14ac:dyDescent="0.3">
      <c r="F1948"/>
      <c r="G1948"/>
      <c r="H1948"/>
      <c r="I1948"/>
    </row>
    <row r="1949" spans="6:9" x14ac:dyDescent="0.3">
      <c r="F1949"/>
      <c r="G1949"/>
      <c r="H1949"/>
      <c r="I1949"/>
    </row>
    <row r="1950" spans="6:9" x14ac:dyDescent="0.3">
      <c r="F1950"/>
      <c r="G1950"/>
      <c r="H1950"/>
      <c r="I1950"/>
    </row>
    <row r="1951" spans="6:9" x14ac:dyDescent="0.3">
      <c r="F1951"/>
      <c r="G1951"/>
      <c r="H1951"/>
      <c r="I1951"/>
    </row>
    <row r="1952" spans="6:9" x14ac:dyDescent="0.3">
      <c r="F1952"/>
      <c r="G1952"/>
      <c r="H1952"/>
      <c r="I1952"/>
    </row>
    <row r="1953" spans="6:9" x14ac:dyDescent="0.3">
      <c r="F1953"/>
      <c r="G1953"/>
      <c r="H1953"/>
      <c r="I1953"/>
    </row>
    <row r="1954" spans="6:9" x14ac:dyDescent="0.3">
      <c r="F1954"/>
      <c r="G1954"/>
      <c r="H1954"/>
      <c r="I1954"/>
    </row>
    <row r="1955" spans="6:9" x14ac:dyDescent="0.3">
      <c r="F1955"/>
      <c r="G1955"/>
      <c r="H1955"/>
      <c r="I1955"/>
    </row>
    <row r="1956" spans="6:9" x14ac:dyDescent="0.3">
      <c r="F1956"/>
      <c r="G1956"/>
      <c r="H1956"/>
      <c r="I1956"/>
    </row>
    <row r="1957" spans="6:9" x14ac:dyDescent="0.3">
      <c r="F1957"/>
      <c r="G1957"/>
      <c r="H1957"/>
      <c r="I1957"/>
    </row>
    <row r="1958" spans="6:9" x14ac:dyDescent="0.3">
      <c r="F1958"/>
      <c r="G1958"/>
      <c r="H1958"/>
      <c r="I1958"/>
    </row>
    <row r="1959" spans="6:9" x14ac:dyDescent="0.3">
      <c r="F1959"/>
      <c r="G1959"/>
      <c r="H1959"/>
      <c r="I1959"/>
    </row>
    <row r="1960" spans="6:9" x14ac:dyDescent="0.3">
      <c r="F1960"/>
      <c r="G1960"/>
      <c r="H1960"/>
      <c r="I1960"/>
    </row>
    <row r="1961" spans="6:9" x14ac:dyDescent="0.3">
      <c r="F1961"/>
      <c r="G1961"/>
      <c r="H1961"/>
      <c r="I1961"/>
    </row>
    <row r="1962" spans="6:9" x14ac:dyDescent="0.3">
      <c r="F1962"/>
      <c r="G1962"/>
      <c r="H1962"/>
      <c r="I1962"/>
    </row>
    <row r="1963" spans="6:9" x14ac:dyDescent="0.3">
      <c r="F1963"/>
      <c r="G1963"/>
      <c r="H1963"/>
      <c r="I1963"/>
    </row>
    <row r="1964" spans="6:9" x14ac:dyDescent="0.3">
      <c r="F1964"/>
      <c r="G1964"/>
      <c r="H1964"/>
      <c r="I1964"/>
    </row>
    <row r="1965" spans="6:9" x14ac:dyDescent="0.3">
      <c r="F1965"/>
      <c r="G1965"/>
      <c r="H1965"/>
      <c r="I1965"/>
    </row>
    <row r="1966" spans="6:9" x14ac:dyDescent="0.3">
      <c r="F1966"/>
      <c r="G1966"/>
      <c r="H1966"/>
      <c r="I1966"/>
    </row>
    <row r="1967" spans="6:9" x14ac:dyDescent="0.3">
      <c r="F1967"/>
      <c r="G1967"/>
      <c r="H1967"/>
      <c r="I1967"/>
    </row>
    <row r="1968" spans="6:9" x14ac:dyDescent="0.3">
      <c r="F1968"/>
      <c r="G1968"/>
      <c r="H1968"/>
      <c r="I1968"/>
    </row>
    <row r="1969" spans="6:9" x14ac:dyDescent="0.3">
      <c r="F1969"/>
      <c r="G1969"/>
      <c r="H1969"/>
      <c r="I1969"/>
    </row>
    <row r="1970" spans="6:9" x14ac:dyDescent="0.3">
      <c r="F1970"/>
      <c r="G1970"/>
      <c r="H1970"/>
      <c r="I1970"/>
    </row>
    <row r="1971" spans="6:9" x14ac:dyDescent="0.3">
      <c r="F1971"/>
      <c r="G1971"/>
      <c r="H1971"/>
      <c r="I1971"/>
    </row>
    <row r="1972" spans="6:9" x14ac:dyDescent="0.3">
      <c r="F1972"/>
      <c r="G1972"/>
      <c r="H1972"/>
      <c r="I1972"/>
    </row>
    <row r="1973" spans="6:9" x14ac:dyDescent="0.3">
      <c r="F1973"/>
      <c r="G1973"/>
      <c r="H1973"/>
      <c r="I1973"/>
    </row>
    <row r="1974" spans="6:9" x14ac:dyDescent="0.3">
      <c r="F1974"/>
      <c r="G1974"/>
      <c r="H1974"/>
      <c r="I1974"/>
    </row>
    <row r="1975" spans="6:9" x14ac:dyDescent="0.3">
      <c r="F1975"/>
      <c r="G1975"/>
      <c r="H1975"/>
      <c r="I1975"/>
    </row>
    <row r="1976" spans="6:9" x14ac:dyDescent="0.3">
      <c r="F1976"/>
      <c r="G1976"/>
      <c r="H1976"/>
      <c r="I1976"/>
    </row>
    <row r="1977" spans="6:9" x14ac:dyDescent="0.3">
      <c r="F1977"/>
      <c r="G1977"/>
      <c r="H1977"/>
      <c r="I1977"/>
    </row>
    <row r="1978" spans="6:9" x14ac:dyDescent="0.3">
      <c r="F1978"/>
      <c r="G1978"/>
      <c r="H1978"/>
      <c r="I1978"/>
    </row>
    <row r="1979" spans="6:9" x14ac:dyDescent="0.3">
      <c r="F1979"/>
      <c r="G1979"/>
      <c r="H1979"/>
      <c r="I1979"/>
    </row>
    <row r="1980" spans="6:9" x14ac:dyDescent="0.3">
      <c r="F1980"/>
      <c r="G1980"/>
      <c r="H1980"/>
      <c r="I1980"/>
    </row>
    <row r="1981" spans="6:9" x14ac:dyDescent="0.3">
      <c r="F1981"/>
      <c r="G1981"/>
      <c r="H1981"/>
      <c r="I1981"/>
    </row>
    <row r="1982" spans="6:9" x14ac:dyDescent="0.3">
      <c r="F1982"/>
      <c r="G1982"/>
      <c r="H1982"/>
      <c r="I1982"/>
    </row>
    <row r="1983" spans="6:9" x14ac:dyDescent="0.3">
      <c r="F1983"/>
      <c r="G1983"/>
      <c r="H1983"/>
      <c r="I1983"/>
    </row>
    <row r="1984" spans="6:9" x14ac:dyDescent="0.3">
      <c r="F1984"/>
      <c r="G1984"/>
      <c r="H1984"/>
      <c r="I1984"/>
    </row>
    <row r="1985" spans="6:9" x14ac:dyDescent="0.3">
      <c r="F1985"/>
      <c r="G1985"/>
      <c r="H1985"/>
      <c r="I1985"/>
    </row>
    <row r="1986" spans="6:9" x14ac:dyDescent="0.3">
      <c r="F1986"/>
      <c r="G1986"/>
      <c r="H1986"/>
      <c r="I1986"/>
    </row>
    <row r="1987" spans="6:9" x14ac:dyDescent="0.3">
      <c r="F1987"/>
      <c r="G1987"/>
      <c r="H1987"/>
      <c r="I1987"/>
    </row>
    <row r="1988" spans="6:9" x14ac:dyDescent="0.3">
      <c r="F1988"/>
      <c r="G1988"/>
      <c r="H1988"/>
      <c r="I1988"/>
    </row>
    <row r="1989" spans="6:9" x14ac:dyDescent="0.3">
      <c r="F1989"/>
      <c r="G1989"/>
      <c r="H1989"/>
      <c r="I1989"/>
    </row>
    <row r="1990" spans="6:9" x14ac:dyDescent="0.3">
      <c r="F1990"/>
      <c r="G1990"/>
      <c r="H1990"/>
      <c r="I1990"/>
    </row>
    <row r="1991" spans="6:9" x14ac:dyDescent="0.3">
      <c r="F1991"/>
      <c r="G1991"/>
      <c r="H1991"/>
      <c r="I1991"/>
    </row>
    <row r="1992" spans="6:9" x14ac:dyDescent="0.3">
      <c r="F1992"/>
      <c r="G1992"/>
      <c r="H1992"/>
      <c r="I1992"/>
    </row>
    <row r="1993" spans="6:9" x14ac:dyDescent="0.3">
      <c r="F1993"/>
      <c r="G1993"/>
      <c r="H1993"/>
      <c r="I1993"/>
    </row>
    <row r="1994" spans="6:9" x14ac:dyDescent="0.3">
      <c r="F1994"/>
      <c r="G1994"/>
      <c r="H1994"/>
      <c r="I1994"/>
    </row>
    <row r="1995" spans="6:9" x14ac:dyDescent="0.3">
      <c r="F1995"/>
      <c r="G1995"/>
      <c r="H1995"/>
      <c r="I1995"/>
    </row>
    <row r="1996" spans="6:9" x14ac:dyDescent="0.3">
      <c r="F1996"/>
      <c r="G1996"/>
      <c r="H1996"/>
      <c r="I1996"/>
    </row>
    <row r="1997" spans="6:9" x14ac:dyDescent="0.3">
      <c r="F1997"/>
      <c r="G1997"/>
      <c r="H1997"/>
      <c r="I1997"/>
    </row>
    <row r="1998" spans="6:9" x14ac:dyDescent="0.3">
      <c r="F1998"/>
      <c r="G1998"/>
      <c r="H1998"/>
      <c r="I1998"/>
    </row>
    <row r="1999" spans="6:9" x14ac:dyDescent="0.3">
      <c r="F1999"/>
      <c r="G1999"/>
      <c r="H1999"/>
      <c r="I1999"/>
    </row>
    <row r="2000" spans="6:9" x14ac:dyDescent="0.3">
      <c r="F2000"/>
      <c r="G2000"/>
      <c r="H2000"/>
      <c r="I2000"/>
    </row>
    <row r="2001" spans="6:9" x14ac:dyDescent="0.3">
      <c r="F2001"/>
      <c r="G2001"/>
      <c r="H2001"/>
      <c r="I2001"/>
    </row>
    <row r="2002" spans="6:9" x14ac:dyDescent="0.3">
      <c r="F2002"/>
      <c r="G2002"/>
      <c r="H2002"/>
      <c r="I2002"/>
    </row>
    <row r="2003" spans="6:9" x14ac:dyDescent="0.3">
      <c r="F2003"/>
      <c r="G2003"/>
      <c r="H2003"/>
      <c r="I2003"/>
    </row>
    <row r="2004" spans="6:9" x14ac:dyDescent="0.3">
      <c r="F2004"/>
      <c r="G2004"/>
      <c r="H2004"/>
      <c r="I2004"/>
    </row>
    <row r="2005" spans="6:9" x14ac:dyDescent="0.3">
      <c r="F2005"/>
      <c r="G2005"/>
      <c r="H2005"/>
      <c r="I2005"/>
    </row>
    <row r="2006" spans="6:9" x14ac:dyDescent="0.3">
      <c r="F2006"/>
      <c r="G2006"/>
      <c r="H2006"/>
      <c r="I2006"/>
    </row>
    <row r="2007" spans="6:9" x14ac:dyDescent="0.3">
      <c r="F2007"/>
      <c r="G2007"/>
      <c r="H2007"/>
      <c r="I2007"/>
    </row>
    <row r="2008" spans="6:9" x14ac:dyDescent="0.3">
      <c r="F2008"/>
      <c r="G2008"/>
      <c r="H2008"/>
      <c r="I2008"/>
    </row>
    <row r="2009" spans="6:9" x14ac:dyDescent="0.3">
      <c r="F2009"/>
      <c r="G2009"/>
      <c r="H2009"/>
      <c r="I2009"/>
    </row>
    <row r="2010" spans="6:9" x14ac:dyDescent="0.3">
      <c r="F2010"/>
      <c r="G2010"/>
      <c r="H2010"/>
      <c r="I2010"/>
    </row>
    <row r="2011" spans="6:9" x14ac:dyDescent="0.3">
      <c r="F2011"/>
      <c r="G2011"/>
      <c r="H2011"/>
      <c r="I2011"/>
    </row>
    <row r="2012" spans="6:9" x14ac:dyDescent="0.3">
      <c r="F2012"/>
      <c r="G2012"/>
      <c r="H2012"/>
      <c r="I2012"/>
    </row>
    <row r="2013" spans="6:9" x14ac:dyDescent="0.3">
      <c r="F2013"/>
      <c r="G2013"/>
      <c r="H2013"/>
      <c r="I2013"/>
    </row>
    <row r="2014" spans="6:9" x14ac:dyDescent="0.3">
      <c r="F2014"/>
      <c r="G2014"/>
      <c r="H2014"/>
      <c r="I2014"/>
    </row>
    <row r="2015" spans="6:9" x14ac:dyDescent="0.3">
      <c r="F2015"/>
      <c r="G2015"/>
      <c r="H2015"/>
      <c r="I2015"/>
    </row>
    <row r="2016" spans="6:9" x14ac:dyDescent="0.3">
      <c r="F2016"/>
      <c r="G2016"/>
      <c r="H2016"/>
      <c r="I2016"/>
    </row>
    <row r="2017" spans="6:9" x14ac:dyDescent="0.3">
      <c r="F2017"/>
      <c r="G2017"/>
      <c r="H2017"/>
      <c r="I2017"/>
    </row>
    <row r="2018" spans="6:9" x14ac:dyDescent="0.3">
      <c r="F2018"/>
      <c r="G2018"/>
      <c r="H2018"/>
      <c r="I2018"/>
    </row>
    <row r="2019" spans="6:9" x14ac:dyDescent="0.3">
      <c r="F2019"/>
      <c r="G2019"/>
      <c r="H2019"/>
      <c r="I2019"/>
    </row>
    <row r="2020" spans="6:9" x14ac:dyDescent="0.3">
      <c r="F2020"/>
      <c r="G2020"/>
      <c r="H2020"/>
      <c r="I2020"/>
    </row>
    <row r="2021" spans="6:9" x14ac:dyDescent="0.3">
      <c r="F2021"/>
      <c r="G2021"/>
      <c r="H2021"/>
      <c r="I2021"/>
    </row>
    <row r="2022" spans="6:9" x14ac:dyDescent="0.3">
      <c r="F2022"/>
      <c r="G2022"/>
      <c r="H2022"/>
      <c r="I2022"/>
    </row>
    <row r="2023" spans="6:9" x14ac:dyDescent="0.3">
      <c r="F2023"/>
      <c r="G2023"/>
      <c r="H2023"/>
      <c r="I2023"/>
    </row>
    <row r="2024" spans="6:9" x14ac:dyDescent="0.3">
      <c r="F2024"/>
      <c r="G2024"/>
      <c r="H2024"/>
      <c r="I2024"/>
    </row>
    <row r="2025" spans="6:9" x14ac:dyDescent="0.3">
      <c r="F2025"/>
      <c r="G2025"/>
      <c r="H2025"/>
      <c r="I2025"/>
    </row>
    <row r="2026" spans="6:9" x14ac:dyDescent="0.3">
      <c r="F2026"/>
      <c r="G2026"/>
      <c r="H2026"/>
      <c r="I2026"/>
    </row>
    <row r="2027" spans="6:9" x14ac:dyDescent="0.3">
      <c r="F2027"/>
      <c r="G2027"/>
      <c r="H2027"/>
      <c r="I2027"/>
    </row>
    <row r="2028" spans="6:9" x14ac:dyDescent="0.3">
      <c r="F2028"/>
      <c r="G2028"/>
      <c r="H2028"/>
      <c r="I2028"/>
    </row>
    <row r="2029" spans="6:9" x14ac:dyDescent="0.3">
      <c r="F2029"/>
      <c r="G2029"/>
      <c r="H2029"/>
      <c r="I2029"/>
    </row>
    <row r="2030" spans="6:9" x14ac:dyDescent="0.3">
      <c r="F2030"/>
      <c r="G2030"/>
      <c r="H2030"/>
      <c r="I2030"/>
    </row>
    <row r="2031" spans="6:9" x14ac:dyDescent="0.3">
      <c r="F2031"/>
      <c r="G2031"/>
      <c r="H2031"/>
      <c r="I2031"/>
    </row>
    <row r="2032" spans="6:9" x14ac:dyDescent="0.3">
      <c r="F2032"/>
      <c r="G2032"/>
      <c r="H2032"/>
      <c r="I2032"/>
    </row>
    <row r="2033" spans="6:9" x14ac:dyDescent="0.3">
      <c r="F2033"/>
      <c r="G2033"/>
      <c r="H2033"/>
      <c r="I2033"/>
    </row>
    <row r="2034" spans="6:9" x14ac:dyDescent="0.3">
      <c r="F2034"/>
      <c r="G2034"/>
      <c r="H2034"/>
      <c r="I2034"/>
    </row>
    <row r="2035" spans="6:9" x14ac:dyDescent="0.3">
      <c r="F2035"/>
      <c r="G2035"/>
      <c r="H2035"/>
      <c r="I2035"/>
    </row>
    <row r="2036" spans="6:9" x14ac:dyDescent="0.3">
      <c r="F2036"/>
      <c r="G2036"/>
      <c r="H2036"/>
      <c r="I2036"/>
    </row>
    <row r="2037" spans="6:9" x14ac:dyDescent="0.3">
      <c r="F2037"/>
      <c r="G2037"/>
      <c r="H2037"/>
      <c r="I2037"/>
    </row>
    <row r="2038" spans="6:9" x14ac:dyDescent="0.3">
      <c r="F2038"/>
      <c r="G2038"/>
      <c r="H2038"/>
      <c r="I2038"/>
    </row>
    <row r="2039" spans="6:9" x14ac:dyDescent="0.3">
      <c r="F2039"/>
      <c r="G2039"/>
      <c r="H2039"/>
      <c r="I2039"/>
    </row>
    <row r="2040" spans="6:9" x14ac:dyDescent="0.3">
      <c r="F2040"/>
      <c r="G2040"/>
      <c r="H2040"/>
      <c r="I2040"/>
    </row>
    <row r="2041" spans="6:9" x14ac:dyDescent="0.3">
      <c r="F2041"/>
      <c r="G2041"/>
      <c r="H2041"/>
      <c r="I2041"/>
    </row>
    <row r="2042" spans="6:9" x14ac:dyDescent="0.3">
      <c r="F2042"/>
      <c r="G2042"/>
      <c r="H2042"/>
      <c r="I2042"/>
    </row>
    <row r="2043" spans="6:9" x14ac:dyDescent="0.3">
      <c r="F2043"/>
      <c r="G2043"/>
      <c r="H2043"/>
      <c r="I2043"/>
    </row>
    <row r="2044" spans="6:9" x14ac:dyDescent="0.3">
      <c r="F2044"/>
      <c r="G2044"/>
      <c r="H2044"/>
      <c r="I2044"/>
    </row>
    <row r="2045" spans="6:9" x14ac:dyDescent="0.3">
      <c r="F2045"/>
      <c r="G2045"/>
      <c r="H2045"/>
      <c r="I2045"/>
    </row>
    <row r="2046" spans="6:9" x14ac:dyDescent="0.3">
      <c r="F2046"/>
      <c r="G2046"/>
      <c r="H2046"/>
      <c r="I2046"/>
    </row>
    <row r="2047" spans="6:9" x14ac:dyDescent="0.3">
      <c r="F2047"/>
      <c r="G2047"/>
      <c r="H2047"/>
      <c r="I2047"/>
    </row>
    <row r="2048" spans="6:9" x14ac:dyDescent="0.3">
      <c r="F2048"/>
      <c r="G2048"/>
      <c r="H2048"/>
      <c r="I2048"/>
    </row>
    <row r="2049" spans="6:9" x14ac:dyDescent="0.3">
      <c r="F2049"/>
      <c r="G2049"/>
      <c r="H2049"/>
      <c r="I2049"/>
    </row>
    <row r="2050" spans="6:9" x14ac:dyDescent="0.3">
      <c r="F2050"/>
      <c r="G2050"/>
      <c r="H2050"/>
      <c r="I2050"/>
    </row>
    <row r="2051" spans="6:9" x14ac:dyDescent="0.3">
      <c r="F2051"/>
      <c r="G2051"/>
      <c r="H2051"/>
      <c r="I2051"/>
    </row>
    <row r="2052" spans="6:9" x14ac:dyDescent="0.3">
      <c r="F2052"/>
      <c r="G2052"/>
      <c r="H2052"/>
      <c r="I2052"/>
    </row>
    <row r="2053" spans="6:9" x14ac:dyDescent="0.3">
      <c r="F2053"/>
      <c r="G2053"/>
      <c r="H2053"/>
      <c r="I2053"/>
    </row>
    <row r="2054" spans="6:9" x14ac:dyDescent="0.3">
      <c r="F2054"/>
      <c r="G2054"/>
      <c r="H2054"/>
      <c r="I2054"/>
    </row>
    <row r="2055" spans="6:9" x14ac:dyDescent="0.3">
      <c r="F2055"/>
      <c r="G2055"/>
      <c r="H2055"/>
      <c r="I2055"/>
    </row>
    <row r="2056" spans="6:9" x14ac:dyDescent="0.3">
      <c r="F2056"/>
      <c r="G2056"/>
      <c r="H2056"/>
      <c r="I2056"/>
    </row>
    <row r="2057" spans="6:9" x14ac:dyDescent="0.3">
      <c r="F2057"/>
      <c r="G2057"/>
      <c r="H2057"/>
      <c r="I2057"/>
    </row>
    <row r="2058" spans="6:9" x14ac:dyDescent="0.3">
      <c r="F2058"/>
      <c r="G2058"/>
      <c r="H2058"/>
      <c r="I2058"/>
    </row>
    <row r="2059" spans="6:9" x14ac:dyDescent="0.3">
      <c r="F2059"/>
      <c r="G2059"/>
      <c r="H2059"/>
      <c r="I2059"/>
    </row>
    <row r="2060" spans="6:9" x14ac:dyDescent="0.3">
      <c r="F2060"/>
      <c r="G2060"/>
      <c r="H2060"/>
      <c r="I2060"/>
    </row>
    <row r="2061" spans="6:9" x14ac:dyDescent="0.3">
      <c r="F2061"/>
      <c r="G2061"/>
      <c r="H2061"/>
      <c r="I2061"/>
    </row>
    <row r="2062" spans="6:9" x14ac:dyDescent="0.3">
      <c r="F2062"/>
      <c r="G2062"/>
      <c r="H2062"/>
      <c r="I2062"/>
    </row>
    <row r="2063" spans="6:9" x14ac:dyDescent="0.3">
      <c r="F2063"/>
      <c r="G2063"/>
      <c r="H2063"/>
      <c r="I2063"/>
    </row>
    <row r="2064" spans="6:9" x14ac:dyDescent="0.3">
      <c r="F2064"/>
      <c r="G2064"/>
      <c r="H2064"/>
      <c r="I2064"/>
    </row>
    <row r="2065" spans="6:9" x14ac:dyDescent="0.3">
      <c r="F2065"/>
      <c r="G2065"/>
      <c r="H2065"/>
      <c r="I2065"/>
    </row>
    <row r="2066" spans="6:9" x14ac:dyDescent="0.3">
      <c r="F2066"/>
      <c r="G2066"/>
      <c r="H2066"/>
      <c r="I2066"/>
    </row>
    <row r="2067" spans="6:9" x14ac:dyDescent="0.3">
      <c r="F2067"/>
      <c r="G2067"/>
      <c r="H2067"/>
      <c r="I2067"/>
    </row>
    <row r="2068" spans="6:9" x14ac:dyDescent="0.3">
      <c r="F2068"/>
      <c r="G2068"/>
      <c r="H2068"/>
      <c r="I2068"/>
    </row>
    <row r="2069" spans="6:9" x14ac:dyDescent="0.3">
      <c r="F2069"/>
      <c r="G2069"/>
      <c r="H2069"/>
      <c r="I2069"/>
    </row>
    <row r="2070" spans="6:9" x14ac:dyDescent="0.3">
      <c r="F2070"/>
      <c r="G2070"/>
      <c r="H2070"/>
      <c r="I2070"/>
    </row>
    <row r="2071" spans="6:9" x14ac:dyDescent="0.3">
      <c r="F2071"/>
      <c r="G2071"/>
      <c r="H2071"/>
      <c r="I2071"/>
    </row>
    <row r="2072" spans="6:9" x14ac:dyDescent="0.3">
      <c r="F2072"/>
      <c r="G2072"/>
      <c r="H2072"/>
      <c r="I2072"/>
    </row>
    <row r="2073" spans="6:9" x14ac:dyDescent="0.3">
      <c r="F2073"/>
      <c r="G2073"/>
      <c r="H2073"/>
      <c r="I2073"/>
    </row>
    <row r="2074" spans="6:9" x14ac:dyDescent="0.3">
      <c r="F2074"/>
      <c r="G2074"/>
      <c r="H2074"/>
      <c r="I2074"/>
    </row>
    <row r="2075" spans="6:9" x14ac:dyDescent="0.3">
      <c r="F2075"/>
      <c r="G2075"/>
      <c r="H2075"/>
      <c r="I2075"/>
    </row>
    <row r="2076" spans="6:9" x14ac:dyDescent="0.3">
      <c r="F2076"/>
      <c r="G2076"/>
      <c r="H2076"/>
      <c r="I2076"/>
    </row>
    <row r="2077" spans="6:9" x14ac:dyDescent="0.3">
      <c r="F2077"/>
      <c r="G2077"/>
      <c r="H2077"/>
      <c r="I2077"/>
    </row>
    <row r="2078" spans="6:9" x14ac:dyDescent="0.3">
      <c r="F2078"/>
      <c r="G2078"/>
      <c r="H2078"/>
      <c r="I2078"/>
    </row>
    <row r="2079" spans="6:9" x14ac:dyDescent="0.3">
      <c r="F2079"/>
      <c r="G2079"/>
      <c r="H2079"/>
      <c r="I2079"/>
    </row>
    <row r="2080" spans="6:9" x14ac:dyDescent="0.3">
      <c r="F2080"/>
      <c r="G2080"/>
      <c r="H2080"/>
      <c r="I2080"/>
    </row>
    <row r="2081" spans="6:9" x14ac:dyDescent="0.3">
      <c r="F2081"/>
      <c r="G2081"/>
      <c r="H2081"/>
      <c r="I2081"/>
    </row>
    <row r="2082" spans="6:9" x14ac:dyDescent="0.3">
      <c r="F2082"/>
      <c r="G2082"/>
      <c r="H2082"/>
      <c r="I2082"/>
    </row>
    <row r="2083" spans="6:9" x14ac:dyDescent="0.3">
      <c r="F2083"/>
      <c r="G2083"/>
      <c r="H2083"/>
      <c r="I2083"/>
    </row>
    <row r="2084" spans="6:9" x14ac:dyDescent="0.3">
      <c r="F2084"/>
      <c r="G2084"/>
      <c r="H2084"/>
      <c r="I2084"/>
    </row>
    <row r="2085" spans="6:9" x14ac:dyDescent="0.3">
      <c r="F2085"/>
      <c r="G2085"/>
      <c r="H2085"/>
      <c r="I2085"/>
    </row>
    <row r="2086" spans="6:9" x14ac:dyDescent="0.3">
      <c r="F2086"/>
      <c r="G2086"/>
      <c r="H2086"/>
      <c r="I2086"/>
    </row>
    <row r="2087" spans="6:9" x14ac:dyDescent="0.3">
      <c r="F2087"/>
      <c r="G2087"/>
      <c r="H2087"/>
      <c r="I2087"/>
    </row>
    <row r="2088" spans="6:9" x14ac:dyDescent="0.3">
      <c r="F2088"/>
      <c r="G2088"/>
      <c r="H2088"/>
      <c r="I2088"/>
    </row>
    <row r="2089" spans="6:9" x14ac:dyDescent="0.3">
      <c r="F2089"/>
      <c r="G2089"/>
      <c r="H2089"/>
      <c r="I2089"/>
    </row>
    <row r="2090" spans="6:9" x14ac:dyDescent="0.3">
      <c r="F2090"/>
      <c r="G2090"/>
      <c r="H2090"/>
      <c r="I2090"/>
    </row>
    <row r="2091" spans="6:9" x14ac:dyDescent="0.3">
      <c r="F2091"/>
      <c r="G2091"/>
      <c r="H2091"/>
      <c r="I2091"/>
    </row>
    <row r="2092" spans="6:9" x14ac:dyDescent="0.3">
      <c r="F2092"/>
      <c r="G2092"/>
      <c r="H2092"/>
      <c r="I2092"/>
    </row>
    <row r="2093" spans="6:9" x14ac:dyDescent="0.3">
      <c r="F2093"/>
      <c r="G2093"/>
      <c r="H2093"/>
      <c r="I2093"/>
    </row>
    <row r="2094" spans="6:9" x14ac:dyDescent="0.3">
      <c r="F2094"/>
      <c r="G2094"/>
      <c r="H2094"/>
      <c r="I2094"/>
    </row>
    <row r="2095" spans="6:9" x14ac:dyDescent="0.3">
      <c r="F2095"/>
      <c r="G2095"/>
      <c r="H2095"/>
      <c r="I2095"/>
    </row>
    <row r="2096" spans="6:9" x14ac:dyDescent="0.3">
      <c r="F2096"/>
      <c r="G2096"/>
      <c r="H2096"/>
      <c r="I2096"/>
    </row>
    <row r="2097" spans="6:9" x14ac:dyDescent="0.3">
      <c r="F2097"/>
      <c r="G2097"/>
      <c r="H2097"/>
      <c r="I2097"/>
    </row>
    <row r="2098" spans="6:9" x14ac:dyDescent="0.3">
      <c r="F2098"/>
      <c r="G2098"/>
      <c r="H2098"/>
      <c r="I2098"/>
    </row>
    <row r="2099" spans="6:9" x14ac:dyDescent="0.3">
      <c r="F2099"/>
      <c r="G2099"/>
      <c r="H2099"/>
      <c r="I2099"/>
    </row>
    <row r="2100" spans="6:9" x14ac:dyDescent="0.3">
      <c r="F2100"/>
      <c r="G2100"/>
      <c r="H2100"/>
      <c r="I2100"/>
    </row>
    <row r="2101" spans="6:9" x14ac:dyDescent="0.3">
      <c r="F2101"/>
      <c r="G2101"/>
      <c r="H2101"/>
      <c r="I2101"/>
    </row>
    <row r="2102" spans="6:9" x14ac:dyDescent="0.3">
      <c r="F2102"/>
      <c r="G2102"/>
      <c r="H2102"/>
      <c r="I2102"/>
    </row>
    <row r="2103" spans="6:9" x14ac:dyDescent="0.3">
      <c r="F2103"/>
      <c r="G2103"/>
      <c r="H2103"/>
      <c r="I2103"/>
    </row>
    <row r="2104" spans="6:9" x14ac:dyDescent="0.3">
      <c r="F2104"/>
      <c r="G2104"/>
      <c r="H2104"/>
      <c r="I2104"/>
    </row>
    <row r="2105" spans="6:9" x14ac:dyDescent="0.3">
      <c r="F2105"/>
      <c r="G2105"/>
      <c r="H2105"/>
      <c r="I2105"/>
    </row>
    <row r="2106" spans="6:9" x14ac:dyDescent="0.3">
      <c r="F2106"/>
      <c r="G2106"/>
      <c r="H2106"/>
      <c r="I2106"/>
    </row>
    <row r="2107" spans="6:9" x14ac:dyDescent="0.3">
      <c r="F2107"/>
      <c r="G2107"/>
      <c r="H2107"/>
      <c r="I2107"/>
    </row>
    <row r="2108" spans="6:9" x14ac:dyDescent="0.3">
      <c r="F2108"/>
      <c r="G2108"/>
      <c r="H2108"/>
      <c r="I2108"/>
    </row>
    <row r="2109" spans="6:9" x14ac:dyDescent="0.3">
      <c r="F2109"/>
      <c r="G2109"/>
      <c r="H2109"/>
      <c r="I2109"/>
    </row>
    <row r="2110" spans="6:9" x14ac:dyDescent="0.3">
      <c r="F2110"/>
      <c r="G2110"/>
      <c r="H2110"/>
      <c r="I2110"/>
    </row>
    <row r="2111" spans="6:9" x14ac:dyDescent="0.3">
      <c r="F2111"/>
      <c r="G2111"/>
      <c r="H2111"/>
      <c r="I2111"/>
    </row>
    <row r="2112" spans="6:9" x14ac:dyDescent="0.3">
      <c r="F2112"/>
      <c r="G2112"/>
      <c r="H2112"/>
      <c r="I2112"/>
    </row>
    <row r="2113" spans="6:9" x14ac:dyDescent="0.3">
      <c r="F2113"/>
      <c r="G2113"/>
      <c r="H2113"/>
      <c r="I2113"/>
    </row>
    <row r="2114" spans="6:9" x14ac:dyDescent="0.3">
      <c r="F2114"/>
      <c r="G2114"/>
      <c r="H2114"/>
      <c r="I2114"/>
    </row>
    <row r="2115" spans="6:9" x14ac:dyDescent="0.3">
      <c r="F2115"/>
      <c r="G2115"/>
      <c r="H2115"/>
      <c r="I2115"/>
    </row>
    <row r="2116" spans="6:9" x14ac:dyDescent="0.3">
      <c r="F2116"/>
      <c r="G2116"/>
      <c r="H2116"/>
      <c r="I2116"/>
    </row>
    <row r="2117" spans="6:9" x14ac:dyDescent="0.3">
      <c r="F2117"/>
      <c r="G2117"/>
      <c r="H2117"/>
      <c r="I2117"/>
    </row>
    <row r="2118" spans="6:9" x14ac:dyDescent="0.3">
      <c r="F2118"/>
      <c r="G2118"/>
      <c r="H2118"/>
      <c r="I2118"/>
    </row>
    <row r="2119" spans="6:9" x14ac:dyDescent="0.3">
      <c r="F2119"/>
      <c r="G2119"/>
      <c r="H2119"/>
      <c r="I2119"/>
    </row>
    <row r="2120" spans="6:9" x14ac:dyDescent="0.3">
      <c r="F2120"/>
      <c r="G2120"/>
      <c r="H2120"/>
      <c r="I2120"/>
    </row>
    <row r="2121" spans="6:9" x14ac:dyDescent="0.3">
      <c r="F2121"/>
      <c r="G2121"/>
      <c r="H2121"/>
      <c r="I2121"/>
    </row>
    <row r="2122" spans="6:9" x14ac:dyDescent="0.3">
      <c r="F2122"/>
      <c r="G2122"/>
      <c r="H2122"/>
      <c r="I2122"/>
    </row>
    <row r="2123" spans="6:9" x14ac:dyDescent="0.3">
      <c r="F2123"/>
      <c r="G2123"/>
      <c r="H2123"/>
      <c r="I2123"/>
    </row>
    <row r="2124" spans="6:9" x14ac:dyDescent="0.3">
      <c r="F2124"/>
      <c r="G2124"/>
      <c r="H2124"/>
      <c r="I2124"/>
    </row>
    <row r="2125" spans="6:9" x14ac:dyDescent="0.3">
      <c r="F2125"/>
      <c r="G2125"/>
      <c r="H2125"/>
      <c r="I2125"/>
    </row>
    <row r="2126" spans="6:9" x14ac:dyDescent="0.3">
      <c r="F2126"/>
      <c r="G2126"/>
      <c r="H2126"/>
      <c r="I2126"/>
    </row>
    <row r="2127" spans="6:9" x14ac:dyDescent="0.3">
      <c r="F2127"/>
      <c r="G2127"/>
      <c r="H2127"/>
      <c r="I2127"/>
    </row>
    <row r="2128" spans="6:9" x14ac:dyDescent="0.3">
      <c r="F2128"/>
      <c r="G2128"/>
      <c r="H2128"/>
      <c r="I2128"/>
    </row>
    <row r="2129" spans="6:9" x14ac:dyDescent="0.3">
      <c r="F2129"/>
      <c r="G2129"/>
      <c r="H2129"/>
      <c r="I2129"/>
    </row>
    <row r="2130" spans="6:9" x14ac:dyDescent="0.3">
      <c r="F2130"/>
      <c r="G2130"/>
      <c r="H2130"/>
      <c r="I2130"/>
    </row>
    <row r="2131" spans="6:9" x14ac:dyDescent="0.3">
      <c r="F2131"/>
      <c r="G2131"/>
      <c r="H2131"/>
      <c r="I2131"/>
    </row>
    <row r="2132" spans="6:9" x14ac:dyDescent="0.3">
      <c r="F2132"/>
      <c r="G2132"/>
      <c r="H2132"/>
      <c r="I2132"/>
    </row>
    <row r="2133" spans="6:9" x14ac:dyDescent="0.3">
      <c r="F2133"/>
      <c r="G2133"/>
      <c r="H2133"/>
      <c r="I2133"/>
    </row>
    <row r="2134" spans="6:9" x14ac:dyDescent="0.3">
      <c r="F2134"/>
      <c r="G2134"/>
      <c r="H2134"/>
      <c r="I2134"/>
    </row>
    <row r="2135" spans="6:9" x14ac:dyDescent="0.3">
      <c r="F2135"/>
      <c r="G2135"/>
      <c r="H2135"/>
      <c r="I2135"/>
    </row>
    <row r="2136" spans="6:9" x14ac:dyDescent="0.3">
      <c r="F2136"/>
      <c r="G2136"/>
      <c r="H2136"/>
      <c r="I2136"/>
    </row>
    <row r="2137" spans="6:9" x14ac:dyDescent="0.3">
      <c r="F2137"/>
      <c r="G2137"/>
      <c r="H2137"/>
      <c r="I2137"/>
    </row>
    <row r="2138" spans="6:9" x14ac:dyDescent="0.3">
      <c r="F2138"/>
      <c r="G2138"/>
      <c r="H2138"/>
      <c r="I2138"/>
    </row>
    <row r="2139" spans="6:9" x14ac:dyDescent="0.3">
      <c r="F2139"/>
      <c r="G2139"/>
      <c r="H2139"/>
      <c r="I2139"/>
    </row>
    <row r="2140" spans="6:9" x14ac:dyDescent="0.3">
      <c r="F2140"/>
      <c r="G2140"/>
      <c r="H2140"/>
      <c r="I2140"/>
    </row>
    <row r="2141" spans="6:9" x14ac:dyDescent="0.3">
      <c r="F2141"/>
      <c r="G2141"/>
      <c r="H2141"/>
      <c r="I2141"/>
    </row>
    <row r="2142" spans="6:9" x14ac:dyDescent="0.3">
      <c r="F2142"/>
      <c r="G2142"/>
      <c r="H2142"/>
      <c r="I2142"/>
    </row>
    <row r="2143" spans="6:9" x14ac:dyDescent="0.3">
      <c r="F2143"/>
      <c r="G2143"/>
      <c r="H2143"/>
      <c r="I2143"/>
    </row>
    <row r="2144" spans="6:9" x14ac:dyDescent="0.3">
      <c r="F2144"/>
      <c r="G2144"/>
      <c r="H2144"/>
      <c r="I2144"/>
    </row>
    <row r="2145" spans="6:9" x14ac:dyDescent="0.3">
      <c r="F2145"/>
      <c r="G2145"/>
      <c r="H2145"/>
      <c r="I2145"/>
    </row>
    <row r="2146" spans="6:9" x14ac:dyDescent="0.3">
      <c r="F2146"/>
      <c r="G2146"/>
      <c r="H2146"/>
      <c r="I2146"/>
    </row>
    <row r="2147" spans="6:9" x14ac:dyDescent="0.3">
      <c r="F2147"/>
      <c r="G2147"/>
      <c r="H2147"/>
      <c r="I2147"/>
    </row>
    <row r="2148" spans="6:9" x14ac:dyDescent="0.3">
      <c r="F2148"/>
      <c r="G2148"/>
      <c r="H2148"/>
      <c r="I2148"/>
    </row>
    <row r="2149" spans="6:9" x14ac:dyDescent="0.3">
      <c r="F2149"/>
      <c r="G2149"/>
      <c r="H2149"/>
      <c r="I2149"/>
    </row>
    <row r="2150" spans="6:9" x14ac:dyDescent="0.3">
      <c r="F2150"/>
      <c r="G2150"/>
      <c r="H2150"/>
      <c r="I2150"/>
    </row>
    <row r="2151" spans="6:9" x14ac:dyDescent="0.3">
      <c r="F2151"/>
      <c r="G2151"/>
      <c r="H2151"/>
      <c r="I2151"/>
    </row>
    <row r="2152" spans="6:9" x14ac:dyDescent="0.3">
      <c r="F2152"/>
      <c r="G2152"/>
      <c r="H2152"/>
      <c r="I2152"/>
    </row>
    <row r="2153" spans="6:9" x14ac:dyDescent="0.3">
      <c r="F2153"/>
      <c r="G2153"/>
      <c r="H2153"/>
      <c r="I2153"/>
    </row>
    <row r="2154" spans="6:9" x14ac:dyDescent="0.3">
      <c r="F2154"/>
      <c r="G2154"/>
      <c r="H2154"/>
      <c r="I2154"/>
    </row>
    <row r="2155" spans="6:9" x14ac:dyDescent="0.3">
      <c r="F2155"/>
      <c r="G2155"/>
      <c r="H2155"/>
      <c r="I2155"/>
    </row>
    <row r="2156" spans="6:9" x14ac:dyDescent="0.3">
      <c r="F2156"/>
      <c r="G2156"/>
      <c r="H2156"/>
      <c r="I2156"/>
    </row>
    <row r="2157" spans="6:9" x14ac:dyDescent="0.3">
      <c r="F2157"/>
      <c r="G2157"/>
      <c r="H2157"/>
      <c r="I2157"/>
    </row>
    <row r="2158" spans="6:9" x14ac:dyDescent="0.3">
      <c r="F2158"/>
      <c r="G2158"/>
      <c r="H2158"/>
      <c r="I2158"/>
    </row>
    <row r="2159" spans="6:9" x14ac:dyDescent="0.3">
      <c r="F2159"/>
      <c r="G2159"/>
      <c r="H2159"/>
      <c r="I2159"/>
    </row>
    <row r="2160" spans="6:9" x14ac:dyDescent="0.3">
      <c r="F2160"/>
      <c r="G2160"/>
      <c r="H2160"/>
      <c r="I2160"/>
    </row>
    <row r="2161" spans="6:9" x14ac:dyDescent="0.3">
      <c r="F2161"/>
      <c r="G2161"/>
      <c r="H2161"/>
      <c r="I2161"/>
    </row>
    <row r="2162" spans="6:9" x14ac:dyDescent="0.3">
      <c r="F2162"/>
      <c r="G2162"/>
      <c r="H2162"/>
      <c r="I2162"/>
    </row>
    <row r="2163" spans="6:9" x14ac:dyDescent="0.3">
      <c r="F2163"/>
      <c r="G2163"/>
      <c r="H2163"/>
      <c r="I2163"/>
    </row>
    <row r="2164" spans="6:9" x14ac:dyDescent="0.3">
      <c r="F2164"/>
      <c r="G2164"/>
      <c r="H2164"/>
      <c r="I2164"/>
    </row>
    <row r="2165" spans="6:9" x14ac:dyDescent="0.3">
      <c r="F2165"/>
      <c r="G2165"/>
      <c r="H2165"/>
      <c r="I2165"/>
    </row>
    <row r="2166" spans="6:9" x14ac:dyDescent="0.3">
      <c r="F2166"/>
      <c r="G2166"/>
      <c r="H2166"/>
      <c r="I2166"/>
    </row>
    <row r="2167" spans="6:9" x14ac:dyDescent="0.3">
      <c r="F2167"/>
      <c r="G2167"/>
      <c r="H2167"/>
      <c r="I2167"/>
    </row>
    <row r="2168" spans="6:9" x14ac:dyDescent="0.3">
      <c r="F2168"/>
      <c r="G2168"/>
      <c r="H2168"/>
      <c r="I2168"/>
    </row>
    <row r="2169" spans="6:9" x14ac:dyDescent="0.3">
      <c r="F2169"/>
      <c r="G2169"/>
      <c r="H2169"/>
      <c r="I2169"/>
    </row>
    <row r="2170" spans="6:9" x14ac:dyDescent="0.3">
      <c r="F2170"/>
      <c r="G2170"/>
      <c r="H2170"/>
      <c r="I2170"/>
    </row>
    <row r="2171" spans="6:9" x14ac:dyDescent="0.3">
      <c r="F2171"/>
      <c r="G2171"/>
      <c r="H2171"/>
      <c r="I2171"/>
    </row>
    <row r="2172" spans="6:9" x14ac:dyDescent="0.3">
      <c r="F2172"/>
      <c r="G2172"/>
      <c r="H2172"/>
      <c r="I2172"/>
    </row>
    <row r="2173" spans="6:9" x14ac:dyDescent="0.3">
      <c r="F2173"/>
      <c r="G2173"/>
      <c r="H2173"/>
      <c r="I2173"/>
    </row>
    <row r="2174" spans="6:9" x14ac:dyDescent="0.3">
      <c r="F2174"/>
      <c r="G2174"/>
      <c r="H2174"/>
      <c r="I2174"/>
    </row>
    <row r="2175" spans="6:9" x14ac:dyDescent="0.3">
      <c r="F2175"/>
      <c r="G2175"/>
      <c r="H2175"/>
      <c r="I2175"/>
    </row>
    <row r="2176" spans="6:9" x14ac:dyDescent="0.3">
      <c r="F2176"/>
      <c r="G2176"/>
      <c r="H2176"/>
      <c r="I2176"/>
    </row>
    <row r="2177" spans="6:9" x14ac:dyDescent="0.3">
      <c r="F2177"/>
      <c r="G2177"/>
      <c r="H2177"/>
      <c r="I2177"/>
    </row>
    <row r="2178" spans="6:9" x14ac:dyDescent="0.3">
      <c r="F2178"/>
      <c r="G2178"/>
      <c r="H2178"/>
      <c r="I2178"/>
    </row>
    <row r="2179" spans="6:9" x14ac:dyDescent="0.3">
      <c r="F2179"/>
      <c r="G2179"/>
      <c r="H2179"/>
      <c r="I2179"/>
    </row>
    <row r="2180" spans="6:9" x14ac:dyDescent="0.3">
      <c r="F2180"/>
      <c r="G2180"/>
      <c r="H2180"/>
      <c r="I2180"/>
    </row>
    <row r="2181" spans="6:9" x14ac:dyDescent="0.3">
      <c r="F2181"/>
      <c r="G2181"/>
      <c r="H2181"/>
      <c r="I2181"/>
    </row>
    <row r="2182" spans="6:9" x14ac:dyDescent="0.3">
      <c r="F2182"/>
      <c r="G2182"/>
      <c r="H2182"/>
      <c r="I2182"/>
    </row>
    <row r="2183" spans="6:9" x14ac:dyDescent="0.3">
      <c r="F2183"/>
      <c r="G2183"/>
      <c r="H2183"/>
      <c r="I2183"/>
    </row>
    <row r="2184" spans="6:9" x14ac:dyDescent="0.3">
      <c r="F2184"/>
      <c r="G2184"/>
      <c r="H2184"/>
      <c r="I2184"/>
    </row>
    <row r="2185" spans="6:9" x14ac:dyDescent="0.3">
      <c r="F2185"/>
      <c r="G2185"/>
      <c r="H2185"/>
      <c r="I2185"/>
    </row>
    <row r="2186" spans="6:9" x14ac:dyDescent="0.3">
      <c r="F2186"/>
      <c r="G2186"/>
      <c r="H2186"/>
      <c r="I2186"/>
    </row>
    <row r="2187" spans="6:9" x14ac:dyDescent="0.3">
      <c r="F2187"/>
      <c r="G2187"/>
      <c r="H2187"/>
      <c r="I2187"/>
    </row>
    <row r="2188" spans="6:9" x14ac:dyDescent="0.3">
      <c r="F2188"/>
      <c r="G2188"/>
      <c r="H2188"/>
      <c r="I2188"/>
    </row>
    <row r="2189" spans="6:9" x14ac:dyDescent="0.3">
      <c r="F2189"/>
      <c r="G2189"/>
      <c r="H2189"/>
      <c r="I2189"/>
    </row>
    <row r="2190" spans="6:9" x14ac:dyDescent="0.3">
      <c r="F2190"/>
      <c r="G2190"/>
      <c r="H2190"/>
      <c r="I2190"/>
    </row>
    <row r="2191" spans="6:9" x14ac:dyDescent="0.3">
      <c r="F2191"/>
      <c r="G2191"/>
      <c r="H2191"/>
      <c r="I2191"/>
    </row>
    <row r="2192" spans="6:9" x14ac:dyDescent="0.3">
      <c r="F2192"/>
      <c r="G2192"/>
      <c r="H2192"/>
      <c r="I2192"/>
    </row>
    <row r="2193" spans="6:9" x14ac:dyDescent="0.3">
      <c r="F2193"/>
      <c r="G2193"/>
      <c r="H2193"/>
      <c r="I2193"/>
    </row>
    <row r="2194" spans="6:9" x14ac:dyDescent="0.3">
      <c r="F2194"/>
      <c r="G2194"/>
      <c r="H2194"/>
      <c r="I2194"/>
    </row>
    <row r="2195" spans="6:9" x14ac:dyDescent="0.3">
      <c r="F2195"/>
      <c r="G2195"/>
      <c r="H2195"/>
      <c r="I2195"/>
    </row>
    <row r="2196" spans="6:9" x14ac:dyDescent="0.3">
      <c r="F2196"/>
      <c r="G2196"/>
      <c r="H2196"/>
      <c r="I2196"/>
    </row>
    <row r="2197" spans="6:9" x14ac:dyDescent="0.3">
      <c r="F2197"/>
      <c r="G2197"/>
      <c r="H2197"/>
      <c r="I2197"/>
    </row>
    <row r="2198" spans="6:9" x14ac:dyDescent="0.3">
      <c r="F2198"/>
      <c r="G2198"/>
      <c r="H2198"/>
      <c r="I2198"/>
    </row>
    <row r="2199" spans="6:9" x14ac:dyDescent="0.3">
      <c r="F2199"/>
      <c r="G2199"/>
      <c r="H2199"/>
      <c r="I2199"/>
    </row>
    <row r="2200" spans="6:9" x14ac:dyDescent="0.3">
      <c r="F2200"/>
      <c r="G2200"/>
      <c r="H2200"/>
      <c r="I2200"/>
    </row>
    <row r="2201" spans="6:9" x14ac:dyDescent="0.3">
      <c r="F2201"/>
      <c r="G2201"/>
      <c r="H2201"/>
      <c r="I2201"/>
    </row>
    <row r="2202" spans="6:9" x14ac:dyDescent="0.3">
      <c r="F2202"/>
      <c r="G2202"/>
      <c r="H2202"/>
      <c r="I2202"/>
    </row>
    <row r="2203" spans="6:9" x14ac:dyDescent="0.3">
      <c r="F2203"/>
      <c r="G2203"/>
      <c r="H2203"/>
      <c r="I2203"/>
    </row>
    <row r="2204" spans="6:9" x14ac:dyDescent="0.3">
      <c r="F2204"/>
      <c r="G2204"/>
      <c r="H2204"/>
      <c r="I2204"/>
    </row>
    <row r="2205" spans="6:9" x14ac:dyDescent="0.3">
      <c r="F2205"/>
      <c r="G2205"/>
      <c r="H2205"/>
      <c r="I2205"/>
    </row>
    <row r="2206" spans="6:9" x14ac:dyDescent="0.3">
      <c r="F2206"/>
      <c r="G2206"/>
      <c r="H2206"/>
      <c r="I2206"/>
    </row>
    <row r="2207" spans="6:9" x14ac:dyDescent="0.3">
      <c r="F2207"/>
      <c r="G2207"/>
      <c r="H2207"/>
      <c r="I2207"/>
    </row>
    <row r="2208" spans="6:9" x14ac:dyDescent="0.3">
      <c r="F2208"/>
      <c r="G2208"/>
      <c r="H2208"/>
      <c r="I2208"/>
    </row>
    <row r="2209" spans="6:9" x14ac:dyDescent="0.3">
      <c r="F2209"/>
      <c r="G2209"/>
      <c r="H2209"/>
      <c r="I2209"/>
    </row>
    <row r="2210" spans="6:9" x14ac:dyDescent="0.3">
      <c r="F2210"/>
      <c r="G2210"/>
      <c r="H2210"/>
      <c r="I2210"/>
    </row>
    <row r="2211" spans="6:9" x14ac:dyDescent="0.3">
      <c r="F2211"/>
      <c r="G2211"/>
      <c r="H2211"/>
      <c r="I2211"/>
    </row>
    <row r="2212" spans="6:9" x14ac:dyDescent="0.3">
      <c r="F2212"/>
      <c r="G2212"/>
      <c r="H2212"/>
      <c r="I2212"/>
    </row>
    <row r="2213" spans="6:9" x14ac:dyDescent="0.3">
      <c r="F2213"/>
      <c r="G2213"/>
      <c r="H2213"/>
      <c r="I2213"/>
    </row>
    <row r="2214" spans="6:9" x14ac:dyDescent="0.3">
      <c r="F2214"/>
      <c r="G2214"/>
      <c r="H2214"/>
      <c r="I2214"/>
    </row>
    <row r="2215" spans="6:9" x14ac:dyDescent="0.3">
      <c r="F2215"/>
      <c r="G2215"/>
      <c r="H2215"/>
      <c r="I2215"/>
    </row>
    <row r="2216" spans="6:9" x14ac:dyDescent="0.3">
      <c r="F2216"/>
      <c r="G2216"/>
      <c r="H2216"/>
      <c r="I2216"/>
    </row>
    <row r="2217" spans="6:9" x14ac:dyDescent="0.3">
      <c r="F2217"/>
      <c r="G2217"/>
      <c r="H2217"/>
      <c r="I2217"/>
    </row>
    <row r="2218" spans="6:9" x14ac:dyDescent="0.3">
      <c r="F2218"/>
      <c r="G2218"/>
      <c r="H2218"/>
      <c r="I2218"/>
    </row>
    <row r="2219" spans="6:9" x14ac:dyDescent="0.3">
      <c r="F2219"/>
      <c r="G2219"/>
      <c r="H2219"/>
      <c r="I2219"/>
    </row>
    <row r="2220" spans="6:9" x14ac:dyDescent="0.3">
      <c r="F2220"/>
      <c r="G2220"/>
      <c r="H2220"/>
      <c r="I2220"/>
    </row>
    <row r="2221" spans="6:9" x14ac:dyDescent="0.3">
      <c r="F2221"/>
      <c r="G2221"/>
      <c r="H2221"/>
      <c r="I2221"/>
    </row>
    <row r="2222" spans="6:9" x14ac:dyDescent="0.3">
      <c r="F2222"/>
      <c r="G2222"/>
      <c r="H2222"/>
      <c r="I2222"/>
    </row>
    <row r="2223" spans="6:9" x14ac:dyDescent="0.3">
      <c r="F2223"/>
      <c r="G2223"/>
      <c r="H2223"/>
      <c r="I2223"/>
    </row>
    <row r="2224" spans="6:9" x14ac:dyDescent="0.3">
      <c r="F2224"/>
      <c r="G2224"/>
      <c r="H2224"/>
      <c r="I2224"/>
    </row>
    <row r="2225" spans="6:9" x14ac:dyDescent="0.3">
      <c r="F2225"/>
      <c r="G2225"/>
      <c r="H2225"/>
      <c r="I2225"/>
    </row>
    <row r="2226" spans="6:9" x14ac:dyDescent="0.3">
      <c r="F2226"/>
      <c r="G2226"/>
      <c r="H2226"/>
      <c r="I2226"/>
    </row>
    <row r="2227" spans="6:9" x14ac:dyDescent="0.3">
      <c r="F2227"/>
      <c r="G2227"/>
      <c r="H2227"/>
      <c r="I2227"/>
    </row>
    <row r="2228" spans="6:9" x14ac:dyDescent="0.3">
      <c r="F2228"/>
      <c r="G2228"/>
      <c r="H2228"/>
      <c r="I2228"/>
    </row>
    <row r="2229" spans="6:9" x14ac:dyDescent="0.3">
      <c r="F2229"/>
      <c r="G2229"/>
      <c r="H2229"/>
      <c r="I2229"/>
    </row>
    <row r="2230" spans="6:9" x14ac:dyDescent="0.3">
      <c r="F2230"/>
      <c r="G2230"/>
      <c r="H2230"/>
      <c r="I2230"/>
    </row>
    <row r="2231" spans="6:9" x14ac:dyDescent="0.3">
      <c r="F2231"/>
      <c r="G2231"/>
      <c r="H2231"/>
      <c r="I2231"/>
    </row>
    <row r="2232" spans="6:9" x14ac:dyDescent="0.3">
      <c r="F2232"/>
      <c r="G2232"/>
      <c r="H2232"/>
      <c r="I2232"/>
    </row>
    <row r="2233" spans="6:9" x14ac:dyDescent="0.3">
      <c r="F2233"/>
      <c r="G2233"/>
      <c r="H2233"/>
      <c r="I2233"/>
    </row>
    <row r="2234" spans="6:9" x14ac:dyDescent="0.3">
      <c r="F2234"/>
      <c r="G2234"/>
      <c r="H2234"/>
      <c r="I2234"/>
    </row>
    <row r="2235" spans="6:9" x14ac:dyDescent="0.3">
      <c r="F2235"/>
      <c r="G2235"/>
      <c r="H2235"/>
      <c r="I2235"/>
    </row>
    <row r="2236" spans="6:9" x14ac:dyDescent="0.3">
      <c r="F2236"/>
      <c r="G2236"/>
      <c r="H2236"/>
      <c r="I2236"/>
    </row>
    <row r="2237" spans="6:9" x14ac:dyDescent="0.3">
      <c r="F2237"/>
      <c r="G2237"/>
      <c r="H2237"/>
      <c r="I2237"/>
    </row>
    <row r="2238" spans="6:9" x14ac:dyDescent="0.3">
      <c r="F2238"/>
      <c r="G2238"/>
      <c r="H2238"/>
      <c r="I2238"/>
    </row>
    <row r="2239" spans="6:9" x14ac:dyDescent="0.3">
      <c r="F2239"/>
      <c r="G2239"/>
      <c r="H2239"/>
      <c r="I2239"/>
    </row>
    <row r="2240" spans="6:9" x14ac:dyDescent="0.3">
      <c r="F2240"/>
      <c r="G2240"/>
      <c r="H2240"/>
      <c r="I2240"/>
    </row>
    <row r="2241" spans="6:9" x14ac:dyDescent="0.3">
      <c r="F2241"/>
      <c r="G2241"/>
      <c r="H2241"/>
      <c r="I2241"/>
    </row>
    <row r="2242" spans="6:9" x14ac:dyDescent="0.3">
      <c r="F2242"/>
      <c r="G2242"/>
      <c r="H2242"/>
      <c r="I2242"/>
    </row>
    <row r="2243" spans="6:9" x14ac:dyDescent="0.3">
      <c r="F2243"/>
      <c r="G2243"/>
      <c r="H2243"/>
      <c r="I2243"/>
    </row>
    <row r="2244" spans="6:9" x14ac:dyDescent="0.3">
      <c r="F2244"/>
      <c r="G2244"/>
      <c r="H2244"/>
      <c r="I2244"/>
    </row>
    <row r="2245" spans="6:9" x14ac:dyDescent="0.3">
      <c r="F2245"/>
      <c r="G2245"/>
      <c r="H2245"/>
      <c r="I2245"/>
    </row>
    <row r="2246" spans="6:9" x14ac:dyDescent="0.3">
      <c r="F2246"/>
      <c r="G2246"/>
      <c r="H2246"/>
      <c r="I2246"/>
    </row>
    <row r="2247" spans="6:9" x14ac:dyDescent="0.3">
      <c r="F2247"/>
      <c r="G2247"/>
      <c r="H2247"/>
      <c r="I2247"/>
    </row>
    <row r="2248" spans="6:9" x14ac:dyDescent="0.3">
      <c r="F2248"/>
      <c r="G2248"/>
      <c r="H2248"/>
      <c r="I2248"/>
    </row>
    <row r="2249" spans="6:9" x14ac:dyDescent="0.3">
      <c r="F2249"/>
      <c r="G2249"/>
      <c r="H2249"/>
      <c r="I2249"/>
    </row>
    <row r="2250" spans="6:9" x14ac:dyDescent="0.3">
      <c r="F2250"/>
      <c r="G2250"/>
      <c r="H2250"/>
      <c r="I2250"/>
    </row>
    <row r="2251" spans="6:9" x14ac:dyDescent="0.3">
      <c r="F2251"/>
      <c r="G2251"/>
      <c r="H2251"/>
      <c r="I2251"/>
    </row>
    <row r="2252" spans="6:9" x14ac:dyDescent="0.3">
      <c r="F2252"/>
      <c r="G2252"/>
      <c r="H2252"/>
      <c r="I2252"/>
    </row>
    <row r="2253" spans="6:9" x14ac:dyDescent="0.3">
      <c r="F2253"/>
      <c r="G2253"/>
      <c r="H2253"/>
      <c r="I2253"/>
    </row>
    <row r="2254" spans="6:9" x14ac:dyDescent="0.3">
      <c r="F2254"/>
      <c r="G2254"/>
      <c r="H2254"/>
      <c r="I2254"/>
    </row>
    <row r="2255" spans="6:9" x14ac:dyDescent="0.3">
      <c r="F2255"/>
      <c r="G2255"/>
      <c r="H2255"/>
      <c r="I2255"/>
    </row>
    <row r="2256" spans="6:9" x14ac:dyDescent="0.3">
      <c r="F2256"/>
      <c r="G2256"/>
      <c r="H2256"/>
      <c r="I2256"/>
    </row>
    <row r="2257" spans="6:9" x14ac:dyDescent="0.3">
      <c r="F2257"/>
      <c r="G2257"/>
      <c r="H2257"/>
      <c r="I2257"/>
    </row>
    <row r="2258" spans="6:9" x14ac:dyDescent="0.3">
      <c r="F2258"/>
      <c r="G2258"/>
      <c r="H2258"/>
      <c r="I2258"/>
    </row>
    <row r="2259" spans="6:9" x14ac:dyDescent="0.3">
      <c r="F2259"/>
      <c r="G2259"/>
      <c r="H2259"/>
      <c r="I2259"/>
    </row>
    <row r="2260" spans="6:9" x14ac:dyDescent="0.3">
      <c r="F2260"/>
      <c r="G2260"/>
      <c r="H2260"/>
      <c r="I2260"/>
    </row>
    <row r="2261" spans="6:9" x14ac:dyDescent="0.3">
      <c r="F2261"/>
      <c r="G2261"/>
      <c r="H2261"/>
      <c r="I2261"/>
    </row>
    <row r="2262" spans="6:9" x14ac:dyDescent="0.3">
      <c r="F2262"/>
      <c r="G2262"/>
      <c r="H2262"/>
      <c r="I2262"/>
    </row>
    <row r="2263" spans="6:9" x14ac:dyDescent="0.3">
      <c r="F2263"/>
      <c r="G2263"/>
      <c r="H2263"/>
      <c r="I2263"/>
    </row>
    <row r="2264" spans="6:9" x14ac:dyDescent="0.3">
      <c r="F2264"/>
      <c r="G2264"/>
      <c r="H2264"/>
      <c r="I2264"/>
    </row>
    <row r="2265" spans="6:9" x14ac:dyDescent="0.3">
      <c r="F2265"/>
      <c r="G2265"/>
      <c r="H2265"/>
      <c r="I2265"/>
    </row>
    <row r="2266" spans="6:9" x14ac:dyDescent="0.3">
      <c r="F2266"/>
      <c r="G2266"/>
      <c r="H2266"/>
      <c r="I2266"/>
    </row>
    <row r="2267" spans="6:9" x14ac:dyDescent="0.3">
      <c r="F2267"/>
      <c r="G2267"/>
      <c r="H2267"/>
      <c r="I2267"/>
    </row>
    <row r="2268" spans="6:9" x14ac:dyDescent="0.3">
      <c r="F2268"/>
      <c r="G2268"/>
      <c r="H2268"/>
      <c r="I2268"/>
    </row>
    <row r="2269" spans="6:9" x14ac:dyDescent="0.3">
      <c r="F2269"/>
      <c r="G2269"/>
      <c r="H2269"/>
      <c r="I2269"/>
    </row>
    <row r="2270" spans="6:9" x14ac:dyDescent="0.3">
      <c r="F2270"/>
      <c r="G2270"/>
      <c r="H2270"/>
      <c r="I2270"/>
    </row>
    <row r="2271" spans="6:9" x14ac:dyDescent="0.3">
      <c r="F2271"/>
      <c r="G2271"/>
      <c r="H2271"/>
      <c r="I2271"/>
    </row>
    <row r="2272" spans="6:9" x14ac:dyDescent="0.3">
      <c r="F2272"/>
      <c r="G2272"/>
      <c r="H2272"/>
      <c r="I2272"/>
    </row>
    <row r="2273" spans="6:9" x14ac:dyDescent="0.3">
      <c r="F2273"/>
      <c r="G2273"/>
      <c r="H2273"/>
      <c r="I2273"/>
    </row>
    <row r="2274" spans="6:9" x14ac:dyDescent="0.3">
      <c r="F2274"/>
      <c r="G2274"/>
      <c r="H2274"/>
      <c r="I2274"/>
    </row>
    <row r="2275" spans="6:9" x14ac:dyDescent="0.3">
      <c r="F2275"/>
      <c r="G2275"/>
      <c r="H2275"/>
      <c r="I2275"/>
    </row>
    <row r="2276" spans="6:9" x14ac:dyDescent="0.3">
      <c r="F2276"/>
      <c r="G2276"/>
      <c r="H2276"/>
      <c r="I2276"/>
    </row>
    <row r="2277" spans="6:9" x14ac:dyDescent="0.3">
      <c r="F2277"/>
      <c r="G2277"/>
      <c r="H2277"/>
      <c r="I2277"/>
    </row>
    <row r="2278" spans="6:9" x14ac:dyDescent="0.3">
      <c r="F2278"/>
      <c r="G2278"/>
      <c r="H2278"/>
      <c r="I2278"/>
    </row>
    <row r="2279" spans="6:9" x14ac:dyDescent="0.3">
      <c r="F2279"/>
      <c r="G2279"/>
      <c r="H2279"/>
      <c r="I2279"/>
    </row>
    <row r="2280" spans="6:9" x14ac:dyDescent="0.3">
      <c r="F2280"/>
      <c r="G2280"/>
      <c r="H2280"/>
      <c r="I2280"/>
    </row>
    <row r="2281" spans="6:9" x14ac:dyDescent="0.3">
      <c r="F2281"/>
      <c r="G2281"/>
      <c r="H2281"/>
      <c r="I2281"/>
    </row>
    <row r="2282" spans="6:9" x14ac:dyDescent="0.3">
      <c r="F2282"/>
      <c r="G2282"/>
      <c r="H2282"/>
      <c r="I2282"/>
    </row>
    <row r="2283" spans="6:9" x14ac:dyDescent="0.3">
      <c r="F2283"/>
      <c r="G2283"/>
      <c r="H2283"/>
      <c r="I2283"/>
    </row>
    <row r="2284" spans="6:9" x14ac:dyDescent="0.3">
      <c r="F2284"/>
      <c r="G2284"/>
      <c r="H2284"/>
      <c r="I2284"/>
    </row>
    <row r="2285" spans="6:9" x14ac:dyDescent="0.3">
      <c r="F2285"/>
      <c r="G2285"/>
      <c r="H2285"/>
      <c r="I2285"/>
    </row>
    <row r="2286" spans="6:9" x14ac:dyDescent="0.3">
      <c r="F2286"/>
      <c r="G2286"/>
      <c r="H2286"/>
      <c r="I2286"/>
    </row>
    <row r="2287" spans="6:9" x14ac:dyDescent="0.3">
      <c r="F2287"/>
      <c r="G2287"/>
      <c r="H2287"/>
      <c r="I2287"/>
    </row>
    <row r="2288" spans="6:9" x14ac:dyDescent="0.3">
      <c r="F2288"/>
      <c r="G2288"/>
      <c r="H2288"/>
      <c r="I2288"/>
    </row>
    <row r="2289" spans="6:9" x14ac:dyDescent="0.3">
      <c r="F2289"/>
      <c r="G2289"/>
      <c r="H2289"/>
      <c r="I2289"/>
    </row>
    <row r="2290" spans="6:9" x14ac:dyDescent="0.3">
      <c r="F2290"/>
      <c r="G2290"/>
      <c r="H2290"/>
      <c r="I2290"/>
    </row>
    <row r="2291" spans="6:9" x14ac:dyDescent="0.3">
      <c r="F2291"/>
      <c r="G2291"/>
      <c r="H2291"/>
      <c r="I2291"/>
    </row>
    <row r="2292" spans="6:9" x14ac:dyDescent="0.3">
      <c r="F2292"/>
      <c r="G2292"/>
      <c r="H2292"/>
      <c r="I2292"/>
    </row>
    <row r="2293" spans="6:9" x14ac:dyDescent="0.3">
      <c r="F2293"/>
      <c r="G2293"/>
      <c r="H2293"/>
      <c r="I2293"/>
    </row>
    <row r="2294" spans="6:9" x14ac:dyDescent="0.3">
      <c r="F2294"/>
      <c r="G2294"/>
      <c r="H2294"/>
      <c r="I2294"/>
    </row>
    <row r="2295" spans="6:9" x14ac:dyDescent="0.3">
      <c r="F2295"/>
      <c r="G2295"/>
      <c r="H2295"/>
      <c r="I2295"/>
    </row>
    <row r="2296" spans="6:9" x14ac:dyDescent="0.3">
      <c r="F2296"/>
      <c r="G2296"/>
      <c r="H2296"/>
      <c r="I2296"/>
    </row>
    <row r="2297" spans="6:9" x14ac:dyDescent="0.3">
      <c r="F2297"/>
      <c r="G2297"/>
      <c r="H2297"/>
      <c r="I2297"/>
    </row>
    <row r="2298" spans="6:9" x14ac:dyDescent="0.3">
      <c r="F2298"/>
      <c r="G2298"/>
      <c r="H2298"/>
      <c r="I2298"/>
    </row>
    <row r="2299" spans="6:9" x14ac:dyDescent="0.3">
      <c r="F2299"/>
      <c r="G2299"/>
      <c r="H2299"/>
      <c r="I2299"/>
    </row>
    <row r="2300" spans="6:9" x14ac:dyDescent="0.3">
      <c r="F2300"/>
      <c r="G2300"/>
      <c r="H2300"/>
      <c r="I2300"/>
    </row>
    <row r="2301" spans="6:9" x14ac:dyDescent="0.3">
      <c r="F2301"/>
      <c r="G2301"/>
      <c r="H2301"/>
      <c r="I2301"/>
    </row>
    <row r="2302" spans="6:9" x14ac:dyDescent="0.3">
      <c r="F2302"/>
      <c r="G2302"/>
      <c r="H2302"/>
      <c r="I2302"/>
    </row>
    <row r="2303" spans="6:9" x14ac:dyDescent="0.3">
      <c r="F2303"/>
      <c r="G2303"/>
      <c r="H2303"/>
      <c r="I2303"/>
    </row>
    <row r="2304" spans="6:9" x14ac:dyDescent="0.3">
      <c r="F2304"/>
      <c r="G2304"/>
      <c r="H2304"/>
      <c r="I2304"/>
    </row>
    <row r="2305" spans="6:9" x14ac:dyDescent="0.3">
      <c r="F2305"/>
      <c r="G2305"/>
      <c r="H2305"/>
      <c r="I2305"/>
    </row>
    <row r="2306" spans="6:9" x14ac:dyDescent="0.3">
      <c r="F2306"/>
      <c r="G2306"/>
      <c r="H2306"/>
      <c r="I2306"/>
    </row>
    <row r="2307" spans="6:9" x14ac:dyDescent="0.3">
      <c r="F2307"/>
      <c r="G2307"/>
      <c r="H2307"/>
      <c r="I2307"/>
    </row>
    <row r="2308" spans="6:9" x14ac:dyDescent="0.3">
      <c r="F2308"/>
      <c r="G2308"/>
      <c r="H2308"/>
      <c r="I2308"/>
    </row>
    <row r="2309" spans="6:9" x14ac:dyDescent="0.3">
      <c r="F2309"/>
      <c r="G2309"/>
      <c r="H2309"/>
      <c r="I2309"/>
    </row>
    <row r="2310" spans="6:9" x14ac:dyDescent="0.3">
      <c r="F2310"/>
      <c r="G2310"/>
      <c r="H2310"/>
      <c r="I2310"/>
    </row>
    <row r="2311" spans="6:9" x14ac:dyDescent="0.3">
      <c r="F2311"/>
      <c r="G2311"/>
      <c r="H2311"/>
      <c r="I2311"/>
    </row>
    <row r="2312" spans="6:9" x14ac:dyDescent="0.3">
      <c r="F2312"/>
      <c r="G2312"/>
      <c r="H2312"/>
      <c r="I2312"/>
    </row>
    <row r="2313" spans="6:9" x14ac:dyDescent="0.3">
      <c r="F2313"/>
      <c r="G2313"/>
      <c r="H2313"/>
      <c r="I2313"/>
    </row>
    <row r="2314" spans="6:9" x14ac:dyDescent="0.3">
      <c r="F2314"/>
      <c r="G2314"/>
      <c r="H2314"/>
      <c r="I2314"/>
    </row>
    <row r="2315" spans="6:9" x14ac:dyDescent="0.3">
      <c r="F2315"/>
      <c r="G2315"/>
      <c r="H2315"/>
      <c r="I2315"/>
    </row>
    <row r="2316" spans="6:9" x14ac:dyDescent="0.3">
      <c r="F2316"/>
      <c r="G2316"/>
      <c r="H2316"/>
      <c r="I2316"/>
    </row>
    <row r="2317" spans="6:9" x14ac:dyDescent="0.3">
      <c r="F2317"/>
      <c r="G2317"/>
      <c r="H2317"/>
      <c r="I2317"/>
    </row>
    <row r="2318" spans="6:9" x14ac:dyDescent="0.3">
      <c r="F2318"/>
      <c r="G2318"/>
      <c r="H2318"/>
      <c r="I2318"/>
    </row>
    <row r="2319" spans="6:9" x14ac:dyDescent="0.3">
      <c r="F2319"/>
      <c r="G2319"/>
      <c r="H2319"/>
      <c r="I2319"/>
    </row>
    <row r="2320" spans="6:9" x14ac:dyDescent="0.3">
      <c r="F2320"/>
      <c r="G2320"/>
      <c r="H2320"/>
      <c r="I2320"/>
    </row>
    <row r="2321" spans="6:9" x14ac:dyDescent="0.3">
      <c r="F2321"/>
      <c r="G2321"/>
      <c r="H2321"/>
      <c r="I2321"/>
    </row>
    <row r="2322" spans="6:9" x14ac:dyDescent="0.3">
      <c r="F2322"/>
      <c r="G2322"/>
      <c r="H2322"/>
      <c r="I2322"/>
    </row>
    <row r="2323" spans="6:9" x14ac:dyDescent="0.3">
      <c r="F2323"/>
      <c r="G2323"/>
      <c r="H2323"/>
      <c r="I2323"/>
    </row>
    <row r="2324" spans="6:9" x14ac:dyDescent="0.3">
      <c r="F2324"/>
      <c r="G2324"/>
      <c r="H2324"/>
      <c r="I2324"/>
    </row>
    <row r="2325" spans="6:9" x14ac:dyDescent="0.3">
      <c r="F2325"/>
      <c r="G2325"/>
      <c r="H2325"/>
      <c r="I2325"/>
    </row>
    <row r="2326" spans="6:9" x14ac:dyDescent="0.3">
      <c r="F2326"/>
      <c r="G2326"/>
      <c r="H2326"/>
      <c r="I2326"/>
    </row>
    <row r="2327" spans="6:9" x14ac:dyDescent="0.3">
      <c r="F2327"/>
      <c r="G2327"/>
      <c r="H2327"/>
      <c r="I2327"/>
    </row>
    <row r="2328" spans="6:9" x14ac:dyDescent="0.3">
      <c r="F2328"/>
      <c r="G2328"/>
      <c r="H2328"/>
      <c r="I2328"/>
    </row>
    <row r="2329" spans="6:9" x14ac:dyDescent="0.3">
      <c r="F2329"/>
      <c r="G2329"/>
      <c r="H2329"/>
      <c r="I2329"/>
    </row>
    <row r="2330" spans="6:9" x14ac:dyDescent="0.3">
      <c r="F2330"/>
      <c r="G2330"/>
      <c r="H2330"/>
      <c r="I2330"/>
    </row>
    <row r="2331" spans="6:9" x14ac:dyDescent="0.3">
      <c r="F2331"/>
      <c r="G2331"/>
      <c r="H2331"/>
      <c r="I2331"/>
    </row>
    <row r="2332" spans="6:9" x14ac:dyDescent="0.3">
      <c r="F2332"/>
      <c r="G2332"/>
      <c r="H2332"/>
      <c r="I2332"/>
    </row>
    <row r="2333" spans="6:9" x14ac:dyDescent="0.3">
      <c r="F2333"/>
      <c r="G2333"/>
      <c r="H2333"/>
      <c r="I2333"/>
    </row>
    <row r="2334" spans="6:9" x14ac:dyDescent="0.3">
      <c r="F2334"/>
      <c r="G2334"/>
      <c r="H2334"/>
      <c r="I2334"/>
    </row>
    <row r="2335" spans="6:9" x14ac:dyDescent="0.3">
      <c r="F2335"/>
      <c r="G2335"/>
      <c r="H2335"/>
      <c r="I2335"/>
    </row>
    <row r="2336" spans="6:9" x14ac:dyDescent="0.3">
      <c r="F2336"/>
      <c r="G2336"/>
      <c r="H2336"/>
      <c r="I2336"/>
    </row>
    <row r="2337" spans="6:9" x14ac:dyDescent="0.3">
      <c r="F2337"/>
      <c r="G2337"/>
      <c r="H2337"/>
      <c r="I2337"/>
    </row>
    <row r="2338" spans="6:9" x14ac:dyDescent="0.3">
      <c r="F2338"/>
      <c r="G2338"/>
      <c r="H2338"/>
      <c r="I2338"/>
    </row>
    <row r="2339" spans="6:9" x14ac:dyDescent="0.3">
      <c r="F2339"/>
      <c r="G2339"/>
      <c r="H2339"/>
      <c r="I2339"/>
    </row>
    <row r="2340" spans="6:9" x14ac:dyDescent="0.3">
      <c r="F2340"/>
      <c r="G2340"/>
      <c r="H2340"/>
      <c r="I2340"/>
    </row>
    <row r="2341" spans="6:9" x14ac:dyDescent="0.3">
      <c r="F2341"/>
      <c r="G2341"/>
      <c r="H2341"/>
      <c r="I2341"/>
    </row>
    <row r="2342" spans="6:9" x14ac:dyDescent="0.3">
      <c r="F2342"/>
      <c r="G2342"/>
      <c r="H2342"/>
      <c r="I2342"/>
    </row>
    <row r="2343" spans="6:9" x14ac:dyDescent="0.3">
      <c r="F2343"/>
      <c r="G2343"/>
      <c r="H2343"/>
      <c r="I2343"/>
    </row>
    <row r="2344" spans="6:9" x14ac:dyDescent="0.3">
      <c r="F2344"/>
      <c r="G2344"/>
      <c r="H2344"/>
      <c r="I2344"/>
    </row>
    <row r="2345" spans="6:9" x14ac:dyDescent="0.3">
      <c r="F2345"/>
      <c r="G2345"/>
      <c r="H2345"/>
      <c r="I2345"/>
    </row>
    <row r="2346" spans="6:9" x14ac:dyDescent="0.3">
      <c r="F2346"/>
      <c r="G2346"/>
      <c r="H2346"/>
      <c r="I2346"/>
    </row>
    <row r="2347" spans="6:9" x14ac:dyDescent="0.3">
      <c r="F2347"/>
      <c r="G2347"/>
      <c r="H2347"/>
      <c r="I2347"/>
    </row>
    <row r="2348" spans="6:9" x14ac:dyDescent="0.3">
      <c r="F2348"/>
      <c r="G2348"/>
      <c r="H2348"/>
      <c r="I2348"/>
    </row>
    <row r="2349" spans="6:9" x14ac:dyDescent="0.3">
      <c r="F2349"/>
      <c r="G2349"/>
      <c r="H2349"/>
      <c r="I2349"/>
    </row>
    <row r="2350" spans="6:9" x14ac:dyDescent="0.3">
      <c r="F2350"/>
      <c r="G2350"/>
      <c r="H2350"/>
      <c r="I2350"/>
    </row>
    <row r="2351" spans="6:9" x14ac:dyDescent="0.3">
      <c r="F2351"/>
      <c r="G2351"/>
      <c r="H2351"/>
      <c r="I2351"/>
    </row>
    <row r="2352" spans="6:9" x14ac:dyDescent="0.3">
      <c r="F2352"/>
      <c r="G2352"/>
      <c r="H2352"/>
      <c r="I2352"/>
    </row>
    <row r="2353" spans="6:9" x14ac:dyDescent="0.3">
      <c r="F2353"/>
      <c r="G2353"/>
      <c r="H2353"/>
      <c r="I2353"/>
    </row>
    <row r="2354" spans="6:9" x14ac:dyDescent="0.3">
      <c r="F2354"/>
      <c r="G2354"/>
      <c r="H2354"/>
      <c r="I2354"/>
    </row>
    <row r="2355" spans="6:9" x14ac:dyDescent="0.3">
      <c r="F2355"/>
      <c r="G2355"/>
      <c r="H2355"/>
      <c r="I2355"/>
    </row>
    <row r="2356" spans="6:9" x14ac:dyDescent="0.3">
      <c r="F2356"/>
      <c r="G2356"/>
      <c r="H2356"/>
      <c r="I2356"/>
    </row>
    <row r="2357" spans="6:9" x14ac:dyDescent="0.3">
      <c r="F2357"/>
      <c r="G2357"/>
      <c r="H2357"/>
      <c r="I2357"/>
    </row>
    <row r="2358" spans="6:9" x14ac:dyDescent="0.3">
      <c r="F2358"/>
      <c r="G2358"/>
      <c r="H2358"/>
      <c r="I2358"/>
    </row>
    <row r="2359" spans="6:9" x14ac:dyDescent="0.3">
      <c r="F2359"/>
      <c r="G2359"/>
      <c r="H2359"/>
      <c r="I2359"/>
    </row>
    <row r="2360" spans="6:9" x14ac:dyDescent="0.3">
      <c r="F2360"/>
      <c r="G2360"/>
      <c r="H2360"/>
      <c r="I2360"/>
    </row>
    <row r="2361" spans="6:9" x14ac:dyDescent="0.3">
      <c r="F2361"/>
      <c r="G2361"/>
      <c r="H2361"/>
      <c r="I2361"/>
    </row>
    <row r="2362" spans="6:9" x14ac:dyDescent="0.3">
      <c r="F2362"/>
      <c r="G2362"/>
      <c r="H2362"/>
      <c r="I2362"/>
    </row>
    <row r="2363" spans="6:9" x14ac:dyDescent="0.3">
      <c r="F2363"/>
      <c r="G2363"/>
      <c r="H2363"/>
      <c r="I2363"/>
    </row>
    <row r="2364" spans="6:9" x14ac:dyDescent="0.3">
      <c r="F2364"/>
      <c r="G2364"/>
      <c r="H2364"/>
      <c r="I2364"/>
    </row>
    <row r="2365" spans="6:9" x14ac:dyDescent="0.3">
      <c r="F2365"/>
      <c r="G2365"/>
      <c r="H2365"/>
      <c r="I2365"/>
    </row>
    <row r="2366" spans="6:9" x14ac:dyDescent="0.3">
      <c r="F2366"/>
      <c r="G2366"/>
      <c r="H2366"/>
      <c r="I2366"/>
    </row>
    <row r="2367" spans="6:9" x14ac:dyDescent="0.3">
      <c r="F2367"/>
      <c r="G2367"/>
      <c r="H2367"/>
      <c r="I2367"/>
    </row>
    <row r="2368" spans="6:9" x14ac:dyDescent="0.3">
      <c r="F2368"/>
      <c r="G2368"/>
      <c r="H2368"/>
      <c r="I2368"/>
    </row>
    <row r="2369" spans="6:9" x14ac:dyDescent="0.3">
      <c r="F2369"/>
      <c r="G2369"/>
      <c r="H2369"/>
      <c r="I2369"/>
    </row>
    <row r="2370" spans="6:9" x14ac:dyDescent="0.3">
      <c r="F2370"/>
      <c r="G2370"/>
      <c r="H2370"/>
      <c r="I2370"/>
    </row>
    <row r="2371" spans="6:9" x14ac:dyDescent="0.3">
      <c r="F2371"/>
      <c r="G2371"/>
      <c r="H2371"/>
      <c r="I2371"/>
    </row>
    <row r="2372" spans="6:9" x14ac:dyDescent="0.3">
      <c r="F2372"/>
      <c r="G2372"/>
      <c r="H2372"/>
      <c r="I2372"/>
    </row>
    <row r="2373" spans="6:9" x14ac:dyDescent="0.3">
      <c r="F2373"/>
      <c r="G2373"/>
      <c r="H2373"/>
      <c r="I2373"/>
    </row>
    <row r="2374" spans="6:9" x14ac:dyDescent="0.3">
      <c r="F2374"/>
      <c r="G2374"/>
      <c r="H2374"/>
      <c r="I2374"/>
    </row>
    <row r="2375" spans="6:9" x14ac:dyDescent="0.3">
      <c r="F2375"/>
      <c r="G2375"/>
      <c r="H2375"/>
      <c r="I2375"/>
    </row>
    <row r="2376" spans="6:9" x14ac:dyDescent="0.3">
      <c r="F2376"/>
      <c r="G2376"/>
      <c r="H2376"/>
      <c r="I2376"/>
    </row>
    <row r="2377" spans="6:9" x14ac:dyDescent="0.3">
      <c r="F2377"/>
      <c r="G2377"/>
      <c r="H2377"/>
      <c r="I2377"/>
    </row>
    <row r="2378" spans="6:9" x14ac:dyDescent="0.3">
      <c r="F2378"/>
      <c r="G2378"/>
      <c r="H2378"/>
      <c r="I2378"/>
    </row>
    <row r="2379" spans="6:9" x14ac:dyDescent="0.3">
      <c r="F2379"/>
      <c r="G2379"/>
      <c r="H2379"/>
      <c r="I2379"/>
    </row>
    <row r="2380" spans="6:9" x14ac:dyDescent="0.3">
      <c r="F2380"/>
      <c r="G2380"/>
      <c r="H2380"/>
      <c r="I2380"/>
    </row>
    <row r="2381" spans="6:9" x14ac:dyDescent="0.3">
      <c r="F2381"/>
      <c r="G2381"/>
      <c r="H2381"/>
      <c r="I2381"/>
    </row>
    <row r="2382" spans="6:9" x14ac:dyDescent="0.3">
      <c r="F2382"/>
      <c r="G2382"/>
      <c r="H2382"/>
      <c r="I2382"/>
    </row>
    <row r="2383" spans="6:9" x14ac:dyDescent="0.3">
      <c r="F2383"/>
      <c r="G2383"/>
      <c r="H2383"/>
      <c r="I2383"/>
    </row>
    <row r="2384" spans="6:9" x14ac:dyDescent="0.3">
      <c r="F2384"/>
      <c r="G2384"/>
      <c r="H2384"/>
      <c r="I2384"/>
    </row>
    <row r="2385" spans="6:9" x14ac:dyDescent="0.3">
      <c r="F2385"/>
      <c r="G2385"/>
      <c r="H2385"/>
      <c r="I2385"/>
    </row>
    <row r="2386" spans="6:9" x14ac:dyDescent="0.3">
      <c r="F2386"/>
      <c r="G2386"/>
      <c r="H2386"/>
      <c r="I2386"/>
    </row>
    <row r="2387" spans="6:9" x14ac:dyDescent="0.3">
      <c r="F2387"/>
      <c r="G2387"/>
      <c r="H2387"/>
      <c r="I2387"/>
    </row>
    <row r="2388" spans="6:9" x14ac:dyDescent="0.3">
      <c r="F2388"/>
      <c r="G2388"/>
      <c r="H2388"/>
      <c r="I2388"/>
    </row>
    <row r="2389" spans="6:9" x14ac:dyDescent="0.3">
      <c r="F2389"/>
      <c r="G2389"/>
      <c r="H2389"/>
      <c r="I2389"/>
    </row>
    <row r="2390" spans="6:9" x14ac:dyDescent="0.3">
      <c r="F2390"/>
      <c r="G2390"/>
      <c r="H2390"/>
      <c r="I2390"/>
    </row>
    <row r="2391" spans="6:9" x14ac:dyDescent="0.3">
      <c r="F2391"/>
      <c r="G2391"/>
      <c r="H2391"/>
      <c r="I2391"/>
    </row>
    <row r="2392" spans="6:9" x14ac:dyDescent="0.3">
      <c r="F2392"/>
      <c r="G2392"/>
      <c r="H2392"/>
      <c r="I2392"/>
    </row>
    <row r="2393" spans="6:9" x14ac:dyDescent="0.3">
      <c r="F2393"/>
      <c r="G2393"/>
      <c r="H2393"/>
      <c r="I2393"/>
    </row>
    <row r="2394" spans="6:9" x14ac:dyDescent="0.3">
      <c r="F2394"/>
      <c r="G2394"/>
      <c r="H2394"/>
      <c r="I2394"/>
    </row>
    <row r="2395" spans="6:9" x14ac:dyDescent="0.3">
      <c r="F2395"/>
      <c r="G2395"/>
      <c r="H2395"/>
      <c r="I2395"/>
    </row>
    <row r="2396" spans="6:9" x14ac:dyDescent="0.3">
      <c r="F2396"/>
      <c r="G2396"/>
      <c r="H2396"/>
      <c r="I2396"/>
    </row>
    <row r="2397" spans="6:9" x14ac:dyDescent="0.3">
      <c r="F2397"/>
      <c r="G2397"/>
      <c r="H2397"/>
      <c r="I2397"/>
    </row>
    <row r="2398" spans="6:9" x14ac:dyDescent="0.3">
      <c r="F2398"/>
      <c r="G2398"/>
      <c r="H2398"/>
      <c r="I2398"/>
    </row>
    <row r="2399" spans="6:9" x14ac:dyDescent="0.3">
      <c r="F2399"/>
      <c r="G2399"/>
      <c r="H2399"/>
      <c r="I2399"/>
    </row>
    <row r="2400" spans="6:9" x14ac:dyDescent="0.3">
      <c r="F2400"/>
      <c r="G2400"/>
      <c r="H2400"/>
      <c r="I2400"/>
    </row>
    <row r="2401" spans="6:9" x14ac:dyDescent="0.3">
      <c r="F2401"/>
      <c r="G2401"/>
      <c r="H2401"/>
      <c r="I2401"/>
    </row>
    <row r="2402" spans="6:9" x14ac:dyDescent="0.3">
      <c r="F2402"/>
      <c r="G2402"/>
      <c r="H2402"/>
      <c r="I2402"/>
    </row>
    <row r="2403" spans="6:9" x14ac:dyDescent="0.3">
      <c r="F2403"/>
      <c r="G2403"/>
      <c r="H2403"/>
      <c r="I2403"/>
    </row>
    <row r="2404" spans="6:9" x14ac:dyDescent="0.3">
      <c r="F2404"/>
      <c r="G2404"/>
      <c r="H2404"/>
      <c r="I2404"/>
    </row>
    <row r="2405" spans="6:9" x14ac:dyDescent="0.3">
      <c r="F2405"/>
      <c r="G2405"/>
      <c r="H2405"/>
      <c r="I2405"/>
    </row>
    <row r="2406" spans="6:9" x14ac:dyDescent="0.3">
      <c r="F2406"/>
      <c r="G2406"/>
      <c r="H2406"/>
      <c r="I2406"/>
    </row>
    <row r="2407" spans="6:9" x14ac:dyDescent="0.3">
      <c r="F2407"/>
      <c r="G2407"/>
      <c r="H2407"/>
      <c r="I2407"/>
    </row>
    <row r="2408" spans="6:9" x14ac:dyDescent="0.3">
      <c r="F2408"/>
      <c r="G2408"/>
      <c r="H2408"/>
      <c r="I2408"/>
    </row>
    <row r="2409" spans="6:9" x14ac:dyDescent="0.3">
      <c r="F2409"/>
      <c r="G2409"/>
      <c r="H2409"/>
      <c r="I2409"/>
    </row>
    <row r="2410" spans="6:9" x14ac:dyDescent="0.3">
      <c r="F2410"/>
      <c r="G2410"/>
      <c r="H2410"/>
      <c r="I2410"/>
    </row>
    <row r="2411" spans="6:9" x14ac:dyDescent="0.3">
      <c r="F2411"/>
      <c r="G2411"/>
      <c r="H2411"/>
      <c r="I2411"/>
    </row>
    <row r="2412" spans="6:9" x14ac:dyDescent="0.3">
      <c r="F2412"/>
      <c r="G2412"/>
      <c r="H2412"/>
      <c r="I2412"/>
    </row>
    <row r="2413" spans="6:9" x14ac:dyDescent="0.3">
      <c r="F2413"/>
      <c r="G2413"/>
      <c r="H2413"/>
      <c r="I2413"/>
    </row>
    <row r="2414" spans="6:9" x14ac:dyDescent="0.3">
      <c r="F2414"/>
      <c r="G2414"/>
      <c r="H2414"/>
      <c r="I2414"/>
    </row>
    <row r="2415" spans="6:9" x14ac:dyDescent="0.3">
      <c r="F2415"/>
      <c r="G2415"/>
      <c r="H2415"/>
      <c r="I2415"/>
    </row>
    <row r="2416" spans="6:9" x14ac:dyDescent="0.3">
      <c r="F2416"/>
      <c r="G2416"/>
      <c r="H2416"/>
      <c r="I2416"/>
    </row>
    <row r="2417" spans="6:9" x14ac:dyDescent="0.3">
      <c r="F2417"/>
      <c r="G2417"/>
      <c r="H2417"/>
      <c r="I2417"/>
    </row>
    <row r="2418" spans="6:9" x14ac:dyDescent="0.3">
      <c r="F2418"/>
      <c r="G2418"/>
      <c r="H2418"/>
      <c r="I2418"/>
    </row>
    <row r="2419" spans="6:9" x14ac:dyDescent="0.3">
      <c r="F2419"/>
      <c r="G2419"/>
      <c r="H2419"/>
      <c r="I2419"/>
    </row>
    <row r="2420" spans="6:9" x14ac:dyDescent="0.3">
      <c r="F2420"/>
      <c r="G2420"/>
      <c r="H2420"/>
      <c r="I2420"/>
    </row>
    <row r="2421" spans="6:9" x14ac:dyDescent="0.3">
      <c r="F2421"/>
      <c r="G2421"/>
      <c r="H2421"/>
      <c r="I2421"/>
    </row>
    <row r="2422" spans="6:9" x14ac:dyDescent="0.3">
      <c r="F2422"/>
      <c r="G2422"/>
      <c r="H2422"/>
      <c r="I2422"/>
    </row>
    <row r="2423" spans="6:9" x14ac:dyDescent="0.3">
      <c r="F2423"/>
      <c r="G2423"/>
      <c r="H2423"/>
      <c r="I2423"/>
    </row>
    <row r="2424" spans="6:9" x14ac:dyDescent="0.3">
      <c r="F2424"/>
      <c r="G2424"/>
      <c r="H2424"/>
      <c r="I2424"/>
    </row>
    <row r="2425" spans="6:9" x14ac:dyDescent="0.3">
      <c r="F2425"/>
      <c r="G2425"/>
      <c r="H2425"/>
      <c r="I2425"/>
    </row>
    <row r="2426" spans="6:9" x14ac:dyDescent="0.3">
      <c r="F2426"/>
      <c r="G2426"/>
      <c r="H2426"/>
      <c r="I2426"/>
    </row>
    <row r="2427" spans="6:9" x14ac:dyDescent="0.3">
      <c r="F2427"/>
      <c r="G2427"/>
      <c r="H2427"/>
      <c r="I2427"/>
    </row>
    <row r="2428" spans="6:9" x14ac:dyDescent="0.3">
      <c r="F2428"/>
      <c r="G2428"/>
      <c r="H2428"/>
      <c r="I2428"/>
    </row>
    <row r="2429" spans="6:9" x14ac:dyDescent="0.3">
      <c r="F2429"/>
      <c r="G2429"/>
      <c r="H2429"/>
      <c r="I2429"/>
    </row>
    <row r="2430" spans="6:9" x14ac:dyDescent="0.3">
      <c r="F2430"/>
      <c r="G2430"/>
      <c r="H2430"/>
      <c r="I2430"/>
    </row>
    <row r="2431" spans="6:9" x14ac:dyDescent="0.3">
      <c r="F2431"/>
      <c r="G2431"/>
      <c r="H2431"/>
      <c r="I2431"/>
    </row>
    <row r="2432" spans="6:9" x14ac:dyDescent="0.3">
      <c r="F2432"/>
      <c r="G2432"/>
      <c r="H2432"/>
      <c r="I2432"/>
    </row>
    <row r="2433" spans="6:9" x14ac:dyDescent="0.3">
      <c r="F2433"/>
      <c r="G2433"/>
      <c r="H2433"/>
      <c r="I2433"/>
    </row>
    <row r="2434" spans="6:9" x14ac:dyDescent="0.3">
      <c r="F2434"/>
      <c r="G2434"/>
      <c r="H2434"/>
      <c r="I2434"/>
    </row>
    <row r="2435" spans="6:9" x14ac:dyDescent="0.3">
      <c r="F2435"/>
      <c r="G2435"/>
      <c r="H2435"/>
      <c r="I2435"/>
    </row>
    <row r="2436" spans="6:9" x14ac:dyDescent="0.3">
      <c r="F2436"/>
      <c r="G2436"/>
      <c r="H2436"/>
      <c r="I2436"/>
    </row>
    <row r="2437" spans="6:9" x14ac:dyDescent="0.3">
      <c r="F2437"/>
      <c r="G2437"/>
      <c r="H2437"/>
      <c r="I2437"/>
    </row>
    <row r="2438" spans="6:9" x14ac:dyDescent="0.3">
      <c r="F2438"/>
      <c r="G2438"/>
      <c r="H2438"/>
      <c r="I2438"/>
    </row>
    <row r="2439" spans="6:9" x14ac:dyDescent="0.3">
      <c r="F2439"/>
      <c r="G2439"/>
      <c r="H2439"/>
      <c r="I2439"/>
    </row>
    <row r="2440" spans="6:9" x14ac:dyDescent="0.3">
      <c r="F2440"/>
      <c r="G2440"/>
      <c r="H2440"/>
      <c r="I2440"/>
    </row>
    <row r="2441" spans="6:9" x14ac:dyDescent="0.3">
      <c r="F2441"/>
      <c r="G2441"/>
      <c r="H2441"/>
      <c r="I2441"/>
    </row>
    <row r="2442" spans="6:9" x14ac:dyDescent="0.3">
      <c r="F2442"/>
      <c r="G2442"/>
      <c r="H2442"/>
      <c r="I2442"/>
    </row>
    <row r="2443" spans="6:9" x14ac:dyDescent="0.3">
      <c r="F2443"/>
      <c r="G2443"/>
      <c r="H2443"/>
      <c r="I2443"/>
    </row>
    <row r="2444" spans="6:9" x14ac:dyDescent="0.3">
      <c r="F2444"/>
      <c r="G2444"/>
      <c r="H2444"/>
      <c r="I2444"/>
    </row>
    <row r="2445" spans="6:9" x14ac:dyDescent="0.3">
      <c r="F2445"/>
      <c r="G2445"/>
      <c r="H2445"/>
      <c r="I2445"/>
    </row>
    <row r="2446" spans="6:9" x14ac:dyDescent="0.3">
      <c r="F2446"/>
      <c r="G2446"/>
      <c r="H2446"/>
      <c r="I2446"/>
    </row>
    <row r="2447" spans="6:9" x14ac:dyDescent="0.3">
      <c r="F2447"/>
      <c r="G2447"/>
      <c r="H2447"/>
      <c r="I2447"/>
    </row>
    <row r="2448" spans="6:9" x14ac:dyDescent="0.3">
      <c r="F2448"/>
      <c r="G2448"/>
      <c r="H2448"/>
      <c r="I2448"/>
    </row>
    <row r="2449" spans="6:9" x14ac:dyDescent="0.3">
      <c r="F2449"/>
      <c r="G2449"/>
      <c r="H2449"/>
      <c r="I2449"/>
    </row>
    <row r="2450" spans="6:9" x14ac:dyDescent="0.3">
      <c r="F2450"/>
      <c r="G2450"/>
      <c r="H2450"/>
      <c r="I2450"/>
    </row>
    <row r="2451" spans="6:9" x14ac:dyDescent="0.3">
      <c r="F2451"/>
      <c r="G2451"/>
      <c r="H2451"/>
      <c r="I2451"/>
    </row>
    <row r="2452" spans="6:9" x14ac:dyDescent="0.3">
      <c r="F2452"/>
      <c r="G2452"/>
      <c r="H2452"/>
      <c r="I2452"/>
    </row>
    <row r="2453" spans="6:9" x14ac:dyDescent="0.3">
      <c r="F2453"/>
      <c r="G2453"/>
      <c r="H2453"/>
      <c r="I2453"/>
    </row>
    <row r="2454" spans="6:9" x14ac:dyDescent="0.3">
      <c r="F2454"/>
      <c r="G2454"/>
      <c r="H2454"/>
      <c r="I2454"/>
    </row>
    <row r="2455" spans="6:9" x14ac:dyDescent="0.3">
      <c r="F2455"/>
      <c r="G2455"/>
      <c r="H2455"/>
      <c r="I2455"/>
    </row>
    <row r="2456" spans="6:9" x14ac:dyDescent="0.3">
      <c r="F2456"/>
      <c r="G2456"/>
      <c r="H2456"/>
      <c r="I2456"/>
    </row>
    <row r="2457" spans="6:9" x14ac:dyDescent="0.3">
      <c r="F2457"/>
      <c r="G2457"/>
      <c r="H2457"/>
      <c r="I2457"/>
    </row>
    <row r="2458" spans="6:9" x14ac:dyDescent="0.3">
      <c r="F2458"/>
      <c r="G2458"/>
      <c r="H2458"/>
      <c r="I2458"/>
    </row>
    <row r="2459" spans="6:9" x14ac:dyDescent="0.3">
      <c r="F2459"/>
      <c r="G2459"/>
      <c r="H2459"/>
      <c r="I2459"/>
    </row>
    <row r="2460" spans="6:9" x14ac:dyDescent="0.3">
      <c r="F2460"/>
      <c r="G2460"/>
      <c r="H2460"/>
      <c r="I2460"/>
    </row>
    <row r="2461" spans="6:9" x14ac:dyDescent="0.3">
      <c r="F2461"/>
      <c r="G2461"/>
      <c r="H2461"/>
      <c r="I2461"/>
    </row>
    <row r="2462" spans="6:9" x14ac:dyDescent="0.3">
      <c r="F2462"/>
      <c r="G2462"/>
      <c r="H2462"/>
      <c r="I2462"/>
    </row>
    <row r="2463" spans="6:9" x14ac:dyDescent="0.3">
      <c r="F2463"/>
      <c r="G2463"/>
      <c r="H2463"/>
      <c r="I2463"/>
    </row>
    <row r="2464" spans="6:9" x14ac:dyDescent="0.3">
      <c r="F2464"/>
      <c r="G2464"/>
      <c r="H2464"/>
      <c r="I2464"/>
    </row>
    <row r="2465" spans="6:9" x14ac:dyDescent="0.3">
      <c r="F2465"/>
      <c r="G2465"/>
      <c r="H2465"/>
      <c r="I2465"/>
    </row>
    <row r="2466" spans="6:9" x14ac:dyDescent="0.3">
      <c r="F2466"/>
      <c r="G2466"/>
      <c r="H2466"/>
      <c r="I2466"/>
    </row>
    <row r="2467" spans="6:9" x14ac:dyDescent="0.3">
      <c r="F2467"/>
      <c r="G2467"/>
      <c r="H2467"/>
      <c r="I2467"/>
    </row>
    <row r="2468" spans="6:9" x14ac:dyDescent="0.3">
      <c r="F2468"/>
      <c r="G2468"/>
      <c r="H2468"/>
      <c r="I2468"/>
    </row>
    <row r="2469" spans="6:9" x14ac:dyDescent="0.3">
      <c r="F2469"/>
      <c r="G2469"/>
      <c r="H2469"/>
      <c r="I2469"/>
    </row>
    <row r="2470" spans="6:9" x14ac:dyDescent="0.3">
      <c r="F2470"/>
      <c r="G2470"/>
      <c r="H2470"/>
      <c r="I2470"/>
    </row>
    <row r="2471" spans="6:9" x14ac:dyDescent="0.3">
      <c r="F2471"/>
      <c r="G2471"/>
      <c r="H2471"/>
      <c r="I2471"/>
    </row>
    <row r="2472" spans="6:9" x14ac:dyDescent="0.3">
      <c r="F2472"/>
      <c r="G2472"/>
      <c r="H2472"/>
      <c r="I2472"/>
    </row>
    <row r="2473" spans="6:9" x14ac:dyDescent="0.3">
      <c r="F2473"/>
      <c r="G2473"/>
      <c r="H2473"/>
      <c r="I2473"/>
    </row>
    <row r="2474" spans="6:9" x14ac:dyDescent="0.3">
      <c r="F2474"/>
      <c r="G2474"/>
      <c r="H2474"/>
      <c r="I2474"/>
    </row>
    <row r="2475" spans="6:9" x14ac:dyDescent="0.3">
      <c r="F2475"/>
      <c r="G2475"/>
      <c r="H2475"/>
      <c r="I2475"/>
    </row>
    <row r="2476" spans="6:9" x14ac:dyDescent="0.3">
      <c r="F2476"/>
      <c r="G2476"/>
      <c r="H2476"/>
      <c r="I2476"/>
    </row>
    <row r="2477" spans="6:9" x14ac:dyDescent="0.3">
      <c r="F2477"/>
      <c r="G2477"/>
      <c r="H2477"/>
      <c r="I2477"/>
    </row>
    <row r="2478" spans="6:9" x14ac:dyDescent="0.3">
      <c r="F2478"/>
      <c r="G2478"/>
      <c r="H2478"/>
      <c r="I2478"/>
    </row>
    <row r="2479" spans="6:9" x14ac:dyDescent="0.3">
      <c r="F2479"/>
      <c r="G2479"/>
      <c r="H2479"/>
      <c r="I2479"/>
    </row>
    <row r="2480" spans="6:9" x14ac:dyDescent="0.3">
      <c r="F2480"/>
      <c r="G2480"/>
      <c r="H2480"/>
      <c r="I2480"/>
    </row>
    <row r="2481" spans="6:9" x14ac:dyDescent="0.3">
      <c r="F2481"/>
      <c r="G2481"/>
      <c r="H2481"/>
      <c r="I2481"/>
    </row>
    <row r="2482" spans="6:9" x14ac:dyDescent="0.3">
      <c r="F2482"/>
      <c r="G2482"/>
      <c r="H2482"/>
      <c r="I2482"/>
    </row>
    <row r="2483" spans="6:9" x14ac:dyDescent="0.3">
      <c r="F2483"/>
      <c r="G2483"/>
      <c r="H2483"/>
      <c r="I2483"/>
    </row>
    <row r="2484" spans="6:9" x14ac:dyDescent="0.3">
      <c r="F2484"/>
      <c r="G2484"/>
      <c r="H2484"/>
      <c r="I2484"/>
    </row>
    <row r="2485" spans="6:9" x14ac:dyDescent="0.3">
      <c r="F2485"/>
      <c r="G2485"/>
      <c r="H2485"/>
      <c r="I2485"/>
    </row>
    <row r="2486" spans="6:9" x14ac:dyDescent="0.3">
      <c r="F2486"/>
      <c r="G2486"/>
      <c r="H2486"/>
      <c r="I2486"/>
    </row>
    <row r="2487" spans="6:9" x14ac:dyDescent="0.3">
      <c r="F2487"/>
      <c r="G2487"/>
      <c r="H2487"/>
      <c r="I2487"/>
    </row>
    <row r="2488" spans="6:9" x14ac:dyDescent="0.3">
      <c r="F2488"/>
      <c r="G2488"/>
      <c r="H2488"/>
      <c r="I2488"/>
    </row>
    <row r="2489" spans="6:9" x14ac:dyDescent="0.3">
      <c r="F2489"/>
      <c r="G2489"/>
      <c r="H2489"/>
      <c r="I2489"/>
    </row>
    <row r="2490" spans="6:9" x14ac:dyDescent="0.3">
      <c r="F2490"/>
      <c r="G2490"/>
      <c r="H2490"/>
      <c r="I2490"/>
    </row>
    <row r="2491" spans="6:9" x14ac:dyDescent="0.3">
      <c r="F2491"/>
      <c r="G2491"/>
      <c r="H2491"/>
      <c r="I2491"/>
    </row>
    <row r="2492" spans="6:9" x14ac:dyDescent="0.3">
      <c r="F2492"/>
      <c r="G2492"/>
      <c r="H2492"/>
      <c r="I2492"/>
    </row>
    <row r="2493" spans="6:9" x14ac:dyDescent="0.3">
      <c r="F2493"/>
      <c r="G2493"/>
      <c r="H2493"/>
      <c r="I2493"/>
    </row>
    <row r="2494" spans="6:9" x14ac:dyDescent="0.3">
      <c r="F2494"/>
      <c r="G2494"/>
      <c r="H2494"/>
      <c r="I2494"/>
    </row>
    <row r="2495" spans="6:9" x14ac:dyDescent="0.3">
      <c r="F2495"/>
      <c r="G2495"/>
      <c r="H2495"/>
      <c r="I2495"/>
    </row>
    <row r="2496" spans="6:9" x14ac:dyDescent="0.3">
      <c r="F2496"/>
      <c r="G2496"/>
      <c r="H2496"/>
      <c r="I2496"/>
    </row>
    <row r="2497" spans="6:9" x14ac:dyDescent="0.3">
      <c r="F2497"/>
      <c r="G2497"/>
      <c r="H2497"/>
      <c r="I2497"/>
    </row>
    <row r="2498" spans="6:9" x14ac:dyDescent="0.3">
      <c r="F2498"/>
      <c r="G2498"/>
      <c r="H2498"/>
      <c r="I2498"/>
    </row>
    <row r="2499" spans="6:9" x14ac:dyDescent="0.3">
      <c r="F2499"/>
      <c r="G2499"/>
      <c r="H2499"/>
      <c r="I2499"/>
    </row>
    <row r="2500" spans="6:9" x14ac:dyDescent="0.3">
      <c r="F2500"/>
      <c r="G2500"/>
      <c r="H2500"/>
      <c r="I2500"/>
    </row>
    <row r="2501" spans="6:9" x14ac:dyDescent="0.3">
      <c r="F2501"/>
      <c r="G2501"/>
      <c r="H2501"/>
      <c r="I2501"/>
    </row>
    <row r="2502" spans="6:9" x14ac:dyDescent="0.3">
      <c r="F2502"/>
      <c r="G2502"/>
      <c r="H2502"/>
      <c r="I2502"/>
    </row>
    <row r="2503" spans="6:9" x14ac:dyDescent="0.3">
      <c r="F2503"/>
      <c r="G2503"/>
      <c r="H2503"/>
      <c r="I2503"/>
    </row>
    <row r="2504" spans="6:9" x14ac:dyDescent="0.3">
      <c r="F2504"/>
      <c r="G2504"/>
      <c r="H2504"/>
      <c r="I2504"/>
    </row>
    <row r="2505" spans="6:9" x14ac:dyDescent="0.3">
      <c r="F2505"/>
      <c r="G2505"/>
      <c r="H2505"/>
      <c r="I2505"/>
    </row>
    <row r="2506" spans="6:9" x14ac:dyDescent="0.3">
      <c r="F2506"/>
      <c r="G2506"/>
      <c r="H2506"/>
      <c r="I2506"/>
    </row>
    <row r="2507" spans="6:9" x14ac:dyDescent="0.3">
      <c r="F2507"/>
      <c r="G2507"/>
      <c r="H2507"/>
      <c r="I2507"/>
    </row>
    <row r="2508" spans="6:9" x14ac:dyDescent="0.3">
      <c r="F2508"/>
      <c r="G2508"/>
      <c r="H2508"/>
      <c r="I2508"/>
    </row>
    <row r="2509" spans="6:9" x14ac:dyDescent="0.3">
      <c r="F2509"/>
      <c r="G2509"/>
      <c r="H2509"/>
      <c r="I2509"/>
    </row>
    <row r="2510" spans="6:9" x14ac:dyDescent="0.3">
      <c r="F2510"/>
      <c r="G2510"/>
      <c r="H2510"/>
      <c r="I2510"/>
    </row>
    <row r="2511" spans="6:9" x14ac:dyDescent="0.3">
      <c r="F2511"/>
      <c r="G2511"/>
      <c r="H2511"/>
      <c r="I2511"/>
    </row>
    <row r="2512" spans="6:9" x14ac:dyDescent="0.3">
      <c r="F2512"/>
      <c r="G2512"/>
      <c r="H2512"/>
      <c r="I2512"/>
    </row>
    <row r="2513" spans="6:9" x14ac:dyDescent="0.3">
      <c r="F2513"/>
      <c r="G2513"/>
      <c r="H2513"/>
      <c r="I2513"/>
    </row>
    <row r="2514" spans="6:9" x14ac:dyDescent="0.3">
      <c r="F2514"/>
      <c r="G2514"/>
      <c r="H2514"/>
      <c r="I2514"/>
    </row>
    <row r="2515" spans="6:9" x14ac:dyDescent="0.3">
      <c r="F2515"/>
      <c r="G2515"/>
      <c r="H2515"/>
      <c r="I2515"/>
    </row>
    <row r="2516" spans="6:9" x14ac:dyDescent="0.3">
      <c r="F2516"/>
      <c r="G2516"/>
      <c r="H2516"/>
      <c r="I2516"/>
    </row>
    <row r="2517" spans="6:9" x14ac:dyDescent="0.3">
      <c r="F2517"/>
      <c r="G2517"/>
      <c r="H2517"/>
      <c r="I2517"/>
    </row>
    <row r="2518" spans="6:9" x14ac:dyDescent="0.3">
      <c r="F2518"/>
      <c r="G2518"/>
      <c r="H2518"/>
      <c r="I2518"/>
    </row>
    <row r="2519" spans="6:9" x14ac:dyDescent="0.3">
      <c r="F2519"/>
      <c r="G2519"/>
      <c r="H2519"/>
      <c r="I2519"/>
    </row>
    <row r="2520" spans="6:9" x14ac:dyDescent="0.3">
      <c r="F2520"/>
      <c r="G2520"/>
      <c r="H2520"/>
      <c r="I2520"/>
    </row>
    <row r="2521" spans="6:9" x14ac:dyDescent="0.3">
      <c r="F2521"/>
      <c r="G2521"/>
      <c r="H2521"/>
      <c r="I2521"/>
    </row>
    <row r="2522" spans="6:9" x14ac:dyDescent="0.3">
      <c r="F2522"/>
      <c r="G2522"/>
      <c r="H2522"/>
      <c r="I2522"/>
    </row>
    <row r="2523" spans="6:9" x14ac:dyDescent="0.3">
      <c r="F2523"/>
      <c r="G2523"/>
      <c r="H2523"/>
      <c r="I2523"/>
    </row>
    <row r="2524" spans="6:9" x14ac:dyDescent="0.3">
      <c r="F2524"/>
      <c r="G2524"/>
      <c r="H2524"/>
      <c r="I2524"/>
    </row>
    <row r="2525" spans="6:9" x14ac:dyDescent="0.3">
      <c r="F2525"/>
      <c r="G2525"/>
      <c r="H2525"/>
      <c r="I2525"/>
    </row>
    <row r="2526" spans="6:9" x14ac:dyDescent="0.3">
      <c r="F2526"/>
      <c r="G2526"/>
      <c r="H2526"/>
      <c r="I2526"/>
    </row>
    <row r="2527" spans="6:9" x14ac:dyDescent="0.3">
      <c r="F2527"/>
      <c r="G2527"/>
      <c r="H2527"/>
      <c r="I2527"/>
    </row>
    <row r="2528" spans="6:9" x14ac:dyDescent="0.3">
      <c r="F2528"/>
      <c r="G2528"/>
      <c r="H2528"/>
      <c r="I2528"/>
    </row>
    <row r="2529" spans="6:9" x14ac:dyDescent="0.3">
      <c r="F2529"/>
      <c r="G2529"/>
      <c r="H2529"/>
      <c r="I2529"/>
    </row>
    <row r="2530" spans="6:9" x14ac:dyDescent="0.3">
      <c r="F2530"/>
      <c r="G2530"/>
      <c r="H2530"/>
      <c r="I2530"/>
    </row>
    <row r="2531" spans="6:9" x14ac:dyDescent="0.3">
      <c r="F2531"/>
      <c r="G2531"/>
      <c r="H2531"/>
      <c r="I2531"/>
    </row>
    <row r="2532" spans="6:9" x14ac:dyDescent="0.3">
      <c r="F2532"/>
      <c r="G2532"/>
      <c r="H2532"/>
      <c r="I2532"/>
    </row>
    <row r="2533" spans="6:9" x14ac:dyDescent="0.3">
      <c r="F2533"/>
      <c r="G2533"/>
      <c r="H2533"/>
      <c r="I2533"/>
    </row>
    <row r="2534" spans="6:9" x14ac:dyDescent="0.3">
      <c r="F2534"/>
      <c r="G2534"/>
      <c r="H2534"/>
      <c r="I2534"/>
    </row>
    <row r="2535" spans="6:9" x14ac:dyDescent="0.3">
      <c r="F2535"/>
      <c r="G2535"/>
      <c r="H2535"/>
      <c r="I2535"/>
    </row>
    <row r="2536" spans="6:9" x14ac:dyDescent="0.3">
      <c r="F2536"/>
      <c r="G2536"/>
      <c r="H2536"/>
      <c r="I2536"/>
    </row>
    <row r="2537" spans="6:9" x14ac:dyDescent="0.3">
      <c r="F2537"/>
      <c r="G2537"/>
      <c r="H2537"/>
      <c r="I2537"/>
    </row>
    <row r="2538" spans="6:9" x14ac:dyDescent="0.3">
      <c r="F2538"/>
      <c r="G2538"/>
      <c r="H2538"/>
      <c r="I2538"/>
    </row>
    <row r="2539" spans="6:9" x14ac:dyDescent="0.3">
      <c r="F2539"/>
      <c r="G2539"/>
      <c r="H2539"/>
      <c r="I2539"/>
    </row>
    <row r="2540" spans="6:9" x14ac:dyDescent="0.3">
      <c r="F2540"/>
      <c r="G2540"/>
      <c r="H2540"/>
      <c r="I2540"/>
    </row>
    <row r="2541" spans="6:9" x14ac:dyDescent="0.3">
      <c r="F2541"/>
      <c r="G2541"/>
      <c r="H2541"/>
      <c r="I2541"/>
    </row>
    <row r="2542" spans="6:9" x14ac:dyDescent="0.3">
      <c r="F2542"/>
      <c r="G2542"/>
      <c r="H2542"/>
      <c r="I2542"/>
    </row>
    <row r="2543" spans="6:9" x14ac:dyDescent="0.3">
      <c r="F2543"/>
      <c r="G2543"/>
      <c r="H2543"/>
      <c r="I2543"/>
    </row>
    <row r="2544" spans="6:9" x14ac:dyDescent="0.3">
      <c r="F2544"/>
      <c r="G2544"/>
      <c r="H2544"/>
      <c r="I2544"/>
    </row>
    <row r="2545" spans="6:9" x14ac:dyDescent="0.3">
      <c r="F2545"/>
      <c r="G2545"/>
      <c r="H2545"/>
      <c r="I2545"/>
    </row>
    <row r="2546" spans="6:9" x14ac:dyDescent="0.3">
      <c r="F2546"/>
      <c r="G2546"/>
      <c r="H2546"/>
      <c r="I2546"/>
    </row>
    <row r="2547" spans="6:9" x14ac:dyDescent="0.3">
      <c r="F2547"/>
      <c r="G2547"/>
      <c r="H2547"/>
      <c r="I2547"/>
    </row>
    <row r="2548" spans="6:9" x14ac:dyDescent="0.3">
      <c r="F2548"/>
      <c r="G2548"/>
      <c r="H2548"/>
      <c r="I2548"/>
    </row>
    <row r="2549" spans="6:9" x14ac:dyDescent="0.3">
      <c r="F2549"/>
      <c r="G2549"/>
      <c r="H2549"/>
      <c r="I2549"/>
    </row>
    <row r="2550" spans="6:9" x14ac:dyDescent="0.3">
      <c r="F2550"/>
      <c r="G2550"/>
      <c r="H2550"/>
      <c r="I2550"/>
    </row>
    <row r="2551" spans="6:9" x14ac:dyDescent="0.3">
      <c r="F2551"/>
      <c r="G2551"/>
      <c r="H2551"/>
      <c r="I2551"/>
    </row>
    <row r="2552" spans="6:9" x14ac:dyDescent="0.3">
      <c r="F2552"/>
      <c r="G2552"/>
      <c r="H2552"/>
      <c r="I2552"/>
    </row>
    <row r="2553" spans="6:9" x14ac:dyDescent="0.3">
      <c r="F2553"/>
      <c r="G2553"/>
      <c r="H2553"/>
      <c r="I2553"/>
    </row>
    <row r="2554" spans="6:9" x14ac:dyDescent="0.3">
      <c r="F2554"/>
      <c r="G2554"/>
      <c r="H2554"/>
      <c r="I2554"/>
    </row>
    <row r="2555" spans="6:9" x14ac:dyDescent="0.3">
      <c r="F2555"/>
      <c r="G2555"/>
      <c r="H2555"/>
      <c r="I2555"/>
    </row>
    <row r="2556" spans="6:9" x14ac:dyDescent="0.3">
      <c r="F2556"/>
      <c r="G2556"/>
      <c r="H2556"/>
      <c r="I2556"/>
    </row>
    <row r="2557" spans="6:9" x14ac:dyDescent="0.3">
      <c r="F2557"/>
      <c r="G2557"/>
      <c r="H2557"/>
      <c r="I2557"/>
    </row>
    <row r="2558" spans="6:9" x14ac:dyDescent="0.3">
      <c r="F2558"/>
      <c r="G2558"/>
      <c r="H2558"/>
      <c r="I2558"/>
    </row>
    <row r="2559" spans="6:9" x14ac:dyDescent="0.3">
      <c r="F2559"/>
      <c r="G2559"/>
      <c r="H2559"/>
      <c r="I2559"/>
    </row>
    <row r="2560" spans="6:9" x14ac:dyDescent="0.3">
      <c r="F2560"/>
      <c r="G2560"/>
      <c r="H2560"/>
      <c r="I2560"/>
    </row>
    <row r="2561" spans="6:9" x14ac:dyDescent="0.3">
      <c r="F2561"/>
      <c r="G2561"/>
      <c r="H2561"/>
      <c r="I2561"/>
    </row>
    <row r="2562" spans="6:9" x14ac:dyDescent="0.3">
      <c r="F2562"/>
      <c r="G2562"/>
      <c r="H2562"/>
      <c r="I2562"/>
    </row>
    <row r="2563" spans="6:9" x14ac:dyDescent="0.3">
      <c r="F2563"/>
      <c r="G2563"/>
      <c r="H2563"/>
      <c r="I2563"/>
    </row>
    <row r="2564" spans="6:9" x14ac:dyDescent="0.3">
      <c r="F2564"/>
      <c r="G2564"/>
      <c r="H2564"/>
      <c r="I2564"/>
    </row>
    <row r="2565" spans="6:9" x14ac:dyDescent="0.3">
      <c r="F2565"/>
      <c r="G2565"/>
      <c r="H2565"/>
      <c r="I2565"/>
    </row>
    <row r="2566" spans="6:9" x14ac:dyDescent="0.3">
      <c r="F2566"/>
      <c r="G2566"/>
      <c r="H2566"/>
      <c r="I2566"/>
    </row>
    <row r="2567" spans="6:9" x14ac:dyDescent="0.3">
      <c r="F2567"/>
      <c r="G2567"/>
      <c r="H2567"/>
      <c r="I2567"/>
    </row>
    <row r="2568" spans="6:9" x14ac:dyDescent="0.3">
      <c r="F2568"/>
      <c r="G2568"/>
      <c r="H2568"/>
      <c r="I2568"/>
    </row>
    <row r="2569" spans="6:9" x14ac:dyDescent="0.3">
      <c r="F2569"/>
      <c r="G2569"/>
      <c r="H2569"/>
      <c r="I2569"/>
    </row>
    <row r="2570" spans="6:9" x14ac:dyDescent="0.3">
      <c r="F2570"/>
      <c r="G2570"/>
      <c r="H2570"/>
      <c r="I2570"/>
    </row>
    <row r="2571" spans="6:9" x14ac:dyDescent="0.3">
      <c r="F2571"/>
      <c r="G2571"/>
      <c r="H2571"/>
      <c r="I2571"/>
    </row>
    <row r="2572" spans="6:9" x14ac:dyDescent="0.3">
      <c r="F2572"/>
      <c r="G2572"/>
      <c r="H2572"/>
      <c r="I2572"/>
    </row>
    <row r="2573" spans="6:9" x14ac:dyDescent="0.3">
      <c r="F2573"/>
      <c r="G2573"/>
      <c r="H2573"/>
      <c r="I2573"/>
    </row>
    <row r="2574" spans="6:9" x14ac:dyDescent="0.3">
      <c r="F2574"/>
      <c r="G2574"/>
      <c r="H2574"/>
      <c r="I2574"/>
    </row>
    <row r="2575" spans="6:9" x14ac:dyDescent="0.3">
      <c r="F2575"/>
      <c r="G2575"/>
      <c r="H2575"/>
      <c r="I2575"/>
    </row>
    <row r="2576" spans="6:9" x14ac:dyDescent="0.3">
      <c r="F2576"/>
      <c r="G2576"/>
      <c r="H2576"/>
      <c r="I2576"/>
    </row>
    <row r="2577" spans="6:9" x14ac:dyDescent="0.3">
      <c r="F2577"/>
      <c r="G2577"/>
      <c r="H2577"/>
      <c r="I2577"/>
    </row>
    <row r="2578" spans="6:9" x14ac:dyDescent="0.3">
      <c r="F2578"/>
      <c r="G2578"/>
      <c r="H2578"/>
      <c r="I2578"/>
    </row>
    <row r="2579" spans="6:9" x14ac:dyDescent="0.3">
      <c r="F2579"/>
      <c r="G2579"/>
      <c r="H2579"/>
      <c r="I2579"/>
    </row>
    <row r="2580" spans="6:9" x14ac:dyDescent="0.3">
      <c r="F2580"/>
      <c r="G2580"/>
      <c r="H2580"/>
      <c r="I2580"/>
    </row>
    <row r="2581" spans="6:9" x14ac:dyDescent="0.3">
      <c r="F2581"/>
      <c r="G2581"/>
      <c r="H2581"/>
      <c r="I2581"/>
    </row>
    <row r="2582" spans="6:9" x14ac:dyDescent="0.3">
      <c r="F2582"/>
      <c r="G2582"/>
      <c r="H2582"/>
      <c r="I2582"/>
    </row>
    <row r="2583" spans="6:9" x14ac:dyDescent="0.3">
      <c r="F2583"/>
      <c r="G2583"/>
      <c r="H2583"/>
      <c r="I2583"/>
    </row>
    <row r="2584" spans="6:9" x14ac:dyDescent="0.3">
      <c r="F2584"/>
      <c r="G2584"/>
      <c r="H2584"/>
      <c r="I2584"/>
    </row>
    <row r="2585" spans="6:9" x14ac:dyDescent="0.3">
      <c r="F2585"/>
      <c r="G2585"/>
      <c r="H2585"/>
      <c r="I2585"/>
    </row>
    <row r="2586" spans="6:9" x14ac:dyDescent="0.3">
      <c r="F2586"/>
      <c r="G2586"/>
      <c r="H2586"/>
      <c r="I2586"/>
    </row>
    <row r="2587" spans="6:9" x14ac:dyDescent="0.3">
      <c r="F2587"/>
      <c r="G2587"/>
      <c r="H2587"/>
      <c r="I2587"/>
    </row>
    <row r="2588" spans="6:9" x14ac:dyDescent="0.3">
      <c r="F2588"/>
      <c r="G2588"/>
      <c r="H2588"/>
      <c r="I2588"/>
    </row>
    <row r="2589" spans="6:9" x14ac:dyDescent="0.3">
      <c r="F2589"/>
      <c r="G2589"/>
      <c r="H2589"/>
      <c r="I2589"/>
    </row>
    <row r="2590" spans="6:9" x14ac:dyDescent="0.3">
      <c r="F2590"/>
      <c r="G2590"/>
      <c r="H2590"/>
      <c r="I2590"/>
    </row>
    <row r="2591" spans="6:9" x14ac:dyDescent="0.3">
      <c r="F2591"/>
      <c r="G2591"/>
      <c r="H2591"/>
      <c r="I2591"/>
    </row>
    <row r="2592" spans="6:9" x14ac:dyDescent="0.3">
      <c r="F2592"/>
      <c r="G2592"/>
      <c r="H2592"/>
      <c r="I2592"/>
    </row>
    <row r="2593" spans="6:9" x14ac:dyDescent="0.3">
      <c r="F2593"/>
      <c r="G2593"/>
      <c r="H2593"/>
      <c r="I2593"/>
    </row>
    <row r="2594" spans="6:9" x14ac:dyDescent="0.3">
      <c r="F2594"/>
      <c r="G2594"/>
      <c r="H2594"/>
      <c r="I2594"/>
    </row>
    <row r="2595" spans="6:9" x14ac:dyDescent="0.3">
      <c r="F2595"/>
      <c r="G2595"/>
      <c r="H2595"/>
      <c r="I2595"/>
    </row>
    <row r="2596" spans="6:9" x14ac:dyDescent="0.3">
      <c r="F2596"/>
      <c r="G2596"/>
      <c r="H2596"/>
      <c r="I2596"/>
    </row>
    <row r="2597" spans="6:9" x14ac:dyDescent="0.3">
      <c r="F2597"/>
      <c r="G2597"/>
      <c r="H2597"/>
      <c r="I2597"/>
    </row>
    <row r="2598" spans="6:9" x14ac:dyDescent="0.3">
      <c r="F2598"/>
      <c r="G2598"/>
      <c r="H2598"/>
      <c r="I2598"/>
    </row>
    <row r="2599" spans="6:9" x14ac:dyDescent="0.3">
      <c r="F2599"/>
      <c r="G2599"/>
      <c r="H2599"/>
      <c r="I2599"/>
    </row>
    <row r="2600" spans="6:9" x14ac:dyDescent="0.3">
      <c r="F2600"/>
      <c r="G2600"/>
      <c r="H2600"/>
      <c r="I2600"/>
    </row>
    <row r="2601" spans="6:9" x14ac:dyDescent="0.3">
      <c r="F2601"/>
      <c r="G2601"/>
      <c r="H2601"/>
      <c r="I2601"/>
    </row>
    <row r="2602" spans="6:9" x14ac:dyDescent="0.3">
      <c r="F2602"/>
      <c r="G2602"/>
      <c r="H2602"/>
      <c r="I2602"/>
    </row>
    <row r="2603" spans="6:9" x14ac:dyDescent="0.3">
      <c r="F2603"/>
      <c r="G2603"/>
      <c r="H2603"/>
      <c r="I2603"/>
    </row>
    <row r="2604" spans="6:9" x14ac:dyDescent="0.3">
      <c r="F2604"/>
      <c r="G2604"/>
      <c r="H2604"/>
      <c r="I2604"/>
    </row>
    <row r="2605" spans="6:9" x14ac:dyDescent="0.3">
      <c r="F2605"/>
      <c r="G2605"/>
      <c r="H2605"/>
      <c r="I2605"/>
    </row>
    <row r="2606" spans="6:9" x14ac:dyDescent="0.3">
      <c r="F2606"/>
      <c r="G2606"/>
      <c r="H2606"/>
      <c r="I2606"/>
    </row>
    <row r="2607" spans="6:9" x14ac:dyDescent="0.3">
      <c r="F2607"/>
      <c r="G2607"/>
      <c r="H2607"/>
      <c r="I2607"/>
    </row>
    <row r="2608" spans="6:9" x14ac:dyDescent="0.3">
      <c r="F2608"/>
      <c r="G2608"/>
      <c r="H2608"/>
      <c r="I2608"/>
    </row>
    <row r="2609" spans="6:9" x14ac:dyDescent="0.3">
      <c r="F2609"/>
      <c r="G2609"/>
      <c r="H2609"/>
      <c r="I2609"/>
    </row>
    <row r="2610" spans="6:9" x14ac:dyDescent="0.3">
      <c r="F2610"/>
      <c r="G2610"/>
      <c r="H2610"/>
      <c r="I2610"/>
    </row>
    <row r="2611" spans="6:9" x14ac:dyDescent="0.3">
      <c r="F2611"/>
      <c r="G2611"/>
      <c r="H2611"/>
      <c r="I2611"/>
    </row>
    <row r="2612" spans="6:9" x14ac:dyDescent="0.3">
      <c r="F2612"/>
      <c r="G2612"/>
      <c r="H2612"/>
      <c r="I2612"/>
    </row>
    <row r="2613" spans="6:9" x14ac:dyDescent="0.3">
      <c r="F2613"/>
      <c r="G2613"/>
      <c r="H2613"/>
      <c r="I2613"/>
    </row>
    <row r="2614" spans="6:9" x14ac:dyDescent="0.3">
      <c r="F2614"/>
      <c r="G2614"/>
      <c r="H2614"/>
      <c r="I2614"/>
    </row>
    <row r="2615" spans="6:9" x14ac:dyDescent="0.3">
      <c r="F2615"/>
      <c r="G2615"/>
      <c r="H2615"/>
      <c r="I2615"/>
    </row>
    <row r="2616" spans="6:9" x14ac:dyDescent="0.3">
      <c r="F2616"/>
      <c r="G2616"/>
      <c r="H2616"/>
      <c r="I2616"/>
    </row>
    <row r="2617" spans="6:9" x14ac:dyDescent="0.3">
      <c r="F2617"/>
      <c r="G2617"/>
      <c r="H2617"/>
      <c r="I2617"/>
    </row>
    <row r="2618" spans="6:9" x14ac:dyDescent="0.3">
      <c r="F2618"/>
      <c r="G2618"/>
      <c r="H2618"/>
      <c r="I2618"/>
    </row>
    <row r="2619" spans="6:9" x14ac:dyDescent="0.3">
      <c r="F2619"/>
      <c r="G2619"/>
      <c r="H2619"/>
      <c r="I2619"/>
    </row>
    <row r="2620" spans="6:9" x14ac:dyDescent="0.3">
      <c r="F2620"/>
      <c r="G2620"/>
      <c r="H2620"/>
      <c r="I2620"/>
    </row>
    <row r="2621" spans="6:9" x14ac:dyDescent="0.3">
      <c r="F2621"/>
      <c r="G2621"/>
      <c r="H2621"/>
      <c r="I2621"/>
    </row>
    <row r="2622" spans="6:9" x14ac:dyDescent="0.3">
      <c r="F2622"/>
      <c r="G2622"/>
      <c r="H2622"/>
      <c r="I2622"/>
    </row>
    <row r="2623" spans="6:9" x14ac:dyDescent="0.3">
      <c r="F2623"/>
      <c r="G2623"/>
      <c r="H2623"/>
      <c r="I2623"/>
    </row>
    <row r="2624" spans="6:9" x14ac:dyDescent="0.3">
      <c r="F2624"/>
      <c r="G2624"/>
      <c r="H2624"/>
      <c r="I2624"/>
    </row>
    <row r="2625" spans="6:9" x14ac:dyDescent="0.3">
      <c r="F2625"/>
      <c r="G2625"/>
      <c r="H2625"/>
      <c r="I2625"/>
    </row>
    <row r="2626" spans="6:9" x14ac:dyDescent="0.3">
      <c r="F2626"/>
      <c r="G2626"/>
      <c r="H2626"/>
      <c r="I2626"/>
    </row>
    <row r="2627" spans="6:9" x14ac:dyDescent="0.3">
      <c r="F2627"/>
      <c r="G2627"/>
      <c r="H2627"/>
      <c r="I2627"/>
    </row>
    <row r="2628" spans="6:9" x14ac:dyDescent="0.3">
      <c r="F2628"/>
      <c r="G2628"/>
      <c r="H2628"/>
      <c r="I2628"/>
    </row>
    <row r="2629" spans="6:9" x14ac:dyDescent="0.3">
      <c r="F2629"/>
      <c r="G2629"/>
      <c r="H2629"/>
      <c r="I2629"/>
    </row>
    <row r="2630" spans="6:9" x14ac:dyDescent="0.3">
      <c r="F2630"/>
      <c r="G2630"/>
      <c r="H2630"/>
      <c r="I2630"/>
    </row>
    <row r="2631" spans="6:9" x14ac:dyDescent="0.3">
      <c r="F2631"/>
      <c r="G2631"/>
      <c r="H2631"/>
      <c r="I2631"/>
    </row>
    <row r="2632" spans="6:9" x14ac:dyDescent="0.3">
      <c r="F2632"/>
      <c r="G2632"/>
      <c r="H2632"/>
      <c r="I2632"/>
    </row>
    <row r="2633" spans="6:9" x14ac:dyDescent="0.3">
      <c r="F2633"/>
      <c r="G2633"/>
      <c r="H2633"/>
      <c r="I2633"/>
    </row>
    <row r="2634" spans="6:9" x14ac:dyDescent="0.3">
      <c r="F2634"/>
      <c r="G2634"/>
      <c r="H2634"/>
      <c r="I2634"/>
    </row>
    <row r="2635" spans="6:9" x14ac:dyDescent="0.3">
      <c r="F2635"/>
      <c r="G2635"/>
      <c r="H2635"/>
      <c r="I2635"/>
    </row>
    <row r="2636" spans="6:9" x14ac:dyDescent="0.3">
      <c r="F2636"/>
      <c r="G2636"/>
      <c r="H2636"/>
      <c r="I2636"/>
    </row>
    <row r="2637" spans="6:9" x14ac:dyDescent="0.3">
      <c r="F2637"/>
      <c r="G2637"/>
      <c r="H2637"/>
      <c r="I2637"/>
    </row>
    <row r="2638" spans="6:9" x14ac:dyDescent="0.3">
      <c r="F2638"/>
      <c r="G2638"/>
      <c r="H2638"/>
      <c r="I2638"/>
    </row>
    <row r="2639" spans="6:9" x14ac:dyDescent="0.3">
      <c r="F2639"/>
      <c r="G2639"/>
      <c r="H2639"/>
      <c r="I2639"/>
    </row>
    <row r="2640" spans="6:9" x14ac:dyDescent="0.3">
      <c r="F2640"/>
      <c r="G2640"/>
      <c r="H2640"/>
      <c r="I2640"/>
    </row>
    <row r="2641" spans="6:9" x14ac:dyDescent="0.3">
      <c r="F2641"/>
      <c r="G2641"/>
      <c r="H2641"/>
      <c r="I2641"/>
    </row>
    <row r="2642" spans="6:9" x14ac:dyDescent="0.3">
      <c r="F2642"/>
      <c r="G2642"/>
      <c r="H2642"/>
      <c r="I2642"/>
    </row>
    <row r="2643" spans="6:9" x14ac:dyDescent="0.3">
      <c r="F2643"/>
      <c r="G2643"/>
      <c r="H2643"/>
      <c r="I2643"/>
    </row>
    <row r="2644" spans="6:9" x14ac:dyDescent="0.3">
      <c r="F2644"/>
      <c r="G2644"/>
      <c r="H2644"/>
      <c r="I2644"/>
    </row>
    <row r="2645" spans="6:9" x14ac:dyDescent="0.3">
      <c r="F2645"/>
      <c r="G2645"/>
      <c r="H2645"/>
      <c r="I2645"/>
    </row>
    <row r="2646" spans="6:9" x14ac:dyDescent="0.3">
      <c r="F2646"/>
      <c r="G2646"/>
      <c r="H2646"/>
      <c r="I2646"/>
    </row>
    <row r="2647" spans="6:9" x14ac:dyDescent="0.3">
      <c r="F2647"/>
      <c r="G2647"/>
      <c r="H2647"/>
      <c r="I2647"/>
    </row>
    <row r="2648" spans="6:9" x14ac:dyDescent="0.3">
      <c r="F2648"/>
      <c r="G2648"/>
      <c r="H2648"/>
      <c r="I2648"/>
    </row>
    <row r="2649" spans="6:9" x14ac:dyDescent="0.3">
      <c r="F2649"/>
      <c r="G2649"/>
      <c r="H2649"/>
      <c r="I2649"/>
    </row>
    <row r="2650" spans="6:9" x14ac:dyDescent="0.3">
      <c r="F2650"/>
      <c r="G2650"/>
      <c r="H2650"/>
      <c r="I2650"/>
    </row>
    <row r="2651" spans="6:9" x14ac:dyDescent="0.3">
      <c r="F2651"/>
      <c r="G2651"/>
      <c r="H2651"/>
      <c r="I2651"/>
    </row>
    <row r="2652" spans="6:9" x14ac:dyDescent="0.3">
      <c r="F2652"/>
      <c r="G2652"/>
      <c r="H2652"/>
      <c r="I2652"/>
    </row>
    <row r="2653" spans="6:9" x14ac:dyDescent="0.3">
      <c r="F2653"/>
      <c r="G2653"/>
      <c r="H2653"/>
      <c r="I2653"/>
    </row>
    <row r="2654" spans="6:9" x14ac:dyDescent="0.3">
      <c r="F2654"/>
      <c r="G2654"/>
      <c r="H2654"/>
      <c r="I2654"/>
    </row>
    <row r="2655" spans="6:9" x14ac:dyDescent="0.3">
      <c r="F2655"/>
      <c r="G2655"/>
      <c r="H2655"/>
      <c r="I2655"/>
    </row>
    <row r="2656" spans="6:9" x14ac:dyDescent="0.3">
      <c r="F2656"/>
      <c r="G2656"/>
      <c r="H2656"/>
      <c r="I2656"/>
    </row>
    <row r="2657" spans="6:9" x14ac:dyDescent="0.3">
      <c r="F2657"/>
      <c r="G2657"/>
      <c r="H2657"/>
      <c r="I2657"/>
    </row>
    <row r="2658" spans="6:9" x14ac:dyDescent="0.3">
      <c r="F2658"/>
      <c r="G2658"/>
      <c r="H2658"/>
      <c r="I2658"/>
    </row>
    <row r="2659" spans="6:9" x14ac:dyDescent="0.3">
      <c r="F2659"/>
      <c r="G2659"/>
      <c r="H2659"/>
      <c r="I2659"/>
    </row>
    <row r="2660" spans="6:9" x14ac:dyDescent="0.3">
      <c r="F2660"/>
      <c r="G2660"/>
      <c r="H2660"/>
      <c r="I2660"/>
    </row>
    <row r="2661" spans="6:9" x14ac:dyDescent="0.3">
      <c r="F2661"/>
      <c r="G2661"/>
      <c r="H2661"/>
      <c r="I2661"/>
    </row>
    <row r="2662" spans="6:9" x14ac:dyDescent="0.3">
      <c r="F2662"/>
      <c r="G2662"/>
      <c r="H2662"/>
      <c r="I2662"/>
    </row>
    <row r="2663" spans="6:9" x14ac:dyDescent="0.3">
      <c r="F2663"/>
      <c r="G2663"/>
      <c r="H2663"/>
      <c r="I2663"/>
    </row>
    <row r="2664" spans="6:9" x14ac:dyDescent="0.3">
      <c r="F2664"/>
      <c r="G2664"/>
      <c r="H2664"/>
      <c r="I2664"/>
    </row>
    <row r="2665" spans="6:9" x14ac:dyDescent="0.3">
      <c r="F2665"/>
      <c r="G2665"/>
      <c r="H2665"/>
      <c r="I2665"/>
    </row>
    <row r="2666" spans="6:9" x14ac:dyDescent="0.3">
      <c r="F2666"/>
      <c r="G2666"/>
      <c r="H2666"/>
      <c r="I2666"/>
    </row>
    <row r="2667" spans="6:9" x14ac:dyDescent="0.3">
      <c r="F2667"/>
      <c r="G2667"/>
      <c r="H2667"/>
      <c r="I2667"/>
    </row>
    <row r="2668" spans="6:9" x14ac:dyDescent="0.3">
      <c r="F2668"/>
      <c r="G2668"/>
      <c r="H2668"/>
      <c r="I2668"/>
    </row>
    <row r="2669" spans="6:9" x14ac:dyDescent="0.3">
      <c r="F2669"/>
      <c r="G2669"/>
      <c r="H2669"/>
      <c r="I2669"/>
    </row>
    <row r="2670" spans="6:9" x14ac:dyDescent="0.3">
      <c r="F2670"/>
      <c r="G2670"/>
      <c r="H2670"/>
      <c r="I2670"/>
    </row>
    <row r="2671" spans="6:9" x14ac:dyDescent="0.3">
      <c r="F2671"/>
      <c r="G2671"/>
      <c r="H2671"/>
      <c r="I2671"/>
    </row>
    <row r="2672" spans="6:9" x14ac:dyDescent="0.3">
      <c r="F2672"/>
      <c r="G2672"/>
      <c r="H2672"/>
      <c r="I2672"/>
    </row>
    <row r="2673" spans="6:9" x14ac:dyDescent="0.3">
      <c r="F2673"/>
      <c r="G2673"/>
      <c r="H2673"/>
      <c r="I2673"/>
    </row>
    <row r="2674" spans="6:9" x14ac:dyDescent="0.3">
      <c r="F2674"/>
      <c r="G2674"/>
      <c r="H2674"/>
      <c r="I2674"/>
    </row>
    <row r="2675" spans="6:9" x14ac:dyDescent="0.3">
      <c r="F2675"/>
      <c r="G2675"/>
      <c r="H2675"/>
      <c r="I2675"/>
    </row>
    <row r="2676" spans="6:9" x14ac:dyDescent="0.3">
      <c r="F2676"/>
      <c r="G2676"/>
      <c r="H2676"/>
      <c r="I2676"/>
    </row>
    <row r="2677" spans="6:9" x14ac:dyDescent="0.3">
      <c r="F2677"/>
      <c r="G2677"/>
      <c r="H2677"/>
      <c r="I2677"/>
    </row>
    <row r="2678" spans="6:9" x14ac:dyDescent="0.3">
      <c r="F2678"/>
      <c r="G2678"/>
      <c r="H2678"/>
      <c r="I2678"/>
    </row>
    <row r="2679" spans="6:9" x14ac:dyDescent="0.3">
      <c r="F2679"/>
      <c r="G2679"/>
      <c r="H2679"/>
      <c r="I2679"/>
    </row>
    <row r="2680" spans="6:9" x14ac:dyDescent="0.3">
      <c r="F2680"/>
      <c r="G2680"/>
      <c r="H2680"/>
      <c r="I2680"/>
    </row>
    <row r="2681" spans="6:9" x14ac:dyDescent="0.3">
      <c r="F2681"/>
      <c r="G2681"/>
      <c r="H2681"/>
      <c r="I2681"/>
    </row>
    <row r="2682" spans="6:9" x14ac:dyDescent="0.3">
      <c r="F2682"/>
      <c r="G2682"/>
      <c r="H2682"/>
      <c r="I2682"/>
    </row>
    <row r="2683" spans="6:9" x14ac:dyDescent="0.3">
      <c r="F2683"/>
      <c r="G2683"/>
      <c r="H2683"/>
      <c r="I2683"/>
    </row>
    <row r="2684" spans="6:9" x14ac:dyDescent="0.3">
      <c r="F2684"/>
      <c r="G2684"/>
      <c r="H2684"/>
      <c r="I2684"/>
    </row>
    <row r="2685" spans="6:9" x14ac:dyDescent="0.3">
      <c r="F2685"/>
      <c r="G2685"/>
      <c r="H2685"/>
      <c r="I2685"/>
    </row>
    <row r="2686" spans="6:9" x14ac:dyDescent="0.3">
      <c r="F2686"/>
      <c r="G2686"/>
      <c r="H2686"/>
      <c r="I2686"/>
    </row>
    <row r="2687" spans="6:9" x14ac:dyDescent="0.3">
      <c r="F2687"/>
      <c r="G2687"/>
      <c r="H2687"/>
      <c r="I2687"/>
    </row>
    <row r="2688" spans="6:9" x14ac:dyDescent="0.3">
      <c r="F2688"/>
      <c r="G2688"/>
      <c r="H2688"/>
      <c r="I2688"/>
    </row>
    <row r="2689" spans="6:9" x14ac:dyDescent="0.3">
      <c r="F2689"/>
      <c r="G2689"/>
      <c r="H2689"/>
      <c r="I2689"/>
    </row>
    <row r="2690" spans="6:9" x14ac:dyDescent="0.3">
      <c r="F2690"/>
      <c r="G2690"/>
      <c r="H2690"/>
      <c r="I2690"/>
    </row>
    <row r="2691" spans="6:9" x14ac:dyDescent="0.3">
      <c r="F2691"/>
      <c r="G2691"/>
      <c r="H2691"/>
      <c r="I2691"/>
    </row>
    <row r="2692" spans="6:9" x14ac:dyDescent="0.3">
      <c r="F2692"/>
      <c r="G2692"/>
      <c r="H2692"/>
      <c r="I2692"/>
    </row>
    <row r="2693" spans="6:9" x14ac:dyDescent="0.3">
      <c r="F2693"/>
      <c r="G2693"/>
      <c r="H2693"/>
      <c r="I2693"/>
    </row>
    <row r="2694" spans="6:9" x14ac:dyDescent="0.3">
      <c r="F2694"/>
      <c r="G2694"/>
      <c r="H2694"/>
      <c r="I2694"/>
    </row>
    <row r="2695" spans="6:9" x14ac:dyDescent="0.3">
      <c r="F2695"/>
      <c r="G2695"/>
      <c r="H2695"/>
      <c r="I2695"/>
    </row>
    <row r="2696" spans="6:9" x14ac:dyDescent="0.3">
      <c r="F2696"/>
      <c r="G2696"/>
      <c r="H2696"/>
      <c r="I2696"/>
    </row>
    <row r="2697" spans="6:9" x14ac:dyDescent="0.3">
      <c r="F2697"/>
      <c r="G2697"/>
      <c r="H2697"/>
      <c r="I2697"/>
    </row>
    <row r="2698" spans="6:9" x14ac:dyDescent="0.3">
      <c r="F2698"/>
      <c r="G2698"/>
      <c r="H2698"/>
      <c r="I2698"/>
    </row>
    <row r="2699" spans="6:9" x14ac:dyDescent="0.3">
      <c r="F2699"/>
      <c r="G2699"/>
      <c r="H2699"/>
      <c r="I2699"/>
    </row>
    <row r="2700" spans="6:9" x14ac:dyDescent="0.3">
      <c r="F2700"/>
      <c r="G2700"/>
      <c r="H2700"/>
      <c r="I2700"/>
    </row>
    <row r="2701" spans="6:9" x14ac:dyDescent="0.3">
      <c r="F2701"/>
      <c r="G2701"/>
      <c r="H2701"/>
      <c r="I2701"/>
    </row>
    <row r="2702" spans="6:9" x14ac:dyDescent="0.3">
      <c r="F2702"/>
      <c r="G2702"/>
      <c r="H2702"/>
      <c r="I2702"/>
    </row>
    <row r="2703" spans="6:9" x14ac:dyDescent="0.3">
      <c r="F2703"/>
      <c r="G2703"/>
      <c r="H2703"/>
      <c r="I2703"/>
    </row>
    <row r="2704" spans="6:9" x14ac:dyDescent="0.3">
      <c r="F2704"/>
      <c r="G2704"/>
      <c r="H2704"/>
      <c r="I2704"/>
    </row>
    <row r="2705" spans="6:9" x14ac:dyDescent="0.3">
      <c r="F2705"/>
      <c r="G2705"/>
      <c r="H2705"/>
      <c r="I2705"/>
    </row>
    <row r="2706" spans="6:9" x14ac:dyDescent="0.3">
      <c r="F2706"/>
      <c r="G2706"/>
      <c r="H2706"/>
      <c r="I2706"/>
    </row>
    <row r="2707" spans="6:9" x14ac:dyDescent="0.3">
      <c r="F2707"/>
      <c r="G2707"/>
      <c r="H2707"/>
      <c r="I2707"/>
    </row>
    <row r="2708" spans="6:9" x14ac:dyDescent="0.3">
      <c r="F2708"/>
      <c r="G2708"/>
      <c r="H2708"/>
      <c r="I2708"/>
    </row>
    <row r="2709" spans="6:9" x14ac:dyDescent="0.3">
      <c r="F2709"/>
      <c r="G2709"/>
      <c r="H2709"/>
      <c r="I2709"/>
    </row>
    <row r="2710" spans="6:9" x14ac:dyDescent="0.3">
      <c r="F2710"/>
      <c r="G2710"/>
      <c r="H2710"/>
      <c r="I2710"/>
    </row>
    <row r="2711" spans="6:9" x14ac:dyDescent="0.3">
      <c r="F2711"/>
      <c r="G2711"/>
      <c r="H2711"/>
      <c r="I2711"/>
    </row>
    <row r="2712" spans="6:9" x14ac:dyDescent="0.3">
      <c r="F2712"/>
      <c r="G2712"/>
      <c r="H2712"/>
      <c r="I2712"/>
    </row>
    <row r="2713" spans="6:9" x14ac:dyDescent="0.3">
      <c r="F2713"/>
      <c r="G2713"/>
      <c r="H2713"/>
      <c r="I2713"/>
    </row>
    <row r="2714" spans="6:9" x14ac:dyDescent="0.3">
      <c r="F2714"/>
      <c r="G2714"/>
      <c r="H2714"/>
      <c r="I2714"/>
    </row>
    <row r="2715" spans="6:9" x14ac:dyDescent="0.3">
      <c r="F2715"/>
      <c r="G2715"/>
      <c r="H2715"/>
      <c r="I2715"/>
    </row>
    <row r="2716" spans="6:9" x14ac:dyDescent="0.3">
      <c r="F2716"/>
      <c r="G2716"/>
      <c r="H2716"/>
      <c r="I2716"/>
    </row>
    <row r="2717" spans="6:9" x14ac:dyDescent="0.3">
      <c r="F2717"/>
      <c r="G2717"/>
      <c r="H2717"/>
      <c r="I2717"/>
    </row>
    <row r="2718" spans="6:9" x14ac:dyDescent="0.3">
      <c r="F2718"/>
      <c r="G2718"/>
      <c r="H2718"/>
      <c r="I2718"/>
    </row>
    <row r="2719" spans="6:9" x14ac:dyDescent="0.3">
      <c r="F2719"/>
      <c r="G2719"/>
      <c r="H2719"/>
      <c r="I2719"/>
    </row>
    <row r="2720" spans="6:9" x14ac:dyDescent="0.3">
      <c r="F2720"/>
      <c r="G2720"/>
      <c r="H2720"/>
      <c r="I2720"/>
    </row>
    <row r="2721" spans="6:9" x14ac:dyDescent="0.3">
      <c r="F2721"/>
      <c r="G2721"/>
      <c r="H2721"/>
      <c r="I2721"/>
    </row>
    <row r="2722" spans="6:9" x14ac:dyDescent="0.3">
      <c r="F2722"/>
      <c r="G2722"/>
      <c r="H2722"/>
      <c r="I2722"/>
    </row>
    <row r="2723" spans="6:9" x14ac:dyDescent="0.3">
      <c r="F2723"/>
      <c r="G2723"/>
      <c r="H2723"/>
      <c r="I2723"/>
    </row>
    <row r="2724" spans="6:9" x14ac:dyDescent="0.3">
      <c r="F2724"/>
      <c r="G2724"/>
      <c r="H2724"/>
      <c r="I2724"/>
    </row>
    <row r="2725" spans="6:9" x14ac:dyDescent="0.3">
      <c r="F2725"/>
      <c r="G2725"/>
      <c r="H2725"/>
      <c r="I2725"/>
    </row>
    <row r="2726" spans="6:9" x14ac:dyDescent="0.3">
      <c r="F2726"/>
      <c r="G2726"/>
      <c r="H2726"/>
      <c r="I2726"/>
    </row>
    <row r="2727" spans="6:9" x14ac:dyDescent="0.3">
      <c r="F2727"/>
      <c r="G2727"/>
      <c r="H2727"/>
      <c r="I2727"/>
    </row>
    <row r="2728" spans="6:9" x14ac:dyDescent="0.3">
      <c r="F2728"/>
      <c r="G2728"/>
      <c r="H2728"/>
      <c r="I2728"/>
    </row>
    <row r="2729" spans="6:9" x14ac:dyDescent="0.3">
      <c r="F2729"/>
      <c r="G2729"/>
      <c r="H2729"/>
      <c r="I2729"/>
    </row>
    <row r="2730" spans="6:9" x14ac:dyDescent="0.3">
      <c r="F2730"/>
      <c r="G2730"/>
      <c r="H2730"/>
      <c r="I2730"/>
    </row>
    <row r="2731" spans="6:9" x14ac:dyDescent="0.3">
      <c r="F2731"/>
      <c r="G2731"/>
      <c r="H2731"/>
      <c r="I2731"/>
    </row>
    <row r="2732" spans="6:9" x14ac:dyDescent="0.3">
      <c r="F2732"/>
      <c r="G2732"/>
      <c r="H2732"/>
      <c r="I2732"/>
    </row>
    <row r="2733" spans="6:9" x14ac:dyDescent="0.3">
      <c r="F2733"/>
      <c r="G2733"/>
      <c r="H2733"/>
      <c r="I2733"/>
    </row>
    <row r="2734" spans="6:9" x14ac:dyDescent="0.3">
      <c r="F2734"/>
      <c r="G2734"/>
      <c r="H2734"/>
      <c r="I2734"/>
    </row>
    <row r="2735" spans="6:9" x14ac:dyDescent="0.3">
      <c r="F2735"/>
      <c r="G2735"/>
      <c r="H2735"/>
      <c r="I2735"/>
    </row>
    <row r="2736" spans="6:9" x14ac:dyDescent="0.3">
      <c r="F2736"/>
      <c r="G2736"/>
      <c r="H2736"/>
      <c r="I2736"/>
    </row>
    <row r="2737" spans="6:9" x14ac:dyDescent="0.3">
      <c r="F2737"/>
      <c r="G2737"/>
      <c r="H2737"/>
      <c r="I2737"/>
    </row>
    <row r="2738" spans="6:9" x14ac:dyDescent="0.3">
      <c r="F2738"/>
      <c r="G2738"/>
      <c r="H2738"/>
      <c r="I2738"/>
    </row>
    <row r="2739" spans="6:9" x14ac:dyDescent="0.3">
      <c r="F2739"/>
      <c r="G2739"/>
      <c r="H2739"/>
      <c r="I2739"/>
    </row>
    <row r="2740" spans="6:9" x14ac:dyDescent="0.3">
      <c r="F2740"/>
      <c r="G2740"/>
      <c r="H2740"/>
      <c r="I2740"/>
    </row>
    <row r="2741" spans="6:9" x14ac:dyDescent="0.3">
      <c r="F2741"/>
      <c r="G2741"/>
      <c r="H2741"/>
      <c r="I2741"/>
    </row>
    <row r="2742" spans="6:9" x14ac:dyDescent="0.3">
      <c r="F2742"/>
      <c r="G2742"/>
      <c r="H2742"/>
      <c r="I2742"/>
    </row>
    <row r="2743" spans="6:9" x14ac:dyDescent="0.3">
      <c r="F2743"/>
      <c r="G2743"/>
      <c r="H2743"/>
      <c r="I2743"/>
    </row>
    <row r="2744" spans="6:9" x14ac:dyDescent="0.3">
      <c r="F2744"/>
      <c r="G2744"/>
      <c r="H2744"/>
      <c r="I2744"/>
    </row>
    <row r="2745" spans="6:9" x14ac:dyDescent="0.3">
      <c r="F2745"/>
      <c r="G2745"/>
      <c r="H2745"/>
      <c r="I2745"/>
    </row>
    <row r="2746" spans="6:9" x14ac:dyDescent="0.3">
      <c r="F2746"/>
      <c r="G2746"/>
      <c r="H2746"/>
      <c r="I2746"/>
    </row>
    <row r="2747" spans="6:9" x14ac:dyDescent="0.3">
      <c r="F2747"/>
      <c r="G2747"/>
      <c r="H2747"/>
      <c r="I2747"/>
    </row>
    <row r="2748" spans="6:9" x14ac:dyDescent="0.3">
      <c r="F2748"/>
      <c r="G2748"/>
      <c r="H2748"/>
      <c r="I2748"/>
    </row>
    <row r="2749" spans="6:9" x14ac:dyDescent="0.3">
      <c r="F2749"/>
      <c r="G2749"/>
      <c r="H2749"/>
      <c r="I2749"/>
    </row>
    <row r="2750" spans="6:9" x14ac:dyDescent="0.3">
      <c r="F2750"/>
      <c r="G2750"/>
      <c r="H2750"/>
      <c r="I2750"/>
    </row>
    <row r="2751" spans="6:9" x14ac:dyDescent="0.3">
      <c r="F2751"/>
      <c r="G2751"/>
      <c r="H2751"/>
      <c r="I2751"/>
    </row>
    <row r="2752" spans="6:9" x14ac:dyDescent="0.3">
      <c r="F2752"/>
      <c r="G2752"/>
      <c r="H2752"/>
      <c r="I2752"/>
    </row>
    <row r="2753" spans="6:9" x14ac:dyDescent="0.3">
      <c r="F2753"/>
      <c r="G2753"/>
      <c r="H2753"/>
      <c r="I2753"/>
    </row>
    <row r="2754" spans="6:9" x14ac:dyDescent="0.3">
      <c r="F2754"/>
      <c r="G2754"/>
      <c r="H2754"/>
      <c r="I2754"/>
    </row>
    <row r="2755" spans="6:9" x14ac:dyDescent="0.3">
      <c r="F2755"/>
      <c r="G2755"/>
      <c r="H2755"/>
      <c r="I2755"/>
    </row>
    <row r="2756" spans="6:9" x14ac:dyDescent="0.3">
      <c r="F2756"/>
      <c r="G2756"/>
      <c r="H2756"/>
      <c r="I2756"/>
    </row>
    <row r="2757" spans="6:9" x14ac:dyDescent="0.3">
      <c r="F2757"/>
      <c r="G2757"/>
      <c r="H2757"/>
      <c r="I2757"/>
    </row>
    <row r="2758" spans="6:9" x14ac:dyDescent="0.3">
      <c r="F2758"/>
      <c r="G2758"/>
      <c r="H2758"/>
      <c r="I2758"/>
    </row>
    <row r="2759" spans="6:9" x14ac:dyDescent="0.3">
      <c r="F2759"/>
      <c r="G2759"/>
      <c r="H2759"/>
      <c r="I2759"/>
    </row>
    <row r="2760" spans="6:9" x14ac:dyDescent="0.3">
      <c r="F2760"/>
      <c r="G2760"/>
      <c r="H2760"/>
      <c r="I2760"/>
    </row>
    <row r="2761" spans="6:9" x14ac:dyDescent="0.3">
      <c r="F2761"/>
      <c r="G2761"/>
      <c r="H2761"/>
      <c r="I2761"/>
    </row>
    <row r="2762" spans="6:9" x14ac:dyDescent="0.3">
      <c r="F2762"/>
      <c r="G2762"/>
      <c r="H2762"/>
      <c r="I2762"/>
    </row>
    <row r="2763" spans="6:9" x14ac:dyDescent="0.3">
      <c r="F2763"/>
      <c r="G2763"/>
      <c r="H2763"/>
      <c r="I2763"/>
    </row>
    <row r="2764" spans="6:9" x14ac:dyDescent="0.3">
      <c r="F2764"/>
      <c r="G2764"/>
      <c r="H2764"/>
      <c r="I2764"/>
    </row>
    <row r="2765" spans="6:9" x14ac:dyDescent="0.3">
      <c r="F2765"/>
      <c r="G2765"/>
      <c r="H2765"/>
      <c r="I2765"/>
    </row>
    <row r="2766" spans="6:9" x14ac:dyDescent="0.3">
      <c r="F2766"/>
      <c r="G2766"/>
      <c r="H2766"/>
      <c r="I2766"/>
    </row>
    <row r="2767" spans="6:9" x14ac:dyDescent="0.3">
      <c r="F2767"/>
      <c r="G2767"/>
      <c r="H2767"/>
      <c r="I2767"/>
    </row>
    <row r="2768" spans="6:9" x14ac:dyDescent="0.3">
      <c r="F2768"/>
      <c r="G2768"/>
      <c r="H2768"/>
      <c r="I2768"/>
    </row>
    <row r="2769" spans="6:9" x14ac:dyDescent="0.3">
      <c r="F2769"/>
      <c r="G2769"/>
      <c r="H2769"/>
      <c r="I2769"/>
    </row>
    <row r="2770" spans="6:9" x14ac:dyDescent="0.3">
      <c r="F2770"/>
      <c r="G2770"/>
      <c r="H2770"/>
      <c r="I2770"/>
    </row>
    <row r="2771" spans="6:9" x14ac:dyDescent="0.3">
      <c r="F2771"/>
      <c r="G2771"/>
      <c r="H2771"/>
      <c r="I2771"/>
    </row>
    <row r="2772" spans="6:9" x14ac:dyDescent="0.3">
      <c r="F2772"/>
      <c r="G2772"/>
      <c r="H2772"/>
      <c r="I2772"/>
    </row>
    <row r="2773" spans="6:9" x14ac:dyDescent="0.3">
      <c r="F2773"/>
      <c r="G2773"/>
      <c r="H2773"/>
      <c r="I2773"/>
    </row>
    <row r="2774" spans="6:9" x14ac:dyDescent="0.3">
      <c r="F2774"/>
      <c r="G2774"/>
      <c r="H2774"/>
      <c r="I2774"/>
    </row>
    <row r="2775" spans="6:9" x14ac:dyDescent="0.3">
      <c r="F2775"/>
      <c r="G2775"/>
      <c r="H2775"/>
      <c r="I2775"/>
    </row>
    <row r="2776" spans="6:9" x14ac:dyDescent="0.3">
      <c r="F2776"/>
      <c r="G2776"/>
      <c r="H2776"/>
      <c r="I2776"/>
    </row>
    <row r="2777" spans="6:9" x14ac:dyDescent="0.3">
      <c r="F2777"/>
      <c r="G2777"/>
      <c r="H2777"/>
      <c r="I2777"/>
    </row>
    <row r="2778" spans="6:9" x14ac:dyDescent="0.3">
      <c r="F2778"/>
      <c r="G2778"/>
      <c r="H2778"/>
      <c r="I2778"/>
    </row>
    <row r="2779" spans="6:9" x14ac:dyDescent="0.3">
      <c r="F2779"/>
      <c r="G2779"/>
      <c r="H2779"/>
      <c r="I2779"/>
    </row>
    <row r="2780" spans="6:9" x14ac:dyDescent="0.3">
      <c r="F2780"/>
      <c r="G2780"/>
      <c r="H2780"/>
      <c r="I2780"/>
    </row>
    <row r="2781" spans="6:9" x14ac:dyDescent="0.3">
      <c r="F2781"/>
      <c r="G2781"/>
      <c r="H2781"/>
      <c r="I2781"/>
    </row>
    <row r="2782" spans="6:9" x14ac:dyDescent="0.3">
      <c r="F2782"/>
      <c r="G2782"/>
      <c r="H2782"/>
      <c r="I2782"/>
    </row>
    <row r="2783" spans="6:9" x14ac:dyDescent="0.3">
      <c r="F2783"/>
      <c r="G2783"/>
      <c r="H2783"/>
      <c r="I2783"/>
    </row>
    <row r="2784" spans="6:9" x14ac:dyDescent="0.3">
      <c r="F2784"/>
      <c r="G2784"/>
      <c r="H2784"/>
      <c r="I2784"/>
    </row>
    <row r="2785" spans="6:9" x14ac:dyDescent="0.3">
      <c r="F2785"/>
      <c r="G2785"/>
      <c r="H2785"/>
      <c r="I2785"/>
    </row>
    <row r="2786" spans="6:9" x14ac:dyDescent="0.3">
      <c r="F2786"/>
      <c r="G2786"/>
      <c r="H2786"/>
      <c r="I2786"/>
    </row>
    <row r="2787" spans="6:9" x14ac:dyDescent="0.3">
      <c r="F2787"/>
      <c r="G2787"/>
      <c r="H2787"/>
      <c r="I2787"/>
    </row>
    <row r="2788" spans="6:9" x14ac:dyDescent="0.3">
      <c r="F2788"/>
      <c r="G2788"/>
      <c r="H2788"/>
      <c r="I2788"/>
    </row>
    <row r="2789" spans="6:9" x14ac:dyDescent="0.3">
      <c r="F2789"/>
      <c r="G2789"/>
      <c r="H2789"/>
      <c r="I2789"/>
    </row>
    <row r="2790" spans="6:9" x14ac:dyDescent="0.3">
      <c r="F2790"/>
      <c r="G2790"/>
      <c r="H2790"/>
      <c r="I2790"/>
    </row>
    <row r="2791" spans="6:9" x14ac:dyDescent="0.3">
      <c r="F2791"/>
      <c r="G2791"/>
      <c r="H2791"/>
      <c r="I2791"/>
    </row>
    <row r="2792" spans="6:9" x14ac:dyDescent="0.3">
      <c r="F2792"/>
      <c r="G2792"/>
      <c r="H2792"/>
      <c r="I2792"/>
    </row>
    <row r="2793" spans="6:9" x14ac:dyDescent="0.3">
      <c r="F2793"/>
      <c r="G2793"/>
      <c r="H2793"/>
      <c r="I2793"/>
    </row>
    <row r="2794" spans="6:9" x14ac:dyDescent="0.3">
      <c r="F2794"/>
      <c r="G2794"/>
      <c r="H2794"/>
      <c r="I2794"/>
    </row>
    <row r="2795" spans="6:9" x14ac:dyDescent="0.3">
      <c r="F2795"/>
      <c r="G2795"/>
      <c r="H2795"/>
      <c r="I2795"/>
    </row>
    <row r="2796" spans="6:9" x14ac:dyDescent="0.3">
      <c r="F2796"/>
      <c r="G2796"/>
      <c r="H2796"/>
      <c r="I2796"/>
    </row>
    <row r="2797" spans="6:9" x14ac:dyDescent="0.3">
      <c r="F2797"/>
      <c r="G2797"/>
      <c r="H2797"/>
      <c r="I2797"/>
    </row>
    <row r="2798" spans="6:9" x14ac:dyDescent="0.3">
      <c r="F2798"/>
      <c r="G2798"/>
      <c r="H2798"/>
      <c r="I2798"/>
    </row>
    <row r="2799" spans="6:9" x14ac:dyDescent="0.3">
      <c r="F2799"/>
      <c r="G2799"/>
      <c r="H2799"/>
      <c r="I2799"/>
    </row>
    <row r="2800" spans="6:9" x14ac:dyDescent="0.3">
      <c r="F2800"/>
      <c r="G2800"/>
      <c r="H2800"/>
      <c r="I2800"/>
    </row>
    <row r="2801" spans="6:9" x14ac:dyDescent="0.3">
      <c r="F2801"/>
      <c r="G2801"/>
      <c r="H2801"/>
      <c r="I2801"/>
    </row>
    <row r="2802" spans="6:9" x14ac:dyDescent="0.3">
      <c r="F2802"/>
      <c r="G2802"/>
      <c r="H2802"/>
      <c r="I2802"/>
    </row>
    <row r="2803" spans="6:9" x14ac:dyDescent="0.3">
      <c r="F2803"/>
      <c r="G2803"/>
      <c r="H2803"/>
      <c r="I2803"/>
    </row>
    <row r="2804" spans="6:9" x14ac:dyDescent="0.3">
      <c r="F2804"/>
      <c r="G2804"/>
      <c r="H2804"/>
      <c r="I2804"/>
    </row>
    <row r="2805" spans="6:9" x14ac:dyDescent="0.3">
      <c r="F2805"/>
      <c r="G2805"/>
      <c r="H2805"/>
      <c r="I2805"/>
    </row>
    <row r="2806" spans="6:9" x14ac:dyDescent="0.3">
      <c r="F2806"/>
      <c r="G2806"/>
      <c r="H2806"/>
      <c r="I2806"/>
    </row>
    <row r="2807" spans="6:9" x14ac:dyDescent="0.3">
      <c r="F2807"/>
      <c r="G2807"/>
      <c r="H2807"/>
      <c r="I2807"/>
    </row>
    <row r="2808" spans="6:9" x14ac:dyDescent="0.3">
      <c r="F2808"/>
      <c r="G2808"/>
      <c r="H2808"/>
      <c r="I2808"/>
    </row>
    <row r="2809" spans="6:9" x14ac:dyDescent="0.3">
      <c r="F2809"/>
      <c r="G2809"/>
      <c r="H2809"/>
      <c r="I2809"/>
    </row>
    <row r="2810" spans="6:9" x14ac:dyDescent="0.3">
      <c r="F2810"/>
      <c r="G2810"/>
      <c r="H2810"/>
      <c r="I2810"/>
    </row>
    <row r="2811" spans="6:9" x14ac:dyDescent="0.3">
      <c r="F2811"/>
      <c r="G2811"/>
      <c r="H2811"/>
      <c r="I2811"/>
    </row>
    <row r="2812" spans="6:9" x14ac:dyDescent="0.3">
      <c r="F2812"/>
      <c r="G2812"/>
      <c r="H2812"/>
      <c r="I2812"/>
    </row>
    <row r="2813" spans="6:9" x14ac:dyDescent="0.3">
      <c r="F2813"/>
      <c r="G2813"/>
      <c r="H2813"/>
      <c r="I2813"/>
    </row>
    <row r="2814" spans="6:9" x14ac:dyDescent="0.3">
      <c r="F2814"/>
      <c r="G2814"/>
      <c r="H2814"/>
      <c r="I2814"/>
    </row>
    <row r="2815" spans="6:9" x14ac:dyDescent="0.3">
      <c r="F2815"/>
      <c r="G2815"/>
      <c r="H2815"/>
      <c r="I2815"/>
    </row>
    <row r="2816" spans="6:9" x14ac:dyDescent="0.3">
      <c r="F2816"/>
      <c r="G2816"/>
      <c r="H2816"/>
      <c r="I2816"/>
    </row>
    <row r="2817" spans="6:9" x14ac:dyDescent="0.3">
      <c r="F2817"/>
      <c r="G2817"/>
      <c r="H2817"/>
      <c r="I2817"/>
    </row>
    <row r="2818" spans="6:9" x14ac:dyDescent="0.3">
      <c r="F2818"/>
      <c r="G2818"/>
      <c r="H2818"/>
      <c r="I2818"/>
    </row>
    <row r="2819" spans="6:9" x14ac:dyDescent="0.3">
      <c r="F2819"/>
      <c r="G2819"/>
      <c r="H2819"/>
      <c r="I2819"/>
    </row>
    <row r="2820" spans="6:9" x14ac:dyDescent="0.3">
      <c r="F2820"/>
      <c r="G2820"/>
      <c r="H2820"/>
      <c r="I2820"/>
    </row>
    <row r="2821" spans="6:9" x14ac:dyDescent="0.3">
      <c r="F2821"/>
      <c r="G2821"/>
      <c r="H2821"/>
      <c r="I2821"/>
    </row>
    <row r="2822" spans="6:9" x14ac:dyDescent="0.3">
      <c r="F2822"/>
      <c r="G2822"/>
      <c r="H2822"/>
      <c r="I2822"/>
    </row>
    <row r="2823" spans="6:9" x14ac:dyDescent="0.3">
      <c r="F2823"/>
      <c r="G2823"/>
      <c r="H2823"/>
      <c r="I2823"/>
    </row>
    <row r="2824" spans="6:9" x14ac:dyDescent="0.3">
      <c r="F2824"/>
      <c r="G2824"/>
      <c r="H2824"/>
      <c r="I2824"/>
    </row>
    <row r="2825" spans="6:9" x14ac:dyDescent="0.3">
      <c r="F2825"/>
      <c r="G2825"/>
      <c r="H2825"/>
      <c r="I2825"/>
    </row>
    <row r="2826" spans="6:9" x14ac:dyDescent="0.3">
      <c r="F2826"/>
      <c r="G2826"/>
      <c r="H2826"/>
      <c r="I2826"/>
    </row>
    <row r="2827" spans="6:9" x14ac:dyDescent="0.3">
      <c r="F2827"/>
      <c r="G2827"/>
      <c r="H2827"/>
      <c r="I2827"/>
    </row>
    <row r="2828" spans="6:9" x14ac:dyDescent="0.3">
      <c r="F2828"/>
      <c r="G2828"/>
      <c r="H2828"/>
      <c r="I2828"/>
    </row>
    <row r="2829" spans="6:9" x14ac:dyDescent="0.3">
      <c r="F2829"/>
      <c r="G2829"/>
      <c r="H2829"/>
      <c r="I2829"/>
    </row>
    <row r="2830" spans="6:9" x14ac:dyDescent="0.3">
      <c r="F2830"/>
      <c r="G2830"/>
      <c r="H2830"/>
      <c r="I2830"/>
    </row>
    <row r="2831" spans="6:9" x14ac:dyDescent="0.3">
      <c r="F2831"/>
      <c r="G2831"/>
      <c r="H2831"/>
      <c r="I2831"/>
    </row>
    <row r="2832" spans="6:9" x14ac:dyDescent="0.3">
      <c r="F2832"/>
      <c r="G2832"/>
      <c r="H2832"/>
      <c r="I2832"/>
    </row>
    <row r="2833" spans="6:9" x14ac:dyDescent="0.3">
      <c r="F2833"/>
      <c r="G2833"/>
      <c r="H2833"/>
      <c r="I2833"/>
    </row>
    <row r="2834" spans="6:9" x14ac:dyDescent="0.3">
      <c r="F2834"/>
      <c r="G2834"/>
      <c r="H2834"/>
      <c r="I2834"/>
    </row>
    <row r="2835" spans="6:9" x14ac:dyDescent="0.3">
      <c r="F2835"/>
      <c r="G2835"/>
      <c r="H2835"/>
      <c r="I2835"/>
    </row>
    <row r="2836" spans="6:9" x14ac:dyDescent="0.3">
      <c r="F2836"/>
      <c r="G2836"/>
      <c r="H2836"/>
      <c r="I2836"/>
    </row>
    <row r="2837" spans="6:9" x14ac:dyDescent="0.3">
      <c r="F2837"/>
      <c r="G2837"/>
      <c r="H2837"/>
      <c r="I2837"/>
    </row>
    <row r="2838" spans="6:9" x14ac:dyDescent="0.3">
      <c r="F2838"/>
      <c r="G2838"/>
      <c r="H2838"/>
      <c r="I2838"/>
    </row>
    <row r="2839" spans="6:9" x14ac:dyDescent="0.3">
      <c r="F2839"/>
      <c r="G2839"/>
      <c r="H2839"/>
      <c r="I2839"/>
    </row>
    <row r="2840" spans="6:9" x14ac:dyDescent="0.3">
      <c r="F2840"/>
      <c r="G2840"/>
      <c r="H2840"/>
      <c r="I2840"/>
    </row>
    <row r="2841" spans="6:9" x14ac:dyDescent="0.3">
      <c r="F2841"/>
      <c r="G2841"/>
      <c r="H2841"/>
      <c r="I2841"/>
    </row>
    <row r="2842" spans="6:9" x14ac:dyDescent="0.3">
      <c r="F2842"/>
      <c r="G2842"/>
      <c r="H2842"/>
      <c r="I2842"/>
    </row>
    <row r="2843" spans="6:9" x14ac:dyDescent="0.3">
      <c r="F2843"/>
      <c r="G2843"/>
      <c r="H2843"/>
      <c r="I2843"/>
    </row>
    <row r="2844" spans="6:9" x14ac:dyDescent="0.3">
      <c r="F2844"/>
      <c r="G2844"/>
      <c r="H2844"/>
      <c r="I2844"/>
    </row>
    <row r="2845" spans="6:9" x14ac:dyDescent="0.3">
      <c r="F2845"/>
      <c r="G2845"/>
      <c r="H2845"/>
      <c r="I2845"/>
    </row>
    <row r="2846" spans="6:9" x14ac:dyDescent="0.3">
      <c r="F2846"/>
      <c r="G2846"/>
      <c r="H2846"/>
      <c r="I2846"/>
    </row>
    <row r="2847" spans="6:9" x14ac:dyDescent="0.3">
      <c r="F2847"/>
      <c r="G2847"/>
      <c r="H2847"/>
      <c r="I2847"/>
    </row>
    <row r="2848" spans="6:9" x14ac:dyDescent="0.3">
      <c r="F2848"/>
      <c r="G2848"/>
      <c r="H2848"/>
      <c r="I2848"/>
    </row>
    <row r="2849" spans="6:9" x14ac:dyDescent="0.3">
      <c r="F2849"/>
      <c r="G2849"/>
      <c r="H2849"/>
      <c r="I2849"/>
    </row>
    <row r="2850" spans="6:9" x14ac:dyDescent="0.3">
      <c r="F2850"/>
      <c r="G2850"/>
      <c r="H2850"/>
      <c r="I2850"/>
    </row>
    <row r="2851" spans="6:9" x14ac:dyDescent="0.3">
      <c r="F2851"/>
      <c r="G2851"/>
      <c r="H2851"/>
      <c r="I2851"/>
    </row>
    <row r="2852" spans="6:9" x14ac:dyDescent="0.3">
      <c r="F2852"/>
      <c r="G2852"/>
      <c r="H2852"/>
      <c r="I2852"/>
    </row>
    <row r="2853" spans="6:9" x14ac:dyDescent="0.3">
      <c r="F2853"/>
      <c r="G2853"/>
      <c r="H2853"/>
      <c r="I2853"/>
    </row>
    <row r="2854" spans="6:9" x14ac:dyDescent="0.3">
      <c r="F2854"/>
      <c r="G2854"/>
      <c r="H2854"/>
      <c r="I2854"/>
    </row>
    <row r="2855" spans="6:9" x14ac:dyDescent="0.3">
      <c r="F2855"/>
      <c r="G2855"/>
      <c r="H2855"/>
      <c r="I2855"/>
    </row>
    <row r="2856" spans="6:9" x14ac:dyDescent="0.3">
      <c r="F2856"/>
      <c r="G2856"/>
      <c r="H2856"/>
      <c r="I2856"/>
    </row>
    <row r="2857" spans="6:9" x14ac:dyDescent="0.3">
      <c r="F2857"/>
      <c r="G2857"/>
      <c r="H2857"/>
      <c r="I2857"/>
    </row>
    <row r="2858" spans="6:9" x14ac:dyDescent="0.3">
      <c r="F2858"/>
      <c r="G2858"/>
      <c r="H2858"/>
      <c r="I2858"/>
    </row>
    <row r="2859" spans="6:9" x14ac:dyDescent="0.3">
      <c r="F2859"/>
      <c r="G2859"/>
      <c r="H2859"/>
      <c r="I2859"/>
    </row>
    <row r="2860" spans="6:9" x14ac:dyDescent="0.3">
      <c r="F2860"/>
      <c r="G2860"/>
      <c r="H2860"/>
      <c r="I2860"/>
    </row>
    <row r="2861" spans="6:9" x14ac:dyDescent="0.3">
      <c r="F2861"/>
      <c r="G2861"/>
      <c r="H2861"/>
      <c r="I2861"/>
    </row>
    <row r="2862" spans="6:9" x14ac:dyDescent="0.3">
      <c r="F2862"/>
      <c r="G2862"/>
      <c r="H2862"/>
      <c r="I2862"/>
    </row>
    <row r="2863" spans="6:9" x14ac:dyDescent="0.3">
      <c r="F2863"/>
      <c r="G2863"/>
      <c r="H2863"/>
      <c r="I2863"/>
    </row>
    <row r="2864" spans="6:9" x14ac:dyDescent="0.3">
      <c r="F2864"/>
      <c r="G2864"/>
      <c r="H2864"/>
      <c r="I2864"/>
    </row>
    <row r="2865" spans="6:9" x14ac:dyDescent="0.3">
      <c r="F2865"/>
      <c r="G2865"/>
      <c r="H2865"/>
      <c r="I2865"/>
    </row>
    <row r="2866" spans="6:9" x14ac:dyDescent="0.3">
      <c r="F2866"/>
      <c r="G2866"/>
      <c r="H2866"/>
      <c r="I2866"/>
    </row>
    <row r="2867" spans="6:9" x14ac:dyDescent="0.3">
      <c r="F2867"/>
      <c r="G2867"/>
      <c r="H2867"/>
      <c r="I2867"/>
    </row>
    <row r="2868" spans="6:9" x14ac:dyDescent="0.3">
      <c r="F2868"/>
      <c r="G2868"/>
      <c r="H2868"/>
      <c r="I2868"/>
    </row>
    <row r="2869" spans="6:9" x14ac:dyDescent="0.3">
      <c r="F2869"/>
      <c r="G2869"/>
      <c r="H2869"/>
      <c r="I2869"/>
    </row>
    <row r="2870" spans="6:9" x14ac:dyDescent="0.3">
      <c r="F2870"/>
      <c r="G2870"/>
      <c r="H2870"/>
      <c r="I2870"/>
    </row>
    <row r="2871" spans="6:9" x14ac:dyDescent="0.3">
      <c r="F2871"/>
      <c r="G2871"/>
      <c r="H2871"/>
      <c r="I2871"/>
    </row>
    <row r="2872" spans="6:9" x14ac:dyDescent="0.3">
      <c r="F2872"/>
      <c r="G2872"/>
      <c r="H2872"/>
      <c r="I2872"/>
    </row>
    <row r="2873" spans="6:9" x14ac:dyDescent="0.3">
      <c r="F2873"/>
      <c r="G2873"/>
      <c r="H2873"/>
      <c r="I2873"/>
    </row>
    <row r="2874" spans="6:9" x14ac:dyDescent="0.3">
      <c r="F2874"/>
      <c r="G2874"/>
      <c r="H2874"/>
      <c r="I2874"/>
    </row>
    <row r="2875" spans="6:9" x14ac:dyDescent="0.3">
      <c r="F2875"/>
      <c r="G2875"/>
      <c r="H2875"/>
      <c r="I2875"/>
    </row>
    <row r="2876" spans="6:9" x14ac:dyDescent="0.3">
      <c r="F2876"/>
      <c r="G2876"/>
      <c r="H2876"/>
      <c r="I2876"/>
    </row>
    <row r="2877" spans="6:9" x14ac:dyDescent="0.3">
      <c r="F2877"/>
      <c r="G2877"/>
      <c r="H2877"/>
      <c r="I2877"/>
    </row>
    <row r="2878" spans="6:9" x14ac:dyDescent="0.3">
      <c r="F2878"/>
      <c r="G2878"/>
      <c r="H2878"/>
      <c r="I2878"/>
    </row>
    <row r="2879" spans="6:9" x14ac:dyDescent="0.3">
      <c r="F2879"/>
      <c r="G2879"/>
      <c r="H2879"/>
      <c r="I2879"/>
    </row>
    <row r="2880" spans="6:9" x14ac:dyDescent="0.3">
      <c r="F2880"/>
      <c r="G2880"/>
      <c r="H2880"/>
      <c r="I2880"/>
    </row>
    <row r="2881" spans="6:9" x14ac:dyDescent="0.3">
      <c r="F2881"/>
      <c r="G2881"/>
      <c r="H2881"/>
      <c r="I2881"/>
    </row>
    <row r="2882" spans="6:9" x14ac:dyDescent="0.3">
      <c r="F2882"/>
      <c r="G2882"/>
      <c r="H2882"/>
      <c r="I2882"/>
    </row>
    <row r="2883" spans="6:9" x14ac:dyDescent="0.3">
      <c r="F2883"/>
      <c r="G2883"/>
      <c r="H2883"/>
      <c r="I2883"/>
    </row>
    <row r="2884" spans="6:9" x14ac:dyDescent="0.3">
      <c r="F2884"/>
      <c r="G2884"/>
      <c r="H2884"/>
      <c r="I2884"/>
    </row>
    <row r="2885" spans="6:9" x14ac:dyDescent="0.3">
      <c r="F2885"/>
      <c r="G2885"/>
      <c r="H2885"/>
      <c r="I2885"/>
    </row>
    <row r="2886" spans="6:9" x14ac:dyDescent="0.3">
      <c r="F2886"/>
      <c r="G2886"/>
      <c r="H2886"/>
      <c r="I2886"/>
    </row>
    <row r="2887" spans="6:9" x14ac:dyDescent="0.3">
      <c r="F2887"/>
      <c r="G2887"/>
      <c r="H2887"/>
      <c r="I2887"/>
    </row>
    <row r="2888" spans="6:9" x14ac:dyDescent="0.3">
      <c r="F2888"/>
      <c r="G2888"/>
      <c r="H2888"/>
      <c r="I2888"/>
    </row>
    <row r="2889" spans="6:9" x14ac:dyDescent="0.3">
      <c r="F2889"/>
      <c r="G2889"/>
      <c r="H2889"/>
      <c r="I2889"/>
    </row>
    <row r="2890" spans="6:9" x14ac:dyDescent="0.3">
      <c r="F2890"/>
      <c r="G2890"/>
      <c r="H2890"/>
      <c r="I2890"/>
    </row>
    <row r="2891" spans="6:9" x14ac:dyDescent="0.3">
      <c r="F2891"/>
      <c r="G2891"/>
      <c r="H2891"/>
      <c r="I2891"/>
    </row>
    <row r="2892" spans="6:9" x14ac:dyDescent="0.3">
      <c r="F2892"/>
      <c r="G2892"/>
      <c r="H2892"/>
      <c r="I2892"/>
    </row>
    <row r="2893" spans="6:9" x14ac:dyDescent="0.3">
      <c r="F2893"/>
      <c r="G2893"/>
      <c r="H2893"/>
      <c r="I2893"/>
    </row>
    <row r="2894" spans="6:9" x14ac:dyDescent="0.3">
      <c r="F2894"/>
      <c r="G2894"/>
      <c r="H2894"/>
      <c r="I2894"/>
    </row>
    <row r="2895" spans="6:9" x14ac:dyDescent="0.3">
      <c r="F2895"/>
      <c r="G2895"/>
      <c r="H2895"/>
      <c r="I2895"/>
    </row>
    <row r="2896" spans="6:9" x14ac:dyDescent="0.3">
      <c r="F2896"/>
      <c r="G2896"/>
      <c r="H2896"/>
      <c r="I2896"/>
    </row>
    <row r="2897" spans="6:9" x14ac:dyDescent="0.3">
      <c r="F2897"/>
      <c r="G2897"/>
      <c r="H2897"/>
      <c r="I2897"/>
    </row>
    <row r="2898" spans="6:9" x14ac:dyDescent="0.3">
      <c r="F2898"/>
      <c r="G2898"/>
      <c r="H2898"/>
      <c r="I2898"/>
    </row>
    <row r="2899" spans="6:9" x14ac:dyDescent="0.3">
      <c r="F2899"/>
      <c r="G2899"/>
      <c r="H2899"/>
      <c r="I2899"/>
    </row>
    <row r="2900" spans="6:9" x14ac:dyDescent="0.3">
      <c r="F2900"/>
      <c r="G2900"/>
      <c r="H2900"/>
      <c r="I2900"/>
    </row>
    <row r="2901" spans="6:9" x14ac:dyDescent="0.3">
      <c r="F2901"/>
      <c r="G2901"/>
      <c r="H2901"/>
      <c r="I2901"/>
    </row>
    <row r="2902" spans="6:9" x14ac:dyDescent="0.3">
      <c r="F2902"/>
      <c r="G2902"/>
      <c r="H2902"/>
      <c r="I2902"/>
    </row>
    <row r="2903" spans="6:9" x14ac:dyDescent="0.3">
      <c r="F2903"/>
      <c r="G2903"/>
      <c r="H2903"/>
      <c r="I2903"/>
    </row>
    <row r="2904" spans="6:9" x14ac:dyDescent="0.3">
      <c r="F2904"/>
      <c r="G2904"/>
      <c r="H2904"/>
      <c r="I2904"/>
    </row>
    <row r="2905" spans="6:9" x14ac:dyDescent="0.3">
      <c r="F2905"/>
      <c r="G2905"/>
      <c r="H2905"/>
      <c r="I2905"/>
    </row>
    <row r="2906" spans="6:9" x14ac:dyDescent="0.3">
      <c r="F2906"/>
      <c r="G2906"/>
      <c r="H2906"/>
      <c r="I2906"/>
    </row>
    <row r="2907" spans="6:9" x14ac:dyDescent="0.3">
      <c r="F2907"/>
      <c r="G2907"/>
      <c r="H2907"/>
      <c r="I2907"/>
    </row>
    <row r="2908" spans="6:9" x14ac:dyDescent="0.3">
      <c r="F2908"/>
      <c r="G2908"/>
      <c r="H2908"/>
      <c r="I2908"/>
    </row>
    <row r="2909" spans="6:9" x14ac:dyDescent="0.3">
      <c r="F2909"/>
      <c r="G2909"/>
      <c r="H2909"/>
      <c r="I2909"/>
    </row>
    <row r="2910" spans="6:9" x14ac:dyDescent="0.3">
      <c r="F2910"/>
      <c r="G2910"/>
      <c r="H2910"/>
      <c r="I2910"/>
    </row>
    <row r="2911" spans="6:9" x14ac:dyDescent="0.3">
      <c r="F2911"/>
      <c r="G2911"/>
      <c r="H2911"/>
      <c r="I2911"/>
    </row>
    <row r="2912" spans="6:9" x14ac:dyDescent="0.3">
      <c r="F2912"/>
      <c r="G2912"/>
      <c r="H2912"/>
      <c r="I2912"/>
    </row>
    <row r="2913" spans="6:9" x14ac:dyDescent="0.3">
      <c r="F2913"/>
      <c r="G2913"/>
      <c r="H2913"/>
      <c r="I2913"/>
    </row>
    <row r="2914" spans="6:9" x14ac:dyDescent="0.3">
      <c r="F2914"/>
      <c r="G2914"/>
      <c r="H2914"/>
      <c r="I2914"/>
    </row>
    <row r="2915" spans="6:9" x14ac:dyDescent="0.3">
      <c r="F2915"/>
      <c r="G2915"/>
      <c r="H2915"/>
      <c r="I2915"/>
    </row>
    <row r="2916" spans="6:9" x14ac:dyDescent="0.3">
      <c r="F2916"/>
      <c r="G2916"/>
      <c r="H2916"/>
      <c r="I2916"/>
    </row>
    <row r="2917" spans="6:9" x14ac:dyDescent="0.3">
      <c r="F2917"/>
      <c r="G2917"/>
      <c r="H2917"/>
      <c r="I2917"/>
    </row>
    <row r="2918" spans="6:9" x14ac:dyDescent="0.3">
      <c r="F2918"/>
      <c r="G2918"/>
      <c r="H2918"/>
      <c r="I2918"/>
    </row>
    <row r="2919" spans="6:9" x14ac:dyDescent="0.3">
      <c r="F2919"/>
      <c r="G2919"/>
      <c r="H2919"/>
      <c r="I2919"/>
    </row>
    <row r="2920" spans="6:9" x14ac:dyDescent="0.3">
      <c r="F2920"/>
      <c r="G2920"/>
      <c r="H2920"/>
      <c r="I2920"/>
    </row>
    <row r="2921" spans="6:9" x14ac:dyDescent="0.3">
      <c r="F2921"/>
      <c r="G2921"/>
      <c r="H2921"/>
      <c r="I2921"/>
    </row>
    <row r="2922" spans="6:9" x14ac:dyDescent="0.3">
      <c r="F2922"/>
      <c r="G2922"/>
      <c r="H2922"/>
      <c r="I2922"/>
    </row>
    <row r="2923" spans="6:9" x14ac:dyDescent="0.3">
      <c r="F2923"/>
      <c r="G2923"/>
      <c r="H2923"/>
      <c r="I2923"/>
    </row>
    <row r="2924" spans="6:9" x14ac:dyDescent="0.3">
      <c r="F2924"/>
      <c r="G2924"/>
      <c r="H2924"/>
      <c r="I2924"/>
    </row>
    <row r="2925" spans="6:9" x14ac:dyDescent="0.3">
      <c r="F2925"/>
      <c r="G2925"/>
      <c r="H2925"/>
      <c r="I2925"/>
    </row>
    <row r="2926" spans="6:9" x14ac:dyDescent="0.3">
      <c r="F2926"/>
      <c r="G2926"/>
      <c r="H2926"/>
      <c r="I2926"/>
    </row>
    <row r="2927" spans="6:9" x14ac:dyDescent="0.3">
      <c r="F2927"/>
      <c r="G2927"/>
      <c r="H2927"/>
      <c r="I2927"/>
    </row>
    <row r="2928" spans="6:9" x14ac:dyDescent="0.3">
      <c r="F2928"/>
      <c r="G2928"/>
      <c r="H2928"/>
      <c r="I2928"/>
    </row>
    <row r="2929" spans="6:9" x14ac:dyDescent="0.3">
      <c r="F2929"/>
      <c r="G2929"/>
      <c r="H2929"/>
      <c r="I2929"/>
    </row>
    <row r="2930" spans="6:9" x14ac:dyDescent="0.3">
      <c r="F2930"/>
      <c r="G2930"/>
      <c r="H2930"/>
      <c r="I2930"/>
    </row>
    <row r="2931" spans="6:9" x14ac:dyDescent="0.3">
      <c r="F2931"/>
      <c r="G2931"/>
      <c r="H2931"/>
      <c r="I2931"/>
    </row>
    <row r="2932" spans="6:9" x14ac:dyDescent="0.3">
      <c r="F2932"/>
      <c r="G2932"/>
      <c r="H2932"/>
      <c r="I2932"/>
    </row>
    <row r="2933" spans="6:9" x14ac:dyDescent="0.3">
      <c r="F2933"/>
      <c r="G2933"/>
      <c r="H2933"/>
      <c r="I2933"/>
    </row>
    <row r="2934" spans="6:9" x14ac:dyDescent="0.3">
      <c r="F2934"/>
      <c r="G2934"/>
      <c r="H2934"/>
      <c r="I2934"/>
    </row>
    <row r="2935" spans="6:9" x14ac:dyDescent="0.3">
      <c r="F2935"/>
      <c r="G2935"/>
      <c r="H2935"/>
      <c r="I2935"/>
    </row>
    <row r="2936" spans="6:9" x14ac:dyDescent="0.3">
      <c r="F2936"/>
      <c r="G2936"/>
      <c r="H2936"/>
      <c r="I2936"/>
    </row>
    <row r="2937" spans="6:9" x14ac:dyDescent="0.3">
      <c r="F2937"/>
      <c r="G2937"/>
      <c r="H2937"/>
      <c r="I2937"/>
    </row>
    <row r="2938" spans="6:9" x14ac:dyDescent="0.3">
      <c r="F2938"/>
      <c r="G2938"/>
      <c r="H2938"/>
      <c r="I2938"/>
    </row>
    <row r="2939" spans="6:9" x14ac:dyDescent="0.3">
      <c r="F2939"/>
      <c r="G2939"/>
      <c r="H2939"/>
      <c r="I2939"/>
    </row>
    <row r="2940" spans="6:9" x14ac:dyDescent="0.3">
      <c r="F2940"/>
      <c r="G2940"/>
      <c r="H2940"/>
      <c r="I2940"/>
    </row>
    <row r="2941" spans="6:9" x14ac:dyDescent="0.3">
      <c r="F2941"/>
      <c r="G2941"/>
      <c r="H2941"/>
      <c r="I2941"/>
    </row>
    <row r="2942" spans="6:9" x14ac:dyDescent="0.3">
      <c r="F2942"/>
      <c r="G2942"/>
      <c r="H2942"/>
      <c r="I2942"/>
    </row>
    <row r="2943" spans="6:9" x14ac:dyDescent="0.3">
      <c r="F2943"/>
      <c r="G2943"/>
      <c r="H2943"/>
      <c r="I2943"/>
    </row>
    <row r="2944" spans="6:9" x14ac:dyDescent="0.3">
      <c r="F2944"/>
      <c r="G2944"/>
      <c r="H2944"/>
      <c r="I2944"/>
    </row>
    <row r="2945" spans="6:9" x14ac:dyDescent="0.3">
      <c r="F2945"/>
      <c r="G2945"/>
      <c r="H2945"/>
      <c r="I2945"/>
    </row>
    <row r="2946" spans="6:9" x14ac:dyDescent="0.3">
      <c r="F2946"/>
      <c r="G2946"/>
      <c r="H2946"/>
      <c r="I2946"/>
    </row>
    <row r="2947" spans="6:9" x14ac:dyDescent="0.3">
      <c r="F2947"/>
      <c r="G2947"/>
      <c r="H2947"/>
      <c r="I2947"/>
    </row>
    <row r="2948" spans="6:9" x14ac:dyDescent="0.3">
      <c r="F2948"/>
      <c r="G2948"/>
      <c r="H2948"/>
      <c r="I2948"/>
    </row>
    <row r="2949" spans="6:9" x14ac:dyDescent="0.3">
      <c r="F2949"/>
      <c r="G2949"/>
      <c r="H2949"/>
      <c r="I2949"/>
    </row>
    <row r="2950" spans="6:9" x14ac:dyDescent="0.3">
      <c r="F2950"/>
      <c r="G2950"/>
      <c r="H2950"/>
      <c r="I2950"/>
    </row>
    <row r="2951" spans="6:9" x14ac:dyDescent="0.3">
      <c r="F2951"/>
      <c r="G2951"/>
      <c r="H2951"/>
      <c r="I2951"/>
    </row>
    <row r="2952" spans="6:9" x14ac:dyDescent="0.3">
      <c r="F2952"/>
      <c r="G2952"/>
      <c r="H2952"/>
      <c r="I2952"/>
    </row>
    <row r="2953" spans="6:9" x14ac:dyDescent="0.3">
      <c r="F2953"/>
      <c r="G2953"/>
      <c r="H2953"/>
      <c r="I2953"/>
    </row>
    <row r="2954" spans="6:9" x14ac:dyDescent="0.3">
      <c r="F2954"/>
      <c r="G2954"/>
      <c r="H2954"/>
      <c r="I2954"/>
    </row>
    <row r="2955" spans="6:9" x14ac:dyDescent="0.3">
      <c r="F2955"/>
      <c r="G2955"/>
      <c r="H2955"/>
      <c r="I2955"/>
    </row>
    <row r="2956" spans="6:9" x14ac:dyDescent="0.3">
      <c r="F2956"/>
      <c r="G2956"/>
      <c r="H2956"/>
      <c r="I2956"/>
    </row>
    <row r="2957" spans="6:9" x14ac:dyDescent="0.3">
      <c r="F2957"/>
      <c r="G2957"/>
      <c r="H2957"/>
      <c r="I2957"/>
    </row>
    <row r="2958" spans="6:9" x14ac:dyDescent="0.3">
      <c r="F2958"/>
      <c r="G2958"/>
      <c r="H2958"/>
      <c r="I2958"/>
    </row>
    <row r="2959" spans="6:9" x14ac:dyDescent="0.3">
      <c r="F2959"/>
      <c r="G2959"/>
      <c r="H2959"/>
      <c r="I2959"/>
    </row>
    <row r="2960" spans="6:9" x14ac:dyDescent="0.3">
      <c r="F2960"/>
      <c r="G2960"/>
      <c r="H2960"/>
      <c r="I2960"/>
    </row>
    <row r="2961" spans="6:9" x14ac:dyDescent="0.3">
      <c r="F2961"/>
      <c r="G2961"/>
      <c r="H2961"/>
      <c r="I2961"/>
    </row>
    <row r="2962" spans="6:9" x14ac:dyDescent="0.3">
      <c r="F2962"/>
      <c r="G2962"/>
      <c r="H2962"/>
      <c r="I2962"/>
    </row>
    <row r="2963" spans="6:9" x14ac:dyDescent="0.3">
      <c r="F2963"/>
      <c r="G2963"/>
      <c r="H2963"/>
      <c r="I2963"/>
    </row>
    <row r="2964" spans="6:9" x14ac:dyDescent="0.3">
      <c r="F2964"/>
      <c r="G2964"/>
      <c r="H2964"/>
      <c r="I2964"/>
    </row>
    <row r="2965" spans="6:9" x14ac:dyDescent="0.3">
      <c r="F2965"/>
      <c r="G2965"/>
      <c r="H2965"/>
      <c r="I2965"/>
    </row>
    <row r="2966" spans="6:9" x14ac:dyDescent="0.3">
      <c r="F2966"/>
      <c r="G2966"/>
      <c r="H2966"/>
      <c r="I2966"/>
    </row>
    <row r="2967" spans="6:9" x14ac:dyDescent="0.3">
      <c r="F2967"/>
      <c r="G2967"/>
      <c r="H2967"/>
      <c r="I2967"/>
    </row>
    <row r="2968" spans="6:9" x14ac:dyDescent="0.3">
      <c r="F2968"/>
      <c r="G2968"/>
      <c r="H2968"/>
      <c r="I2968"/>
    </row>
    <row r="2969" spans="6:9" x14ac:dyDescent="0.3">
      <c r="F2969"/>
      <c r="G2969"/>
      <c r="H2969"/>
      <c r="I2969"/>
    </row>
    <row r="2970" spans="6:9" x14ac:dyDescent="0.3">
      <c r="F2970"/>
      <c r="G2970"/>
      <c r="H2970"/>
      <c r="I2970"/>
    </row>
    <row r="2971" spans="6:9" x14ac:dyDescent="0.3">
      <c r="F2971"/>
      <c r="G2971"/>
      <c r="H2971"/>
      <c r="I2971"/>
    </row>
    <row r="2972" spans="6:9" x14ac:dyDescent="0.3">
      <c r="F2972"/>
      <c r="G2972"/>
      <c r="H2972"/>
      <c r="I2972"/>
    </row>
    <row r="2973" spans="6:9" x14ac:dyDescent="0.3">
      <c r="F2973"/>
      <c r="G2973"/>
      <c r="H2973"/>
      <c r="I2973"/>
    </row>
    <row r="2974" spans="6:9" x14ac:dyDescent="0.3">
      <c r="F2974"/>
      <c r="G2974"/>
      <c r="H2974"/>
      <c r="I2974"/>
    </row>
    <row r="2975" spans="6:9" x14ac:dyDescent="0.3">
      <c r="F2975"/>
      <c r="G2975"/>
      <c r="H2975"/>
      <c r="I2975"/>
    </row>
    <row r="2976" spans="6:9" x14ac:dyDescent="0.3">
      <c r="F2976"/>
      <c r="G2976"/>
      <c r="H2976"/>
      <c r="I2976"/>
    </row>
    <row r="2977" spans="6:9" x14ac:dyDescent="0.3">
      <c r="F2977"/>
      <c r="G2977"/>
      <c r="H2977"/>
      <c r="I2977"/>
    </row>
    <row r="2978" spans="6:9" x14ac:dyDescent="0.3">
      <c r="F2978"/>
      <c r="G2978"/>
      <c r="H2978"/>
      <c r="I2978"/>
    </row>
    <row r="2979" spans="6:9" x14ac:dyDescent="0.3">
      <c r="F2979"/>
      <c r="G2979"/>
      <c r="H2979"/>
      <c r="I2979"/>
    </row>
    <row r="2980" spans="6:9" x14ac:dyDescent="0.3">
      <c r="F2980"/>
      <c r="G2980"/>
      <c r="H2980"/>
      <c r="I2980"/>
    </row>
    <row r="2981" spans="6:9" x14ac:dyDescent="0.3">
      <c r="F2981"/>
      <c r="G2981"/>
      <c r="H2981"/>
      <c r="I2981"/>
    </row>
    <row r="2982" spans="6:9" x14ac:dyDescent="0.3">
      <c r="F2982"/>
      <c r="G2982"/>
      <c r="H2982"/>
      <c r="I2982"/>
    </row>
    <row r="2983" spans="6:9" x14ac:dyDescent="0.3">
      <c r="F2983"/>
      <c r="G2983"/>
      <c r="H2983"/>
      <c r="I2983"/>
    </row>
    <row r="2984" spans="6:9" x14ac:dyDescent="0.3">
      <c r="F2984"/>
      <c r="G2984"/>
      <c r="H2984"/>
      <c r="I2984"/>
    </row>
    <row r="2985" spans="6:9" x14ac:dyDescent="0.3">
      <c r="F2985"/>
      <c r="G2985"/>
      <c r="H2985"/>
      <c r="I2985"/>
    </row>
    <row r="2986" spans="6:9" x14ac:dyDescent="0.3">
      <c r="F2986"/>
      <c r="G2986"/>
      <c r="H2986"/>
      <c r="I2986"/>
    </row>
    <row r="2987" spans="6:9" x14ac:dyDescent="0.3">
      <c r="F2987"/>
      <c r="G2987"/>
      <c r="H2987"/>
      <c r="I2987"/>
    </row>
    <row r="2988" spans="6:9" x14ac:dyDescent="0.3">
      <c r="F2988"/>
      <c r="G2988"/>
      <c r="H2988"/>
      <c r="I2988"/>
    </row>
    <row r="2989" spans="6:9" x14ac:dyDescent="0.3">
      <c r="F2989"/>
      <c r="G2989"/>
      <c r="H2989"/>
      <c r="I2989"/>
    </row>
    <row r="2990" spans="6:9" x14ac:dyDescent="0.3">
      <c r="F2990"/>
      <c r="G2990"/>
      <c r="H2990"/>
      <c r="I2990"/>
    </row>
    <row r="2991" spans="6:9" x14ac:dyDescent="0.3">
      <c r="F2991"/>
      <c r="G2991"/>
      <c r="H2991"/>
      <c r="I2991"/>
    </row>
    <row r="2992" spans="6:9" x14ac:dyDescent="0.3">
      <c r="F2992"/>
      <c r="G2992"/>
      <c r="H2992"/>
      <c r="I2992"/>
    </row>
    <row r="2993" spans="6:9" x14ac:dyDescent="0.3">
      <c r="F2993"/>
      <c r="G2993"/>
      <c r="H2993"/>
      <c r="I2993"/>
    </row>
    <row r="2994" spans="6:9" x14ac:dyDescent="0.3">
      <c r="F2994"/>
      <c r="G2994"/>
      <c r="H2994"/>
      <c r="I2994"/>
    </row>
    <row r="2995" spans="6:9" x14ac:dyDescent="0.3">
      <c r="F2995"/>
      <c r="G2995"/>
      <c r="H2995"/>
      <c r="I2995"/>
    </row>
    <row r="2996" spans="6:9" x14ac:dyDescent="0.3">
      <c r="F2996"/>
      <c r="G2996"/>
      <c r="H2996"/>
      <c r="I2996"/>
    </row>
    <row r="2997" spans="6:9" x14ac:dyDescent="0.3">
      <c r="F2997"/>
      <c r="G2997"/>
      <c r="H2997"/>
      <c r="I2997"/>
    </row>
    <row r="2998" spans="6:9" x14ac:dyDescent="0.3">
      <c r="F2998"/>
      <c r="G2998"/>
      <c r="H2998"/>
      <c r="I2998"/>
    </row>
    <row r="2999" spans="6:9" x14ac:dyDescent="0.3">
      <c r="F2999"/>
      <c r="G2999"/>
      <c r="H2999"/>
      <c r="I2999"/>
    </row>
    <row r="3000" spans="6:9" x14ac:dyDescent="0.3">
      <c r="F3000"/>
      <c r="G3000"/>
      <c r="H3000"/>
      <c r="I3000"/>
    </row>
    <row r="3001" spans="6:9" x14ac:dyDescent="0.3">
      <c r="F3001"/>
      <c r="G3001"/>
      <c r="H3001"/>
      <c r="I3001"/>
    </row>
    <row r="3002" spans="6:9" x14ac:dyDescent="0.3">
      <c r="F3002"/>
      <c r="G3002"/>
      <c r="H3002"/>
      <c r="I3002"/>
    </row>
    <row r="3003" spans="6:9" x14ac:dyDescent="0.3">
      <c r="F3003"/>
      <c r="G3003"/>
      <c r="H3003"/>
      <c r="I3003"/>
    </row>
    <row r="3004" spans="6:9" x14ac:dyDescent="0.3">
      <c r="F3004"/>
      <c r="G3004"/>
      <c r="H3004"/>
      <c r="I3004"/>
    </row>
    <row r="3005" spans="6:9" x14ac:dyDescent="0.3">
      <c r="F3005"/>
      <c r="G3005"/>
      <c r="H3005"/>
      <c r="I3005"/>
    </row>
    <row r="3006" spans="6:9" x14ac:dyDescent="0.3">
      <c r="F3006"/>
      <c r="G3006"/>
      <c r="H3006"/>
      <c r="I3006"/>
    </row>
    <row r="3007" spans="6:9" x14ac:dyDescent="0.3">
      <c r="F3007"/>
      <c r="G3007"/>
      <c r="H3007"/>
      <c r="I3007"/>
    </row>
    <row r="3008" spans="6:9" x14ac:dyDescent="0.3">
      <c r="F3008"/>
      <c r="G3008"/>
      <c r="H3008"/>
      <c r="I3008"/>
    </row>
    <row r="3009" spans="6:9" x14ac:dyDescent="0.3">
      <c r="F3009"/>
      <c r="G3009"/>
      <c r="H3009"/>
      <c r="I3009"/>
    </row>
    <row r="3010" spans="6:9" x14ac:dyDescent="0.3">
      <c r="F3010"/>
      <c r="G3010"/>
      <c r="H3010"/>
      <c r="I3010"/>
    </row>
    <row r="3011" spans="6:9" x14ac:dyDescent="0.3">
      <c r="F3011"/>
      <c r="G3011"/>
      <c r="H3011"/>
      <c r="I3011"/>
    </row>
    <row r="3012" spans="6:9" x14ac:dyDescent="0.3">
      <c r="F3012"/>
      <c r="G3012"/>
      <c r="H3012"/>
      <c r="I3012"/>
    </row>
    <row r="3013" spans="6:9" x14ac:dyDescent="0.3">
      <c r="F3013"/>
      <c r="G3013"/>
      <c r="H3013"/>
      <c r="I3013"/>
    </row>
    <row r="3014" spans="6:9" x14ac:dyDescent="0.3">
      <c r="F3014"/>
      <c r="G3014"/>
      <c r="H3014"/>
      <c r="I3014"/>
    </row>
    <row r="3015" spans="6:9" x14ac:dyDescent="0.3">
      <c r="F3015"/>
      <c r="G3015"/>
      <c r="H3015"/>
      <c r="I3015"/>
    </row>
    <row r="3016" spans="6:9" x14ac:dyDescent="0.3">
      <c r="F3016"/>
      <c r="G3016"/>
      <c r="H3016"/>
      <c r="I3016"/>
    </row>
    <row r="3017" spans="6:9" x14ac:dyDescent="0.3">
      <c r="F3017"/>
      <c r="G3017"/>
      <c r="H3017"/>
      <c r="I3017"/>
    </row>
    <row r="3018" spans="6:9" x14ac:dyDescent="0.3">
      <c r="F3018"/>
      <c r="G3018"/>
      <c r="H3018"/>
      <c r="I3018"/>
    </row>
    <row r="3019" spans="6:9" x14ac:dyDescent="0.3">
      <c r="F3019"/>
      <c r="G3019"/>
      <c r="H3019"/>
      <c r="I3019"/>
    </row>
    <row r="3020" spans="6:9" x14ac:dyDescent="0.3">
      <c r="F3020"/>
      <c r="G3020"/>
      <c r="H3020"/>
      <c r="I3020"/>
    </row>
    <row r="3021" spans="6:9" x14ac:dyDescent="0.3">
      <c r="F3021"/>
      <c r="G3021"/>
      <c r="H3021"/>
      <c r="I3021"/>
    </row>
    <row r="3022" spans="6:9" x14ac:dyDescent="0.3">
      <c r="F3022"/>
      <c r="G3022"/>
      <c r="H3022"/>
      <c r="I3022"/>
    </row>
    <row r="3023" spans="6:9" x14ac:dyDescent="0.3">
      <c r="F3023"/>
      <c r="G3023"/>
      <c r="H3023"/>
      <c r="I3023"/>
    </row>
    <row r="3024" spans="6:9" x14ac:dyDescent="0.3">
      <c r="F3024"/>
      <c r="G3024"/>
      <c r="H3024"/>
      <c r="I3024"/>
    </row>
    <row r="3025" spans="6:9" x14ac:dyDescent="0.3">
      <c r="F3025"/>
      <c r="G3025"/>
      <c r="H3025"/>
      <c r="I3025"/>
    </row>
    <row r="3026" spans="6:9" x14ac:dyDescent="0.3">
      <c r="F3026"/>
      <c r="G3026"/>
      <c r="H3026"/>
      <c r="I3026"/>
    </row>
    <row r="3027" spans="6:9" x14ac:dyDescent="0.3">
      <c r="F3027"/>
      <c r="G3027"/>
      <c r="H3027"/>
      <c r="I3027"/>
    </row>
    <row r="3028" spans="6:9" x14ac:dyDescent="0.3">
      <c r="F3028"/>
      <c r="G3028"/>
      <c r="H3028"/>
      <c r="I3028"/>
    </row>
    <row r="3029" spans="6:9" x14ac:dyDescent="0.3">
      <c r="F3029"/>
      <c r="G3029"/>
      <c r="H3029"/>
      <c r="I3029"/>
    </row>
    <row r="3030" spans="6:9" x14ac:dyDescent="0.3">
      <c r="F3030"/>
      <c r="G3030"/>
      <c r="H3030"/>
      <c r="I3030"/>
    </row>
    <row r="3031" spans="6:9" x14ac:dyDescent="0.3">
      <c r="F3031"/>
      <c r="G3031"/>
      <c r="H3031"/>
      <c r="I3031"/>
    </row>
    <row r="3032" spans="6:9" x14ac:dyDescent="0.3">
      <c r="F3032"/>
      <c r="G3032"/>
      <c r="H3032"/>
      <c r="I3032"/>
    </row>
    <row r="3033" spans="6:9" x14ac:dyDescent="0.3">
      <c r="F3033"/>
      <c r="G3033"/>
      <c r="H3033"/>
      <c r="I3033"/>
    </row>
    <row r="3034" spans="6:9" x14ac:dyDescent="0.3">
      <c r="F3034"/>
      <c r="G3034"/>
      <c r="H3034"/>
      <c r="I3034"/>
    </row>
    <row r="3035" spans="6:9" x14ac:dyDescent="0.3">
      <c r="F3035"/>
      <c r="G3035"/>
      <c r="H3035"/>
      <c r="I3035"/>
    </row>
    <row r="3036" spans="6:9" x14ac:dyDescent="0.3">
      <c r="F3036"/>
      <c r="G3036"/>
      <c r="H3036"/>
      <c r="I3036"/>
    </row>
    <row r="3037" spans="6:9" x14ac:dyDescent="0.3">
      <c r="F3037"/>
      <c r="G3037"/>
      <c r="H3037"/>
      <c r="I3037"/>
    </row>
    <row r="3038" spans="6:9" x14ac:dyDescent="0.3">
      <c r="F3038"/>
      <c r="G3038"/>
      <c r="H3038"/>
      <c r="I3038"/>
    </row>
    <row r="3039" spans="6:9" x14ac:dyDescent="0.3">
      <c r="F3039"/>
      <c r="G3039"/>
      <c r="H3039"/>
      <c r="I3039"/>
    </row>
    <row r="3040" spans="6:9" x14ac:dyDescent="0.3">
      <c r="F3040"/>
      <c r="G3040"/>
      <c r="H3040"/>
      <c r="I3040"/>
    </row>
    <row r="3041" spans="6:9" x14ac:dyDescent="0.3">
      <c r="F3041"/>
      <c r="G3041"/>
      <c r="H3041"/>
      <c r="I3041"/>
    </row>
    <row r="3042" spans="6:9" x14ac:dyDescent="0.3">
      <c r="F3042"/>
      <c r="G3042"/>
      <c r="H3042"/>
      <c r="I3042"/>
    </row>
    <row r="3043" spans="6:9" x14ac:dyDescent="0.3">
      <c r="F3043"/>
      <c r="G3043"/>
      <c r="H3043"/>
      <c r="I3043"/>
    </row>
    <row r="3044" spans="6:9" x14ac:dyDescent="0.3">
      <c r="F3044"/>
      <c r="G3044"/>
      <c r="H3044"/>
      <c r="I3044"/>
    </row>
    <row r="3045" spans="6:9" x14ac:dyDescent="0.3">
      <c r="F3045"/>
      <c r="G3045"/>
      <c r="H3045"/>
      <c r="I3045"/>
    </row>
    <row r="3046" spans="6:9" x14ac:dyDescent="0.3">
      <c r="F3046"/>
      <c r="G3046"/>
      <c r="H3046"/>
      <c r="I3046"/>
    </row>
    <row r="3047" spans="6:9" x14ac:dyDescent="0.3">
      <c r="F3047"/>
      <c r="G3047"/>
      <c r="H3047"/>
      <c r="I3047"/>
    </row>
    <row r="3048" spans="6:9" x14ac:dyDescent="0.3">
      <c r="F3048"/>
      <c r="G3048"/>
      <c r="H3048"/>
      <c r="I3048"/>
    </row>
    <row r="3049" spans="6:9" x14ac:dyDescent="0.3">
      <c r="F3049"/>
      <c r="G3049"/>
      <c r="H3049"/>
      <c r="I3049"/>
    </row>
    <row r="3050" spans="6:9" x14ac:dyDescent="0.3">
      <c r="F3050"/>
      <c r="G3050"/>
      <c r="H3050"/>
      <c r="I3050"/>
    </row>
    <row r="3051" spans="6:9" x14ac:dyDescent="0.3">
      <c r="F3051"/>
      <c r="G3051"/>
      <c r="H3051"/>
      <c r="I3051"/>
    </row>
    <row r="3052" spans="6:9" x14ac:dyDescent="0.3">
      <c r="F3052"/>
      <c r="G3052"/>
      <c r="H3052"/>
      <c r="I3052"/>
    </row>
    <row r="3053" spans="6:9" x14ac:dyDescent="0.3">
      <c r="F3053"/>
      <c r="G3053"/>
      <c r="H3053"/>
      <c r="I3053"/>
    </row>
    <row r="3054" spans="6:9" x14ac:dyDescent="0.3">
      <c r="F3054"/>
      <c r="G3054"/>
      <c r="H3054"/>
      <c r="I3054"/>
    </row>
    <row r="3055" spans="6:9" x14ac:dyDescent="0.3">
      <c r="F3055"/>
      <c r="G3055"/>
      <c r="H3055"/>
      <c r="I3055"/>
    </row>
    <row r="3056" spans="6:9" x14ac:dyDescent="0.3">
      <c r="F3056"/>
      <c r="G3056"/>
      <c r="H3056"/>
      <c r="I3056"/>
    </row>
    <row r="3057" spans="6:9" x14ac:dyDescent="0.3">
      <c r="F3057"/>
      <c r="G3057"/>
      <c r="H3057"/>
      <c r="I3057"/>
    </row>
    <row r="3058" spans="6:9" x14ac:dyDescent="0.3">
      <c r="F3058"/>
      <c r="G3058"/>
      <c r="H3058"/>
      <c r="I3058"/>
    </row>
    <row r="3059" spans="6:9" x14ac:dyDescent="0.3">
      <c r="F3059"/>
      <c r="G3059"/>
      <c r="H3059"/>
      <c r="I3059"/>
    </row>
    <row r="3060" spans="6:9" x14ac:dyDescent="0.3">
      <c r="F3060"/>
      <c r="G3060"/>
      <c r="H3060"/>
      <c r="I3060"/>
    </row>
    <row r="3061" spans="6:9" x14ac:dyDescent="0.3">
      <c r="F3061"/>
      <c r="G3061"/>
      <c r="H3061"/>
      <c r="I3061"/>
    </row>
    <row r="3062" spans="6:9" x14ac:dyDescent="0.3">
      <c r="F3062"/>
      <c r="G3062"/>
      <c r="H3062"/>
      <c r="I3062"/>
    </row>
    <row r="3063" spans="6:9" x14ac:dyDescent="0.3">
      <c r="F3063"/>
      <c r="G3063"/>
      <c r="H3063"/>
      <c r="I3063"/>
    </row>
    <row r="3064" spans="6:9" x14ac:dyDescent="0.3">
      <c r="F3064"/>
      <c r="G3064"/>
      <c r="H3064"/>
      <c r="I3064"/>
    </row>
    <row r="3065" spans="6:9" x14ac:dyDescent="0.3">
      <c r="F3065"/>
      <c r="G3065"/>
      <c r="H3065"/>
      <c r="I3065"/>
    </row>
    <row r="3066" spans="6:9" x14ac:dyDescent="0.3">
      <c r="F3066"/>
      <c r="G3066"/>
      <c r="H3066"/>
      <c r="I3066"/>
    </row>
    <row r="3067" spans="6:9" x14ac:dyDescent="0.3">
      <c r="F3067"/>
      <c r="G3067"/>
      <c r="H3067"/>
      <c r="I3067"/>
    </row>
    <row r="3068" spans="6:9" x14ac:dyDescent="0.3">
      <c r="F3068"/>
      <c r="G3068"/>
      <c r="H3068"/>
      <c r="I3068"/>
    </row>
    <row r="3069" spans="6:9" x14ac:dyDescent="0.3">
      <c r="F3069"/>
      <c r="G3069"/>
      <c r="H3069"/>
      <c r="I3069"/>
    </row>
    <row r="3070" spans="6:9" x14ac:dyDescent="0.3">
      <c r="F3070"/>
      <c r="G3070"/>
      <c r="H3070"/>
      <c r="I3070"/>
    </row>
    <row r="3071" spans="6:9" x14ac:dyDescent="0.3">
      <c r="F3071"/>
      <c r="G3071"/>
      <c r="H3071"/>
      <c r="I3071"/>
    </row>
    <row r="3072" spans="6:9" x14ac:dyDescent="0.3">
      <c r="F3072"/>
      <c r="G3072"/>
      <c r="H3072"/>
      <c r="I3072"/>
    </row>
    <row r="3073" spans="6:9" x14ac:dyDescent="0.3">
      <c r="F3073"/>
      <c r="G3073"/>
      <c r="H3073"/>
      <c r="I3073"/>
    </row>
    <row r="3074" spans="6:9" x14ac:dyDescent="0.3">
      <c r="F3074"/>
      <c r="G3074"/>
      <c r="H3074"/>
      <c r="I3074"/>
    </row>
    <row r="3075" spans="6:9" x14ac:dyDescent="0.3">
      <c r="F3075"/>
      <c r="G3075"/>
      <c r="H3075"/>
      <c r="I3075"/>
    </row>
    <row r="3076" spans="6:9" x14ac:dyDescent="0.3">
      <c r="F3076"/>
      <c r="G3076"/>
      <c r="H3076"/>
      <c r="I3076"/>
    </row>
    <row r="3077" spans="6:9" x14ac:dyDescent="0.3">
      <c r="F3077"/>
      <c r="G3077"/>
      <c r="H3077"/>
      <c r="I3077"/>
    </row>
    <row r="3078" spans="6:9" x14ac:dyDescent="0.3">
      <c r="F3078"/>
      <c r="G3078"/>
      <c r="H3078"/>
      <c r="I3078"/>
    </row>
    <row r="3079" spans="6:9" x14ac:dyDescent="0.3">
      <c r="F3079"/>
      <c r="G3079"/>
      <c r="H3079"/>
      <c r="I3079"/>
    </row>
    <row r="3080" spans="6:9" x14ac:dyDescent="0.3">
      <c r="F3080"/>
      <c r="G3080"/>
      <c r="H3080"/>
      <c r="I3080"/>
    </row>
    <row r="3081" spans="6:9" x14ac:dyDescent="0.3">
      <c r="F3081"/>
      <c r="G3081"/>
      <c r="H3081"/>
      <c r="I3081"/>
    </row>
    <row r="3082" spans="6:9" x14ac:dyDescent="0.3">
      <c r="F3082"/>
      <c r="G3082"/>
      <c r="H3082"/>
      <c r="I3082"/>
    </row>
    <row r="3083" spans="6:9" x14ac:dyDescent="0.3">
      <c r="F3083"/>
      <c r="G3083"/>
      <c r="H3083"/>
      <c r="I3083"/>
    </row>
    <row r="3084" spans="6:9" x14ac:dyDescent="0.3">
      <c r="F3084"/>
      <c r="G3084"/>
      <c r="H3084"/>
      <c r="I3084"/>
    </row>
    <row r="3085" spans="6:9" x14ac:dyDescent="0.3">
      <c r="F3085"/>
      <c r="G3085"/>
      <c r="H3085"/>
      <c r="I3085"/>
    </row>
    <row r="3086" spans="6:9" x14ac:dyDescent="0.3">
      <c r="F3086"/>
      <c r="G3086"/>
      <c r="H3086"/>
      <c r="I3086"/>
    </row>
    <row r="3087" spans="6:9" x14ac:dyDescent="0.3">
      <c r="F3087"/>
      <c r="G3087"/>
      <c r="H3087"/>
      <c r="I3087"/>
    </row>
    <row r="3088" spans="6:9" x14ac:dyDescent="0.3">
      <c r="F3088"/>
      <c r="G3088"/>
      <c r="H3088"/>
      <c r="I3088"/>
    </row>
    <row r="3089" spans="6:9" x14ac:dyDescent="0.3">
      <c r="F3089"/>
      <c r="G3089"/>
      <c r="H3089"/>
      <c r="I3089"/>
    </row>
    <row r="3090" spans="6:9" x14ac:dyDescent="0.3">
      <c r="F3090"/>
      <c r="G3090"/>
      <c r="H3090"/>
      <c r="I3090"/>
    </row>
    <row r="3091" spans="6:9" x14ac:dyDescent="0.3">
      <c r="F3091"/>
      <c r="G3091"/>
      <c r="H3091"/>
      <c r="I3091"/>
    </row>
    <row r="3092" spans="6:9" x14ac:dyDescent="0.3">
      <c r="F3092"/>
      <c r="G3092"/>
      <c r="H3092"/>
      <c r="I3092"/>
    </row>
    <row r="3093" spans="6:9" x14ac:dyDescent="0.3">
      <c r="F3093"/>
      <c r="G3093"/>
      <c r="H3093"/>
      <c r="I3093"/>
    </row>
    <row r="3094" spans="6:9" x14ac:dyDescent="0.3">
      <c r="F3094"/>
      <c r="G3094"/>
      <c r="H3094"/>
      <c r="I3094"/>
    </row>
    <row r="3095" spans="6:9" x14ac:dyDescent="0.3">
      <c r="F3095"/>
      <c r="G3095"/>
      <c r="H3095"/>
      <c r="I3095"/>
    </row>
    <row r="3096" spans="6:9" x14ac:dyDescent="0.3">
      <c r="F3096"/>
      <c r="G3096"/>
      <c r="H3096"/>
      <c r="I3096"/>
    </row>
    <row r="3097" spans="6:9" x14ac:dyDescent="0.3">
      <c r="F3097"/>
      <c r="G3097"/>
      <c r="H3097"/>
      <c r="I3097"/>
    </row>
    <row r="3098" spans="6:9" x14ac:dyDescent="0.3">
      <c r="F3098"/>
      <c r="G3098"/>
      <c r="H3098"/>
      <c r="I3098"/>
    </row>
    <row r="3099" spans="6:9" x14ac:dyDescent="0.3">
      <c r="F3099"/>
      <c r="G3099"/>
      <c r="H3099"/>
      <c r="I3099"/>
    </row>
    <row r="3100" spans="6:9" x14ac:dyDescent="0.3">
      <c r="F3100"/>
      <c r="G3100"/>
      <c r="H3100"/>
      <c r="I3100"/>
    </row>
    <row r="3101" spans="6:9" x14ac:dyDescent="0.3">
      <c r="F3101"/>
      <c r="G3101"/>
      <c r="H3101"/>
      <c r="I3101"/>
    </row>
    <row r="3102" spans="6:9" x14ac:dyDescent="0.3">
      <c r="F3102"/>
      <c r="G3102"/>
      <c r="H3102"/>
      <c r="I3102"/>
    </row>
    <row r="3103" spans="6:9" x14ac:dyDescent="0.3">
      <c r="F3103"/>
      <c r="G3103"/>
      <c r="H3103"/>
      <c r="I3103"/>
    </row>
    <row r="3104" spans="6:9" x14ac:dyDescent="0.3">
      <c r="F3104"/>
      <c r="G3104"/>
      <c r="H3104"/>
      <c r="I3104"/>
    </row>
    <row r="3105" spans="6:9" x14ac:dyDescent="0.3">
      <c r="F3105"/>
      <c r="G3105"/>
      <c r="H3105"/>
      <c r="I3105"/>
    </row>
    <row r="3106" spans="6:9" x14ac:dyDescent="0.3">
      <c r="F3106"/>
      <c r="G3106"/>
      <c r="H3106"/>
      <c r="I3106"/>
    </row>
    <row r="3107" spans="6:9" x14ac:dyDescent="0.3">
      <c r="F3107"/>
      <c r="G3107"/>
      <c r="H3107"/>
      <c r="I3107"/>
    </row>
    <row r="3108" spans="6:9" x14ac:dyDescent="0.3">
      <c r="F3108"/>
      <c r="G3108"/>
      <c r="H3108"/>
      <c r="I3108"/>
    </row>
    <row r="3109" spans="6:9" x14ac:dyDescent="0.3">
      <c r="F3109"/>
      <c r="G3109"/>
      <c r="H3109"/>
      <c r="I3109"/>
    </row>
    <row r="3110" spans="6:9" x14ac:dyDescent="0.3">
      <c r="F3110"/>
      <c r="G3110"/>
      <c r="H3110"/>
      <c r="I3110"/>
    </row>
    <row r="3111" spans="6:9" x14ac:dyDescent="0.3">
      <c r="F3111"/>
      <c r="G3111"/>
      <c r="H3111"/>
      <c r="I3111"/>
    </row>
    <row r="3112" spans="6:9" x14ac:dyDescent="0.3">
      <c r="F3112"/>
      <c r="G3112"/>
      <c r="H3112"/>
      <c r="I3112"/>
    </row>
    <row r="3113" spans="6:9" x14ac:dyDescent="0.3">
      <c r="F3113"/>
      <c r="G3113"/>
      <c r="H3113"/>
      <c r="I3113"/>
    </row>
    <row r="3114" spans="6:9" x14ac:dyDescent="0.3">
      <c r="F3114"/>
      <c r="G3114"/>
      <c r="H3114"/>
      <c r="I3114"/>
    </row>
    <row r="3115" spans="6:9" x14ac:dyDescent="0.3">
      <c r="F3115"/>
      <c r="G3115"/>
      <c r="H3115"/>
      <c r="I3115"/>
    </row>
    <row r="3116" spans="6:9" x14ac:dyDescent="0.3">
      <c r="F3116"/>
      <c r="G3116"/>
      <c r="H3116"/>
      <c r="I3116"/>
    </row>
    <row r="3117" spans="6:9" x14ac:dyDescent="0.3">
      <c r="F3117"/>
      <c r="G3117"/>
      <c r="H3117"/>
      <c r="I3117"/>
    </row>
    <row r="3118" spans="6:9" x14ac:dyDescent="0.3">
      <c r="F3118"/>
      <c r="G3118"/>
      <c r="H3118"/>
      <c r="I3118"/>
    </row>
    <row r="3119" spans="6:9" x14ac:dyDescent="0.3">
      <c r="F3119"/>
      <c r="G3119"/>
      <c r="H3119"/>
      <c r="I3119"/>
    </row>
    <row r="3120" spans="6:9" x14ac:dyDescent="0.3">
      <c r="F3120"/>
      <c r="G3120"/>
      <c r="H3120"/>
      <c r="I3120"/>
    </row>
    <row r="3121" spans="6:9" x14ac:dyDescent="0.3">
      <c r="F3121"/>
      <c r="G3121"/>
      <c r="H3121"/>
      <c r="I3121"/>
    </row>
    <row r="3122" spans="6:9" x14ac:dyDescent="0.3">
      <c r="F3122"/>
      <c r="G3122"/>
      <c r="H3122"/>
      <c r="I3122"/>
    </row>
    <row r="3123" spans="6:9" x14ac:dyDescent="0.3">
      <c r="F3123"/>
      <c r="G3123"/>
      <c r="H3123"/>
      <c r="I3123"/>
    </row>
    <row r="3124" spans="6:9" x14ac:dyDescent="0.3">
      <c r="F3124"/>
      <c r="G3124"/>
      <c r="H3124"/>
      <c r="I3124"/>
    </row>
    <row r="3125" spans="6:9" x14ac:dyDescent="0.3">
      <c r="F3125"/>
      <c r="G3125"/>
      <c r="H3125"/>
      <c r="I3125"/>
    </row>
    <row r="3126" spans="6:9" x14ac:dyDescent="0.3">
      <c r="F3126"/>
      <c r="G3126"/>
      <c r="H3126"/>
      <c r="I3126"/>
    </row>
    <row r="3127" spans="6:9" x14ac:dyDescent="0.3">
      <c r="F3127"/>
      <c r="G3127"/>
      <c r="H3127"/>
      <c r="I3127"/>
    </row>
    <row r="3128" spans="6:9" x14ac:dyDescent="0.3">
      <c r="F3128"/>
      <c r="G3128"/>
      <c r="H3128"/>
      <c r="I3128"/>
    </row>
    <row r="3129" spans="6:9" x14ac:dyDescent="0.3">
      <c r="F3129"/>
      <c r="G3129"/>
      <c r="H3129"/>
      <c r="I3129"/>
    </row>
    <row r="3130" spans="6:9" x14ac:dyDescent="0.3">
      <c r="F3130"/>
      <c r="G3130"/>
      <c r="H3130"/>
      <c r="I3130"/>
    </row>
    <row r="3131" spans="6:9" x14ac:dyDescent="0.3">
      <c r="F3131"/>
      <c r="G3131"/>
      <c r="H3131"/>
      <c r="I3131"/>
    </row>
    <row r="3132" spans="6:9" x14ac:dyDescent="0.3">
      <c r="F3132"/>
      <c r="G3132"/>
      <c r="H3132"/>
      <c r="I3132"/>
    </row>
    <row r="3133" spans="6:9" x14ac:dyDescent="0.3">
      <c r="F3133"/>
      <c r="G3133"/>
      <c r="H3133"/>
      <c r="I3133"/>
    </row>
    <row r="3134" spans="6:9" x14ac:dyDescent="0.3">
      <c r="F3134"/>
      <c r="G3134"/>
      <c r="H3134"/>
      <c r="I3134"/>
    </row>
    <row r="3135" spans="6:9" x14ac:dyDescent="0.3">
      <c r="F3135"/>
      <c r="G3135"/>
      <c r="H3135"/>
      <c r="I3135"/>
    </row>
    <row r="3136" spans="6:9" x14ac:dyDescent="0.3">
      <c r="F3136"/>
      <c r="G3136"/>
      <c r="H3136"/>
      <c r="I3136"/>
    </row>
    <row r="3137" spans="6:9" x14ac:dyDescent="0.3">
      <c r="F3137"/>
      <c r="G3137"/>
      <c r="H3137"/>
      <c r="I3137"/>
    </row>
    <row r="3138" spans="6:9" x14ac:dyDescent="0.3">
      <c r="F3138"/>
      <c r="G3138"/>
      <c r="H3138"/>
      <c r="I3138"/>
    </row>
    <row r="3139" spans="6:9" x14ac:dyDescent="0.3">
      <c r="F3139"/>
      <c r="G3139"/>
      <c r="H3139"/>
      <c r="I3139"/>
    </row>
    <row r="3140" spans="6:9" x14ac:dyDescent="0.3">
      <c r="F3140"/>
      <c r="G3140"/>
      <c r="H3140"/>
      <c r="I3140"/>
    </row>
    <row r="3141" spans="6:9" x14ac:dyDescent="0.3">
      <c r="F3141"/>
      <c r="G3141"/>
      <c r="H3141"/>
      <c r="I3141"/>
    </row>
    <row r="3142" spans="6:9" x14ac:dyDescent="0.3">
      <c r="F3142"/>
      <c r="G3142"/>
      <c r="H3142"/>
      <c r="I3142"/>
    </row>
    <row r="3143" spans="6:9" x14ac:dyDescent="0.3">
      <c r="F3143"/>
      <c r="G3143"/>
      <c r="H3143"/>
      <c r="I3143"/>
    </row>
    <row r="3144" spans="6:9" x14ac:dyDescent="0.3">
      <c r="F3144"/>
      <c r="G3144"/>
      <c r="H3144"/>
      <c r="I3144"/>
    </row>
    <row r="3145" spans="6:9" x14ac:dyDescent="0.3">
      <c r="F3145"/>
      <c r="G3145"/>
      <c r="H3145"/>
      <c r="I3145"/>
    </row>
    <row r="3146" spans="6:9" x14ac:dyDescent="0.3">
      <c r="F3146"/>
      <c r="G3146"/>
      <c r="H3146"/>
      <c r="I3146"/>
    </row>
    <row r="3147" spans="6:9" x14ac:dyDescent="0.3">
      <c r="F3147"/>
      <c r="G3147"/>
      <c r="H3147"/>
      <c r="I3147"/>
    </row>
    <row r="3148" spans="6:9" x14ac:dyDescent="0.3">
      <c r="F3148"/>
      <c r="G3148"/>
      <c r="H3148"/>
      <c r="I3148"/>
    </row>
    <row r="3149" spans="6:9" x14ac:dyDescent="0.3">
      <c r="F3149"/>
      <c r="G3149"/>
      <c r="H3149"/>
      <c r="I3149"/>
    </row>
    <row r="3150" spans="6:9" x14ac:dyDescent="0.3">
      <c r="F3150"/>
      <c r="G3150"/>
      <c r="H3150"/>
      <c r="I3150"/>
    </row>
    <row r="3151" spans="6:9" x14ac:dyDescent="0.3">
      <c r="F3151"/>
      <c r="G3151"/>
      <c r="H3151"/>
      <c r="I3151"/>
    </row>
    <row r="3152" spans="6:9" x14ac:dyDescent="0.3">
      <c r="F3152"/>
      <c r="G3152"/>
      <c r="H3152"/>
      <c r="I3152"/>
    </row>
    <row r="3153" spans="6:9" x14ac:dyDescent="0.3">
      <c r="F3153"/>
      <c r="G3153"/>
      <c r="H3153"/>
      <c r="I3153"/>
    </row>
    <row r="3154" spans="6:9" x14ac:dyDescent="0.3">
      <c r="F3154"/>
      <c r="G3154"/>
      <c r="H3154"/>
      <c r="I3154"/>
    </row>
    <row r="3155" spans="6:9" x14ac:dyDescent="0.3">
      <c r="F3155"/>
      <c r="G3155"/>
      <c r="H3155"/>
      <c r="I3155"/>
    </row>
    <row r="3156" spans="6:9" x14ac:dyDescent="0.3">
      <c r="F3156"/>
      <c r="G3156"/>
      <c r="H3156"/>
      <c r="I3156"/>
    </row>
    <row r="3157" spans="6:9" x14ac:dyDescent="0.3">
      <c r="F3157"/>
      <c r="G3157"/>
      <c r="H3157"/>
      <c r="I3157"/>
    </row>
    <row r="3158" spans="6:9" x14ac:dyDescent="0.3">
      <c r="F3158"/>
      <c r="G3158"/>
      <c r="H3158"/>
      <c r="I3158"/>
    </row>
    <row r="3159" spans="6:9" x14ac:dyDescent="0.3">
      <c r="F3159"/>
      <c r="G3159"/>
      <c r="H3159"/>
      <c r="I3159"/>
    </row>
    <row r="3160" spans="6:9" x14ac:dyDescent="0.3">
      <c r="F3160"/>
      <c r="G3160"/>
      <c r="H3160"/>
      <c r="I3160"/>
    </row>
    <row r="3161" spans="6:9" x14ac:dyDescent="0.3">
      <c r="F3161"/>
      <c r="G3161"/>
      <c r="H3161"/>
      <c r="I3161"/>
    </row>
    <row r="3162" spans="6:9" x14ac:dyDescent="0.3">
      <c r="F3162"/>
      <c r="G3162"/>
      <c r="H3162"/>
      <c r="I3162"/>
    </row>
    <row r="3163" spans="6:9" x14ac:dyDescent="0.3">
      <c r="F3163"/>
      <c r="G3163"/>
      <c r="H3163"/>
      <c r="I3163"/>
    </row>
    <row r="3164" spans="6:9" x14ac:dyDescent="0.3">
      <c r="F3164"/>
      <c r="G3164"/>
      <c r="H3164"/>
      <c r="I3164"/>
    </row>
    <row r="3165" spans="6:9" x14ac:dyDescent="0.3">
      <c r="F3165"/>
      <c r="G3165"/>
      <c r="H3165"/>
      <c r="I3165"/>
    </row>
    <row r="3166" spans="6:9" x14ac:dyDescent="0.3">
      <c r="F3166"/>
      <c r="G3166"/>
      <c r="H3166"/>
      <c r="I3166"/>
    </row>
    <row r="3167" spans="6:9" x14ac:dyDescent="0.3">
      <c r="F3167"/>
      <c r="G3167"/>
      <c r="H3167"/>
      <c r="I3167"/>
    </row>
    <row r="3168" spans="6:9" x14ac:dyDescent="0.3">
      <c r="F3168"/>
      <c r="G3168"/>
      <c r="H3168"/>
      <c r="I3168"/>
    </row>
    <row r="3169" spans="6:9" x14ac:dyDescent="0.3">
      <c r="F3169"/>
      <c r="G3169"/>
      <c r="H3169"/>
      <c r="I3169"/>
    </row>
    <row r="3170" spans="6:9" x14ac:dyDescent="0.3">
      <c r="F3170"/>
      <c r="G3170"/>
      <c r="H3170"/>
      <c r="I3170"/>
    </row>
    <row r="3171" spans="6:9" x14ac:dyDescent="0.3">
      <c r="F3171"/>
      <c r="G3171"/>
      <c r="H3171"/>
      <c r="I3171"/>
    </row>
    <row r="3172" spans="6:9" x14ac:dyDescent="0.3">
      <c r="F3172"/>
      <c r="G3172"/>
      <c r="H3172"/>
      <c r="I3172"/>
    </row>
    <row r="3173" spans="6:9" x14ac:dyDescent="0.3">
      <c r="F3173"/>
      <c r="G3173"/>
      <c r="H3173"/>
      <c r="I3173"/>
    </row>
    <row r="3174" spans="6:9" x14ac:dyDescent="0.3">
      <c r="F3174"/>
      <c r="G3174"/>
      <c r="H3174"/>
      <c r="I3174"/>
    </row>
    <row r="3175" spans="6:9" x14ac:dyDescent="0.3">
      <c r="F3175"/>
      <c r="G3175"/>
      <c r="H3175"/>
      <c r="I3175"/>
    </row>
    <row r="3176" spans="6:9" x14ac:dyDescent="0.3">
      <c r="F3176"/>
      <c r="G3176"/>
      <c r="H3176"/>
      <c r="I3176"/>
    </row>
    <row r="3177" spans="6:9" x14ac:dyDescent="0.3">
      <c r="F3177"/>
      <c r="G3177"/>
      <c r="H3177"/>
      <c r="I3177"/>
    </row>
    <row r="3178" spans="6:9" x14ac:dyDescent="0.3">
      <c r="F3178"/>
      <c r="G3178"/>
      <c r="H3178"/>
      <c r="I3178"/>
    </row>
    <row r="3179" spans="6:9" x14ac:dyDescent="0.3">
      <c r="F3179"/>
      <c r="G3179"/>
      <c r="H3179"/>
      <c r="I3179"/>
    </row>
    <row r="3180" spans="6:9" x14ac:dyDescent="0.3">
      <c r="F3180"/>
      <c r="G3180"/>
      <c r="H3180"/>
      <c r="I3180"/>
    </row>
    <row r="3181" spans="6:9" x14ac:dyDescent="0.3">
      <c r="F3181"/>
      <c r="G3181"/>
      <c r="H3181"/>
      <c r="I3181"/>
    </row>
    <row r="3182" spans="6:9" x14ac:dyDescent="0.3">
      <c r="F3182"/>
      <c r="G3182"/>
      <c r="H3182"/>
      <c r="I3182"/>
    </row>
    <row r="3183" spans="6:9" x14ac:dyDescent="0.3">
      <c r="F3183"/>
      <c r="G3183"/>
      <c r="H3183"/>
      <c r="I3183"/>
    </row>
    <row r="3184" spans="6:9" x14ac:dyDescent="0.3">
      <c r="F3184"/>
      <c r="G3184"/>
      <c r="H3184"/>
      <c r="I3184"/>
    </row>
    <row r="3185" spans="6:9" x14ac:dyDescent="0.3">
      <c r="F3185"/>
      <c r="G3185"/>
      <c r="H3185"/>
      <c r="I3185"/>
    </row>
    <row r="3186" spans="6:9" x14ac:dyDescent="0.3">
      <c r="F3186"/>
      <c r="G3186"/>
      <c r="H3186"/>
      <c r="I3186"/>
    </row>
    <row r="3187" spans="6:9" x14ac:dyDescent="0.3">
      <c r="F3187"/>
      <c r="G3187"/>
      <c r="H3187"/>
      <c r="I3187"/>
    </row>
    <row r="3188" spans="6:9" x14ac:dyDescent="0.3">
      <c r="F3188"/>
      <c r="G3188"/>
      <c r="H3188"/>
      <c r="I3188"/>
    </row>
    <row r="3189" spans="6:9" x14ac:dyDescent="0.3">
      <c r="F3189"/>
      <c r="G3189"/>
      <c r="H3189"/>
      <c r="I3189"/>
    </row>
    <row r="3190" spans="6:9" x14ac:dyDescent="0.3">
      <c r="F3190"/>
      <c r="G3190"/>
      <c r="H3190"/>
      <c r="I3190"/>
    </row>
    <row r="3191" spans="6:9" x14ac:dyDescent="0.3">
      <c r="F3191"/>
      <c r="G3191"/>
      <c r="H3191"/>
      <c r="I3191"/>
    </row>
    <row r="3192" spans="6:9" x14ac:dyDescent="0.3">
      <c r="F3192"/>
      <c r="G3192"/>
      <c r="H3192"/>
      <c r="I3192"/>
    </row>
    <row r="3193" spans="6:9" x14ac:dyDescent="0.3">
      <c r="F3193"/>
      <c r="G3193"/>
      <c r="H3193"/>
      <c r="I3193"/>
    </row>
    <row r="3194" spans="6:9" x14ac:dyDescent="0.3">
      <c r="F3194"/>
      <c r="G3194"/>
      <c r="H3194"/>
      <c r="I3194"/>
    </row>
    <row r="3195" spans="6:9" x14ac:dyDescent="0.3">
      <c r="F3195"/>
      <c r="G3195"/>
      <c r="H3195"/>
      <c r="I3195"/>
    </row>
    <row r="3196" spans="6:9" x14ac:dyDescent="0.3">
      <c r="F3196"/>
      <c r="G3196"/>
      <c r="H3196"/>
      <c r="I3196"/>
    </row>
    <row r="3197" spans="6:9" x14ac:dyDescent="0.3">
      <c r="F3197"/>
      <c r="G3197"/>
      <c r="H3197"/>
      <c r="I3197"/>
    </row>
    <row r="3198" spans="6:9" x14ac:dyDescent="0.3">
      <c r="F3198"/>
      <c r="G3198"/>
      <c r="H3198"/>
      <c r="I3198"/>
    </row>
    <row r="3199" spans="6:9" x14ac:dyDescent="0.3">
      <c r="F3199"/>
      <c r="G3199"/>
      <c r="H3199"/>
      <c r="I3199"/>
    </row>
    <row r="3200" spans="6:9" x14ac:dyDescent="0.3">
      <c r="F3200"/>
      <c r="G3200"/>
      <c r="H3200"/>
      <c r="I3200"/>
    </row>
    <row r="3201" spans="6:9" x14ac:dyDescent="0.3">
      <c r="F3201"/>
      <c r="G3201"/>
      <c r="H3201"/>
      <c r="I3201"/>
    </row>
    <row r="3202" spans="6:9" x14ac:dyDescent="0.3">
      <c r="F3202"/>
      <c r="G3202"/>
      <c r="H3202"/>
      <c r="I3202"/>
    </row>
    <row r="3203" spans="6:9" x14ac:dyDescent="0.3">
      <c r="F3203"/>
      <c r="G3203"/>
      <c r="H3203"/>
      <c r="I3203"/>
    </row>
    <row r="3204" spans="6:9" x14ac:dyDescent="0.3">
      <c r="F3204"/>
      <c r="G3204"/>
      <c r="H3204"/>
      <c r="I3204"/>
    </row>
    <row r="3205" spans="6:9" x14ac:dyDescent="0.3">
      <c r="F3205"/>
      <c r="G3205"/>
      <c r="H3205"/>
      <c r="I3205"/>
    </row>
    <row r="3206" spans="6:9" x14ac:dyDescent="0.3">
      <c r="F3206"/>
      <c r="G3206"/>
      <c r="H3206"/>
      <c r="I3206"/>
    </row>
    <row r="3207" spans="6:9" x14ac:dyDescent="0.3">
      <c r="F3207"/>
      <c r="G3207"/>
      <c r="H3207"/>
      <c r="I3207"/>
    </row>
    <row r="3208" spans="6:9" x14ac:dyDescent="0.3">
      <c r="F3208"/>
      <c r="G3208"/>
      <c r="H3208"/>
      <c r="I3208"/>
    </row>
    <row r="3209" spans="6:9" x14ac:dyDescent="0.3">
      <c r="F3209"/>
      <c r="G3209"/>
      <c r="H3209"/>
      <c r="I3209"/>
    </row>
    <row r="3210" spans="6:9" x14ac:dyDescent="0.3">
      <c r="F3210"/>
      <c r="G3210"/>
      <c r="H3210"/>
      <c r="I3210"/>
    </row>
    <row r="3211" spans="6:9" x14ac:dyDescent="0.3">
      <c r="F3211"/>
      <c r="G3211"/>
      <c r="H3211"/>
      <c r="I3211"/>
    </row>
    <row r="3212" spans="6:9" x14ac:dyDescent="0.3">
      <c r="F3212"/>
      <c r="G3212"/>
      <c r="H3212"/>
      <c r="I3212"/>
    </row>
    <row r="3213" spans="6:9" x14ac:dyDescent="0.3">
      <c r="F3213"/>
      <c r="G3213"/>
      <c r="H3213"/>
      <c r="I3213"/>
    </row>
    <row r="3214" spans="6:9" x14ac:dyDescent="0.3">
      <c r="F3214"/>
      <c r="G3214"/>
      <c r="H3214"/>
      <c r="I3214"/>
    </row>
    <row r="3215" spans="6:9" x14ac:dyDescent="0.3">
      <c r="F3215"/>
      <c r="G3215"/>
      <c r="H3215"/>
      <c r="I3215"/>
    </row>
    <row r="3216" spans="6:9" x14ac:dyDescent="0.3">
      <c r="F3216"/>
      <c r="G3216"/>
      <c r="H3216"/>
      <c r="I3216"/>
    </row>
    <row r="3217" spans="6:9" x14ac:dyDescent="0.3">
      <c r="F3217"/>
      <c r="G3217"/>
      <c r="H3217"/>
      <c r="I3217"/>
    </row>
    <row r="3218" spans="6:9" x14ac:dyDescent="0.3">
      <c r="F3218"/>
      <c r="G3218"/>
      <c r="H3218"/>
      <c r="I3218"/>
    </row>
    <row r="3219" spans="6:9" x14ac:dyDescent="0.3">
      <c r="F3219"/>
      <c r="G3219"/>
      <c r="H3219"/>
      <c r="I3219"/>
    </row>
    <row r="3220" spans="6:9" x14ac:dyDescent="0.3">
      <c r="F3220"/>
      <c r="G3220"/>
      <c r="H3220"/>
      <c r="I3220"/>
    </row>
    <row r="3221" spans="6:9" x14ac:dyDescent="0.3">
      <c r="F3221"/>
      <c r="G3221"/>
      <c r="H3221"/>
      <c r="I3221"/>
    </row>
    <row r="3222" spans="6:9" x14ac:dyDescent="0.3">
      <c r="F3222"/>
      <c r="G3222"/>
      <c r="H3222"/>
      <c r="I3222"/>
    </row>
    <row r="3223" spans="6:9" x14ac:dyDescent="0.3">
      <c r="F3223"/>
      <c r="G3223"/>
      <c r="H3223"/>
      <c r="I3223"/>
    </row>
    <row r="3224" spans="6:9" x14ac:dyDescent="0.3">
      <c r="F3224"/>
      <c r="G3224"/>
      <c r="H3224"/>
      <c r="I3224"/>
    </row>
    <row r="3225" spans="6:9" x14ac:dyDescent="0.3">
      <c r="F3225"/>
      <c r="G3225"/>
      <c r="H3225"/>
      <c r="I3225"/>
    </row>
    <row r="3226" spans="6:9" x14ac:dyDescent="0.3">
      <c r="F3226"/>
      <c r="G3226"/>
      <c r="H3226"/>
      <c r="I3226"/>
    </row>
    <row r="3227" spans="6:9" x14ac:dyDescent="0.3">
      <c r="F3227"/>
      <c r="G3227"/>
      <c r="H3227"/>
      <c r="I3227"/>
    </row>
    <row r="3228" spans="6:9" x14ac:dyDescent="0.3">
      <c r="F3228"/>
      <c r="G3228"/>
      <c r="H3228"/>
      <c r="I3228"/>
    </row>
    <row r="3229" spans="6:9" x14ac:dyDescent="0.3">
      <c r="F3229"/>
      <c r="G3229"/>
      <c r="H3229"/>
      <c r="I3229"/>
    </row>
    <row r="3230" spans="6:9" x14ac:dyDescent="0.3">
      <c r="F3230"/>
      <c r="G3230"/>
      <c r="H3230"/>
      <c r="I3230"/>
    </row>
    <row r="3231" spans="6:9" x14ac:dyDescent="0.3">
      <c r="F3231"/>
      <c r="G3231"/>
      <c r="H3231"/>
      <c r="I3231"/>
    </row>
    <row r="3232" spans="6:9" x14ac:dyDescent="0.3">
      <c r="F3232"/>
      <c r="G3232"/>
      <c r="H3232"/>
      <c r="I3232"/>
    </row>
    <row r="3233" spans="6:9" x14ac:dyDescent="0.3">
      <c r="F3233"/>
      <c r="G3233"/>
      <c r="H3233"/>
      <c r="I3233"/>
    </row>
    <row r="3234" spans="6:9" x14ac:dyDescent="0.3">
      <c r="F3234"/>
      <c r="G3234"/>
      <c r="H3234"/>
      <c r="I3234"/>
    </row>
    <row r="3235" spans="6:9" x14ac:dyDescent="0.3">
      <c r="F3235"/>
      <c r="G3235"/>
      <c r="H3235"/>
      <c r="I3235"/>
    </row>
    <row r="3236" spans="6:9" x14ac:dyDescent="0.3">
      <c r="F3236"/>
      <c r="G3236"/>
      <c r="H3236"/>
      <c r="I3236"/>
    </row>
    <row r="3237" spans="6:9" x14ac:dyDescent="0.3">
      <c r="F3237"/>
      <c r="G3237"/>
      <c r="H3237"/>
      <c r="I3237"/>
    </row>
    <row r="3238" spans="6:9" x14ac:dyDescent="0.3">
      <c r="F3238"/>
      <c r="G3238"/>
      <c r="H3238"/>
      <c r="I3238"/>
    </row>
    <row r="3239" spans="6:9" x14ac:dyDescent="0.3">
      <c r="F3239"/>
      <c r="G3239"/>
      <c r="H3239"/>
      <c r="I3239"/>
    </row>
    <row r="3240" spans="6:9" x14ac:dyDescent="0.3">
      <c r="F3240"/>
      <c r="G3240"/>
      <c r="H3240"/>
      <c r="I3240"/>
    </row>
    <row r="3241" spans="6:9" x14ac:dyDescent="0.3">
      <c r="F3241"/>
      <c r="G3241"/>
      <c r="H3241"/>
      <c r="I3241"/>
    </row>
    <row r="3242" spans="6:9" x14ac:dyDescent="0.3">
      <c r="F3242"/>
      <c r="G3242"/>
      <c r="H3242"/>
      <c r="I3242"/>
    </row>
    <row r="3243" spans="6:9" x14ac:dyDescent="0.3">
      <c r="F3243"/>
      <c r="G3243"/>
      <c r="H3243"/>
      <c r="I3243"/>
    </row>
    <row r="3244" spans="6:9" x14ac:dyDescent="0.3">
      <c r="F3244"/>
      <c r="G3244"/>
      <c r="H3244"/>
      <c r="I3244"/>
    </row>
    <row r="3245" spans="6:9" x14ac:dyDescent="0.3">
      <c r="F3245"/>
      <c r="G3245"/>
      <c r="H3245"/>
      <c r="I3245"/>
    </row>
    <row r="3246" spans="6:9" x14ac:dyDescent="0.3">
      <c r="F3246"/>
      <c r="G3246"/>
      <c r="H3246"/>
      <c r="I3246"/>
    </row>
    <row r="3247" spans="6:9" x14ac:dyDescent="0.3">
      <c r="F3247"/>
      <c r="G3247"/>
      <c r="H3247"/>
      <c r="I3247"/>
    </row>
    <row r="3248" spans="6:9" x14ac:dyDescent="0.3">
      <c r="F3248"/>
      <c r="G3248"/>
      <c r="H3248"/>
      <c r="I3248"/>
    </row>
    <row r="3249" spans="6:9" x14ac:dyDescent="0.3">
      <c r="F3249"/>
      <c r="G3249"/>
      <c r="H3249"/>
      <c r="I3249"/>
    </row>
    <row r="3250" spans="6:9" x14ac:dyDescent="0.3">
      <c r="F3250"/>
      <c r="G3250"/>
      <c r="H3250"/>
      <c r="I3250"/>
    </row>
    <row r="3251" spans="6:9" x14ac:dyDescent="0.3">
      <c r="F3251"/>
      <c r="G3251"/>
      <c r="H3251"/>
      <c r="I3251"/>
    </row>
    <row r="3252" spans="6:9" x14ac:dyDescent="0.3">
      <c r="F3252"/>
      <c r="G3252"/>
      <c r="H3252"/>
      <c r="I3252"/>
    </row>
    <row r="3253" spans="6:9" x14ac:dyDescent="0.3">
      <c r="F3253"/>
      <c r="G3253"/>
      <c r="H3253"/>
      <c r="I3253"/>
    </row>
    <row r="3254" spans="6:9" x14ac:dyDescent="0.3">
      <c r="F3254"/>
      <c r="G3254"/>
      <c r="H3254"/>
      <c r="I3254"/>
    </row>
    <row r="3255" spans="6:9" x14ac:dyDescent="0.3">
      <c r="F3255"/>
      <c r="G3255"/>
      <c r="H3255"/>
      <c r="I3255"/>
    </row>
    <row r="3256" spans="6:9" x14ac:dyDescent="0.3">
      <c r="F3256"/>
      <c r="G3256"/>
      <c r="H3256"/>
      <c r="I3256"/>
    </row>
    <row r="3257" spans="6:9" x14ac:dyDescent="0.3">
      <c r="F3257"/>
      <c r="G3257"/>
      <c r="H3257"/>
      <c r="I3257"/>
    </row>
    <row r="3258" spans="6:9" x14ac:dyDescent="0.3">
      <c r="F3258"/>
      <c r="G3258"/>
      <c r="H3258"/>
      <c r="I3258"/>
    </row>
    <row r="3259" spans="6:9" x14ac:dyDescent="0.3">
      <c r="F3259"/>
      <c r="G3259"/>
      <c r="H3259"/>
      <c r="I3259"/>
    </row>
    <row r="3260" spans="6:9" x14ac:dyDescent="0.3">
      <c r="F3260"/>
      <c r="G3260"/>
      <c r="H3260"/>
      <c r="I3260"/>
    </row>
    <row r="3261" spans="6:9" x14ac:dyDescent="0.3">
      <c r="F3261"/>
      <c r="G3261"/>
      <c r="H3261"/>
      <c r="I3261"/>
    </row>
    <row r="3262" spans="6:9" x14ac:dyDescent="0.3">
      <c r="F3262"/>
      <c r="G3262"/>
      <c r="H3262"/>
      <c r="I3262"/>
    </row>
    <row r="3263" spans="6:9" x14ac:dyDescent="0.3">
      <c r="F3263"/>
      <c r="G3263"/>
      <c r="H3263"/>
      <c r="I3263"/>
    </row>
    <row r="3264" spans="6:9" x14ac:dyDescent="0.3">
      <c r="F3264"/>
      <c r="G3264"/>
      <c r="H3264"/>
      <c r="I3264"/>
    </row>
    <row r="3265" spans="6:9" x14ac:dyDescent="0.3">
      <c r="F3265"/>
      <c r="G3265"/>
      <c r="H3265"/>
      <c r="I3265"/>
    </row>
    <row r="3266" spans="6:9" x14ac:dyDescent="0.3">
      <c r="F3266"/>
      <c r="G3266"/>
      <c r="H3266"/>
      <c r="I3266"/>
    </row>
    <row r="3267" spans="6:9" x14ac:dyDescent="0.3">
      <c r="F3267"/>
      <c r="G3267"/>
      <c r="H3267"/>
      <c r="I3267"/>
    </row>
    <row r="3268" spans="6:9" x14ac:dyDescent="0.3">
      <c r="F3268"/>
      <c r="G3268"/>
      <c r="H3268"/>
      <c r="I3268"/>
    </row>
    <row r="3269" spans="6:9" x14ac:dyDescent="0.3">
      <c r="F3269"/>
      <c r="G3269"/>
      <c r="H3269"/>
      <c r="I3269"/>
    </row>
    <row r="3270" spans="6:9" x14ac:dyDescent="0.3">
      <c r="F3270"/>
      <c r="G3270"/>
      <c r="H3270"/>
      <c r="I3270"/>
    </row>
    <row r="3271" spans="6:9" x14ac:dyDescent="0.3">
      <c r="F3271"/>
      <c r="G3271"/>
      <c r="H3271"/>
      <c r="I3271"/>
    </row>
    <row r="3272" spans="6:9" x14ac:dyDescent="0.3">
      <c r="F3272"/>
      <c r="G3272"/>
      <c r="H3272"/>
      <c r="I3272"/>
    </row>
    <row r="3273" spans="6:9" x14ac:dyDescent="0.3">
      <c r="F3273"/>
      <c r="G3273"/>
      <c r="H3273"/>
      <c r="I3273"/>
    </row>
    <row r="3274" spans="6:9" x14ac:dyDescent="0.3">
      <c r="F3274"/>
      <c r="G3274"/>
      <c r="H3274"/>
      <c r="I3274"/>
    </row>
    <row r="3275" spans="6:9" x14ac:dyDescent="0.3">
      <c r="F3275"/>
      <c r="G3275"/>
      <c r="H3275"/>
      <c r="I3275"/>
    </row>
    <row r="3276" spans="6:9" x14ac:dyDescent="0.3">
      <c r="F3276"/>
      <c r="G3276"/>
      <c r="H3276"/>
      <c r="I3276"/>
    </row>
    <row r="3277" spans="6:9" x14ac:dyDescent="0.3">
      <c r="F3277"/>
      <c r="G3277"/>
      <c r="H3277"/>
      <c r="I3277"/>
    </row>
    <row r="3278" spans="6:9" x14ac:dyDescent="0.3">
      <c r="F3278"/>
      <c r="G3278"/>
      <c r="H3278"/>
      <c r="I3278"/>
    </row>
    <row r="3279" spans="6:9" x14ac:dyDescent="0.3">
      <c r="F3279"/>
      <c r="G3279"/>
      <c r="H3279"/>
      <c r="I3279"/>
    </row>
    <row r="3280" spans="6:9" x14ac:dyDescent="0.3">
      <c r="F3280"/>
      <c r="G3280"/>
      <c r="H3280"/>
      <c r="I3280"/>
    </row>
    <row r="3281" spans="6:9" x14ac:dyDescent="0.3">
      <c r="F3281"/>
      <c r="G3281"/>
      <c r="H3281"/>
      <c r="I3281"/>
    </row>
    <row r="3282" spans="6:9" x14ac:dyDescent="0.3">
      <c r="F3282"/>
      <c r="G3282"/>
      <c r="H3282"/>
      <c r="I3282"/>
    </row>
    <row r="3283" spans="6:9" x14ac:dyDescent="0.3">
      <c r="F3283"/>
      <c r="G3283"/>
      <c r="H3283"/>
      <c r="I3283"/>
    </row>
    <row r="3284" spans="6:9" x14ac:dyDescent="0.3">
      <c r="F3284"/>
      <c r="G3284"/>
      <c r="H3284"/>
      <c r="I3284"/>
    </row>
    <row r="3285" spans="6:9" x14ac:dyDescent="0.3">
      <c r="F3285"/>
      <c r="G3285"/>
      <c r="H3285"/>
      <c r="I3285"/>
    </row>
    <row r="3286" spans="6:9" x14ac:dyDescent="0.3">
      <c r="F3286"/>
      <c r="G3286"/>
      <c r="H3286"/>
      <c r="I3286"/>
    </row>
    <row r="3287" spans="6:9" x14ac:dyDescent="0.3">
      <c r="F3287"/>
      <c r="G3287"/>
      <c r="H3287"/>
      <c r="I3287"/>
    </row>
    <row r="3288" spans="6:9" x14ac:dyDescent="0.3">
      <c r="F3288"/>
      <c r="G3288"/>
      <c r="H3288"/>
      <c r="I3288"/>
    </row>
    <row r="3289" spans="6:9" x14ac:dyDescent="0.3">
      <c r="F3289"/>
      <c r="G3289"/>
      <c r="H3289"/>
      <c r="I3289"/>
    </row>
    <row r="3290" spans="6:9" x14ac:dyDescent="0.3">
      <c r="F3290"/>
      <c r="G3290"/>
      <c r="H3290"/>
      <c r="I3290"/>
    </row>
    <row r="3291" spans="6:9" x14ac:dyDescent="0.3">
      <c r="F3291"/>
      <c r="G3291"/>
      <c r="H3291"/>
      <c r="I3291"/>
    </row>
    <row r="3292" spans="6:9" x14ac:dyDescent="0.3">
      <c r="F3292"/>
      <c r="G3292"/>
      <c r="H3292"/>
      <c r="I3292"/>
    </row>
    <row r="3293" spans="6:9" x14ac:dyDescent="0.3">
      <c r="F3293"/>
      <c r="G3293"/>
      <c r="H3293"/>
      <c r="I3293"/>
    </row>
    <row r="3294" spans="6:9" x14ac:dyDescent="0.3">
      <c r="F3294"/>
      <c r="G3294"/>
      <c r="H3294"/>
      <c r="I3294"/>
    </row>
    <row r="3295" spans="6:9" x14ac:dyDescent="0.3">
      <c r="F3295"/>
      <c r="G3295"/>
      <c r="H3295"/>
      <c r="I3295"/>
    </row>
    <row r="3296" spans="6:9" x14ac:dyDescent="0.3">
      <c r="F3296"/>
      <c r="G3296"/>
      <c r="H3296"/>
      <c r="I3296"/>
    </row>
    <row r="3297" spans="6:9" x14ac:dyDescent="0.3">
      <c r="F3297"/>
      <c r="G3297"/>
      <c r="H3297"/>
      <c r="I3297"/>
    </row>
    <row r="3298" spans="6:9" x14ac:dyDescent="0.3">
      <c r="F3298"/>
      <c r="G3298"/>
      <c r="H3298"/>
      <c r="I3298"/>
    </row>
    <row r="3299" spans="6:9" x14ac:dyDescent="0.3">
      <c r="F3299"/>
      <c r="G3299"/>
      <c r="H3299"/>
      <c r="I3299"/>
    </row>
    <row r="3300" spans="6:9" x14ac:dyDescent="0.3">
      <c r="F3300"/>
      <c r="G3300"/>
      <c r="H3300"/>
      <c r="I3300"/>
    </row>
    <row r="3301" spans="6:9" x14ac:dyDescent="0.3">
      <c r="F3301"/>
      <c r="G3301"/>
      <c r="H3301"/>
      <c r="I3301"/>
    </row>
    <row r="3302" spans="6:9" x14ac:dyDescent="0.3">
      <c r="F3302"/>
      <c r="G3302"/>
      <c r="H3302"/>
      <c r="I3302"/>
    </row>
    <row r="3303" spans="6:9" x14ac:dyDescent="0.3">
      <c r="F3303"/>
      <c r="G3303"/>
      <c r="H3303"/>
      <c r="I3303"/>
    </row>
    <row r="3304" spans="6:9" x14ac:dyDescent="0.3">
      <c r="F3304"/>
      <c r="G3304"/>
      <c r="H3304"/>
      <c r="I3304"/>
    </row>
    <row r="3305" spans="6:9" x14ac:dyDescent="0.3">
      <c r="F3305"/>
      <c r="G3305"/>
      <c r="H3305"/>
      <c r="I3305"/>
    </row>
    <row r="3306" spans="6:9" x14ac:dyDescent="0.3">
      <c r="F3306"/>
      <c r="G3306"/>
      <c r="H3306"/>
      <c r="I3306"/>
    </row>
    <row r="3307" spans="6:9" x14ac:dyDescent="0.3">
      <c r="F3307"/>
      <c r="G3307"/>
      <c r="H3307"/>
      <c r="I3307"/>
    </row>
    <row r="3308" spans="6:9" x14ac:dyDescent="0.3">
      <c r="F3308"/>
      <c r="G3308"/>
      <c r="H3308"/>
      <c r="I3308"/>
    </row>
    <row r="3309" spans="6:9" x14ac:dyDescent="0.3">
      <c r="F3309"/>
      <c r="G3309"/>
      <c r="H3309"/>
      <c r="I3309"/>
    </row>
    <row r="3310" spans="6:9" x14ac:dyDescent="0.3">
      <c r="F3310"/>
      <c r="G3310"/>
      <c r="H3310"/>
      <c r="I3310"/>
    </row>
    <row r="3311" spans="6:9" x14ac:dyDescent="0.3">
      <c r="F3311"/>
      <c r="G3311"/>
      <c r="H3311"/>
      <c r="I3311"/>
    </row>
    <row r="3312" spans="6:9" x14ac:dyDescent="0.3">
      <c r="F3312"/>
      <c r="G3312"/>
      <c r="H3312"/>
      <c r="I3312"/>
    </row>
    <row r="3313" spans="6:9" x14ac:dyDescent="0.3">
      <c r="F3313"/>
      <c r="G3313"/>
      <c r="H3313"/>
      <c r="I3313"/>
    </row>
    <row r="3314" spans="6:9" x14ac:dyDescent="0.3">
      <c r="F3314"/>
      <c r="G3314"/>
      <c r="H3314"/>
      <c r="I3314"/>
    </row>
    <row r="3315" spans="6:9" x14ac:dyDescent="0.3">
      <c r="F3315"/>
      <c r="G3315"/>
      <c r="H3315"/>
      <c r="I3315"/>
    </row>
    <row r="3316" spans="6:9" x14ac:dyDescent="0.3">
      <c r="F3316"/>
      <c r="G3316"/>
      <c r="H3316"/>
      <c r="I3316"/>
    </row>
    <row r="3317" spans="6:9" x14ac:dyDescent="0.3">
      <c r="F3317"/>
      <c r="G3317"/>
      <c r="H3317"/>
      <c r="I3317"/>
    </row>
    <row r="3318" spans="6:9" x14ac:dyDescent="0.3">
      <c r="F3318"/>
      <c r="G3318"/>
      <c r="H3318"/>
      <c r="I3318"/>
    </row>
    <row r="3319" spans="6:9" x14ac:dyDescent="0.3">
      <c r="F3319"/>
      <c r="G3319"/>
      <c r="H3319"/>
      <c r="I3319"/>
    </row>
    <row r="3320" spans="6:9" x14ac:dyDescent="0.3">
      <c r="F3320"/>
      <c r="G3320"/>
      <c r="H3320"/>
      <c r="I3320"/>
    </row>
    <row r="3321" spans="6:9" x14ac:dyDescent="0.3">
      <c r="F3321"/>
      <c r="G3321"/>
      <c r="H3321"/>
      <c r="I3321"/>
    </row>
    <row r="3322" spans="6:9" x14ac:dyDescent="0.3">
      <c r="F3322"/>
      <c r="G3322"/>
      <c r="H3322"/>
      <c r="I3322"/>
    </row>
    <row r="3323" spans="6:9" x14ac:dyDescent="0.3">
      <c r="F3323"/>
      <c r="G3323"/>
      <c r="H3323"/>
      <c r="I3323"/>
    </row>
    <row r="3324" spans="6:9" x14ac:dyDescent="0.3">
      <c r="F3324"/>
      <c r="G3324"/>
      <c r="H3324"/>
      <c r="I3324"/>
    </row>
    <row r="3325" spans="6:9" x14ac:dyDescent="0.3">
      <c r="F3325"/>
      <c r="G3325"/>
      <c r="H3325"/>
      <c r="I3325"/>
    </row>
    <row r="3326" spans="6:9" x14ac:dyDescent="0.3">
      <c r="F3326"/>
      <c r="G3326"/>
      <c r="H3326"/>
      <c r="I3326"/>
    </row>
    <row r="3327" spans="6:9" x14ac:dyDescent="0.3">
      <c r="F3327"/>
      <c r="G3327"/>
      <c r="H3327"/>
      <c r="I3327"/>
    </row>
    <row r="3328" spans="6:9" x14ac:dyDescent="0.3">
      <c r="F3328"/>
      <c r="G3328"/>
      <c r="H3328"/>
      <c r="I3328"/>
    </row>
    <row r="3329" spans="6:9" x14ac:dyDescent="0.3">
      <c r="F3329"/>
      <c r="G3329"/>
      <c r="H3329"/>
      <c r="I3329"/>
    </row>
    <row r="3330" spans="6:9" x14ac:dyDescent="0.3">
      <c r="F3330"/>
      <c r="G3330"/>
      <c r="H3330"/>
      <c r="I3330"/>
    </row>
    <row r="3331" spans="6:9" x14ac:dyDescent="0.3">
      <c r="F3331"/>
      <c r="G3331"/>
      <c r="H3331"/>
      <c r="I3331"/>
    </row>
    <row r="3332" spans="6:9" x14ac:dyDescent="0.3">
      <c r="F3332"/>
      <c r="G3332"/>
      <c r="H3332"/>
      <c r="I3332"/>
    </row>
    <row r="3333" spans="6:9" x14ac:dyDescent="0.3">
      <c r="F3333"/>
      <c r="G3333"/>
      <c r="H3333"/>
      <c r="I3333"/>
    </row>
    <row r="3334" spans="6:9" x14ac:dyDescent="0.3">
      <c r="F3334"/>
      <c r="G3334"/>
      <c r="H3334"/>
      <c r="I3334"/>
    </row>
    <row r="3335" spans="6:9" x14ac:dyDescent="0.3">
      <c r="F3335"/>
      <c r="G3335"/>
      <c r="H3335"/>
      <c r="I3335"/>
    </row>
    <row r="3336" spans="6:9" x14ac:dyDescent="0.3">
      <c r="F3336"/>
      <c r="G3336"/>
      <c r="H3336"/>
      <c r="I3336"/>
    </row>
    <row r="3337" spans="6:9" x14ac:dyDescent="0.3">
      <c r="F3337"/>
      <c r="G3337"/>
      <c r="H3337"/>
      <c r="I3337"/>
    </row>
    <row r="3338" spans="6:9" x14ac:dyDescent="0.3">
      <c r="F3338"/>
      <c r="G3338"/>
      <c r="H3338"/>
      <c r="I3338"/>
    </row>
    <row r="3339" spans="6:9" x14ac:dyDescent="0.3">
      <c r="F3339"/>
      <c r="G3339"/>
      <c r="H3339"/>
      <c r="I3339"/>
    </row>
    <row r="3340" spans="6:9" x14ac:dyDescent="0.3">
      <c r="F3340"/>
      <c r="G3340"/>
      <c r="H3340"/>
      <c r="I3340"/>
    </row>
    <row r="3341" spans="6:9" x14ac:dyDescent="0.3">
      <c r="F3341"/>
      <c r="G3341"/>
      <c r="H3341"/>
      <c r="I3341"/>
    </row>
    <row r="3342" spans="6:9" x14ac:dyDescent="0.3">
      <c r="F3342"/>
      <c r="G3342"/>
      <c r="H3342"/>
      <c r="I3342"/>
    </row>
    <row r="3343" spans="6:9" x14ac:dyDescent="0.3">
      <c r="F3343"/>
      <c r="G3343"/>
      <c r="H3343"/>
      <c r="I3343"/>
    </row>
    <row r="3344" spans="6:9" x14ac:dyDescent="0.3">
      <c r="F3344"/>
      <c r="G3344"/>
      <c r="H3344"/>
      <c r="I3344"/>
    </row>
    <row r="3345" spans="6:9" x14ac:dyDescent="0.3">
      <c r="F3345"/>
      <c r="G3345"/>
      <c r="H3345"/>
      <c r="I3345"/>
    </row>
    <row r="3346" spans="6:9" x14ac:dyDescent="0.3">
      <c r="F3346"/>
      <c r="G3346"/>
      <c r="H3346"/>
      <c r="I3346"/>
    </row>
    <row r="3347" spans="6:9" x14ac:dyDescent="0.3">
      <c r="F3347"/>
      <c r="G3347"/>
      <c r="H3347"/>
      <c r="I3347"/>
    </row>
    <row r="3348" spans="6:9" x14ac:dyDescent="0.3">
      <c r="F3348"/>
      <c r="G3348"/>
      <c r="H3348"/>
      <c r="I3348"/>
    </row>
    <row r="3349" spans="6:9" x14ac:dyDescent="0.3">
      <c r="F3349"/>
      <c r="G3349"/>
      <c r="H3349"/>
      <c r="I3349"/>
    </row>
    <row r="3350" spans="6:9" x14ac:dyDescent="0.3">
      <c r="F3350"/>
      <c r="G3350"/>
      <c r="H3350"/>
      <c r="I3350"/>
    </row>
    <row r="3351" spans="6:9" x14ac:dyDescent="0.3">
      <c r="F3351"/>
      <c r="G3351"/>
      <c r="H3351"/>
      <c r="I3351"/>
    </row>
    <row r="3352" spans="6:9" x14ac:dyDescent="0.3">
      <c r="F3352"/>
      <c r="G3352"/>
      <c r="H3352"/>
      <c r="I3352"/>
    </row>
    <row r="3353" spans="6:9" x14ac:dyDescent="0.3">
      <c r="F3353"/>
      <c r="G3353"/>
      <c r="H3353"/>
      <c r="I3353"/>
    </row>
    <row r="3354" spans="6:9" x14ac:dyDescent="0.3">
      <c r="F3354"/>
      <c r="G3354"/>
      <c r="H3354"/>
      <c r="I3354"/>
    </row>
    <row r="3355" spans="6:9" x14ac:dyDescent="0.3">
      <c r="F3355"/>
      <c r="G3355"/>
      <c r="H3355"/>
      <c r="I3355"/>
    </row>
    <row r="3356" spans="6:9" x14ac:dyDescent="0.3">
      <c r="F3356"/>
      <c r="G3356"/>
      <c r="H3356"/>
      <c r="I3356"/>
    </row>
    <row r="3357" spans="6:9" x14ac:dyDescent="0.3">
      <c r="F3357"/>
      <c r="G3357"/>
      <c r="H3357"/>
      <c r="I3357"/>
    </row>
    <row r="3358" spans="6:9" x14ac:dyDescent="0.3">
      <c r="F3358"/>
      <c r="G3358"/>
      <c r="H3358"/>
      <c r="I3358"/>
    </row>
    <row r="3359" spans="6:9" x14ac:dyDescent="0.3">
      <c r="F3359"/>
      <c r="G3359"/>
      <c r="H3359"/>
      <c r="I3359"/>
    </row>
    <row r="3360" spans="6:9" x14ac:dyDescent="0.3">
      <c r="F3360"/>
      <c r="G3360"/>
      <c r="H3360"/>
      <c r="I3360"/>
    </row>
    <row r="3361" spans="6:9" x14ac:dyDescent="0.3">
      <c r="F3361"/>
      <c r="G3361"/>
      <c r="H3361"/>
      <c r="I3361"/>
    </row>
    <row r="3362" spans="6:9" x14ac:dyDescent="0.3">
      <c r="F3362"/>
      <c r="G3362"/>
      <c r="H3362"/>
      <c r="I3362"/>
    </row>
    <row r="3363" spans="6:9" x14ac:dyDescent="0.3">
      <c r="F3363"/>
      <c r="G3363"/>
      <c r="H3363"/>
      <c r="I3363"/>
    </row>
    <row r="3364" spans="6:9" x14ac:dyDescent="0.3">
      <c r="F3364"/>
      <c r="G3364"/>
      <c r="H3364"/>
      <c r="I3364"/>
    </row>
    <row r="3365" spans="6:9" x14ac:dyDescent="0.3">
      <c r="F3365"/>
      <c r="G3365"/>
      <c r="H3365"/>
      <c r="I3365"/>
    </row>
    <row r="3366" spans="6:9" x14ac:dyDescent="0.3">
      <c r="F3366"/>
      <c r="G3366"/>
      <c r="H3366"/>
      <c r="I3366"/>
    </row>
    <row r="3367" spans="6:9" x14ac:dyDescent="0.3">
      <c r="F3367"/>
      <c r="G3367"/>
      <c r="H3367"/>
      <c r="I3367"/>
    </row>
    <row r="3368" spans="6:9" x14ac:dyDescent="0.3">
      <c r="F3368"/>
      <c r="G3368"/>
      <c r="H3368"/>
      <c r="I3368"/>
    </row>
    <row r="3369" spans="6:9" x14ac:dyDescent="0.3">
      <c r="F3369"/>
      <c r="G3369"/>
      <c r="H3369"/>
      <c r="I3369"/>
    </row>
    <row r="3370" spans="6:9" x14ac:dyDescent="0.3">
      <c r="F3370"/>
      <c r="G3370"/>
      <c r="H3370"/>
      <c r="I3370"/>
    </row>
    <row r="3371" spans="6:9" x14ac:dyDescent="0.3">
      <c r="F3371"/>
      <c r="G3371"/>
      <c r="H3371"/>
      <c r="I3371"/>
    </row>
    <row r="3372" spans="6:9" x14ac:dyDescent="0.3">
      <c r="F3372"/>
      <c r="G3372"/>
      <c r="H3372"/>
      <c r="I3372"/>
    </row>
    <row r="3373" spans="6:9" x14ac:dyDescent="0.3">
      <c r="F3373"/>
      <c r="G3373"/>
      <c r="H3373"/>
      <c r="I3373"/>
    </row>
    <row r="3374" spans="6:9" x14ac:dyDescent="0.3">
      <c r="F3374"/>
      <c r="G3374"/>
      <c r="H3374"/>
      <c r="I3374"/>
    </row>
    <row r="3375" spans="6:9" x14ac:dyDescent="0.3">
      <c r="F3375"/>
      <c r="G3375"/>
      <c r="H3375"/>
      <c r="I3375"/>
    </row>
    <row r="3376" spans="6:9" x14ac:dyDescent="0.3">
      <c r="F3376"/>
      <c r="G3376"/>
      <c r="H3376"/>
      <c r="I3376"/>
    </row>
    <row r="3377" spans="6:9" x14ac:dyDescent="0.3">
      <c r="F3377"/>
      <c r="G3377"/>
      <c r="H3377"/>
      <c r="I3377"/>
    </row>
    <row r="3378" spans="6:9" x14ac:dyDescent="0.3">
      <c r="F3378"/>
      <c r="G3378"/>
      <c r="H3378"/>
      <c r="I3378"/>
    </row>
    <row r="3379" spans="6:9" x14ac:dyDescent="0.3">
      <c r="F3379"/>
      <c r="G3379"/>
      <c r="H3379"/>
      <c r="I3379"/>
    </row>
    <row r="3380" spans="6:9" x14ac:dyDescent="0.3">
      <c r="F3380"/>
      <c r="G3380"/>
      <c r="H3380"/>
      <c r="I3380"/>
    </row>
    <row r="3381" spans="6:9" x14ac:dyDescent="0.3">
      <c r="F3381"/>
      <c r="G3381"/>
      <c r="H3381"/>
      <c r="I3381"/>
    </row>
    <row r="3382" spans="6:9" x14ac:dyDescent="0.3">
      <c r="F3382"/>
      <c r="G3382"/>
      <c r="H3382"/>
      <c r="I3382"/>
    </row>
    <row r="3383" spans="6:9" x14ac:dyDescent="0.3">
      <c r="F3383"/>
      <c r="G3383"/>
      <c r="H3383"/>
      <c r="I3383"/>
    </row>
    <row r="3384" spans="6:9" x14ac:dyDescent="0.3">
      <c r="F3384"/>
      <c r="G3384"/>
      <c r="H3384"/>
      <c r="I3384"/>
    </row>
    <row r="3385" spans="6:9" x14ac:dyDescent="0.3">
      <c r="F3385"/>
      <c r="G3385"/>
      <c r="H3385"/>
      <c r="I3385"/>
    </row>
    <row r="3386" spans="6:9" x14ac:dyDescent="0.3">
      <c r="F3386"/>
      <c r="G3386"/>
      <c r="H3386"/>
      <c r="I3386"/>
    </row>
    <row r="3387" spans="6:9" x14ac:dyDescent="0.3">
      <c r="F3387"/>
      <c r="G3387"/>
      <c r="H3387"/>
      <c r="I3387"/>
    </row>
    <row r="3388" spans="6:9" x14ac:dyDescent="0.3">
      <c r="F3388"/>
      <c r="G3388"/>
      <c r="H3388"/>
      <c r="I3388"/>
    </row>
    <row r="3389" spans="6:9" x14ac:dyDescent="0.3">
      <c r="F3389"/>
      <c r="G3389"/>
      <c r="H3389"/>
      <c r="I3389"/>
    </row>
    <row r="3390" spans="6:9" x14ac:dyDescent="0.3">
      <c r="F3390"/>
      <c r="G3390"/>
      <c r="H3390"/>
      <c r="I3390"/>
    </row>
    <row r="3391" spans="6:9" x14ac:dyDescent="0.3">
      <c r="F3391"/>
      <c r="G3391"/>
      <c r="H3391"/>
      <c r="I3391"/>
    </row>
    <row r="3392" spans="6:9" x14ac:dyDescent="0.3">
      <c r="F3392"/>
      <c r="G3392"/>
      <c r="H3392"/>
      <c r="I3392"/>
    </row>
    <row r="3393" spans="6:9" x14ac:dyDescent="0.3">
      <c r="F3393"/>
      <c r="G3393"/>
      <c r="H3393"/>
      <c r="I3393"/>
    </row>
    <row r="3394" spans="6:9" x14ac:dyDescent="0.3">
      <c r="F3394"/>
      <c r="G3394"/>
      <c r="H3394"/>
      <c r="I3394"/>
    </row>
    <row r="3395" spans="6:9" x14ac:dyDescent="0.3">
      <c r="F3395"/>
      <c r="G3395"/>
      <c r="H3395"/>
      <c r="I3395"/>
    </row>
    <row r="3396" spans="6:9" x14ac:dyDescent="0.3">
      <c r="F3396"/>
      <c r="G3396"/>
      <c r="H3396"/>
      <c r="I3396"/>
    </row>
    <row r="3397" spans="6:9" x14ac:dyDescent="0.3">
      <c r="F3397"/>
      <c r="G3397"/>
      <c r="H3397"/>
      <c r="I3397"/>
    </row>
    <row r="3398" spans="6:9" x14ac:dyDescent="0.3">
      <c r="F3398"/>
      <c r="G3398"/>
      <c r="H3398"/>
      <c r="I3398"/>
    </row>
    <row r="3399" spans="6:9" x14ac:dyDescent="0.3">
      <c r="F3399"/>
      <c r="G3399"/>
      <c r="H3399"/>
      <c r="I3399"/>
    </row>
    <row r="3400" spans="6:9" x14ac:dyDescent="0.3">
      <c r="F3400"/>
      <c r="G3400"/>
      <c r="H3400"/>
      <c r="I3400"/>
    </row>
    <row r="3401" spans="6:9" x14ac:dyDescent="0.3">
      <c r="F3401"/>
      <c r="G3401"/>
      <c r="H3401"/>
      <c r="I3401"/>
    </row>
    <row r="3402" spans="6:9" x14ac:dyDescent="0.3">
      <c r="F3402"/>
      <c r="G3402"/>
      <c r="H3402"/>
      <c r="I3402"/>
    </row>
    <row r="3403" spans="6:9" x14ac:dyDescent="0.3">
      <c r="F3403"/>
      <c r="G3403"/>
      <c r="H3403"/>
      <c r="I3403"/>
    </row>
    <row r="3404" spans="6:9" x14ac:dyDescent="0.3">
      <c r="F3404"/>
      <c r="G3404"/>
      <c r="H3404"/>
      <c r="I3404"/>
    </row>
    <row r="3405" spans="6:9" x14ac:dyDescent="0.3">
      <c r="F3405"/>
      <c r="G3405"/>
      <c r="H3405"/>
      <c r="I3405"/>
    </row>
    <row r="3406" spans="6:9" x14ac:dyDescent="0.3">
      <c r="F3406"/>
      <c r="G3406"/>
      <c r="H3406"/>
      <c r="I3406"/>
    </row>
    <row r="3407" spans="6:9" x14ac:dyDescent="0.3">
      <c r="F3407"/>
      <c r="G3407"/>
      <c r="H3407"/>
      <c r="I3407"/>
    </row>
    <row r="3408" spans="6:9" x14ac:dyDescent="0.3">
      <c r="F3408"/>
      <c r="G3408"/>
      <c r="H3408"/>
      <c r="I3408"/>
    </row>
    <row r="3409" spans="6:9" x14ac:dyDescent="0.3">
      <c r="F3409"/>
      <c r="G3409"/>
      <c r="H3409"/>
      <c r="I3409"/>
    </row>
    <row r="3410" spans="6:9" x14ac:dyDescent="0.3">
      <c r="F3410"/>
      <c r="G3410"/>
      <c r="H3410"/>
      <c r="I3410"/>
    </row>
    <row r="3411" spans="6:9" x14ac:dyDescent="0.3">
      <c r="F3411"/>
      <c r="G3411"/>
      <c r="H3411"/>
      <c r="I3411"/>
    </row>
    <row r="3412" spans="6:9" x14ac:dyDescent="0.3">
      <c r="F3412"/>
      <c r="G3412"/>
      <c r="H3412"/>
      <c r="I3412"/>
    </row>
    <row r="3413" spans="6:9" x14ac:dyDescent="0.3">
      <c r="F3413"/>
      <c r="G3413"/>
      <c r="H3413"/>
      <c r="I3413"/>
    </row>
    <row r="3414" spans="6:9" x14ac:dyDescent="0.3">
      <c r="F3414"/>
      <c r="G3414"/>
      <c r="H3414"/>
      <c r="I3414"/>
    </row>
    <row r="3415" spans="6:9" x14ac:dyDescent="0.3">
      <c r="F3415"/>
      <c r="G3415"/>
      <c r="H3415"/>
      <c r="I3415"/>
    </row>
    <row r="3416" spans="6:9" x14ac:dyDescent="0.3">
      <c r="F3416"/>
      <c r="G3416"/>
      <c r="H3416"/>
      <c r="I3416"/>
    </row>
    <row r="3417" spans="6:9" x14ac:dyDescent="0.3">
      <c r="F3417"/>
      <c r="G3417"/>
      <c r="H3417"/>
      <c r="I3417"/>
    </row>
    <row r="3418" spans="6:9" x14ac:dyDescent="0.3">
      <c r="F3418"/>
      <c r="G3418"/>
      <c r="H3418"/>
      <c r="I3418"/>
    </row>
    <row r="3419" spans="6:9" x14ac:dyDescent="0.3">
      <c r="F3419"/>
      <c r="G3419"/>
      <c r="H3419"/>
      <c r="I3419"/>
    </row>
    <row r="3420" spans="6:9" x14ac:dyDescent="0.3">
      <c r="F3420"/>
      <c r="G3420"/>
      <c r="H3420"/>
      <c r="I3420"/>
    </row>
    <row r="3421" spans="6:9" x14ac:dyDescent="0.3">
      <c r="F3421"/>
      <c r="G3421"/>
      <c r="H3421"/>
      <c r="I3421"/>
    </row>
    <row r="3422" spans="6:9" x14ac:dyDescent="0.3">
      <c r="F3422"/>
      <c r="G3422"/>
      <c r="H3422"/>
      <c r="I3422"/>
    </row>
    <row r="3423" spans="6:9" x14ac:dyDescent="0.3">
      <c r="F3423"/>
      <c r="G3423"/>
      <c r="H3423"/>
      <c r="I3423"/>
    </row>
    <row r="3424" spans="6:9" x14ac:dyDescent="0.3">
      <c r="F3424"/>
      <c r="G3424"/>
      <c r="H3424"/>
      <c r="I3424"/>
    </row>
    <row r="3425" spans="6:9" x14ac:dyDescent="0.3">
      <c r="F3425"/>
      <c r="G3425"/>
      <c r="H3425"/>
      <c r="I3425"/>
    </row>
    <row r="3426" spans="6:9" x14ac:dyDescent="0.3">
      <c r="F3426"/>
      <c r="G3426"/>
      <c r="H3426"/>
      <c r="I3426"/>
    </row>
    <row r="3427" spans="6:9" x14ac:dyDescent="0.3">
      <c r="F3427"/>
      <c r="G3427"/>
      <c r="H3427"/>
      <c r="I3427"/>
    </row>
    <row r="3428" spans="6:9" x14ac:dyDescent="0.3">
      <c r="F3428"/>
      <c r="G3428"/>
      <c r="H3428"/>
      <c r="I3428"/>
    </row>
    <row r="3429" spans="6:9" x14ac:dyDescent="0.3">
      <c r="F3429"/>
      <c r="G3429"/>
      <c r="H3429"/>
      <c r="I3429"/>
    </row>
    <row r="3430" spans="6:9" x14ac:dyDescent="0.3">
      <c r="F3430"/>
      <c r="G3430"/>
      <c r="H3430"/>
      <c r="I3430"/>
    </row>
    <row r="3431" spans="6:9" x14ac:dyDescent="0.3">
      <c r="F3431"/>
      <c r="G3431"/>
      <c r="H3431"/>
      <c r="I3431"/>
    </row>
    <row r="3432" spans="6:9" x14ac:dyDescent="0.3">
      <c r="F3432"/>
      <c r="G3432"/>
      <c r="H3432"/>
      <c r="I3432"/>
    </row>
    <row r="3433" spans="6:9" x14ac:dyDescent="0.3">
      <c r="F3433"/>
      <c r="G3433"/>
      <c r="H3433"/>
      <c r="I3433"/>
    </row>
    <row r="3434" spans="6:9" x14ac:dyDescent="0.3">
      <c r="F3434"/>
      <c r="G3434"/>
      <c r="H3434"/>
      <c r="I3434"/>
    </row>
    <row r="3435" spans="6:9" x14ac:dyDescent="0.3">
      <c r="F3435"/>
      <c r="G3435"/>
      <c r="H3435"/>
      <c r="I3435"/>
    </row>
    <row r="3436" spans="6:9" x14ac:dyDescent="0.3">
      <c r="F3436"/>
      <c r="G3436"/>
      <c r="H3436"/>
      <c r="I3436"/>
    </row>
    <row r="3437" spans="6:9" x14ac:dyDescent="0.3">
      <c r="F3437"/>
      <c r="G3437"/>
      <c r="H3437"/>
      <c r="I3437"/>
    </row>
    <row r="3438" spans="6:9" x14ac:dyDescent="0.3">
      <c r="F3438"/>
      <c r="G3438"/>
      <c r="H3438"/>
      <c r="I3438"/>
    </row>
    <row r="3439" spans="6:9" x14ac:dyDescent="0.3">
      <c r="F3439"/>
      <c r="G3439"/>
      <c r="H3439"/>
      <c r="I3439"/>
    </row>
    <row r="3440" spans="6:9" x14ac:dyDescent="0.3">
      <c r="F3440"/>
      <c r="G3440"/>
      <c r="H3440"/>
      <c r="I3440"/>
    </row>
    <row r="3441" spans="6:9" x14ac:dyDescent="0.3">
      <c r="F3441"/>
      <c r="G3441"/>
      <c r="H3441"/>
      <c r="I3441"/>
    </row>
    <row r="3442" spans="6:9" x14ac:dyDescent="0.3">
      <c r="F3442"/>
      <c r="G3442"/>
      <c r="H3442"/>
      <c r="I3442"/>
    </row>
    <row r="3443" spans="6:9" x14ac:dyDescent="0.3">
      <c r="F3443"/>
      <c r="G3443"/>
      <c r="H3443"/>
      <c r="I3443"/>
    </row>
    <row r="3444" spans="6:9" x14ac:dyDescent="0.3">
      <c r="F3444"/>
      <c r="G3444"/>
      <c r="H3444"/>
      <c r="I3444"/>
    </row>
    <row r="3445" spans="6:9" x14ac:dyDescent="0.3">
      <c r="F3445"/>
      <c r="G3445"/>
      <c r="H3445"/>
      <c r="I3445"/>
    </row>
    <row r="3446" spans="6:9" x14ac:dyDescent="0.3">
      <c r="F3446"/>
      <c r="G3446"/>
      <c r="H3446"/>
      <c r="I3446"/>
    </row>
    <row r="3447" spans="6:9" x14ac:dyDescent="0.3">
      <c r="F3447"/>
      <c r="G3447"/>
      <c r="H3447"/>
      <c r="I3447"/>
    </row>
    <row r="3448" spans="6:9" x14ac:dyDescent="0.3">
      <c r="F3448"/>
      <c r="G3448"/>
      <c r="H3448"/>
      <c r="I3448"/>
    </row>
    <row r="3449" spans="6:9" x14ac:dyDescent="0.3">
      <c r="F3449"/>
      <c r="G3449"/>
      <c r="H3449"/>
      <c r="I3449"/>
    </row>
    <row r="3450" spans="6:9" x14ac:dyDescent="0.3">
      <c r="F3450"/>
      <c r="G3450"/>
      <c r="H3450"/>
      <c r="I3450"/>
    </row>
    <row r="3451" spans="6:9" x14ac:dyDescent="0.3">
      <c r="F3451"/>
      <c r="G3451"/>
      <c r="H3451"/>
      <c r="I3451"/>
    </row>
    <row r="3452" spans="6:9" x14ac:dyDescent="0.3">
      <c r="F3452"/>
      <c r="G3452"/>
      <c r="H3452"/>
      <c r="I3452"/>
    </row>
    <row r="3453" spans="6:9" x14ac:dyDescent="0.3">
      <c r="F3453"/>
      <c r="G3453"/>
      <c r="H3453"/>
      <c r="I3453"/>
    </row>
    <row r="3454" spans="6:9" x14ac:dyDescent="0.3">
      <c r="F3454"/>
      <c r="G3454"/>
      <c r="H3454"/>
      <c r="I3454"/>
    </row>
    <row r="3455" spans="6:9" x14ac:dyDescent="0.3">
      <c r="F3455"/>
      <c r="G3455"/>
      <c r="H3455"/>
      <c r="I3455"/>
    </row>
    <row r="3456" spans="6:9" x14ac:dyDescent="0.3">
      <c r="F3456"/>
      <c r="G3456"/>
      <c r="H3456"/>
      <c r="I3456"/>
    </row>
    <row r="3457" spans="6:9" x14ac:dyDescent="0.3">
      <c r="F3457"/>
      <c r="G3457"/>
      <c r="H3457"/>
      <c r="I3457"/>
    </row>
    <row r="3458" spans="6:9" x14ac:dyDescent="0.3">
      <c r="F3458"/>
      <c r="G3458"/>
      <c r="H3458"/>
      <c r="I3458"/>
    </row>
    <row r="3459" spans="6:9" x14ac:dyDescent="0.3">
      <c r="F3459"/>
      <c r="G3459"/>
      <c r="H3459"/>
      <c r="I3459"/>
    </row>
    <row r="3460" spans="6:9" x14ac:dyDescent="0.3">
      <c r="F3460"/>
      <c r="G3460"/>
      <c r="H3460"/>
      <c r="I3460"/>
    </row>
    <row r="3461" spans="6:9" x14ac:dyDescent="0.3">
      <c r="F3461"/>
      <c r="G3461"/>
      <c r="H3461"/>
      <c r="I3461"/>
    </row>
    <row r="3462" spans="6:9" x14ac:dyDescent="0.3">
      <c r="F3462"/>
      <c r="G3462"/>
      <c r="H3462"/>
      <c r="I3462"/>
    </row>
    <row r="3463" spans="6:9" x14ac:dyDescent="0.3">
      <c r="F3463"/>
      <c r="G3463"/>
      <c r="H3463"/>
      <c r="I3463"/>
    </row>
    <row r="3464" spans="6:9" x14ac:dyDescent="0.3">
      <c r="F3464"/>
      <c r="G3464"/>
      <c r="H3464"/>
      <c r="I3464"/>
    </row>
    <row r="3465" spans="6:9" x14ac:dyDescent="0.3">
      <c r="F3465"/>
      <c r="G3465"/>
      <c r="H3465"/>
      <c r="I3465"/>
    </row>
    <row r="3466" spans="6:9" x14ac:dyDescent="0.3">
      <c r="F3466"/>
      <c r="G3466"/>
      <c r="H3466"/>
      <c r="I3466"/>
    </row>
    <row r="3467" spans="6:9" x14ac:dyDescent="0.3">
      <c r="F3467"/>
      <c r="G3467"/>
      <c r="H3467"/>
      <c r="I3467"/>
    </row>
    <row r="3468" spans="6:9" x14ac:dyDescent="0.3">
      <c r="F3468"/>
      <c r="G3468"/>
      <c r="H3468"/>
      <c r="I3468"/>
    </row>
    <row r="3469" spans="6:9" x14ac:dyDescent="0.3">
      <c r="F3469"/>
      <c r="G3469"/>
      <c r="H3469"/>
      <c r="I3469"/>
    </row>
    <row r="3470" spans="6:9" x14ac:dyDescent="0.3">
      <c r="F3470"/>
      <c r="G3470"/>
      <c r="H3470"/>
      <c r="I3470"/>
    </row>
    <row r="3471" spans="6:9" x14ac:dyDescent="0.3">
      <c r="F3471"/>
      <c r="G3471"/>
      <c r="H3471"/>
      <c r="I3471"/>
    </row>
    <row r="3472" spans="6:9" x14ac:dyDescent="0.3">
      <c r="F3472"/>
      <c r="G3472"/>
      <c r="H3472"/>
      <c r="I3472"/>
    </row>
    <row r="3473" spans="6:9" x14ac:dyDescent="0.3">
      <c r="F3473"/>
      <c r="G3473"/>
      <c r="H3473"/>
      <c r="I3473"/>
    </row>
    <row r="3474" spans="6:9" x14ac:dyDescent="0.3">
      <c r="F3474"/>
      <c r="G3474"/>
      <c r="H3474"/>
      <c r="I3474"/>
    </row>
    <row r="3475" spans="6:9" x14ac:dyDescent="0.3">
      <c r="F3475"/>
      <c r="G3475"/>
      <c r="H3475"/>
      <c r="I3475"/>
    </row>
    <row r="3476" spans="6:9" x14ac:dyDescent="0.3">
      <c r="F3476"/>
      <c r="G3476"/>
      <c r="H3476"/>
      <c r="I3476"/>
    </row>
    <row r="3477" spans="6:9" x14ac:dyDescent="0.3">
      <c r="F3477"/>
      <c r="G3477"/>
      <c r="H3477"/>
      <c r="I3477"/>
    </row>
    <row r="3478" spans="6:9" x14ac:dyDescent="0.3">
      <c r="F3478"/>
      <c r="G3478"/>
      <c r="H3478"/>
      <c r="I3478"/>
    </row>
    <row r="3479" spans="6:9" x14ac:dyDescent="0.3">
      <c r="F3479"/>
      <c r="G3479"/>
      <c r="H3479"/>
      <c r="I3479"/>
    </row>
    <row r="3480" spans="6:9" x14ac:dyDescent="0.3">
      <c r="F3480"/>
      <c r="G3480"/>
      <c r="H3480"/>
      <c r="I3480"/>
    </row>
    <row r="3481" spans="6:9" x14ac:dyDescent="0.3">
      <c r="F3481"/>
      <c r="G3481"/>
      <c r="H3481"/>
      <c r="I3481"/>
    </row>
    <row r="3482" spans="6:9" x14ac:dyDescent="0.3">
      <c r="F3482"/>
      <c r="G3482"/>
      <c r="H3482"/>
      <c r="I3482"/>
    </row>
    <row r="3483" spans="6:9" x14ac:dyDescent="0.3">
      <c r="F3483"/>
      <c r="G3483"/>
      <c r="H3483"/>
      <c r="I3483"/>
    </row>
    <row r="3484" spans="6:9" x14ac:dyDescent="0.3">
      <c r="F3484"/>
      <c r="G3484"/>
      <c r="H3484"/>
      <c r="I3484"/>
    </row>
    <row r="3485" spans="6:9" x14ac:dyDescent="0.3">
      <c r="F3485"/>
      <c r="G3485"/>
      <c r="H3485"/>
      <c r="I3485"/>
    </row>
    <row r="3486" spans="6:9" x14ac:dyDescent="0.3">
      <c r="F3486"/>
      <c r="G3486"/>
      <c r="H3486"/>
      <c r="I3486"/>
    </row>
    <row r="3487" spans="6:9" x14ac:dyDescent="0.3">
      <c r="F3487"/>
      <c r="G3487"/>
      <c r="H3487"/>
      <c r="I3487"/>
    </row>
    <row r="3488" spans="6:9" x14ac:dyDescent="0.3">
      <c r="F3488"/>
      <c r="G3488"/>
      <c r="H3488"/>
      <c r="I3488"/>
    </row>
    <row r="3489" spans="6:9" x14ac:dyDescent="0.3">
      <c r="F3489"/>
      <c r="G3489"/>
      <c r="H3489"/>
      <c r="I3489"/>
    </row>
    <row r="3490" spans="6:9" x14ac:dyDescent="0.3">
      <c r="F3490"/>
      <c r="G3490"/>
      <c r="H3490"/>
      <c r="I3490"/>
    </row>
    <row r="3491" spans="6:9" x14ac:dyDescent="0.3">
      <c r="F3491"/>
      <c r="G3491"/>
      <c r="H3491"/>
      <c r="I3491"/>
    </row>
    <row r="3492" spans="6:9" x14ac:dyDescent="0.3">
      <c r="F3492"/>
      <c r="G3492"/>
      <c r="H3492"/>
      <c r="I3492"/>
    </row>
    <row r="3493" spans="6:9" x14ac:dyDescent="0.3">
      <c r="F3493"/>
      <c r="G3493"/>
      <c r="H3493"/>
      <c r="I3493"/>
    </row>
    <row r="3494" spans="6:9" x14ac:dyDescent="0.3">
      <c r="F3494"/>
      <c r="G3494"/>
      <c r="H3494"/>
      <c r="I3494"/>
    </row>
    <row r="3495" spans="6:9" x14ac:dyDescent="0.3">
      <c r="F3495"/>
      <c r="G3495"/>
      <c r="H3495"/>
      <c r="I3495"/>
    </row>
    <row r="3496" spans="6:9" x14ac:dyDescent="0.3">
      <c r="F3496"/>
      <c r="G3496"/>
      <c r="H3496"/>
      <c r="I3496"/>
    </row>
    <row r="3497" spans="6:9" x14ac:dyDescent="0.3">
      <c r="F3497"/>
      <c r="G3497"/>
      <c r="H3497"/>
      <c r="I3497"/>
    </row>
    <row r="3498" spans="6:9" x14ac:dyDescent="0.3">
      <c r="F3498"/>
      <c r="G3498"/>
      <c r="H3498"/>
      <c r="I3498"/>
    </row>
    <row r="3499" spans="6:9" x14ac:dyDescent="0.3">
      <c r="F3499"/>
      <c r="G3499"/>
      <c r="H3499"/>
      <c r="I3499"/>
    </row>
    <row r="3500" spans="6:9" x14ac:dyDescent="0.3">
      <c r="F3500"/>
      <c r="G3500"/>
      <c r="H3500"/>
      <c r="I3500"/>
    </row>
    <row r="3501" spans="6:9" x14ac:dyDescent="0.3">
      <c r="F3501"/>
      <c r="G3501"/>
      <c r="H3501"/>
      <c r="I3501"/>
    </row>
    <row r="3502" spans="6:9" x14ac:dyDescent="0.3">
      <c r="F3502"/>
      <c r="G3502"/>
      <c r="H3502"/>
      <c r="I3502"/>
    </row>
    <row r="3503" spans="6:9" x14ac:dyDescent="0.3">
      <c r="F3503"/>
      <c r="G3503"/>
      <c r="H3503"/>
      <c r="I3503"/>
    </row>
    <row r="3504" spans="6:9" x14ac:dyDescent="0.3">
      <c r="F3504"/>
      <c r="G3504"/>
      <c r="H3504"/>
      <c r="I3504"/>
    </row>
    <row r="3505" spans="6:9" x14ac:dyDescent="0.3">
      <c r="F3505"/>
      <c r="G3505"/>
      <c r="H3505"/>
      <c r="I3505"/>
    </row>
    <row r="3506" spans="6:9" x14ac:dyDescent="0.3">
      <c r="F3506"/>
      <c r="G3506"/>
      <c r="H3506"/>
      <c r="I3506"/>
    </row>
    <row r="3507" spans="6:9" x14ac:dyDescent="0.3">
      <c r="F3507"/>
      <c r="G3507"/>
      <c r="H3507"/>
      <c r="I3507"/>
    </row>
    <row r="3508" spans="6:9" x14ac:dyDescent="0.3">
      <c r="F3508"/>
      <c r="G3508"/>
      <c r="H3508"/>
      <c r="I3508"/>
    </row>
    <row r="3509" spans="6:9" x14ac:dyDescent="0.3">
      <c r="F3509"/>
      <c r="G3509"/>
      <c r="H3509"/>
      <c r="I3509"/>
    </row>
    <row r="3510" spans="6:9" x14ac:dyDescent="0.3">
      <c r="F3510"/>
      <c r="G3510"/>
      <c r="H3510"/>
      <c r="I3510"/>
    </row>
    <row r="3511" spans="6:9" x14ac:dyDescent="0.3">
      <c r="F3511"/>
      <c r="G3511"/>
      <c r="H3511"/>
      <c r="I3511"/>
    </row>
    <row r="3512" spans="6:9" x14ac:dyDescent="0.3">
      <c r="F3512"/>
      <c r="G3512"/>
      <c r="H3512"/>
      <c r="I3512"/>
    </row>
    <row r="3513" spans="6:9" x14ac:dyDescent="0.3">
      <c r="F3513"/>
      <c r="G3513"/>
      <c r="H3513"/>
      <c r="I3513"/>
    </row>
    <row r="3514" spans="6:9" x14ac:dyDescent="0.3">
      <c r="F3514"/>
      <c r="G3514"/>
      <c r="H3514"/>
      <c r="I3514"/>
    </row>
    <row r="3515" spans="6:9" x14ac:dyDescent="0.3">
      <c r="F3515"/>
      <c r="G3515"/>
      <c r="H3515"/>
      <c r="I3515"/>
    </row>
    <row r="3516" spans="6:9" x14ac:dyDescent="0.3">
      <c r="F3516"/>
      <c r="G3516"/>
      <c r="H3516"/>
      <c r="I3516"/>
    </row>
    <row r="3517" spans="6:9" x14ac:dyDescent="0.3">
      <c r="F3517"/>
      <c r="G3517"/>
      <c r="H3517"/>
      <c r="I3517"/>
    </row>
    <row r="3518" spans="6:9" x14ac:dyDescent="0.3">
      <c r="F3518"/>
      <c r="G3518"/>
      <c r="H3518"/>
      <c r="I3518"/>
    </row>
    <row r="3519" spans="6:9" x14ac:dyDescent="0.3">
      <c r="F3519"/>
      <c r="G3519"/>
      <c r="H3519"/>
      <c r="I3519"/>
    </row>
    <row r="3520" spans="6:9" x14ac:dyDescent="0.3">
      <c r="F3520"/>
      <c r="G3520"/>
      <c r="H3520"/>
      <c r="I3520"/>
    </row>
    <row r="3521" spans="6:9" x14ac:dyDescent="0.3">
      <c r="F3521"/>
      <c r="G3521"/>
      <c r="H3521"/>
      <c r="I3521"/>
    </row>
    <row r="3522" spans="6:9" x14ac:dyDescent="0.3">
      <c r="F3522"/>
      <c r="G3522"/>
      <c r="H3522"/>
      <c r="I3522"/>
    </row>
    <row r="3523" spans="6:9" x14ac:dyDescent="0.3">
      <c r="F3523"/>
      <c r="G3523"/>
      <c r="H3523"/>
      <c r="I3523"/>
    </row>
    <row r="3524" spans="6:9" x14ac:dyDescent="0.3">
      <c r="F3524"/>
      <c r="G3524"/>
      <c r="H3524"/>
      <c r="I3524"/>
    </row>
    <row r="3525" spans="6:9" x14ac:dyDescent="0.3">
      <c r="F3525"/>
      <c r="G3525"/>
      <c r="H3525"/>
      <c r="I3525"/>
    </row>
    <row r="3526" spans="6:9" x14ac:dyDescent="0.3">
      <c r="F3526"/>
      <c r="G3526"/>
      <c r="H3526"/>
      <c r="I3526"/>
    </row>
    <row r="3527" spans="6:9" x14ac:dyDescent="0.3">
      <c r="F3527"/>
      <c r="G3527"/>
      <c r="H3527"/>
      <c r="I3527"/>
    </row>
    <row r="3528" spans="6:9" x14ac:dyDescent="0.3">
      <c r="F3528"/>
      <c r="G3528"/>
      <c r="H3528"/>
      <c r="I3528"/>
    </row>
    <row r="3529" spans="6:9" x14ac:dyDescent="0.3">
      <c r="F3529"/>
      <c r="G3529"/>
      <c r="H3529"/>
      <c r="I3529"/>
    </row>
    <row r="3530" spans="6:9" x14ac:dyDescent="0.3">
      <c r="F3530"/>
      <c r="G3530"/>
      <c r="H3530"/>
      <c r="I3530"/>
    </row>
    <row r="3531" spans="6:9" x14ac:dyDescent="0.3">
      <c r="F3531"/>
      <c r="G3531"/>
      <c r="H3531"/>
      <c r="I3531"/>
    </row>
    <row r="3532" spans="6:9" x14ac:dyDescent="0.3">
      <c r="F3532"/>
      <c r="G3532"/>
      <c r="H3532"/>
      <c r="I3532"/>
    </row>
    <row r="3533" spans="6:9" x14ac:dyDescent="0.3">
      <c r="F3533"/>
      <c r="G3533"/>
      <c r="H3533"/>
      <c r="I3533"/>
    </row>
    <row r="3534" spans="6:9" x14ac:dyDescent="0.3">
      <c r="F3534"/>
      <c r="G3534"/>
      <c r="H3534"/>
      <c r="I3534"/>
    </row>
    <row r="3535" spans="6:9" x14ac:dyDescent="0.3">
      <c r="F3535"/>
      <c r="G3535"/>
      <c r="H3535"/>
      <c r="I3535"/>
    </row>
    <row r="3536" spans="6:9" x14ac:dyDescent="0.3">
      <c r="F3536"/>
      <c r="G3536"/>
      <c r="H3536"/>
      <c r="I3536"/>
    </row>
    <row r="3537" spans="6:9" x14ac:dyDescent="0.3">
      <c r="F3537"/>
      <c r="G3537"/>
      <c r="H3537"/>
      <c r="I3537"/>
    </row>
    <row r="3538" spans="6:9" x14ac:dyDescent="0.3">
      <c r="F3538"/>
      <c r="G3538"/>
      <c r="H3538"/>
      <c r="I3538"/>
    </row>
    <row r="3539" spans="6:9" x14ac:dyDescent="0.3">
      <c r="F3539"/>
      <c r="G3539"/>
      <c r="H3539"/>
      <c r="I3539"/>
    </row>
    <row r="3540" spans="6:9" x14ac:dyDescent="0.3">
      <c r="F3540"/>
      <c r="G3540"/>
      <c r="H3540"/>
      <c r="I3540"/>
    </row>
    <row r="3541" spans="6:9" x14ac:dyDescent="0.3">
      <c r="F3541"/>
      <c r="G3541"/>
      <c r="H3541"/>
      <c r="I3541"/>
    </row>
    <row r="3542" spans="6:9" x14ac:dyDescent="0.3">
      <c r="F3542"/>
      <c r="G3542"/>
      <c r="H3542"/>
      <c r="I3542"/>
    </row>
    <row r="3543" spans="6:9" x14ac:dyDescent="0.3">
      <c r="F3543"/>
      <c r="G3543"/>
      <c r="H3543"/>
      <c r="I3543"/>
    </row>
    <row r="3544" spans="6:9" x14ac:dyDescent="0.3">
      <c r="F3544"/>
      <c r="G3544"/>
      <c r="H3544"/>
      <c r="I3544"/>
    </row>
    <row r="3545" spans="6:9" x14ac:dyDescent="0.3">
      <c r="F3545"/>
      <c r="G3545"/>
      <c r="H3545"/>
      <c r="I3545"/>
    </row>
    <row r="3546" spans="6:9" x14ac:dyDescent="0.3">
      <c r="F3546"/>
      <c r="G3546"/>
      <c r="H3546"/>
      <c r="I3546"/>
    </row>
    <row r="3547" spans="6:9" x14ac:dyDescent="0.3">
      <c r="F3547"/>
      <c r="G3547"/>
      <c r="H3547"/>
      <c r="I3547"/>
    </row>
    <row r="3548" spans="6:9" x14ac:dyDescent="0.3">
      <c r="F3548"/>
      <c r="G3548"/>
      <c r="H3548"/>
      <c r="I3548"/>
    </row>
    <row r="3549" spans="6:9" x14ac:dyDescent="0.3">
      <c r="F3549"/>
      <c r="G3549"/>
      <c r="H3549"/>
      <c r="I3549"/>
    </row>
    <row r="3550" spans="6:9" x14ac:dyDescent="0.3">
      <c r="F3550"/>
      <c r="G3550"/>
      <c r="H3550"/>
      <c r="I3550"/>
    </row>
    <row r="3551" spans="6:9" x14ac:dyDescent="0.3">
      <c r="F3551"/>
      <c r="G3551"/>
      <c r="H3551"/>
      <c r="I3551"/>
    </row>
    <row r="3552" spans="6:9" x14ac:dyDescent="0.3">
      <c r="F3552"/>
      <c r="G3552"/>
      <c r="H3552"/>
      <c r="I3552"/>
    </row>
    <row r="3553" spans="6:9" x14ac:dyDescent="0.3">
      <c r="F3553"/>
      <c r="G3553"/>
      <c r="H3553"/>
      <c r="I3553"/>
    </row>
    <row r="3554" spans="6:9" x14ac:dyDescent="0.3">
      <c r="F3554"/>
      <c r="G3554"/>
      <c r="H3554"/>
      <c r="I3554"/>
    </row>
    <row r="3555" spans="6:9" x14ac:dyDescent="0.3">
      <c r="F3555"/>
      <c r="G3555"/>
      <c r="H3555"/>
      <c r="I3555"/>
    </row>
    <row r="3556" spans="6:9" x14ac:dyDescent="0.3">
      <c r="F3556"/>
      <c r="G3556"/>
      <c r="H3556"/>
      <c r="I3556"/>
    </row>
    <row r="3557" spans="6:9" x14ac:dyDescent="0.3">
      <c r="F3557"/>
      <c r="G3557"/>
      <c r="H3557"/>
      <c r="I3557"/>
    </row>
    <row r="3558" spans="6:9" x14ac:dyDescent="0.3">
      <c r="F3558"/>
      <c r="G3558"/>
      <c r="H3558"/>
      <c r="I3558"/>
    </row>
    <row r="3559" spans="6:9" x14ac:dyDescent="0.3">
      <c r="F3559"/>
      <c r="G3559"/>
      <c r="H3559"/>
      <c r="I3559"/>
    </row>
    <row r="3560" spans="6:9" x14ac:dyDescent="0.3">
      <c r="F3560"/>
      <c r="G3560"/>
      <c r="H3560"/>
      <c r="I3560"/>
    </row>
    <row r="3561" spans="6:9" x14ac:dyDescent="0.3">
      <c r="F3561"/>
      <c r="G3561"/>
      <c r="H3561"/>
      <c r="I3561"/>
    </row>
    <row r="3562" spans="6:9" x14ac:dyDescent="0.3">
      <c r="F3562"/>
      <c r="G3562"/>
      <c r="H3562"/>
      <c r="I3562"/>
    </row>
    <row r="3563" spans="6:9" x14ac:dyDescent="0.3">
      <c r="F3563"/>
      <c r="G3563"/>
      <c r="H3563"/>
      <c r="I3563"/>
    </row>
    <row r="3564" spans="6:9" x14ac:dyDescent="0.3">
      <c r="F3564"/>
      <c r="G3564"/>
      <c r="H3564"/>
      <c r="I3564"/>
    </row>
    <row r="3565" spans="6:9" x14ac:dyDescent="0.3">
      <c r="F3565"/>
      <c r="G3565"/>
      <c r="H3565"/>
      <c r="I3565"/>
    </row>
    <row r="3566" spans="6:9" x14ac:dyDescent="0.3">
      <c r="F3566"/>
      <c r="G3566"/>
      <c r="H3566"/>
      <c r="I3566"/>
    </row>
    <row r="3567" spans="6:9" x14ac:dyDescent="0.3">
      <c r="F3567"/>
      <c r="G3567"/>
      <c r="H3567"/>
      <c r="I3567"/>
    </row>
    <row r="3568" spans="6:9" x14ac:dyDescent="0.3">
      <c r="F3568"/>
      <c r="G3568"/>
      <c r="H3568"/>
      <c r="I3568"/>
    </row>
    <row r="3569" spans="6:9" x14ac:dyDescent="0.3">
      <c r="F3569"/>
      <c r="G3569"/>
      <c r="H3569"/>
      <c r="I3569"/>
    </row>
    <row r="3570" spans="6:9" x14ac:dyDescent="0.3">
      <c r="F3570"/>
      <c r="G3570"/>
      <c r="H3570"/>
      <c r="I3570"/>
    </row>
    <row r="3571" spans="6:9" x14ac:dyDescent="0.3">
      <c r="F3571"/>
      <c r="G3571"/>
      <c r="H3571"/>
      <c r="I3571"/>
    </row>
    <row r="3572" spans="6:9" x14ac:dyDescent="0.3">
      <c r="F3572"/>
      <c r="G3572"/>
      <c r="H3572"/>
      <c r="I3572"/>
    </row>
    <row r="3573" spans="6:9" x14ac:dyDescent="0.3">
      <c r="F3573"/>
      <c r="G3573"/>
      <c r="H3573"/>
      <c r="I3573"/>
    </row>
    <row r="3574" spans="6:9" x14ac:dyDescent="0.3">
      <c r="F3574"/>
      <c r="G3574"/>
      <c r="H3574"/>
      <c r="I3574"/>
    </row>
    <row r="3575" spans="6:9" x14ac:dyDescent="0.3">
      <c r="F3575"/>
      <c r="G3575"/>
      <c r="H3575"/>
      <c r="I3575"/>
    </row>
    <row r="3576" spans="6:9" x14ac:dyDescent="0.3">
      <c r="F3576"/>
      <c r="G3576"/>
      <c r="H3576"/>
      <c r="I3576"/>
    </row>
    <row r="3577" spans="6:9" x14ac:dyDescent="0.3">
      <c r="F3577"/>
      <c r="G3577"/>
      <c r="H3577"/>
      <c r="I3577"/>
    </row>
    <row r="3578" spans="6:9" x14ac:dyDescent="0.3">
      <c r="F3578"/>
      <c r="G3578"/>
      <c r="H3578"/>
      <c r="I3578"/>
    </row>
    <row r="3579" spans="6:9" x14ac:dyDescent="0.3">
      <c r="F3579"/>
      <c r="G3579"/>
      <c r="H3579"/>
      <c r="I3579"/>
    </row>
    <row r="3580" spans="6:9" x14ac:dyDescent="0.3">
      <c r="F3580"/>
      <c r="G3580"/>
      <c r="H3580"/>
      <c r="I3580"/>
    </row>
    <row r="3581" spans="6:9" x14ac:dyDescent="0.3">
      <c r="F3581"/>
      <c r="G3581"/>
      <c r="H3581"/>
      <c r="I3581"/>
    </row>
    <row r="3582" spans="6:9" x14ac:dyDescent="0.3">
      <c r="F3582"/>
      <c r="G3582"/>
      <c r="H3582"/>
      <c r="I3582"/>
    </row>
    <row r="3583" spans="6:9" x14ac:dyDescent="0.3">
      <c r="F3583"/>
      <c r="G3583"/>
      <c r="H3583"/>
      <c r="I3583"/>
    </row>
    <row r="3584" spans="6:9" x14ac:dyDescent="0.3">
      <c r="F3584"/>
      <c r="G3584"/>
      <c r="H3584"/>
      <c r="I3584"/>
    </row>
    <row r="3585" spans="6:9" x14ac:dyDescent="0.3">
      <c r="F3585"/>
      <c r="G3585"/>
      <c r="H3585"/>
      <c r="I3585"/>
    </row>
    <row r="3586" spans="6:9" x14ac:dyDescent="0.3">
      <c r="F3586"/>
      <c r="G3586"/>
      <c r="H3586"/>
      <c r="I3586"/>
    </row>
    <row r="3587" spans="6:9" x14ac:dyDescent="0.3">
      <c r="F3587"/>
      <c r="G3587"/>
      <c r="H3587"/>
      <c r="I3587"/>
    </row>
    <row r="3588" spans="6:9" x14ac:dyDescent="0.3">
      <c r="F3588"/>
      <c r="G3588"/>
      <c r="H3588"/>
      <c r="I3588"/>
    </row>
    <row r="3589" spans="6:9" x14ac:dyDescent="0.3">
      <c r="F3589"/>
      <c r="G3589"/>
      <c r="H3589"/>
      <c r="I3589"/>
    </row>
    <row r="3590" spans="6:9" x14ac:dyDescent="0.3">
      <c r="F3590"/>
      <c r="G3590"/>
      <c r="H3590"/>
      <c r="I3590"/>
    </row>
    <row r="3591" spans="6:9" x14ac:dyDescent="0.3">
      <c r="F3591"/>
      <c r="G3591"/>
      <c r="H3591"/>
      <c r="I3591"/>
    </row>
    <row r="3592" spans="6:9" x14ac:dyDescent="0.3">
      <c r="F3592"/>
      <c r="G3592"/>
      <c r="H3592"/>
      <c r="I3592"/>
    </row>
    <row r="3593" spans="6:9" x14ac:dyDescent="0.3">
      <c r="F3593"/>
      <c r="G3593"/>
      <c r="H3593"/>
      <c r="I3593"/>
    </row>
    <row r="3594" spans="6:9" x14ac:dyDescent="0.3">
      <c r="F3594"/>
      <c r="G3594"/>
      <c r="H3594"/>
      <c r="I3594"/>
    </row>
    <row r="3595" spans="6:9" x14ac:dyDescent="0.3">
      <c r="F3595"/>
      <c r="G3595"/>
      <c r="H3595"/>
      <c r="I3595"/>
    </row>
    <row r="3596" spans="6:9" x14ac:dyDescent="0.3">
      <c r="F3596"/>
      <c r="G3596"/>
      <c r="H3596"/>
      <c r="I3596"/>
    </row>
    <row r="3597" spans="6:9" x14ac:dyDescent="0.3">
      <c r="F3597"/>
      <c r="G3597"/>
      <c r="H3597"/>
      <c r="I3597"/>
    </row>
    <row r="3598" spans="6:9" x14ac:dyDescent="0.3">
      <c r="F3598"/>
      <c r="G3598"/>
      <c r="H3598"/>
      <c r="I3598"/>
    </row>
    <row r="3599" spans="6:9" x14ac:dyDescent="0.3">
      <c r="F3599"/>
      <c r="G3599"/>
      <c r="H3599"/>
      <c r="I3599"/>
    </row>
    <row r="3600" spans="6:9" x14ac:dyDescent="0.3">
      <c r="F3600"/>
      <c r="G3600"/>
      <c r="H3600"/>
      <c r="I3600"/>
    </row>
    <row r="3601" spans="6:9" x14ac:dyDescent="0.3">
      <c r="F3601"/>
      <c r="G3601"/>
      <c r="H3601"/>
      <c r="I3601"/>
    </row>
    <row r="3602" spans="6:9" x14ac:dyDescent="0.3">
      <c r="F3602"/>
      <c r="G3602"/>
      <c r="H3602"/>
      <c r="I3602"/>
    </row>
    <row r="3603" spans="6:9" x14ac:dyDescent="0.3">
      <c r="F3603"/>
      <c r="G3603"/>
      <c r="H3603"/>
      <c r="I3603"/>
    </row>
    <row r="3604" spans="6:9" x14ac:dyDescent="0.3">
      <c r="F3604"/>
      <c r="G3604"/>
      <c r="H3604"/>
      <c r="I3604"/>
    </row>
    <row r="3605" spans="6:9" x14ac:dyDescent="0.3">
      <c r="F3605"/>
      <c r="G3605"/>
      <c r="H3605"/>
      <c r="I3605"/>
    </row>
    <row r="3606" spans="6:9" x14ac:dyDescent="0.3">
      <c r="F3606"/>
      <c r="G3606"/>
      <c r="H3606"/>
      <c r="I3606"/>
    </row>
    <row r="3607" spans="6:9" x14ac:dyDescent="0.3">
      <c r="F3607"/>
      <c r="G3607"/>
      <c r="H3607"/>
      <c r="I3607"/>
    </row>
    <row r="3608" spans="6:9" x14ac:dyDescent="0.3">
      <c r="F3608"/>
      <c r="G3608"/>
      <c r="H3608"/>
      <c r="I3608"/>
    </row>
    <row r="3609" spans="6:9" x14ac:dyDescent="0.3">
      <c r="F3609"/>
      <c r="G3609"/>
      <c r="H3609"/>
      <c r="I3609"/>
    </row>
    <row r="3610" spans="6:9" x14ac:dyDescent="0.3">
      <c r="F3610"/>
      <c r="G3610"/>
      <c r="H3610"/>
      <c r="I3610"/>
    </row>
    <row r="3611" spans="6:9" x14ac:dyDescent="0.3">
      <c r="F3611"/>
      <c r="G3611"/>
      <c r="H3611"/>
      <c r="I3611"/>
    </row>
    <row r="3612" spans="6:9" x14ac:dyDescent="0.3">
      <c r="F3612"/>
      <c r="G3612"/>
      <c r="H3612"/>
      <c r="I3612"/>
    </row>
    <row r="3613" spans="6:9" x14ac:dyDescent="0.3">
      <c r="F3613"/>
      <c r="G3613"/>
      <c r="H3613"/>
      <c r="I3613"/>
    </row>
    <row r="3614" spans="6:9" x14ac:dyDescent="0.3">
      <c r="F3614"/>
      <c r="G3614"/>
      <c r="H3614"/>
      <c r="I3614"/>
    </row>
    <row r="3615" spans="6:9" x14ac:dyDescent="0.3">
      <c r="F3615"/>
      <c r="G3615"/>
      <c r="H3615"/>
      <c r="I3615"/>
    </row>
    <row r="3616" spans="6:9" x14ac:dyDescent="0.3">
      <c r="F3616"/>
      <c r="G3616"/>
      <c r="H3616"/>
      <c r="I3616"/>
    </row>
    <row r="3617" spans="6:9" x14ac:dyDescent="0.3">
      <c r="F3617"/>
      <c r="G3617"/>
      <c r="H3617"/>
      <c r="I3617"/>
    </row>
    <row r="3618" spans="6:9" x14ac:dyDescent="0.3">
      <c r="F3618"/>
      <c r="G3618"/>
      <c r="H3618"/>
      <c r="I3618"/>
    </row>
    <row r="3619" spans="6:9" x14ac:dyDescent="0.3">
      <c r="F3619"/>
      <c r="G3619"/>
      <c r="H3619"/>
      <c r="I3619"/>
    </row>
    <row r="3620" spans="6:9" x14ac:dyDescent="0.3">
      <c r="F3620"/>
      <c r="G3620"/>
      <c r="H3620"/>
      <c r="I3620"/>
    </row>
    <row r="3621" spans="6:9" x14ac:dyDescent="0.3">
      <c r="F3621"/>
      <c r="G3621"/>
      <c r="H3621"/>
      <c r="I3621"/>
    </row>
    <row r="3622" spans="6:9" x14ac:dyDescent="0.3">
      <c r="F3622"/>
      <c r="G3622"/>
      <c r="H3622"/>
      <c r="I3622"/>
    </row>
    <row r="3623" spans="6:9" x14ac:dyDescent="0.3">
      <c r="F3623"/>
      <c r="G3623"/>
      <c r="H3623"/>
      <c r="I3623"/>
    </row>
    <row r="3624" spans="6:9" x14ac:dyDescent="0.3">
      <c r="F3624"/>
      <c r="G3624"/>
      <c r="H3624"/>
      <c r="I3624"/>
    </row>
    <row r="3625" spans="6:9" x14ac:dyDescent="0.3">
      <c r="F3625"/>
      <c r="G3625"/>
      <c r="H3625"/>
      <c r="I3625"/>
    </row>
    <row r="3626" spans="6:9" x14ac:dyDescent="0.3">
      <c r="F3626"/>
      <c r="G3626"/>
      <c r="H3626"/>
      <c r="I3626"/>
    </row>
    <row r="3627" spans="6:9" x14ac:dyDescent="0.3">
      <c r="F3627"/>
      <c r="G3627"/>
      <c r="H3627"/>
      <c r="I3627"/>
    </row>
    <row r="3628" spans="6:9" x14ac:dyDescent="0.3">
      <c r="F3628"/>
      <c r="G3628"/>
      <c r="H3628"/>
      <c r="I3628"/>
    </row>
    <row r="3629" spans="6:9" x14ac:dyDescent="0.3">
      <c r="F3629"/>
      <c r="G3629"/>
      <c r="H3629"/>
      <c r="I3629"/>
    </row>
    <row r="3630" spans="6:9" x14ac:dyDescent="0.3">
      <c r="F3630"/>
      <c r="G3630"/>
      <c r="H3630"/>
      <c r="I3630"/>
    </row>
    <row r="3631" spans="6:9" x14ac:dyDescent="0.3">
      <c r="F3631"/>
      <c r="G3631"/>
      <c r="H3631"/>
      <c r="I3631"/>
    </row>
    <row r="3632" spans="6:9" x14ac:dyDescent="0.3">
      <c r="F3632"/>
      <c r="G3632"/>
      <c r="H3632"/>
      <c r="I3632"/>
    </row>
    <row r="3633" spans="6:9" x14ac:dyDescent="0.3">
      <c r="F3633"/>
      <c r="G3633"/>
      <c r="H3633"/>
      <c r="I3633"/>
    </row>
    <row r="3634" spans="6:9" x14ac:dyDescent="0.3">
      <c r="F3634"/>
      <c r="G3634"/>
      <c r="H3634"/>
      <c r="I3634"/>
    </row>
    <row r="3635" spans="6:9" x14ac:dyDescent="0.3">
      <c r="F3635"/>
      <c r="G3635"/>
      <c r="H3635"/>
      <c r="I3635"/>
    </row>
    <row r="3636" spans="6:9" x14ac:dyDescent="0.3">
      <c r="F3636"/>
      <c r="G3636"/>
      <c r="H3636"/>
      <c r="I3636"/>
    </row>
    <row r="3637" spans="6:9" x14ac:dyDescent="0.3">
      <c r="F3637"/>
      <c r="G3637"/>
      <c r="H3637"/>
      <c r="I3637"/>
    </row>
    <row r="3638" spans="6:9" x14ac:dyDescent="0.3">
      <c r="F3638"/>
      <c r="G3638"/>
      <c r="H3638"/>
      <c r="I3638"/>
    </row>
    <row r="3639" spans="6:9" x14ac:dyDescent="0.3">
      <c r="F3639"/>
      <c r="G3639"/>
      <c r="H3639"/>
      <c r="I3639"/>
    </row>
    <row r="3640" spans="6:9" x14ac:dyDescent="0.3">
      <c r="F3640"/>
      <c r="G3640"/>
      <c r="H3640"/>
      <c r="I3640"/>
    </row>
    <row r="3641" spans="6:9" x14ac:dyDescent="0.3">
      <c r="F3641"/>
      <c r="G3641"/>
      <c r="H3641"/>
      <c r="I3641"/>
    </row>
    <row r="3642" spans="6:9" x14ac:dyDescent="0.3">
      <c r="F3642"/>
      <c r="G3642"/>
      <c r="H3642"/>
      <c r="I3642"/>
    </row>
    <row r="3643" spans="6:9" x14ac:dyDescent="0.3">
      <c r="F3643"/>
      <c r="G3643"/>
      <c r="H3643"/>
      <c r="I3643"/>
    </row>
    <row r="3644" spans="6:9" x14ac:dyDescent="0.3">
      <c r="F3644"/>
      <c r="G3644"/>
      <c r="H3644"/>
      <c r="I3644"/>
    </row>
    <row r="3645" spans="6:9" x14ac:dyDescent="0.3">
      <c r="F3645"/>
      <c r="G3645"/>
      <c r="H3645"/>
      <c r="I3645"/>
    </row>
    <row r="3646" spans="6:9" x14ac:dyDescent="0.3">
      <c r="F3646"/>
      <c r="G3646"/>
      <c r="H3646"/>
      <c r="I3646"/>
    </row>
    <row r="3647" spans="6:9" x14ac:dyDescent="0.3">
      <c r="F3647"/>
      <c r="G3647"/>
      <c r="H3647"/>
      <c r="I3647"/>
    </row>
    <row r="3648" spans="6:9" x14ac:dyDescent="0.3">
      <c r="F3648"/>
      <c r="G3648"/>
      <c r="H3648"/>
      <c r="I3648"/>
    </row>
    <row r="3649" spans="6:9" x14ac:dyDescent="0.3">
      <c r="F3649"/>
      <c r="G3649"/>
      <c r="H3649"/>
      <c r="I3649"/>
    </row>
    <row r="3650" spans="6:9" x14ac:dyDescent="0.3">
      <c r="F3650"/>
      <c r="G3650"/>
      <c r="H3650"/>
      <c r="I3650"/>
    </row>
    <row r="3651" spans="6:9" x14ac:dyDescent="0.3">
      <c r="F3651"/>
      <c r="G3651"/>
      <c r="H3651"/>
      <c r="I3651"/>
    </row>
    <row r="3652" spans="6:9" x14ac:dyDescent="0.3">
      <c r="F3652"/>
      <c r="G3652"/>
      <c r="H3652"/>
      <c r="I3652"/>
    </row>
    <row r="3653" spans="6:9" x14ac:dyDescent="0.3">
      <c r="F3653"/>
      <c r="G3653"/>
      <c r="H3653"/>
      <c r="I3653"/>
    </row>
    <row r="3654" spans="6:9" x14ac:dyDescent="0.3">
      <c r="F3654"/>
      <c r="G3654"/>
      <c r="H3654"/>
      <c r="I3654"/>
    </row>
    <row r="3655" spans="6:9" x14ac:dyDescent="0.3">
      <c r="F3655"/>
      <c r="G3655"/>
      <c r="H3655"/>
      <c r="I3655"/>
    </row>
    <row r="3656" spans="6:9" x14ac:dyDescent="0.3">
      <c r="F3656"/>
      <c r="G3656"/>
      <c r="H3656"/>
      <c r="I3656"/>
    </row>
    <row r="3657" spans="6:9" x14ac:dyDescent="0.3">
      <c r="F3657"/>
      <c r="G3657"/>
      <c r="H3657"/>
      <c r="I3657"/>
    </row>
    <row r="3658" spans="6:9" x14ac:dyDescent="0.3">
      <c r="F3658"/>
      <c r="G3658"/>
      <c r="H3658"/>
      <c r="I3658"/>
    </row>
    <row r="3659" spans="6:9" x14ac:dyDescent="0.3">
      <c r="F3659"/>
      <c r="G3659"/>
      <c r="H3659"/>
      <c r="I3659"/>
    </row>
    <row r="3660" spans="6:9" x14ac:dyDescent="0.3">
      <c r="F3660"/>
      <c r="G3660"/>
      <c r="H3660"/>
      <c r="I3660"/>
    </row>
    <row r="3661" spans="6:9" x14ac:dyDescent="0.3">
      <c r="F3661"/>
      <c r="G3661"/>
      <c r="H3661"/>
      <c r="I3661"/>
    </row>
    <row r="3662" spans="6:9" x14ac:dyDescent="0.3">
      <c r="F3662"/>
      <c r="G3662"/>
      <c r="H3662"/>
      <c r="I3662"/>
    </row>
    <row r="3663" spans="6:9" x14ac:dyDescent="0.3">
      <c r="F3663"/>
      <c r="G3663"/>
      <c r="H3663"/>
      <c r="I3663"/>
    </row>
    <row r="3664" spans="6:9" x14ac:dyDescent="0.3">
      <c r="F3664"/>
      <c r="G3664"/>
      <c r="H3664"/>
      <c r="I3664"/>
    </row>
    <row r="3665" spans="6:9" x14ac:dyDescent="0.3">
      <c r="F3665"/>
      <c r="G3665"/>
      <c r="H3665"/>
      <c r="I3665"/>
    </row>
    <row r="3666" spans="6:9" x14ac:dyDescent="0.3">
      <c r="F3666"/>
      <c r="G3666"/>
      <c r="H3666"/>
      <c r="I3666"/>
    </row>
    <row r="3667" spans="6:9" x14ac:dyDescent="0.3">
      <c r="F3667"/>
      <c r="G3667"/>
      <c r="H3667"/>
      <c r="I3667"/>
    </row>
    <row r="3668" spans="6:9" x14ac:dyDescent="0.3">
      <c r="F3668"/>
      <c r="G3668"/>
      <c r="H3668"/>
      <c r="I3668"/>
    </row>
    <row r="3669" spans="6:9" x14ac:dyDescent="0.3">
      <c r="F3669"/>
      <c r="G3669"/>
      <c r="H3669"/>
      <c r="I3669"/>
    </row>
    <row r="3670" spans="6:9" x14ac:dyDescent="0.3">
      <c r="F3670"/>
      <c r="G3670"/>
      <c r="H3670"/>
      <c r="I3670"/>
    </row>
    <row r="3671" spans="6:9" x14ac:dyDescent="0.3">
      <c r="F3671"/>
      <c r="G3671"/>
      <c r="H3671"/>
      <c r="I3671"/>
    </row>
    <row r="3672" spans="6:9" x14ac:dyDescent="0.3">
      <c r="F3672"/>
      <c r="G3672"/>
      <c r="H3672"/>
      <c r="I3672"/>
    </row>
    <row r="3673" spans="6:9" x14ac:dyDescent="0.3">
      <c r="F3673"/>
      <c r="G3673"/>
      <c r="H3673"/>
      <c r="I3673"/>
    </row>
    <row r="3674" spans="6:9" x14ac:dyDescent="0.3">
      <c r="F3674"/>
      <c r="G3674"/>
      <c r="H3674"/>
      <c r="I3674"/>
    </row>
    <row r="3675" spans="6:9" x14ac:dyDescent="0.3">
      <c r="F3675"/>
      <c r="G3675"/>
      <c r="H3675"/>
      <c r="I3675"/>
    </row>
    <row r="3676" spans="6:9" x14ac:dyDescent="0.3">
      <c r="F3676"/>
      <c r="G3676"/>
      <c r="H3676"/>
      <c r="I3676"/>
    </row>
    <row r="3677" spans="6:9" x14ac:dyDescent="0.3">
      <c r="F3677"/>
      <c r="G3677"/>
      <c r="H3677"/>
      <c r="I3677"/>
    </row>
    <row r="3678" spans="6:9" x14ac:dyDescent="0.3">
      <c r="F3678"/>
      <c r="G3678"/>
      <c r="H3678"/>
      <c r="I3678"/>
    </row>
    <row r="3679" spans="6:9" x14ac:dyDescent="0.3">
      <c r="F3679"/>
      <c r="G3679"/>
      <c r="H3679"/>
      <c r="I3679"/>
    </row>
    <row r="3680" spans="6:9" x14ac:dyDescent="0.3">
      <c r="F3680"/>
      <c r="G3680"/>
      <c r="H3680"/>
      <c r="I3680"/>
    </row>
    <row r="3681" spans="6:9" x14ac:dyDescent="0.3">
      <c r="F3681"/>
      <c r="G3681"/>
      <c r="H3681"/>
      <c r="I3681"/>
    </row>
    <row r="3682" spans="6:9" x14ac:dyDescent="0.3">
      <c r="F3682"/>
      <c r="G3682"/>
      <c r="H3682"/>
      <c r="I3682"/>
    </row>
    <row r="3683" spans="6:9" x14ac:dyDescent="0.3">
      <c r="F3683"/>
      <c r="G3683"/>
      <c r="H3683"/>
      <c r="I3683"/>
    </row>
    <row r="3684" spans="6:9" x14ac:dyDescent="0.3">
      <c r="F3684"/>
      <c r="G3684"/>
      <c r="H3684"/>
      <c r="I3684"/>
    </row>
    <row r="3685" spans="6:9" x14ac:dyDescent="0.3">
      <c r="F3685"/>
      <c r="G3685"/>
      <c r="H3685"/>
      <c r="I3685"/>
    </row>
    <row r="3686" spans="6:9" x14ac:dyDescent="0.3">
      <c r="F3686"/>
      <c r="G3686"/>
      <c r="H3686"/>
      <c r="I3686"/>
    </row>
    <row r="3687" spans="6:9" x14ac:dyDescent="0.3">
      <c r="F3687"/>
      <c r="G3687"/>
      <c r="H3687"/>
      <c r="I3687"/>
    </row>
    <row r="3688" spans="6:9" x14ac:dyDescent="0.3">
      <c r="F3688"/>
      <c r="G3688"/>
      <c r="H3688"/>
      <c r="I3688"/>
    </row>
    <row r="3689" spans="6:9" x14ac:dyDescent="0.3">
      <c r="F3689"/>
      <c r="G3689"/>
      <c r="H3689"/>
      <c r="I3689"/>
    </row>
    <row r="3690" spans="6:9" x14ac:dyDescent="0.3">
      <c r="F3690"/>
      <c r="G3690"/>
      <c r="H3690"/>
      <c r="I3690"/>
    </row>
    <row r="3691" spans="6:9" x14ac:dyDescent="0.3">
      <c r="F3691"/>
      <c r="G3691"/>
      <c r="H3691"/>
      <c r="I3691"/>
    </row>
    <row r="3692" spans="6:9" x14ac:dyDescent="0.3">
      <c r="F3692"/>
      <c r="G3692"/>
      <c r="H3692"/>
      <c r="I3692"/>
    </row>
    <row r="3693" spans="6:9" x14ac:dyDescent="0.3">
      <c r="F3693"/>
      <c r="G3693"/>
      <c r="H3693"/>
      <c r="I3693"/>
    </row>
    <row r="3694" spans="6:9" x14ac:dyDescent="0.3">
      <c r="F3694"/>
      <c r="G3694"/>
      <c r="H3694"/>
      <c r="I3694"/>
    </row>
    <row r="3695" spans="6:9" x14ac:dyDescent="0.3">
      <c r="F3695"/>
      <c r="G3695"/>
      <c r="H3695"/>
      <c r="I3695"/>
    </row>
    <row r="3696" spans="6:9" x14ac:dyDescent="0.3">
      <c r="F3696"/>
      <c r="G3696"/>
      <c r="H3696"/>
      <c r="I3696"/>
    </row>
    <row r="3697" spans="6:9" x14ac:dyDescent="0.3">
      <c r="F3697"/>
      <c r="G3697"/>
      <c r="H3697"/>
      <c r="I3697"/>
    </row>
    <row r="3698" spans="6:9" x14ac:dyDescent="0.3">
      <c r="F3698"/>
      <c r="G3698"/>
      <c r="H3698"/>
      <c r="I3698"/>
    </row>
    <row r="3699" spans="6:9" x14ac:dyDescent="0.3">
      <c r="F3699"/>
      <c r="G3699"/>
      <c r="H3699"/>
      <c r="I3699"/>
    </row>
    <row r="3700" spans="6:9" x14ac:dyDescent="0.3">
      <c r="F3700"/>
      <c r="G3700"/>
      <c r="H3700"/>
      <c r="I3700"/>
    </row>
    <row r="3701" spans="6:9" x14ac:dyDescent="0.3">
      <c r="F3701"/>
      <c r="G3701"/>
      <c r="H3701"/>
      <c r="I3701"/>
    </row>
    <row r="3702" spans="6:9" x14ac:dyDescent="0.3">
      <c r="F3702"/>
      <c r="G3702"/>
      <c r="H3702"/>
      <c r="I3702"/>
    </row>
    <row r="3703" spans="6:9" x14ac:dyDescent="0.3">
      <c r="F3703"/>
      <c r="G3703"/>
      <c r="H3703"/>
      <c r="I3703"/>
    </row>
    <row r="3704" spans="6:9" x14ac:dyDescent="0.3">
      <c r="F3704"/>
      <c r="G3704"/>
      <c r="H3704"/>
      <c r="I3704"/>
    </row>
    <row r="3705" spans="6:9" x14ac:dyDescent="0.3">
      <c r="F3705"/>
      <c r="G3705"/>
      <c r="H3705"/>
      <c r="I3705"/>
    </row>
    <row r="3706" spans="6:9" x14ac:dyDescent="0.3">
      <c r="F3706"/>
      <c r="G3706"/>
      <c r="H3706"/>
      <c r="I3706"/>
    </row>
    <row r="3707" spans="6:9" x14ac:dyDescent="0.3">
      <c r="F3707"/>
      <c r="G3707"/>
      <c r="H3707"/>
      <c r="I3707"/>
    </row>
    <row r="3708" spans="6:9" x14ac:dyDescent="0.3">
      <c r="F3708"/>
      <c r="G3708"/>
      <c r="H3708"/>
      <c r="I3708"/>
    </row>
    <row r="3709" spans="6:9" x14ac:dyDescent="0.3">
      <c r="F3709"/>
      <c r="G3709"/>
      <c r="H3709"/>
      <c r="I3709"/>
    </row>
    <row r="3710" spans="6:9" x14ac:dyDescent="0.3">
      <c r="F3710"/>
      <c r="G3710"/>
      <c r="H3710"/>
      <c r="I3710"/>
    </row>
    <row r="3711" spans="6:9" x14ac:dyDescent="0.3">
      <c r="F3711"/>
      <c r="G3711"/>
      <c r="H3711"/>
      <c r="I3711"/>
    </row>
    <row r="3712" spans="6:9" x14ac:dyDescent="0.3">
      <c r="F3712"/>
      <c r="G3712"/>
      <c r="H3712"/>
      <c r="I3712"/>
    </row>
    <row r="3713" spans="6:9" x14ac:dyDescent="0.3">
      <c r="F3713"/>
      <c r="G3713"/>
      <c r="H3713"/>
      <c r="I3713"/>
    </row>
    <row r="3714" spans="6:9" x14ac:dyDescent="0.3">
      <c r="F3714"/>
      <c r="G3714"/>
      <c r="H3714"/>
      <c r="I3714"/>
    </row>
    <row r="3715" spans="6:9" x14ac:dyDescent="0.3">
      <c r="F3715"/>
      <c r="G3715"/>
      <c r="H3715"/>
      <c r="I3715"/>
    </row>
    <row r="3716" spans="6:9" x14ac:dyDescent="0.3">
      <c r="F3716"/>
      <c r="G3716"/>
      <c r="H3716"/>
      <c r="I3716"/>
    </row>
    <row r="3717" spans="6:9" x14ac:dyDescent="0.3">
      <c r="F3717"/>
      <c r="G3717"/>
      <c r="H3717"/>
      <c r="I3717"/>
    </row>
    <row r="3718" spans="6:9" x14ac:dyDescent="0.3">
      <c r="F3718"/>
      <c r="G3718"/>
      <c r="H3718"/>
      <c r="I3718"/>
    </row>
    <row r="3719" spans="6:9" x14ac:dyDescent="0.3">
      <c r="F3719"/>
      <c r="G3719"/>
      <c r="H3719"/>
      <c r="I3719"/>
    </row>
    <row r="3720" spans="6:9" x14ac:dyDescent="0.3">
      <c r="F3720"/>
      <c r="G3720"/>
      <c r="H3720"/>
      <c r="I3720"/>
    </row>
    <row r="3721" spans="6:9" x14ac:dyDescent="0.3">
      <c r="F3721"/>
      <c r="G3721"/>
      <c r="H3721"/>
      <c r="I3721"/>
    </row>
    <row r="3722" spans="6:9" x14ac:dyDescent="0.3">
      <c r="F3722"/>
      <c r="G3722"/>
      <c r="H3722"/>
      <c r="I3722"/>
    </row>
    <row r="3723" spans="6:9" x14ac:dyDescent="0.3">
      <c r="F3723"/>
      <c r="G3723"/>
      <c r="H3723"/>
      <c r="I3723"/>
    </row>
    <row r="3724" spans="6:9" x14ac:dyDescent="0.3">
      <c r="F3724"/>
      <c r="G3724"/>
      <c r="H3724"/>
      <c r="I3724"/>
    </row>
    <row r="3725" spans="6:9" x14ac:dyDescent="0.3">
      <c r="F3725"/>
      <c r="G3725"/>
      <c r="H3725"/>
      <c r="I3725"/>
    </row>
    <row r="3726" spans="6:9" x14ac:dyDescent="0.3">
      <c r="F3726"/>
      <c r="G3726"/>
      <c r="H3726"/>
      <c r="I3726"/>
    </row>
    <row r="3727" spans="6:9" x14ac:dyDescent="0.3">
      <c r="F3727"/>
      <c r="G3727"/>
      <c r="H3727"/>
      <c r="I3727"/>
    </row>
    <row r="3728" spans="6:9" x14ac:dyDescent="0.3">
      <c r="F3728"/>
      <c r="G3728"/>
      <c r="H3728"/>
      <c r="I3728"/>
    </row>
    <row r="3729" spans="6:9" x14ac:dyDescent="0.3">
      <c r="F3729"/>
      <c r="G3729"/>
      <c r="H3729"/>
      <c r="I3729"/>
    </row>
    <row r="3730" spans="6:9" x14ac:dyDescent="0.3">
      <c r="F3730"/>
      <c r="G3730"/>
      <c r="H3730"/>
      <c r="I3730"/>
    </row>
    <row r="3731" spans="6:9" x14ac:dyDescent="0.3">
      <c r="F3731"/>
      <c r="G3731"/>
      <c r="H3731"/>
      <c r="I3731"/>
    </row>
    <row r="3732" spans="6:9" x14ac:dyDescent="0.3">
      <c r="F3732"/>
      <c r="G3732"/>
      <c r="H3732"/>
      <c r="I3732"/>
    </row>
    <row r="3733" spans="6:9" x14ac:dyDescent="0.3">
      <c r="F3733"/>
      <c r="G3733"/>
      <c r="H3733"/>
      <c r="I3733"/>
    </row>
    <row r="3734" spans="6:9" x14ac:dyDescent="0.3">
      <c r="F3734"/>
      <c r="G3734"/>
      <c r="H3734"/>
      <c r="I3734"/>
    </row>
    <row r="3735" spans="6:9" x14ac:dyDescent="0.3">
      <c r="F3735"/>
      <c r="G3735"/>
      <c r="H3735"/>
      <c r="I3735"/>
    </row>
    <row r="3736" spans="6:9" x14ac:dyDescent="0.3">
      <c r="F3736"/>
      <c r="G3736"/>
      <c r="H3736"/>
      <c r="I3736"/>
    </row>
    <row r="3737" spans="6:9" x14ac:dyDescent="0.3">
      <c r="F3737"/>
      <c r="G3737"/>
      <c r="H3737"/>
      <c r="I3737"/>
    </row>
    <row r="3738" spans="6:9" x14ac:dyDescent="0.3">
      <c r="F3738"/>
      <c r="G3738"/>
      <c r="H3738"/>
      <c r="I3738"/>
    </row>
    <row r="3739" spans="6:9" x14ac:dyDescent="0.3">
      <c r="F3739"/>
      <c r="G3739"/>
      <c r="H3739"/>
      <c r="I3739"/>
    </row>
    <row r="3740" spans="6:9" x14ac:dyDescent="0.3">
      <c r="F3740"/>
      <c r="G3740"/>
      <c r="H3740"/>
      <c r="I3740"/>
    </row>
    <row r="3741" spans="6:9" x14ac:dyDescent="0.3">
      <c r="F3741"/>
      <c r="G3741"/>
      <c r="H3741"/>
      <c r="I3741"/>
    </row>
    <row r="3742" spans="6:9" x14ac:dyDescent="0.3">
      <c r="F3742"/>
      <c r="G3742"/>
      <c r="H3742"/>
      <c r="I3742"/>
    </row>
    <row r="3743" spans="6:9" x14ac:dyDescent="0.3">
      <c r="F3743"/>
      <c r="G3743"/>
      <c r="H3743"/>
      <c r="I3743"/>
    </row>
    <row r="3744" spans="6:9" x14ac:dyDescent="0.3">
      <c r="F3744"/>
      <c r="G3744"/>
      <c r="H3744"/>
      <c r="I3744"/>
    </row>
    <row r="3745" spans="6:9" x14ac:dyDescent="0.3">
      <c r="F3745"/>
      <c r="G3745"/>
      <c r="H3745"/>
      <c r="I3745"/>
    </row>
    <row r="3746" spans="6:9" x14ac:dyDescent="0.3">
      <c r="F3746"/>
      <c r="G3746"/>
      <c r="H3746"/>
      <c r="I3746"/>
    </row>
    <row r="3747" spans="6:9" x14ac:dyDescent="0.3">
      <c r="F3747"/>
      <c r="G3747"/>
      <c r="H3747"/>
      <c r="I3747"/>
    </row>
    <row r="3748" spans="6:9" x14ac:dyDescent="0.3">
      <c r="F3748"/>
      <c r="G3748"/>
      <c r="H3748"/>
      <c r="I3748"/>
    </row>
    <row r="3749" spans="6:9" x14ac:dyDescent="0.3">
      <c r="F3749"/>
      <c r="G3749"/>
      <c r="H3749"/>
      <c r="I3749"/>
    </row>
    <row r="3750" spans="6:9" x14ac:dyDescent="0.3">
      <c r="F3750"/>
      <c r="G3750"/>
      <c r="H3750"/>
      <c r="I3750"/>
    </row>
    <row r="3751" spans="6:9" x14ac:dyDescent="0.3">
      <c r="F3751"/>
      <c r="G3751"/>
      <c r="H3751"/>
      <c r="I3751"/>
    </row>
    <row r="3752" spans="6:9" x14ac:dyDescent="0.3">
      <c r="F3752"/>
      <c r="G3752"/>
      <c r="H3752"/>
      <c r="I3752"/>
    </row>
    <row r="3753" spans="6:9" x14ac:dyDescent="0.3">
      <c r="F3753"/>
      <c r="G3753"/>
      <c r="H3753"/>
      <c r="I3753"/>
    </row>
    <row r="3754" spans="6:9" x14ac:dyDescent="0.3">
      <c r="F3754"/>
      <c r="G3754"/>
      <c r="H3754"/>
      <c r="I3754"/>
    </row>
    <row r="3755" spans="6:9" x14ac:dyDescent="0.3">
      <c r="F3755"/>
      <c r="G3755"/>
      <c r="H3755"/>
      <c r="I3755"/>
    </row>
    <row r="3756" spans="6:9" x14ac:dyDescent="0.3">
      <c r="F3756"/>
      <c r="G3756"/>
      <c r="H3756"/>
      <c r="I3756"/>
    </row>
    <row r="3757" spans="6:9" x14ac:dyDescent="0.3">
      <c r="F3757"/>
      <c r="G3757"/>
      <c r="H3757"/>
      <c r="I3757"/>
    </row>
    <row r="3758" spans="6:9" x14ac:dyDescent="0.3">
      <c r="F3758"/>
      <c r="G3758"/>
      <c r="H3758"/>
      <c r="I3758"/>
    </row>
    <row r="3759" spans="6:9" x14ac:dyDescent="0.3">
      <c r="F3759"/>
      <c r="G3759"/>
      <c r="H3759"/>
      <c r="I3759"/>
    </row>
    <row r="3760" spans="6:9" x14ac:dyDescent="0.3">
      <c r="F3760"/>
      <c r="G3760"/>
      <c r="H3760"/>
      <c r="I3760"/>
    </row>
    <row r="3761" spans="6:9" x14ac:dyDescent="0.3">
      <c r="F3761"/>
      <c r="G3761"/>
      <c r="H3761"/>
      <c r="I3761"/>
    </row>
    <row r="3762" spans="6:9" x14ac:dyDescent="0.3">
      <c r="F3762"/>
      <c r="G3762"/>
      <c r="H3762"/>
      <c r="I3762"/>
    </row>
    <row r="3763" spans="6:9" x14ac:dyDescent="0.3">
      <c r="F3763"/>
      <c r="G3763"/>
      <c r="H3763"/>
      <c r="I3763"/>
    </row>
    <row r="3764" spans="6:9" x14ac:dyDescent="0.3">
      <c r="F3764"/>
      <c r="G3764"/>
      <c r="H3764"/>
      <c r="I3764"/>
    </row>
    <row r="3765" spans="6:9" x14ac:dyDescent="0.3">
      <c r="F3765"/>
      <c r="G3765"/>
      <c r="H3765"/>
      <c r="I3765"/>
    </row>
    <row r="3766" spans="6:9" x14ac:dyDescent="0.3">
      <c r="F3766"/>
      <c r="G3766"/>
      <c r="H3766"/>
      <c r="I3766"/>
    </row>
    <row r="3767" spans="6:9" x14ac:dyDescent="0.3">
      <c r="F3767"/>
      <c r="G3767"/>
      <c r="H3767"/>
      <c r="I3767"/>
    </row>
    <row r="3768" spans="6:9" x14ac:dyDescent="0.3">
      <c r="F3768"/>
      <c r="G3768"/>
      <c r="H3768"/>
      <c r="I3768"/>
    </row>
    <row r="3769" spans="6:9" x14ac:dyDescent="0.3">
      <c r="F3769"/>
      <c r="G3769"/>
      <c r="H3769"/>
      <c r="I3769"/>
    </row>
    <row r="3770" spans="6:9" x14ac:dyDescent="0.3">
      <c r="F3770"/>
      <c r="G3770"/>
      <c r="H3770"/>
      <c r="I3770"/>
    </row>
    <row r="3771" spans="6:9" x14ac:dyDescent="0.3">
      <c r="F3771"/>
      <c r="G3771"/>
      <c r="H3771"/>
      <c r="I3771"/>
    </row>
    <row r="3772" spans="6:9" x14ac:dyDescent="0.3">
      <c r="F3772"/>
      <c r="G3772"/>
      <c r="H3772"/>
      <c r="I3772"/>
    </row>
    <row r="3773" spans="6:9" x14ac:dyDescent="0.3">
      <c r="F3773"/>
      <c r="G3773"/>
      <c r="H3773"/>
      <c r="I3773"/>
    </row>
    <row r="3774" spans="6:9" x14ac:dyDescent="0.3">
      <c r="F3774"/>
      <c r="G3774"/>
      <c r="H3774"/>
      <c r="I3774"/>
    </row>
    <row r="3775" spans="6:9" x14ac:dyDescent="0.3">
      <c r="F3775"/>
      <c r="G3775"/>
      <c r="H3775"/>
      <c r="I3775"/>
    </row>
    <row r="3776" spans="6:9" x14ac:dyDescent="0.3">
      <c r="F3776"/>
      <c r="G3776"/>
      <c r="H3776"/>
      <c r="I3776"/>
    </row>
    <row r="3777" spans="6:9" x14ac:dyDescent="0.3">
      <c r="F3777"/>
      <c r="G3777"/>
      <c r="H3777"/>
      <c r="I3777"/>
    </row>
    <row r="3778" spans="6:9" x14ac:dyDescent="0.3">
      <c r="F3778"/>
      <c r="G3778"/>
      <c r="H3778"/>
      <c r="I3778"/>
    </row>
    <row r="3779" spans="6:9" x14ac:dyDescent="0.3">
      <c r="F3779"/>
      <c r="G3779"/>
      <c r="H3779"/>
      <c r="I3779"/>
    </row>
    <row r="3780" spans="6:9" x14ac:dyDescent="0.3">
      <c r="F3780"/>
      <c r="G3780"/>
      <c r="H3780"/>
      <c r="I3780"/>
    </row>
    <row r="3781" spans="6:9" x14ac:dyDescent="0.3">
      <c r="F3781"/>
      <c r="G3781"/>
      <c r="H3781"/>
      <c r="I3781"/>
    </row>
    <row r="3782" spans="6:9" x14ac:dyDescent="0.3">
      <c r="F3782"/>
      <c r="G3782"/>
      <c r="H3782"/>
      <c r="I3782"/>
    </row>
    <row r="3783" spans="6:9" x14ac:dyDescent="0.3">
      <c r="F3783"/>
      <c r="G3783"/>
      <c r="H3783"/>
      <c r="I3783"/>
    </row>
    <row r="3784" spans="6:9" x14ac:dyDescent="0.3">
      <c r="F3784"/>
      <c r="G3784"/>
      <c r="H3784"/>
      <c r="I3784"/>
    </row>
    <row r="3785" spans="6:9" x14ac:dyDescent="0.3">
      <c r="F3785"/>
      <c r="G3785"/>
      <c r="H3785"/>
      <c r="I3785"/>
    </row>
    <row r="3786" spans="6:9" x14ac:dyDescent="0.3">
      <c r="F3786"/>
      <c r="G3786"/>
      <c r="H3786"/>
      <c r="I3786"/>
    </row>
    <row r="3787" spans="6:9" x14ac:dyDescent="0.3">
      <c r="F3787"/>
      <c r="G3787"/>
      <c r="H3787"/>
      <c r="I3787"/>
    </row>
    <row r="3788" spans="6:9" x14ac:dyDescent="0.3">
      <c r="F3788"/>
      <c r="G3788"/>
      <c r="H3788"/>
      <c r="I3788"/>
    </row>
    <row r="3789" spans="6:9" x14ac:dyDescent="0.3">
      <c r="F3789"/>
      <c r="G3789"/>
      <c r="H3789"/>
      <c r="I3789"/>
    </row>
    <row r="3790" spans="6:9" x14ac:dyDescent="0.3">
      <c r="F3790"/>
      <c r="G3790"/>
      <c r="H3790"/>
      <c r="I3790"/>
    </row>
    <row r="3791" spans="6:9" x14ac:dyDescent="0.3">
      <c r="F3791"/>
      <c r="G3791"/>
      <c r="H3791"/>
      <c r="I3791"/>
    </row>
    <row r="3792" spans="6:9" x14ac:dyDescent="0.3">
      <c r="F3792"/>
      <c r="G3792"/>
      <c r="H3792"/>
      <c r="I3792"/>
    </row>
    <row r="3793" spans="6:9" x14ac:dyDescent="0.3">
      <c r="F3793"/>
      <c r="G3793"/>
      <c r="H3793"/>
      <c r="I3793"/>
    </row>
    <row r="3794" spans="6:9" x14ac:dyDescent="0.3">
      <c r="F3794"/>
      <c r="G3794"/>
      <c r="H3794"/>
      <c r="I3794"/>
    </row>
    <row r="3795" spans="6:9" x14ac:dyDescent="0.3">
      <c r="F3795"/>
      <c r="G3795"/>
      <c r="H3795"/>
      <c r="I3795"/>
    </row>
    <row r="3796" spans="6:9" x14ac:dyDescent="0.3">
      <c r="F3796"/>
      <c r="G3796"/>
      <c r="H3796"/>
      <c r="I3796"/>
    </row>
    <row r="3797" spans="6:9" x14ac:dyDescent="0.3">
      <c r="F3797"/>
      <c r="G3797"/>
      <c r="H3797"/>
      <c r="I3797"/>
    </row>
    <row r="3798" spans="6:9" x14ac:dyDescent="0.3">
      <c r="F3798"/>
      <c r="G3798"/>
      <c r="H3798"/>
      <c r="I3798"/>
    </row>
    <row r="3799" spans="6:9" x14ac:dyDescent="0.3">
      <c r="F3799"/>
      <c r="G3799"/>
      <c r="H3799"/>
      <c r="I3799"/>
    </row>
    <row r="3800" spans="6:9" x14ac:dyDescent="0.3">
      <c r="F3800"/>
      <c r="G3800"/>
      <c r="H3800"/>
      <c r="I3800"/>
    </row>
    <row r="3801" spans="6:9" x14ac:dyDescent="0.3">
      <c r="F3801"/>
      <c r="G3801"/>
      <c r="H3801"/>
      <c r="I3801"/>
    </row>
    <row r="3802" spans="6:9" x14ac:dyDescent="0.3">
      <c r="F3802"/>
      <c r="G3802"/>
      <c r="H3802"/>
      <c r="I3802"/>
    </row>
    <row r="3803" spans="6:9" x14ac:dyDescent="0.3">
      <c r="F3803"/>
      <c r="G3803"/>
      <c r="H3803"/>
      <c r="I3803"/>
    </row>
    <row r="3804" spans="6:9" x14ac:dyDescent="0.3">
      <c r="F3804"/>
      <c r="G3804"/>
      <c r="H3804"/>
      <c r="I3804"/>
    </row>
    <row r="3805" spans="6:9" x14ac:dyDescent="0.3">
      <c r="F3805"/>
      <c r="G3805"/>
      <c r="H3805"/>
      <c r="I3805"/>
    </row>
    <row r="3806" spans="6:9" x14ac:dyDescent="0.3">
      <c r="F3806"/>
      <c r="G3806"/>
      <c r="H3806"/>
      <c r="I3806"/>
    </row>
    <row r="3807" spans="6:9" x14ac:dyDescent="0.3">
      <c r="F3807"/>
      <c r="G3807"/>
      <c r="H3807"/>
      <c r="I3807"/>
    </row>
    <row r="3808" spans="6:9" x14ac:dyDescent="0.3">
      <c r="F3808"/>
      <c r="G3808"/>
      <c r="H3808"/>
      <c r="I3808"/>
    </row>
    <row r="3809" spans="6:9" x14ac:dyDescent="0.3">
      <c r="F3809"/>
      <c r="G3809"/>
      <c r="H3809"/>
      <c r="I3809"/>
    </row>
    <row r="3810" spans="6:9" x14ac:dyDescent="0.3">
      <c r="F3810"/>
      <c r="G3810"/>
      <c r="H3810"/>
      <c r="I3810"/>
    </row>
    <row r="3811" spans="6:9" x14ac:dyDescent="0.3">
      <c r="F3811"/>
      <c r="G3811"/>
      <c r="H3811"/>
      <c r="I3811"/>
    </row>
    <row r="3812" spans="6:9" x14ac:dyDescent="0.3">
      <c r="F3812"/>
      <c r="G3812"/>
      <c r="H3812"/>
      <c r="I3812"/>
    </row>
    <row r="3813" spans="6:9" x14ac:dyDescent="0.3">
      <c r="F3813"/>
      <c r="G3813"/>
      <c r="H3813"/>
      <c r="I3813"/>
    </row>
    <row r="3814" spans="6:9" x14ac:dyDescent="0.3">
      <c r="F3814"/>
      <c r="G3814"/>
      <c r="H3814"/>
      <c r="I3814"/>
    </row>
    <row r="3815" spans="6:9" x14ac:dyDescent="0.3">
      <c r="F3815"/>
      <c r="G3815"/>
      <c r="H3815"/>
      <c r="I3815"/>
    </row>
    <row r="3816" spans="6:9" x14ac:dyDescent="0.3">
      <c r="F3816"/>
      <c r="G3816"/>
      <c r="H3816"/>
      <c r="I3816"/>
    </row>
    <row r="3817" spans="6:9" x14ac:dyDescent="0.3">
      <c r="F3817"/>
      <c r="G3817"/>
      <c r="H3817"/>
      <c r="I3817"/>
    </row>
    <row r="3818" spans="6:9" x14ac:dyDescent="0.3">
      <c r="F3818"/>
      <c r="G3818"/>
      <c r="H3818"/>
      <c r="I3818"/>
    </row>
    <row r="3819" spans="6:9" x14ac:dyDescent="0.3">
      <c r="F3819"/>
      <c r="G3819"/>
      <c r="H3819"/>
      <c r="I3819"/>
    </row>
    <row r="3820" spans="6:9" x14ac:dyDescent="0.3">
      <c r="F3820"/>
      <c r="G3820"/>
      <c r="H3820"/>
      <c r="I3820"/>
    </row>
    <row r="3821" spans="6:9" x14ac:dyDescent="0.3">
      <c r="F3821"/>
      <c r="G3821"/>
      <c r="H3821"/>
      <c r="I3821"/>
    </row>
    <row r="3822" spans="6:9" x14ac:dyDescent="0.3">
      <c r="F3822"/>
      <c r="G3822"/>
      <c r="H3822"/>
      <c r="I3822"/>
    </row>
    <row r="3823" spans="6:9" x14ac:dyDescent="0.3">
      <c r="F3823"/>
      <c r="G3823"/>
      <c r="H3823"/>
      <c r="I3823"/>
    </row>
    <row r="3824" spans="6:9" x14ac:dyDescent="0.3">
      <c r="F3824"/>
      <c r="G3824"/>
      <c r="H3824"/>
      <c r="I3824"/>
    </row>
    <row r="3825" spans="6:9" x14ac:dyDescent="0.3">
      <c r="F3825"/>
      <c r="G3825"/>
      <c r="H3825"/>
      <c r="I3825"/>
    </row>
    <row r="3826" spans="6:9" x14ac:dyDescent="0.3">
      <c r="F3826"/>
      <c r="G3826"/>
      <c r="H3826"/>
      <c r="I3826"/>
    </row>
    <row r="3827" spans="6:9" x14ac:dyDescent="0.3">
      <c r="F3827"/>
      <c r="G3827"/>
      <c r="H3827"/>
      <c r="I3827"/>
    </row>
    <row r="3828" spans="6:9" x14ac:dyDescent="0.3">
      <c r="F3828"/>
      <c r="G3828"/>
      <c r="H3828"/>
      <c r="I3828"/>
    </row>
    <row r="3829" spans="6:9" x14ac:dyDescent="0.3">
      <c r="F3829"/>
      <c r="G3829"/>
      <c r="H3829"/>
      <c r="I3829"/>
    </row>
    <row r="3830" spans="6:9" x14ac:dyDescent="0.3">
      <c r="F3830"/>
      <c r="G3830"/>
      <c r="H3830"/>
      <c r="I3830"/>
    </row>
    <row r="3831" spans="6:9" x14ac:dyDescent="0.3">
      <c r="F3831"/>
      <c r="G3831"/>
      <c r="H3831"/>
      <c r="I3831"/>
    </row>
    <row r="3832" spans="6:9" x14ac:dyDescent="0.3">
      <c r="F3832"/>
      <c r="G3832"/>
      <c r="H3832"/>
      <c r="I3832"/>
    </row>
    <row r="3833" spans="6:9" x14ac:dyDescent="0.3">
      <c r="F3833"/>
      <c r="G3833"/>
      <c r="H3833"/>
      <c r="I3833"/>
    </row>
    <row r="3834" spans="6:9" x14ac:dyDescent="0.3">
      <c r="F3834"/>
      <c r="G3834"/>
      <c r="H3834"/>
      <c r="I3834"/>
    </row>
    <row r="3835" spans="6:9" x14ac:dyDescent="0.3">
      <c r="F3835"/>
      <c r="G3835"/>
      <c r="H3835"/>
      <c r="I3835"/>
    </row>
    <row r="3836" spans="6:9" x14ac:dyDescent="0.3">
      <c r="F3836"/>
      <c r="G3836"/>
      <c r="H3836"/>
      <c r="I3836"/>
    </row>
    <row r="3837" spans="6:9" x14ac:dyDescent="0.3">
      <c r="F3837"/>
      <c r="G3837"/>
      <c r="H3837"/>
      <c r="I3837"/>
    </row>
    <row r="3838" spans="6:9" x14ac:dyDescent="0.3">
      <c r="F3838"/>
      <c r="G3838"/>
      <c r="H3838"/>
      <c r="I3838"/>
    </row>
    <row r="3839" spans="6:9" x14ac:dyDescent="0.3">
      <c r="F3839"/>
      <c r="G3839"/>
      <c r="H3839"/>
      <c r="I3839"/>
    </row>
    <row r="3840" spans="6:9" x14ac:dyDescent="0.3">
      <c r="F3840"/>
      <c r="G3840"/>
      <c r="H3840"/>
      <c r="I3840"/>
    </row>
    <row r="3841" spans="6:9" x14ac:dyDescent="0.3">
      <c r="F3841"/>
      <c r="G3841"/>
      <c r="H3841"/>
      <c r="I3841"/>
    </row>
    <row r="3842" spans="6:9" x14ac:dyDescent="0.3">
      <c r="F3842"/>
      <c r="G3842"/>
      <c r="H3842"/>
      <c r="I3842"/>
    </row>
    <row r="3843" spans="6:9" x14ac:dyDescent="0.3">
      <c r="F3843"/>
      <c r="G3843"/>
      <c r="H3843"/>
      <c r="I3843"/>
    </row>
    <row r="3844" spans="6:9" x14ac:dyDescent="0.3">
      <c r="F3844"/>
      <c r="G3844"/>
      <c r="H3844"/>
      <c r="I3844"/>
    </row>
    <row r="3845" spans="6:9" x14ac:dyDescent="0.3">
      <c r="F3845"/>
      <c r="G3845"/>
      <c r="H3845"/>
      <c r="I3845"/>
    </row>
    <row r="3846" spans="6:9" x14ac:dyDescent="0.3">
      <c r="F3846"/>
      <c r="G3846"/>
      <c r="H3846"/>
      <c r="I3846"/>
    </row>
    <row r="3847" spans="6:9" x14ac:dyDescent="0.3">
      <c r="F3847"/>
      <c r="G3847"/>
      <c r="H3847"/>
      <c r="I3847"/>
    </row>
    <row r="3848" spans="6:9" x14ac:dyDescent="0.3">
      <c r="F3848"/>
      <c r="G3848"/>
      <c r="H3848"/>
      <c r="I3848"/>
    </row>
    <row r="3849" spans="6:9" x14ac:dyDescent="0.3">
      <c r="F3849"/>
      <c r="G3849"/>
      <c r="H3849"/>
      <c r="I3849"/>
    </row>
    <row r="3850" spans="6:9" x14ac:dyDescent="0.3">
      <c r="F3850"/>
      <c r="G3850"/>
      <c r="H3850"/>
      <c r="I3850"/>
    </row>
    <row r="3851" spans="6:9" x14ac:dyDescent="0.3">
      <c r="F3851"/>
      <c r="G3851"/>
      <c r="H3851"/>
      <c r="I3851"/>
    </row>
    <row r="3852" spans="6:9" x14ac:dyDescent="0.3">
      <c r="F3852"/>
      <c r="G3852"/>
      <c r="H3852"/>
      <c r="I3852"/>
    </row>
    <row r="3853" spans="6:9" x14ac:dyDescent="0.3">
      <c r="F3853"/>
      <c r="G3853"/>
      <c r="H3853"/>
      <c r="I3853"/>
    </row>
    <row r="3854" spans="6:9" x14ac:dyDescent="0.3">
      <c r="F3854"/>
      <c r="G3854"/>
      <c r="H3854"/>
      <c r="I3854"/>
    </row>
    <row r="3855" spans="6:9" x14ac:dyDescent="0.3">
      <c r="F3855"/>
      <c r="G3855"/>
      <c r="H3855"/>
      <c r="I3855"/>
    </row>
    <row r="3856" spans="6:9" x14ac:dyDescent="0.3">
      <c r="F3856"/>
      <c r="G3856"/>
      <c r="H3856"/>
      <c r="I3856"/>
    </row>
    <row r="3857" spans="6:9" x14ac:dyDescent="0.3">
      <c r="F3857"/>
      <c r="G3857"/>
      <c r="H3857"/>
      <c r="I3857"/>
    </row>
    <row r="3858" spans="6:9" x14ac:dyDescent="0.3">
      <c r="F3858"/>
      <c r="G3858"/>
      <c r="H3858"/>
      <c r="I3858"/>
    </row>
    <row r="3859" spans="6:9" x14ac:dyDescent="0.3">
      <c r="F3859"/>
      <c r="G3859"/>
      <c r="H3859"/>
      <c r="I3859"/>
    </row>
    <row r="3860" spans="6:9" x14ac:dyDescent="0.3">
      <c r="F3860"/>
      <c r="G3860"/>
      <c r="H3860"/>
      <c r="I3860"/>
    </row>
    <row r="3861" spans="6:9" x14ac:dyDescent="0.3">
      <c r="F3861"/>
      <c r="G3861"/>
      <c r="H3861"/>
      <c r="I3861"/>
    </row>
    <row r="3862" spans="6:9" x14ac:dyDescent="0.3">
      <c r="F3862"/>
      <c r="G3862"/>
      <c r="H3862"/>
      <c r="I3862"/>
    </row>
    <row r="3863" spans="6:9" x14ac:dyDescent="0.3">
      <c r="F3863"/>
      <c r="G3863"/>
      <c r="H3863"/>
      <c r="I3863"/>
    </row>
    <row r="3864" spans="6:9" x14ac:dyDescent="0.3">
      <c r="F3864"/>
      <c r="G3864"/>
      <c r="H3864"/>
      <c r="I3864"/>
    </row>
    <row r="3865" spans="6:9" x14ac:dyDescent="0.3">
      <c r="F3865"/>
      <c r="G3865"/>
      <c r="H3865"/>
      <c r="I3865"/>
    </row>
    <row r="3866" spans="6:9" x14ac:dyDescent="0.3">
      <c r="F3866"/>
      <c r="G3866"/>
      <c r="H3866"/>
      <c r="I3866"/>
    </row>
    <row r="3867" spans="6:9" x14ac:dyDescent="0.3">
      <c r="F3867"/>
      <c r="G3867"/>
      <c r="H3867"/>
      <c r="I3867"/>
    </row>
    <row r="3868" spans="6:9" x14ac:dyDescent="0.3">
      <c r="F3868"/>
      <c r="G3868"/>
      <c r="H3868"/>
      <c r="I3868"/>
    </row>
    <row r="3869" spans="6:9" x14ac:dyDescent="0.3">
      <c r="F3869"/>
      <c r="G3869"/>
      <c r="H3869"/>
      <c r="I3869"/>
    </row>
    <row r="3870" spans="6:9" x14ac:dyDescent="0.3">
      <c r="F3870"/>
      <c r="G3870"/>
      <c r="H3870"/>
      <c r="I3870"/>
    </row>
    <row r="3871" spans="6:9" x14ac:dyDescent="0.3">
      <c r="F3871"/>
      <c r="G3871"/>
      <c r="H3871"/>
      <c r="I3871"/>
    </row>
    <row r="3872" spans="6:9" x14ac:dyDescent="0.3">
      <c r="F3872"/>
      <c r="G3872"/>
      <c r="H3872"/>
      <c r="I3872"/>
    </row>
    <row r="3873" spans="6:9" x14ac:dyDescent="0.3">
      <c r="F3873"/>
      <c r="G3873"/>
      <c r="H3873"/>
      <c r="I3873"/>
    </row>
    <row r="3874" spans="6:9" x14ac:dyDescent="0.3">
      <c r="F3874"/>
      <c r="G3874"/>
      <c r="H3874"/>
      <c r="I3874"/>
    </row>
    <row r="3875" spans="6:9" x14ac:dyDescent="0.3">
      <c r="F3875"/>
      <c r="G3875"/>
      <c r="H3875"/>
      <c r="I3875"/>
    </row>
    <row r="3876" spans="6:9" x14ac:dyDescent="0.3">
      <c r="F3876"/>
      <c r="G3876"/>
      <c r="H3876"/>
      <c r="I3876"/>
    </row>
    <row r="3877" spans="6:9" x14ac:dyDescent="0.3">
      <c r="F3877"/>
      <c r="G3877"/>
      <c r="H3877"/>
      <c r="I3877"/>
    </row>
    <row r="3878" spans="6:9" x14ac:dyDescent="0.3">
      <c r="F3878"/>
      <c r="G3878"/>
      <c r="H3878"/>
      <c r="I3878"/>
    </row>
    <row r="3879" spans="6:9" x14ac:dyDescent="0.3">
      <c r="F3879"/>
      <c r="G3879"/>
      <c r="H3879"/>
      <c r="I3879"/>
    </row>
    <row r="3880" spans="6:9" x14ac:dyDescent="0.3">
      <c r="F3880"/>
      <c r="G3880"/>
      <c r="H3880"/>
      <c r="I3880"/>
    </row>
    <row r="3881" spans="6:9" x14ac:dyDescent="0.3">
      <c r="F3881"/>
      <c r="G3881"/>
      <c r="H3881"/>
      <c r="I3881"/>
    </row>
    <row r="3882" spans="6:9" x14ac:dyDescent="0.3">
      <c r="F3882"/>
      <c r="G3882"/>
      <c r="H3882"/>
      <c r="I3882"/>
    </row>
    <row r="3883" spans="6:9" x14ac:dyDescent="0.3">
      <c r="F3883"/>
      <c r="G3883"/>
      <c r="H3883"/>
      <c r="I3883"/>
    </row>
    <row r="3884" spans="6:9" x14ac:dyDescent="0.3">
      <c r="F3884"/>
      <c r="G3884"/>
      <c r="H3884"/>
      <c r="I3884"/>
    </row>
    <row r="3885" spans="6:9" x14ac:dyDescent="0.3">
      <c r="F3885"/>
      <c r="G3885"/>
      <c r="H3885"/>
      <c r="I3885"/>
    </row>
    <row r="3886" spans="6:9" x14ac:dyDescent="0.3">
      <c r="F3886"/>
      <c r="G3886"/>
      <c r="H3886"/>
      <c r="I3886"/>
    </row>
    <row r="3887" spans="6:9" x14ac:dyDescent="0.3">
      <c r="F3887"/>
      <c r="G3887"/>
      <c r="H3887"/>
      <c r="I3887"/>
    </row>
    <row r="3888" spans="6:9" x14ac:dyDescent="0.3">
      <c r="F3888"/>
      <c r="G3888"/>
      <c r="H3888"/>
      <c r="I3888"/>
    </row>
    <row r="3889" spans="6:9" x14ac:dyDescent="0.3">
      <c r="F3889"/>
      <c r="G3889"/>
      <c r="H3889"/>
      <c r="I3889"/>
    </row>
    <row r="3890" spans="6:9" x14ac:dyDescent="0.3">
      <c r="F3890"/>
      <c r="G3890"/>
      <c r="H3890"/>
      <c r="I3890"/>
    </row>
    <row r="3891" spans="6:9" x14ac:dyDescent="0.3">
      <c r="F3891"/>
      <c r="G3891"/>
      <c r="H3891"/>
      <c r="I3891"/>
    </row>
    <row r="3892" spans="6:9" x14ac:dyDescent="0.3">
      <c r="F3892"/>
      <c r="G3892"/>
      <c r="H3892"/>
      <c r="I3892"/>
    </row>
    <row r="3893" spans="6:9" x14ac:dyDescent="0.3">
      <c r="F3893"/>
      <c r="G3893"/>
      <c r="H3893"/>
      <c r="I3893"/>
    </row>
    <row r="3894" spans="6:9" x14ac:dyDescent="0.3">
      <c r="F3894"/>
      <c r="G3894"/>
      <c r="H3894"/>
      <c r="I3894"/>
    </row>
    <row r="3895" spans="6:9" x14ac:dyDescent="0.3">
      <c r="F3895"/>
      <c r="G3895"/>
      <c r="H3895"/>
      <c r="I3895"/>
    </row>
    <row r="3896" spans="6:9" x14ac:dyDescent="0.3">
      <c r="F3896"/>
      <c r="G3896"/>
      <c r="H3896"/>
      <c r="I3896"/>
    </row>
    <row r="3897" spans="6:9" x14ac:dyDescent="0.3">
      <c r="F3897"/>
      <c r="G3897"/>
      <c r="H3897"/>
      <c r="I3897"/>
    </row>
    <row r="3898" spans="6:9" x14ac:dyDescent="0.3">
      <c r="F3898"/>
      <c r="G3898"/>
      <c r="H3898"/>
      <c r="I3898"/>
    </row>
    <row r="3899" spans="6:9" x14ac:dyDescent="0.3">
      <c r="F3899"/>
      <c r="G3899"/>
      <c r="H3899"/>
      <c r="I3899"/>
    </row>
    <row r="3900" spans="6:9" x14ac:dyDescent="0.3">
      <c r="F3900"/>
      <c r="G3900"/>
      <c r="H3900"/>
      <c r="I3900"/>
    </row>
    <row r="3901" spans="6:9" x14ac:dyDescent="0.3">
      <c r="F3901"/>
      <c r="G3901"/>
      <c r="H3901"/>
      <c r="I3901"/>
    </row>
    <row r="3902" spans="6:9" x14ac:dyDescent="0.3">
      <c r="F3902"/>
      <c r="G3902"/>
      <c r="H3902"/>
      <c r="I3902"/>
    </row>
    <row r="3903" spans="6:9" x14ac:dyDescent="0.3">
      <c r="F3903"/>
      <c r="G3903"/>
      <c r="H3903"/>
      <c r="I3903"/>
    </row>
    <row r="3904" spans="6:9" x14ac:dyDescent="0.3">
      <c r="F3904"/>
      <c r="G3904"/>
      <c r="H3904"/>
      <c r="I3904"/>
    </row>
    <row r="3905" spans="6:9" x14ac:dyDescent="0.3">
      <c r="F3905"/>
      <c r="G3905"/>
      <c r="H3905"/>
      <c r="I3905"/>
    </row>
    <row r="3906" spans="6:9" x14ac:dyDescent="0.3">
      <c r="F3906"/>
      <c r="G3906"/>
      <c r="H3906"/>
      <c r="I3906"/>
    </row>
    <row r="3907" spans="6:9" x14ac:dyDescent="0.3">
      <c r="F3907"/>
      <c r="G3907"/>
      <c r="H3907"/>
      <c r="I3907"/>
    </row>
    <row r="3908" spans="6:9" x14ac:dyDescent="0.3">
      <c r="F3908"/>
      <c r="G3908"/>
      <c r="H3908"/>
      <c r="I3908"/>
    </row>
    <row r="3909" spans="6:9" x14ac:dyDescent="0.3">
      <c r="F3909"/>
      <c r="G3909"/>
      <c r="H3909"/>
      <c r="I3909"/>
    </row>
    <row r="3910" spans="6:9" x14ac:dyDescent="0.3">
      <c r="F3910"/>
      <c r="G3910"/>
      <c r="H3910"/>
      <c r="I3910"/>
    </row>
    <row r="3911" spans="6:9" x14ac:dyDescent="0.3">
      <c r="F3911"/>
      <c r="G3911"/>
      <c r="H3911"/>
      <c r="I3911"/>
    </row>
    <row r="3912" spans="6:9" x14ac:dyDescent="0.3">
      <c r="F3912"/>
      <c r="G3912"/>
      <c r="H3912"/>
      <c r="I3912"/>
    </row>
    <row r="3913" spans="6:9" x14ac:dyDescent="0.3">
      <c r="F3913"/>
      <c r="G3913"/>
      <c r="H3913"/>
      <c r="I3913"/>
    </row>
    <row r="3914" spans="6:9" x14ac:dyDescent="0.3">
      <c r="F3914"/>
      <c r="G3914"/>
      <c r="H3914"/>
      <c r="I3914"/>
    </row>
    <row r="3915" spans="6:9" x14ac:dyDescent="0.3">
      <c r="F3915"/>
      <c r="G3915"/>
      <c r="H3915"/>
      <c r="I3915"/>
    </row>
    <row r="3916" spans="6:9" x14ac:dyDescent="0.3">
      <c r="F3916"/>
      <c r="G3916"/>
      <c r="H3916"/>
      <c r="I3916"/>
    </row>
    <row r="3917" spans="6:9" x14ac:dyDescent="0.3">
      <c r="F3917"/>
      <c r="G3917"/>
      <c r="H3917"/>
      <c r="I3917"/>
    </row>
    <row r="3918" spans="6:9" x14ac:dyDescent="0.3">
      <c r="F3918"/>
      <c r="G3918"/>
      <c r="H3918"/>
      <c r="I3918"/>
    </row>
    <row r="3919" spans="6:9" x14ac:dyDescent="0.3">
      <c r="F3919"/>
      <c r="G3919"/>
      <c r="H3919"/>
      <c r="I3919"/>
    </row>
    <row r="3920" spans="6:9" x14ac:dyDescent="0.3">
      <c r="F3920"/>
      <c r="G3920"/>
      <c r="H3920"/>
      <c r="I3920"/>
    </row>
    <row r="3921" spans="6:9" x14ac:dyDescent="0.3">
      <c r="F3921"/>
      <c r="G3921"/>
      <c r="H3921"/>
      <c r="I3921"/>
    </row>
    <row r="3922" spans="6:9" x14ac:dyDescent="0.3">
      <c r="F3922"/>
      <c r="G3922"/>
      <c r="H3922"/>
      <c r="I3922"/>
    </row>
    <row r="3923" spans="6:9" x14ac:dyDescent="0.3">
      <c r="F3923"/>
      <c r="G3923"/>
      <c r="H3923"/>
      <c r="I3923"/>
    </row>
    <row r="3924" spans="6:9" x14ac:dyDescent="0.3">
      <c r="F3924"/>
      <c r="G3924"/>
      <c r="H3924"/>
      <c r="I3924"/>
    </row>
    <row r="3925" spans="6:9" x14ac:dyDescent="0.3">
      <c r="F3925"/>
      <c r="G3925"/>
      <c r="H3925"/>
      <c r="I3925"/>
    </row>
    <row r="3926" spans="6:9" x14ac:dyDescent="0.3">
      <c r="F3926"/>
      <c r="G3926"/>
      <c r="H3926"/>
      <c r="I3926"/>
    </row>
    <row r="3927" spans="6:9" x14ac:dyDescent="0.3">
      <c r="F3927"/>
      <c r="G3927"/>
      <c r="H3927"/>
      <c r="I3927"/>
    </row>
    <row r="3928" spans="6:9" x14ac:dyDescent="0.3">
      <c r="F3928"/>
      <c r="G3928"/>
      <c r="H3928"/>
      <c r="I3928"/>
    </row>
    <row r="3929" spans="6:9" x14ac:dyDescent="0.3">
      <c r="F3929"/>
      <c r="G3929"/>
      <c r="H3929"/>
      <c r="I3929"/>
    </row>
    <row r="3930" spans="6:9" x14ac:dyDescent="0.3">
      <c r="F3930"/>
      <c r="G3930"/>
      <c r="H3930"/>
      <c r="I3930"/>
    </row>
    <row r="3931" spans="6:9" x14ac:dyDescent="0.3">
      <c r="F3931"/>
      <c r="G3931"/>
      <c r="H3931"/>
      <c r="I3931"/>
    </row>
    <row r="3932" spans="6:9" x14ac:dyDescent="0.3">
      <c r="F3932"/>
      <c r="G3932"/>
      <c r="H3932"/>
      <c r="I3932"/>
    </row>
    <row r="3933" spans="6:9" x14ac:dyDescent="0.3">
      <c r="F3933"/>
      <c r="G3933"/>
      <c r="H3933"/>
      <c r="I3933"/>
    </row>
    <row r="3934" spans="6:9" x14ac:dyDescent="0.3">
      <c r="F3934"/>
      <c r="G3934"/>
      <c r="H3934"/>
      <c r="I3934"/>
    </row>
    <row r="3935" spans="6:9" x14ac:dyDescent="0.3">
      <c r="F3935"/>
      <c r="G3935"/>
      <c r="H3935"/>
      <c r="I3935"/>
    </row>
    <row r="3936" spans="6:9" x14ac:dyDescent="0.3">
      <c r="F3936"/>
      <c r="G3936"/>
      <c r="H3936"/>
      <c r="I3936"/>
    </row>
    <row r="3937" spans="6:9" x14ac:dyDescent="0.3">
      <c r="F3937"/>
      <c r="G3937"/>
      <c r="H3937"/>
      <c r="I3937"/>
    </row>
    <row r="3938" spans="6:9" x14ac:dyDescent="0.3">
      <c r="F3938"/>
      <c r="G3938"/>
      <c r="H3938"/>
      <c r="I3938"/>
    </row>
    <row r="3939" spans="6:9" x14ac:dyDescent="0.3">
      <c r="F3939"/>
      <c r="G3939"/>
      <c r="H3939"/>
      <c r="I3939"/>
    </row>
    <row r="3940" spans="6:9" x14ac:dyDescent="0.3">
      <c r="F3940"/>
      <c r="G3940"/>
      <c r="H3940"/>
      <c r="I3940"/>
    </row>
    <row r="3941" spans="6:9" x14ac:dyDescent="0.3">
      <c r="F3941"/>
      <c r="G3941"/>
      <c r="H3941"/>
      <c r="I3941"/>
    </row>
    <row r="3942" spans="6:9" x14ac:dyDescent="0.3">
      <c r="F3942"/>
      <c r="G3942"/>
      <c r="H3942"/>
      <c r="I3942"/>
    </row>
    <row r="3943" spans="6:9" x14ac:dyDescent="0.3">
      <c r="F3943"/>
      <c r="G3943"/>
      <c r="H3943"/>
      <c r="I3943"/>
    </row>
    <row r="3944" spans="6:9" x14ac:dyDescent="0.3">
      <c r="F3944"/>
      <c r="G3944"/>
      <c r="H3944"/>
      <c r="I3944"/>
    </row>
    <row r="3945" spans="6:9" x14ac:dyDescent="0.3">
      <c r="F3945"/>
      <c r="G3945"/>
      <c r="H3945"/>
      <c r="I3945"/>
    </row>
    <row r="3946" spans="6:9" x14ac:dyDescent="0.3">
      <c r="F3946"/>
      <c r="G3946"/>
      <c r="H3946"/>
      <c r="I3946"/>
    </row>
    <row r="3947" spans="6:9" x14ac:dyDescent="0.3">
      <c r="F3947"/>
      <c r="G3947"/>
      <c r="H3947"/>
      <c r="I3947"/>
    </row>
    <row r="3948" spans="6:9" x14ac:dyDescent="0.3">
      <c r="F3948"/>
      <c r="G3948"/>
      <c r="H3948"/>
      <c r="I3948"/>
    </row>
    <row r="3949" spans="6:9" x14ac:dyDescent="0.3">
      <c r="F3949"/>
      <c r="G3949"/>
      <c r="H3949"/>
      <c r="I3949"/>
    </row>
    <row r="3950" spans="6:9" x14ac:dyDescent="0.3">
      <c r="F3950"/>
      <c r="G3950"/>
      <c r="H3950"/>
      <c r="I3950"/>
    </row>
    <row r="3951" spans="6:9" x14ac:dyDescent="0.3">
      <c r="F3951"/>
      <c r="G3951"/>
      <c r="H3951"/>
      <c r="I3951"/>
    </row>
    <row r="3952" spans="6:9" x14ac:dyDescent="0.3">
      <c r="F3952"/>
      <c r="G3952"/>
      <c r="H3952"/>
      <c r="I3952"/>
    </row>
    <row r="3953" spans="6:9" x14ac:dyDescent="0.3">
      <c r="F3953"/>
      <c r="G3953"/>
      <c r="H3953"/>
      <c r="I3953"/>
    </row>
    <row r="3954" spans="6:9" x14ac:dyDescent="0.3">
      <c r="F3954"/>
      <c r="G3954"/>
      <c r="H3954"/>
      <c r="I3954"/>
    </row>
    <row r="3955" spans="6:9" x14ac:dyDescent="0.3">
      <c r="F3955"/>
      <c r="G3955"/>
      <c r="H3955"/>
      <c r="I3955"/>
    </row>
    <row r="3956" spans="6:9" x14ac:dyDescent="0.3">
      <c r="F3956"/>
      <c r="G3956"/>
      <c r="H3956"/>
      <c r="I3956"/>
    </row>
    <row r="3957" spans="6:9" x14ac:dyDescent="0.3">
      <c r="F3957"/>
      <c r="G3957"/>
      <c r="H3957"/>
      <c r="I3957"/>
    </row>
    <row r="3958" spans="6:9" x14ac:dyDescent="0.3">
      <c r="F3958"/>
      <c r="G3958"/>
      <c r="H3958"/>
      <c r="I3958"/>
    </row>
    <row r="3959" spans="6:9" x14ac:dyDescent="0.3">
      <c r="F3959"/>
      <c r="G3959"/>
      <c r="H3959"/>
      <c r="I3959"/>
    </row>
    <row r="3960" spans="6:9" x14ac:dyDescent="0.3">
      <c r="F3960"/>
      <c r="G3960"/>
      <c r="H3960"/>
      <c r="I3960"/>
    </row>
    <row r="3961" spans="6:9" x14ac:dyDescent="0.3">
      <c r="F3961"/>
      <c r="G3961"/>
      <c r="H3961"/>
      <c r="I3961"/>
    </row>
    <row r="3962" spans="6:9" x14ac:dyDescent="0.3">
      <c r="F3962"/>
      <c r="G3962"/>
      <c r="H3962"/>
      <c r="I3962"/>
    </row>
    <row r="3963" spans="6:9" x14ac:dyDescent="0.3">
      <c r="F3963"/>
      <c r="G3963"/>
      <c r="H3963"/>
      <c r="I3963"/>
    </row>
    <row r="3964" spans="6:9" x14ac:dyDescent="0.3">
      <c r="F3964"/>
      <c r="G3964"/>
      <c r="H3964"/>
      <c r="I3964"/>
    </row>
    <row r="3965" spans="6:9" x14ac:dyDescent="0.3">
      <c r="F3965"/>
      <c r="G3965"/>
      <c r="H3965"/>
      <c r="I3965"/>
    </row>
    <row r="3966" spans="6:9" x14ac:dyDescent="0.3">
      <c r="F3966"/>
      <c r="G3966"/>
      <c r="H3966"/>
      <c r="I3966"/>
    </row>
    <row r="3967" spans="6:9" x14ac:dyDescent="0.3">
      <c r="F3967"/>
      <c r="G3967"/>
      <c r="H3967"/>
      <c r="I3967"/>
    </row>
    <row r="3968" spans="6:9" x14ac:dyDescent="0.3">
      <c r="F3968"/>
      <c r="G3968"/>
      <c r="H3968"/>
      <c r="I3968"/>
    </row>
    <row r="3969" spans="6:9" x14ac:dyDescent="0.3">
      <c r="F3969"/>
      <c r="G3969"/>
      <c r="H3969"/>
      <c r="I3969"/>
    </row>
    <row r="3970" spans="6:9" x14ac:dyDescent="0.3">
      <c r="F3970"/>
      <c r="G3970"/>
      <c r="H3970"/>
      <c r="I3970"/>
    </row>
    <row r="3971" spans="6:9" x14ac:dyDescent="0.3">
      <c r="F3971"/>
      <c r="G3971"/>
      <c r="H3971"/>
      <c r="I3971"/>
    </row>
    <row r="3972" spans="6:9" x14ac:dyDescent="0.3">
      <c r="F3972"/>
      <c r="G3972"/>
      <c r="H3972"/>
      <c r="I3972"/>
    </row>
    <row r="3973" spans="6:9" x14ac:dyDescent="0.3">
      <c r="F3973"/>
      <c r="G3973"/>
      <c r="H3973"/>
      <c r="I3973"/>
    </row>
    <row r="3974" spans="6:9" x14ac:dyDescent="0.3">
      <c r="F3974"/>
      <c r="G3974"/>
      <c r="H3974"/>
      <c r="I3974"/>
    </row>
    <row r="3975" spans="6:9" x14ac:dyDescent="0.3">
      <c r="F3975"/>
      <c r="G3975"/>
      <c r="H3975"/>
      <c r="I3975"/>
    </row>
    <row r="3976" spans="6:9" x14ac:dyDescent="0.3">
      <c r="F3976"/>
      <c r="G3976"/>
      <c r="H3976"/>
      <c r="I3976"/>
    </row>
    <row r="3977" spans="6:9" x14ac:dyDescent="0.3">
      <c r="F3977"/>
      <c r="G3977"/>
      <c r="H3977"/>
      <c r="I3977"/>
    </row>
    <row r="3978" spans="6:9" x14ac:dyDescent="0.3">
      <c r="F3978"/>
      <c r="G3978"/>
      <c r="H3978"/>
      <c r="I3978"/>
    </row>
    <row r="3979" spans="6:9" x14ac:dyDescent="0.3">
      <c r="F3979"/>
      <c r="G3979"/>
      <c r="H3979"/>
      <c r="I3979"/>
    </row>
    <row r="3980" spans="6:9" x14ac:dyDescent="0.3">
      <c r="F3980"/>
      <c r="G3980"/>
      <c r="H3980"/>
      <c r="I3980"/>
    </row>
    <row r="3981" spans="6:9" x14ac:dyDescent="0.3">
      <c r="F3981"/>
      <c r="G3981"/>
      <c r="H3981"/>
      <c r="I3981"/>
    </row>
    <row r="3982" spans="6:9" x14ac:dyDescent="0.3">
      <c r="F3982"/>
      <c r="G3982"/>
      <c r="H3982"/>
      <c r="I3982"/>
    </row>
    <row r="3983" spans="6:9" x14ac:dyDescent="0.3">
      <c r="F3983"/>
      <c r="G3983"/>
      <c r="H3983"/>
      <c r="I3983"/>
    </row>
    <row r="3984" spans="6:9" x14ac:dyDescent="0.3">
      <c r="F3984"/>
      <c r="G3984"/>
      <c r="H3984"/>
      <c r="I3984"/>
    </row>
    <row r="3985" spans="6:9" x14ac:dyDescent="0.3">
      <c r="F3985"/>
      <c r="G3985"/>
      <c r="H3985"/>
      <c r="I3985"/>
    </row>
    <row r="3986" spans="6:9" x14ac:dyDescent="0.3">
      <c r="F3986"/>
      <c r="G3986"/>
      <c r="H3986"/>
      <c r="I3986"/>
    </row>
    <row r="3987" spans="6:9" x14ac:dyDescent="0.3">
      <c r="F3987"/>
      <c r="G3987"/>
      <c r="H3987"/>
      <c r="I3987"/>
    </row>
    <row r="3988" spans="6:9" x14ac:dyDescent="0.3">
      <c r="F3988"/>
      <c r="G3988"/>
      <c r="H3988"/>
      <c r="I3988"/>
    </row>
    <row r="3989" spans="6:9" x14ac:dyDescent="0.3">
      <c r="F3989"/>
      <c r="G3989"/>
      <c r="H3989"/>
      <c r="I3989"/>
    </row>
    <row r="3990" spans="6:9" x14ac:dyDescent="0.3">
      <c r="F3990"/>
      <c r="G3990"/>
      <c r="H3990"/>
      <c r="I3990"/>
    </row>
    <row r="3991" spans="6:9" x14ac:dyDescent="0.3">
      <c r="F3991"/>
      <c r="G3991"/>
      <c r="H3991"/>
      <c r="I3991"/>
    </row>
    <row r="3992" spans="6:9" x14ac:dyDescent="0.3">
      <c r="F3992"/>
      <c r="G3992"/>
      <c r="H3992"/>
      <c r="I3992"/>
    </row>
    <row r="3993" spans="6:9" x14ac:dyDescent="0.3">
      <c r="F3993"/>
      <c r="G3993"/>
      <c r="H3993"/>
      <c r="I3993"/>
    </row>
    <row r="3994" spans="6:9" x14ac:dyDescent="0.3">
      <c r="F3994"/>
      <c r="G3994"/>
      <c r="H3994"/>
      <c r="I3994"/>
    </row>
    <row r="3995" spans="6:9" x14ac:dyDescent="0.3">
      <c r="F3995"/>
      <c r="G3995"/>
      <c r="H3995"/>
      <c r="I3995"/>
    </row>
    <row r="3996" spans="6:9" x14ac:dyDescent="0.3">
      <c r="F3996"/>
      <c r="G3996"/>
      <c r="H3996"/>
      <c r="I3996"/>
    </row>
    <row r="3997" spans="6:9" x14ac:dyDescent="0.3">
      <c r="F3997"/>
      <c r="G3997"/>
      <c r="H3997"/>
      <c r="I3997"/>
    </row>
    <row r="3998" spans="6:9" x14ac:dyDescent="0.3">
      <c r="F3998"/>
      <c r="G3998"/>
      <c r="H3998"/>
      <c r="I3998"/>
    </row>
    <row r="3999" spans="6:9" x14ac:dyDescent="0.3">
      <c r="F3999"/>
      <c r="G3999"/>
      <c r="H3999"/>
      <c r="I3999"/>
    </row>
    <row r="4000" spans="6:9" x14ac:dyDescent="0.3">
      <c r="F4000"/>
      <c r="G4000"/>
      <c r="H4000"/>
      <c r="I4000"/>
    </row>
    <row r="4001" spans="6:9" x14ac:dyDescent="0.3">
      <c r="F4001"/>
      <c r="G4001"/>
      <c r="H4001"/>
      <c r="I4001"/>
    </row>
    <row r="4002" spans="6:9" x14ac:dyDescent="0.3">
      <c r="F4002"/>
      <c r="G4002"/>
      <c r="H4002"/>
      <c r="I4002"/>
    </row>
    <row r="4003" spans="6:9" x14ac:dyDescent="0.3">
      <c r="F4003"/>
      <c r="G4003"/>
      <c r="H4003"/>
      <c r="I4003"/>
    </row>
    <row r="4004" spans="6:9" x14ac:dyDescent="0.3">
      <c r="F4004"/>
      <c r="G4004"/>
      <c r="H4004"/>
      <c r="I4004"/>
    </row>
    <row r="4005" spans="6:9" x14ac:dyDescent="0.3">
      <c r="F4005"/>
      <c r="G4005"/>
      <c r="H4005"/>
      <c r="I4005"/>
    </row>
    <row r="4006" spans="6:9" x14ac:dyDescent="0.3">
      <c r="F4006"/>
      <c r="G4006"/>
      <c r="H4006"/>
      <c r="I4006"/>
    </row>
    <row r="4007" spans="6:9" x14ac:dyDescent="0.3">
      <c r="F4007"/>
      <c r="G4007"/>
      <c r="H4007"/>
      <c r="I4007"/>
    </row>
    <row r="4008" spans="6:9" x14ac:dyDescent="0.3">
      <c r="F4008"/>
      <c r="G4008"/>
      <c r="H4008"/>
      <c r="I4008"/>
    </row>
    <row r="4009" spans="6:9" x14ac:dyDescent="0.3">
      <c r="F4009"/>
      <c r="G4009"/>
      <c r="H4009"/>
      <c r="I4009"/>
    </row>
    <row r="4010" spans="6:9" x14ac:dyDescent="0.3">
      <c r="F4010"/>
      <c r="G4010"/>
      <c r="H4010"/>
      <c r="I4010"/>
    </row>
    <row r="4011" spans="6:9" x14ac:dyDescent="0.3">
      <c r="F4011"/>
      <c r="G4011"/>
      <c r="H4011"/>
      <c r="I4011"/>
    </row>
    <row r="4012" spans="6:9" x14ac:dyDescent="0.3">
      <c r="F4012"/>
      <c r="G4012"/>
      <c r="H4012"/>
      <c r="I4012"/>
    </row>
    <row r="4013" spans="6:9" x14ac:dyDescent="0.3">
      <c r="F4013"/>
      <c r="G4013"/>
      <c r="H4013"/>
      <c r="I4013"/>
    </row>
    <row r="4014" spans="6:9" x14ac:dyDescent="0.3">
      <c r="F4014"/>
      <c r="G4014"/>
      <c r="H4014"/>
      <c r="I4014"/>
    </row>
    <row r="4015" spans="6:9" x14ac:dyDescent="0.3">
      <c r="F4015"/>
      <c r="G4015"/>
      <c r="H4015"/>
      <c r="I4015"/>
    </row>
    <row r="4016" spans="6:9" x14ac:dyDescent="0.3">
      <c r="F4016"/>
      <c r="G4016"/>
      <c r="H4016"/>
      <c r="I4016"/>
    </row>
    <row r="4017" spans="6:9" x14ac:dyDescent="0.3">
      <c r="F4017"/>
      <c r="G4017"/>
      <c r="H4017"/>
      <c r="I4017"/>
    </row>
    <row r="4018" spans="6:9" x14ac:dyDescent="0.3">
      <c r="F4018"/>
      <c r="G4018"/>
      <c r="H4018"/>
      <c r="I4018"/>
    </row>
    <row r="4019" spans="6:9" x14ac:dyDescent="0.3">
      <c r="F4019"/>
      <c r="G4019"/>
      <c r="H4019"/>
      <c r="I4019"/>
    </row>
    <row r="4020" spans="6:9" x14ac:dyDescent="0.3">
      <c r="F4020"/>
      <c r="G4020"/>
      <c r="H4020"/>
      <c r="I4020"/>
    </row>
    <row r="4021" spans="6:9" x14ac:dyDescent="0.3">
      <c r="F4021"/>
      <c r="G4021"/>
      <c r="H4021"/>
      <c r="I4021"/>
    </row>
    <row r="4022" spans="6:9" x14ac:dyDescent="0.3">
      <c r="F4022"/>
      <c r="G4022"/>
      <c r="H4022"/>
      <c r="I4022"/>
    </row>
    <row r="4023" spans="6:9" x14ac:dyDescent="0.3">
      <c r="F4023"/>
      <c r="G4023"/>
      <c r="H4023"/>
      <c r="I4023"/>
    </row>
    <row r="4024" spans="6:9" x14ac:dyDescent="0.3">
      <c r="F4024"/>
      <c r="G4024"/>
      <c r="H4024"/>
      <c r="I4024"/>
    </row>
    <row r="4025" spans="6:9" x14ac:dyDescent="0.3">
      <c r="F4025"/>
      <c r="G4025"/>
      <c r="H4025"/>
      <c r="I4025"/>
    </row>
    <row r="4026" spans="6:9" x14ac:dyDescent="0.3">
      <c r="F4026"/>
      <c r="G4026"/>
      <c r="H4026"/>
      <c r="I4026"/>
    </row>
    <row r="4027" spans="6:9" x14ac:dyDescent="0.3">
      <c r="F4027"/>
      <c r="G4027"/>
      <c r="H4027"/>
      <c r="I4027"/>
    </row>
    <row r="4028" spans="6:9" x14ac:dyDescent="0.3">
      <c r="F4028"/>
      <c r="G4028"/>
      <c r="H4028"/>
      <c r="I4028"/>
    </row>
    <row r="4029" spans="6:9" x14ac:dyDescent="0.3">
      <c r="F4029"/>
      <c r="G4029"/>
      <c r="H4029"/>
      <c r="I4029"/>
    </row>
    <row r="4030" spans="6:9" x14ac:dyDescent="0.3">
      <c r="F4030"/>
      <c r="G4030"/>
      <c r="H4030"/>
      <c r="I4030"/>
    </row>
    <row r="4031" spans="6:9" x14ac:dyDescent="0.3">
      <c r="F4031"/>
      <c r="G4031"/>
      <c r="H4031"/>
      <c r="I4031"/>
    </row>
    <row r="4032" spans="6:9" x14ac:dyDescent="0.3">
      <c r="F4032"/>
      <c r="G4032"/>
      <c r="H4032"/>
      <c r="I4032"/>
    </row>
    <row r="4033" spans="6:9" x14ac:dyDescent="0.3">
      <c r="F4033"/>
      <c r="G4033"/>
      <c r="H4033"/>
      <c r="I4033"/>
    </row>
    <row r="4034" spans="6:9" x14ac:dyDescent="0.3">
      <c r="F4034"/>
      <c r="G4034"/>
      <c r="H4034"/>
      <c r="I4034"/>
    </row>
    <row r="4035" spans="6:9" x14ac:dyDescent="0.3">
      <c r="F4035"/>
      <c r="G4035"/>
      <c r="H4035"/>
      <c r="I4035"/>
    </row>
    <row r="4036" spans="6:9" x14ac:dyDescent="0.3">
      <c r="F4036"/>
      <c r="G4036"/>
      <c r="H4036"/>
      <c r="I4036"/>
    </row>
    <row r="4037" spans="6:9" x14ac:dyDescent="0.3">
      <c r="F4037"/>
      <c r="G4037"/>
      <c r="H4037"/>
      <c r="I4037"/>
    </row>
    <row r="4038" spans="6:9" x14ac:dyDescent="0.3">
      <c r="F4038"/>
      <c r="G4038"/>
      <c r="H4038"/>
      <c r="I4038"/>
    </row>
    <row r="4039" spans="6:9" x14ac:dyDescent="0.3">
      <c r="F4039"/>
      <c r="G4039"/>
      <c r="H4039"/>
      <c r="I4039"/>
    </row>
    <row r="4040" spans="6:9" x14ac:dyDescent="0.3">
      <c r="F4040"/>
      <c r="G4040"/>
      <c r="H4040"/>
      <c r="I4040"/>
    </row>
    <row r="4041" spans="6:9" x14ac:dyDescent="0.3">
      <c r="F4041"/>
      <c r="G4041"/>
      <c r="H4041"/>
      <c r="I4041"/>
    </row>
    <row r="4042" spans="6:9" x14ac:dyDescent="0.3">
      <c r="F4042"/>
      <c r="G4042"/>
      <c r="H4042"/>
      <c r="I4042"/>
    </row>
    <row r="4043" spans="6:9" x14ac:dyDescent="0.3">
      <c r="F4043"/>
      <c r="G4043"/>
      <c r="H4043"/>
      <c r="I4043"/>
    </row>
    <row r="4044" spans="6:9" x14ac:dyDescent="0.3">
      <c r="F4044"/>
      <c r="G4044"/>
      <c r="H4044"/>
      <c r="I4044"/>
    </row>
    <row r="4045" spans="6:9" x14ac:dyDescent="0.3">
      <c r="F4045"/>
      <c r="G4045"/>
      <c r="H4045"/>
      <c r="I4045"/>
    </row>
    <row r="4046" spans="6:9" x14ac:dyDescent="0.3">
      <c r="F4046"/>
      <c r="G4046"/>
      <c r="H4046"/>
      <c r="I4046"/>
    </row>
    <row r="4047" spans="6:9" x14ac:dyDescent="0.3">
      <c r="F4047"/>
      <c r="G4047"/>
      <c r="H4047"/>
      <c r="I4047"/>
    </row>
    <row r="4048" spans="6:9" x14ac:dyDescent="0.3">
      <c r="F4048"/>
      <c r="G4048"/>
      <c r="H4048"/>
      <c r="I4048"/>
    </row>
    <row r="4049" spans="6:9" x14ac:dyDescent="0.3">
      <c r="F4049"/>
      <c r="G4049"/>
      <c r="H4049"/>
      <c r="I4049"/>
    </row>
    <row r="4050" spans="6:9" x14ac:dyDescent="0.3">
      <c r="F4050"/>
      <c r="G4050"/>
      <c r="H4050"/>
      <c r="I4050"/>
    </row>
    <row r="4051" spans="6:9" x14ac:dyDescent="0.3">
      <c r="F4051"/>
      <c r="G4051"/>
      <c r="H4051"/>
      <c r="I4051"/>
    </row>
    <row r="4052" spans="6:9" x14ac:dyDescent="0.3">
      <c r="F4052"/>
      <c r="G4052"/>
      <c r="H4052"/>
      <c r="I4052"/>
    </row>
    <row r="4053" spans="6:9" x14ac:dyDescent="0.3">
      <c r="F4053"/>
      <c r="G4053"/>
      <c r="H4053"/>
      <c r="I4053"/>
    </row>
    <row r="4054" spans="6:9" x14ac:dyDescent="0.3">
      <c r="F4054"/>
      <c r="G4054"/>
      <c r="H4054"/>
      <c r="I4054"/>
    </row>
    <row r="4055" spans="6:9" x14ac:dyDescent="0.3">
      <c r="F4055"/>
      <c r="G4055"/>
      <c r="H4055"/>
      <c r="I4055"/>
    </row>
    <row r="4056" spans="6:9" x14ac:dyDescent="0.3">
      <c r="F4056"/>
      <c r="G4056"/>
      <c r="H4056"/>
      <c r="I4056"/>
    </row>
    <row r="4057" spans="6:9" x14ac:dyDescent="0.3">
      <c r="F4057"/>
      <c r="G4057"/>
      <c r="H4057"/>
      <c r="I4057"/>
    </row>
    <row r="4058" spans="6:9" x14ac:dyDescent="0.3">
      <c r="F4058"/>
      <c r="G4058"/>
      <c r="H4058"/>
      <c r="I4058"/>
    </row>
    <row r="4059" spans="6:9" x14ac:dyDescent="0.3">
      <c r="F4059"/>
      <c r="G4059"/>
      <c r="H4059"/>
      <c r="I4059"/>
    </row>
    <row r="4060" spans="6:9" x14ac:dyDescent="0.3">
      <c r="F4060"/>
      <c r="G4060"/>
      <c r="H4060"/>
      <c r="I4060"/>
    </row>
    <row r="4061" spans="6:9" x14ac:dyDescent="0.3">
      <c r="F4061"/>
      <c r="G4061"/>
      <c r="H4061"/>
      <c r="I4061"/>
    </row>
    <row r="4062" spans="6:9" x14ac:dyDescent="0.3">
      <c r="F4062"/>
      <c r="G4062"/>
      <c r="H4062"/>
      <c r="I4062"/>
    </row>
    <row r="4063" spans="6:9" x14ac:dyDescent="0.3">
      <c r="F4063"/>
      <c r="G4063"/>
      <c r="H4063"/>
      <c r="I4063"/>
    </row>
    <row r="4064" spans="6:9" x14ac:dyDescent="0.3">
      <c r="F4064"/>
      <c r="G4064"/>
      <c r="H4064"/>
      <c r="I4064"/>
    </row>
    <row r="4065" spans="6:9" x14ac:dyDescent="0.3">
      <c r="F4065"/>
      <c r="G4065"/>
      <c r="H4065"/>
      <c r="I4065"/>
    </row>
    <row r="4066" spans="6:9" x14ac:dyDescent="0.3">
      <c r="F4066"/>
      <c r="G4066"/>
      <c r="H4066"/>
      <c r="I4066"/>
    </row>
    <row r="4067" spans="6:9" x14ac:dyDescent="0.3">
      <c r="F4067"/>
      <c r="G4067"/>
      <c r="H4067"/>
      <c r="I4067"/>
    </row>
    <row r="4068" spans="6:9" x14ac:dyDescent="0.3">
      <c r="F4068"/>
      <c r="G4068"/>
      <c r="H4068"/>
      <c r="I4068"/>
    </row>
    <row r="4069" spans="6:9" x14ac:dyDescent="0.3">
      <c r="F4069"/>
      <c r="G4069"/>
      <c r="H4069"/>
      <c r="I4069"/>
    </row>
    <row r="4070" spans="6:9" x14ac:dyDescent="0.3">
      <c r="F4070"/>
      <c r="G4070"/>
      <c r="H4070"/>
      <c r="I4070"/>
    </row>
    <row r="4071" spans="6:9" x14ac:dyDescent="0.3">
      <c r="F4071"/>
      <c r="G4071"/>
      <c r="H4071"/>
      <c r="I4071"/>
    </row>
    <row r="4072" spans="6:9" x14ac:dyDescent="0.3">
      <c r="F4072"/>
      <c r="G4072"/>
      <c r="H4072"/>
      <c r="I4072"/>
    </row>
    <row r="4073" spans="6:9" x14ac:dyDescent="0.3">
      <c r="F4073"/>
      <c r="G4073"/>
      <c r="H4073"/>
      <c r="I4073"/>
    </row>
    <row r="4074" spans="6:9" x14ac:dyDescent="0.3">
      <c r="F4074"/>
      <c r="G4074"/>
      <c r="H4074"/>
      <c r="I4074"/>
    </row>
    <row r="4075" spans="6:9" x14ac:dyDescent="0.3">
      <c r="F4075"/>
      <c r="G4075"/>
      <c r="H4075"/>
      <c r="I4075"/>
    </row>
    <row r="4076" spans="6:9" x14ac:dyDescent="0.3">
      <c r="F4076"/>
      <c r="G4076"/>
      <c r="H4076"/>
      <c r="I4076"/>
    </row>
    <row r="4077" spans="6:9" x14ac:dyDescent="0.3">
      <c r="F4077"/>
      <c r="G4077"/>
      <c r="H4077"/>
      <c r="I4077"/>
    </row>
    <row r="4078" spans="6:9" x14ac:dyDescent="0.3">
      <c r="F4078"/>
      <c r="G4078"/>
      <c r="H4078"/>
      <c r="I4078"/>
    </row>
    <row r="4079" spans="6:9" x14ac:dyDescent="0.3">
      <c r="F4079"/>
      <c r="G4079"/>
      <c r="H4079"/>
      <c r="I4079"/>
    </row>
    <row r="4080" spans="6:9" x14ac:dyDescent="0.3">
      <c r="F4080"/>
      <c r="G4080"/>
      <c r="H4080"/>
      <c r="I4080"/>
    </row>
    <row r="4081" spans="6:9" x14ac:dyDescent="0.3">
      <c r="F4081"/>
      <c r="G4081"/>
      <c r="H4081"/>
      <c r="I4081"/>
    </row>
    <row r="4082" spans="6:9" x14ac:dyDescent="0.3">
      <c r="F4082"/>
      <c r="G4082"/>
      <c r="H4082"/>
      <c r="I4082"/>
    </row>
    <row r="4083" spans="6:9" x14ac:dyDescent="0.3">
      <c r="F4083"/>
      <c r="G4083"/>
      <c r="H4083"/>
      <c r="I4083"/>
    </row>
    <row r="4084" spans="6:9" x14ac:dyDescent="0.3">
      <c r="F4084"/>
      <c r="G4084"/>
      <c r="H4084"/>
      <c r="I4084"/>
    </row>
    <row r="4085" spans="6:9" x14ac:dyDescent="0.3">
      <c r="F4085"/>
      <c r="G4085"/>
      <c r="H4085"/>
      <c r="I4085"/>
    </row>
    <row r="4086" spans="6:9" x14ac:dyDescent="0.3">
      <c r="F4086"/>
      <c r="G4086"/>
      <c r="H4086"/>
      <c r="I4086"/>
    </row>
    <row r="4087" spans="6:9" x14ac:dyDescent="0.3">
      <c r="F4087"/>
      <c r="G4087"/>
      <c r="H4087"/>
      <c r="I4087"/>
    </row>
    <row r="4088" spans="6:9" x14ac:dyDescent="0.3">
      <c r="F4088"/>
      <c r="G4088"/>
      <c r="H4088"/>
      <c r="I4088"/>
    </row>
    <row r="4089" spans="6:9" x14ac:dyDescent="0.3">
      <c r="F4089"/>
      <c r="G4089"/>
      <c r="H4089"/>
      <c r="I4089"/>
    </row>
    <row r="4090" spans="6:9" x14ac:dyDescent="0.3">
      <c r="F4090"/>
      <c r="G4090"/>
      <c r="H4090"/>
      <c r="I4090"/>
    </row>
    <row r="4091" spans="6:9" x14ac:dyDescent="0.3">
      <c r="F4091"/>
      <c r="G4091"/>
      <c r="H4091"/>
      <c r="I4091"/>
    </row>
    <row r="4092" spans="6:9" x14ac:dyDescent="0.3">
      <c r="F4092"/>
      <c r="G4092"/>
      <c r="H4092"/>
      <c r="I4092"/>
    </row>
    <row r="4093" spans="6:9" x14ac:dyDescent="0.3">
      <c r="F4093"/>
      <c r="G4093"/>
      <c r="H4093"/>
      <c r="I4093"/>
    </row>
    <row r="4094" spans="6:9" x14ac:dyDescent="0.3">
      <c r="F4094"/>
      <c r="G4094"/>
      <c r="H4094"/>
      <c r="I4094"/>
    </row>
    <row r="4095" spans="6:9" x14ac:dyDescent="0.3">
      <c r="F4095"/>
      <c r="G4095"/>
      <c r="H4095"/>
      <c r="I4095"/>
    </row>
    <row r="4096" spans="6:9" x14ac:dyDescent="0.3">
      <c r="F4096"/>
      <c r="G4096"/>
      <c r="H4096"/>
      <c r="I4096"/>
    </row>
    <row r="4097" spans="6:9" x14ac:dyDescent="0.3">
      <c r="F4097"/>
      <c r="G4097"/>
      <c r="H4097"/>
      <c r="I4097"/>
    </row>
    <row r="4098" spans="6:9" x14ac:dyDescent="0.3">
      <c r="F4098"/>
      <c r="G4098"/>
      <c r="H4098"/>
      <c r="I4098"/>
    </row>
    <row r="4099" spans="6:9" x14ac:dyDescent="0.3">
      <c r="F4099"/>
      <c r="G4099"/>
      <c r="H4099"/>
      <c r="I4099"/>
    </row>
    <row r="4100" spans="6:9" x14ac:dyDescent="0.3">
      <c r="F4100"/>
      <c r="G4100"/>
      <c r="H4100"/>
      <c r="I4100"/>
    </row>
    <row r="4101" spans="6:9" x14ac:dyDescent="0.3">
      <c r="F4101"/>
      <c r="G4101"/>
      <c r="H4101"/>
      <c r="I4101"/>
    </row>
    <row r="4102" spans="6:9" x14ac:dyDescent="0.3">
      <c r="F4102"/>
      <c r="G4102"/>
      <c r="H4102"/>
      <c r="I4102"/>
    </row>
    <row r="4103" spans="6:9" x14ac:dyDescent="0.3">
      <c r="F4103"/>
      <c r="G4103"/>
      <c r="H4103"/>
      <c r="I4103"/>
    </row>
    <row r="4104" spans="6:9" x14ac:dyDescent="0.3">
      <c r="F4104"/>
      <c r="G4104"/>
      <c r="H4104"/>
      <c r="I4104"/>
    </row>
    <row r="4105" spans="6:9" x14ac:dyDescent="0.3">
      <c r="F4105"/>
      <c r="G4105"/>
      <c r="H4105"/>
      <c r="I4105"/>
    </row>
    <row r="4106" spans="6:9" x14ac:dyDescent="0.3">
      <c r="F4106"/>
      <c r="G4106"/>
      <c r="H4106"/>
      <c r="I4106"/>
    </row>
    <row r="4107" spans="6:9" x14ac:dyDescent="0.3">
      <c r="F4107"/>
      <c r="G4107"/>
      <c r="H4107"/>
      <c r="I4107"/>
    </row>
    <row r="4108" spans="6:9" x14ac:dyDescent="0.3">
      <c r="F4108"/>
      <c r="G4108"/>
      <c r="H4108"/>
      <c r="I4108"/>
    </row>
    <row r="4109" spans="6:9" x14ac:dyDescent="0.3">
      <c r="F4109"/>
      <c r="G4109"/>
      <c r="H4109"/>
      <c r="I4109"/>
    </row>
    <row r="4110" spans="6:9" x14ac:dyDescent="0.3">
      <c r="F4110"/>
      <c r="G4110"/>
      <c r="H4110"/>
      <c r="I4110"/>
    </row>
    <row r="4111" spans="6:9" x14ac:dyDescent="0.3">
      <c r="F4111"/>
      <c r="G4111"/>
      <c r="H4111"/>
      <c r="I4111"/>
    </row>
    <row r="4112" spans="6:9" x14ac:dyDescent="0.3">
      <c r="F4112"/>
      <c r="G4112"/>
      <c r="H4112"/>
      <c r="I4112"/>
    </row>
    <row r="4113" spans="6:9" x14ac:dyDescent="0.3">
      <c r="F4113"/>
      <c r="G4113"/>
      <c r="H4113"/>
      <c r="I4113"/>
    </row>
    <row r="4114" spans="6:9" x14ac:dyDescent="0.3">
      <c r="F4114"/>
      <c r="G4114"/>
      <c r="H4114"/>
      <c r="I4114"/>
    </row>
    <row r="4115" spans="6:9" x14ac:dyDescent="0.3">
      <c r="F4115"/>
      <c r="G4115"/>
      <c r="H4115"/>
      <c r="I4115"/>
    </row>
    <row r="4116" spans="6:9" x14ac:dyDescent="0.3">
      <c r="F4116"/>
      <c r="G4116"/>
      <c r="H4116"/>
      <c r="I4116"/>
    </row>
    <row r="4117" spans="6:9" x14ac:dyDescent="0.3">
      <c r="F4117"/>
      <c r="G4117"/>
      <c r="H4117"/>
      <c r="I4117"/>
    </row>
    <row r="4118" spans="6:9" x14ac:dyDescent="0.3">
      <c r="F4118"/>
      <c r="G4118"/>
      <c r="H4118"/>
      <c r="I4118"/>
    </row>
    <row r="4119" spans="6:9" x14ac:dyDescent="0.3">
      <c r="F4119"/>
      <c r="G4119"/>
      <c r="H4119"/>
      <c r="I4119"/>
    </row>
    <row r="4120" spans="6:9" x14ac:dyDescent="0.3">
      <c r="F4120"/>
      <c r="G4120"/>
      <c r="H4120"/>
      <c r="I4120"/>
    </row>
    <row r="4121" spans="6:9" x14ac:dyDescent="0.3">
      <c r="F4121"/>
      <c r="G4121"/>
      <c r="H4121"/>
      <c r="I4121"/>
    </row>
    <row r="4122" spans="6:9" x14ac:dyDescent="0.3">
      <c r="F4122"/>
      <c r="G4122"/>
      <c r="H4122"/>
      <c r="I4122"/>
    </row>
    <row r="4123" spans="6:9" x14ac:dyDescent="0.3">
      <c r="F4123"/>
      <c r="G4123"/>
      <c r="H4123"/>
      <c r="I4123"/>
    </row>
    <row r="4124" spans="6:9" x14ac:dyDescent="0.3">
      <c r="F4124"/>
      <c r="G4124"/>
      <c r="H4124"/>
      <c r="I4124"/>
    </row>
    <row r="4125" spans="6:9" x14ac:dyDescent="0.3">
      <c r="F4125"/>
      <c r="G4125"/>
      <c r="H4125"/>
      <c r="I4125"/>
    </row>
    <row r="4126" spans="6:9" x14ac:dyDescent="0.3">
      <c r="F4126"/>
      <c r="G4126"/>
      <c r="H4126"/>
      <c r="I4126"/>
    </row>
    <row r="4127" spans="6:9" x14ac:dyDescent="0.3">
      <c r="F4127"/>
      <c r="G4127"/>
      <c r="H4127"/>
      <c r="I4127"/>
    </row>
    <row r="4128" spans="6:9" x14ac:dyDescent="0.3">
      <c r="F4128"/>
      <c r="G4128"/>
      <c r="H4128"/>
      <c r="I4128"/>
    </row>
    <row r="4129" spans="6:9" x14ac:dyDescent="0.3">
      <c r="F4129"/>
      <c r="G4129"/>
      <c r="H4129"/>
      <c r="I4129"/>
    </row>
    <row r="4130" spans="6:9" x14ac:dyDescent="0.3">
      <c r="F4130"/>
      <c r="G4130"/>
      <c r="H4130"/>
      <c r="I4130"/>
    </row>
    <row r="4131" spans="6:9" x14ac:dyDescent="0.3">
      <c r="F4131"/>
      <c r="G4131"/>
      <c r="H4131"/>
      <c r="I4131"/>
    </row>
    <row r="4132" spans="6:9" x14ac:dyDescent="0.3">
      <c r="F4132"/>
      <c r="G4132"/>
      <c r="H4132"/>
      <c r="I4132"/>
    </row>
    <row r="4133" spans="6:9" x14ac:dyDescent="0.3">
      <c r="F4133"/>
      <c r="G4133"/>
      <c r="H4133"/>
      <c r="I4133"/>
    </row>
    <row r="4134" spans="6:9" x14ac:dyDescent="0.3">
      <c r="F4134"/>
      <c r="G4134"/>
      <c r="H4134"/>
      <c r="I4134"/>
    </row>
    <row r="4135" spans="6:9" x14ac:dyDescent="0.3">
      <c r="F4135"/>
      <c r="G4135"/>
      <c r="H4135"/>
      <c r="I4135"/>
    </row>
    <row r="4136" spans="6:9" x14ac:dyDescent="0.3">
      <c r="F4136"/>
      <c r="G4136"/>
      <c r="H4136"/>
      <c r="I4136"/>
    </row>
    <row r="4137" spans="6:9" x14ac:dyDescent="0.3">
      <c r="F4137"/>
      <c r="G4137"/>
      <c r="H4137"/>
      <c r="I4137"/>
    </row>
    <row r="4138" spans="6:9" x14ac:dyDescent="0.3">
      <c r="F4138"/>
      <c r="G4138"/>
      <c r="H4138"/>
      <c r="I4138"/>
    </row>
    <row r="4139" spans="6:9" x14ac:dyDescent="0.3">
      <c r="F4139"/>
      <c r="G4139"/>
      <c r="H4139"/>
      <c r="I4139"/>
    </row>
    <row r="4140" spans="6:9" x14ac:dyDescent="0.3">
      <c r="F4140"/>
      <c r="G4140"/>
      <c r="H4140"/>
      <c r="I4140"/>
    </row>
    <row r="4141" spans="6:9" x14ac:dyDescent="0.3">
      <c r="F4141"/>
      <c r="G4141"/>
      <c r="H4141"/>
      <c r="I4141"/>
    </row>
    <row r="4142" spans="6:9" x14ac:dyDescent="0.3">
      <c r="F4142"/>
      <c r="G4142"/>
      <c r="H4142"/>
      <c r="I4142"/>
    </row>
    <row r="4143" spans="6:9" x14ac:dyDescent="0.3">
      <c r="F4143"/>
      <c r="G4143"/>
      <c r="H4143"/>
      <c r="I4143"/>
    </row>
    <row r="4144" spans="6:9" x14ac:dyDescent="0.3">
      <c r="F4144"/>
      <c r="G4144"/>
      <c r="H4144"/>
      <c r="I4144"/>
    </row>
    <row r="4145" spans="6:9" x14ac:dyDescent="0.3">
      <c r="F4145"/>
      <c r="G4145"/>
      <c r="H4145"/>
      <c r="I4145"/>
    </row>
    <row r="4146" spans="6:9" x14ac:dyDescent="0.3">
      <c r="F4146"/>
      <c r="G4146"/>
      <c r="H4146"/>
      <c r="I4146"/>
    </row>
    <row r="4147" spans="6:9" x14ac:dyDescent="0.3">
      <c r="F4147"/>
      <c r="G4147"/>
      <c r="H4147"/>
      <c r="I4147"/>
    </row>
    <row r="4148" spans="6:9" x14ac:dyDescent="0.3">
      <c r="F4148"/>
      <c r="G4148"/>
      <c r="H4148"/>
      <c r="I4148"/>
    </row>
    <row r="4149" spans="6:9" x14ac:dyDescent="0.3">
      <c r="F4149"/>
      <c r="G4149"/>
      <c r="H4149"/>
      <c r="I4149"/>
    </row>
    <row r="4150" spans="6:9" x14ac:dyDescent="0.3">
      <c r="F4150"/>
      <c r="G4150"/>
      <c r="H4150"/>
      <c r="I4150"/>
    </row>
    <row r="4151" spans="6:9" x14ac:dyDescent="0.3">
      <c r="F4151"/>
      <c r="G4151"/>
      <c r="H4151"/>
      <c r="I4151"/>
    </row>
    <row r="4152" spans="6:9" x14ac:dyDescent="0.3">
      <c r="F4152"/>
      <c r="G4152"/>
      <c r="H4152"/>
      <c r="I4152"/>
    </row>
    <row r="4153" spans="6:9" x14ac:dyDescent="0.3">
      <c r="F4153"/>
      <c r="G4153"/>
      <c r="H4153"/>
      <c r="I4153"/>
    </row>
    <row r="4154" spans="6:9" x14ac:dyDescent="0.3">
      <c r="F4154"/>
      <c r="G4154"/>
      <c r="H4154"/>
      <c r="I4154"/>
    </row>
    <row r="4155" spans="6:9" x14ac:dyDescent="0.3">
      <c r="F4155"/>
      <c r="G4155"/>
      <c r="H4155"/>
      <c r="I4155"/>
    </row>
    <row r="4156" spans="6:9" x14ac:dyDescent="0.3">
      <c r="F4156"/>
      <c r="G4156"/>
      <c r="H4156"/>
      <c r="I4156"/>
    </row>
    <row r="4157" spans="6:9" x14ac:dyDescent="0.3">
      <c r="F4157"/>
      <c r="G4157"/>
      <c r="H4157"/>
      <c r="I4157"/>
    </row>
    <row r="4158" spans="6:9" x14ac:dyDescent="0.3">
      <c r="F4158"/>
      <c r="G4158"/>
      <c r="H4158"/>
      <c r="I4158"/>
    </row>
    <row r="4159" spans="6:9" x14ac:dyDescent="0.3">
      <c r="F4159"/>
      <c r="G4159"/>
      <c r="H4159"/>
      <c r="I4159"/>
    </row>
    <row r="4160" spans="6:9" x14ac:dyDescent="0.3">
      <c r="F4160"/>
      <c r="G4160"/>
      <c r="H4160"/>
      <c r="I4160"/>
    </row>
    <row r="4161" spans="6:9" x14ac:dyDescent="0.3">
      <c r="F4161"/>
      <c r="G4161"/>
      <c r="H4161"/>
      <c r="I4161"/>
    </row>
    <row r="4162" spans="6:9" x14ac:dyDescent="0.3">
      <c r="F4162"/>
      <c r="G4162"/>
      <c r="H4162"/>
      <c r="I4162"/>
    </row>
    <row r="4163" spans="6:9" x14ac:dyDescent="0.3">
      <c r="F4163"/>
      <c r="G4163"/>
      <c r="H4163"/>
      <c r="I4163"/>
    </row>
    <row r="4164" spans="6:9" x14ac:dyDescent="0.3">
      <c r="F4164"/>
      <c r="G4164"/>
      <c r="H4164"/>
      <c r="I4164"/>
    </row>
    <row r="4165" spans="6:9" x14ac:dyDescent="0.3">
      <c r="F4165"/>
      <c r="G4165"/>
      <c r="H4165"/>
      <c r="I4165"/>
    </row>
    <row r="4166" spans="6:9" x14ac:dyDescent="0.3">
      <c r="F4166"/>
      <c r="G4166"/>
      <c r="H4166"/>
      <c r="I4166"/>
    </row>
    <row r="4167" spans="6:9" x14ac:dyDescent="0.3">
      <c r="F4167"/>
      <c r="G4167"/>
      <c r="H4167"/>
      <c r="I4167"/>
    </row>
    <row r="4168" spans="6:9" x14ac:dyDescent="0.3">
      <c r="F4168"/>
      <c r="G4168"/>
      <c r="H4168"/>
      <c r="I4168"/>
    </row>
    <row r="4169" spans="6:9" x14ac:dyDescent="0.3">
      <c r="F4169"/>
      <c r="G4169"/>
      <c r="H4169"/>
      <c r="I4169"/>
    </row>
    <row r="4170" spans="6:9" x14ac:dyDescent="0.3">
      <c r="F4170"/>
      <c r="G4170"/>
      <c r="H4170"/>
      <c r="I4170"/>
    </row>
    <row r="4171" spans="6:9" x14ac:dyDescent="0.3">
      <c r="F4171"/>
      <c r="G4171"/>
      <c r="H4171"/>
      <c r="I4171"/>
    </row>
    <row r="4172" spans="6:9" x14ac:dyDescent="0.3">
      <c r="F4172"/>
      <c r="G4172"/>
      <c r="H4172"/>
      <c r="I4172"/>
    </row>
    <row r="4173" spans="6:9" x14ac:dyDescent="0.3">
      <c r="F4173"/>
      <c r="G4173"/>
      <c r="H4173"/>
      <c r="I4173"/>
    </row>
    <row r="4174" spans="6:9" x14ac:dyDescent="0.3">
      <c r="F4174"/>
      <c r="G4174"/>
      <c r="H4174"/>
      <c r="I4174"/>
    </row>
    <row r="4175" spans="6:9" x14ac:dyDescent="0.3">
      <c r="F4175"/>
      <c r="G4175"/>
      <c r="H4175"/>
      <c r="I4175"/>
    </row>
    <row r="4176" spans="6:9" x14ac:dyDescent="0.3">
      <c r="F4176"/>
      <c r="G4176"/>
      <c r="H4176"/>
      <c r="I4176"/>
    </row>
    <row r="4177" spans="6:9" x14ac:dyDescent="0.3">
      <c r="F4177"/>
      <c r="G4177"/>
      <c r="H4177"/>
      <c r="I4177"/>
    </row>
    <row r="4178" spans="6:9" x14ac:dyDescent="0.3">
      <c r="F4178"/>
      <c r="G4178"/>
      <c r="H4178"/>
      <c r="I4178"/>
    </row>
    <row r="4179" spans="6:9" x14ac:dyDescent="0.3">
      <c r="F4179"/>
      <c r="G4179"/>
      <c r="H4179"/>
      <c r="I4179"/>
    </row>
    <row r="4180" spans="6:9" x14ac:dyDescent="0.3">
      <c r="F4180"/>
      <c r="G4180"/>
      <c r="H4180"/>
      <c r="I4180"/>
    </row>
    <row r="4181" spans="6:9" x14ac:dyDescent="0.3">
      <c r="F4181"/>
      <c r="G4181"/>
      <c r="H4181"/>
      <c r="I4181"/>
    </row>
    <row r="4182" spans="6:9" x14ac:dyDescent="0.3">
      <c r="F4182"/>
      <c r="G4182"/>
      <c r="H4182"/>
      <c r="I4182"/>
    </row>
    <row r="4183" spans="6:9" x14ac:dyDescent="0.3">
      <c r="F4183"/>
      <c r="G4183"/>
      <c r="H4183"/>
      <c r="I4183"/>
    </row>
    <row r="4184" spans="6:9" x14ac:dyDescent="0.3">
      <c r="F4184"/>
      <c r="G4184"/>
      <c r="H4184"/>
      <c r="I4184"/>
    </row>
    <row r="4185" spans="6:9" x14ac:dyDescent="0.3">
      <c r="F4185"/>
      <c r="G4185"/>
      <c r="H4185"/>
      <c r="I4185"/>
    </row>
    <row r="4186" spans="6:9" x14ac:dyDescent="0.3">
      <c r="F4186"/>
      <c r="G4186"/>
      <c r="H4186"/>
      <c r="I4186"/>
    </row>
    <row r="4187" spans="6:9" x14ac:dyDescent="0.3">
      <c r="F4187"/>
      <c r="G4187"/>
      <c r="H4187"/>
      <c r="I4187"/>
    </row>
    <row r="4188" spans="6:9" x14ac:dyDescent="0.3">
      <c r="F4188"/>
      <c r="G4188"/>
      <c r="H4188"/>
      <c r="I4188"/>
    </row>
    <row r="4189" spans="6:9" x14ac:dyDescent="0.3">
      <c r="F4189"/>
      <c r="G4189"/>
      <c r="H4189"/>
      <c r="I4189"/>
    </row>
    <row r="4190" spans="6:9" x14ac:dyDescent="0.3">
      <c r="F4190"/>
      <c r="G4190"/>
      <c r="H4190"/>
      <c r="I4190"/>
    </row>
    <row r="4191" spans="6:9" x14ac:dyDescent="0.3">
      <c r="F4191"/>
      <c r="G4191"/>
      <c r="H4191"/>
      <c r="I4191"/>
    </row>
    <row r="4192" spans="6:9" x14ac:dyDescent="0.3">
      <c r="F4192"/>
      <c r="G4192"/>
      <c r="H4192"/>
      <c r="I4192"/>
    </row>
    <row r="4193" spans="6:9" x14ac:dyDescent="0.3">
      <c r="F4193"/>
      <c r="G4193"/>
      <c r="H4193"/>
      <c r="I4193"/>
    </row>
    <row r="4194" spans="6:9" x14ac:dyDescent="0.3">
      <c r="F4194"/>
      <c r="G4194"/>
      <c r="H4194"/>
      <c r="I4194"/>
    </row>
    <row r="4195" spans="6:9" x14ac:dyDescent="0.3">
      <c r="F4195"/>
      <c r="G4195"/>
      <c r="H4195"/>
      <c r="I4195"/>
    </row>
    <row r="4196" spans="6:9" x14ac:dyDescent="0.3">
      <c r="F4196"/>
      <c r="G4196"/>
      <c r="H4196"/>
      <c r="I4196"/>
    </row>
    <row r="4197" spans="6:9" x14ac:dyDescent="0.3">
      <c r="F4197"/>
      <c r="G4197"/>
      <c r="H4197"/>
      <c r="I4197"/>
    </row>
    <row r="4198" spans="6:9" x14ac:dyDescent="0.3">
      <c r="F4198"/>
      <c r="G4198"/>
      <c r="H4198"/>
      <c r="I4198"/>
    </row>
    <row r="4199" spans="6:9" x14ac:dyDescent="0.3">
      <c r="F4199"/>
      <c r="G4199"/>
      <c r="H4199"/>
      <c r="I4199"/>
    </row>
    <row r="4200" spans="6:9" x14ac:dyDescent="0.3">
      <c r="F4200"/>
      <c r="G4200"/>
      <c r="H4200"/>
      <c r="I4200"/>
    </row>
    <row r="4201" spans="6:9" x14ac:dyDescent="0.3">
      <c r="F4201"/>
      <c r="G4201"/>
      <c r="H4201"/>
      <c r="I4201"/>
    </row>
    <row r="4202" spans="6:9" x14ac:dyDescent="0.3">
      <c r="F4202"/>
      <c r="G4202"/>
      <c r="H4202"/>
      <c r="I4202"/>
    </row>
    <row r="4203" spans="6:9" x14ac:dyDescent="0.3">
      <c r="F4203"/>
      <c r="G4203"/>
      <c r="H4203"/>
      <c r="I4203"/>
    </row>
    <row r="4204" spans="6:9" x14ac:dyDescent="0.3">
      <c r="F4204"/>
      <c r="G4204"/>
      <c r="H4204"/>
      <c r="I4204"/>
    </row>
    <row r="4205" spans="6:9" x14ac:dyDescent="0.3">
      <c r="F4205"/>
      <c r="G4205"/>
      <c r="H4205"/>
      <c r="I4205"/>
    </row>
    <row r="4206" spans="6:9" x14ac:dyDescent="0.3">
      <c r="F4206"/>
      <c r="G4206"/>
      <c r="H4206"/>
      <c r="I4206"/>
    </row>
    <row r="4207" spans="6:9" x14ac:dyDescent="0.3">
      <c r="F4207"/>
      <c r="G4207"/>
      <c r="H4207"/>
      <c r="I4207"/>
    </row>
    <row r="4208" spans="6:9" x14ac:dyDescent="0.3">
      <c r="F4208"/>
      <c r="G4208"/>
      <c r="H4208"/>
      <c r="I4208"/>
    </row>
    <row r="4209" spans="6:9" x14ac:dyDescent="0.3">
      <c r="F4209"/>
      <c r="G4209"/>
      <c r="H4209"/>
      <c r="I4209"/>
    </row>
    <row r="4210" spans="6:9" x14ac:dyDescent="0.3">
      <c r="F4210"/>
      <c r="G4210"/>
      <c r="H4210"/>
      <c r="I4210"/>
    </row>
    <row r="4211" spans="6:9" x14ac:dyDescent="0.3">
      <c r="F4211"/>
      <c r="G4211"/>
      <c r="H4211"/>
      <c r="I4211"/>
    </row>
    <row r="4212" spans="6:9" x14ac:dyDescent="0.3">
      <c r="F4212"/>
      <c r="G4212"/>
      <c r="H4212"/>
      <c r="I4212"/>
    </row>
    <row r="4213" spans="6:9" x14ac:dyDescent="0.3">
      <c r="F4213"/>
      <c r="G4213"/>
      <c r="H4213"/>
      <c r="I4213"/>
    </row>
    <row r="4214" spans="6:9" x14ac:dyDescent="0.3">
      <c r="F4214"/>
      <c r="G4214"/>
      <c r="H4214"/>
      <c r="I4214"/>
    </row>
    <row r="4215" spans="6:9" x14ac:dyDescent="0.3">
      <c r="F4215"/>
      <c r="G4215"/>
      <c r="H4215"/>
      <c r="I4215"/>
    </row>
    <row r="4216" spans="6:9" x14ac:dyDescent="0.3">
      <c r="F4216"/>
      <c r="G4216"/>
      <c r="H4216"/>
      <c r="I4216"/>
    </row>
    <row r="4217" spans="6:9" x14ac:dyDescent="0.3">
      <c r="F4217"/>
      <c r="G4217"/>
      <c r="H4217"/>
      <c r="I4217"/>
    </row>
    <row r="4218" spans="6:9" x14ac:dyDescent="0.3">
      <c r="F4218"/>
      <c r="G4218"/>
      <c r="H4218"/>
      <c r="I4218"/>
    </row>
    <row r="4219" spans="6:9" x14ac:dyDescent="0.3">
      <c r="F4219"/>
      <c r="G4219"/>
      <c r="H4219"/>
      <c r="I4219"/>
    </row>
    <row r="4220" spans="6:9" x14ac:dyDescent="0.3">
      <c r="F4220"/>
      <c r="G4220"/>
      <c r="H4220"/>
      <c r="I4220"/>
    </row>
    <row r="4221" spans="6:9" x14ac:dyDescent="0.3">
      <c r="F4221"/>
      <c r="G4221"/>
      <c r="H4221"/>
      <c r="I4221"/>
    </row>
    <row r="4222" spans="6:9" x14ac:dyDescent="0.3">
      <c r="F4222"/>
      <c r="G4222"/>
      <c r="H4222"/>
      <c r="I4222"/>
    </row>
    <row r="4223" spans="6:9" x14ac:dyDescent="0.3">
      <c r="F4223"/>
      <c r="G4223"/>
      <c r="H4223"/>
      <c r="I4223"/>
    </row>
    <row r="4224" spans="6:9" x14ac:dyDescent="0.3">
      <c r="F4224"/>
      <c r="G4224"/>
      <c r="H4224"/>
      <c r="I4224"/>
    </row>
    <row r="4225" spans="6:9" x14ac:dyDescent="0.3">
      <c r="F4225"/>
      <c r="G4225"/>
      <c r="H4225"/>
      <c r="I4225"/>
    </row>
    <row r="4226" spans="6:9" x14ac:dyDescent="0.3">
      <c r="F4226"/>
      <c r="G4226"/>
      <c r="H4226"/>
      <c r="I4226"/>
    </row>
    <row r="4227" spans="6:9" x14ac:dyDescent="0.3">
      <c r="F4227"/>
      <c r="G4227"/>
      <c r="H4227"/>
      <c r="I4227"/>
    </row>
    <row r="4228" spans="6:9" x14ac:dyDescent="0.3">
      <c r="F4228"/>
      <c r="G4228"/>
      <c r="H4228"/>
      <c r="I4228"/>
    </row>
    <row r="4229" spans="6:9" x14ac:dyDescent="0.3">
      <c r="F4229"/>
      <c r="G4229"/>
      <c r="H4229"/>
      <c r="I4229"/>
    </row>
    <row r="4230" spans="6:9" x14ac:dyDescent="0.3">
      <c r="F4230"/>
      <c r="G4230"/>
      <c r="H4230"/>
      <c r="I4230"/>
    </row>
    <row r="4231" spans="6:9" x14ac:dyDescent="0.3">
      <c r="F4231"/>
      <c r="G4231"/>
      <c r="H4231"/>
      <c r="I4231"/>
    </row>
    <row r="4232" spans="6:9" x14ac:dyDescent="0.3">
      <c r="F4232"/>
      <c r="G4232"/>
      <c r="H4232"/>
      <c r="I4232"/>
    </row>
    <row r="4233" spans="6:9" x14ac:dyDescent="0.3">
      <c r="F4233"/>
      <c r="G4233"/>
      <c r="H4233"/>
      <c r="I4233"/>
    </row>
    <row r="4234" spans="6:9" x14ac:dyDescent="0.3">
      <c r="F4234"/>
      <c r="G4234"/>
      <c r="H4234"/>
      <c r="I4234"/>
    </row>
    <row r="4235" spans="6:9" x14ac:dyDescent="0.3">
      <c r="F4235"/>
      <c r="G4235"/>
      <c r="H4235"/>
      <c r="I4235"/>
    </row>
    <row r="4236" spans="6:9" x14ac:dyDescent="0.3">
      <c r="F4236"/>
      <c r="G4236"/>
      <c r="H4236"/>
      <c r="I4236"/>
    </row>
    <row r="4237" spans="6:9" x14ac:dyDescent="0.3">
      <c r="F4237"/>
      <c r="G4237"/>
      <c r="H4237"/>
      <c r="I4237"/>
    </row>
    <row r="4238" spans="6:9" x14ac:dyDescent="0.3">
      <c r="F4238"/>
      <c r="G4238"/>
      <c r="H4238"/>
      <c r="I4238"/>
    </row>
    <row r="4239" spans="6:9" x14ac:dyDescent="0.3">
      <c r="F4239"/>
      <c r="G4239"/>
      <c r="H4239"/>
      <c r="I4239"/>
    </row>
    <row r="4240" spans="6:9" x14ac:dyDescent="0.3">
      <c r="F4240"/>
      <c r="G4240"/>
      <c r="H4240"/>
      <c r="I4240"/>
    </row>
    <row r="4241" spans="6:9" x14ac:dyDescent="0.3">
      <c r="F4241"/>
      <c r="G4241"/>
      <c r="H4241"/>
      <c r="I4241"/>
    </row>
    <row r="4242" spans="6:9" x14ac:dyDescent="0.3">
      <c r="F4242"/>
      <c r="G4242"/>
      <c r="H4242"/>
      <c r="I4242"/>
    </row>
    <row r="4243" spans="6:9" x14ac:dyDescent="0.3">
      <c r="F4243"/>
      <c r="G4243"/>
      <c r="H4243"/>
      <c r="I4243"/>
    </row>
    <row r="4244" spans="6:9" x14ac:dyDescent="0.3">
      <c r="F4244"/>
      <c r="G4244"/>
      <c r="H4244"/>
      <c r="I4244"/>
    </row>
    <row r="4245" spans="6:9" x14ac:dyDescent="0.3">
      <c r="F4245"/>
      <c r="G4245"/>
      <c r="H4245"/>
      <c r="I4245"/>
    </row>
    <row r="4246" spans="6:9" x14ac:dyDescent="0.3">
      <c r="F4246"/>
      <c r="G4246"/>
      <c r="H4246"/>
      <c r="I4246"/>
    </row>
    <row r="4247" spans="6:9" x14ac:dyDescent="0.3">
      <c r="F4247"/>
      <c r="G4247"/>
      <c r="H4247"/>
      <c r="I4247"/>
    </row>
    <row r="4248" spans="6:9" x14ac:dyDescent="0.3">
      <c r="F4248"/>
      <c r="G4248"/>
      <c r="H4248"/>
      <c r="I4248"/>
    </row>
    <row r="4249" spans="6:9" x14ac:dyDescent="0.3">
      <c r="F4249"/>
      <c r="G4249"/>
      <c r="H4249"/>
      <c r="I4249"/>
    </row>
    <row r="4250" spans="6:9" x14ac:dyDescent="0.3">
      <c r="F4250"/>
      <c r="G4250"/>
      <c r="H4250"/>
      <c r="I4250"/>
    </row>
    <row r="4251" spans="6:9" x14ac:dyDescent="0.3">
      <c r="F4251"/>
      <c r="G4251"/>
      <c r="H4251"/>
      <c r="I4251"/>
    </row>
    <row r="4252" spans="6:9" x14ac:dyDescent="0.3">
      <c r="F4252"/>
      <c r="G4252"/>
      <c r="H4252"/>
      <c r="I4252"/>
    </row>
    <row r="4253" spans="6:9" x14ac:dyDescent="0.3">
      <c r="F4253"/>
      <c r="G4253"/>
      <c r="H4253"/>
      <c r="I4253"/>
    </row>
    <row r="4254" spans="6:9" x14ac:dyDescent="0.3">
      <c r="F4254"/>
      <c r="G4254"/>
      <c r="H4254"/>
      <c r="I4254"/>
    </row>
    <row r="4255" spans="6:9" x14ac:dyDescent="0.3">
      <c r="F4255"/>
      <c r="G4255"/>
      <c r="H4255"/>
      <c r="I4255"/>
    </row>
    <row r="4256" spans="6:9" x14ac:dyDescent="0.3">
      <c r="F4256"/>
      <c r="G4256"/>
      <c r="H4256"/>
      <c r="I4256"/>
    </row>
    <row r="4257" spans="6:9" x14ac:dyDescent="0.3">
      <c r="F4257"/>
      <c r="G4257"/>
      <c r="H4257"/>
      <c r="I4257"/>
    </row>
    <row r="4258" spans="6:9" x14ac:dyDescent="0.3">
      <c r="F4258"/>
      <c r="G4258"/>
      <c r="H4258"/>
      <c r="I4258"/>
    </row>
    <row r="4259" spans="6:9" x14ac:dyDescent="0.3">
      <c r="F4259"/>
      <c r="G4259"/>
      <c r="H4259"/>
      <c r="I4259"/>
    </row>
    <row r="4260" spans="6:9" x14ac:dyDescent="0.3">
      <c r="F4260"/>
      <c r="G4260"/>
      <c r="H4260"/>
      <c r="I4260"/>
    </row>
    <row r="4261" spans="6:9" x14ac:dyDescent="0.3">
      <c r="F4261"/>
      <c r="G4261"/>
      <c r="H4261"/>
      <c r="I4261"/>
    </row>
    <row r="4262" spans="6:9" x14ac:dyDescent="0.3">
      <c r="F4262"/>
      <c r="G4262"/>
      <c r="H4262"/>
      <c r="I4262"/>
    </row>
    <row r="4263" spans="6:9" x14ac:dyDescent="0.3">
      <c r="F4263"/>
      <c r="G4263"/>
      <c r="H4263"/>
      <c r="I4263"/>
    </row>
    <row r="4264" spans="6:9" x14ac:dyDescent="0.3">
      <c r="F4264"/>
      <c r="G4264"/>
      <c r="H4264"/>
      <c r="I4264"/>
    </row>
    <row r="4265" spans="6:9" x14ac:dyDescent="0.3">
      <c r="F4265"/>
      <c r="G4265"/>
      <c r="H4265"/>
      <c r="I4265"/>
    </row>
    <row r="4266" spans="6:9" x14ac:dyDescent="0.3">
      <c r="F4266"/>
      <c r="G4266"/>
      <c r="H4266"/>
      <c r="I4266"/>
    </row>
    <row r="4267" spans="6:9" x14ac:dyDescent="0.3">
      <c r="F4267"/>
      <c r="G4267"/>
      <c r="H4267"/>
      <c r="I4267"/>
    </row>
    <row r="4268" spans="6:9" x14ac:dyDescent="0.3">
      <c r="F4268"/>
      <c r="G4268"/>
      <c r="H4268"/>
      <c r="I4268"/>
    </row>
    <row r="4269" spans="6:9" x14ac:dyDescent="0.3">
      <c r="F4269"/>
      <c r="G4269"/>
      <c r="H4269"/>
      <c r="I4269"/>
    </row>
    <row r="4270" spans="6:9" x14ac:dyDescent="0.3">
      <c r="F4270"/>
      <c r="G4270"/>
      <c r="H4270"/>
      <c r="I4270"/>
    </row>
    <row r="4271" spans="6:9" x14ac:dyDescent="0.3">
      <c r="F4271"/>
      <c r="G4271"/>
      <c r="H4271"/>
      <c r="I4271"/>
    </row>
    <row r="4272" spans="6:9" x14ac:dyDescent="0.3">
      <c r="F4272"/>
      <c r="G4272"/>
      <c r="H4272"/>
      <c r="I4272"/>
    </row>
    <row r="4273" spans="6:9" x14ac:dyDescent="0.3">
      <c r="F4273"/>
      <c r="G4273"/>
      <c r="H4273"/>
      <c r="I4273"/>
    </row>
    <row r="4274" spans="6:9" x14ac:dyDescent="0.3">
      <c r="F4274"/>
      <c r="G4274"/>
      <c r="H4274"/>
      <c r="I4274"/>
    </row>
    <row r="4275" spans="6:9" x14ac:dyDescent="0.3">
      <c r="F4275"/>
      <c r="G4275"/>
      <c r="H4275"/>
      <c r="I4275"/>
    </row>
    <row r="4276" spans="6:9" x14ac:dyDescent="0.3">
      <c r="F4276"/>
      <c r="G4276"/>
      <c r="H4276"/>
      <c r="I4276"/>
    </row>
    <row r="4277" spans="6:9" x14ac:dyDescent="0.3">
      <c r="F4277"/>
      <c r="G4277"/>
      <c r="H4277"/>
      <c r="I4277"/>
    </row>
    <row r="4278" spans="6:9" x14ac:dyDescent="0.3">
      <c r="F4278"/>
      <c r="G4278"/>
      <c r="H4278"/>
      <c r="I4278"/>
    </row>
    <row r="4279" spans="6:9" x14ac:dyDescent="0.3">
      <c r="F4279"/>
      <c r="G4279"/>
      <c r="H4279"/>
      <c r="I4279"/>
    </row>
    <row r="4280" spans="6:9" x14ac:dyDescent="0.3">
      <c r="F4280"/>
      <c r="G4280"/>
      <c r="H4280"/>
      <c r="I4280"/>
    </row>
    <row r="4281" spans="6:9" x14ac:dyDescent="0.3">
      <c r="F4281"/>
      <c r="G4281"/>
      <c r="H4281"/>
      <c r="I4281"/>
    </row>
    <row r="4282" spans="6:9" x14ac:dyDescent="0.3">
      <c r="F4282"/>
      <c r="G4282"/>
      <c r="H4282"/>
      <c r="I4282"/>
    </row>
    <row r="4283" spans="6:9" x14ac:dyDescent="0.3">
      <c r="F4283"/>
      <c r="G4283"/>
      <c r="H4283"/>
      <c r="I4283"/>
    </row>
    <row r="4284" spans="6:9" x14ac:dyDescent="0.3">
      <c r="F4284"/>
      <c r="G4284"/>
      <c r="H4284"/>
      <c r="I4284"/>
    </row>
    <row r="4285" spans="6:9" x14ac:dyDescent="0.3">
      <c r="F4285"/>
      <c r="G4285"/>
      <c r="H4285"/>
      <c r="I4285"/>
    </row>
    <row r="4286" spans="6:9" x14ac:dyDescent="0.3">
      <c r="F4286"/>
      <c r="G4286"/>
      <c r="H4286"/>
      <c r="I4286"/>
    </row>
    <row r="4287" spans="6:9" x14ac:dyDescent="0.3">
      <c r="F4287"/>
      <c r="G4287"/>
      <c r="H4287"/>
      <c r="I4287"/>
    </row>
    <row r="4288" spans="6:9" x14ac:dyDescent="0.3">
      <c r="F4288"/>
      <c r="G4288"/>
      <c r="H4288"/>
      <c r="I4288"/>
    </row>
    <row r="4289" spans="6:9" x14ac:dyDescent="0.3">
      <c r="F4289"/>
      <c r="G4289"/>
      <c r="H4289"/>
      <c r="I4289"/>
    </row>
    <row r="4290" spans="6:9" x14ac:dyDescent="0.3">
      <c r="F4290"/>
      <c r="G4290"/>
      <c r="H4290"/>
      <c r="I4290"/>
    </row>
    <row r="4291" spans="6:9" x14ac:dyDescent="0.3">
      <c r="F4291"/>
      <c r="G4291"/>
      <c r="H4291"/>
      <c r="I4291"/>
    </row>
    <row r="4292" spans="6:9" x14ac:dyDescent="0.3">
      <c r="F4292"/>
      <c r="G4292"/>
      <c r="H4292"/>
      <c r="I4292"/>
    </row>
    <row r="4293" spans="6:9" x14ac:dyDescent="0.3">
      <c r="F4293"/>
      <c r="G4293"/>
      <c r="H4293"/>
      <c r="I4293"/>
    </row>
    <row r="4294" spans="6:9" x14ac:dyDescent="0.3">
      <c r="F4294"/>
      <c r="G4294"/>
      <c r="H4294"/>
      <c r="I4294"/>
    </row>
    <row r="4295" spans="6:9" x14ac:dyDescent="0.3">
      <c r="F4295"/>
      <c r="G4295"/>
      <c r="H4295"/>
      <c r="I4295"/>
    </row>
    <row r="4296" spans="6:9" x14ac:dyDescent="0.3">
      <c r="F4296"/>
      <c r="G4296"/>
      <c r="H4296"/>
      <c r="I4296"/>
    </row>
    <row r="4297" spans="6:9" x14ac:dyDescent="0.3">
      <c r="F4297"/>
      <c r="G4297"/>
      <c r="H4297"/>
      <c r="I4297"/>
    </row>
    <row r="4298" spans="6:9" x14ac:dyDescent="0.3">
      <c r="F4298"/>
      <c r="G4298"/>
      <c r="H4298"/>
      <c r="I4298"/>
    </row>
    <row r="4299" spans="6:9" x14ac:dyDescent="0.3">
      <c r="F4299"/>
      <c r="G4299"/>
      <c r="H4299"/>
      <c r="I4299"/>
    </row>
    <row r="4300" spans="6:9" x14ac:dyDescent="0.3">
      <c r="F4300"/>
      <c r="G4300"/>
      <c r="H4300"/>
      <c r="I4300"/>
    </row>
    <row r="4301" spans="6:9" x14ac:dyDescent="0.3">
      <c r="F4301"/>
      <c r="G4301"/>
      <c r="H4301"/>
      <c r="I4301"/>
    </row>
    <row r="4302" spans="6:9" x14ac:dyDescent="0.3">
      <c r="F4302"/>
      <c r="G4302"/>
      <c r="H4302"/>
      <c r="I4302"/>
    </row>
    <row r="4303" spans="6:9" x14ac:dyDescent="0.3">
      <c r="F4303"/>
      <c r="G4303"/>
      <c r="H4303"/>
      <c r="I4303"/>
    </row>
    <row r="4304" spans="6:9" x14ac:dyDescent="0.3">
      <c r="F4304"/>
      <c r="G4304"/>
      <c r="H4304"/>
      <c r="I4304"/>
    </row>
    <row r="4305" spans="6:9" x14ac:dyDescent="0.3">
      <c r="F4305"/>
      <c r="G4305"/>
      <c r="H4305"/>
      <c r="I4305"/>
    </row>
    <row r="4306" spans="6:9" x14ac:dyDescent="0.3">
      <c r="F4306"/>
      <c r="G4306"/>
      <c r="H4306"/>
      <c r="I4306"/>
    </row>
    <row r="4307" spans="6:9" x14ac:dyDescent="0.3">
      <c r="F4307"/>
      <c r="G4307"/>
      <c r="H4307"/>
      <c r="I4307"/>
    </row>
    <row r="4308" spans="6:9" x14ac:dyDescent="0.3">
      <c r="F4308"/>
      <c r="G4308"/>
      <c r="H4308"/>
      <c r="I4308"/>
    </row>
    <row r="4309" spans="6:9" x14ac:dyDescent="0.3">
      <c r="F4309"/>
      <c r="G4309"/>
      <c r="H4309"/>
      <c r="I4309"/>
    </row>
    <row r="4310" spans="6:9" x14ac:dyDescent="0.3">
      <c r="F4310"/>
      <c r="G4310"/>
      <c r="H4310"/>
      <c r="I4310"/>
    </row>
    <row r="4311" spans="6:9" x14ac:dyDescent="0.3">
      <c r="F4311"/>
      <c r="G4311"/>
      <c r="H4311"/>
      <c r="I4311"/>
    </row>
    <row r="4312" spans="6:9" x14ac:dyDescent="0.3">
      <c r="F4312"/>
      <c r="G4312"/>
      <c r="H4312"/>
      <c r="I4312"/>
    </row>
    <row r="4313" spans="6:9" x14ac:dyDescent="0.3">
      <c r="F4313"/>
      <c r="G4313"/>
      <c r="H4313"/>
      <c r="I4313"/>
    </row>
    <row r="4314" spans="6:9" x14ac:dyDescent="0.3">
      <c r="F4314"/>
      <c r="G4314"/>
      <c r="H4314"/>
      <c r="I4314"/>
    </row>
    <row r="4315" spans="6:9" x14ac:dyDescent="0.3">
      <c r="F4315"/>
      <c r="G4315"/>
      <c r="H4315"/>
      <c r="I4315"/>
    </row>
    <row r="4316" spans="6:9" x14ac:dyDescent="0.3">
      <c r="F4316"/>
      <c r="G4316"/>
      <c r="H4316"/>
      <c r="I4316"/>
    </row>
    <row r="4317" spans="6:9" x14ac:dyDescent="0.3">
      <c r="F4317"/>
      <c r="G4317"/>
      <c r="H4317"/>
      <c r="I4317"/>
    </row>
    <row r="4318" spans="6:9" x14ac:dyDescent="0.3">
      <c r="F4318"/>
      <c r="G4318"/>
      <c r="H4318"/>
      <c r="I4318"/>
    </row>
    <row r="4319" spans="6:9" x14ac:dyDescent="0.3">
      <c r="F4319"/>
      <c r="G4319"/>
      <c r="H4319"/>
      <c r="I4319"/>
    </row>
    <row r="4320" spans="6:9" x14ac:dyDescent="0.3">
      <c r="F4320"/>
      <c r="G4320"/>
      <c r="H4320"/>
      <c r="I4320"/>
    </row>
    <row r="4321" spans="6:9" x14ac:dyDescent="0.3">
      <c r="F4321"/>
      <c r="G4321"/>
      <c r="H4321"/>
      <c r="I4321"/>
    </row>
    <row r="4322" spans="6:9" x14ac:dyDescent="0.3">
      <c r="F4322"/>
      <c r="G4322"/>
      <c r="H4322"/>
      <c r="I4322"/>
    </row>
    <row r="4323" spans="6:9" x14ac:dyDescent="0.3">
      <c r="F4323"/>
      <c r="G4323"/>
      <c r="H4323"/>
      <c r="I4323"/>
    </row>
    <row r="4324" spans="6:9" x14ac:dyDescent="0.3">
      <c r="F4324"/>
      <c r="G4324"/>
      <c r="H4324"/>
      <c r="I4324"/>
    </row>
    <row r="4325" spans="6:9" x14ac:dyDescent="0.3">
      <c r="F4325"/>
      <c r="G4325"/>
      <c r="H4325"/>
      <c r="I4325"/>
    </row>
    <row r="4326" spans="6:9" x14ac:dyDescent="0.3">
      <c r="F4326"/>
      <c r="G4326"/>
      <c r="H4326"/>
      <c r="I4326"/>
    </row>
    <row r="4327" spans="6:9" x14ac:dyDescent="0.3">
      <c r="F4327"/>
      <c r="G4327"/>
      <c r="H4327"/>
      <c r="I4327"/>
    </row>
    <row r="4328" spans="6:9" x14ac:dyDescent="0.3">
      <c r="F4328"/>
      <c r="G4328"/>
      <c r="H4328"/>
      <c r="I4328"/>
    </row>
    <row r="4329" spans="6:9" x14ac:dyDescent="0.3">
      <c r="F4329"/>
      <c r="G4329"/>
      <c r="H4329"/>
      <c r="I4329"/>
    </row>
    <row r="4330" spans="6:9" x14ac:dyDescent="0.3">
      <c r="F4330"/>
      <c r="G4330"/>
      <c r="H4330"/>
      <c r="I4330"/>
    </row>
    <row r="4331" spans="6:9" x14ac:dyDescent="0.3">
      <c r="F4331"/>
      <c r="G4331"/>
      <c r="H4331"/>
      <c r="I4331"/>
    </row>
    <row r="4332" spans="6:9" x14ac:dyDescent="0.3">
      <c r="F4332"/>
      <c r="G4332"/>
      <c r="H4332"/>
      <c r="I4332"/>
    </row>
    <row r="4333" spans="6:9" x14ac:dyDescent="0.3">
      <c r="F4333"/>
      <c r="G4333"/>
      <c r="H4333"/>
      <c r="I4333"/>
    </row>
    <row r="4334" spans="6:9" x14ac:dyDescent="0.3">
      <c r="F4334"/>
      <c r="G4334"/>
      <c r="H4334"/>
      <c r="I4334"/>
    </row>
    <row r="4335" spans="6:9" x14ac:dyDescent="0.3">
      <c r="F4335"/>
      <c r="G4335"/>
      <c r="H4335"/>
      <c r="I4335"/>
    </row>
    <row r="4336" spans="6:9" x14ac:dyDescent="0.3">
      <c r="F4336"/>
      <c r="G4336"/>
      <c r="H4336"/>
      <c r="I4336"/>
    </row>
    <row r="4337" spans="6:9" x14ac:dyDescent="0.3">
      <c r="F4337"/>
      <c r="G4337"/>
      <c r="H4337"/>
      <c r="I4337"/>
    </row>
    <row r="4338" spans="6:9" x14ac:dyDescent="0.3">
      <c r="F4338"/>
      <c r="G4338"/>
      <c r="H4338"/>
      <c r="I4338"/>
    </row>
    <row r="4339" spans="6:9" x14ac:dyDescent="0.3">
      <c r="F4339"/>
      <c r="G4339"/>
      <c r="H4339"/>
      <c r="I4339"/>
    </row>
    <row r="4340" spans="6:9" x14ac:dyDescent="0.3">
      <c r="F4340"/>
      <c r="G4340"/>
      <c r="H4340"/>
      <c r="I4340"/>
    </row>
    <row r="4341" spans="6:9" x14ac:dyDescent="0.3">
      <c r="F4341"/>
      <c r="G4341"/>
      <c r="H4341"/>
      <c r="I4341"/>
    </row>
    <row r="4342" spans="6:9" x14ac:dyDescent="0.3">
      <c r="F4342"/>
      <c r="G4342"/>
      <c r="H4342"/>
      <c r="I4342"/>
    </row>
    <row r="4343" spans="6:9" x14ac:dyDescent="0.3">
      <c r="F4343"/>
      <c r="G4343"/>
      <c r="H4343"/>
      <c r="I4343"/>
    </row>
    <row r="4344" spans="6:9" x14ac:dyDescent="0.3">
      <c r="F4344"/>
      <c r="G4344"/>
      <c r="H4344"/>
      <c r="I4344"/>
    </row>
    <row r="4345" spans="6:9" x14ac:dyDescent="0.3">
      <c r="F4345"/>
      <c r="G4345"/>
      <c r="H4345"/>
      <c r="I4345"/>
    </row>
    <row r="4346" spans="6:9" x14ac:dyDescent="0.3">
      <c r="F4346"/>
      <c r="G4346"/>
      <c r="H4346"/>
      <c r="I4346"/>
    </row>
    <row r="4347" spans="6:9" x14ac:dyDescent="0.3">
      <c r="F4347"/>
      <c r="G4347"/>
      <c r="H4347"/>
      <c r="I4347"/>
    </row>
    <row r="4348" spans="6:9" x14ac:dyDescent="0.3">
      <c r="F4348"/>
      <c r="G4348"/>
      <c r="H4348"/>
      <c r="I4348"/>
    </row>
    <row r="4349" spans="6:9" x14ac:dyDescent="0.3">
      <c r="F4349"/>
      <c r="G4349"/>
      <c r="H4349"/>
      <c r="I4349"/>
    </row>
    <row r="4350" spans="6:9" x14ac:dyDescent="0.3">
      <c r="F4350"/>
      <c r="G4350"/>
      <c r="H4350"/>
      <c r="I4350"/>
    </row>
    <row r="4351" spans="6:9" x14ac:dyDescent="0.3">
      <c r="F4351"/>
      <c r="G4351"/>
      <c r="H4351"/>
      <c r="I4351"/>
    </row>
    <row r="4352" spans="6:9" x14ac:dyDescent="0.3">
      <c r="F4352"/>
      <c r="G4352"/>
      <c r="H4352"/>
      <c r="I4352"/>
    </row>
    <row r="4353" spans="6:9" x14ac:dyDescent="0.3">
      <c r="F4353"/>
      <c r="G4353"/>
      <c r="H4353"/>
      <c r="I4353"/>
    </row>
    <row r="4354" spans="6:9" x14ac:dyDescent="0.3">
      <c r="F4354"/>
      <c r="G4354"/>
      <c r="H4354"/>
      <c r="I4354"/>
    </row>
    <row r="4355" spans="6:9" x14ac:dyDescent="0.3">
      <c r="F4355"/>
      <c r="G4355"/>
      <c r="H4355"/>
      <c r="I4355"/>
    </row>
    <row r="4356" spans="6:9" x14ac:dyDescent="0.3">
      <c r="F4356"/>
      <c r="G4356"/>
      <c r="H4356"/>
      <c r="I4356"/>
    </row>
    <row r="4357" spans="6:9" x14ac:dyDescent="0.3">
      <c r="F4357"/>
      <c r="G4357"/>
      <c r="H4357"/>
      <c r="I4357"/>
    </row>
    <row r="4358" spans="6:9" x14ac:dyDescent="0.3">
      <c r="F4358"/>
      <c r="G4358"/>
      <c r="H4358"/>
      <c r="I4358"/>
    </row>
    <row r="4359" spans="6:9" x14ac:dyDescent="0.3">
      <c r="F4359"/>
      <c r="G4359"/>
      <c r="H4359"/>
      <c r="I4359"/>
    </row>
    <row r="4360" spans="6:9" x14ac:dyDescent="0.3">
      <c r="F4360"/>
      <c r="G4360"/>
      <c r="H4360"/>
      <c r="I4360"/>
    </row>
    <row r="4361" spans="6:9" x14ac:dyDescent="0.3">
      <c r="F4361"/>
      <c r="G4361"/>
      <c r="H4361"/>
      <c r="I4361"/>
    </row>
    <row r="4362" spans="6:9" x14ac:dyDescent="0.3">
      <c r="F4362"/>
      <c r="G4362"/>
      <c r="H4362"/>
      <c r="I4362"/>
    </row>
    <row r="4363" spans="6:9" x14ac:dyDescent="0.3">
      <c r="F4363"/>
      <c r="G4363"/>
      <c r="H4363"/>
      <c r="I4363"/>
    </row>
    <row r="4364" spans="6:9" x14ac:dyDescent="0.3">
      <c r="F4364"/>
      <c r="G4364"/>
      <c r="H4364"/>
      <c r="I4364"/>
    </row>
    <row r="4365" spans="6:9" x14ac:dyDescent="0.3">
      <c r="F4365"/>
      <c r="G4365"/>
      <c r="H4365"/>
      <c r="I4365"/>
    </row>
    <row r="4366" spans="6:9" x14ac:dyDescent="0.3">
      <c r="F4366"/>
      <c r="G4366"/>
      <c r="H4366"/>
      <c r="I4366"/>
    </row>
    <row r="4367" spans="6:9" x14ac:dyDescent="0.3">
      <c r="F4367"/>
      <c r="G4367"/>
      <c r="H4367"/>
      <c r="I4367"/>
    </row>
    <row r="4368" spans="6:9" x14ac:dyDescent="0.3">
      <c r="F4368"/>
      <c r="G4368"/>
      <c r="H4368"/>
      <c r="I4368"/>
    </row>
    <row r="4369" spans="6:9" x14ac:dyDescent="0.3">
      <c r="F4369"/>
      <c r="G4369"/>
      <c r="H4369"/>
      <c r="I4369"/>
    </row>
    <row r="4370" spans="6:9" x14ac:dyDescent="0.3">
      <c r="F4370"/>
      <c r="G4370"/>
      <c r="H4370"/>
      <c r="I4370"/>
    </row>
    <row r="4371" spans="6:9" x14ac:dyDescent="0.3">
      <c r="F4371"/>
      <c r="G4371"/>
      <c r="H4371"/>
      <c r="I4371"/>
    </row>
    <row r="4372" spans="6:9" x14ac:dyDescent="0.3">
      <c r="F4372"/>
      <c r="G4372"/>
      <c r="H4372"/>
      <c r="I4372"/>
    </row>
    <row r="4373" spans="6:9" x14ac:dyDescent="0.3">
      <c r="F4373"/>
      <c r="G4373"/>
      <c r="H4373"/>
      <c r="I4373"/>
    </row>
    <row r="4374" spans="6:9" x14ac:dyDescent="0.3">
      <c r="F4374"/>
      <c r="G4374"/>
      <c r="H4374"/>
      <c r="I4374"/>
    </row>
    <row r="4375" spans="6:9" x14ac:dyDescent="0.3">
      <c r="F4375"/>
      <c r="G4375"/>
      <c r="H4375"/>
      <c r="I4375"/>
    </row>
    <row r="4376" spans="6:9" x14ac:dyDescent="0.3">
      <c r="F4376"/>
      <c r="G4376"/>
      <c r="H4376"/>
      <c r="I4376"/>
    </row>
    <row r="4377" spans="6:9" x14ac:dyDescent="0.3">
      <c r="F4377"/>
      <c r="G4377"/>
      <c r="H4377"/>
      <c r="I4377"/>
    </row>
    <row r="4378" spans="6:9" x14ac:dyDescent="0.3">
      <c r="F4378"/>
      <c r="G4378"/>
      <c r="H4378"/>
      <c r="I4378"/>
    </row>
    <row r="4379" spans="6:9" x14ac:dyDescent="0.3">
      <c r="F4379"/>
      <c r="G4379"/>
      <c r="H4379"/>
      <c r="I4379"/>
    </row>
    <row r="4380" spans="6:9" x14ac:dyDescent="0.3">
      <c r="F4380"/>
      <c r="G4380"/>
      <c r="H4380"/>
      <c r="I4380"/>
    </row>
    <row r="4381" spans="6:9" x14ac:dyDescent="0.3">
      <c r="F4381"/>
      <c r="G4381"/>
      <c r="H4381"/>
      <c r="I4381"/>
    </row>
    <row r="4382" spans="6:9" x14ac:dyDescent="0.3">
      <c r="F4382"/>
      <c r="G4382"/>
      <c r="H4382"/>
      <c r="I4382"/>
    </row>
    <row r="4383" spans="6:9" x14ac:dyDescent="0.3">
      <c r="F4383"/>
      <c r="G4383"/>
      <c r="H4383"/>
      <c r="I4383"/>
    </row>
    <row r="4384" spans="6:9" x14ac:dyDescent="0.3">
      <c r="F4384"/>
      <c r="G4384"/>
      <c r="H4384"/>
      <c r="I4384"/>
    </row>
    <row r="4385" spans="6:9" x14ac:dyDescent="0.3">
      <c r="F4385"/>
      <c r="G4385"/>
      <c r="H4385"/>
      <c r="I4385"/>
    </row>
    <row r="4386" spans="6:9" x14ac:dyDescent="0.3">
      <c r="F4386"/>
      <c r="G4386"/>
      <c r="H4386"/>
      <c r="I4386"/>
    </row>
    <row r="4387" spans="6:9" x14ac:dyDescent="0.3">
      <c r="F4387"/>
      <c r="G4387"/>
      <c r="H4387"/>
      <c r="I4387"/>
    </row>
    <row r="4388" spans="6:9" x14ac:dyDescent="0.3">
      <c r="F4388"/>
      <c r="G4388"/>
      <c r="H4388"/>
      <c r="I4388"/>
    </row>
    <row r="4389" spans="6:9" x14ac:dyDescent="0.3">
      <c r="F4389"/>
      <c r="G4389"/>
      <c r="H4389"/>
      <c r="I4389"/>
    </row>
    <row r="4390" spans="6:9" x14ac:dyDescent="0.3">
      <c r="F4390"/>
      <c r="G4390"/>
      <c r="H4390"/>
      <c r="I4390"/>
    </row>
    <row r="4391" spans="6:9" x14ac:dyDescent="0.3">
      <c r="F4391"/>
      <c r="G4391"/>
      <c r="H4391"/>
      <c r="I4391"/>
    </row>
    <row r="4392" spans="6:9" x14ac:dyDescent="0.3">
      <c r="F4392"/>
      <c r="G4392"/>
      <c r="H4392"/>
      <c r="I4392"/>
    </row>
    <row r="4393" spans="6:9" x14ac:dyDescent="0.3">
      <c r="F4393"/>
      <c r="G4393"/>
      <c r="H4393"/>
      <c r="I4393"/>
    </row>
    <row r="4394" spans="6:9" x14ac:dyDescent="0.3">
      <c r="F4394"/>
      <c r="G4394"/>
      <c r="H4394"/>
      <c r="I4394"/>
    </row>
    <row r="4395" spans="6:9" x14ac:dyDescent="0.3">
      <c r="F4395"/>
      <c r="G4395"/>
      <c r="H4395"/>
      <c r="I4395"/>
    </row>
    <row r="4396" spans="6:9" x14ac:dyDescent="0.3">
      <c r="F4396"/>
      <c r="G4396"/>
      <c r="H4396"/>
      <c r="I4396"/>
    </row>
    <row r="4397" spans="6:9" x14ac:dyDescent="0.3">
      <c r="F4397"/>
      <c r="G4397"/>
      <c r="H4397"/>
      <c r="I4397"/>
    </row>
    <row r="4398" spans="6:9" x14ac:dyDescent="0.3">
      <c r="F4398"/>
      <c r="G4398"/>
      <c r="H4398"/>
      <c r="I4398"/>
    </row>
    <row r="4399" spans="6:9" x14ac:dyDescent="0.3">
      <c r="F4399"/>
      <c r="G4399"/>
      <c r="H4399"/>
      <c r="I4399"/>
    </row>
    <row r="4400" spans="6:9" x14ac:dyDescent="0.3">
      <c r="F4400"/>
      <c r="G4400"/>
      <c r="H4400"/>
      <c r="I4400"/>
    </row>
    <row r="4401" spans="6:9" x14ac:dyDescent="0.3">
      <c r="F4401"/>
      <c r="G4401"/>
      <c r="H4401"/>
      <c r="I4401"/>
    </row>
    <row r="4402" spans="6:9" x14ac:dyDescent="0.3">
      <c r="F4402"/>
      <c r="G4402"/>
      <c r="H4402"/>
      <c r="I4402"/>
    </row>
    <row r="4403" spans="6:9" x14ac:dyDescent="0.3">
      <c r="F4403"/>
      <c r="G4403"/>
      <c r="H4403"/>
      <c r="I4403"/>
    </row>
    <row r="4404" spans="6:9" x14ac:dyDescent="0.3">
      <c r="F4404"/>
      <c r="G4404"/>
      <c r="H4404"/>
      <c r="I4404"/>
    </row>
    <row r="4405" spans="6:9" x14ac:dyDescent="0.3">
      <c r="F4405"/>
      <c r="G4405"/>
      <c r="H4405"/>
      <c r="I4405"/>
    </row>
    <row r="4406" spans="6:9" x14ac:dyDescent="0.3">
      <c r="F4406"/>
      <c r="G4406"/>
      <c r="H4406"/>
      <c r="I4406"/>
    </row>
    <row r="4407" spans="6:9" x14ac:dyDescent="0.3">
      <c r="F4407"/>
      <c r="G4407"/>
      <c r="H4407"/>
      <c r="I4407"/>
    </row>
    <row r="4408" spans="6:9" x14ac:dyDescent="0.3">
      <c r="F4408"/>
      <c r="G4408"/>
      <c r="H4408"/>
      <c r="I4408"/>
    </row>
    <row r="4409" spans="6:9" x14ac:dyDescent="0.3">
      <c r="F4409"/>
      <c r="G4409"/>
      <c r="H4409"/>
      <c r="I4409"/>
    </row>
    <row r="4410" spans="6:9" x14ac:dyDescent="0.3">
      <c r="F4410"/>
      <c r="G4410"/>
      <c r="H4410"/>
      <c r="I4410"/>
    </row>
    <row r="4411" spans="6:9" x14ac:dyDescent="0.3">
      <c r="F4411"/>
      <c r="G4411"/>
      <c r="H4411"/>
      <c r="I4411"/>
    </row>
    <row r="4412" spans="6:9" x14ac:dyDescent="0.3">
      <c r="F4412"/>
      <c r="G4412"/>
      <c r="H4412"/>
      <c r="I4412"/>
    </row>
    <row r="4413" spans="6:9" x14ac:dyDescent="0.3">
      <c r="F4413"/>
      <c r="G4413"/>
      <c r="H4413"/>
      <c r="I4413"/>
    </row>
    <row r="4414" spans="6:9" x14ac:dyDescent="0.3">
      <c r="F4414"/>
      <c r="G4414"/>
      <c r="H4414"/>
      <c r="I4414"/>
    </row>
    <row r="4415" spans="6:9" x14ac:dyDescent="0.3">
      <c r="F4415"/>
      <c r="G4415"/>
      <c r="H4415"/>
      <c r="I4415"/>
    </row>
    <row r="4416" spans="6:9" x14ac:dyDescent="0.3">
      <c r="F4416"/>
      <c r="G4416"/>
      <c r="H4416"/>
      <c r="I4416"/>
    </row>
    <row r="4417" spans="6:9" x14ac:dyDescent="0.3">
      <c r="F4417"/>
      <c r="G4417"/>
      <c r="H4417"/>
      <c r="I4417"/>
    </row>
    <row r="4418" spans="6:9" x14ac:dyDescent="0.3">
      <c r="F4418"/>
      <c r="G4418"/>
      <c r="H4418"/>
      <c r="I4418"/>
    </row>
    <row r="4419" spans="6:9" x14ac:dyDescent="0.3">
      <c r="F4419"/>
      <c r="G4419"/>
      <c r="H4419"/>
      <c r="I4419"/>
    </row>
    <row r="4420" spans="6:9" x14ac:dyDescent="0.3">
      <c r="F4420"/>
      <c r="G4420"/>
      <c r="H4420"/>
      <c r="I4420"/>
    </row>
    <row r="4421" spans="6:9" x14ac:dyDescent="0.3">
      <c r="F4421"/>
      <c r="G4421"/>
      <c r="H4421"/>
      <c r="I4421"/>
    </row>
    <row r="4422" spans="6:9" x14ac:dyDescent="0.3">
      <c r="F4422"/>
      <c r="G4422"/>
      <c r="H4422"/>
      <c r="I4422"/>
    </row>
    <row r="4423" spans="6:9" x14ac:dyDescent="0.3">
      <c r="F4423"/>
      <c r="G4423"/>
      <c r="H4423"/>
      <c r="I4423"/>
    </row>
    <row r="4424" spans="6:9" x14ac:dyDescent="0.3">
      <c r="F4424"/>
      <c r="G4424"/>
      <c r="H4424"/>
      <c r="I4424"/>
    </row>
    <row r="4425" spans="6:9" x14ac:dyDescent="0.3">
      <c r="F4425"/>
      <c r="G4425"/>
      <c r="H4425"/>
      <c r="I4425"/>
    </row>
    <row r="4426" spans="6:9" x14ac:dyDescent="0.3">
      <c r="F4426"/>
      <c r="G4426"/>
      <c r="H4426"/>
      <c r="I4426"/>
    </row>
    <row r="4427" spans="6:9" x14ac:dyDescent="0.3">
      <c r="F4427"/>
      <c r="G4427"/>
      <c r="H4427"/>
      <c r="I4427"/>
    </row>
    <row r="4428" spans="6:9" x14ac:dyDescent="0.3">
      <c r="F4428"/>
      <c r="G4428"/>
      <c r="H4428"/>
      <c r="I4428"/>
    </row>
    <row r="4429" spans="6:9" x14ac:dyDescent="0.3">
      <c r="F4429"/>
      <c r="G4429"/>
      <c r="H4429"/>
      <c r="I4429"/>
    </row>
    <row r="4430" spans="6:9" x14ac:dyDescent="0.3">
      <c r="F4430"/>
      <c r="G4430"/>
      <c r="H4430"/>
      <c r="I4430"/>
    </row>
    <row r="4431" spans="6:9" x14ac:dyDescent="0.3">
      <c r="F4431"/>
      <c r="G4431"/>
      <c r="H4431"/>
      <c r="I4431"/>
    </row>
    <row r="4432" spans="6:9" x14ac:dyDescent="0.3">
      <c r="F4432"/>
      <c r="G4432"/>
      <c r="H4432"/>
      <c r="I4432"/>
    </row>
    <row r="4433" spans="6:9" x14ac:dyDescent="0.3">
      <c r="F4433"/>
      <c r="G4433"/>
      <c r="H4433"/>
      <c r="I4433"/>
    </row>
    <row r="4434" spans="6:9" x14ac:dyDescent="0.3">
      <c r="F4434"/>
      <c r="G4434"/>
      <c r="H4434"/>
      <c r="I4434"/>
    </row>
    <row r="4435" spans="6:9" x14ac:dyDescent="0.3">
      <c r="F4435"/>
      <c r="G4435"/>
      <c r="H4435"/>
      <c r="I4435"/>
    </row>
    <row r="4436" spans="6:9" x14ac:dyDescent="0.3">
      <c r="F4436"/>
      <c r="G4436"/>
      <c r="H4436"/>
      <c r="I4436"/>
    </row>
    <row r="4437" spans="6:9" x14ac:dyDescent="0.3">
      <c r="F4437"/>
      <c r="G4437"/>
      <c r="H4437"/>
      <c r="I4437"/>
    </row>
    <row r="4438" spans="6:9" x14ac:dyDescent="0.3">
      <c r="F4438"/>
      <c r="G4438"/>
      <c r="H4438"/>
      <c r="I4438"/>
    </row>
    <row r="4439" spans="6:9" x14ac:dyDescent="0.3">
      <c r="F4439"/>
      <c r="G4439"/>
      <c r="H4439"/>
      <c r="I4439"/>
    </row>
    <row r="4440" spans="6:9" x14ac:dyDescent="0.3">
      <c r="F4440"/>
      <c r="G4440"/>
      <c r="H4440"/>
      <c r="I4440"/>
    </row>
    <row r="4441" spans="6:9" x14ac:dyDescent="0.3">
      <c r="F4441"/>
      <c r="G4441"/>
      <c r="H4441"/>
      <c r="I4441"/>
    </row>
    <row r="4442" spans="6:9" x14ac:dyDescent="0.3">
      <c r="F4442"/>
      <c r="G4442"/>
      <c r="H4442"/>
      <c r="I4442"/>
    </row>
    <row r="4443" spans="6:9" x14ac:dyDescent="0.3">
      <c r="F4443"/>
      <c r="G4443"/>
      <c r="H4443"/>
      <c r="I4443"/>
    </row>
    <row r="4444" spans="6:9" x14ac:dyDescent="0.3">
      <c r="F4444"/>
      <c r="G4444"/>
      <c r="H4444"/>
      <c r="I4444"/>
    </row>
    <row r="4445" spans="6:9" x14ac:dyDescent="0.3">
      <c r="F4445"/>
      <c r="G4445"/>
      <c r="H4445"/>
      <c r="I4445"/>
    </row>
    <row r="4446" spans="6:9" x14ac:dyDescent="0.3">
      <c r="F4446"/>
      <c r="G4446"/>
      <c r="H4446"/>
      <c r="I4446"/>
    </row>
    <row r="4447" spans="6:9" x14ac:dyDescent="0.3">
      <c r="F4447"/>
      <c r="G4447"/>
      <c r="H4447"/>
      <c r="I4447"/>
    </row>
    <row r="4448" spans="6:9" x14ac:dyDescent="0.3">
      <c r="F4448"/>
      <c r="G4448"/>
      <c r="H4448"/>
      <c r="I4448"/>
    </row>
    <row r="4449" spans="6:9" x14ac:dyDescent="0.3">
      <c r="F4449"/>
      <c r="G4449"/>
      <c r="H4449"/>
      <c r="I4449"/>
    </row>
    <row r="4450" spans="6:9" x14ac:dyDescent="0.3">
      <c r="F4450"/>
      <c r="G4450"/>
      <c r="H4450"/>
      <c r="I4450"/>
    </row>
    <row r="4451" spans="6:9" x14ac:dyDescent="0.3">
      <c r="F4451"/>
      <c r="G4451"/>
      <c r="H4451"/>
      <c r="I4451"/>
    </row>
    <row r="4452" spans="6:9" x14ac:dyDescent="0.3">
      <c r="F4452"/>
      <c r="G4452"/>
      <c r="H4452"/>
      <c r="I4452"/>
    </row>
    <row r="4453" spans="6:9" x14ac:dyDescent="0.3">
      <c r="F4453"/>
      <c r="G4453"/>
      <c r="H4453"/>
      <c r="I4453"/>
    </row>
    <row r="4454" spans="6:9" x14ac:dyDescent="0.3">
      <c r="F4454"/>
      <c r="G4454"/>
      <c r="H4454"/>
      <c r="I4454"/>
    </row>
    <row r="4455" spans="6:9" x14ac:dyDescent="0.3">
      <c r="F4455"/>
      <c r="G4455"/>
      <c r="H4455"/>
      <c r="I4455"/>
    </row>
    <row r="4456" spans="6:9" x14ac:dyDescent="0.3">
      <c r="F4456"/>
      <c r="G4456"/>
      <c r="H4456"/>
      <c r="I4456"/>
    </row>
    <row r="4457" spans="6:9" x14ac:dyDescent="0.3">
      <c r="F4457"/>
      <c r="G4457"/>
      <c r="H4457"/>
      <c r="I4457"/>
    </row>
    <row r="4458" spans="6:9" x14ac:dyDescent="0.3">
      <c r="F4458"/>
      <c r="G4458"/>
      <c r="H4458"/>
      <c r="I4458"/>
    </row>
    <row r="4459" spans="6:9" x14ac:dyDescent="0.3">
      <c r="F4459"/>
      <c r="G4459"/>
      <c r="H4459"/>
      <c r="I4459"/>
    </row>
    <row r="4460" spans="6:9" x14ac:dyDescent="0.3">
      <c r="F4460"/>
      <c r="G4460"/>
      <c r="H4460"/>
      <c r="I4460"/>
    </row>
    <row r="4461" spans="6:9" x14ac:dyDescent="0.3">
      <c r="F4461"/>
      <c r="G4461"/>
      <c r="H4461"/>
      <c r="I4461"/>
    </row>
    <row r="4462" spans="6:9" x14ac:dyDescent="0.3">
      <c r="F4462"/>
      <c r="G4462"/>
      <c r="H4462"/>
      <c r="I4462"/>
    </row>
    <row r="4463" spans="6:9" x14ac:dyDescent="0.3">
      <c r="F4463"/>
      <c r="G4463"/>
      <c r="H4463"/>
      <c r="I4463"/>
    </row>
    <row r="4464" spans="6:9" x14ac:dyDescent="0.3">
      <c r="F4464"/>
      <c r="G4464"/>
      <c r="H4464"/>
      <c r="I4464"/>
    </row>
    <row r="4465" spans="6:9" x14ac:dyDescent="0.3">
      <c r="F4465"/>
      <c r="G4465"/>
      <c r="H4465"/>
      <c r="I4465"/>
    </row>
    <row r="4466" spans="6:9" x14ac:dyDescent="0.3">
      <c r="F4466"/>
      <c r="G4466"/>
      <c r="H4466"/>
      <c r="I4466"/>
    </row>
    <row r="4467" spans="6:9" x14ac:dyDescent="0.3">
      <c r="F4467"/>
      <c r="G4467"/>
      <c r="H4467"/>
      <c r="I4467"/>
    </row>
    <row r="4468" spans="6:9" x14ac:dyDescent="0.3">
      <c r="F4468"/>
      <c r="G4468"/>
      <c r="H4468"/>
      <c r="I4468"/>
    </row>
    <row r="4469" spans="6:9" x14ac:dyDescent="0.3">
      <c r="F4469"/>
      <c r="G4469"/>
      <c r="H4469"/>
      <c r="I4469"/>
    </row>
    <row r="4470" spans="6:9" x14ac:dyDescent="0.3">
      <c r="F4470"/>
      <c r="G4470"/>
      <c r="H4470"/>
      <c r="I4470"/>
    </row>
    <row r="4471" spans="6:9" x14ac:dyDescent="0.3">
      <c r="F4471"/>
      <c r="G4471"/>
      <c r="H4471"/>
      <c r="I4471"/>
    </row>
    <row r="4472" spans="6:9" x14ac:dyDescent="0.3">
      <c r="F4472"/>
      <c r="G4472"/>
      <c r="H4472"/>
      <c r="I4472"/>
    </row>
    <row r="4473" spans="6:9" x14ac:dyDescent="0.3">
      <c r="F4473"/>
      <c r="G4473"/>
      <c r="H4473"/>
      <c r="I4473"/>
    </row>
    <row r="4474" spans="6:9" x14ac:dyDescent="0.3">
      <c r="F4474"/>
      <c r="G4474"/>
      <c r="H4474"/>
      <c r="I4474"/>
    </row>
    <row r="4475" spans="6:9" x14ac:dyDescent="0.3">
      <c r="F4475"/>
      <c r="G4475"/>
      <c r="H4475"/>
      <c r="I4475"/>
    </row>
    <row r="4476" spans="6:9" x14ac:dyDescent="0.3">
      <c r="F4476"/>
      <c r="G4476"/>
      <c r="H4476"/>
      <c r="I4476"/>
    </row>
    <row r="4477" spans="6:9" x14ac:dyDescent="0.3">
      <c r="F4477"/>
      <c r="G4477"/>
      <c r="H4477"/>
      <c r="I4477"/>
    </row>
    <row r="4478" spans="6:9" x14ac:dyDescent="0.3">
      <c r="F4478"/>
      <c r="G4478"/>
      <c r="H4478"/>
      <c r="I4478"/>
    </row>
    <row r="4479" spans="6:9" x14ac:dyDescent="0.3">
      <c r="F4479"/>
      <c r="G4479"/>
      <c r="H4479"/>
      <c r="I4479"/>
    </row>
    <row r="4480" spans="6:9" x14ac:dyDescent="0.3">
      <c r="F4480"/>
      <c r="G4480"/>
      <c r="H4480"/>
      <c r="I4480"/>
    </row>
    <row r="4481" spans="6:9" x14ac:dyDescent="0.3">
      <c r="F4481"/>
      <c r="G4481"/>
      <c r="H4481"/>
      <c r="I4481"/>
    </row>
    <row r="4482" spans="6:9" x14ac:dyDescent="0.3">
      <c r="F4482"/>
      <c r="G4482"/>
      <c r="H4482"/>
      <c r="I4482"/>
    </row>
    <row r="4483" spans="6:9" x14ac:dyDescent="0.3">
      <c r="F4483"/>
      <c r="G4483"/>
      <c r="H4483"/>
      <c r="I4483"/>
    </row>
    <row r="4484" spans="6:9" x14ac:dyDescent="0.3">
      <c r="F4484"/>
      <c r="G4484"/>
      <c r="H4484"/>
      <c r="I4484"/>
    </row>
    <row r="4485" spans="6:9" x14ac:dyDescent="0.3">
      <c r="F4485"/>
      <c r="G4485"/>
      <c r="H4485"/>
      <c r="I4485"/>
    </row>
    <row r="4486" spans="6:9" x14ac:dyDescent="0.3">
      <c r="F4486"/>
      <c r="G4486"/>
      <c r="H4486"/>
      <c r="I4486"/>
    </row>
    <row r="4487" spans="6:9" x14ac:dyDescent="0.3">
      <c r="F4487"/>
      <c r="G4487"/>
      <c r="H4487"/>
      <c r="I4487"/>
    </row>
    <row r="4488" spans="6:9" x14ac:dyDescent="0.3">
      <c r="F4488"/>
      <c r="G4488"/>
      <c r="H4488"/>
      <c r="I4488"/>
    </row>
    <row r="4489" spans="6:9" x14ac:dyDescent="0.3">
      <c r="F4489"/>
      <c r="G4489"/>
      <c r="H4489"/>
      <c r="I4489"/>
    </row>
    <row r="4490" spans="6:9" x14ac:dyDescent="0.3">
      <c r="F4490"/>
      <c r="G4490"/>
      <c r="H4490"/>
      <c r="I4490"/>
    </row>
    <row r="4491" spans="6:9" x14ac:dyDescent="0.3">
      <c r="F4491"/>
      <c r="G4491"/>
      <c r="H4491"/>
      <c r="I4491"/>
    </row>
    <row r="4492" spans="6:9" x14ac:dyDescent="0.3">
      <c r="F4492"/>
      <c r="G4492"/>
      <c r="H4492"/>
      <c r="I4492"/>
    </row>
    <row r="4493" spans="6:9" x14ac:dyDescent="0.3">
      <c r="F4493"/>
      <c r="G4493"/>
      <c r="H4493"/>
      <c r="I4493"/>
    </row>
    <row r="4494" spans="6:9" x14ac:dyDescent="0.3">
      <c r="F4494"/>
      <c r="G4494"/>
      <c r="H4494"/>
      <c r="I4494"/>
    </row>
    <row r="4495" spans="6:9" x14ac:dyDescent="0.3">
      <c r="F4495"/>
      <c r="G4495"/>
      <c r="H4495"/>
      <c r="I4495"/>
    </row>
    <row r="4496" spans="6:9" x14ac:dyDescent="0.3">
      <c r="F4496"/>
      <c r="G4496"/>
      <c r="H4496"/>
      <c r="I4496"/>
    </row>
    <row r="4497" spans="6:9" x14ac:dyDescent="0.3">
      <c r="F4497"/>
      <c r="G4497"/>
      <c r="H4497"/>
      <c r="I4497"/>
    </row>
    <row r="4498" spans="6:9" x14ac:dyDescent="0.3">
      <c r="F4498"/>
      <c r="G4498"/>
      <c r="H4498"/>
      <c r="I4498"/>
    </row>
    <row r="4499" spans="6:9" x14ac:dyDescent="0.3">
      <c r="F4499"/>
      <c r="G4499"/>
      <c r="H4499"/>
      <c r="I4499"/>
    </row>
    <row r="4500" spans="6:9" x14ac:dyDescent="0.3">
      <c r="F4500"/>
      <c r="G4500"/>
      <c r="H4500"/>
      <c r="I4500"/>
    </row>
    <row r="4501" spans="6:9" x14ac:dyDescent="0.3">
      <c r="F4501"/>
      <c r="G4501"/>
      <c r="H4501"/>
      <c r="I4501"/>
    </row>
    <row r="4502" spans="6:9" x14ac:dyDescent="0.3">
      <c r="F4502"/>
      <c r="G4502"/>
      <c r="H4502"/>
      <c r="I4502"/>
    </row>
    <row r="4503" spans="6:9" x14ac:dyDescent="0.3">
      <c r="F4503"/>
      <c r="G4503"/>
      <c r="H4503"/>
      <c r="I4503"/>
    </row>
    <row r="4504" spans="6:9" x14ac:dyDescent="0.3">
      <c r="F4504"/>
      <c r="G4504"/>
      <c r="H4504"/>
      <c r="I4504"/>
    </row>
    <row r="4505" spans="6:9" x14ac:dyDescent="0.3">
      <c r="F4505"/>
      <c r="G4505"/>
      <c r="H4505"/>
      <c r="I4505"/>
    </row>
    <row r="4506" spans="6:9" x14ac:dyDescent="0.3">
      <c r="F4506"/>
      <c r="G4506"/>
      <c r="H4506"/>
      <c r="I4506"/>
    </row>
    <row r="4507" spans="6:9" x14ac:dyDescent="0.3">
      <c r="F4507"/>
      <c r="G4507"/>
      <c r="H4507"/>
      <c r="I4507"/>
    </row>
    <row r="4508" spans="6:9" x14ac:dyDescent="0.3">
      <c r="F4508"/>
      <c r="G4508"/>
      <c r="H4508"/>
      <c r="I4508"/>
    </row>
    <row r="4509" spans="6:9" x14ac:dyDescent="0.3">
      <c r="F4509"/>
      <c r="G4509"/>
      <c r="H4509"/>
      <c r="I4509"/>
    </row>
    <row r="4510" spans="6:9" x14ac:dyDescent="0.3">
      <c r="F4510"/>
      <c r="G4510"/>
      <c r="H4510"/>
      <c r="I4510"/>
    </row>
    <row r="4511" spans="6:9" x14ac:dyDescent="0.3">
      <c r="F4511"/>
      <c r="G4511"/>
      <c r="H4511"/>
      <c r="I4511"/>
    </row>
    <row r="4512" spans="6:9" x14ac:dyDescent="0.3">
      <c r="F4512"/>
      <c r="G4512"/>
      <c r="H4512"/>
      <c r="I4512"/>
    </row>
    <row r="4513" spans="6:9" x14ac:dyDescent="0.3">
      <c r="F4513"/>
      <c r="G4513"/>
      <c r="H4513"/>
      <c r="I4513"/>
    </row>
    <row r="4514" spans="6:9" x14ac:dyDescent="0.3">
      <c r="F4514"/>
      <c r="G4514"/>
      <c r="H4514"/>
      <c r="I4514"/>
    </row>
    <row r="4515" spans="6:9" x14ac:dyDescent="0.3">
      <c r="F4515"/>
      <c r="G4515"/>
      <c r="H4515"/>
      <c r="I4515"/>
    </row>
    <row r="4516" spans="6:9" x14ac:dyDescent="0.3">
      <c r="F4516"/>
      <c r="G4516"/>
      <c r="H4516"/>
      <c r="I4516"/>
    </row>
    <row r="4517" spans="6:9" x14ac:dyDescent="0.3">
      <c r="F4517"/>
      <c r="G4517"/>
      <c r="H4517"/>
      <c r="I4517"/>
    </row>
    <row r="4518" spans="6:9" x14ac:dyDescent="0.3">
      <c r="F4518"/>
      <c r="G4518"/>
      <c r="H4518"/>
      <c r="I4518"/>
    </row>
    <row r="4519" spans="6:9" x14ac:dyDescent="0.3">
      <c r="F4519"/>
      <c r="G4519"/>
      <c r="H4519"/>
      <c r="I4519"/>
    </row>
    <row r="4520" spans="6:9" x14ac:dyDescent="0.3">
      <c r="F4520"/>
      <c r="G4520"/>
      <c r="H4520"/>
      <c r="I4520"/>
    </row>
    <row r="4521" spans="6:9" x14ac:dyDescent="0.3">
      <c r="F4521"/>
      <c r="G4521"/>
      <c r="H4521"/>
      <c r="I4521"/>
    </row>
    <row r="4522" spans="6:9" x14ac:dyDescent="0.3">
      <c r="F4522"/>
      <c r="G4522"/>
      <c r="H4522"/>
      <c r="I4522"/>
    </row>
    <row r="4523" spans="6:9" x14ac:dyDescent="0.3">
      <c r="F4523"/>
      <c r="G4523"/>
      <c r="H4523"/>
      <c r="I4523"/>
    </row>
    <row r="4524" spans="6:9" x14ac:dyDescent="0.3">
      <c r="F4524"/>
      <c r="G4524"/>
      <c r="H4524"/>
      <c r="I4524"/>
    </row>
    <row r="4525" spans="6:9" x14ac:dyDescent="0.3">
      <c r="F4525"/>
      <c r="G4525"/>
      <c r="H4525"/>
      <c r="I4525"/>
    </row>
    <row r="4526" spans="6:9" x14ac:dyDescent="0.3">
      <c r="F4526"/>
      <c r="G4526"/>
      <c r="H4526"/>
      <c r="I4526"/>
    </row>
    <row r="4527" spans="6:9" x14ac:dyDescent="0.3">
      <c r="F4527"/>
      <c r="G4527"/>
      <c r="H4527"/>
      <c r="I4527"/>
    </row>
    <row r="4528" spans="6:9" x14ac:dyDescent="0.3">
      <c r="F4528"/>
      <c r="G4528"/>
      <c r="H4528"/>
      <c r="I4528"/>
    </row>
    <row r="4529" spans="6:9" x14ac:dyDescent="0.3">
      <c r="F4529"/>
      <c r="G4529"/>
      <c r="H4529"/>
      <c r="I4529"/>
    </row>
    <row r="4530" spans="6:9" x14ac:dyDescent="0.3">
      <c r="F4530"/>
      <c r="G4530"/>
      <c r="H4530"/>
      <c r="I4530"/>
    </row>
    <row r="4531" spans="6:9" x14ac:dyDescent="0.3">
      <c r="F4531"/>
      <c r="G4531"/>
      <c r="H4531"/>
      <c r="I4531"/>
    </row>
    <row r="4532" spans="6:9" x14ac:dyDescent="0.3">
      <c r="F4532"/>
      <c r="G4532"/>
      <c r="H4532"/>
      <c r="I4532"/>
    </row>
    <row r="4533" spans="6:9" x14ac:dyDescent="0.3">
      <c r="F4533"/>
      <c r="G4533"/>
      <c r="H4533"/>
      <c r="I4533"/>
    </row>
    <row r="4534" spans="6:9" x14ac:dyDescent="0.3">
      <c r="F4534"/>
      <c r="G4534"/>
      <c r="H4534"/>
      <c r="I4534"/>
    </row>
    <row r="4535" spans="6:9" x14ac:dyDescent="0.3">
      <c r="F4535"/>
      <c r="G4535"/>
      <c r="H4535"/>
      <c r="I4535"/>
    </row>
    <row r="4536" spans="6:9" x14ac:dyDescent="0.3">
      <c r="F4536"/>
      <c r="G4536"/>
      <c r="H4536"/>
      <c r="I4536"/>
    </row>
    <row r="4537" spans="6:9" x14ac:dyDescent="0.3">
      <c r="F4537"/>
      <c r="G4537"/>
      <c r="H4537"/>
      <c r="I4537"/>
    </row>
    <row r="4538" spans="6:9" x14ac:dyDescent="0.3">
      <c r="F4538"/>
      <c r="G4538"/>
      <c r="H4538"/>
      <c r="I4538"/>
    </row>
    <row r="4539" spans="6:9" x14ac:dyDescent="0.3">
      <c r="F4539"/>
      <c r="G4539"/>
      <c r="H4539"/>
      <c r="I4539"/>
    </row>
    <row r="4540" spans="6:9" x14ac:dyDescent="0.3">
      <c r="F4540"/>
      <c r="G4540"/>
      <c r="H4540"/>
      <c r="I4540"/>
    </row>
    <row r="4541" spans="6:9" x14ac:dyDescent="0.3">
      <c r="F4541"/>
      <c r="G4541"/>
      <c r="H4541"/>
      <c r="I4541"/>
    </row>
    <row r="4542" spans="6:9" x14ac:dyDescent="0.3">
      <c r="F4542"/>
      <c r="G4542"/>
      <c r="H4542"/>
      <c r="I4542"/>
    </row>
    <row r="4543" spans="6:9" x14ac:dyDescent="0.3">
      <c r="F4543"/>
      <c r="G4543"/>
      <c r="H4543"/>
      <c r="I4543"/>
    </row>
    <row r="4544" spans="6:9" x14ac:dyDescent="0.3">
      <c r="F4544"/>
      <c r="G4544"/>
      <c r="H4544"/>
      <c r="I4544"/>
    </row>
    <row r="4545" spans="6:9" x14ac:dyDescent="0.3">
      <c r="F4545"/>
      <c r="G4545"/>
      <c r="H4545"/>
      <c r="I4545"/>
    </row>
    <row r="4546" spans="6:9" x14ac:dyDescent="0.3">
      <c r="F4546"/>
      <c r="G4546"/>
      <c r="H4546"/>
      <c r="I4546"/>
    </row>
    <row r="4547" spans="6:9" x14ac:dyDescent="0.3">
      <c r="F4547"/>
      <c r="G4547"/>
      <c r="H4547"/>
      <c r="I4547"/>
    </row>
    <row r="4548" spans="6:9" x14ac:dyDescent="0.3">
      <c r="F4548"/>
      <c r="G4548"/>
      <c r="H4548"/>
      <c r="I4548"/>
    </row>
    <row r="4549" spans="6:9" x14ac:dyDescent="0.3">
      <c r="F4549"/>
      <c r="G4549"/>
      <c r="H4549"/>
      <c r="I4549"/>
    </row>
    <row r="4550" spans="6:9" x14ac:dyDescent="0.3">
      <c r="F4550"/>
      <c r="G4550"/>
      <c r="H4550"/>
      <c r="I4550"/>
    </row>
    <row r="4551" spans="6:9" x14ac:dyDescent="0.3">
      <c r="F4551"/>
      <c r="G4551"/>
      <c r="H4551"/>
      <c r="I4551"/>
    </row>
    <row r="4552" spans="6:9" x14ac:dyDescent="0.3">
      <c r="F4552"/>
      <c r="G4552"/>
      <c r="H4552"/>
      <c r="I4552"/>
    </row>
    <row r="4553" spans="6:9" x14ac:dyDescent="0.3">
      <c r="F4553"/>
      <c r="G4553"/>
      <c r="H4553"/>
      <c r="I4553"/>
    </row>
    <row r="4554" spans="6:9" x14ac:dyDescent="0.3">
      <c r="F4554"/>
      <c r="G4554"/>
      <c r="H4554"/>
      <c r="I4554"/>
    </row>
    <row r="4555" spans="6:9" x14ac:dyDescent="0.3">
      <c r="F4555"/>
      <c r="G4555"/>
      <c r="H4555"/>
      <c r="I4555"/>
    </row>
    <row r="4556" spans="6:9" x14ac:dyDescent="0.3">
      <c r="F4556"/>
      <c r="G4556"/>
      <c r="H4556"/>
      <c r="I4556"/>
    </row>
    <row r="4557" spans="6:9" x14ac:dyDescent="0.3">
      <c r="F4557"/>
      <c r="G4557"/>
      <c r="H4557"/>
      <c r="I4557"/>
    </row>
    <row r="4558" spans="6:9" x14ac:dyDescent="0.3">
      <c r="F4558"/>
      <c r="G4558"/>
      <c r="H4558"/>
      <c r="I4558"/>
    </row>
    <row r="4559" spans="6:9" x14ac:dyDescent="0.3">
      <c r="F4559"/>
      <c r="G4559"/>
      <c r="H4559"/>
      <c r="I4559"/>
    </row>
    <row r="4560" spans="6:9" x14ac:dyDescent="0.3">
      <c r="F4560"/>
      <c r="G4560"/>
      <c r="H4560"/>
      <c r="I4560"/>
    </row>
    <row r="4561" spans="6:9" x14ac:dyDescent="0.3">
      <c r="F4561"/>
      <c r="G4561"/>
      <c r="H4561"/>
      <c r="I4561"/>
    </row>
    <row r="4562" spans="6:9" x14ac:dyDescent="0.3">
      <c r="F4562"/>
      <c r="G4562"/>
      <c r="H4562"/>
      <c r="I4562"/>
    </row>
    <row r="4563" spans="6:9" x14ac:dyDescent="0.3">
      <c r="F4563"/>
      <c r="G4563"/>
      <c r="H4563"/>
      <c r="I4563"/>
    </row>
    <row r="4564" spans="6:9" x14ac:dyDescent="0.3">
      <c r="F4564"/>
      <c r="G4564"/>
      <c r="H4564"/>
      <c r="I4564"/>
    </row>
    <row r="4565" spans="6:9" x14ac:dyDescent="0.3">
      <c r="F4565"/>
      <c r="G4565"/>
      <c r="H4565"/>
      <c r="I4565"/>
    </row>
    <row r="4566" spans="6:9" x14ac:dyDescent="0.3">
      <c r="F4566"/>
      <c r="G4566"/>
      <c r="H4566"/>
      <c r="I4566"/>
    </row>
    <row r="4567" spans="6:9" x14ac:dyDescent="0.3">
      <c r="F4567"/>
      <c r="G4567"/>
      <c r="H4567"/>
      <c r="I4567"/>
    </row>
    <row r="4568" spans="6:9" x14ac:dyDescent="0.3">
      <c r="F4568"/>
      <c r="G4568"/>
      <c r="H4568"/>
      <c r="I4568"/>
    </row>
    <row r="4569" spans="6:9" x14ac:dyDescent="0.3">
      <c r="F4569"/>
      <c r="G4569"/>
      <c r="H4569"/>
      <c r="I4569"/>
    </row>
    <row r="4570" spans="6:9" x14ac:dyDescent="0.3">
      <c r="F4570"/>
      <c r="G4570"/>
      <c r="H4570"/>
      <c r="I4570"/>
    </row>
    <row r="4571" spans="6:9" x14ac:dyDescent="0.3">
      <c r="F4571"/>
      <c r="G4571"/>
      <c r="H4571"/>
      <c r="I4571"/>
    </row>
    <row r="4572" spans="6:9" x14ac:dyDescent="0.3">
      <c r="F4572"/>
      <c r="G4572"/>
      <c r="H4572"/>
      <c r="I4572"/>
    </row>
    <row r="4573" spans="6:9" x14ac:dyDescent="0.3">
      <c r="F4573"/>
      <c r="G4573"/>
      <c r="H4573"/>
      <c r="I4573"/>
    </row>
    <row r="4574" spans="6:9" x14ac:dyDescent="0.3">
      <c r="F4574"/>
      <c r="G4574"/>
      <c r="H4574"/>
      <c r="I4574"/>
    </row>
    <row r="4575" spans="6:9" x14ac:dyDescent="0.3">
      <c r="F4575"/>
      <c r="G4575"/>
      <c r="H4575"/>
      <c r="I4575"/>
    </row>
    <row r="4576" spans="6:9" x14ac:dyDescent="0.3">
      <c r="F4576"/>
      <c r="G4576"/>
      <c r="H4576"/>
      <c r="I4576"/>
    </row>
    <row r="4577" spans="6:9" x14ac:dyDescent="0.3">
      <c r="F4577"/>
      <c r="G4577"/>
      <c r="H4577"/>
      <c r="I4577"/>
    </row>
    <row r="4578" spans="6:9" x14ac:dyDescent="0.3">
      <c r="F4578"/>
      <c r="G4578"/>
      <c r="H4578"/>
      <c r="I4578"/>
    </row>
    <row r="4579" spans="6:9" x14ac:dyDescent="0.3">
      <c r="F4579"/>
      <c r="G4579"/>
      <c r="H4579"/>
      <c r="I4579"/>
    </row>
    <row r="4580" spans="6:9" x14ac:dyDescent="0.3">
      <c r="F4580"/>
      <c r="G4580"/>
      <c r="H4580"/>
      <c r="I4580"/>
    </row>
    <row r="4581" spans="6:9" x14ac:dyDescent="0.3">
      <c r="F4581"/>
      <c r="G4581"/>
      <c r="H4581"/>
      <c r="I4581"/>
    </row>
    <row r="4582" spans="6:9" x14ac:dyDescent="0.3">
      <c r="F4582"/>
      <c r="G4582"/>
      <c r="H4582"/>
      <c r="I4582"/>
    </row>
    <row r="4583" spans="6:9" x14ac:dyDescent="0.3">
      <c r="F4583"/>
      <c r="G4583"/>
      <c r="H4583"/>
      <c r="I4583"/>
    </row>
    <row r="4584" spans="6:9" x14ac:dyDescent="0.3">
      <c r="F4584"/>
      <c r="G4584"/>
      <c r="H4584"/>
      <c r="I4584"/>
    </row>
    <row r="4585" spans="6:9" x14ac:dyDescent="0.3">
      <c r="F4585"/>
      <c r="G4585"/>
      <c r="H4585"/>
      <c r="I4585"/>
    </row>
    <row r="4586" spans="6:9" x14ac:dyDescent="0.3">
      <c r="F4586"/>
      <c r="G4586"/>
      <c r="H4586"/>
      <c r="I4586"/>
    </row>
    <row r="4587" spans="6:9" x14ac:dyDescent="0.3">
      <c r="F4587"/>
      <c r="G4587"/>
      <c r="H4587"/>
      <c r="I4587"/>
    </row>
    <row r="4588" spans="6:9" x14ac:dyDescent="0.3">
      <c r="F4588"/>
      <c r="G4588"/>
      <c r="H4588"/>
      <c r="I4588"/>
    </row>
    <row r="4589" spans="6:9" x14ac:dyDescent="0.3">
      <c r="F4589"/>
      <c r="G4589"/>
      <c r="H4589"/>
      <c r="I4589"/>
    </row>
    <row r="4590" spans="6:9" x14ac:dyDescent="0.3">
      <c r="F4590"/>
      <c r="G4590"/>
      <c r="H4590"/>
      <c r="I4590"/>
    </row>
    <row r="4591" spans="6:9" x14ac:dyDescent="0.3">
      <c r="F4591"/>
      <c r="G4591"/>
      <c r="H4591"/>
      <c r="I4591"/>
    </row>
    <row r="4592" spans="6:9" x14ac:dyDescent="0.3">
      <c r="F4592"/>
      <c r="G4592"/>
      <c r="H4592"/>
      <c r="I4592"/>
    </row>
    <row r="4593" spans="6:9" x14ac:dyDescent="0.3">
      <c r="F4593"/>
      <c r="G4593"/>
      <c r="H4593"/>
      <c r="I4593"/>
    </row>
    <row r="4594" spans="6:9" x14ac:dyDescent="0.3">
      <c r="F4594"/>
      <c r="G4594"/>
      <c r="H4594"/>
      <c r="I4594"/>
    </row>
    <row r="4595" spans="6:9" x14ac:dyDescent="0.3">
      <c r="F4595"/>
      <c r="G4595"/>
      <c r="H4595"/>
      <c r="I4595"/>
    </row>
    <row r="4596" spans="6:9" x14ac:dyDescent="0.3">
      <c r="F4596"/>
      <c r="G4596"/>
      <c r="H4596"/>
      <c r="I4596"/>
    </row>
    <row r="4597" spans="6:9" x14ac:dyDescent="0.3">
      <c r="F4597"/>
      <c r="G4597"/>
      <c r="H4597"/>
      <c r="I4597"/>
    </row>
    <row r="4598" spans="6:9" x14ac:dyDescent="0.3">
      <c r="F4598"/>
      <c r="G4598"/>
      <c r="H4598"/>
      <c r="I4598"/>
    </row>
    <row r="4599" spans="6:9" x14ac:dyDescent="0.3">
      <c r="F4599"/>
      <c r="G4599"/>
      <c r="H4599"/>
      <c r="I4599"/>
    </row>
    <row r="4600" spans="6:9" x14ac:dyDescent="0.3">
      <c r="F4600"/>
      <c r="G4600"/>
      <c r="H4600"/>
      <c r="I4600"/>
    </row>
    <row r="4601" spans="6:9" x14ac:dyDescent="0.3">
      <c r="F4601"/>
      <c r="G4601"/>
      <c r="H4601"/>
      <c r="I4601"/>
    </row>
    <row r="4602" spans="6:9" x14ac:dyDescent="0.3">
      <c r="F4602"/>
      <c r="G4602"/>
      <c r="H4602"/>
      <c r="I4602"/>
    </row>
    <row r="4603" spans="6:9" x14ac:dyDescent="0.3">
      <c r="F4603"/>
      <c r="G4603"/>
      <c r="H4603"/>
      <c r="I4603"/>
    </row>
    <row r="4604" spans="6:9" x14ac:dyDescent="0.3">
      <c r="F4604"/>
      <c r="G4604"/>
      <c r="H4604"/>
      <c r="I4604"/>
    </row>
    <row r="4605" spans="6:9" x14ac:dyDescent="0.3">
      <c r="F4605"/>
      <c r="G4605"/>
      <c r="H4605"/>
      <c r="I4605"/>
    </row>
    <row r="4606" spans="6:9" x14ac:dyDescent="0.3">
      <c r="F4606"/>
      <c r="G4606"/>
      <c r="H4606"/>
      <c r="I4606"/>
    </row>
    <row r="4607" spans="6:9" x14ac:dyDescent="0.3">
      <c r="F4607"/>
      <c r="G4607"/>
      <c r="H4607"/>
      <c r="I4607"/>
    </row>
    <row r="4608" spans="6:9" x14ac:dyDescent="0.3">
      <c r="F4608"/>
      <c r="G4608"/>
      <c r="H4608"/>
      <c r="I4608"/>
    </row>
    <row r="4609" spans="6:9" x14ac:dyDescent="0.3">
      <c r="F4609"/>
      <c r="G4609"/>
      <c r="H4609"/>
      <c r="I4609"/>
    </row>
    <row r="4610" spans="6:9" x14ac:dyDescent="0.3">
      <c r="F4610"/>
      <c r="G4610"/>
      <c r="H4610"/>
      <c r="I4610"/>
    </row>
    <row r="4611" spans="6:9" x14ac:dyDescent="0.3">
      <c r="F4611"/>
      <c r="G4611"/>
      <c r="H4611"/>
      <c r="I4611"/>
    </row>
    <row r="4612" spans="6:9" x14ac:dyDescent="0.3">
      <c r="F4612"/>
      <c r="G4612"/>
      <c r="H4612"/>
      <c r="I4612"/>
    </row>
    <row r="4613" spans="6:9" x14ac:dyDescent="0.3">
      <c r="F4613"/>
      <c r="G4613"/>
      <c r="H4613"/>
      <c r="I4613"/>
    </row>
    <row r="4614" spans="6:9" x14ac:dyDescent="0.3">
      <c r="F4614"/>
      <c r="G4614"/>
      <c r="H4614"/>
      <c r="I4614"/>
    </row>
    <row r="4615" spans="6:9" x14ac:dyDescent="0.3">
      <c r="F4615"/>
      <c r="G4615"/>
      <c r="H4615"/>
      <c r="I4615"/>
    </row>
    <row r="4616" spans="6:9" x14ac:dyDescent="0.3">
      <c r="F4616"/>
      <c r="G4616"/>
      <c r="H4616"/>
      <c r="I4616"/>
    </row>
    <row r="4617" spans="6:9" x14ac:dyDescent="0.3">
      <c r="F4617"/>
      <c r="G4617"/>
      <c r="H4617"/>
      <c r="I4617"/>
    </row>
    <row r="4618" spans="6:9" x14ac:dyDescent="0.3">
      <c r="F4618"/>
      <c r="G4618"/>
      <c r="H4618"/>
      <c r="I4618"/>
    </row>
    <row r="4619" spans="6:9" x14ac:dyDescent="0.3">
      <c r="F4619"/>
      <c r="G4619"/>
      <c r="H4619"/>
      <c r="I4619"/>
    </row>
    <row r="4620" spans="6:9" x14ac:dyDescent="0.3">
      <c r="F4620"/>
      <c r="G4620"/>
      <c r="H4620"/>
      <c r="I4620"/>
    </row>
    <row r="4621" spans="6:9" x14ac:dyDescent="0.3">
      <c r="F4621"/>
      <c r="G4621"/>
      <c r="H4621"/>
      <c r="I4621"/>
    </row>
    <row r="4622" spans="6:9" x14ac:dyDescent="0.3">
      <c r="F4622"/>
      <c r="G4622"/>
      <c r="H4622"/>
      <c r="I4622"/>
    </row>
    <row r="4623" spans="6:9" x14ac:dyDescent="0.3">
      <c r="F4623"/>
      <c r="G4623"/>
      <c r="H4623"/>
      <c r="I4623"/>
    </row>
    <row r="4624" spans="6:9" x14ac:dyDescent="0.3">
      <c r="F4624"/>
      <c r="G4624"/>
      <c r="H4624"/>
      <c r="I4624"/>
    </row>
    <row r="4625" spans="6:9" x14ac:dyDescent="0.3">
      <c r="F4625"/>
      <c r="G4625"/>
      <c r="H4625"/>
      <c r="I4625"/>
    </row>
    <row r="4626" spans="6:9" x14ac:dyDescent="0.3">
      <c r="F4626"/>
      <c r="G4626"/>
      <c r="H4626"/>
      <c r="I4626"/>
    </row>
    <row r="4627" spans="6:9" x14ac:dyDescent="0.3">
      <c r="F4627"/>
      <c r="G4627"/>
      <c r="H4627"/>
      <c r="I4627"/>
    </row>
    <row r="4628" spans="6:9" x14ac:dyDescent="0.3">
      <c r="F4628"/>
      <c r="G4628"/>
      <c r="H4628"/>
      <c r="I4628"/>
    </row>
    <row r="4629" spans="6:9" x14ac:dyDescent="0.3">
      <c r="F4629"/>
      <c r="G4629"/>
      <c r="H4629"/>
      <c r="I4629"/>
    </row>
    <row r="4630" spans="6:9" x14ac:dyDescent="0.3">
      <c r="F4630"/>
      <c r="G4630"/>
      <c r="H4630"/>
      <c r="I4630"/>
    </row>
    <row r="4631" spans="6:9" x14ac:dyDescent="0.3">
      <c r="F4631"/>
      <c r="G4631"/>
      <c r="H4631"/>
      <c r="I4631"/>
    </row>
    <row r="4632" spans="6:9" x14ac:dyDescent="0.3">
      <c r="F4632"/>
      <c r="G4632"/>
      <c r="H4632"/>
      <c r="I4632"/>
    </row>
    <row r="4633" spans="6:9" x14ac:dyDescent="0.3">
      <c r="F4633"/>
      <c r="G4633"/>
      <c r="H4633"/>
      <c r="I4633"/>
    </row>
    <row r="4634" spans="6:9" x14ac:dyDescent="0.3">
      <c r="F4634"/>
      <c r="G4634"/>
      <c r="H4634"/>
      <c r="I4634"/>
    </row>
    <row r="4635" spans="6:9" x14ac:dyDescent="0.3">
      <c r="F4635"/>
      <c r="G4635"/>
      <c r="H4635"/>
      <c r="I4635"/>
    </row>
    <row r="4636" spans="6:9" x14ac:dyDescent="0.3">
      <c r="F4636"/>
      <c r="G4636"/>
      <c r="H4636"/>
      <c r="I4636"/>
    </row>
    <row r="4637" spans="6:9" x14ac:dyDescent="0.3">
      <c r="F4637"/>
      <c r="G4637"/>
      <c r="H4637"/>
      <c r="I4637"/>
    </row>
    <row r="4638" spans="6:9" x14ac:dyDescent="0.3">
      <c r="F4638"/>
      <c r="G4638"/>
      <c r="H4638"/>
      <c r="I4638"/>
    </row>
    <row r="4639" spans="6:9" x14ac:dyDescent="0.3">
      <c r="F4639"/>
      <c r="G4639"/>
      <c r="H4639"/>
      <c r="I4639"/>
    </row>
    <row r="4640" spans="6:9" x14ac:dyDescent="0.3">
      <c r="F4640"/>
      <c r="G4640"/>
      <c r="H4640"/>
      <c r="I4640"/>
    </row>
    <row r="4641" spans="6:9" x14ac:dyDescent="0.3">
      <c r="F4641"/>
      <c r="G4641"/>
      <c r="H4641"/>
      <c r="I4641"/>
    </row>
    <row r="4642" spans="6:9" x14ac:dyDescent="0.3">
      <c r="F4642"/>
      <c r="G4642"/>
      <c r="H4642"/>
      <c r="I4642"/>
    </row>
    <row r="4643" spans="6:9" x14ac:dyDescent="0.3">
      <c r="F4643"/>
      <c r="G4643"/>
      <c r="H4643"/>
      <c r="I4643"/>
    </row>
    <row r="4644" spans="6:9" x14ac:dyDescent="0.3">
      <c r="F4644"/>
      <c r="G4644"/>
      <c r="H4644"/>
      <c r="I4644"/>
    </row>
    <row r="4645" spans="6:9" x14ac:dyDescent="0.3">
      <c r="F4645"/>
      <c r="G4645"/>
      <c r="H4645"/>
      <c r="I4645"/>
    </row>
    <row r="4646" spans="6:9" x14ac:dyDescent="0.3">
      <c r="F4646"/>
      <c r="G4646"/>
      <c r="H4646"/>
      <c r="I4646"/>
    </row>
    <row r="4647" spans="6:9" x14ac:dyDescent="0.3">
      <c r="F4647"/>
      <c r="G4647"/>
      <c r="H4647"/>
      <c r="I4647"/>
    </row>
    <row r="4648" spans="6:9" x14ac:dyDescent="0.3">
      <c r="F4648"/>
      <c r="G4648"/>
      <c r="H4648"/>
      <c r="I4648"/>
    </row>
    <row r="4649" spans="6:9" x14ac:dyDescent="0.3">
      <c r="F4649"/>
      <c r="G4649"/>
      <c r="H4649"/>
      <c r="I4649"/>
    </row>
    <row r="4650" spans="6:9" x14ac:dyDescent="0.3">
      <c r="F4650"/>
      <c r="G4650"/>
      <c r="H4650"/>
      <c r="I4650"/>
    </row>
    <row r="4651" spans="6:9" x14ac:dyDescent="0.3">
      <c r="F4651"/>
      <c r="G4651"/>
      <c r="H4651"/>
      <c r="I4651"/>
    </row>
    <row r="4652" spans="6:9" x14ac:dyDescent="0.3">
      <c r="F4652"/>
      <c r="G4652"/>
      <c r="H4652"/>
      <c r="I4652"/>
    </row>
    <row r="4653" spans="6:9" x14ac:dyDescent="0.3">
      <c r="F4653"/>
      <c r="G4653"/>
      <c r="H4653"/>
      <c r="I4653"/>
    </row>
    <row r="4654" spans="6:9" x14ac:dyDescent="0.3">
      <c r="F4654"/>
      <c r="G4654"/>
      <c r="H4654"/>
      <c r="I4654"/>
    </row>
    <row r="4655" spans="6:9" x14ac:dyDescent="0.3">
      <c r="F4655"/>
      <c r="G4655"/>
      <c r="H4655"/>
      <c r="I4655"/>
    </row>
    <row r="4656" spans="6:9" x14ac:dyDescent="0.3">
      <c r="F4656"/>
      <c r="G4656"/>
      <c r="H4656"/>
      <c r="I4656"/>
    </row>
    <row r="4657" spans="6:9" x14ac:dyDescent="0.3">
      <c r="F4657"/>
      <c r="G4657"/>
      <c r="H4657"/>
      <c r="I4657"/>
    </row>
    <row r="4658" spans="6:9" x14ac:dyDescent="0.3">
      <c r="F4658"/>
      <c r="G4658"/>
      <c r="H4658"/>
      <c r="I4658"/>
    </row>
    <row r="4659" spans="6:9" x14ac:dyDescent="0.3">
      <c r="F4659"/>
      <c r="G4659"/>
      <c r="H4659"/>
      <c r="I4659"/>
    </row>
    <row r="4660" spans="6:9" x14ac:dyDescent="0.3">
      <c r="F4660"/>
      <c r="G4660"/>
      <c r="H4660"/>
      <c r="I4660"/>
    </row>
    <row r="4661" spans="6:9" x14ac:dyDescent="0.3">
      <c r="F4661"/>
      <c r="G4661"/>
      <c r="H4661"/>
      <c r="I4661"/>
    </row>
    <row r="4662" spans="6:9" x14ac:dyDescent="0.3">
      <c r="F4662"/>
      <c r="G4662"/>
      <c r="H4662"/>
      <c r="I4662"/>
    </row>
    <row r="4663" spans="6:9" x14ac:dyDescent="0.3">
      <c r="F4663"/>
      <c r="G4663"/>
      <c r="H4663"/>
      <c r="I4663"/>
    </row>
    <row r="4664" spans="6:9" x14ac:dyDescent="0.3">
      <c r="F4664"/>
      <c r="G4664"/>
      <c r="H4664"/>
      <c r="I4664"/>
    </row>
    <row r="4665" spans="6:9" x14ac:dyDescent="0.3">
      <c r="F4665"/>
      <c r="G4665"/>
      <c r="H4665"/>
      <c r="I4665"/>
    </row>
    <row r="4666" spans="6:9" x14ac:dyDescent="0.3">
      <c r="F4666"/>
      <c r="G4666"/>
      <c r="H4666"/>
      <c r="I4666"/>
    </row>
    <row r="4667" spans="6:9" x14ac:dyDescent="0.3">
      <c r="F4667"/>
      <c r="G4667"/>
      <c r="H4667"/>
      <c r="I4667"/>
    </row>
    <row r="4668" spans="6:9" x14ac:dyDescent="0.3">
      <c r="F4668"/>
      <c r="G4668"/>
      <c r="H4668"/>
      <c r="I4668"/>
    </row>
    <row r="4669" spans="6:9" x14ac:dyDescent="0.3">
      <c r="F4669"/>
      <c r="G4669"/>
      <c r="H4669"/>
      <c r="I4669"/>
    </row>
    <row r="4670" spans="6:9" x14ac:dyDescent="0.3">
      <c r="F4670"/>
      <c r="G4670"/>
      <c r="H4670"/>
      <c r="I4670"/>
    </row>
    <row r="4671" spans="6:9" x14ac:dyDescent="0.3">
      <c r="F4671"/>
      <c r="G4671"/>
      <c r="H4671"/>
      <c r="I4671"/>
    </row>
    <row r="4672" spans="6:9" x14ac:dyDescent="0.3">
      <c r="F4672"/>
      <c r="G4672"/>
      <c r="H4672"/>
      <c r="I4672"/>
    </row>
    <row r="4673" spans="6:9" x14ac:dyDescent="0.3">
      <c r="F4673"/>
      <c r="G4673"/>
      <c r="H4673"/>
      <c r="I4673"/>
    </row>
    <row r="4674" spans="6:9" x14ac:dyDescent="0.3">
      <c r="F4674"/>
      <c r="G4674"/>
      <c r="H4674"/>
      <c r="I4674"/>
    </row>
    <row r="4675" spans="6:9" x14ac:dyDescent="0.3">
      <c r="F4675"/>
      <c r="G4675"/>
      <c r="H4675"/>
      <c r="I4675"/>
    </row>
    <row r="4676" spans="6:9" x14ac:dyDescent="0.3">
      <c r="F4676"/>
      <c r="G4676"/>
      <c r="H4676"/>
      <c r="I4676"/>
    </row>
    <row r="4677" spans="6:9" x14ac:dyDescent="0.3">
      <c r="F4677"/>
      <c r="G4677"/>
      <c r="H4677"/>
      <c r="I4677"/>
    </row>
    <row r="4678" spans="6:9" x14ac:dyDescent="0.3">
      <c r="F4678"/>
      <c r="G4678"/>
      <c r="H4678"/>
      <c r="I4678"/>
    </row>
    <row r="4679" spans="6:9" x14ac:dyDescent="0.3">
      <c r="F4679"/>
      <c r="G4679"/>
      <c r="H4679"/>
      <c r="I4679"/>
    </row>
    <row r="4680" spans="6:9" x14ac:dyDescent="0.3">
      <c r="F4680"/>
      <c r="G4680"/>
      <c r="H4680"/>
      <c r="I4680"/>
    </row>
    <row r="4681" spans="6:9" x14ac:dyDescent="0.3">
      <c r="F4681"/>
      <c r="G4681"/>
      <c r="H4681"/>
      <c r="I4681"/>
    </row>
    <row r="4682" spans="6:9" x14ac:dyDescent="0.3">
      <c r="F4682"/>
      <c r="G4682"/>
      <c r="H4682"/>
      <c r="I4682"/>
    </row>
    <row r="4683" spans="6:9" x14ac:dyDescent="0.3">
      <c r="F4683"/>
      <c r="G4683"/>
      <c r="H4683"/>
      <c r="I4683"/>
    </row>
    <row r="4684" spans="6:9" x14ac:dyDescent="0.3">
      <c r="F4684"/>
      <c r="G4684"/>
      <c r="H4684"/>
      <c r="I4684"/>
    </row>
    <row r="4685" spans="6:9" x14ac:dyDescent="0.3">
      <c r="F4685"/>
      <c r="G4685"/>
      <c r="H4685"/>
      <c r="I4685"/>
    </row>
    <row r="4686" spans="6:9" x14ac:dyDescent="0.3">
      <c r="F4686"/>
      <c r="G4686"/>
      <c r="H4686"/>
      <c r="I4686"/>
    </row>
    <row r="4687" spans="6:9" x14ac:dyDescent="0.3">
      <c r="F4687"/>
      <c r="G4687"/>
      <c r="H4687"/>
      <c r="I4687"/>
    </row>
    <row r="4688" spans="6:9" x14ac:dyDescent="0.3">
      <c r="F4688"/>
      <c r="G4688"/>
      <c r="H4688"/>
      <c r="I4688"/>
    </row>
    <row r="4689" spans="6:9" x14ac:dyDescent="0.3">
      <c r="F4689"/>
      <c r="G4689"/>
      <c r="H4689"/>
      <c r="I4689"/>
    </row>
    <row r="4690" spans="6:9" x14ac:dyDescent="0.3">
      <c r="F4690"/>
      <c r="G4690"/>
      <c r="H4690"/>
      <c r="I4690"/>
    </row>
    <row r="4691" spans="6:9" x14ac:dyDescent="0.3">
      <c r="F4691"/>
      <c r="G4691"/>
      <c r="H4691"/>
      <c r="I4691"/>
    </row>
    <row r="4692" spans="6:9" x14ac:dyDescent="0.3">
      <c r="F4692"/>
      <c r="G4692"/>
      <c r="H4692"/>
      <c r="I4692"/>
    </row>
    <row r="4693" spans="6:9" x14ac:dyDescent="0.3">
      <c r="F4693"/>
      <c r="G4693"/>
      <c r="H4693"/>
      <c r="I4693"/>
    </row>
    <row r="4694" spans="6:9" x14ac:dyDescent="0.3">
      <c r="F4694"/>
      <c r="G4694"/>
      <c r="H4694"/>
      <c r="I4694"/>
    </row>
    <row r="4695" spans="6:9" x14ac:dyDescent="0.3">
      <c r="F4695"/>
      <c r="G4695"/>
      <c r="H4695"/>
      <c r="I4695"/>
    </row>
    <row r="4696" spans="6:9" x14ac:dyDescent="0.3">
      <c r="F4696"/>
      <c r="G4696"/>
      <c r="H4696"/>
      <c r="I4696"/>
    </row>
    <row r="4697" spans="6:9" x14ac:dyDescent="0.3">
      <c r="F4697"/>
      <c r="G4697"/>
      <c r="H4697"/>
      <c r="I4697"/>
    </row>
    <row r="4698" spans="6:9" x14ac:dyDescent="0.3">
      <c r="F4698"/>
      <c r="G4698"/>
      <c r="H4698"/>
      <c r="I4698"/>
    </row>
    <row r="4699" spans="6:9" x14ac:dyDescent="0.3">
      <c r="F4699"/>
      <c r="G4699"/>
      <c r="H4699"/>
      <c r="I4699"/>
    </row>
    <row r="4700" spans="6:9" x14ac:dyDescent="0.3">
      <c r="F4700"/>
      <c r="G4700"/>
      <c r="H4700"/>
      <c r="I4700"/>
    </row>
    <row r="4701" spans="6:9" x14ac:dyDescent="0.3">
      <c r="F4701"/>
      <c r="G4701"/>
      <c r="H4701"/>
      <c r="I4701"/>
    </row>
    <row r="4702" spans="6:9" x14ac:dyDescent="0.3">
      <c r="F4702"/>
      <c r="G4702"/>
      <c r="H4702"/>
      <c r="I4702"/>
    </row>
    <row r="4703" spans="6:9" x14ac:dyDescent="0.3">
      <c r="F4703"/>
      <c r="G4703"/>
      <c r="H4703"/>
      <c r="I4703"/>
    </row>
    <row r="4704" spans="6:9" x14ac:dyDescent="0.3">
      <c r="F4704"/>
      <c r="G4704"/>
      <c r="H4704"/>
      <c r="I4704"/>
    </row>
    <row r="4705" spans="6:9" x14ac:dyDescent="0.3">
      <c r="F4705"/>
      <c r="G4705"/>
      <c r="H4705"/>
      <c r="I4705"/>
    </row>
    <row r="4706" spans="6:9" x14ac:dyDescent="0.3">
      <c r="F4706"/>
      <c r="G4706"/>
      <c r="H4706"/>
      <c r="I4706"/>
    </row>
    <row r="4707" spans="6:9" x14ac:dyDescent="0.3">
      <c r="F4707"/>
      <c r="G4707"/>
      <c r="H4707"/>
      <c r="I4707"/>
    </row>
    <row r="4708" spans="6:9" x14ac:dyDescent="0.3">
      <c r="F4708"/>
      <c r="G4708"/>
      <c r="H4708"/>
      <c r="I4708"/>
    </row>
    <row r="4709" spans="6:9" x14ac:dyDescent="0.3">
      <c r="F4709"/>
      <c r="G4709"/>
      <c r="H4709"/>
      <c r="I4709"/>
    </row>
    <row r="4710" spans="6:9" x14ac:dyDescent="0.3">
      <c r="F4710"/>
      <c r="G4710"/>
      <c r="H4710"/>
      <c r="I4710"/>
    </row>
    <row r="4711" spans="6:9" x14ac:dyDescent="0.3">
      <c r="F4711"/>
      <c r="G4711"/>
      <c r="H4711"/>
      <c r="I4711"/>
    </row>
    <row r="4712" spans="6:9" x14ac:dyDescent="0.3">
      <c r="F4712"/>
      <c r="G4712"/>
      <c r="H4712"/>
      <c r="I4712"/>
    </row>
    <row r="4713" spans="6:9" x14ac:dyDescent="0.3">
      <c r="F4713"/>
      <c r="G4713"/>
      <c r="H4713"/>
      <c r="I4713"/>
    </row>
    <row r="4714" spans="6:9" x14ac:dyDescent="0.3">
      <c r="F4714"/>
      <c r="G4714"/>
      <c r="H4714"/>
      <c r="I4714"/>
    </row>
    <row r="4715" spans="6:9" x14ac:dyDescent="0.3">
      <c r="F4715"/>
      <c r="G4715"/>
      <c r="H4715"/>
      <c r="I4715"/>
    </row>
    <row r="4716" spans="6:9" x14ac:dyDescent="0.3">
      <c r="F4716"/>
      <c r="G4716"/>
      <c r="H4716"/>
      <c r="I4716"/>
    </row>
    <row r="4717" spans="6:9" x14ac:dyDescent="0.3">
      <c r="F4717"/>
      <c r="G4717"/>
      <c r="H4717"/>
      <c r="I4717"/>
    </row>
    <row r="4718" spans="6:9" x14ac:dyDescent="0.3">
      <c r="F4718"/>
      <c r="G4718"/>
      <c r="H4718"/>
      <c r="I4718"/>
    </row>
    <row r="4719" spans="6:9" x14ac:dyDescent="0.3">
      <c r="F4719"/>
      <c r="G4719"/>
      <c r="H4719"/>
      <c r="I4719"/>
    </row>
    <row r="4720" spans="6:9" x14ac:dyDescent="0.3">
      <c r="F4720"/>
      <c r="G4720"/>
      <c r="H4720"/>
      <c r="I4720"/>
    </row>
    <row r="4721" spans="6:9" x14ac:dyDescent="0.3">
      <c r="F4721"/>
      <c r="G4721"/>
      <c r="H4721"/>
      <c r="I4721"/>
    </row>
    <row r="4722" spans="6:9" x14ac:dyDescent="0.3">
      <c r="F4722"/>
      <c r="G4722"/>
      <c r="H4722"/>
      <c r="I4722"/>
    </row>
    <row r="4723" spans="6:9" x14ac:dyDescent="0.3">
      <c r="F4723"/>
      <c r="G4723"/>
      <c r="H4723"/>
      <c r="I4723"/>
    </row>
    <row r="4724" spans="6:9" x14ac:dyDescent="0.3">
      <c r="F4724"/>
      <c r="G4724"/>
      <c r="H4724"/>
      <c r="I4724"/>
    </row>
    <row r="4725" spans="6:9" x14ac:dyDescent="0.3">
      <c r="F4725"/>
      <c r="G4725"/>
      <c r="H4725"/>
      <c r="I4725"/>
    </row>
    <row r="4726" spans="6:9" x14ac:dyDescent="0.3">
      <c r="F4726"/>
      <c r="G4726"/>
      <c r="H4726"/>
      <c r="I4726"/>
    </row>
    <row r="4727" spans="6:9" x14ac:dyDescent="0.3">
      <c r="F4727"/>
      <c r="G4727"/>
      <c r="H4727"/>
      <c r="I4727"/>
    </row>
    <row r="4728" spans="6:9" x14ac:dyDescent="0.3">
      <c r="F4728"/>
      <c r="G4728"/>
      <c r="H4728"/>
      <c r="I4728"/>
    </row>
    <row r="4729" spans="6:9" x14ac:dyDescent="0.3">
      <c r="F4729"/>
      <c r="G4729"/>
      <c r="H4729"/>
      <c r="I4729"/>
    </row>
    <row r="4730" spans="6:9" x14ac:dyDescent="0.3">
      <c r="F4730"/>
      <c r="G4730"/>
      <c r="H4730"/>
      <c r="I4730"/>
    </row>
    <row r="4731" spans="6:9" x14ac:dyDescent="0.3">
      <c r="F4731"/>
      <c r="G4731"/>
      <c r="H4731"/>
      <c r="I4731"/>
    </row>
    <row r="4732" spans="6:9" x14ac:dyDescent="0.3">
      <c r="F4732"/>
      <c r="G4732"/>
      <c r="H4732"/>
      <c r="I4732"/>
    </row>
    <row r="4733" spans="6:9" x14ac:dyDescent="0.3">
      <c r="F4733"/>
      <c r="G4733"/>
      <c r="H4733"/>
      <c r="I4733"/>
    </row>
    <row r="4734" spans="6:9" x14ac:dyDescent="0.3">
      <c r="F4734"/>
      <c r="G4734"/>
      <c r="H4734"/>
      <c r="I4734"/>
    </row>
    <row r="4735" spans="6:9" x14ac:dyDescent="0.3">
      <c r="F4735"/>
      <c r="G4735"/>
      <c r="H4735"/>
      <c r="I4735"/>
    </row>
    <row r="4736" spans="6:9" x14ac:dyDescent="0.3">
      <c r="F4736"/>
      <c r="G4736"/>
      <c r="H4736"/>
      <c r="I4736"/>
    </row>
    <row r="4737" spans="6:9" x14ac:dyDescent="0.3">
      <c r="F4737"/>
      <c r="G4737"/>
      <c r="H4737"/>
      <c r="I4737"/>
    </row>
    <row r="4738" spans="6:9" x14ac:dyDescent="0.3">
      <c r="F4738"/>
      <c r="G4738"/>
      <c r="H4738"/>
      <c r="I4738"/>
    </row>
    <row r="4739" spans="6:9" x14ac:dyDescent="0.3">
      <c r="F4739"/>
      <c r="G4739"/>
      <c r="H4739"/>
      <c r="I4739"/>
    </row>
    <row r="4740" spans="6:9" x14ac:dyDescent="0.3">
      <c r="F4740"/>
      <c r="G4740"/>
      <c r="H4740"/>
      <c r="I4740"/>
    </row>
    <row r="4741" spans="6:9" x14ac:dyDescent="0.3">
      <c r="F4741"/>
      <c r="G4741"/>
      <c r="H4741"/>
      <c r="I4741"/>
    </row>
    <row r="4742" spans="6:9" x14ac:dyDescent="0.3">
      <c r="F4742"/>
      <c r="G4742"/>
      <c r="H4742"/>
      <c r="I4742"/>
    </row>
    <row r="4743" spans="6:9" x14ac:dyDescent="0.3">
      <c r="F4743"/>
      <c r="G4743"/>
      <c r="H4743"/>
      <c r="I4743"/>
    </row>
    <row r="4744" spans="6:9" x14ac:dyDescent="0.3">
      <c r="F4744"/>
      <c r="G4744"/>
      <c r="H4744"/>
      <c r="I4744"/>
    </row>
    <row r="4745" spans="6:9" x14ac:dyDescent="0.3">
      <c r="F4745"/>
      <c r="G4745"/>
      <c r="H4745"/>
      <c r="I4745"/>
    </row>
    <row r="4746" spans="6:9" x14ac:dyDescent="0.3">
      <c r="F4746"/>
      <c r="G4746"/>
      <c r="H4746"/>
      <c r="I4746"/>
    </row>
    <row r="4747" spans="6:9" x14ac:dyDescent="0.3">
      <c r="F4747"/>
      <c r="G4747"/>
      <c r="H4747"/>
      <c r="I4747"/>
    </row>
    <row r="4748" spans="6:9" x14ac:dyDescent="0.3">
      <c r="F4748"/>
      <c r="G4748"/>
      <c r="H4748"/>
      <c r="I4748"/>
    </row>
    <row r="4749" spans="6:9" x14ac:dyDescent="0.3">
      <c r="F4749"/>
      <c r="G4749"/>
      <c r="H4749"/>
      <c r="I4749"/>
    </row>
    <row r="4750" spans="6:9" x14ac:dyDescent="0.3">
      <c r="F4750"/>
      <c r="G4750"/>
      <c r="H4750"/>
      <c r="I4750"/>
    </row>
    <row r="4751" spans="6:9" x14ac:dyDescent="0.3">
      <c r="F4751"/>
      <c r="G4751"/>
      <c r="H4751"/>
      <c r="I4751"/>
    </row>
    <row r="4752" spans="6:9" x14ac:dyDescent="0.3">
      <c r="F4752"/>
      <c r="G4752"/>
      <c r="H4752"/>
      <c r="I4752"/>
    </row>
    <row r="4753" spans="6:9" x14ac:dyDescent="0.3">
      <c r="F4753"/>
      <c r="G4753"/>
      <c r="H4753"/>
      <c r="I4753"/>
    </row>
    <row r="4754" spans="6:9" x14ac:dyDescent="0.3">
      <c r="F4754"/>
      <c r="G4754"/>
      <c r="H4754"/>
      <c r="I4754"/>
    </row>
    <row r="4755" spans="6:9" x14ac:dyDescent="0.3">
      <c r="F4755"/>
      <c r="G4755"/>
      <c r="H4755"/>
      <c r="I4755"/>
    </row>
    <row r="4756" spans="6:9" x14ac:dyDescent="0.3">
      <c r="F4756"/>
      <c r="G4756"/>
      <c r="H4756"/>
      <c r="I4756"/>
    </row>
    <row r="4757" spans="6:9" x14ac:dyDescent="0.3">
      <c r="F4757"/>
      <c r="G4757"/>
      <c r="H4757"/>
      <c r="I4757"/>
    </row>
    <row r="4758" spans="6:9" x14ac:dyDescent="0.3">
      <c r="F4758"/>
      <c r="G4758"/>
      <c r="H4758"/>
      <c r="I4758"/>
    </row>
    <row r="4759" spans="6:9" x14ac:dyDescent="0.3">
      <c r="F4759"/>
      <c r="G4759"/>
      <c r="H4759"/>
      <c r="I4759"/>
    </row>
    <row r="4760" spans="6:9" x14ac:dyDescent="0.3">
      <c r="F4760"/>
      <c r="G4760"/>
      <c r="H4760"/>
      <c r="I4760"/>
    </row>
    <row r="4761" spans="6:9" x14ac:dyDescent="0.3">
      <c r="F4761"/>
      <c r="G4761"/>
      <c r="H4761"/>
      <c r="I4761"/>
    </row>
    <row r="4762" spans="6:9" x14ac:dyDescent="0.3">
      <c r="F4762"/>
      <c r="G4762"/>
      <c r="H4762"/>
      <c r="I4762"/>
    </row>
    <row r="4763" spans="6:9" x14ac:dyDescent="0.3">
      <c r="F4763"/>
      <c r="G4763"/>
      <c r="H4763"/>
      <c r="I4763"/>
    </row>
    <row r="4764" spans="6:9" x14ac:dyDescent="0.3">
      <c r="F4764"/>
      <c r="G4764"/>
      <c r="H4764"/>
      <c r="I4764"/>
    </row>
    <row r="4765" spans="6:9" x14ac:dyDescent="0.3">
      <c r="F4765"/>
      <c r="G4765"/>
      <c r="H4765"/>
      <c r="I4765"/>
    </row>
    <row r="4766" spans="6:9" x14ac:dyDescent="0.3">
      <c r="F4766"/>
      <c r="G4766"/>
      <c r="H4766"/>
      <c r="I4766"/>
    </row>
    <row r="4767" spans="6:9" x14ac:dyDescent="0.3">
      <c r="F4767"/>
      <c r="G4767"/>
      <c r="H4767"/>
      <c r="I4767"/>
    </row>
    <row r="4768" spans="6:9" x14ac:dyDescent="0.3">
      <c r="F4768"/>
      <c r="G4768"/>
      <c r="H4768"/>
      <c r="I4768"/>
    </row>
    <row r="4769" spans="6:9" x14ac:dyDescent="0.3">
      <c r="F4769"/>
      <c r="G4769"/>
      <c r="H4769"/>
      <c r="I4769"/>
    </row>
    <row r="4770" spans="6:9" x14ac:dyDescent="0.3">
      <c r="F4770"/>
      <c r="G4770"/>
      <c r="H4770"/>
      <c r="I4770"/>
    </row>
    <row r="4771" spans="6:9" x14ac:dyDescent="0.3">
      <c r="F4771"/>
      <c r="G4771"/>
      <c r="H4771"/>
      <c r="I4771"/>
    </row>
    <row r="4772" spans="6:9" x14ac:dyDescent="0.3">
      <c r="F4772"/>
      <c r="G4772"/>
      <c r="H4772"/>
      <c r="I4772"/>
    </row>
    <row r="4773" spans="6:9" x14ac:dyDescent="0.3">
      <c r="F4773"/>
      <c r="G4773"/>
      <c r="H4773"/>
      <c r="I4773"/>
    </row>
    <row r="4774" spans="6:9" x14ac:dyDescent="0.3">
      <c r="F4774"/>
      <c r="G4774"/>
      <c r="H4774"/>
      <c r="I4774"/>
    </row>
    <row r="4775" spans="6:9" x14ac:dyDescent="0.3">
      <c r="F4775"/>
      <c r="G4775"/>
      <c r="H4775"/>
      <c r="I4775"/>
    </row>
    <row r="4776" spans="6:9" x14ac:dyDescent="0.3">
      <c r="F4776"/>
      <c r="G4776"/>
      <c r="H4776"/>
      <c r="I4776"/>
    </row>
    <row r="4777" spans="6:9" x14ac:dyDescent="0.3">
      <c r="F4777"/>
      <c r="G4777"/>
      <c r="H4777"/>
      <c r="I4777"/>
    </row>
    <row r="4778" spans="6:9" x14ac:dyDescent="0.3">
      <c r="F4778"/>
      <c r="G4778"/>
      <c r="H4778"/>
      <c r="I4778"/>
    </row>
    <row r="4779" spans="6:9" x14ac:dyDescent="0.3">
      <c r="F4779"/>
      <c r="G4779"/>
      <c r="H4779"/>
      <c r="I4779"/>
    </row>
    <row r="4780" spans="6:9" x14ac:dyDescent="0.3">
      <c r="F4780"/>
      <c r="G4780"/>
      <c r="H4780"/>
      <c r="I4780"/>
    </row>
    <row r="4781" spans="6:9" x14ac:dyDescent="0.3">
      <c r="F4781"/>
      <c r="G4781"/>
      <c r="H4781"/>
      <c r="I4781"/>
    </row>
    <row r="4782" spans="6:9" x14ac:dyDescent="0.3">
      <c r="F4782"/>
      <c r="G4782"/>
      <c r="H4782"/>
      <c r="I4782"/>
    </row>
    <row r="4783" spans="6:9" x14ac:dyDescent="0.3">
      <c r="F4783"/>
      <c r="G4783"/>
      <c r="H4783"/>
      <c r="I4783"/>
    </row>
    <row r="4784" spans="6:9" x14ac:dyDescent="0.3">
      <c r="F4784"/>
      <c r="G4784"/>
      <c r="H4784"/>
      <c r="I4784"/>
    </row>
    <row r="4785" spans="6:9" x14ac:dyDescent="0.3">
      <c r="F4785"/>
      <c r="G4785"/>
      <c r="H4785"/>
      <c r="I4785"/>
    </row>
    <row r="4786" spans="6:9" x14ac:dyDescent="0.3">
      <c r="F4786"/>
      <c r="G4786"/>
      <c r="H4786"/>
      <c r="I4786"/>
    </row>
    <row r="4787" spans="6:9" x14ac:dyDescent="0.3">
      <c r="F4787"/>
      <c r="G4787"/>
      <c r="H4787"/>
      <c r="I4787"/>
    </row>
    <row r="4788" spans="6:9" x14ac:dyDescent="0.3">
      <c r="F4788"/>
      <c r="G4788"/>
      <c r="H4788"/>
      <c r="I4788"/>
    </row>
    <row r="4789" spans="6:9" x14ac:dyDescent="0.3">
      <c r="F4789"/>
      <c r="G4789"/>
      <c r="H4789"/>
      <c r="I4789"/>
    </row>
    <row r="4790" spans="6:9" x14ac:dyDescent="0.3">
      <c r="F4790"/>
      <c r="G4790"/>
      <c r="H4790"/>
      <c r="I4790"/>
    </row>
    <row r="4791" spans="6:9" x14ac:dyDescent="0.3">
      <c r="F4791"/>
      <c r="G4791"/>
      <c r="H4791"/>
      <c r="I4791"/>
    </row>
    <row r="4792" spans="6:9" x14ac:dyDescent="0.3">
      <c r="F4792"/>
      <c r="G4792"/>
      <c r="H4792"/>
      <c r="I4792"/>
    </row>
    <row r="4793" spans="6:9" x14ac:dyDescent="0.3">
      <c r="F4793"/>
      <c r="G4793"/>
      <c r="H4793"/>
      <c r="I4793"/>
    </row>
    <row r="4794" spans="6:9" x14ac:dyDescent="0.3">
      <c r="F4794"/>
      <c r="G4794"/>
      <c r="H4794"/>
      <c r="I4794"/>
    </row>
    <row r="4795" spans="6:9" x14ac:dyDescent="0.3">
      <c r="F4795"/>
      <c r="G4795"/>
      <c r="H4795"/>
      <c r="I4795"/>
    </row>
    <row r="4796" spans="6:9" x14ac:dyDescent="0.3">
      <c r="F4796"/>
      <c r="G4796"/>
      <c r="H4796"/>
      <c r="I4796"/>
    </row>
    <row r="4797" spans="6:9" x14ac:dyDescent="0.3">
      <c r="F4797"/>
      <c r="G4797"/>
      <c r="H4797"/>
      <c r="I4797"/>
    </row>
    <row r="4798" spans="6:9" x14ac:dyDescent="0.3">
      <c r="F4798"/>
      <c r="G4798"/>
      <c r="H4798"/>
      <c r="I4798"/>
    </row>
    <row r="4799" spans="6:9" x14ac:dyDescent="0.3">
      <c r="F4799"/>
      <c r="G4799"/>
      <c r="H4799"/>
      <c r="I4799"/>
    </row>
    <row r="4800" spans="6:9" x14ac:dyDescent="0.3">
      <c r="F4800"/>
      <c r="G4800"/>
      <c r="H4800"/>
      <c r="I4800"/>
    </row>
    <row r="4801" spans="6:9" x14ac:dyDescent="0.3">
      <c r="F4801"/>
      <c r="G4801"/>
      <c r="H4801"/>
      <c r="I4801"/>
    </row>
    <row r="4802" spans="6:9" x14ac:dyDescent="0.3">
      <c r="F4802"/>
      <c r="G4802"/>
      <c r="H4802"/>
      <c r="I4802"/>
    </row>
    <row r="4803" spans="6:9" x14ac:dyDescent="0.3">
      <c r="F4803"/>
      <c r="G4803"/>
      <c r="H4803"/>
      <c r="I4803"/>
    </row>
    <row r="4804" spans="6:9" x14ac:dyDescent="0.3">
      <c r="F4804"/>
      <c r="G4804"/>
      <c r="H4804"/>
      <c r="I4804"/>
    </row>
    <row r="4805" spans="6:9" x14ac:dyDescent="0.3">
      <c r="F4805"/>
      <c r="G4805"/>
      <c r="H4805"/>
      <c r="I4805"/>
    </row>
    <row r="4806" spans="6:9" x14ac:dyDescent="0.3">
      <c r="F4806"/>
      <c r="G4806"/>
      <c r="H4806"/>
      <c r="I4806"/>
    </row>
    <row r="4807" spans="6:9" x14ac:dyDescent="0.3">
      <c r="F4807"/>
      <c r="G4807"/>
      <c r="H4807"/>
      <c r="I4807"/>
    </row>
    <row r="4808" spans="6:9" x14ac:dyDescent="0.3">
      <c r="F4808"/>
      <c r="G4808"/>
      <c r="H4808"/>
      <c r="I4808"/>
    </row>
    <row r="4809" spans="6:9" x14ac:dyDescent="0.3">
      <c r="F4809"/>
      <c r="G4809"/>
      <c r="H4809"/>
      <c r="I4809"/>
    </row>
    <row r="4810" spans="6:9" x14ac:dyDescent="0.3">
      <c r="F4810"/>
      <c r="G4810"/>
      <c r="H4810"/>
      <c r="I4810"/>
    </row>
    <row r="4811" spans="6:9" x14ac:dyDescent="0.3">
      <c r="F4811"/>
      <c r="G4811"/>
      <c r="H4811"/>
      <c r="I4811"/>
    </row>
    <row r="4812" spans="6:9" x14ac:dyDescent="0.3">
      <c r="F4812"/>
      <c r="G4812"/>
      <c r="H4812"/>
      <c r="I4812"/>
    </row>
    <row r="4813" spans="6:9" x14ac:dyDescent="0.3">
      <c r="F4813"/>
      <c r="G4813"/>
      <c r="H4813"/>
      <c r="I4813"/>
    </row>
    <row r="4814" spans="6:9" x14ac:dyDescent="0.3">
      <c r="F4814"/>
      <c r="G4814"/>
      <c r="H4814"/>
      <c r="I4814"/>
    </row>
    <row r="4815" spans="6:9" x14ac:dyDescent="0.3">
      <c r="F4815"/>
      <c r="G4815"/>
      <c r="H4815"/>
      <c r="I4815"/>
    </row>
    <row r="4816" spans="6:9" x14ac:dyDescent="0.3">
      <c r="F4816"/>
      <c r="G4816"/>
      <c r="H4816"/>
      <c r="I4816"/>
    </row>
    <row r="4817" spans="6:9" x14ac:dyDescent="0.3">
      <c r="F4817"/>
      <c r="G4817"/>
      <c r="H4817"/>
      <c r="I4817"/>
    </row>
    <row r="4818" spans="6:9" x14ac:dyDescent="0.3">
      <c r="F4818"/>
      <c r="G4818"/>
      <c r="H4818"/>
      <c r="I4818"/>
    </row>
    <row r="4819" spans="6:9" x14ac:dyDescent="0.3">
      <c r="F4819"/>
      <c r="G4819"/>
      <c r="H4819"/>
      <c r="I4819"/>
    </row>
    <row r="4820" spans="6:9" x14ac:dyDescent="0.3">
      <c r="F4820"/>
      <c r="G4820"/>
      <c r="H4820"/>
      <c r="I4820"/>
    </row>
    <row r="4821" spans="6:9" x14ac:dyDescent="0.3">
      <c r="F4821"/>
      <c r="G4821"/>
      <c r="H4821"/>
      <c r="I4821"/>
    </row>
    <row r="4822" spans="6:9" x14ac:dyDescent="0.3">
      <c r="F4822"/>
      <c r="G4822"/>
      <c r="H4822"/>
      <c r="I4822"/>
    </row>
    <row r="4823" spans="6:9" x14ac:dyDescent="0.3">
      <c r="F4823"/>
      <c r="G4823"/>
      <c r="H4823"/>
      <c r="I4823"/>
    </row>
    <row r="4824" spans="6:9" x14ac:dyDescent="0.3">
      <c r="F4824"/>
      <c r="G4824"/>
      <c r="H4824"/>
      <c r="I4824"/>
    </row>
    <row r="4825" spans="6:9" x14ac:dyDescent="0.3">
      <c r="F4825"/>
      <c r="G4825"/>
      <c r="H4825"/>
      <c r="I4825"/>
    </row>
    <row r="4826" spans="6:9" x14ac:dyDescent="0.3">
      <c r="F4826"/>
      <c r="G4826"/>
      <c r="H4826"/>
      <c r="I4826"/>
    </row>
    <row r="4827" spans="6:9" x14ac:dyDescent="0.3">
      <c r="F4827"/>
      <c r="G4827"/>
      <c r="H4827"/>
      <c r="I4827"/>
    </row>
    <row r="4828" spans="6:9" x14ac:dyDescent="0.3">
      <c r="F4828"/>
      <c r="G4828"/>
      <c r="H4828"/>
      <c r="I4828"/>
    </row>
    <row r="4829" spans="6:9" x14ac:dyDescent="0.3">
      <c r="F4829"/>
      <c r="G4829"/>
      <c r="H4829"/>
      <c r="I4829"/>
    </row>
    <row r="4830" spans="6:9" x14ac:dyDescent="0.3">
      <c r="F4830"/>
      <c r="G4830"/>
      <c r="H4830"/>
      <c r="I4830"/>
    </row>
    <row r="4831" spans="6:9" x14ac:dyDescent="0.3">
      <c r="F4831"/>
      <c r="G4831"/>
      <c r="H4831"/>
      <c r="I4831"/>
    </row>
    <row r="4832" spans="6:9" x14ac:dyDescent="0.3">
      <c r="F4832"/>
      <c r="G4832"/>
      <c r="H4832"/>
      <c r="I4832"/>
    </row>
    <row r="4833" spans="6:9" x14ac:dyDescent="0.3">
      <c r="F4833"/>
      <c r="G4833"/>
      <c r="H4833"/>
      <c r="I4833"/>
    </row>
    <row r="4834" spans="6:9" x14ac:dyDescent="0.3">
      <c r="F4834"/>
      <c r="G4834"/>
      <c r="H4834"/>
      <c r="I4834"/>
    </row>
    <row r="4835" spans="6:9" x14ac:dyDescent="0.3">
      <c r="F4835"/>
      <c r="G4835"/>
      <c r="H4835"/>
      <c r="I4835"/>
    </row>
    <row r="4836" spans="6:9" x14ac:dyDescent="0.3">
      <c r="F4836"/>
      <c r="G4836"/>
      <c r="H4836"/>
      <c r="I4836"/>
    </row>
    <row r="4837" spans="6:9" x14ac:dyDescent="0.3">
      <c r="F4837"/>
      <c r="G4837"/>
      <c r="H4837"/>
      <c r="I4837"/>
    </row>
    <row r="4838" spans="6:9" x14ac:dyDescent="0.3">
      <c r="F4838"/>
      <c r="G4838"/>
      <c r="H4838"/>
      <c r="I4838"/>
    </row>
    <row r="4839" spans="6:9" x14ac:dyDescent="0.3">
      <c r="F4839"/>
      <c r="G4839"/>
      <c r="H4839"/>
      <c r="I4839"/>
    </row>
    <row r="4840" spans="6:9" x14ac:dyDescent="0.3">
      <c r="F4840"/>
      <c r="G4840"/>
      <c r="H4840"/>
      <c r="I4840"/>
    </row>
    <row r="4841" spans="6:9" x14ac:dyDescent="0.3">
      <c r="F4841"/>
      <c r="G4841"/>
      <c r="H4841"/>
      <c r="I4841"/>
    </row>
    <row r="4842" spans="6:9" x14ac:dyDescent="0.3">
      <c r="F4842"/>
      <c r="G4842"/>
      <c r="H4842"/>
      <c r="I4842"/>
    </row>
    <row r="4843" spans="6:9" x14ac:dyDescent="0.3">
      <c r="F4843"/>
      <c r="G4843"/>
      <c r="H4843"/>
      <c r="I4843"/>
    </row>
    <row r="4844" spans="6:9" x14ac:dyDescent="0.3">
      <c r="F4844"/>
      <c r="G4844"/>
      <c r="H4844"/>
      <c r="I4844"/>
    </row>
    <row r="4845" spans="6:9" x14ac:dyDescent="0.3">
      <c r="F4845"/>
      <c r="G4845"/>
      <c r="H4845"/>
      <c r="I4845"/>
    </row>
    <row r="4846" spans="6:9" x14ac:dyDescent="0.3">
      <c r="F4846"/>
      <c r="G4846"/>
      <c r="H4846"/>
      <c r="I4846"/>
    </row>
    <row r="4847" spans="6:9" x14ac:dyDescent="0.3">
      <c r="F4847"/>
      <c r="G4847"/>
      <c r="H4847"/>
      <c r="I4847"/>
    </row>
    <row r="4848" spans="6:9" x14ac:dyDescent="0.3">
      <c r="F4848"/>
      <c r="G4848"/>
      <c r="H4848"/>
      <c r="I4848"/>
    </row>
    <row r="4849" spans="6:9" x14ac:dyDescent="0.3">
      <c r="F4849"/>
      <c r="G4849"/>
      <c r="H4849"/>
      <c r="I4849"/>
    </row>
    <row r="4850" spans="6:9" x14ac:dyDescent="0.3">
      <c r="F4850"/>
      <c r="G4850"/>
      <c r="H4850"/>
      <c r="I4850"/>
    </row>
    <row r="4851" spans="6:9" x14ac:dyDescent="0.3">
      <c r="F4851"/>
      <c r="G4851"/>
      <c r="H4851"/>
      <c r="I4851"/>
    </row>
    <row r="4852" spans="6:9" x14ac:dyDescent="0.3">
      <c r="F4852"/>
      <c r="G4852"/>
      <c r="H4852"/>
      <c r="I4852"/>
    </row>
    <row r="4853" spans="6:9" x14ac:dyDescent="0.3">
      <c r="F4853"/>
      <c r="G4853"/>
      <c r="H4853"/>
      <c r="I4853"/>
    </row>
    <row r="4854" spans="6:9" x14ac:dyDescent="0.3">
      <c r="F4854"/>
      <c r="G4854"/>
      <c r="H4854"/>
      <c r="I4854"/>
    </row>
    <row r="4855" spans="6:9" x14ac:dyDescent="0.3">
      <c r="F4855"/>
      <c r="G4855"/>
      <c r="H4855"/>
      <c r="I4855"/>
    </row>
    <row r="4856" spans="6:9" x14ac:dyDescent="0.3">
      <c r="F4856"/>
      <c r="G4856"/>
      <c r="H4856"/>
      <c r="I4856"/>
    </row>
    <row r="4857" spans="6:9" x14ac:dyDescent="0.3">
      <c r="F4857"/>
      <c r="G4857"/>
      <c r="H4857"/>
      <c r="I4857"/>
    </row>
    <row r="4858" spans="6:9" x14ac:dyDescent="0.3">
      <c r="F4858"/>
      <c r="G4858"/>
      <c r="H4858"/>
      <c r="I4858"/>
    </row>
    <row r="4859" spans="6:9" x14ac:dyDescent="0.3">
      <c r="F4859"/>
      <c r="G4859"/>
      <c r="H4859"/>
      <c r="I4859"/>
    </row>
    <row r="4860" spans="6:9" x14ac:dyDescent="0.3">
      <c r="F4860"/>
      <c r="G4860"/>
      <c r="H4860"/>
      <c r="I4860"/>
    </row>
    <row r="4861" spans="6:9" x14ac:dyDescent="0.3">
      <c r="F4861"/>
      <c r="G4861"/>
      <c r="H4861"/>
      <c r="I4861"/>
    </row>
    <row r="4862" spans="6:9" x14ac:dyDescent="0.3">
      <c r="F4862"/>
      <c r="G4862"/>
      <c r="H4862"/>
      <c r="I4862"/>
    </row>
    <row r="4863" spans="6:9" x14ac:dyDescent="0.3">
      <c r="F4863"/>
      <c r="G4863"/>
      <c r="H4863"/>
      <c r="I4863"/>
    </row>
    <row r="4864" spans="6:9" x14ac:dyDescent="0.3">
      <c r="F4864"/>
      <c r="G4864"/>
      <c r="H4864"/>
      <c r="I4864"/>
    </row>
    <row r="4865" spans="6:9" x14ac:dyDescent="0.3">
      <c r="F4865"/>
      <c r="G4865"/>
      <c r="H4865"/>
      <c r="I4865"/>
    </row>
    <row r="4866" spans="6:9" x14ac:dyDescent="0.3">
      <c r="F4866"/>
      <c r="G4866"/>
      <c r="H4866"/>
      <c r="I4866"/>
    </row>
    <row r="4867" spans="6:9" x14ac:dyDescent="0.3">
      <c r="F4867"/>
      <c r="G4867"/>
      <c r="H4867"/>
      <c r="I4867"/>
    </row>
    <row r="4868" spans="6:9" x14ac:dyDescent="0.3">
      <c r="F4868"/>
      <c r="G4868"/>
      <c r="H4868"/>
      <c r="I4868"/>
    </row>
    <row r="4869" spans="6:9" x14ac:dyDescent="0.3">
      <c r="F4869"/>
      <c r="G4869"/>
      <c r="H4869"/>
      <c r="I4869"/>
    </row>
    <row r="4870" spans="6:9" x14ac:dyDescent="0.3">
      <c r="F4870"/>
      <c r="G4870"/>
      <c r="H4870"/>
      <c r="I4870"/>
    </row>
    <row r="4871" spans="6:9" x14ac:dyDescent="0.3">
      <c r="F4871"/>
      <c r="G4871"/>
      <c r="H4871"/>
      <c r="I4871"/>
    </row>
    <row r="4872" spans="6:9" x14ac:dyDescent="0.3">
      <c r="F4872"/>
      <c r="G4872"/>
      <c r="H4872"/>
      <c r="I4872"/>
    </row>
    <row r="4873" spans="6:9" x14ac:dyDescent="0.3">
      <c r="F4873"/>
      <c r="G4873"/>
      <c r="H4873"/>
      <c r="I4873"/>
    </row>
    <row r="4874" spans="6:9" x14ac:dyDescent="0.3">
      <c r="F4874"/>
      <c r="G4874"/>
      <c r="H4874"/>
      <c r="I4874"/>
    </row>
    <row r="4875" spans="6:9" x14ac:dyDescent="0.3">
      <c r="F4875"/>
      <c r="G4875"/>
      <c r="H4875"/>
      <c r="I4875"/>
    </row>
    <row r="4876" spans="6:9" x14ac:dyDescent="0.3">
      <c r="F4876"/>
      <c r="G4876"/>
      <c r="H4876"/>
      <c r="I4876"/>
    </row>
    <row r="4877" spans="6:9" x14ac:dyDescent="0.3">
      <c r="F4877"/>
      <c r="G4877"/>
      <c r="H4877"/>
      <c r="I4877"/>
    </row>
    <row r="4878" spans="6:9" x14ac:dyDescent="0.3">
      <c r="F4878"/>
      <c r="G4878"/>
      <c r="H4878"/>
      <c r="I4878"/>
    </row>
    <row r="4879" spans="6:9" x14ac:dyDescent="0.3">
      <c r="F4879"/>
      <c r="G4879"/>
      <c r="H4879"/>
      <c r="I4879"/>
    </row>
    <row r="4880" spans="6:9" x14ac:dyDescent="0.3">
      <c r="F4880"/>
      <c r="G4880"/>
      <c r="H4880"/>
      <c r="I4880"/>
    </row>
    <row r="4881" spans="6:9" x14ac:dyDescent="0.3">
      <c r="F4881"/>
      <c r="G4881"/>
      <c r="H4881"/>
      <c r="I4881"/>
    </row>
    <row r="4882" spans="6:9" x14ac:dyDescent="0.3">
      <c r="F4882"/>
      <c r="G4882"/>
      <c r="H4882"/>
      <c r="I4882"/>
    </row>
    <row r="4883" spans="6:9" x14ac:dyDescent="0.3">
      <c r="F4883"/>
      <c r="G4883"/>
      <c r="H4883"/>
      <c r="I4883"/>
    </row>
    <row r="4884" spans="6:9" x14ac:dyDescent="0.3">
      <c r="F4884"/>
      <c r="G4884"/>
      <c r="H4884"/>
      <c r="I4884"/>
    </row>
    <row r="4885" spans="6:9" x14ac:dyDescent="0.3">
      <c r="F4885"/>
      <c r="G4885"/>
      <c r="H4885"/>
      <c r="I4885"/>
    </row>
    <row r="4886" spans="6:9" x14ac:dyDescent="0.3">
      <c r="F4886"/>
      <c r="G4886"/>
      <c r="H4886"/>
      <c r="I4886"/>
    </row>
    <row r="4887" spans="6:9" x14ac:dyDescent="0.3">
      <c r="F4887"/>
      <c r="G4887"/>
      <c r="H4887"/>
      <c r="I4887"/>
    </row>
    <row r="4888" spans="6:9" x14ac:dyDescent="0.3">
      <c r="F4888"/>
      <c r="G4888"/>
      <c r="H4888"/>
      <c r="I4888"/>
    </row>
    <row r="4889" spans="6:9" x14ac:dyDescent="0.3">
      <c r="F4889"/>
      <c r="G4889"/>
      <c r="H4889"/>
      <c r="I4889"/>
    </row>
    <row r="4890" spans="6:9" x14ac:dyDescent="0.3">
      <c r="F4890"/>
      <c r="G4890"/>
      <c r="H4890"/>
      <c r="I4890"/>
    </row>
    <row r="4891" spans="6:9" x14ac:dyDescent="0.3">
      <c r="F4891"/>
      <c r="G4891"/>
      <c r="H4891"/>
      <c r="I4891"/>
    </row>
    <row r="4892" spans="6:9" x14ac:dyDescent="0.3">
      <c r="F4892"/>
      <c r="G4892"/>
      <c r="H4892"/>
      <c r="I4892"/>
    </row>
    <row r="4893" spans="6:9" x14ac:dyDescent="0.3">
      <c r="F4893"/>
      <c r="G4893"/>
      <c r="H4893"/>
      <c r="I4893"/>
    </row>
    <row r="4894" spans="6:9" x14ac:dyDescent="0.3">
      <c r="F4894"/>
      <c r="G4894"/>
      <c r="H4894"/>
      <c r="I4894"/>
    </row>
    <row r="4895" spans="6:9" x14ac:dyDescent="0.3">
      <c r="F4895"/>
      <c r="G4895"/>
      <c r="H4895"/>
      <c r="I4895"/>
    </row>
    <row r="4896" spans="6:9" x14ac:dyDescent="0.3">
      <c r="F4896"/>
      <c r="G4896"/>
      <c r="H4896"/>
      <c r="I4896"/>
    </row>
    <row r="4897" spans="6:9" x14ac:dyDescent="0.3">
      <c r="F4897"/>
      <c r="G4897"/>
      <c r="H4897"/>
      <c r="I4897"/>
    </row>
    <row r="4898" spans="6:9" x14ac:dyDescent="0.3">
      <c r="F4898"/>
      <c r="G4898"/>
      <c r="H4898"/>
      <c r="I4898"/>
    </row>
    <row r="4899" spans="6:9" x14ac:dyDescent="0.3">
      <c r="F4899"/>
      <c r="G4899"/>
      <c r="H4899"/>
      <c r="I4899"/>
    </row>
    <row r="4900" spans="6:9" x14ac:dyDescent="0.3">
      <c r="F4900"/>
      <c r="G4900"/>
      <c r="H4900"/>
      <c r="I4900"/>
    </row>
    <row r="4901" spans="6:9" x14ac:dyDescent="0.3">
      <c r="F4901"/>
      <c r="G4901"/>
      <c r="H4901"/>
      <c r="I4901"/>
    </row>
    <row r="4902" spans="6:9" x14ac:dyDescent="0.3">
      <c r="F4902"/>
      <c r="G4902"/>
      <c r="H4902"/>
      <c r="I4902"/>
    </row>
    <row r="4903" spans="6:9" x14ac:dyDescent="0.3">
      <c r="F4903"/>
      <c r="G4903"/>
      <c r="H4903"/>
      <c r="I4903"/>
    </row>
    <row r="4904" spans="6:9" x14ac:dyDescent="0.3">
      <c r="F4904"/>
      <c r="G4904"/>
      <c r="H4904"/>
      <c r="I4904"/>
    </row>
    <row r="4905" spans="6:9" x14ac:dyDescent="0.3">
      <c r="F4905"/>
      <c r="G4905"/>
      <c r="H4905"/>
      <c r="I4905"/>
    </row>
    <row r="4906" spans="6:9" x14ac:dyDescent="0.3">
      <c r="F4906"/>
      <c r="G4906"/>
      <c r="H4906"/>
      <c r="I4906"/>
    </row>
    <row r="4907" spans="6:9" x14ac:dyDescent="0.3">
      <c r="F4907"/>
      <c r="G4907"/>
      <c r="H4907"/>
      <c r="I4907"/>
    </row>
    <row r="4908" spans="6:9" x14ac:dyDescent="0.3">
      <c r="F4908"/>
      <c r="G4908"/>
      <c r="H4908"/>
      <c r="I4908"/>
    </row>
    <row r="4909" spans="6:9" x14ac:dyDescent="0.3">
      <c r="F4909"/>
      <c r="G4909"/>
      <c r="H4909"/>
      <c r="I4909"/>
    </row>
    <row r="4910" spans="6:9" x14ac:dyDescent="0.3">
      <c r="F4910"/>
      <c r="G4910"/>
      <c r="H4910"/>
      <c r="I4910"/>
    </row>
    <row r="4911" spans="6:9" x14ac:dyDescent="0.3">
      <c r="F4911"/>
      <c r="G4911"/>
      <c r="H4911"/>
      <c r="I4911"/>
    </row>
    <row r="4912" spans="6:9" x14ac:dyDescent="0.3">
      <c r="F4912"/>
      <c r="G4912"/>
      <c r="H4912"/>
      <c r="I4912"/>
    </row>
    <row r="4913" spans="6:9" x14ac:dyDescent="0.3">
      <c r="F4913"/>
      <c r="G4913"/>
      <c r="H4913"/>
      <c r="I4913"/>
    </row>
    <row r="4914" spans="6:9" x14ac:dyDescent="0.3">
      <c r="F4914"/>
      <c r="G4914"/>
      <c r="H4914"/>
      <c r="I4914"/>
    </row>
    <row r="4915" spans="6:9" x14ac:dyDescent="0.3">
      <c r="F4915"/>
      <c r="G4915"/>
      <c r="H4915"/>
      <c r="I4915"/>
    </row>
    <row r="4916" spans="6:9" x14ac:dyDescent="0.3">
      <c r="F4916"/>
      <c r="G4916"/>
      <c r="H4916"/>
      <c r="I4916"/>
    </row>
    <row r="4917" spans="6:9" x14ac:dyDescent="0.3">
      <c r="F4917"/>
      <c r="G4917"/>
      <c r="H4917"/>
      <c r="I4917"/>
    </row>
    <row r="4918" spans="6:9" x14ac:dyDescent="0.3">
      <c r="F4918"/>
      <c r="G4918"/>
      <c r="H4918"/>
      <c r="I4918"/>
    </row>
    <row r="4919" spans="6:9" x14ac:dyDescent="0.3">
      <c r="F4919"/>
      <c r="G4919"/>
      <c r="H4919"/>
      <c r="I4919"/>
    </row>
    <row r="4920" spans="6:9" x14ac:dyDescent="0.3">
      <c r="F4920"/>
      <c r="G4920"/>
      <c r="H4920"/>
      <c r="I4920"/>
    </row>
    <row r="4921" spans="6:9" x14ac:dyDescent="0.3">
      <c r="F4921"/>
      <c r="G4921"/>
      <c r="H4921"/>
      <c r="I4921"/>
    </row>
    <row r="4922" spans="6:9" x14ac:dyDescent="0.3">
      <c r="F4922"/>
      <c r="G4922"/>
      <c r="H4922"/>
      <c r="I4922"/>
    </row>
    <row r="4923" spans="6:9" x14ac:dyDescent="0.3">
      <c r="F4923"/>
      <c r="G4923"/>
      <c r="H4923"/>
      <c r="I4923"/>
    </row>
    <row r="4924" spans="6:9" x14ac:dyDescent="0.3">
      <c r="F4924"/>
      <c r="G4924"/>
      <c r="H4924"/>
      <c r="I4924"/>
    </row>
    <row r="4925" spans="6:9" x14ac:dyDescent="0.3">
      <c r="F4925"/>
      <c r="G4925"/>
      <c r="H4925"/>
      <c r="I4925"/>
    </row>
    <row r="4926" spans="6:9" x14ac:dyDescent="0.3">
      <c r="F4926"/>
      <c r="G4926"/>
      <c r="H4926"/>
      <c r="I4926"/>
    </row>
    <row r="4927" spans="6:9" x14ac:dyDescent="0.3">
      <c r="F4927"/>
      <c r="G4927"/>
      <c r="H4927"/>
      <c r="I4927"/>
    </row>
    <row r="4928" spans="6:9" x14ac:dyDescent="0.3">
      <c r="F4928"/>
      <c r="G4928"/>
      <c r="H4928"/>
      <c r="I4928"/>
    </row>
    <row r="4929" spans="6:9" x14ac:dyDescent="0.3">
      <c r="F4929"/>
      <c r="G4929"/>
      <c r="H4929"/>
      <c r="I4929"/>
    </row>
    <row r="4930" spans="6:9" x14ac:dyDescent="0.3">
      <c r="F4930"/>
      <c r="G4930"/>
      <c r="H4930"/>
      <c r="I4930"/>
    </row>
    <row r="4931" spans="6:9" x14ac:dyDescent="0.3">
      <c r="F4931"/>
      <c r="G4931"/>
      <c r="H4931"/>
      <c r="I4931"/>
    </row>
    <row r="4932" spans="6:9" x14ac:dyDescent="0.3">
      <c r="F4932"/>
      <c r="G4932"/>
      <c r="H4932"/>
      <c r="I4932"/>
    </row>
    <row r="4933" spans="6:9" x14ac:dyDescent="0.3">
      <c r="F4933"/>
      <c r="G4933"/>
      <c r="H4933"/>
      <c r="I4933"/>
    </row>
    <row r="4934" spans="6:9" x14ac:dyDescent="0.3">
      <c r="F4934"/>
      <c r="G4934"/>
      <c r="H4934"/>
      <c r="I4934"/>
    </row>
    <row r="4935" spans="6:9" x14ac:dyDescent="0.3">
      <c r="F4935"/>
      <c r="G4935"/>
      <c r="H4935"/>
      <c r="I4935"/>
    </row>
    <row r="4936" spans="6:9" x14ac:dyDescent="0.3">
      <c r="F4936"/>
      <c r="G4936"/>
      <c r="H4936"/>
      <c r="I4936"/>
    </row>
    <row r="4937" spans="6:9" x14ac:dyDescent="0.3">
      <c r="F4937"/>
      <c r="G4937"/>
      <c r="H4937"/>
      <c r="I4937"/>
    </row>
    <row r="4938" spans="6:9" x14ac:dyDescent="0.3">
      <c r="F4938"/>
      <c r="G4938"/>
      <c r="H4938"/>
      <c r="I4938"/>
    </row>
    <row r="4939" spans="6:9" x14ac:dyDescent="0.3">
      <c r="F4939"/>
      <c r="G4939"/>
      <c r="H4939"/>
      <c r="I4939"/>
    </row>
    <row r="4940" spans="6:9" x14ac:dyDescent="0.3">
      <c r="F4940"/>
      <c r="G4940"/>
      <c r="H4940"/>
      <c r="I4940"/>
    </row>
    <row r="4941" spans="6:9" x14ac:dyDescent="0.3">
      <c r="F4941"/>
      <c r="G4941"/>
      <c r="H4941"/>
      <c r="I4941"/>
    </row>
    <row r="4942" spans="6:9" x14ac:dyDescent="0.3">
      <c r="F4942"/>
      <c r="G4942"/>
      <c r="H4942"/>
      <c r="I4942"/>
    </row>
    <row r="4943" spans="6:9" x14ac:dyDescent="0.3">
      <c r="F4943"/>
      <c r="G4943"/>
      <c r="H4943"/>
      <c r="I4943"/>
    </row>
    <row r="4944" spans="6:9" x14ac:dyDescent="0.3">
      <c r="F4944"/>
      <c r="G4944"/>
      <c r="H4944"/>
      <c r="I4944"/>
    </row>
    <row r="4945" spans="6:9" x14ac:dyDescent="0.3">
      <c r="F4945"/>
      <c r="G4945"/>
      <c r="H4945"/>
      <c r="I4945"/>
    </row>
    <row r="4946" spans="6:9" x14ac:dyDescent="0.3">
      <c r="F4946"/>
      <c r="G4946"/>
      <c r="H4946"/>
      <c r="I4946"/>
    </row>
    <row r="4947" spans="6:9" x14ac:dyDescent="0.3">
      <c r="F4947"/>
      <c r="G4947"/>
      <c r="H4947"/>
      <c r="I4947"/>
    </row>
    <row r="4948" spans="6:9" x14ac:dyDescent="0.3">
      <c r="F4948"/>
      <c r="G4948"/>
      <c r="H4948"/>
      <c r="I4948"/>
    </row>
    <row r="4949" spans="6:9" x14ac:dyDescent="0.3">
      <c r="F4949"/>
      <c r="G4949"/>
      <c r="H4949"/>
      <c r="I4949"/>
    </row>
    <row r="4950" spans="6:9" x14ac:dyDescent="0.3">
      <c r="F4950"/>
      <c r="G4950"/>
      <c r="H4950"/>
      <c r="I4950"/>
    </row>
    <row r="4951" spans="6:9" x14ac:dyDescent="0.3">
      <c r="F4951"/>
      <c r="G4951"/>
      <c r="H4951"/>
      <c r="I4951"/>
    </row>
    <row r="4952" spans="6:9" x14ac:dyDescent="0.3">
      <c r="F4952"/>
      <c r="G4952"/>
      <c r="H4952"/>
      <c r="I4952"/>
    </row>
    <row r="4953" spans="6:9" x14ac:dyDescent="0.3">
      <c r="F4953"/>
      <c r="G4953"/>
      <c r="H4953"/>
      <c r="I4953"/>
    </row>
    <row r="4954" spans="6:9" x14ac:dyDescent="0.3">
      <c r="F4954"/>
      <c r="G4954"/>
      <c r="H4954"/>
      <c r="I4954"/>
    </row>
    <row r="4955" spans="6:9" x14ac:dyDescent="0.3">
      <c r="F4955"/>
      <c r="G4955"/>
      <c r="H4955"/>
      <c r="I4955"/>
    </row>
    <row r="4956" spans="6:9" x14ac:dyDescent="0.3">
      <c r="F4956"/>
      <c r="G4956"/>
      <c r="H4956"/>
      <c r="I4956"/>
    </row>
    <row r="4957" spans="6:9" x14ac:dyDescent="0.3">
      <c r="F4957"/>
      <c r="G4957"/>
      <c r="H4957"/>
      <c r="I4957"/>
    </row>
    <row r="4958" spans="6:9" x14ac:dyDescent="0.3">
      <c r="F4958"/>
      <c r="G4958"/>
      <c r="H4958"/>
      <c r="I4958"/>
    </row>
    <row r="4959" spans="6:9" x14ac:dyDescent="0.3">
      <c r="F4959"/>
      <c r="G4959"/>
      <c r="H4959"/>
      <c r="I4959"/>
    </row>
    <row r="4960" spans="6:9" x14ac:dyDescent="0.3">
      <c r="F4960"/>
      <c r="G4960"/>
      <c r="H4960"/>
      <c r="I4960"/>
    </row>
    <row r="4961" spans="6:9" x14ac:dyDescent="0.3">
      <c r="F4961"/>
      <c r="G4961"/>
      <c r="H4961"/>
      <c r="I4961"/>
    </row>
    <row r="4962" spans="6:9" x14ac:dyDescent="0.3">
      <c r="F4962"/>
      <c r="G4962"/>
      <c r="H4962"/>
      <c r="I4962"/>
    </row>
    <row r="4963" spans="6:9" x14ac:dyDescent="0.3">
      <c r="F4963"/>
      <c r="G4963"/>
      <c r="H4963"/>
      <c r="I4963"/>
    </row>
    <row r="4964" spans="6:9" x14ac:dyDescent="0.3">
      <c r="F4964"/>
      <c r="G4964"/>
      <c r="H4964"/>
      <c r="I4964"/>
    </row>
    <row r="4965" spans="6:9" x14ac:dyDescent="0.3">
      <c r="F4965"/>
      <c r="G4965"/>
      <c r="H4965"/>
      <c r="I4965"/>
    </row>
    <row r="4966" spans="6:9" x14ac:dyDescent="0.3">
      <c r="F4966"/>
      <c r="G4966"/>
      <c r="H4966"/>
      <c r="I4966"/>
    </row>
    <row r="4967" spans="6:9" x14ac:dyDescent="0.3">
      <c r="F4967"/>
      <c r="G4967"/>
      <c r="H4967"/>
      <c r="I4967"/>
    </row>
    <row r="4968" spans="6:9" x14ac:dyDescent="0.3">
      <c r="F4968"/>
      <c r="G4968"/>
      <c r="H4968"/>
      <c r="I4968"/>
    </row>
    <row r="4969" spans="6:9" x14ac:dyDescent="0.3">
      <c r="F4969"/>
      <c r="G4969"/>
      <c r="H4969"/>
      <c r="I4969"/>
    </row>
    <row r="4970" spans="6:9" x14ac:dyDescent="0.3">
      <c r="F4970"/>
      <c r="G4970"/>
      <c r="H4970"/>
      <c r="I4970"/>
    </row>
    <row r="4971" spans="6:9" x14ac:dyDescent="0.3">
      <c r="F4971"/>
      <c r="G4971"/>
      <c r="H4971"/>
      <c r="I4971"/>
    </row>
    <row r="4972" spans="6:9" x14ac:dyDescent="0.3">
      <c r="F4972"/>
      <c r="G4972"/>
      <c r="H4972"/>
      <c r="I4972"/>
    </row>
    <row r="4973" spans="6:9" x14ac:dyDescent="0.3">
      <c r="F4973"/>
      <c r="G4973"/>
      <c r="H4973"/>
      <c r="I4973"/>
    </row>
    <row r="4974" spans="6:9" x14ac:dyDescent="0.3">
      <c r="F4974"/>
      <c r="G4974"/>
      <c r="H4974"/>
      <c r="I4974"/>
    </row>
    <row r="4975" spans="6:9" x14ac:dyDescent="0.3">
      <c r="F4975"/>
      <c r="G4975"/>
      <c r="H4975"/>
      <c r="I4975"/>
    </row>
    <row r="4976" spans="6:9" x14ac:dyDescent="0.3">
      <c r="F4976"/>
      <c r="G4976"/>
      <c r="H4976"/>
      <c r="I4976"/>
    </row>
    <row r="4977" spans="6:9" x14ac:dyDescent="0.3">
      <c r="F4977"/>
      <c r="G4977"/>
      <c r="H4977"/>
      <c r="I4977"/>
    </row>
    <row r="4978" spans="6:9" x14ac:dyDescent="0.3">
      <c r="F4978"/>
      <c r="G4978"/>
      <c r="H4978"/>
      <c r="I4978"/>
    </row>
    <row r="4979" spans="6:9" x14ac:dyDescent="0.3">
      <c r="F4979"/>
      <c r="G4979"/>
      <c r="H4979"/>
      <c r="I4979"/>
    </row>
    <row r="4980" spans="6:9" x14ac:dyDescent="0.3">
      <c r="F4980"/>
      <c r="G4980"/>
      <c r="H4980"/>
      <c r="I4980"/>
    </row>
    <row r="4981" spans="6:9" x14ac:dyDescent="0.3">
      <c r="F4981"/>
      <c r="G4981"/>
      <c r="H4981"/>
      <c r="I4981"/>
    </row>
    <row r="4982" spans="6:9" x14ac:dyDescent="0.3">
      <c r="F4982"/>
      <c r="G4982"/>
      <c r="H4982"/>
      <c r="I4982"/>
    </row>
    <row r="4983" spans="6:9" x14ac:dyDescent="0.3">
      <c r="F4983"/>
      <c r="G4983"/>
      <c r="H4983"/>
      <c r="I4983"/>
    </row>
    <row r="4984" spans="6:9" x14ac:dyDescent="0.3">
      <c r="F4984"/>
      <c r="G4984"/>
      <c r="H4984"/>
      <c r="I4984"/>
    </row>
    <row r="4985" spans="6:9" x14ac:dyDescent="0.3">
      <c r="F4985"/>
      <c r="G4985"/>
      <c r="H4985"/>
      <c r="I4985"/>
    </row>
    <row r="4986" spans="6:9" x14ac:dyDescent="0.3">
      <c r="F4986"/>
      <c r="G4986"/>
      <c r="H4986"/>
      <c r="I4986"/>
    </row>
    <row r="4987" spans="6:9" x14ac:dyDescent="0.3">
      <c r="F4987"/>
      <c r="G4987"/>
      <c r="H4987"/>
      <c r="I4987"/>
    </row>
    <row r="4988" spans="6:9" x14ac:dyDescent="0.3">
      <c r="F4988"/>
      <c r="G4988"/>
      <c r="H4988"/>
      <c r="I4988"/>
    </row>
    <row r="4989" spans="6:9" x14ac:dyDescent="0.3">
      <c r="F4989"/>
      <c r="G4989"/>
      <c r="H4989"/>
      <c r="I4989"/>
    </row>
    <row r="4990" spans="6:9" x14ac:dyDescent="0.3">
      <c r="F4990"/>
      <c r="G4990"/>
      <c r="H4990"/>
      <c r="I4990"/>
    </row>
    <row r="4991" spans="6:9" x14ac:dyDescent="0.3">
      <c r="F4991"/>
      <c r="G4991"/>
      <c r="H4991"/>
      <c r="I4991"/>
    </row>
    <row r="4992" spans="6:9" x14ac:dyDescent="0.3">
      <c r="F4992"/>
      <c r="G4992"/>
      <c r="H4992"/>
      <c r="I4992"/>
    </row>
    <row r="4993" spans="6:9" x14ac:dyDescent="0.3">
      <c r="F4993"/>
      <c r="G4993"/>
      <c r="H4993"/>
      <c r="I4993"/>
    </row>
    <row r="4994" spans="6:9" x14ac:dyDescent="0.3">
      <c r="F4994"/>
      <c r="G4994"/>
      <c r="H4994"/>
      <c r="I4994"/>
    </row>
    <row r="4995" spans="6:9" x14ac:dyDescent="0.3">
      <c r="F4995"/>
      <c r="G4995"/>
      <c r="H4995"/>
      <c r="I4995"/>
    </row>
    <row r="4996" spans="6:9" x14ac:dyDescent="0.3">
      <c r="F4996"/>
      <c r="G4996"/>
      <c r="H4996"/>
      <c r="I4996"/>
    </row>
    <row r="4997" spans="6:9" x14ac:dyDescent="0.3">
      <c r="F4997"/>
      <c r="G4997"/>
      <c r="H4997"/>
      <c r="I4997"/>
    </row>
    <row r="4998" spans="6:9" x14ac:dyDescent="0.3">
      <c r="F4998"/>
      <c r="G4998"/>
      <c r="H4998"/>
      <c r="I4998"/>
    </row>
    <row r="4999" spans="6:9" x14ac:dyDescent="0.3">
      <c r="F4999"/>
      <c r="G4999"/>
      <c r="H4999"/>
      <c r="I4999"/>
    </row>
    <row r="5000" spans="6:9" x14ac:dyDescent="0.3">
      <c r="F5000"/>
      <c r="G5000"/>
      <c r="H5000"/>
      <c r="I5000"/>
    </row>
    <row r="5001" spans="6:9" x14ac:dyDescent="0.3">
      <c r="F5001"/>
      <c r="G5001"/>
      <c r="H5001"/>
      <c r="I5001"/>
    </row>
    <row r="5002" spans="6:9" x14ac:dyDescent="0.3">
      <c r="F5002"/>
      <c r="G5002"/>
      <c r="H5002"/>
      <c r="I5002"/>
    </row>
    <row r="5003" spans="6:9" x14ac:dyDescent="0.3">
      <c r="F5003"/>
      <c r="G5003"/>
      <c r="H5003"/>
      <c r="I5003"/>
    </row>
    <row r="5004" spans="6:9" x14ac:dyDescent="0.3">
      <c r="F5004"/>
      <c r="G5004"/>
      <c r="H5004"/>
      <c r="I5004"/>
    </row>
    <row r="5005" spans="6:9" x14ac:dyDescent="0.3">
      <c r="F5005"/>
      <c r="G5005"/>
      <c r="H5005"/>
      <c r="I5005"/>
    </row>
    <row r="5006" spans="6:9" x14ac:dyDescent="0.3">
      <c r="F5006"/>
      <c r="G5006"/>
      <c r="H5006"/>
      <c r="I5006"/>
    </row>
    <row r="5007" spans="6:9" x14ac:dyDescent="0.3">
      <c r="F5007"/>
      <c r="G5007"/>
      <c r="H5007"/>
      <c r="I5007"/>
    </row>
    <row r="5008" spans="6:9" x14ac:dyDescent="0.3">
      <c r="F5008"/>
      <c r="G5008"/>
      <c r="H5008"/>
      <c r="I5008"/>
    </row>
    <row r="5009" spans="6:9" x14ac:dyDescent="0.3">
      <c r="F5009"/>
      <c r="G5009"/>
      <c r="H5009"/>
      <c r="I5009"/>
    </row>
    <row r="5010" spans="6:9" x14ac:dyDescent="0.3">
      <c r="F5010"/>
      <c r="G5010"/>
      <c r="H5010"/>
      <c r="I5010"/>
    </row>
    <row r="5011" spans="6:9" x14ac:dyDescent="0.3">
      <c r="F5011"/>
      <c r="G5011"/>
      <c r="H5011"/>
      <c r="I5011"/>
    </row>
    <row r="5012" spans="6:9" x14ac:dyDescent="0.3">
      <c r="F5012"/>
      <c r="G5012"/>
      <c r="H5012"/>
      <c r="I5012"/>
    </row>
    <row r="5013" spans="6:9" x14ac:dyDescent="0.3">
      <c r="F5013"/>
      <c r="G5013"/>
      <c r="H5013"/>
      <c r="I5013"/>
    </row>
    <row r="5014" spans="6:9" x14ac:dyDescent="0.3">
      <c r="F5014"/>
      <c r="G5014"/>
      <c r="H5014"/>
      <c r="I5014"/>
    </row>
    <row r="5015" spans="6:9" x14ac:dyDescent="0.3">
      <c r="F5015"/>
      <c r="G5015"/>
      <c r="H5015"/>
      <c r="I5015"/>
    </row>
    <row r="5016" spans="6:9" x14ac:dyDescent="0.3">
      <c r="F5016"/>
      <c r="G5016"/>
      <c r="H5016"/>
      <c r="I5016"/>
    </row>
    <row r="5017" spans="6:9" x14ac:dyDescent="0.3">
      <c r="F5017"/>
      <c r="G5017"/>
      <c r="H5017"/>
      <c r="I5017"/>
    </row>
    <row r="5018" spans="6:9" x14ac:dyDescent="0.3">
      <c r="F5018"/>
      <c r="G5018"/>
      <c r="H5018"/>
      <c r="I5018"/>
    </row>
    <row r="5019" spans="6:9" x14ac:dyDescent="0.3">
      <c r="F5019"/>
      <c r="G5019"/>
      <c r="H5019"/>
      <c r="I5019"/>
    </row>
    <row r="5020" spans="6:9" x14ac:dyDescent="0.3">
      <c r="F5020"/>
      <c r="G5020"/>
      <c r="H5020"/>
      <c r="I5020"/>
    </row>
    <row r="5021" spans="6:9" x14ac:dyDescent="0.3">
      <c r="F5021"/>
      <c r="G5021"/>
      <c r="H5021"/>
      <c r="I5021"/>
    </row>
    <row r="5022" spans="6:9" x14ac:dyDescent="0.3">
      <c r="F5022"/>
      <c r="G5022"/>
      <c r="H5022"/>
      <c r="I5022"/>
    </row>
    <row r="5023" spans="6:9" x14ac:dyDescent="0.3">
      <c r="F5023"/>
      <c r="G5023"/>
      <c r="H5023"/>
      <c r="I5023"/>
    </row>
    <row r="5024" spans="6:9" x14ac:dyDescent="0.3">
      <c r="F5024"/>
      <c r="G5024"/>
      <c r="H5024"/>
      <c r="I5024"/>
    </row>
    <row r="5025" spans="6:9" x14ac:dyDescent="0.3">
      <c r="F5025"/>
      <c r="G5025"/>
      <c r="H5025"/>
      <c r="I5025"/>
    </row>
    <row r="5026" spans="6:9" x14ac:dyDescent="0.3">
      <c r="F5026"/>
      <c r="G5026"/>
      <c r="H5026"/>
      <c r="I5026"/>
    </row>
    <row r="5027" spans="6:9" x14ac:dyDescent="0.3">
      <c r="F5027"/>
      <c r="G5027"/>
      <c r="H5027"/>
      <c r="I5027"/>
    </row>
    <row r="5028" spans="6:9" x14ac:dyDescent="0.3">
      <c r="F5028"/>
      <c r="G5028"/>
      <c r="H5028"/>
      <c r="I5028"/>
    </row>
    <row r="5029" spans="6:9" x14ac:dyDescent="0.3">
      <c r="F5029"/>
      <c r="G5029"/>
      <c r="H5029"/>
      <c r="I5029"/>
    </row>
    <row r="5030" spans="6:9" x14ac:dyDescent="0.3">
      <c r="F5030"/>
      <c r="G5030"/>
      <c r="H5030"/>
      <c r="I5030"/>
    </row>
    <row r="5031" spans="6:9" x14ac:dyDescent="0.3">
      <c r="F5031"/>
      <c r="G5031"/>
      <c r="H5031"/>
      <c r="I5031"/>
    </row>
    <row r="5032" spans="6:9" x14ac:dyDescent="0.3">
      <c r="F5032"/>
      <c r="G5032"/>
      <c r="H5032"/>
      <c r="I5032"/>
    </row>
    <row r="5033" spans="6:9" x14ac:dyDescent="0.3">
      <c r="F5033"/>
      <c r="G5033"/>
      <c r="H5033"/>
      <c r="I5033"/>
    </row>
    <row r="5034" spans="6:9" x14ac:dyDescent="0.3">
      <c r="F5034"/>
      <c r="G5034"/>
      <c r="H5034"/>
      <c r="I5034"/>
    </row>
    <row r="5035" spans="6:9" x14ac:dyDescent="0.3">
      <c r="F5035"/>
      <c r="G5035"/>
      <c r="H5035"/>
      <c r="I5035"/>
    </row>
    <row r="5036" spans="6:9" x14ac:dyDescent="0.3">
      <c r="F5036"/>
      <c r="G5036"/>
      <c r="H5036"/>
      <c r="I5036"/>
    </row>
    <row r="5037" spans="6:9" x14ac:dyDescent="0.3">
      <c r="F5037"/>
      <c r="G5037"/>
      <c r="H5037"/>
      <c r="I5037"/>
    </row>
    <row r="5038" spans="6:9" x14ac:dyDescent="0.3">
      <c r="F5038"/>
      <c r="G5038"/>
      <c r="H5038"/>
      <c r="I5038"/>
    </row>
    <row r="5039" spans="6:9" x14ac:dyDescent="0.3">
      <c r="F5039"/>
      <c r="G5039"/>
      <c r="H5039"/>
      <c r="I5039"/>
    </row>
    <row r="5040" spans="6:9" x14ac:dyDescent="0.3">
      <c r="F5040"/>
      <c r="G5040"/>
      <c r="H5040"/>
      <c r="I5040"/>
    </row>
    <row r="5041" spans="6:9" x14ac:dyDescent="0.3">
      <c r="F5041"/>
      <c r="G5041"/>
      <c r="H5041"/>
      <c r="I5041"/>
    </row>
    <row r="5042" spans="6:9" x14ac:dyDescent="0.3">
      <c r="F5042"/>
      <c r="G5042"/>
      <c r="H5042"/>
      <c r="I5042"/>
    </row>
    <row r="5043" spans="6:9" x14ac:dyDescent="0.3">
      <c r="F5043"/>
      <c r="G5043"/>
      <c r="H5043"/>
      <c r="I5043"/>
    </row>
    <row r="5044" spans="6:9" x14ac:dyDescent="0.3">
      <c r="F5044"/>
      <c r="G5044"/>
      <c r="H5044"/>
      <c r="I5044"/>
    </row>
    <row r="5045" spans="6:9" x14ac:dyDescent="0.3">
      <c r="F5045"/>
      <c r="G5045"/>
      <c r="H5045"/>
      <c r="I5045"/>
    </row>
    <row r="5046" spans="6:9" x14ac:dyDescent="0.3">
      <c r="F5046"/>
      <c r="G5046"/>
      <c r="H5046"/>
      <c r="I5046"/>
    </row>
    <row r="5047" spans="6:9" x14ac:dyDescent="0.3">
      <c r="F5047"/>
      <c r="G5047"/>
      <c r="H5047"/>
      <c r="I5047"/>
    </row>
    <row r="5048" spans="6:9" x14ac:dyDescent="0.3">
      <c r="F5048"/>
      <c r="G5048"/>
      <c r="H5048"/>
      <c r="I5048"/>
    </row>
    <row r="5049" spans="6:9" x14ac:dyDescent="0.3">
      <c r="F5049"/>
      <c r="G5049"/>
      <c r="H5049"/>
      <c r="I5049"/>
    </row>
    <row r="5050" spans="6:9" x14ac:dyDescent="0.3">
      <c r="F5050"/>
      <c r="G5050"/>
      <c r="H5050"/>
      <c r="I5050"/>
    </row>
    <row r="5051" spans="6:9" x14ac:dyDescent="0.3">
      <c r="F5051"/>
      <c r="G5051"/>
      <c r="H5051"/>
      <c r="I5051"/>
    </row>
    <row r="5052" spans="6:9" x14ac:dyDescent="0.3">
      <c r="F5052"/>
      <c r="G5052"/>
      <c r="H5052"/>
      <c r="I5052"/>
    </row>
    <row r="5053" spans="6:9" x14ac:dyDescent="0.3">
      <c r="F5053"/>
      <c r="G5053"/>
      <c r="H5053"/>
      <c r="I5053"/>
    </row>
    <row r="5054" spans="6:9" x14ac:dyDescent="0.3">
      <c r="F5054"/>
      <c r="G5054"/>
      <c r="H5054"/>
      <c r="I5054"/>
    </row>
    <row r="5055" spans="6:9" x14ac:dyDescent="0.3">
      <c r="F5055"/>
      <c r="G5055"/>
      <c r="H5055"/>
      <c r="I5055"/>
    </row>
    <row r="5056" spans="6:9" x14ac:dyDescent="0.3">
      <c r="F5056"/>
      <c r="G5056"/>
      <c r="H5056"/>
      <c r="I5056"/>
    </row>
    <row r="5057" spans="6:9" x14ac:dyDescent="0.3">
      <c r="F5057"/>
      <c r="G5057"/>
      <c r="H5057"/>
      <c r="I5057"/>
    </row>
    <row r="5058" spans="6:9" x14ac:dyDescent="0.3">
      <c r="F5058"/>
      <c r="G5058"/>
      <c r="H5058"/>
      <c r="I5058"/>
    </row>
    <row r="5059" spans="6:9" x14ac:dyDescent="0.3">
      <c r="F5059"/>
      <c r="G5059"/>
      <c r="H5059"/>
      <c r="I5059"/>
    </row>
    <row r="5060" spans="6:9" x14ac:dyDescent="0.3">
      <c r="F5060"/>
      <c r="G5060"/>
      <c r="H5060"/>
      <c r="I5060"/>
    </row>
    <row r="5061" spans="6:9" x14ac:dyDescent="0.3">
      <c r="F5061"/>
      <c r="G5061"/>
      <c r="H5061"/>
      <c r="I5061"/>
    </row>
    <row r="5062" spans="6:9" x14ac:dyDescent="0.3">
      <c r="F5062"/>
      <c r="G5062"/>
      <c r="H5062"/>
      <c r="I5062"/>
    </row>
    <row r="5063" spans="6:9" x14ac:dyDescent="0.3">
      <c r="F5063"/>
      <c r="G5063"/>
      <c r="H5063"/>
      <c r="I5063"/>
    </row>
    <row r="5064" spans="6:9" x14ac:dyDescent="0.3">
      <c r="F5064"/>
      <c r="G5064"/>
      <c r="H5064"/>
      <c r="I5064"/>
    </row>
    <row r="5065" spans="6:9" x14ac:dyDescent="0.3">
      <c r="F5065"/>
      <c r="G5065"/>
      <c r="H5065"/>
      <c r="I5065"/>
    </row>
    <row r="5066" spans="6:9" x14ac:dyDescent="0.3">
      <c r="F5066"/>
      <c r="G5066"/>
      <c r="H5066"/>
      <c r="I5066"/>
    </row>
    <row r="5067" spans="6:9" x14ac:dyDescent="0.3">
      <c r="F5067"/>
      <c r="G5067"/>
      <c r="H5067"/>
      <c r="I5067"/>
    </row>
    <row r="5068" spans="6:9" x14ac:dyDescent="0.3">
      <c r="F5068"/>
      <c r="G5068"/>
      <c r="H5068"/>
      <c r="I5068"/>
    </row>
    <row r="5069" spans="6:9" x14ac:dyDescent="0.3">
      <c r="F5069"/>
      <c r="G5069"/>
      <c r="H5069"/>
      <c r="I5069"/>
    </row>
    <row r="5070" spans="6:9" x14ac:dyDescent="0.3">
      <c r="F5070"/>
      <c r="G5070"/>
      <c r="H5070"/>
      <c r="I5070"/>
    </row>
    <row r="5071" spans="6:9" x14ac:dyDescent="0.3">
      <c r="F5071"/>
      <c r="G5071"/>
      <c r="H5071"/>
      <c r="I5071"/>
    </row>
    <row r="5072" spans="6:9" x14ac:dyDescent="0.3">
      <c r="F5072"/>
      <c r="G5072"/>
      <c r="H5072"/>
      <c r="I5072"/>
    </row>
    <row r="5073" spans="6:9" x14ac:dyDescent="0.3">
      <c r="F5073"/>
      <c r="G5073"/>
      <c r="H5073"/>
      <c r="I5073"/>
    </row>
    <row r="5074" spans="6:9" x14ac:dyDescent="0.3">
      <c r="F5074"/>
      <c r="G5074"/>
      <c r="H5074"/>
      <c r="I5074"/>
    </row>
    <row r="5075" spans="6:9" x14ac:dyDescent="0.3">
      <c r="F5075"/>
      <c r="G5075"/>
      <c r="H5075"/>
      <c r="I5075"/>
    </row>
    <row r="5076" spans="6:9" x14ac:dyDescent="0.3">
      <c r="F5076"/>
      <c r="G5076"/>
      <c r="H5076"/>
      <c r="I5076"/>
    </row>
    <row r="5077" spans="6:9" x14ac:dyDescent="0.3">
      <c r="F5077"/>
      <c r="G5077"/>
      <c r="H5077"/>
      <c r="I5077"/>
    </row>
    <row r="5078" spans="6:9" x14ac:dyDescent="0.3">
      <c r="F5078"/>
      <c r="G5078"/>
      <c r="H5078"/>
      <c r="I5078"/>
    </row>
    <row r="5079" spans="6:9" x14ac:dyDescent="0.3">
      <c r="F5079"/>
      <c r="G5079"/>
      <c r="H5079"/>
      <c r="I5079"/>
    </row>
    <row r="5080" spans="6:9" x14ac:dyDescent="0.3">
      <c r="F5080"/>
      <c r="G5080"/>
      <c r="H5080"/>
      <c r="I5080"/>
    </row>
    <row r="5081" spans="6:9" x14ac:dyDescent="0.3">
      <c r="F5081"/>
      <c r="G5081"/>
      <c r="H5081"/>
      <c r="I5081"/>
    </row>
    <row r="5082" spans="6:9" x14ac:dyDescent="0.3">
      <c r="F5082"/>
      <c r="G5082"/>
      <c r="H5082"/>
      <c r="I5082"/>
    </row>
    <row r="5083" spans="6:9" x14ac:dyDescent="0.3">
      <c r="F5083"/>
      <c r="G5083"/>
      <c r="H5083"/>
      <c r="I5083"/>
    </row>
    <row r="5084" spans="6:9" x14ac:dyDescent="0.3">
      <c r="F5084"/>
      <c r="G5084"/>
      <c r="H5084"/>
      <c r="I5084"/>
    </row>
    <row r="5085" spans="6:9" x14ac:dyDescent="0.3">
      <c r="F5085"/>
      <c r="G5085"/>
      <c r="H5085"/>
      <c r="I5085"/>
    </row>
    <row r="5086" spans="6:9" x14ac:dyDescent="0.3">
      <c r="F5086"/>
      <c r="G5086"/>
      <c r="H5086"/>
      <c r="I5086"/>
    </row>
    <row r="5087" spans="6:9" x14ac:dyDescent="0.3">
      <c r="F5087"/>
      <c r="G5087"/>
      <c r="H5087"/>
      <c r="I5087"/>
    </row>
    <row r="5088" spans="6:9" x14ac:dyDescent="0.3">
      <c r="F5088"/>
      <c r="G5088"/>
      <c r="H5088"/>
      <c r="I5088"/>
    </row>
    <row r="5089" spans="6:9" x14ac:dyDescent="0.3">
      <c r="F5089"/>
      <c r="G5089"/>
      <c r="H5089"/>
      <c r="I5089"/>
    </row>
    <row r="5090" spans="6:9" x14ac:dyDescent="0.3">
      <c r="F5090"/>
      <c r="G5090"/>
      <c r="H5090"/>
      <c r="I5090"/>
    </row>
    <row r="5091" spans="6:9" x14ac:dyDescent="0.3">
      <c r="F5091"/>
      <c r="G5091"/>
      <c r="H5091"/>
      <c r="I5091"/>
    </row>
    <row r="5092" spans="6:9" x14ac:dyDescent="0.3">
      <c r="F5092"/>
      <c r="G5092"/>
      <c r="H5092"/>
      <c r="I5092"/>
    </row>
    <row r="5093" spans="6:9" x14ac:dyDescent="0.3">
      <c r="F5093"/>
      <c r="G5093"/>
      <c r="H5093"/>
      <c r="I5093"/>
    </row>
    <row r="5094" spans="6:9" x14ac:dyDescent="0.3">
      <c r="F5094"/>
      <c r="G5094"/>
      <c r="H5094"/>
      <c r="I5094"/>
    </row>
    <row r="5095" spans="6:9" x14ac:dyDescent="0.3">
      <c r="F5095"/>
      <c r="G5095"/>
      <c r="H5095"/>
      <c r="I5095"/>
    </row>
    <row r="5096" spans="6:9" x14ac:dyDescent="0.3">
      <c r="F5096"/>
      <c r="G5096"/>
      <c r="H5096"/>
      <c r="I5096"/>
    </row>
    <row r="5097" spans="6:9" x14ac:dyDescent="0.3">
      <c r="F5097"/>
      <c r="G5097"/>
      <c r="H5097"/>
      <c r="I5097"/>
    </row>
    <row r="5098" spans="6:9" x14ac:dyDescent="0.3">
      <c r="F5098"/>
      <c r="G5098"/>
      <c r="H5098"/>
      <c r="I5098"/>
    </row>
    <row r="5099" spans="6:9" x14ac:dyDescent="0.3">
      <c r="F5099"/>
      <c r="G5099"/>
      <c r="H5099"/>
      <c r="I5099"/>
    </row>
    <row r="5100" spans="6:9" x14ac:dyDescent="0.3">
      <c r="F5100"/>
      <c r="G5100"/>
      <c r="H5100"/>
      <c r="I5100"/>
    </row>
    <row r="5101" spans="6:9" x14ac:dyDescent="0.3">
      <c r="F5101"/>
      <c r="G5101"/>
      <c r="H5101"/>
      <c r="I5101"/>
    </row>
    <row r="5102" spans="6:9" x14ac:dyDescent="0.3">
      <c r="F5102"/>
      <c r="G5102"/>
      <c r="H5102"/>
      <c r="I5102"/>
    </row>
    <row r="5103" spans="6:9" x14ac:dyDescent="0.3">
      <c r="F5103"/>
      <c r="G5103"/>
      <c r="H5103"/>
      <c r="I5103"/>
    </row>
    <row r="5104" spans="6:9" x14ac:dyDescent="0.3">
      <c r="F5104"/>
      <c r="G5104"/>
      <c r="H5104"/>
      <c r="I5104"/>
    </row>
    <row r="5105" spans="6:9" x14ac:dyDescent="0.3">
      <c r="F5105"/>
      <c r="G5105"/>
      <c r="H5105"/>
      <c r="I5105"/>
    </row>
    <row r="5106" spans="6:9" x14ac:dyDescent="0.3">
      <c r="F5106"/>
      <c r="G5106"/>
      <c r="H5106"/>
      <c r="I5106"/>
    </row>
    <row r="5107" spans="6:9" x14ac:dyDescent="0.3">
      <c r="F5107"/>
      <c r="G5107"/>
      <c r="H5107"/>
      <c r="I5107"/>
    </row>
    <row r="5108" spans="6:9" x14ac:dyDescent="0.3">
      <c r="F5108"/>
      <c r="G5108"/>
      <c r="H5108"/>
      <c r="I5108"/>
    </row>
    <row r="5109" spans="6:9" x14ac:dyDescent="0.3">
      <c r="F5109"/>
      <c r="G5109"/>
      <c r="H5109"/>
      <c r="I5109"/>
    </row>
    <row r="5110" spans="6:9" x14ac:dyDescent="0.3">
      <c r="F5110"/>
      <c r="G5110"/>
      <c r="H5110"/>
      <c r="I5110"/>
    </row>
    <row r="5111" spans="6:9" x14ac:dyDescent="0.3">
      <c r="F5111"/>
      <c r="G5111"/>
      <c r="H5111"/>
      <c r="I5111"/>
    </row>
    <row r="5112" spans="6:9" x14ac:dyDescent="0.3">
      <c r="F5112"/>
      <c r="G5112"/>
      <c r="H5112"/>
      <c r="I5112"/>
    </row>
    <row r="5113" spans="6:9" x14ac:dyDescent="0.3">
      <c r="F5113"/>
      <c r="G5113"/>
      <c r="H5113"/>
      <c r="I5113"/>
    </row>
    <row r="5114" spans="6:9" x14ac:dyDescent="0.3">
      <c r="F5114"/>
      <c r="G5114"/>
      <c r="H5114"/>
      <c r="I5114"/>
    </row>
    <row r="5115" spans="6:9" x14ac:dyDescent="0.3">
      <c r="F5115"/>
      <c r="G5115"/>
      <c r="H5115"/>
      <c r="I5115"/>
    </row>
    <row r="5116" spans="6:9" x14ac:dyDescent="0.3">
      <c r="F5116"/>
      <c r="G5116"/>
      <c r="H5116"/>
      <c r="I5116"/>
    </row>
    <row r="5117" spans="6:9" x14ac:dyDescent="0.3">
      <c r="F5117"/>
      <c r="G5117"/>
      <c r="H5117"/>
      <c r="I5117"/>
    </row>
    <row r="5118" spans="6:9" x14ac:dyDescent="0.3">
      <c r="F5118"/>
      <c r="G5118"/>
      <c r="H5118"/>
      <c r="I5118"/>
    </row>
    <row r="5119" spans="6:9" x14ac:dyDescent="0.3">
      <c r="F5119"/>
      <c r="G5119"/>
      <c r="H5119"/>
      <c r="I5119"/>
    </row>
    <row r="5120" spans="6:9" x14ac:dyDescent="0.3">
      <c r="F5120"/>
      <c r="G5120"/>
      <c r="H5120"/>
      <c r="I5120"/>
    </row>
    <row r="5121" spans="6:9" x14ac:dyDescent="0.3">
      <c r="F5121"/>
      <c r="G5121"/>
      <c r="H5121"/>
      <c r="I5121"/>
    </row>
    <row r="5122" spans="6:9" x14ac:dyDescent="0.3">
      <c r="F5122"/>
      <c r="G5122"/>
      <c r="H5122"/>
      <c r="I5122"/>
    </row>
    <row r="5123" spans="6:9" x14ac:dyDescent="0.3">
      <c r="F5123"/>
      <c r="G5123"/>
      <c r="H5123"/>
      <c r="I5123"/>
    </row>
    <row r="5124" spans="6:9" x14ac:dyDescent="0.3">
      <c r="F5124"/>
      <c r="G5124"/>
      <c r="H5124"/>
      <c r="I5124"/>
    </row>
    <row r="5125" spans="6:9" x14ac:dyDescent="0.3">
      <c r="F5125"/>
      <c r="G5125"/>
      <c r="H5125"/>
      <c r="I5125"/>
    </row>
    <row r="5126" spans="6:9" x14ac:dyDescent="0.3">
      <c r="F5126"/>
      <c r="G5126"/>
      <c r="H5126"/>
      <c r="I5126"/>
    </row>
    <row r="5127" spans="6:9" x14ac:dyDescent="0.3">
      <c r="F5127"/>
      <c r="G5127"/>
      <c r="H5127"/>
      <c r="I5127"/>
    </row>
    <row r="5128" spans="6:9" x14ac:dyDescent="0.3">
      <c r="F5128"/>
      <c r="G5128"/>
      <c r="H5128"/>
      <c r="I5128"/>
    </row>
    <row r="5129" spans="6:9" x14ac:dyDescent="0.3">
      <c r="F5129"/>
      <c r="G5129"/>
      <c r="H5129"/>
      <c r="I5129"/>
    </row>
    <row r="5130" spans="6:9" x14ac:dyDescent="0.3">
      <c r="F5130"/>
      <c r="G5130"/>
      <c r="H5130"/>
      <c r="I5130"/>
    </row>
    <row r="5131" spans="6:9" x14ac:dyDescent="0.3">
      <c r="F5131"/>
      <c r="G5131"/>
      <c r="H5131"/>
      <c r="I5131"/>
    </row>
    <row r="5132" spans="6:9" x14ac:dyDescent="0.3">
      <c r="F5132"/>
      <c r="G5132"/>
      <c r="H5132"/>
      <c r="I5132"/>
    </row>
    <row r="5133" spans="6:9" x14ac:dyDescent="0.3">
      <c r="F5133"/>
      <c r="G5133"/>
      <c r="H5133"/>
      <c r="I5133"/>
    </row>
    <row r="5134" spans="6:9" x14ac:dyDescent="0.3">
      <c r="F5134"/>
      <c r="G5134"/>
      <c r="H5134"/>
      <c r="I5134"/>
    </row>
    <row r="5135" spans="6:9" x14ac:dyDescent="0.3">
      <c r="F5135"/>
      <c r="G5135"/>
      <c r="H5135"/>
      <c r="I5135"/>
    </row>
    <row r="5136" spans="6:9" x14ac:dyDescent="0.3">
      <c r="F5136"/>
      <c r="G5136"/>
      <c r="H5136"/>
      <c r="I5136"/>
    </row>
    <row r="5137" spans="6:9" x14ac:dyDescent="0.3">
      <c r="F5137"/>
      <c r="G5137"/>
      <c r="H5137"/>
      <c r="I5137"/>
    </row>
    <row r="5138" spans="6:9" x14ac:dyDescent="0.3">
      <c r="F5138"/>
      <c r="G5138"/>
      <c r="H5138"/>
      <c r="I5138"/>
    </row>
    <row r="5139" spans="6:9" x14ac:dyDescent="0.3">
      <c r="F5139"/>
      <c r="G5139"/>
      <c r="H5139"/>
      <c r="I5139"/>
    </row>
    <row r="5140" spans="6:9" x14ac:dyDescent="0.3">
      <c r="F5140"/>
      <c r="G5140"/>
      <c r="H5140"/>
      <c r="I5140"/>
    </row>
    <row r="5141" spans="6:9" x14ac:dyDescent="0.3">
      <c r="F5141"/>
      <c r="G5141"/>
      <c r="H5141"/>
      <c r="I5141"/>
    </row>
    <row r="5142" spans="6:9" x14ac:dyDescent="0.3">
      <c r="F5142"/>
      <c r="G5142"/>
      <c r="H5142"/>
      <c r="I5142"/>
    </row>
    <row r="5143" spans="6:9" x14ac:dyDescent="0.3">
      <c r="F5143"/>
      <c r="G5143"/>
      <c r="H5143"/>
      <c r="I5143"/>
    </row>
    <row r="5144" spans="6:9" x14ac:dyDescent="0.3">
      <c r="F5144"/>
      <c r="G5144"/>
      <c r="H5144"/>
      <c r="I5144"/>
    </row>
    <row r="5145" spans="6:9" x14ac:dyDescent="0.3">
      <c r="F5145"/>
      <c r="G5145"/>
      <c r="H5145"/>
      <c r="I5145"/>
    </row>
    <row r="5146" spans="6:9" x14ac:dyDescent="0.3">
      <c r="F5146"/>
      <c r="G5146"/>
      <c r="H5146"/>
      <c r="I5146"/>
    </row>
    <row r="5147" spans="6:9" x14ac:dyDescent="0.3">
      <c r="F5147"/>
      <c r="G5147"/>
      <c r="H5147"/>
      <c r="I5147"/>
    </row>
    <row r="5148" spans="6:9" x14ac:dyDescent="0.3">
      <c r="F5148"/>
      <c r="G5148"/>
      <c r="H5148"/>
      <c r="I5148"/>
    </row>
    <row r="5149" spans="6:9" x14ac:dyDescent="0.3">
      <c r="F5149"/>
      <c r="G5149"/>
      <c r="H5149"/>
      <c r="I5149"/>
    </row>
    <row r="5150" spans="6:9" x14ac:dyDescent="0.3">
      <c r="F5150"/>
      <c r="G5150"/>
      <c r="H5150"/>
      <c r="I5150"/>
    </row>
    <row r="5151" spans="6:9" x14ac:dyDescent="0.3">
      <c r="F5151"/>
      <c r="G5151"/>
      <c r="H5151"/>
      <c r="I5151"/>
    </row>
    <row r="5152" spans="6:9" x14ac:dyDescent="0.3">
      <c r="F5152"/>
      <c r="G5152"/>
      <c r="H5152"/>
      <c r="I5152"/>
    </row>
    <row r="5153" spans="6:9" x14ac:dyDescent="0.3">
      <c r="F5153"/>
      <c r="G5153"/>
      <c r="H5153"/>
      <c r="I5153"/>
    </row>
    <row r="5154" spans="6:9" x14ac:dyDescent="0.3">
      <c r="F5154"/>
      <c r="G5154"/>
      <c r="H5154"/>
      <c r="I5154"/>
    </row>
    <row r="5155" spans="6:9" x14ac:dyDescent="0.3">
      <c r="F5155"/>
      <c r="G5155"/>
      <c r="H5155"/>
      <c r="I5155"/>
    </row>
    <row r="5156" spans="6:9" x14ac:dyDescent="0.3">
      <c r="F5156"/>
      <c r="G5156"/>
      <c r="H5156"/>
      <c r="I5156"/>
    </row>
    <row r="5157" spans="6:9" x14ac:dyDescent="0.3">
      <c r="F5157"/>
      <c r="G5157"/>
      <c r="H5157"/>
      <c r="I5157"/>
    </row>
    <row r="5158" spans="6:9" x14ac:dyDescent="0.3">
      <c r="F5158"/>
      <c r="G5158"/>
      <c r="H5158"/>
      <c r="I5158"/>
    </row>
    <row r="5159" spans="6:9" x14ac:dyDescent="0.3">
      <c r="F5159"/>
      <c r="G5159"/>
      <c r="H5159"/>
      <c r="I5159"/>
    </row>
    <row r="5160" spans="6:9" x14ac:dyDescent="0.3">
      <c r="F5160"/>
      <c r="G5160"/>
      <c r="H5160"/>
      <c r="I5160"/>
    </row>
    <row r="5161" spans="6:9" x14ac:dyDescent="0.3">
      <c r="F5161"/>
      <c r="G5161"/>
      <c r="H5161"/>
      <c r="I5161"/>
    </row>
    <row r="5162" spans="6:9" x14ac:dyDescent="0.3">
      <c r="F5162"/>
      <c r="G5162"/>
      <c r="H5162"/>
      <c r="I5162"/>
    </row>
    <row r="5163" spans="6:9" x14ac:dyDescent="0.3">
      <c r="F5163"/>
      <c r="G5163"/>
      <c r="H5163"/>
      <c r="I5163"/>
    </row>
    <row r="5164" spans="6:9" x14ac:dyDescent="0.3">
      <c r="F5164"/>
      <c r="G5164"/>
      <c r="H5164"/>
      <c r="I5164"/>
    </row>
    <row r="5165" spans="6:9" x14ac:dyDescent="0.3">
      <c r="F5165"/>
      <c r="G5165"/>
      <c r="H5165"/>
      <c r="I5165"/>
    </row>
    <row r="5166" spans="6:9" x14ac:dyDescent="0.3">
      <c r="F5166"/>
      <c r="G5166"/>
      <c r="H5166"/>
      <c r="I5166"/>
    </row>
    <row r="5167" spans="6:9" x14ac:dyDescent="0.3">
      <c r="F5167"/>
      <c r="G5167"/>
      <c r="H5167"/>
      <c r="I5167"/>
    </row>
    <row r="5168" spans="6:9" x14ac:dyDescent="0.3">
      <c r="F5168"/>
      <c r="G5168"/>
      <c r="H5168"/>
      <c r="I5168"/>
    </row>
    <row r="5169" spans="6:9" x14ac:dyDescent="0.3">
      <c r="F5169"/>
      <c r="G5169"/>
      <c r="H5169"/>
      <c r="I5169"/>
    </row>
    <row r="5170" spans="6:9" x14ac:dyDescent="0.3">
      <c r="F5170"/>
      <c r="G5170"/>
      <c r="H5170"/>
      <c r="I5170"/>
    </row>
    <row r="5171" spans="6:9" x14ac:dyDescent="0.3">
      <c r="F5171"/>
      <c r="G5171"/>
      <c r="H5171"/>
      <c r="I5171"/>
    </row>
    <row r="5172" spans="6:9" x14ac:dyDescent="0.3">
      <c r="F5172"/>
      <c r="G5172"/>
      <c r="H5172"/>
      <c r="I5172"/>
    </row>
    <row r="5173" spans="6:9" x14ac:dyDescent="0.3">
      <c r="F5173"/>
      <c r="G5173"/>
      <c r="H5173"/>
      <c r="I5173"/>
    </row>
    <row r="5174" spans="6:9" x14ac:dyDescent="0.3">
      <c r="F5174"/>
      <c r="G5174"/>
      <c r="H5174"/>
      <c r="I5174"/>
    </row>
    <row r="5175" spans="6:9" x14ac:dyDescent="0.3">
      <c r="F5175"/>
      <c r="G5175"/>
      <c r="H5175"/>
      <c r="I5175"/>
    </row>
    <row r="5176" spans="6:9" x14ac:dyDescent="0.3">
      <c r="F5176"/>
      <c r="G5176"/>
      <c r="H5176"/>
      <c r="I5176"/>
    </row>
    <row r="5177" spans="6:9" x14ac:dyDescent="0.3">
      <c r="F5177"/>
      <c r="G5177"/>
      <c r="H5177"/>
      <c r="I5177"/>
    </row>
    <row r="5178" spans="6:9" x14ac:dyDescent="0.3">
      <c r="F5178"/>
      <c r="G5178"/>
      <c r="H5178"/>
      <c r="I5178"/>
    </row>
    <row r="5179" spans="6:9" x14ac:dyDescent="0.3">
      <c r="F5179"/>
      <c r="G5179"/>
      <c r="H5179"/>
      <c r="I5179"/>
    </row>
    <row r="5180" spans="6:9" x14ac:dyDescent="0.3">
      <c r="F5180"/>
      <c r="G5180"/>
      <c r="H5180"/>
      <c r="I5180"/>
    </row>
    <row r="5181" spans="6:9" x14ac:dyDescent="0.3">
      <c r="F5181"/>
      <c r="G5181"/>
      <c r="H5181"/>
      <c r="I5181"/>
    </row>
    <row r="5182" spans="6:9" x14ac:dyDescent="0.3">
      <c r="F5182"/>
      <c r="G5182"/>
      <c r="H5182"/>
      <c r="I5182"/>
    </row>
    <row r="5183" spans="6:9" x14ac:dyDescent="0.3">
      <c r="F5183"/>
      <c r="G5183"/>
      <c r="H5183"/>
      <c r="I5183"/>
    </row>
    <row r="5184" spans="6:9" x14ac:dyDescent="0.3">
      <c r="F5184"/>
      <c r="G5184"/>
      <c r="H5184"/>
      <c r="I5184"/>
    </row>
    <row r="5185" spans="6:9" x14ac:dyDescent="0.3">
      <c r="F5185"/>
      <c r="G5185"/>
      <c r="H5185"/>
      <c r="I5185"/>
    </row>
    <row r="5186" spans="6:9" x14ac:dyDescent="0.3">
      <c r="F5186"/>
      <c r="G5186"/>
      <c r="H5186"/>
      <c r="I5186"/>
    </row>
    <row r="5187" spans="6:9" x14ac:dyDescent="0.3">
      <c r="F5187"/>
      <c r="G5187"/>
      <c r="H5187"/>
      <c r="I5187"/>
    </row>
    <row r="5188" spans="6:9" x14ac:dyDescent="0.3">
      <c r="F5188"/>
      <c r="G5188"/>
      <c r="H5188"/>
      <c r="I5188"/>
    </row>
    <row r="5189" spans="6:9" x14ac:dyDescent="0.3">
      <c r="F5189"/>
      <c r="G5189"/>
      <c r="H5189"/>
      <c r="I5189"/>
    </row>
    <row r="5190" spans="6:9" x14ac:dyDescent="0.3">
      <c r="F5190"/>
      <c r="G5190"/>
      <c r="H5190"/>
      <c r="I5190"/>
    </row>
    <row r="5191" spans="6:9" x14ac:dyDescent="0.3">
      <c r="F5191"/>
      <c r="G5191"/>
      <c r="H5191"/>
      <c r="I5191"/>
    </row>
    <row r="5192" spans="6:9" x14ac:dyDescent="0.3">
      <c r="F5192"/>
      <c r="G5192"/>
      <c r="H5192"/>
      <c r="I5192"/>
    </row>
    <row r="5193" spans="6:9" x14ac:dyDescent="0.3">
      <c r="F5193"/>
      <c r="G5193"/>
      <c r="H5193"/>
      <c r="I5193"/>
    </row>
    <row r="5194" spans="6:9" x14ac:dyDescent="0.3">
      <c r="F5194"/>
      <c r="G5194"/>
      <c r="H5194"/>
      <c r="I5194"/>
    </row>
    <row r="5195" spans="6:9" x14ac:dyDescent="0.3">
      <c r="F5195"/>
      <c r="G5195"/>
      <c r="H5195"/>
      <c r="I5195"/>
    </row>
    <row r="5196" spans="6:9" x14ac:dyDescent="0.3">
      <c r="F5196"/>
      <c r="G5196"/>
      <c r="H5196"/>
      <c r="I5196"/>
    </row>
    <row r="5197" spans="6:9" x14ac:dyDescent="0.3">
      <c r="F5197"/>
      <c r="G5197"/>
      <c r="H5197"/>
      <c r="I5197"/>
    </row>
    <row r="5198" spans="6:9" x14ac:dyDescent="0.3">
      <c r="F5198"/>
      <c r="G5198"/>
      <c r="H5198"/>
      <c r="I5198"/>
    </row>
    <row r="5199" spans="6:9" x14ac:dyDescent="0.3">
      <c r="F5199"/>
      <c r="G5199"/>
      <c r="H5199"/>
      <c r="I5199"/>
    </row>
    <row r="5200" spans="6:9" x14ac:dyDescent="0.3">
      <c r="F5200"/>
      <c r="G5200"/>
      <c r="H5200"/>
      <c r="I5200"/>
    </row>
    <row r="5201" spans="6:9" x14ac:dyDescent="0.3">
      <c r="F5201"/>
      <c r="G5201"/>
      <c r="H5201"/>
      <c r="I5201"/>
    </row>
    <row r="5202" spans="6:9" x14ac:dyDescent="0.3">
      <c r="F5202"/>
      <c r="G5202"/>
      <c r="H5202"/>
      <c r="I5202"/>
    </row>
    <row r="5203" spans="6:9" x14ac:dyDescent="0.3">
      <c r="F5203"/>
      <c r="G5203"/>
      <c r="H5203"/>
      <c r="I5203"/>
    </row>
    <row r="5204" spans="6:9" x14ac:dyDescent="0.3">
      <c r="F5204"/>
      <c r="G5204"/>
      <c r="H5204"/>
      <c r="I5204"/>
    </row>
    <row r="5205" spans="6:9" x14ac:dyDescent="0.3">
      <c r="F5205"/>
      <c r="G5205"/>
      <c r="H5205"/>
      <c r="I5205"/>
    </row>
    <row r="5206" spans="6:9" x14ac:dyDescent="0.3">
      <c r="F5206"/>
      <c r="G5206"/>
      <c r="H5206"/>
      <c r="I5206"/>
    </row>
    <row r="5207" spans="6:9" x14ac:dyDescent="0.3">
      <c r="F5207"/>
      <c r="G5207"/>
      <c r="H5207"/>
      <c r="I5207"/>
    </row>
    <row r="5208" spans="6:9" x14ac:dyDescent="0.3">
      <c r="F5208"/>
      <c r="G5208"/>
      <c r="H5208"/>
      <c r="I5208"/>
    </row>
    <row r="5209" spans="6:9" x14ac:dyDescent="0.3">
      <c r="F5209"/>
      <c r="G5209"/>
      <c r="H5209"/>
      <c r="I5209"/>
    </row>
    <row r="5210" spans="6:9" x14ac:dyDescent="0.3">
      <c r="F5210"/>
      <c r="G5210"/>
      <c r="H5210"/>
      <c r="I5210"/>
    </row>
    <row r="5211" spans="6:9" x14ac:dyDescent="0.3">
      <c r="F5211"/>
      <c r="G5211"/>
      <c r="H5211"/>
      <c r="I5211"/>
    </row>
    <row r="5212" spans="6:9" x14ac:dyDescent="0.3">
      <c r="F5212"/>
      <c r="G5212"/>
      <c r="H5212"/>
      <c r="I5212"/>
    </row>
    <row r="5213" spans="6:9" x14ac:dyDescent="0.3">
      <c r="F5213"/>
      <c r="G5213"/>
      <c r="H5213"/>
      <c r="I5213"/>
    </row>
    <row r="5214" spans="6:9" x14ac:dyDescent="0.3">
      <c r="F5214"/>
      <c r="G5214"/>
      <c r="H5214"/>
      <c r="I5214"/>
    </row>
    <row r="5215" spans="6:9" x14ac:dyDescent="0.3">
      <c r="F5215"/>
      <c r="G5215"/>
      <c r="H5215"/>
      <c r="I5215"/>
    </row>
    <row r="5216" spans="6:9" x14ac:dyDescent="0.3">
      <c r="F5216"/>
      <c r="G5216"/>
      <c r="H5216"/>
      <c r="I5216"/>
    </row>
    <row r="5217" spans="6:9" x14ac:dyDescent="0.3">
      <c r="F5217"/>
      <c r="G5217"/>
      <c r="H5217"/>
      <c r="I5217"/>
    </row>
    <row r="5218" spans="6:9" x14ac:dyDescent="0.3">
      <c r="F5218"/>
      <c r="G5218"/>
      <c r="H5218"/>
      <c r="I5218"/>
    </row>
    <row r="5219" spans="6:9" x14ac:dyDescent="0.3">
      <c r="F5219"/>
      <c r="G5219"/>
      <c r="H5219"/>
      <c r="I5219"/>
    </row>
    <row r="5220" spans="6:9" x14ac:dyDescent="0.3">
      <c r="F5220"/>
      <c r="G5220"/>
      <c r="H5220"/>
      <c r="I5220"/>
    </row>
    <row r="5221" spans="6:9" x14ac:dyDescent="0.3">
      <c r="F5221"/>
      <c r="G5221"/>
      <c r="H5221"/>
      <c r="I5221"/>
    </row>
    <row r="5222" spans="6:9" x14ac:dyDescent="0.3">
      <c r="F5222"/>
      <c r="G5222"/>
      <c r="H5222"/>
      <c r="I5222"/>
    </row>
    <row r="5223" spans="6:9" x14ac:dyDescent="0.3">
      <c r="F5223"/>
      <c r="G5223"/>
      <c r="H5223"/>
      <c r="I5223"/>
    </row>
    <row r="5224" spans="6:9" x14ac:dyDescent="0.3">
      <c r="F5224"/>
      <c r="G5224"/>
      <c r="H5224"/>
      <c r="I5224"/>
    </row>
    <row r="5225" spans="6:9" x14ac:dyDescent="0.3">
      <c r="F5225"/>
      <c r="G5225"/>
      <c r="H5225"/>
      <c r="I5225"/>
    </row>
    <row r="5226" spans="6:9" x14ac:dyDescent="0.3">
      <c r="F5226"/>
      <c r="G5226"/>
      <c r="H5226"/>
      <c r="I5226"/>
    </row>
    <row r="5227" spans="6:9" x14ac:dyDescent="0.3">
      <c r="F5227"/>
      <c r="G5227"/>
      <c r="H5227"/>
      <c r="I5227"/>
    </row>
    <row r="5228" spans="6:9" x14ac:dyDescent="0.3">
      <c r="F5228"/>
      <c r="G5228"/>
      <c r="H5228"/>
      <c r="I5228"/>
    </row>
    <row r="5229" spans="6:9" x14ac:dyDescent="0.3">
      <c r="F5229"/>
      <c r="G5229"/>
      <c r="H5229"/>
      <c r="I5229"/>
    </row>
    <row r="5230" spans="6:9" x14ac:dyDescent="0.3">
      <c r="F5230"/>
      <c r="G5230"/>
      <c r="H5230"/>
      <c r="I5230"/>
    </row>
    <row r="5231" spans="6:9" x14ac:dyDescent="0.3">
      <c r="F5231"/>
      <c r="G5231"/>
      <c r="H5231"/>
      <c r="I5231"/>
    </row>
    <row r="5232" spans="6:9" x14ac:dyDescent="0.3">
      <c r="F5232"/>
      <c r="G5232"/>
      <c r="H5232"/>
      <c r="I5232"/>
    </row>
    <row r="5233" spans="6:9" x14ac:dyDescent="0.3">
      <c r="F5233"/>
      <c r="G5233"/>
      <c r="H5233"/>
      <c r="I5233"/>
    </row>
    <row r="5234" spans="6:9" x14ac:dyDescent="0.3">
      <c r="F5234"/>
      <c r="G5234"/>
      <c r="H5234"/>
      <c r="I5234"/>
    </row>
    <row r="5235" spans="6:9" x14ac:dyDescent="0.3">
      <c r="F5235"/>
      <c r="G5235"/>
      <c r="H5235"/>
      <c r="I5235"/>
    </row>
    <row r="5236" spans="6:9" x14ac:dyDescent="0.3">
      <c r="F5236"/>
      <c r="G5236"/>
      <c r="H5236"/>
      <c r="I5236"/>
    </row>
    <row r="5237" spans="6:9" x14ac:dyDescent="0.3">
      <c r="F5237"/>
      <c r="G5237"/>
      <c r="H5237"/>
      <c r="I5237"/>
    </row>
    <row r="5238" spans="6:9" x14ac:dyDescent="0.3">
      <c r="F5238"/>
      <c r="G5238"/>
      <c r="H5238"/>
      <c r="I5238"/>
    </row>
    <row r="5239" spans="6:9" x14ac:dyDescent="0.3">
      <c r="F5239"/>
      <c r="G5239"/>
      <c r="H5239"/>
      <c r="I5239"/>
    </row>
    <row r="5240" spans="6:9" x14ac:dyDescent="0.3">
      <c r="F5240"/>
      <c r="G5240"/>
      <c r="H5240"/>
      <c r="I5240"/>
    </row>
    <row r="5241" spans="6:9" x14ac:dyDescent="0.3">
      <c r="F5241"/>
      <c r="G5241"/>
      <c r="H5241"/>
      <c r="I5241"/>
    </row>
    <row r="5242" spans="6:9" x14ac:dyDescent="0.3">
      <c r="F5242"/>
      <c r="G5242"/>
      <c r="H5242"/>
      <c r="I5242"/>
    </row>
    <row r="5243" spans="6:9" x14ac:dyDescent="0.3">
      <c r="F5243"/>
      <c r="G5243"/>
      <c r="H5243"/>
      <c r="I5243"/>
    </row>
    <row r="5244" spans="6:9" x14ac:dyDescent="0.3">
      <c r="F5244"/>
      <c r="G5244"/>
      <c r="H5244"/>
      <c r="I5244"/>
    </row>
    <row r="5245" spans="6:9" x14ac:dyDescent="0.3">
      <c r="F5245"/>
      <c r="G5245"/>
      <c r="H5245"/>
      <c r="I5245"/>
    </row>
    <row r="5246" spans="6:9" x14ac:dyDescent="0.3">
      <c r="F5246"/>
      <c r="G5246"/>
      <c r="H5246"/>
      <c r="I5246"/>
    </row>
    <row r="5247" spans="6:9" x14ac:dyDescent="0.3">
      <c r="F5247"/>
      <c r="G5247"/>
      <c r="H5247"/>
      <c r="I5247"/>
    </row>
    <row r="5248" spans="6:9" x14ac:dyDescent="0.3">
      <c r="F5248"/>
      <c r="G5248"/>
      <c r="H5248"/>
      <c r="I5248"/>
    </row>
    <row r="5249" spans="6:9" x14ac:dyDescent="0.3">
      <c r="F5249"/>
      <c r="G5249"/>
      <c r="H5249"/>
      <c r="I5249"/>
    </row>
    <row r="5250" spans="6:9" x14ac:dyDescent="0.3">
      <c r="F5250"/>
      <c r="G5250"/>
      <c r="H5250"/>
      <c r="I5250"/>
    </row>
    <row r="5251" spans="6:9" x14ac:dyDescent="0.3">
      <c r="F5251"/>
      <c r="G5251"/>
      <c r="H5251"/>
      <c r="I5251"/>
    </row>
    <row r="5252" spans="6:9" x14ac:dyDescent="0.3">
      <c r="F5252"/>
      <c r="G5252"/>
      <c r="H5252"/>
      <c r="I5252"/>
    </row>
    <row r="5253" spans="6:9" x14ac:dyDescent="0.3">
      <c r="F5253"/>
      <c r="G5253"/>
      <c r="H5253"/>
      <c r="I5253"/>
    </row>
    <row r="5254" spans="6:9" x14ac:dyDescent="0.3">
      <c r="F5254"/>
      <c r="G5254"/>
      <c r="H5254"/>
      <c r="I5254"/>
    </row>
    <row r="5255" spans="6:9" x14ac:dyDescent="0.3">
      <c r="F5255"/>
      <c r="G5255"/>
      <c r="H5255"/>
      <c r="I5255"/>
    </row>
    <row r="5256" spans="6:9" x14ac:dyDescent="0.3">
      <c r="F5256"/>
      <c r="G5256"/>
      <c r="H5256"/>
      <c r="I5256"/>
    </row>
    <row r="5257" spans="6:9" x14ac:dyDescent="0.3">
      <c r="F5257"/>
      <c r="G5257"/>
      <c r="H5257"/>
      <c r="I5257"/>
    </row>
    <row r="5258" spans="6:9" x14ac:dyDescent="0.3">
      <c r="F5258"/>
      <c r="G5258"/>
      <c r="H5258"/>
      <c r="I5258"/>
    </row>
    <row r="5259" spans="6:9" x14ac:dyDescent="0.3">
      <c r="F5259"/>
      <c r="G5259"/>
      <c r="H5259"/>
      <c r="I5259"/>
    </row>
    <row r="5260" spans="6:9" x14ac:dyDescent="0.3">
      <c r="F5260"/>
      <c r="G5260"/>
      <c r="H5260"/>
      <c r="I5260"/>
    </row>
    <row r="5261" spans="6:9" x14ac:dyDescent="0.3">
      <c r="F5261"/>
      <c r="G5261"/>
      <c r="H5261"/>
      <c r="I5261"/>
    </row>
    <row r="5262" spans="6:9" x14ac:dyDescent="0.3">
      <c r="F5262"/>
      <c r="G5262"/>
      <c r="H5262"/>
      <c r="I5262"/>
    </row>
    <row r="5263" spans="6:9" x14ac:dyDescent="0.3">
      <c r="F5263"/>
      <c r="G5263"/>
      <c r="H5263"/>
      <c r="I5263"/>
    </row>
    <row r="5264" spans="6:9" x14ac:dyDescent="0.3">
      <c r="F5264"/>
      <c r="G5264"/>
      <c r="H5264"/>
      <c r="I5264"/>
    </row>
    <row r="5265" spans="6:9" x14ac:dyDescent="0.3">
      <c r="F5265"/>
      <c r="G5265"/>
      <c r="H5265"/>
      <c r="I5265"/>
    </row>
    <row r="5266" spans="6:9" x14ac:dyDescent="0.3">
      <c r="F5266"/>
      <c r="G5266"/>
      <c r="H5266"/>
      <c r="I5266"/>
    </row>
    <row r="5267" spans="6:9" x14ac:dyDescent="0.3">
      <c r="F5267"/>
      <c r="G5267"/>
      <c r="H5267"/>
      <c r="I5267"/>
    </row>
    <row r="5268" spans="6:9" x14ac:dyDescent="0.3">
      <c r="F5268"/>
      <c r="G5268"/>
      <c r="H5268"/>
      <c r="I5268"/>
    </row>
    <row r="5269" spans="6:9" x14ac:dyDescent="0.3">
      <c r="F5269"/>
      <c r="G5269"/>
      <c r="H5269"/>
      <c r="I5269"/>
    </row>
    <row r="5270" spans="6:9" x14ac:dyDescent="0.3">
      <c r="F5270"/>
      <c r="G5270"/>
      <c r="H5270"/>
      <c r="I5270"/>
    </row>
    <row r="5271" spans="6:9" x14ac:dyDescent="0.3">
      <c r="F5271"/>
      <c r="G5271"/>
      <c r="H5271"/>
      <c r="I5271"/>
    </row>
    <row r="5272" spans="6:9" x14ac:dyDescent="0.3">
      <c r="F5272"/>
      <c r="G5272"/>
      <c r="H5272"/>
      <c r="I5272"/>
    </row>
    <row r="5273" spans="6:9" x14ac:dyDescent="0.3">
      <c r="F5273"/>
      <c r="G5273"/>
      <c r="H5273"/>
      <c r="I5273"/>
    </row>
    <row r="5274" spans="6:9" x14ac:dyDescent="0.3">
      <c r="F5274"/>
      <c r="G5274"/>
      <c r="H5274"/>
      <c r="I5274"/>
    </row>
    <row r="5275" spans="6:9" x14ac:dyDescent="0.3">
      <c r="F5275"/>
      <c r="G5275"/>
      <c r="H5275"/>
      <c r="I5275"/>
    </row>
    <row r="5276" spans="6:9" x14ac:dyDescent="0.3">
      <c r="F5276"/>
      <c r="G5276"/>
      <c r="H5276"/>
      <c r="I5276"/>
    </row>
    <row r="5277" spans="6:9" x14ac:dyDescent="0.3">
      <c r="F5277"/>
      <c r="G5277"/>
      <c r="H5277"/>
      <c r="I5277"/>
    </row>
    <row r="5278" spans="6:9" x14ac:dyDescent="0.3">
      <c r="F5278"/>
      <c r="G5278"/>
      <c r="H5278"/>
      <c r="I5278"/>
    </row>
    <row r="5279" spans="6:9" x14ac:dyDescent="0.3">
      <c r="F5279"/>
      <c r="G5279"/>
      <c r="H5279"/>
      <c r="I5279"/>
    </row>
    <row r="5280" spans="6:9" x14ac:dyDescent="0.3">
      <c r="F5280"/>
      <c r="G5280"/>
      <c r="H5280"/>
      <c r="I5280"/>
    </row>
    <row r="5281" spans="6:9" x14ac:dyDescent="0.3">
      <c r="F5281"/>
      <c r="G5281"/>
      <c r="H5281"/>
      <c r="I5281"/>
    </row>
    <row r="5282" spans="6:9" x14ac:dyDescent="0.3">
      <c r="F5282"/>
      <c r="G5282"/>
      <c r="H5282"/>
      <c r="I5282"/>
    </row>
    <row r="5283" spans="6:9" x14ac:dyDescent="0.3">
      <c r="F5283"/>
      <c r="G5283"/>
      <c r="H5283"/>
      <c r="I5283"/>
    </row>
    <row r="5284" spans="6:9" x14ac:dyDescent="0.3">
      <c r="F5284"/>
      <c r="G5284"/>
      <c r="H5284"/>
      <c r="I5284"/>
    </row>
    <row r="5285" spans="6:9" x14ac:dyDescent="0.3">
      <c r="F5285"/>
      <c r="G5285"/>
      <c r="H5285"/>
      <c r="I5285"/>
    </row>
    <row r="5286" spans="6:9" x14ac:dyDescent="0.3">
      <c r="F5286"/>
      <c r="G5286"/>
      <c r="H5286"/>
      <c r="I5286"/>
    </row>
    <row r="5287" spans="6:9" x14ac:dyDescent="0.3">
      <c r="F5287"/>
      <c r="G5287"/>
      <c r="H5287"/>
      <c r="I5287"/>
    </row>
    <row r="5288" spans="6:9" x14ac:dyDescent="0.3">
      <c r="F5288"/>
      <c r="G5288"/>
      <c r="H5288"/>
      <c r="I5288"/>
    </row>
    <row r="5289" spans="6:9" x14ac:dyDescent="0.3">
      <c r="F5289"/>
      <c r="G5289"/>
      <c r="H5289"/>
      <c r="I5289"/>
    </row>
    <row r="5290" spans="6:9" x14ac:dyDescent="0.3">
      <c r="F5290"/>
      <c r="G5290"/>
      <c r="H5290"/>
      <c r="I5290"/>
    </row>
    <row r="5291" spans="6:9" x14ac:dyDescent="0.3">
      <c r="F5291"/>
      <c r="G5291"/>
      <c r="H5291"/>
      <c r="I5291"/>
    </row>
    <row r="5292" spans="6:9" x14ac:dyDescent="0.3">
      <c r="F5292"/>
      <c r="G5292"/>
      <c r="H5292"/>
      <c r="I5292"/>
    </row>
    <row r="5293" spans="6:9" x14ac:dyDescent="0.3">
      <c r="F5293"/>
      <c r="G5293"/>
      <c r="H5293"/>
      <c r="I5293"/>
    </row>
    <row r="5294" spans="6:9" x14ac:dyDescent="0.3">
      <c r="F5294"/>
      <c r="G5294"/>
      <c r="H5294"/>
      <c r="I5294"/>
    </row>
    <row r="5295" spans="6:9" x14ac:dyDescent="0.3">
      <c r="F5295"/>
      <c r="G5295"/>
      <c r="H5295"/>
      <c r="I5295"/>
    </row>
    <row r="5296" spans="6:9" x14ac:dyDescent="0.3">
      <c r="F5296"/>
      <c r="G5296"/>
      <c r="H5296"/>
      <c r="I5296"/>
    </row>
    <row r="5297" spans="6:9" x14ac:dyDescent="0.3">
      <c r="F5297"/>
      <c r="G5297"/>
      <c r="H5297"/>
      <c r="I5297"/>
    </row>
    <row r="5298" spans="6:9" x14ac:dyDescent="0.3">
      <c r="F5298"/>
      <c r="G5298"/>
      <c r="H5298"/>
      <c r="I5298"/>
    </row>
    <row r="5299" spans="6:9" x14ac:dyDescent="0.3">
      <c r="F5299"/>
      <c r="G5299"/>
      <c r="H5299"/>
      <c r="I5299"/>
    </row>
    <row r="5300" spans="6:9" x14ac:dyDescent="0.3">
      <c r="F5300"/>
      <c r="G5300"/>
      <c r="H5300"/>
      <c r="I5300"/>
    </row>
    <row r="5301" spans="6:9" x14ac:dyDescent="0.3">
      <c r="F5301"/>
      <c r="G5301"/>
      <c r="H5301"/>
      <c r="I5301"/>
    </row>
    <row r="5302" spans="6:9" x14ac:dyDescent="0.3">
      <c r="F5302"/>
      <c r="G5302"/>
      <c r="H5302"/>
      <c r="I5302"/>
    </row>
    <row r="5303" spans="6:9" x14ac:dyDescent="0.3">
      <c r="F5303"/>
      <c r="G5303"/>
      <c r="H5303"/>
      <c r="I5303"/>
    </row>
    <row r="5304" spans="6:9" x14ac:dyDescent="0.3">
      <c r="F5304"/>
      <c r="G5304"/>
      <c r="H5304"/>
      <c r="I5304"/>
    </row>
    <row r="5305" spans="6:9" x14ac:dyDescent="0.3">
      <c r="F5305"/>
      <c r="G5305"/>
      <c r="H5305"/>
      <c r="I5305"/>
    </row>
    <row r="5306" spans="6:9" x14ac:dyDescent="0.3">
      <c r="F5306"/>
      <c r="G5306"/>
      <c r="H5306"/>
      <c r="I5306"/>
    </row>
    <row r="5307" spans="6:9" x14ac:dyDescent="0.3">
      <c r="F5307"/>
      <c r="G5307"/>
      <c r="H5307"/>
      <c r="I5307"/>
    </row>
    <row r="5308" spans="6:9" x14ac:dyDescent="0.3">
      <c r="F5308"/>
      <c r="G5308"/>
      <c r="H5308"/>
      <c r="I5308"/>
    </row>
    <row r="5309" spans="6:9" x14ac:dyDescent="0.3">
      <c r="F5309"/>
      <c r="G5309"/>
      <c r="H5309"/>
      <c r="I5309"/>
    </row>
    <row r="5310" spans="6:9" x14ac:dyDescent="0.3">
      <c r="F5310"/>
      <c r="G5310"/>
      <c r="H5310"/>
      <c r="I5310"/>
    </row>
    <row r="5311" spans="6:9" x14ac:dyDescent="0.3">
      <c r="F5311"/>
      <c r="G5311"/>
      <c r="H5311"/>
      <c r="I5311"/>
    </row>
    <row r="5312" spans="6:9" x14ac:dyDescent="0.3">
      <c r="F5312"/>
      <c r="G5312"/>
      <c r="H5312"/>
      <c r="I5312"/>
    </row>
    <row r="5313" spans="6:9" x14ac:dyDescent="0.3">
      <c r="F5313"/>
      <c r="G5313"/>
      <c r="H5313"/>
      <c r="I5313"/>
    </row>
    <row r="5314" spans="6:9" x14ac:dyDescent="0.3">
      <c r="F5314"/>
      <c r="G5314"/>
      <c r="H5314"/>
      <c r="I5314"/>
    </row>
    <row r="5315" spans="6:9" x14ac:dyDescent="0.3">
      <c r="F5315"/>
      <c r="G5315"/>
      <c r="H5315"/>
      <c r="I5315"/>
    </row>
    <row r="5316" spans="6:9" x14ac:dyDescent="0.3">
      <c r="F5316"/>
      <c r="G5316"/>
      <c r="H5316"/>
      <c r="I5316"/>
    </row>
    <row r="5317" spans="6:9" x14ac:dyDescent="0.3">
      <c r="F5317"/>
      <c r="G5317"/>
      <c r="H5317"/>
      <c r="I5317"/>
    </row>
    <row r="5318" spans="6:9" x14ac:dyDescent="0.3">
      <c r="F5318"/>
      <c r="G5318"/>
      <c r="H5318"/>
      <c r="I5318"/>
    </row>
    <row r="5319" spans="6:9" x14ac:dyDescent="0.3">
      <c r="F5319"/>
      <c r="G5319"/>
      <c r="H5319"/>
      <c r="I5319"/>
    </row>
    <row r="5320" spans="6:9" x14ac:dyDescent="0.3">
      <c r="F5320"/>
      <c r="G5320"/>
      <c r="H5320"/>
      <c r="I5320"/>
    </row>
    <row r="5321" spans="6:9" x14ac:dyDescent="0.3">
      <c r="F5321"/>
      <c r="G5321"/>
      <c r="H5321"/>
      <c r="I5321"/>
    </row>
    <row r="5322" spans="6:9" x14ac:dyDescent="0.3">
      <c r="F5322"/>
      <c r="G5322"/>
      <c r="H5322"/>
      <c r="I5322"/>
    </row>
    <row r="5323" spans="6:9" x14ac:dyDescent="0.3">
      <c r="F5323"/>
      <c r="G5323"/>
      <c r="H5323"/>
      <c r="I5323"/>
    </row>
    <row r="5324" spans="6:9" x14ac:dyDescent="0.3">
      <c r="F5324"/>
      <c r="G5324"/>
      <c r="H5324"/>
      <c r="I5324"/>
    </row>
    <row r="5325" spans="6:9" x14ac:dyDescent="0.3">
      <c r="F5325"/>
      <c r="G5325"/>
      <c r="H5325"/>
      <c r="I5325"/>
    </row>
    <row r="5326" spans="6:9" x14ac:dyDescent="0.3">
      <c r="F5326"/>
      <c r="G5326"/>
      <c r="H5326"/>
      <c r="I5326"/>
    </row>
    <row r="5327" spans="6:9" x14ac:dyDescent="0.3">
      <c r="F5327"/>
      <c r="G5327"/>
      <c r="H5327"/>
      <c r="I5327"/>
    </row>
    <row r="5328" spans="6:9" x14ac:dyDescent="0.3">
      <c r="F5328"/>
      <c r="G5328"/>
      <c r="H5328"/>
      <c r="I5328"/>
    </row>
    <row r="5329" spans="6:9" x14ac:dyDescent="0.3">
      <c r="F5329"/>
      <c r="G5329"/>
      <c r="H5329"/>
      <c r="I5329"/>
    </row>
    <row r="5330" spans="6:9" x14ac:dyDescent="0.3">
      <c r="F5330"/>
      <c r="G5330"/>
      <c r="H5330"/>
      <c r="I5330"/>
    </row>
    <row r="5331" spans="6:9" x14ac:dyDescent="0.3">
      <c r="F5331"/>
      <c r="G5331"/>
      <c r="H5331"/>
      <c r="I5331"/>
    </row>
    <row r="5332" spans="6:9" x14ac:dyDescent="0.3">
      <c r="F5332"/>
      <c r="G5332"/>
      <c r="H5332"/>
      <c r="I5332"/>
    </row>
    <row r="5333" spans="6:9" x14ac:dyDescent="0.3">
      <c r="F5333"/>
      <c r="G5333"/>
      <c r="H5333"/>
      <c r="I5333"/>
    </row>
    <row r="5334" spans="6:9" x14ac:dyDescent="0.3">
      <c r="F5334"/>
      <c r="G5334"/>
      <c r="H5334"/>
      <c r="I5334"/>
    </row>
    <row r="5335" spans="6:9" x14ac:dyDescent="0.3">
      <c r="F5335"/>
      <c r="G5335"/>
      <c r="H5335"/>
      <c r="I5335"/>
    </row>
    <row r="5336" spans="6:9" x14ac:dyDescent="0.3">
      <c r="F5336"/>
      <c r="G5336"/>
      <c r="H5336"/>
      <c r="I5336"/>
    </row>
    <row r="5337" spans="6:9" x14ac:dyDescent="0.3">
      <c r="F5337"/>
      <c r="G5337"/>
      <c r="H5337"/>
      <c r="I5337"/>
    </row>
    <row r="5338" spans="6:9" x14ac:dyDescent="0.3">
      <c r="F5338"/>
      <c r="G5338"/>
      <c r="H5338"/>
      <c r="I5338"/>
    </row>
    <row r="5339" spans="6:9" x14ac:dyDescent="0.3">
      <c r="F5339"/>
      <c r="G5339"/>
      <c r="H5339"/>
      <c r="I5339"/>
    </row>
    <row r="5340" spans="6:9" x14ac:dyDescent="0.3">
      <c r="F5340"/>
      <c r="G5340"/>
      <c r="H5340"/>
      <c r="I5340"/>
    </row>
    <row r="5341" spans="6:9" x14ac:dyDescent="0.3">
      <c r="F5341"/>
      <c r="G5341"/>
      <c r="H5341"/>
      <c r="I5341"/>
    </row>
    <row r="5342" spans="6:9" x14ac:dyDescent="0.3">
      <c r="F5342"/>
      <c r="G5342"/>
      <c r="H5342"/>
      <c r="I5342"/>
    </row>
    <row r="5343" spans="6:9" x14ac:dyDescent="0.3">
      <c r="F5343"/>
      <c r="G5343"/>
      <c r="H5343"/>
      <c r="I5343"/>
    </row>
    <row r="5344" spans="6:9" x14ac:dyDescent="0.3">
      <c r="F5344"/>
      <c r="G5344"/>
      <c r="H5344"/>
      <c r="I5344"/>
    </row>
    <row r="5345" spans="6:9" x14ac:dyDescent="0.3">
      <c r="F5345"/>
      <c r="G5345"/>
      <c r="H5345"/>
      <c r="I5345"/>
    </row>
    <row r="5346" spans="6:9" x14ac:dyDescent="0.3">
      <c r="F5346"/>
      <c r="G5346"/>
      <c r="H5346"/>
      <c r="I5346"/>
    </row>
    <row r="5347" spans="6:9" x14ac:dyDescent="0.3">
      <c r="F5347"/>
      <c r="G5347"/>
      <c r="H5347"/>
      <c r="I5347"/>
    </row>
    <row r="5348" spans="6:9" x14ac:dyDescent="0.3">
      <c r="F5348"/>
      <c r="G5348"/>
      <c r="H5348"/>
      <c r="I5348"/>
    </row>
    <row r="5349" spans="6:9" x14ac:dyDescent="0.3">
      <c r="F5349"/>
      <c r="G5349"/>
      <c r="H5349"/>
      <c r="I5349"/>
    </row>
    <row r="5350" spans="6:9" x14ac:dyDescent="0.3">
      <c r="F5350"/>
      <c r="G5350"/>
      <c r="H5350"/>
      <c r="I5350"/>
    </row>
    <row r="5351" spans="6:9" x14ac:dyDescent="0.3">
      <c r="F5351"/>
      <c r="G5351"/>
      <c r="H5351"/>
      <c r="I5351"/>
    </row>
    <row r="5352" spans="6:9" x14ac:dyDescent="0.3">
      <c r="F5352"/>
      <c r="G5352"/>
      <c r="H5352"/>
      <c r="I5352"/>
    </row>
    <row r="5353" spans="6:9" x14ac:dyDescent="0.3">
      <c r="F5353"/>
      <c r="G5353"/>
      <c r="H5353"/>
      <c r="I5353"/>
    </row>
    <row r="5354" spans="6:9" x14ac:dyDescent="0.3">
      <c r="F5354"/>
      <c r="G5354"/>
      <c r="H5354"/>
      <c r="I5354"/>
    </row>
    <row r="5355" spans="6:9" x14ac:dyDescent="0.3">
      <c r="F5355"/>
      <c r="G5355"/>
      <c r="H5355"/>
      <c r="I5355"/>
    </row>
    <row r="5356" spans="6:9" x14ac:dyDescent="0.3">
      <c r="F5356"/>
      <c r="G5356"/>
      <c r="H5356"/>
      <c r="I5356"/>
    </row>
    <row r="5357" spans="6:9" x14ac:dyDescent="0.3">
      <c r="F5357"/>
      <c r="G5357"/>
      <c r="H5357"/>
      <c r="I5357"/>
    </row>
    <row r="5358" spans="6:9" x14ac:dyDescent="0.3">
      <c r="F5358"/>
      <c r="G5358"/>
      <c r="H5358"/>
      <c r="I5358"/>
    </row>
    <row r="5359" spans="6:9" x14ac:dyDescent="0.3">
      <c r="F5359"/>
      <c r="G5359"/>
      <c r="H5359"/>
      <c r="I5359"/>
    </row>
    <row r="5360" spans="6:9" x14ac:dyDescent="0.3">
      <c r="F5360"/>
      <c r="G5360"/>
      <c r="H5360"/>
      <c r="I5360"/>
    </row>
    <row r="5361" spans="6:9" x14ac:dyDescent="0.3">
      <c r="F5361"/>
      <c r="G5361"/>
      <c r="H5361"/>
      <c r="I5361"/>
    </row>
    <row r="5362" spans="6:9" x14ac:dyDescent="0.3">
      <c r="F5362"/>
      <c r="G5362"/>
      <c r="H5362"/>
      <c r="I5362"/>
    </row>
    <row r="5363" spans="6:9" x14ac:dyDescent="0.3">
      <c r="F5363"/>
      <c r="G5363"/>
      <c r="H5363"/>
      <c r="I5363"/>
    </row>
    <row r="5364" spans="6:9" x14ac:dyDescent="0.3">
      <c r="F5364"/>
      <c r="G5364"/>
      <c r="H5364"/>
      <c r="I5364"/>
    </row>
    <row r="5365" spans="6:9" x14ac:dyDescent="0.3">
      <c r="F5365"/>
      <c r="G5365"/>
      <c r="H5365"/>
      <c r="I5365"/>
    </row>
    <row r="5366" spans="6:9" x14ac:dyDescent="0.3">
      <c r="F5366"/>
      <c r="G5366"/>
      <c r="H5366"/>
      <c r="I5366"/>
    </row>
    <row r="5367" spans="6:9" x14ac:dyDescent="0.3">
      <c r="F5367"/>
      <c r="G5367"/>
      <c r="H5367"/>
      <c r="I5367"/>
    </row>
    <row r="5368" spans="6:9" x14ac:dyDescent="0.3">
      <c r="F5368"/>
      <c r="G5368"/>
      <c r="H5368"/>
      <c r="I5368"/>
    </row>
    <row r="5369" spans="6:9" x14ac:dyDescent="0.3">
      <c r="F5369"/>
      <c r="G5369"/>
      <c r="H5369"/>
      <c r="I5369"/>
    </row>
    <row r="5370" spans="6:9" x14ac:dyDescent="0.3">
      <c r="F5370"/>
      <c r="G5370"/>
      <c r="H5370"/>
      <c r="I5370"/>
    </row>
    <row r="5371" spans="6:9" x14ac:dyDescent="0.3">
      <c r="F5371"/>
      <c r="G5371"/>
      <c r="H5371"/>
      <c r="I5371"/>
    </row>
    <row r="5372" spans="6:9" x14ac:dyDescent="0.3">
      <c r="F5372"/>
      <c r="G5372"/>
      <c r="H5372"/>
      <c r="I5372"/>
    </row>
    <row r="5373" spans="6:9" x14ac:dyDescent="0.3">
      <c r="F5373"/>
      <c r="G5373"/>
      <c r="H5373"/>
      <c r="I5373"/>
    </row>
    <row r="5374" spans="6:9" x14ac:dyDescent="0.3">
      <c r="F5374"/>
      <c r="G5374"/>
      <c r="H5374"/>
      <c r="I5374"/>
    </row>
    <row r="5375" spans="6:9" x14ac:dyDescent="0.3">
      <c r="F5375"/>
      <c r="G5375"/>
      <c r="H5375"/>
      <c r="I5375"/>
    </row>
    <row r="5376" spans="6:9" x14ac:dyDescent="0.3">
      <c r="F5376"/>
      <c r="G5376"/>
      <c r="H5376"/>
      <c r="I5376"/>
    </row>
    <row r="5377" spans="6:9" x14ac:dyDescent="0.3">
      <c r="F5377"/>
      <c r="G5377"/>
      <c r="H5377"/>
      <c r="I5377"/>
    </row>
    <row r="5378" spans="6:9" x14ac:dyDescent="0.3">
      <c r="F5378"/>
      <c r="G5378"/>
      <c r="H5378"/>
      <c r="I5378"/>
    </row>
    <row r="5379" spans="6:9" x14ac:dyDescent="0.3">
      <c r="F5379"/>
      <c r="G5379"/>
      <c r="H5379"/>
      <c r="I5379"/>
    </row>
    <row r="5380" spans="6:9" x14ac:dyDescent="0.3">
      <c r="F5380"/>
      <c r="G5380"/>
      <c r="H5380"/>
      <c r="I5380"/>
    </row>
    <row r="5381" spans="6:9" x14ac:dyDescent="0.3">
      <c r="F5381"/>
      <c r="G5381"/>
      <c r="H5381"/>
      <c r="I5381"/>
    </row>
    <row r="5382" spans="6:9" x14ac:dyDescent="0.3">
      <c r="F5382"/>
      <c r="G5382"/>
      <c r="H5382"/>
      <c r="I5382"/>
    </row>
    <row r="5383" spans="6:9" x14ac:dyDescent="0.3">
      <c r="F5383"/>
      <c r="G5383"/>
      <c r="H5383"/>
      <c r="I5383"/>
    </row>
    <row r="5384" spans="6:9" x14ac:dyDescent="0.3">
      <c r="F5384"/>
      <c r="G5384"/>
      <c r="H5384"/>
      <c r="I5384"/>
    </row>
    <row r="5385" spans="6:9" x14ac:dyDescent="0.3">
      <c r="F5385"/>
      <c r="G5385"/>
      <c r="H5385"/>
      <c r="I5385"/>
    </row>
    <row r="5386" spans="6:9" x14ac:dyDescent="0.3">
      <c r="F5386"/>
      <c r="G5386"/>
      <c r="H5386"/>
      <c r="I5386"/>
    </row>
    <row r="5387" spans="6:9" x14ac:dyDescent="0.3">
      <c r="F5387"/>
      <c r="G5387"/>
      <c r="H5387"/>
      <c r="I5387"/>
    </row>
    <row r="5388" spans="6:9" x14ac:dyDescent="0.3">
      <c r="F5388"/>
      <c r="G5388"/>
      <c r="H5388"/>
      <c r="I5388"/>
    </row>
    <row r="5389" spans="6:9" x14ac:dyDescent="0.3">
      <c r="F5389"/>
      <c r="G5389"/>
      <c r="H5389"/>
      <c r="I5389"/>
    </row>
    <row r="5390" spans="6:9" x14ac:dyDescent="0.3">
      <c r="F5390"/>
      <c r="G5390"/>
      <c r="H5390"/>
      <c r="I5390"/>
    </row>
    <row r="5391" spans="6:9" x14ac:dyDescent="0.3">
      <c r="F5391"/>
      <c r="G5391"/>
      <c r="H5391"/>
      <c r="I5391"/>
    </row>
    <row r="5392" spans="6:9" x14ac:dyDescent="0.3">
      <c r="F5392"/>
      <c r="G5392"/>
      <c r="H5392"/>
      <c r="I5392"/>
    </row>
    <row r="5393" spans="6:9" x14ac:dyDescent="0.3">
      <c r="F5393"/>
      <c r="G5393"/>
      <c r="H5393"/>
      <c r="I5393"/>
    </row>
    <row r="5394" spans="6:9" x14ac:dyDescent="0.3">
      <c r="F5394"/>
      <c r="G5394"/>
      <c r="H5394"/>
      <c r="I5394"/>
    </row>
    <row r="5395" spans="6:9" x14ac:dyDescent="0.3">
      <c r="F5395"/>
      <c r="G5395"/>
      <c r="H5395"/>
      <c r="I5395"/>
    </row>
    <row r="5396" spans="6:9" x14ac:dyDescent="0.3">
      <c r="F5396"/>
      <c r="G5396"/>
      <c r="H5396"/>
      <c r="I5396"/>
    </row>
    <row r="5397" spans="6:9" x14ac:dyDescent="0.3">
      <c r="F5397"/>
      <c r="G5397"/>
      <c r="H5397"/>
      <c r="I5397"/>
    </row>
    <row r="5398" spans="6:9" x14ac:dyDescent="0.3">
      <c r="F5398"/>
      <c r="G5398"/>
      <c r="H5398"/>
      <c r="I5398"/>
    </row>
    <row r="5399" spans="6:9" x14ac:dyDescent="0.3">
      <c r="F5399"/>
      <c r="G5399"/>
      <c r="H5399"/>
      <c r="I5399"/>
    </row>
    <row r="5400" spans="6:9" x14ac:dyDescent="0.3">
      <c r="F5400"/>
      <c r="G5400"/>
      <c r="H5400"/>
      <c r="I5400"/>
    </row>
    <row r="5401" spans="6:9" x14ac:dyDescent="0.3">
      <c r="F5401"/>
      <c r="G5401"/>
      <c r="H5401"/>
      <c r="I5401"/>
    </row>
    <row r="5402" spans="6:9" x14ac:dyDescent="0.3">
      <c r="F5402"/>
      <c r="G5402"/>
      <c r="H5402"/>
      <c r="I5402"/>
    </row>
    <row r="5403" spans="6:9" x14ac:dyDescent="0.3">
      <c r="F5403"/>
      <c r="G5403"/>
      <c r="H5403"/>
      <c r="I5403"/>
    </row>
    <row r="5404" spans="6:9" x14ac:dyDescent="0.3">
      <c r="F5404"/>
      <c r="G5404"/>
      <c r="H5404"/>
      <c r="I5404"/>
    </row>
    <row r="5405" spans="6:9" x14ac:dyDescent="0.3">
      <c r="F5405"/>
      <c r="G5405"/>
      <c r="H5405"/>
      <c r="I5405"/>
    </row>
    <row r="5406" spans="6:9" x14ac:dyDescent="0.3">
      <c r="F5406"/>
      <c r="G5406"/>
      <c r="H5406"/>
      <c r="I5406"/>
    </row>
    <row r="5407" spans="6:9" x14ac:dyDescent="0.3">
      <c r="F5407"/>
      <c r="G5407"/>
      <c r="H5407"/>
      <c r="I5407"/>
    </row>
    <row r="5408" spans="6:9" x14ac:dyDescent="0.3">
      <c r="F5408"/>
      <c r="G5408"/>
      <c r="H5408"/>
      <c r="I5408"/>
    </row>
    <row r="5409" spans="6:9" x14ac:dyDescent="0.3">
      <c r="F5409"/>
      <c r="G5409"/>
      <c r="H5409"/>
      <c r="I5409"/>
    </row>
    <row r="5410" spans="6:9" x14ac:dyDescent="0.3">
      <c r="F5410"/>
      <c r="G5410"/>
      <c r="H5410"/>
      <c r="I5410"/>
    </row>
    <row r="5411" spans="6:9" x14ac:dyDescent="0.3">
      <c r="F5411"/>
      <c r="G5411"/>
      <c r="H5411"/>
      <c r="I5411"/>
    </row>
    <row r="5412" spans="6:9" x14ac:dyDescent="0.3">
      <c r="F5412"/>
      <c r="G5412"/>
      <c r="H5412"/>
      <c r="I5412"/>
    </row>
    <row r="5413" spans="6:9" x14ac:dyDescent="0.3">
      <c r="F5413"/>
      <c r="G5413"/>
      <c r="H5413"/>
      <c r="I5413"/>
    </row>
    <row r="5414" spans="6:9" x14ac:dyDescent="0.3">
      <c r="F5414"/>
      <c r="G5414"/>
      <c r="H5414"/>
      <c r="I5414"/>
    </row>
    <row r="5415" spans="6:9" x14ac:dyDescent="0.3">
      <c r="F5415"/>
      <c r="G5415"/>
      <c r="H5415"/>
      <c r="I5415"/>
    </row>
    <row r="5416" spans="6:9" x14ac:dyDescent="0.3">
      <c r="F5416"/>
      <c r="G5416"/>
      <c r="H5416"/>
      <c r="I5416"/>
    </row>
    <row r="5417" spans="6:9" x14ac:dyDescent="0.3">
      <c r="F5417"/>
      <c r="G5417"/>
      <c r="H5417"/>
      <c r="I5417"/>
    </row>
    <row r="5418" spans="6:9" x14ac:dyDescent="0.3">
      <c r="F5418"/>
      <c r="G5418"/>
      <c r="H5418"/>
      <c r="I5418"/>
    </row>
    <row r="5419" spans="6:9" x14ac:dyDescent="0.3">
      <c r="F5419"/>
      <c r="G5419"/>
      <c r="H5419"/>
      <c r="I5419"/>
    </row>
    <row r="5420" spans="6:9" x14ac:dyDescent="0.3">
      <c r="F5420"/>
      <c r="G5420"/>
      <c r="H5420"/>
      <c r="I5420"/>
    </row>
    <row r="5421" spans="6:9" x14ac:dyDescent="0.3">
      <c r="F5421"/>
      <c r="G5421"/>
      <c r="H5421"/>
      <c r="I5421"/>
    </row>
    <row r="5422" spans="6:9" x14ac:dyDescent="0.3">
      <c r="F5422"/>
      <c r="G5422"/>
      <c r="H5422"/>
      <c r="I5422"/>
    </row>
    <row r="5423" spans="6:9" x14ac:dyDescent="0.3">
      <c r="F5423"/>
      <c r="G5423"/>
      <c r="H5423"/>
      <c r="I5423"/>
    </row>
    <row r="5424" spans="6:9" x14ac:dyDescent="0.3">
      <c r="F5424"/>
      <c r="G5424"/>
      <c r="H5424"/>
      <c r="I5424"/>
    </row>
    <row r="5425" spans="6:9" x14ac:dyDescent="0.3">
      <c r="F5425"/>
      <c r="G5425"/>
      <c r="H5425"/>
      <c r="I5425"/>
    </row>
    <row r="5426" spans="6:9" x14ac:dyDescent="0.3">
      <c r="F5426"/>
      <c r="G5426"/>
      <c r="H5426"/>
      <c r="I5426"/>
    </row>
    <row r="5427" spans="6:9" x14ac:dyDescent="0.3">
      <c r="F5427"/>
      <c r="G5427"/>
      <c r="H5427"/>
      <c r="I5427"/>
    </row>
    <row r="5428" spans="6:9" x14ac:dyDescent="0.3">
      <c r="F5428"/>
      <c r="G5428"/>
      <c r="H5428"/>
      <c r="I5428"/>
    </row>
    <row r="5429" spans="6:9" x14ac:dyDescent="0.3">
      <c r="F5429"/>
      <c r="G5429"/>
      <c r="H5429"/>
      <c r="I5429"/>
    </row>
    <row r="5430" spans="6:9" x14ac:dyDescent="0.3">
      <c r="F5430"/>
      <c r="G5430"/>
      <c r="H5430"/>
      <c r="I5430"/>
    </row>
    <row r="5431" spans="6:9" x14ac:dyDescent="0.3">
      <c r="F5431"/>
      <c r="G5431"/>
      <c r="H5431"/>
      <c r="I5431"/>
    </row>
    <row r="5432" spans="6:9" x14ac:dyDescent="0.3">
      <c r="F5432"/>
      <c r="G5432"/>
      <c r="H5432"/>
      <c r="I5432"/>
    </row>
    <row r="5433" spans="6:9" x14ac:dyDescent="0.3">
      <c r="F5433"/>
      <c r="G5433"/>
      <c r="H5433"/>
      <c r="I5433"/>
    </row>
    <row r="5434" spans="6:9" x14ac:dyDescent="0.3">
      <c r="F5434"/>
      <c r="G5434"/>
      <c r="H5434"/>
      <c r="I5434"/>
    </row>
    <row r="5435" spans="6:9" x14ac:dyDescent="0.3">
      <c r="F5435"/>
      <c r="G5435"/>
      <c r="H5435"/>
      <c r="I5435"/>
    </row>
    <row r="5436" spans="6:9" x14ac:dyDescent="0.3">
      <c r="F5436"/>
      <c r="G5436"/>
      <c r="H5436"/>
      <c r="I5436"/>
    </row>
    <row r="5437" spans="6:9" x14ac:dyDescent="0.3">
      <c r="F5437"/>
      <c r="G5437"/>
      <c r="H5437"/>
      <c r="I5437"/>
    </row>
    <row r="5438" spans="6:9" x14ac:dyDescent="0.3">
      <c r="F5438"/>
      <c r="G5438"/>
      <c r="H5438"/>
      <c r="I5438"/>
    </row>
    <row r="5439" spans="6:9" x14ac:dyDescent="0.3">
      <c r="F5439"/>
      <c r="G5439"/>
      <c r="H5439"/>
      <c r="I5439"/>
    </row>
    <row r="5440" spans="6:9" x14ac:dyDescent="0.3">
      <c r="F5440"/>
      <c r="G5440"/>
      <c r="H5440"/>
      <c r="I5440"/>
    </row>
    <row r="5441" spans="6:9" x14ac:dyDescent="0.3">
      <c r="F5441"/>
      <c r="G5441"/>
      <c r="H5441"/>
      <c r="I5441"/>
    </row>
    <row r="5442" spans="6:9" x14ac:dyDescent="0.3">
      <c r="F5442"/>
      <c r="G5442"/>
      <c r="H5442"/>
      <c r="I5442"/>
    </row>
    <row r="5443" spans="6:9" x14ac:dyDescent="0.3">
      <c r="F5443"/>
      <c r="G5443"/>
      <c r="H5443"/>
      <c r="I5443"/>
    </row>
    <row r="5444" spans="6:9" x14ac:dyDescent="0.3">
      <c r="F5444"/>
      <c r="G5444"/>
      <c r="H5444"/>
      <c r="I5444"/>
    </row>
    <row r="5445" spans="6:9" x14ac:dyDescent="0.3">
      <c r="F5445"/>
      <c r="G5445"/>
      <c r="H5445"/>
      <c r="I5445"/>
    </row>
    <row r="5446" spans="6:9" x14ac:dyDescent="0.3">
      <c r="F5446"/>
      <c r="G5446"/>
      <c r="H5446"/>
      <c r="I5446"/>
    </row>
    <row r="5447" spans="6:9" x14ac:dyDescent="0.3">
      <c r="F5447"/>
      <c r="G5447"/>
      <c r="H5447"/>
      <c r="I5447"/>
    </row>
    <row r="5448" spans="6:9" x14ac:dyDescent="0.3">
      <c r="F5448"/>
      <c r="G5448"/>
      <c r="H5448"/>
      <c r="I5448"/>
    </row>
    <row r="5449" spans="6:9" x14ac:dyDescent="0.3">
      <c r="F5449"/>
      <c r="G5449"/>
      <c r="H5449"/>
      <c r="I5449"/>
    </row>
    <row r="5450" spans="6:9" x14ac:dyDescent="0.3">
      <c r="F5450"/>
      <c r="G5450"/>
      <c r="H5450"/>
      <c r="I5450"/>
    </row>
    <row r="5451" spans="6:9" x14ac:dyDescent="0.3">
      <c r="F5451"/>
      <c r="G5451"/>
      <c r="H5451"/>
      <c r="I5451"/>
    </row>
    <row r="5452" spans="6:9" x14ac:dyDescent="0.3">
      <c r="F5452"/>
      <c r="G5452"/>
      <c r="H5452"/>
      <c r="I5452"/>
    </row>
    <row r="5453" spans="6:9" x14ac:dyDescent="0.3">
      <c r="F5453"/>
      <c r="G5453"/>
      <c r="H5453"/>
      <c r="I5453"/>
    </row>
    <row r="5454" spans="6:9" x14ac:dyDescent="0.3">
      <c r="F5454"/>
      <c r="G5454"/>
      <c r="H5454"/>
      <c r="I5454"/>
    </row>
    <row r="5455" spans="6:9" x14ac:dyDescent="0.3">
      <c r="F5455"/>
      <c r="G5455"/>
      <c r="H5455"/>
      <c r="I5455"/>
    </row>
    <row r="5456" spans="6:9" x14ac:dyDescent="0.3">
      <c r="F5456"/>
      <c r="G5456"/>
      <c r="H5456"/>
      <c r="I5456"/>
    </row>
    <row r="5457" spans="6:9" x14ac:dyDescent="0.3">
      <c r="F5457"/>
      <c r="G5457"/>
      <c r="H5457"/>
      <c r="I5457"/>
    </row>
    <row r="5458" spans="6:9" x14ac:dyDescent="0.3">
      <c r="F5458"/>
      <c r="G5458"/>
      <c r="H5458"/>
      <c r="I5458"/>
    </row>
    <row r="5459" spans="6:9" x14ac:dyDescent="0.3">
      <c r="F5459"/>
      <c r="G5459"/>
      <c r="H5459"/>
      <c r="I5459"/>
    </row>
    <row r="5460" spans="6:9" x14ac:dyDescent="0.3">
      <c r="F5460"/>
      <c r="G5460"/>
      <c r="H5460"/>
      <c r="I5460"/>
    </row>
    <row r="5461" spans="6:9" x14ac:dyDescent="0.3">
      <c r="F5461"/>
      <c r="G5461"/>
      <c r="H5461"/>
      <c r="I5461"/>
    </row>
    <row r="5462" spans="6:9" x14ac:dyDescent="0.3">
      <c r="F5462"/>
      <c r="G5462"/>
      <c r="H5462"/>
      <c r="I5462"/>
    </row>
    <row r="5463" spans="6:9" x14ac:dyDescent="0.3">
      <c r="F5463"/>
      <c r="G5463"/>
      <c r="H5463"/>
      <c r="I5463"/>
    </row>
    <row r="5464" spans="6:9" x14ac:dyDescent="0.3">
      <c r="F5464"/>
      <c r="G5464"/>
      <c r="H5464"/>
      <c r="I5464"/>
    </row>
    <row r="5465" spans="6:9" x14ac:dyDescent="0.3">
      <c r="F5465"/>
      <c r="G5465"/>
      <c r="H5465"/>
      <c r="I5465"/>
    </row>
    <row r="5466" spans="6:9" x14ac:dyDescent="0.3">
      <c r="F5466"/>
      <c r="G5466"/>
      <c r="H5466"/>
      <c r="I5466"/>
    </row>
    <row r="5467" spans="6:9" x14ac:dyDescent="0.3">
      <c r="F5467"/>
      <c r="G5467"/>
      <c r="H5467"/>
      <c r="I5467"/>
    </row>
    <row r="5468" spans="6:9" x14ac:dyDescent="0.3">
      <c r="F5468"/>
      <c r="G5468"/>
      <c r="H5468"/>
      <c r="I5468"/>
    </row>
    <row r="5469" spans="6:9" x14ac:dyDescent="0.3">
      <c r="F5469"/>
      <c r="G5469"/>
      <c r="H5469"/>
      <c r="I5469"/>
    </row>
    <row r="5470" spans="6:9" x14ac:dyDescent="0.3">
      <c r="F5470"/>
      <c r="G5470"/>
      <c r="H5470"/>
      <c r="I5470"/>
    </row>
    <row r="5471" spans="6:9" x14ac:dyDescent="0.3">
      <c r="F5471"/>
      <c r="G5471"/>
      <c r="H5471"/>
      <c r="I5471"/>
    </row>
    <row r="5472" spans="6:9" x14ac:dyDescent="0.3">
      <c r="F5472"/>
      <c r="G5472"/>
      <c r="H5472"/>
      <c r="I5472"/>
    </row>
    <row r="5473" spans="6:9" x14ac:dyDescent="0.3">
      <c r="F5473"/>
      <c r="G5473"/>
      <c r="H5473"/>
      <c r="I5473"/>
    </row>
    <row r="5474" spans="6:9" x14ac:dyDescent="0.3">
      <c r="F5474"/>
      <c r="G5474"/>
      <c r="H5474"/>
      <c r="I5474"/>
    </row>
    <row r="5475" spans="6:9" x14ac:dyDescent="0.3">
      <c r="F5475"/>
      <c r="G5475"/>
      <c r="H5475"/>
      <c r="I5475"/>
    </row>
    <row r="5476" spans="6:9" x14ac:dyDescent="0.3">
      <c r="F5476"/>
      <c r="G5476"/>
      <c r="H5476"/>
      <c r="I5476"/>
    </row>
    <row r="5477" spans="6:9" x14ac:dyDescent="0.3">
      <c r="F5477"/>
      <c r="G5477"/>
      <c r="H5477"/>
      <c r="I5477"/>
    </row>
    <row r="5478" spans="6:9" x14ac:dyDescent="0.3">
      <c r="F5478"/>
      <c r="G5478"/>
      <c r="H5478"/>
      <c r="I5478"/>
    </row>
    <row r="5479" spans="6:9" x14ac:dyDescent="0.3">
      <c r="F5479"/>
      <c r="G5479"/>
      <c r="H5479"/>
      <c r="I5479"/>
    </row>
    <row r="5480" spans="6:9" x14ac:dyDescent="0.3">
      <c r="F5480"/>
      <c r="G5480"/>
      <c r="H5480"/>
      <c r="I5480"/>
    </row>
    <row r="5481" spans="6:9" x14ac:dyDescent="0.3">
      <c r="F5481"/>
      <c r="G5481"/>
      <c r="H5481"/>
      <c r="I5481"/>
    </row>
    <row r="5482" spans="6:9" x14ac:dyDescent="0.3">
      <c r="F5482"/>
      <c r="G5482"/>
      <c r="H5482"/>
      <c r="I5482"/>
    </row>
    <row r="5483" spans="6:9" x14ac:dyDescent="0.3">
      <c r="F5483"/>
      <c r="G5483"/>
      <c r="H5483"/>
      <c r="I5483"/>
    </row>
    <row r="5484" spans="6:9" x14ac:dyDescent="0.3">
      <c r="F5484"/>
      <c r="G5484"/>
      <c r="H5484"/>
      <c r="I5484"/>
    </row>
    <row r="5485" spans="6:9" x14ac:dyDescent="0.3">
      <c r="F5485"/>
      <c r="G5485"/>
      <c r="H5485"/>
      <c r="I5485"/>
    </row>
    <row r="5486" spans="6:9" x14ac:dyDescent="0.3">
      <c r="F5486"/>
      <c r="G5486"/>
      <c r="H5486"/>
      <c r="I5486"/>
    </row>
    <row r="5487" spans="6:9" x14ac:dyDescent="0.3">
      <c r="F5487"/>
      <c r="G5487"/>
      <c r="H5487"/>
      <c r="I5487"/>
    </row>
    <row r="5488" spans="6:9" x14ac:dyDescent="0.3">
      <c r="F5488"/>
      <c r="G5488"/>
      <c r="H5488"/>
      <c r="I5488"/>
    </row>
    <row r="5489" spans="6:9" x14ac:dyDescent="0.3">
      <c r="F5489"/>
      <c r="G5489"/>
      <c r="H5489"/>
      <c r="I5489"/>
    </row>
    <row r="5490" spans="6:9" x14ac:dyDescent="0.3">
      <c r="F5490"/>
      <c r="G5490"/>
      <c r="H5490"/>
      <c r="I5490"/>
    </row>
    <row r="5491" spans="6:9" x14ac:dyDescent="0.3">
      <c r="F5491"/>
      <c r="G5491"/>
      <c r="H5491"/>
      <c r="I5491"/>
    </row>
    <row r="5492" spans="6:9" x14ac:dyDescent="0.3">
      <c r="F5492"/>
      <c r="G5492"/>
      <c r="H5492"/>
      <c r="I5492"/>
    </row>
    <row r="5493" spans="6:9" x14ac:dyDescent="0.3">
      <c r="F5493"/>
      <c r="G5493"/>
      <c r="H5493"/>
      <c r="I5493"/>
    </row>
    <row r="5494" spans="6:9" x14ac:dyDescent="0.3">
      <c r="F5494"/>
      <c r="G5494"/>
      <c r="H5494"/>
      <c r="I5494"/>
    </row>
    <row r="5495" spans="6:9" x14ac:dyDescent="0.3">
      <c r="F5495"/>
      <c r="G5495"/>
      <c r="H5495"/>
      <c r="I5495"/>
    </row>
    <row r="5496" spans="6:9" x14ac:dyDescent="0.3">
      <c r="F5496"/>
      <c r="G5496"/>
      <c r="H5496"/>
      <c r="I5496"/>
    </row>
    <row r="5497" spans="6:9" x14ac:dyDescent="0.3">
      <c r="F5497"/>
      <c r="G5497"/>
      <c r="H5497"/>
      <c r="I5497"/>
    </row>
    <row r="5498" spans="6:9" x14ac:dyDescent="0.3">
      <c r="F5498"/>
      <c r="G5498"/>
      <c r="H5498"/>
      <c r="I5498"/>
    </row>
    <row r="5499" spans="6:9" x14ac:dyDescent="0.3">
      <c r="F5499"/>
      <c r="G5499"/>
      <c r="H5499"/>
      <c r="I5499"/>
    </row>
    <row r="5500" spans="6:9" x14ac:dyDescent="0.3">
      <c r="F5500"/>
      <c r="G5500"/>
      <c r="H5500"/>
      <c r="I5500"/>
    </row>
    <row r="5501" spans="6:9" x14ac:dyDescent="0.3">
      <c r="F5501"/>
      <c r="G5501"/>
      <c r="H5501"/>
      <c r="I5501"/>
    </row>
    <row r="5502" spans="6:9" x14ac:dyDescent="0.3">
      <c r="F5502"/>
      <c r="G5502"/>
      <c r="H5502"/>
      <c r="I5502"/>
    </row>
    <row r="5503" spans="6:9" x14ac:dyDescent="0.3">
      <c r="F5503"/>
      <c r="G5503"/>
      <c r="H5503"/>
      <c r="I5503"/>
    </row>
    <row r="5504" spans="6:9" x14ac:dyDescent="0.3">
      <c r="F5504"/>
      <c r="G5504"/>
      <c r="H5504"/>
      <c r="I5504"/>
    </row>
    <row r="5505" spans="6:9" x14ac:dyDescent="0.3">
      <c r="F5505"/>
      <c r="G5505"/>
      <c r="H5505"/>
      <c r="I5505"/>
    </row>
    <row r="5506" spans="6:9" x14ac:dyDescent="0.3">
      <c r="F5506"/>
      <c r="G5506"/>
      <c r="H5506"/>
      <c r="I5506"/>
    </row>
    <row r="5507" spans="6:9" x14ac:dyDescent="0.3">
      <c r="F5507"/>
      <c r="G5507"/>
      <c r="H5507"/>
      <c r="I5507"/>
    </row>
    <row r="5508" spans="6:9" x14ac:dyDescent="0.3">
      <c r="F5508"/>
      <c r="G5508"/>
      <c r="H5508"/>
      <c r="I5508"/>
    </row>
    <row r="5509" spans="6:9" x14ac:dyDescent="0.3">
      <c r="F5509"/>
      <c r="G5509"/>
      <c r="H5509"/>
      <c r="I5509"/>
    </row>
    <row r="5510" spans="6:9" x14ac:dyDescent="0.3">
      <c r="F5510"/>
      <c r="G5510"/>
      <c r="H5510"/>
      <c r="I5510"/>
    </row>
    <row r="5511" spans="6:9" x14ac:dyDescent="0.3">
      <c r="F5511"/>
      <c r="G5511"/>
      <c r="H5511"/>
      <c r="I5511"/>
    </row>
    <row r="5512" spans="6:9" x14ac:dyDescent="0.3">
      <c r="F5512"/>
      <c r="G5512"/>
      <c r="H5512"/>
      <c r="I5512"/>
    </row>
    <row r="5513" spans="6:9" x14ac:dyDescent="0.3">
      <c r="F5513"/>
      <c r="G5513"/>
      <c r="H5513"/>
      <c r="I5513"/>
    </row>
    <row r="5514" spans="6:9" x14ac:dyDescent="0.3">
      <c r="F5514"/>
      <c r="G5514"/>
      <c r="H5514"/>
      <c r="I5514"/>
    </row>
    <row r="5515" spans="6:9" x14ac:dyDescent="0.3">
      <c r="F5515"/>
      <c r="G5515"/>
      <c r="H5515"/>
      <c r="I5515"/>
    </row>
    <row r="5516" spans="6:9" x14ac:dyDescent="0.3">
      <c r="F5516"/>
      <c r="G5516"/>
      <c r="H5516"/>
      <c r="I5516"/>
    </row>
    <row r="5517" spans="6:9" x14ac:dyDescent="0.3">
      <c r="F5517"/>
      <c r="G5517"/>
      <c r="H5517"/>
      <c r="I5517"/>
    </row>
    <row r="5518" spans="6:9" x14ac:dyDescent="0.3">
      <c r="F5518"/>
      <c r="G5518"/>
      <c r="H5518"/>
      <c r="I5518"/>
    </row>
    <row r="5519" spans="6:9" x14ac:dyDescent="0.3">
      <c r="F5519"/>
      <c r="G5519"/>
      <c r="H5519"/>
      <c r="I5519"/>
    </row>
    <row r="5520" spans="6:9" x14ac:dyDescent="0.3">
      <c r="F5520"/>
      <c r="G5520"/>
      <c r="H5520"/>
      <c r="I5520"/>
    </row>
    <row r="5521" spans="6:9" x14ac:dyDescent="0.3">
      <c r="F5521"/>
      <c r="G5521"/>
      <c r="H5521"/>
      <c r="I5521"/>
    </row>
    <row r="5522" spans="6:9" x14ac:dyDescent="0.3">
      <c r="F5522"/>
      <c r="G5522"/>
      <c r="H5522"/>
      <c r="I5522"/>
    </row>
    <row r="5523" spans="6:9" x14ac:dyDescent="0.3">
      <c r="F5523"/>
      <c r="G5523"/>
      <c r="H5523"/>
      <c r="I5523"/>
    </row>
    <row r="5524" spans="6:9" x14ac:dyDescent="0.3">
      <c r="F5524"/>
      <c r="G5524"/>
      <c r="H5524"/>
      <c r="I5524"/>
    </row>
    <row r="5525" spans="6:9" x14ac:dyDescent="0.3">
      <c r="F5525"/>
      <c r="G5525"/>
      <c r="H5525"/>
      <c r="I5525"/>
    </row>
    <row r="5526" spans="6:9" x14ac:dyDescent="0.3">
      <c r="F5526"/>
      <c r="G5526"/>
      <c r="H5526"/>
      <c r="I5526"/>
    </row>
    <row r="5527" spans="6:9" x14ac:dyDescent="0.3">
      <c r="F5527"/>
      <c r="G5527"/>
      <c r="H5527"/>
      <c r="I5527"/>
    </row>
    <row r="5528" spans="6:9" x14ac:dyDescent="0.3">
      <c r="F5528"/>
      <c r="G5528"/>
      <c r="H5528"/>
      <c r="I5528"/>
    </row>
    <row r="5529" spans="6:9" x14ac:dyDescent="0.3">
      <c r="F5529"/>
      <c r="G5529"/>
      <c r="H5529"/>
      <c r="I5529"/>
    </row>
    <row r="5530" spans="6:9" x14ac:dyDescent="0.3">
      <c r="F5530"/>
      <c r="G5530"/>
      <c r="H5530"/>
      <c r="I5530"/>
    </row>
    <row r="5531" spans="6:9" x14ac:dyDescent="0.3">
      <c r="F5531"/>
      <c r="G5531"/>
      <c r="H5531"/>
      <c r="I5531"/>
    </row>
    <row r="5532" spans="6:9" x14ac:dyDescent="0.3">
      <c r="F5532"/>
      <c r="G5532"/>
      <c r="H5532"/>
      <c r="I5532"/>
    </row>
    <row r="5533" spans="6:9" x14ac:dyDescent="0.3">
      <c r="F5533"/>
      <c r="G5533"/>
      <c r="H5533"/>
      <c r="I5533"/>
    </row>
    <row r="5534" spans="6:9" x14ac:dyDescent="0.3">
      <c r="F5534"/>
      <c r="G5534"/>
      <c r="H5534"/>
      <c r="I5534"/>
    </row>
    <row r="5535" spans="6:9" x14ac:dyDescent="0.3">
      <c r="F5535"/>
      <c r="G5535"/>
      <c r="H5535"/>
      <c r="I5535"/>
    </row>
    <row r="5536" spans="6:9" x14ac:dyDescent="0.3">
      <c r="F5536"/>
      <c r="G5536"/>
      <c r="H5536"/>
      <c r="I5536"/>
    </row>
    <row r="5537" spans="6:9" x14ac:dyDescent="0.3">
      <c r="F5537"/>
      <c r="G5537"/>
      <c r="H5537"/>
      <c r="I5537"/>
    </row>
    <row r="5538" spans="6:9" x14ac:dyDescent="0.3">
      <c r="F5538"/>
      <c r="G5538"/>
      <c r="H5538"/>
      <c r="I5538"/>
    </row>
    <row r="5539" spans="6:9" x14ac:dyDescent="0.3">
      <c r="F5539"/>
      <c r="G5539"/>
      <c r="H5539"/>
      <c r="I5539"/>
    </row>
    <row r="5540" spans="6:9" x14ac:dyDescent="0.3">
      <c r="F5540"/>
      <c r="G5540"/>
      <c r="H5540"/>
      <c r="I5540"/>
    </row>
    <row r="5541" spans="6:9" x14ac:dyDescent="0.3">
      <c r="F5541"/>
      <c r="G5541"/>
      <c r="H5541"/>
      <c r="I5541"/>
    </row>
    <row r="5542" spans="6:9" x14ac:dyDescent="0.3">
      <c r="F5542"/>
      <c r="G5542"/>
      <c r="H5542"/>
      <c r="I5542"/>
    </row>
    <row r="5543" spans="6:9" x14ac:dyDescent="0.3">
      <c r="F5543"/>
      <c r="G5543"/>
      <c r="H5543"/>
      <c r="I5543"/>
    </row>
    <row r="5544" spans="6:9" x14ac:dyDescent="0.3">
      <c r="F5544"/>
      <c r="G5544"/>
      <c r="H5544"/>
      <c r="I5544"/>
    </row>
    <row r="5545" spans="6:9" x14ac:dyDescent="0.3">
      <c r="F5545"/>
      <c r="G5545"/>
      <c r="H5545"/>
      <c r="I5545"/>
    </row>
    <row r="5546" spans="6:9" x14ac:dyDescent="0.3">
      <c r="F5546"/>
      <c r="G5546"/>
      <c r="H5546"/>
      <c r="I5546"/>
    </row>
    <row r="5547" spans="6:9" x14ac:dyDescent="0.3">
      <c r="F5547"/>
      <c r="G5547"/>
      <c r="H5547"/>
      <c r="I5547"/>
    </row>
    <row r="5548" spans="6:9" x14ac:dyDescent="0.3">
      <c r="F5548"/>
      <c r="G5548"/>
      <c r="H5548"/>
      <c r="I5548"/>
    </row>
    <row r="5549" spans="6:9" x14ac:dyDescent="0.3">
      <c r="F5549"/>
      <c r="G5549"/>
      <c r="H5549"/>
      <c r="I5549"/>
    </row>
    <row r="5550" spans="6:9" x14ac:dyDescent="0.3">
      <c r="F5550"/>
      <c r="G5550"/>
      <c r="H5550"/>
      <c r="I5550"/>
    </row>
    <row r="5551" spans="6:9" x14ac:dyDescent="0.3">
      <c r="F5551"/>
      <c r="G5551"/>
      <c r="H5551"/>
      <c r="I5551"/>
    </row>
    <row r="5552" spans="6:9" x14ac:dyDescent="0.3">
      <c r="F5552"/>
      <c r="G5552"/>
      <c r="H5552"/>
      <c r="I5552"/>
    </row>
    <row r="5553" spans="6:9" x14ac:dyDescent="0.3">
      <c r="F5553"/>
      <c r="G5553"/>
      <c r="H5553"/>
      <c r="I5553"/>
    </row>
    <row r="5554" spans="6:9" x14ac:dyDescent="0.3">
      <c r="F5554"/>
      <c r="G5554"/>
      <c r="H5554"/>
      <c r="I5554"/>
    </row>
    <row r="5555" spans="6:9" x14ac:dyDescent="0.3">
      <c r="F5555"/>
      <c r="G5555"/>
      <c r="H5555"/>
      <c r="I5555"/>
    </row>
    <row r="5556" spans="6:9" x14ac:dyDescent="0.3">
      <c r="F5556"/>
      <c r="G5556"/>
      <c r="H5556"/>
      <c r="I5556"/>
    </row>
    <row r="5557" spans="6:9" x14ac:dyDescent="0.3">
      <c r="F5557"/>
      <c r="G5557"/>
      <c r="H5557"/>
      <c r="I5557"/>
    </row>
    <row r="5558" spans="6:9" x14ac:dyDescent="0.3">
      <c r="F5558"/>
      <c r="G5558"/>
      <c r="H5558"/>
      <c r="I5558"/>
    </row>
    <row r="5559" spans="6:9" x14ac:dyDescent="0.3">
      <c r="F5559"/>
      <c r="G5559"/>
      <c r="H5559"/>
      <c r="I5559"/>
    </row>
    <row r="5560" spans="6:9" x14ac:dyDescent="0.3">
      <c r="F5560"/>
      <c r="G5560"/>
      <c r="H5560"/>
      <c r="I5560"/>
    </row>
    <row r="5561" spans="6:9" x14ac:dyDescent="0.3">
      <c r="F5561"/>
      <c r="G5561"/>
      <c r="H5561"/>
      <c r="I5561"/>
    </row>
    <row r="5562" spans="6:9" x14ac:dyDescent="0.3">
      <c r="F5562"/>
      <c r="G5562"/>
      <c r="H5562"/>
      <c r="I5562"/>
    </row>
    <row r="5563" spans="6:9" x14ac:dyDescent="0.3">
      <c r="F5563"/>
      <c r="G5563"/>
      <c r="H5563"/>
      <c r="I5563"/>
    </row>
    <row r="5564" spans="6:9" x14ac:dyDescent="0.3">
      <c r="F5564"/>
      <c r="G5564"/>
      <c r="H5564"/>
      <c r="I5564"/>
    </row>
    <row r="5565" spans="6:9" x14ac:dyDescent="0.3">
      <c r="F5565"/>
      <c r="G5565"/>
      <c r="H5565"/>
      <c r="I5565"/>
    </row>
    <row r="5566" spans="6:9" x14ac:dyDescent="0.3">
      <c r="F5566"/>
      <c r="G5566"/>
      <c r="H5566"/>
      <c r="I5566"/>
    </row>
    <row r="5567" spans="6:9" x14ac:dyDescent="0.3">
      <c r="F5567"/>
      <c r="G5567"/>
      <c r="H5567"/>
      <c r="I5567"/>
    </row>
    <row r="5568" spans="6:9" x14ac:dyDescent="0.3">
      <c r="F5568"/>
      <c r="G5568"/>
      <c r="H5568"/>
      <c r="I5568"/>
    </row>
    <row r="5569" spans="6:9" x14ac:dyDescent="0.3">
      <c r="F5569"/>
      <c r="G5569"/>
      <c r="H5569"/>
      <c r="I5569"/>
    </row>
    <row r="5570" spans="6:9" x14ac:dyDescent="0.3">
      <c r="F5570"/>
      <c r="G5570"/>
      <c r="H5570"/>
      <c r="I5570"/>
    </row>
    <row r="5571" spans="6:9" x14ac:dyDescent="0.3">
      <c r="F5571"/>
      <c r="G5571"/>
      <c r="H5571"/>
      <c r="I5571"/>
    </row>
    <row r="5572" spans="6:9" x14ac:dyDescent="0.3">
      <c r="F5572"/>
      <c r="G5572"/>
      <c r="H5572"/>
      <c r="I5572"/>
    </row>
    <row r="5573" spans="6:9" x14ac:dyDescent="0.3">
      <c r="F5573"/>
      <c r="G5573"/>
      <c r="H5573"/>
      <c r="I5573"/>
    </row>
    <row r="5574" spans="6:9" x14ac:dyDescent="0.3">
      <c r="F5574"/>
      <c r="G5574"/>
      <c r="H5574"/>
      <c r="I5574"/>
    </row>
    <row r="5575" spans="6:9" x14ac:dyDescent="0.3">
      <c r="F5575"/>
      <c r="G5575"/>
      <c r="H5575"/>
      <c r="I5575"/>
    </row>
    <row r="5576" spans="6:9" x14ac:dyDescent="0.3">
      <c r="F5576"/>
      <c r="G5576"/>
      <c r="H5576"/>
      <c r="I5576"/>
    </row>
    <row r="5577" spans="6:9" x14ac:dyDescent="0.3">
      <c r="F5577"/>
      <c r="G5577"/>
      <c r="H5577"/>
      <c r="I5577"/>
    </row>
    <row r="5578" spans="6:9" x14ac:dyDescent="0.3">
      <c r="F5578"/>
      <c r="G5578"/>
      <c r="H5578"/>
      <c r="I5578"/>
    </row>
    <row r="5579" spans="6:9" x14ac:dyDescent="0.3">
      <c r="F5579"/>
      <c r="G5579"/>
      <c r="H5579"/>
      <c r="I5579"/>
    </row>
    <row r="5580" spans="6:9" x14ac:dyDescent="0.3">
      <c r="F5580"/>
      <c r="G5580"/>
      <c r="H5580"/>
      <c r="I5580"/>
    </row>
    <row r="5581" spans="6:9" x14ac:dyDescent="0.3">
      <c r="F5581"/>
      <c r="G5581"/>
      <c r="H5581"/>
      <c r="I5581"/>
    </row>
    <row r="5582" spans="6:9" x14ac:dyDescent="0.3">
      <c r="F5582"/>
      <c r="G5582"/>
      <c r="H5582"/>
      <c r="I5582"/>
    </row>
    <row r="5583" spans="6:9" x14ac:dyDescent="0.3">
      <c r="F5583"/>
      <c r="G5583"/>
      <c r="H5583"/>
      <c r="I5583"/>
    </row>
    <row r="5584" spans="6:9" x14ac:dyDescent="0.3">
      <c r="F5584"/>
      <c r="G5584"/>
      <c r="H5584"/>
      <c r="I5584"/>
    </row>
    <row r="5585" spans="6:9" x14ac:dyDescent="0.3">
      <c r="F5585"/>
      <c r="G5585"/>
      <c r="H5585"/>
      <c r="I5585"/>
    </row>
    <row r="5586" spans="6:9" x14ac:dyDescent="0.3">
      <c r="F5586"/>
      <c r="G5586"/>
      <c r="H5586"/>
      <c r="I5586"/>
    </row>
    <row r="5587" spans="6:9" x14ac:dyDescent="0.3">
      <c r="F5587"/>
      <c r="G5587"/>
      <c r="H5587"/>
      <c r="I5587"/>
    </row>
    <row r="5588" spans="6:9" x14ac:dyDescent="0.3">
      <c r="F5588"/>
      <c r="G5588"/>
      <c r="H5588"/>
      <c r="I5588"/>
    </row>
    <row r="5589" spans="6:9" x14ac:dyDescent="0.3">
      <c r="F5589"/>
      <c r="G5589"/>
      <c r="H5589"/>
      <c r="I5589"/>
    </row>
    <row r="5590" spans="6:9" x14ac:dyDescent="0.3">
      <c r="F5590"/>
      <c r="G5590"/>
      <c r="H5590"/>
      <c r="I5590"/>
    </row>
    <row r="5591" spans="6:9" x14ac:dyDescent="0.3">
      <c r="F5591"/>
      <c r="G5591"/>
      <c r="H5591"/>
      <c r="I5591"/>
    </row>
    <row r="5592" spans="6:9" x14ac:dyDescent="0.3">
      <c r="F5592"/>
      <c r="G5592"/>
      <c r="H5592"/>
      <c r="I5592"/>
    </row>
    <row r="5593" spans="6:9" x14ac:dyDescent="0.3">
      <c r="F5593"/>
      <c r="G5593"/>
      <c r="H5593"/>
      <c r="I5593"/>
    </row>
    <row r="5594" spans="6:9" x14ac:dyDescent="0.3">
      <c r="F5594"/>
      <c r="G5594"/>
      <c r="H5594"/>
      <c r="I5594"/>
    </row>
    <row r="5595" spans="6:9" x14ac:dyDescent="0.3">
      <c r="F5595"/>
      <c r="G5595"/>
      <c r="H5595"/>
      <c r="I5595"/>
    </row>
    <row r="5596" spans="6:9" x14ac:dyDescent="0.3">
      <c r="F5596"/>
      <c r="G5596"/>
      <c r="H5596"/>
      <c r="I5596"/>
    </row>
    <row r="5597" spans="6:9" x14ac:dyDescent="0.3">
      <c r="F5597"/>
      <c r="G5597"/>
      <c r="H5597"/>
      <c r="I5597"/>
    </row>
    <row r="5598" spans="6:9" x14ac:dyDescent="0.3">
      <c r="F5598"/>
      <c r="G5598"/>
      <c r="H5598"/>
      <c r="I5598"/>
    </row>
    <row r="5599" spans="6:9" x14ac:dyDescent="0.3">
      <c r="F5599"/>
      <c r="G5599"/>
      <c r="H5599"/>
      <c r="I5599"/>
    </row>
    <row r="5600" spans="6:9" x14ac:dyDescent="0.3">
      <c r="F5600"/>
      <c r="G5600"/>
      <c r="H5600"/>
      <c r="I5600"/>
    </row>
    <row r="5601" spans="6:9" x14ac:dyDescent="0.3">
      <c r="F5601"/>
      <c r="G5601"/>
      <c r="H5601"/>
      <c r="I5601"/>
    </row>
    <row r="5602" spans="6:9" x14ac:dyDescent="0.3">
      <c r="F5602"/>
      <c r="G5602"/>
      <c r="H5602"/>
      <c r="I5602"/>
    </row>
    <row r="5603" spans="6:9" x14ac:dyDescent="0.3">
      <c r="F5603"/>
      <c r="G5603"/>
      <c r="H5603"/>
      <c r="I5603"/>
    </row>
    <row r="5604" spans="6:9" x14ac:dyDescent="0.3">
      <c r="F5604"/>
      <c r="G5604"/>
      <c r="H5604"/>
      <c r="I5604"/>
    </row>
    <row r="5605" spans="6:9" x14ac:dyDescent="0.3">
      <c r="F5605"/>
      <c r="G5605"/>
      <c r="H5605"/>
      <c r="I5605"/>
    </row>
    <row r="5606" spans="6:9" x14ac:dyDescent="0.3">
      <c r="F5606"/>
      <c r="G5606"/>
      <c r="H5606"/>
      <c r="I5606"/>
    </row>
    <row r="5607" spans="6:9" x14ac:dyDescent="0.3">
      <c r="F5607"/>
      <c r="G5607"/>
      <c r="H5607"/>
      <c r="I5607"/>
    </row>
    <row r="5608" spans="6:9" x14ac:dyDescent="0.3">
      <c r="F5608"/>
      <c r="G5608"/>
      <c r="H5608"/>
      <c r="I5608"/>
    </row>
    <row r="5609" spans="6:9" x14ac:dyDescent="0.3">
      <c r="F5609"/>
      <c r="G5609"/>
      <c r="H5609"/>
      <c r="I5609"/>
    </row>
    <row r="5610" spans="6:9" x14ac:dyDescent="0.3">
      <c r="F5610"/>
      <c r="G5610"/>
      <c r="H5610"/>
      <c r="I5610"/>
    </row>
    <row r="5611" spans="6:9" x14ac:dyDescent="0.3">
      <c r="F5611"/>
      <c r="G5611"/>
      <c r="H5611"/>
      <c r="I5611"/>
    </row>
    <row r="5612" spans="6:9" x14ac:dyDescent="0.3">
      <c r="F5612"/>
      <c r="G5612"/>
      <c r="H5612"/>
      <c r="I5612"/>
    </row>
    <row r="5613" spans="6:9" x14ac:dyDescent="0.3">
      <c r="F5613"/>
      <c r="G5613"/>
      <c r="H5613"/>
      <c r="I5613"/>
    </row>
    <row r="5614" spans="6:9" x14ac:dyDescent="0.3">
      <c r="F5614"/>
      <c r="G5614"/>
      <c r="H5614"/>
      <c r="I5614"/>
    </row>
    <row r="5615" spans="6:9" x14ac:dyDescent="0.3">
      <c r="F5615"/>
      <c r="G5615"/>
      <c r="H5615"/>
      <c r="I5615"/>
    </row>
    <row r="5616" spans="6:9" x14ac:dyDescent="0.3">
      <c r="F5616"/>
      <c r="G5616"/>
      <c r="H5616"/>
      <c r="I5616"/>
    </row>
    <row r="5617" spans="6:9" x14ac:dyDescent="0.3">
      <c r="F5617"/>
      <c r="G5617"/>
      <c r="H5617"/>
      <c r="I5617"/>
    </row>
    <row r="5618" spans="6:9" x14ac:dyDescent="0.3">
      <c r="F5618"/>
      <c r="G5618"/>
      <c r="H5618"/>
      <c r="I5618"/>
    </row>
    <row r="5619" spans="6:9" x14ac:dyDescent="0.3">
      <c r="F5619"/>
      <c r="G5619"/>
      <c r="H5619"/>
      <c r="I5619"/>
    </row>
    <row r="5620" spans="6:9" x14ac:dyDescent="0.3">
      <c r="F5620"/>
      <c r="G5620"/>
      <c r="H5620"/>
      <c r="I5620"/>
    </row>
    <row r="5621" spans="6:9" x14ac:dyDescent="0.3">
      <c r="F5621"/>
      <c r="G5621"/>
      <c r="H5621"/>
      <c r="I5621"/>
    </row>
    <row r="5622" spans="6:9" x14ac:dyDescent="0.3">
      <c r="F5622"/>
      <c r="G5622"/>
      <c r="H5622"/>
      <c r="I5622"/>
    </row>
    <row r="5623" spans="6:9" x14ac:dyDescent="0.3">
      <c r="F5623"/>
      <c r="G5623"/>
      <c r="H5623"/>
      <c r="I5623"/>
    </row>
    <row r="5624" spans="6:9" x14ac:dyDescent="0.3">
      <c r="F5624"/>
      <c r="G5624"/>
      <c r="H5624"/>
      <c r="I5624"/>
    </row>
    <row r="5625" spans="6:9" x14ac:dyDescent="0.3">
      <c r="F5625"/>
      <c r="G5625"/>
      <c r="H5625"/>
      <c r="I5625"/>
    </row>
    <row r="5626" spans="6:9" x14ac:dyDescent="0.3">
      <c r="F5626"/>
      <c r="G5626"/>
      <c r="H5626"/>
      <c r="I5626"/>
    </row>
    <row r="5627" spans="6:9" x14ac:dyDescent="0.3">
      <c r="F5627"/>
      <c r="G5627"/>
      <c r="H5627"/>
      <c r="I5627"/>
    </row>
    <row r="5628" spans="6:9" x14ac:dyDescent="0.3">
      <c r="F5628"/>
      <c r="G5628"/>
      <c r="H5628"/>
      <c r="I5628"/>
    </row>
    <row r="5629" spans="6:9" x14ac:dyDescent="0.3">
      <c r="F5629"/>
      <c r="G5629"/>
      <c r="H5629"/>
      <c r="I5629"/>
    </row>
    <row r="5630" spans="6:9" x14ac:dyDescent="0.3">
      <c r="F5630"/>
      <c r="G5630"/>
      <c r="H5630"/>
      <c r="I5630"/>
    </row>
    <row r="5631" spans="6:9" x14ac:dyDescent="0.3">
      <c r="F5631"/>
      <c r="G5631"/>
      <c r="H5631"/>
      <c r="I5631"/>
    </row>
    <row r="5632" spans="6:9" x14ac:dyDescent="0.3">
      <c r="F5632"/>
      <c r="G5632"/>
      <c r="H5632"/>
      <c r="I5632"/>
    </row>
    <row r="5633" spans="6:9" x14ac:dyDescent="0.3">
      <c r="F5633"/>
      <c r="G5633"/>
      <c r="H5633"/>
      <c r="I5633"/>
    </row>
    <row r="5634" spans="6:9" x14ac:dyDescent="0.3">
      <c r="F5634"/>
      <c r="G5634"/>
      <c r="H5634"/>
      <c r="I5634"/>
    </row>
    <row r="5635" spans="6:9" x14ac:dyDescent="0.3">
      <c r="F5635"/>
      <c r="G5635"/>
      <c r="H5635"/>
      <c r="I5635"/>
    </row>
    <row r="5636" spans="6:9" x14ac:dyDescent="0.3">
      <c r="F5636"/>
      <c r="G5636"/>
      <c r="H5636"/>
      <c r="I5636"/>
    </row>
    <row r="5637" spans="6:9" x14ac:dyDescent="0.3">
      <c r="F5637"/>
      <c r="G5637"/>
      <c r="H5637"/>
      <c r="I5637"/>
    </row>
    <row r="5638" spans="6:9" x14ac:dyDescent="0.3">
      <c r="F5638"/>
      <c r="G5638"/>
      <c r="H5638"/>
      <c r="I5638"/>
    </row>
    <row r="5639" spans="6:9" x14ac:dyDescent="0.3">
      <c r="F5639"/>
      <c r="G5639"/>
      <c r="H5639"/>
      <c r="I5639"/>
    </row>
    <row r="5640" spans="6:9" x14ac:dyDescent="0.3">
      <c r="F5640"/>
      <c r="G5640"/>
      <c r="H5640"/>
      <c r="I5640"/>
    </row>
    <row r="5641" spans="6:9" x14ac:dyDescent="0.3">
      <c r="F5641"/>
      <c r="G5641"/>
      <c r="H5641"/>
      <c r="I5641"/>
    </row>
    <row r="5642" spans="6:9" x14ac:dyDescent="0.3">
      <c r="F5642"/>
      <c r="G5642"/>
      <c r="H5642"/>
      <c r="I5642"/>
    </row>
    <row r="5643" spans="6:9" x14ac:dyDescent="0.3">
      <c r="F5643"/>
      <c r="G5643"/>
      <c r="H5643"/>
      <c r="I5643"/>
    </row>
    <row r="5644" spans="6:9" x14ac:dyDescent="0.3">
      <c r="F5644"/>
      <c r="G5644"/>
      <c r="H5644"/>
      <c r="I5644"/>
    </row>
    <row r="5645" spans="6:9" x14ac:dyDescent="0.3">
      <c r="F5645"/>
      <c r="G5645"/>
      <c r="H5645"/>
      <c r="I5645"/>
    </row>
    <row r="5646" spans="6:9" x14ac:dyDescent="0.3">
      <c r="F5646"/>
      <c r="G5646"/>
      <c r="H5646"/>
      <c r="I5646"/>
    </row>
    <row r="5647" spans="6:9" x14ac:dyDescent="0.3">
      <c r="F5647"/>
      <c r="G5647"/>
      <c r="H5647"/>
      <c r="I5647"/>
    </row>
    <row r="5648" spans="6:9" x14ac:dyDescent="0.3">
      <c r="F5648"/>
      <c r="G5648"/>
      <c r="H5648"/>
      <c r="I5648"/>
    </row>
    <row r="5649" spans="6:9" x14ac:dyDescent="0.3">
      <c r="F5649"/>
      <c r="G5649"/>
      <c r="H5649"/>
      <c r="I5649"/>
    </row>
    <row r="5650" spans="6:9" x14ac:dyDescent="0.3">
      <c r="F5650"/>
      <c r="G5650"/>
      <c r="H5650"/>
      <c r="I5650"/>
    </row>
    <row r="5651" spans="6:9" x14ac:dyDescent="0.3">
      <c r="F5651"/>
      <c r="G5651"/>
      <c r="H5651"/>
      <c r="I5651"/>
    </row>
    <row r="5652" spans="6:9" x14ac:dyDescent="0.3">
      <c r="F5652"/>
      <c r="G5652"/>
      <c r="H5652"/>
      <c r="I5652"/>
    </row>
    <row r="5653" spans="6:9" x14ac:dyDescent="0.3">
      <c r="F5653"/>
      <c r="G5653"/>
      <c r="H5653"/>
      <c r="I5653"/>
    </row>
    <row r="5654" spans="6:9" x14ac:dyDescent="0.3">
      <c r="F5654"/>
      <c r="G5654"/>
      <c r="H5654"/>
      <c r="I5654"/>
    </row>
    <row r="5655" spans="6:9" x14ac:dyDescent="0.3">
      <c r="F5655"/>
      <c r="G5655"/>
      <c r="H5655"/>
      <c r="I5655"/>
    </row>
    <row r="5656" spans="6:9" x14ac:dyDescent="0.3">
      <c r="F5656"/>
      <c r="G5656"/>
      <c r="H5656"/>
      <c r="I5656"/>
    </row>
    <row r="5657" spans="6:9" x14ac:dyDescent="0.3">
      <c r="F5657"/>
      <c r="G5657"/>
      <c r="H5657"/>
      <c r="I5657"/>
    </row>
    <row r="5658" spans="6:9" x14ac:dyDescent="0.3">
      <c r="F5658"/>
      <c r="G5658"/>
      <c r="H5658"/>
      <c r="I5658"/>
    </row>
    <row r="5659" spans="6:9" x14ac:dyDescent="0.3">
      <c r="F5659"/>
      <c r="G5659"/>
      <c r="H5659"/>
      <c r="I5659"/>
    </row>
    <row r="5660" spans="6:9" x14ac:dyDescent="0.3">
      <c r="F5660"/>
      <c r="G5660"/>
      <c r="H5660"/>
      <c r="I5660"/>
    </row>
    <row r="5661" spans="6:9" x14ac:dyDescent="0.3">
      <c r="F5661"/>
      <c r="G5661"/>
      <c r="H5661"/>
      <c r="I5661"/>
    </row>
    <row r="5662" spans="6:9" x14ac:dyDescent="0.3">
      <c r="F5662"/>
      <c r="G5662"/>
      <c r="H5662"/>
      <c r="I5662"/>
    </row>
    <row r="5663" spans="6:9" x14ac:dyDescent="0.3">
      <c r="F5663"/>
      <c r="G5663"/>
      <c r="H5663"/>
      <c r="I5663"/>
    </row>
    <row r="5664" spans="6:9" x14ac:dyDescent="0.3">
      <c r="F5664"/>
      <c r="G5664"/>
      <c r="H5664"/>
      <c r="I5664"/>
    </row>
    <row r="5665" spans="6:9" x14ac:dyDescent="0.3">
      <c r="F5665"/>
      <c r="G5665"/>
      <c r="H5665"/>
      <c r="I5665"/>
    </row>
    <row r="5666" spans="6:9" x14ac:dyDescent="0.3">
      <c r="F5666"/>
      <c r="G5666"/>
      <c r="H5666"/>
      <c r="I5666"/>
    </row>
    <row r="5667" spans="6:9" x14ac:dyDescent="0.3">
      <c r="F5667"/>
      <c r="G5667"/>
      <c r="H5667"/>
      <c r="I5667"/>
    </row>
    <row r="5668" spans="6:9" x14ac:dyDescent="0.3">
      <c r="F5668"/>
      <c r="G5668"/>
      <c r="H5668"/>
      <c r="I5668"/>
    </row>
    <row r="5669" spans="6:9" x14ac:dyDescent="0.3">
      <c r="F5669"/>
      <c r="G5669"/>
      <c r="H5669"/>
      <c r="I5669"/>
    </row>
    <row r="5670" spans="6:9" x14ac:dyDescent="0.3">
      <c r="F5670"/>
      <c r="G5670"/>
      <c r="H5670"/>
      <c r="I5670"/>
    </row>
    <row r="5671" spans="6:9" x14ac:dyDescent="0.3">
      <c r="F5671"/>
      <c r="G5671"/>
      <c r="H5671"/>
      <c r="I5671"/>
    </row>
    <row r="5672" spans="6:9" x14ac:dyDescent="0.3">
      <c r="F5672"/>
      <c r="G5672"/>
      <c r="H5672"/>
      <c r="I5672"/>
    </row>
    <row r="5673" spans="6:9" x14ac:dyDescent="0.3">
      <c r="F5673"/>
      <c r="G5673"/>
      <c r="H5673"/>
      <c r="I5673"/>
    </row>
    <row r="5674" spans="6:9" x14ac:dyDescent="0.3">
      <c r="F5674"/>
      <c r="G5674"/>
      <c r="H5674"/>
      <c r="I5674"/>
    </row>
    <row r="5675" spans="6:9" x14ac:dyDescent="0.3">
      <c r="F5675"/>
      <c r="G5675"/>
      <c r="H5675"/>
      <c r="I5675"/>
    </row>
    <row r="5676" spans="6:9" x14ac:dyDescent="0.3">
      <c r="F5676"/>
      <c r="G5676"/>
      <c r="H5676"/>
      <c r="I5676"/>
    </row>
    <row r="5677" spans="6:9" x14ac:dyDescent="0.3">
      <c r="F5677"/>
      <c r="G5677"/>
      <c r="H5677"/>
      <c r="I5677"/>
    </row>
    <row r="5678" spans="6:9" x14ac:dyDescent="0.3">
      <c r="F5678"/>
      <c r="G5678"/>
      <c r="H5678"/>
      <c r="I5678"/>
    </row>
    <row r="5679" spans="6:9" x14ac:dyDescent="0.3">
      <c r="F5679"/>
      <c r="G5679"/>
      <c r="H5679"/>
      <c r="I5679"/>
    </row>
    <row r="5680" spans="6:9" x14ac:dyDescent="0.3">
      <c r="F5680"/>
      <c r="G5680"/>
      <c r="H5680"/>
      <c r="I5680"/>
    </row>
    <row r="5681" spans="6:9" x14ac:dyDescent="0.3">
      <c r="F5681"/>
      <c r="G5681"/>
      <c r="H5681"/>
      <c r="I5681"/>
    </row>
    <row r="5682" spans="6:9" x14ac:dyDescent="0.3">
      <c r="F5682"/>
      <c r="G5682"/>
      <c r="H5682"/>
      <c r="I5682"/>
    </row>
    <row r="5683" spans="6:9" x14ac:dyDescent="0.3">
      <c r="F5683"/>
      <c r="G5683"/>
      <c r="H5683"/>
      <c r="I5683"/>
    </row>
    <row r="5684" spans="6:9" x14ac:dyDescent="0.3">
      <c r="F5684"/>
      <c r="G5684"/>
      <c r="H5684"/>
      <c r="I5684"/>
    </row>
    <row r="5685" spans="6:9" x14ac:dyDescent="0.3">
      <c r="F5685"/>
      <c r="G5685"/>
      <c r="H5685"/>
      <c r="I5685"/>
    </row>
    <row r="5686" spans="6:9" x14ac:dyDescent="0.3">
      <c r="F5686"/>
      <c r="G5686"/>
      <c r="H5686"/>
      <c r="I5686"/>
    </row>
    <row r="5687" spans="6:9" x14ac:dyDescent="0.3">
      <c r="F5687"/>
      <c r="G5687"/>
      <c r="H5687"/>
      <c r="I5687"/>
    </row>
    <row r="5688" spans="6:9" x14ac:dyDescent="0.3">
      <c r="F5688"/>
      <c r="G5688"/>
      <c r="H5688"/>
      <c r="I5688"/>
    </row>
    <row r="5689" spans="6:9" x14ac:dyDescent="0.3">
      <c r="F5689"/>
      <c r="G5689"/>
      <c r="H5689"/>
      <c r="I5689"/>
    </row>
    <row r="5690" spans="6:9" x14ac:dyDescent="0.3">
      <c r="F5690"/>
      <c r="G5690"/>
      <c r="H5690"/>
      <c r="I5690"/>
    </row>
    <row r="5691" spans="6:9" x14ac:dyDescent="0.3">
      <c r="F5691"/>
      <c r="G5691"/>
      <c r="H5691"/>
      <c r="I5691"/>
    </row>
    <row r="5692" spans="6:9" x14ac:dyDescent="0.3">
      <c r="F5692"/>
      <c r="G5692"/>
      <c r="H5692"/>
      <c r="I5692"/>
    </row>
    <row r="5693" spans="6:9" x14ac:dyDescent="0.3">
      <c r="F5693"/>
      <c r="G5693"/>
      <c r="H5693"/>
      <c r="I5693"/>
    </row>
    <row r="5694" spans="6:9" x14ac:dyDescent="0.3">
      <c r="F5694"/>
      <c r="G5694"/>
      <c r="H5694"/>
      <c r="I5694"/>
    </row>
    <row r="5695" spans="6:9" x14ac:dyDescent="0.3">
      <c r="F5695"/>
      <c r="G5695"/>
      <c r="H5695"/>
      <c r="I5695"/>
    </row>
    <row r="5696" spans="6:9" x14ac:dyDescent="0.3">
      <c r="F5696"/>
      <c r="G5696"/>
      <c r="H5696"/>
      <c r="I5696"/>
    </row>
    <row r="5697" spans="6:9" x14ac:dyDescent="0.3">
      <c r="F5697"/>
      <c r="G5697"/>
      <c r="H5697"/>
      <c r="I5697"/>
    </row>
    <row r="5698" spans="6:9" x14ac:dyDescent="0.3">
      <c r="F5698"/>
      <c r="G5698"/>
      <c r="H5698"/>
      <c r="I5698"/>
    </row>
    <row r="5699" spans="6:9" x14ac:dyDescent="0.3">
      <c r="F5699"/>
      <c r="G5699"/>
      <c r="H5699"/>
      <c r="I5699"/>
    </row>
    <row r="5700" spans="6:9" x14ac:dyDescent="0.3">
      <c r="F5700"/>
      <c r="G5700"/>
      <c r="H5700"/>
      <c r="I5700"/>
    </row>
    <row r="5701" spans="6:9" x14ac:dyDescent="0.3">
      <c r="F5701"/>
      <c r="G5701"/>
      <c r="H5701"/>
      <c r="I5701"/>
    </row>
    <row r="5702" spans="6:9" x14ac:dyDescent="0.3">
      <c r="F5702"/>
      <c r="G5702"/>
      <c r="H5702"/>
      <c r="I5702"/>
    </row>
    <row r="5703" spans="6:9" x14ac:dyDescent="0.3">
      <c r="F5703"/>
      <c r="G5703"/>
      <c r="H5703"/>
      <c r="I5703"/>
    </row>
    <row r="5704" spans="6:9" x14ac:dyDescent="0.3">
      <c r="F5704"/>
      <c r="G5704"/>
      <c r="H5704"/>
      <c r="I5704"/>
    </row>
    <row r="5705" spans="6:9" x14ac:dyDescent="0.3">
      <c r="F5705"/>
      <c r="G5705"/>
      <c r="H5705"/>
      <c r="I5705"/>
    </row>
    <row r="5706" spans="6:9" x14ac:dyDescent="0.3">
      <c r="F5706"/>
      <c r="G5706"/>
      <c r="H5706"/>
      <c r="I5706"/>
    </row>
    <row r="5707" spans="6:9" x14ac:dyDescent="0.3">
      <c r="F5707"/>
      <c r="G5707"/>
      <c r="H5707"/>
      <c r="I5707"/>
    </row>
    <row r="5708" spans="6:9" x14ac:dyDescent="0.3">
      <c r="F5708"/>
      <c r="G5708"/>
      <c r="H5708"/>
      <c r="I5708"/>
    </row>
    <row r="5709" spans="6:9" x14ac:dyDescent="0.3">
      <c r="F5709"/>
      <c r="G5709"/>
      <c r="H5709"/>
      <c r="I5709"/>
    </row>
    <row r="5710" spans="6:9" x14ac:dyDescent="0.3">
      <c r="F5710"/>
      <c r="G5710"/>
      <c r="H5710"/>
      <c r="I5710"/>
    </row>
    <row r="5711" spans="6:9" x14ac:dyDescent="0.3">
      <c r="F5711"/>
      <c r="G5711"/>
      <c r="H5711"/>
      <c r="I5711"/>
    </row>
    <row r="5712" spans="6:9" x14ac:dyDescent="0.3">
      <c r="F5712"/>
      <c r="G5712"/>
      <c r="H5712"/>
      <c r="I5712"/>
    </row>
    <row r="5713" spans="6:9" x14ac:dyDescent="0.3">
      <c r="F5713"/>
      <c r="G5713"/>
      <c r="H5713"/>
      <c r="I5713"/>
    </row>
    <row r="5714" spans="6:9" x14ac:dyDescent="0.3">
      <c r="F5714"/>
      <c r="G5714"/>
      <c r="H5714"/>
      <c r="I5714"/>
    </row>
    <row r="5715" spans="6:9" x14ac:dyDescent="0.3">
      <c r="F5715"/>
      <c r="G5715"/>
      <c r="H5715"/>
      <c r="I5715"/>
    </row>
    <row r="5716" spans="6:9" x14ac:dyDescent="0.3">
      <c r="F5716"/>
      <c r="G5716"/>
      <c r="H5716"/>
      <c r="I5716"/>
    </row>
    <row r="5717" spans="6:9" x14ac:dyDescent="0.3">
      <c r="F5717"/>
      <c r="G5717"/>
      <c r="H5717"/>
      <c r="I5717"/>
    </row>
    <row r="5718" spans="6:9" x14ac:dyDescent="0.3">
      <c r="F5718"/>
      <c r="G5718"/>
      <c r="H5718"/>
      <c r="I5718"/>
    </row>
    <row r="5719" spans="6:9" x14ac:dyDescent="0.3">
      <c r="F5719"/>
      <c r="G5719"/>
      <c r="H5719"/>
      <c r="I5719"/>
    </row>
    <row r="5720" spans="6:9" x14ac:dyDescent="0.3">
      <c r="F5720"/>
      <c r="G5720"/>
      <c r="H5720"/>
      <c r="I5720"/>
    </row>
    <row r="5721" spans="6:9" x14ac:dyDescent="0.3">
      <c r="F5721"/>
      <c r="G5721"/>
      <c r="H5721"/>
      <c r="I5721"/>
    </row>
    <row r="5722" spans="6:9" x14ac:dyDescent="0.3">
      <c r="F5722"/>
      <c r="G5722"/>
      <c r="H5722"/>
      <c r="I5722"/>
    </row>
    <row r="5723" spans="6:9" x14ac:dyDescent="0.3">
      <c r="F5723"/>
      <c r="G5723"/>
      <c r="H5723"/>
      <c r="I5723"/>
    </row>
    <row r="5724" spans="6:9" x14ac:dyDescent="0.3">
      <c r="F5724"/>
      <c r="G5724"/>
      <c r="H5724"/>
      <c r="I5724"/>
    </row>
    <row r="5725" spans="6:9" x14ac:dyDescent="0.3">
      <c r="F5725"/>
      <c r="G5725"/>
      <c r="H5725"/>
      <c r="I5725"/>
    </row>
    <row r="5726" spans="6:9" x14ac:dyDescent="0.3">
      <c r="F5726"/>
      <c r="G5726"/>
      <c r="H5726"/>
      <c r="I5726"/>
    </row>
    <row r="5727" spans="6:9" x14ac:dyDescent="0.3">
      <c r="F5727"/>
      <c r="G5727"/>
      <c r="H5727"/>
      <c r="I5727"/>
    </row>
    <row r="5728" spans="6:9" x14ac:dyDescent="0.3">
      <c r="F5728"/>
      <c r="G5728"/>
      <c r="H5728"/>
      <c r="I5728"/>
    </row>
    <row r="5729" spans="6:9" x14ac:dyDescent="0.3">
      <c r="F5729"/>
      <c r="G5729"/>
      <c r="H5729"/>
      <c r="I5729"/>
    </row>
    <row r="5730" spans="6:9" x14ac:dyDescent="0.3">
      <c r="F5730"/>
      <c r="G5730"/>
      <c r="H5730"/>
      <c r="I5730"/>
    </row>
    <row r="5731" spans="6:9" x14ac:dyDescent="0.3">
      <c r="F5731"/>
      <c r="G5731"/>
      <c r="H5731"/>
      <c r="I5731"/>
    </row>
    <row r="5732" spans="6:9" x14ac:dyDescent="0.3">
      <c r="F5732"/>
      <c r="G5732"/>
      <c r="H5732"/>
      <c r="I5732"/>
    </row>
    <row r="5733" spans="6:9" x14ac:dyDescent="0.3">
      <c r="F5733"/>
      <c r="G5733"/>
      <c r="H5733"/>
      <c r="I5733"/>
    </row>
    <row r="5734" spans="6:9" x14ac:dyDescent="0.3">
      <c r="F5734"/>
      <c r="G5734"/>
      <c r="H5734"/>
      <c r="I5734"/>
    </row>
    <row r="5735" spans="6:9" x14ac:dyDescent="0.3">
      <c r="F5735"/>
      <c r="G5735"/>
      <c r="H5735"/>
      <c r="I5735"/>
    </row>
    <row r="5736" spans="6:9" x14ac:dyDescent="0.3">
      <c r="F5736"/>
      <c r="G5736"/>
      <c r="H5736"/>
      <c r="I5736"/>
    </row>
    <row r="5737" spans="6:9" x14ac:dyDescent="0.3">
      <c r="F5737"/>
      <c r="G5737"/>
      <c r="H5737"/>
      <c r="I5737"/>
    </row>
    <row r="5738" spans="6:9" x14ac:dyDescent="0.3">
      <c r="F5738"/>
      <c r="G5738"/>
      <c r="H5738"/>
      <c r="I5738"/>
    </row>
    <row r="5739" spans="6:9" x14ac:dyDescent="0.3">
      <c r="F5739"/>
      <c r="G5739"/>
      <c r="H5739"/>
      <c r="I5739"/>
    </row>
    <row r="5740" spans="6:9" x14ac:dyDescent="0.3">
      <c r="F5740"/>
      <c r="G5740"/>
      <c r="H5740"/>
      <c r="I5740"/>
    </row>
    <row r="5741" spans="6:9" x14ac:dyDescent="0.3">
      <c r="F5741"/>
      <c r="G5741"/>
      <c r="H5741"/>
      <c r="I5741"/>
    </row>
    <row r="5742" spans="6:9" x14ac:dyDescent="0.3">
      <c r="F5742"/>
      <c r="G5742"/>
      <c r="H5742"/>
      <c r="I5742"/>
    </row>
    <row r="5743" spans="6:9" x14ac:dyDescent="0.3">
      <c r="F5743"/>
      <c r="G5743"/>
      <c r="H5743"/>
      <c r="I5743"/>
    </row>
    <row r="5744" spans="6:9" x14ac:dyDescent="0.3">
      <c r="F5744"/>
      <c r="G5744"/>
      <c r="H5744"/>
      <c r="I5744"/>
    </row>
    <row r="5745" spans="6:9" x14ac:dyDescent="0.3">
      <c r="F5745"/>
      <c r="G5745"/>
      <c r="H5745"/>
      <c r="I5745"/>
    </row>
    <row r="5746" spans="6:9" x14ac:dyDescent="0.3">
      <c r="F5746"/>
      <c r="G5746"/>
      <c r="H5746"/>
      <c r="I5746"/>
    </row>
    <row r="5747" spans="6:9" x14ac:dyDescent="0.3">
      <c r="F5747"/>
      <c r="G5747"/>
      <c r="H5747"/>
      <c r="I5747"/>
    </row>
    <row r="5748" spans="6:9" x14ac:dyDescent="0.3">
      <c r="F5748"/>
      <c r="G5748"/>
      <c r="H5748"/>
      <c r="I5748"/>
    </row>
    <row r="5749" spans="6:9" x14ac:dyDescent="0.3">
      <c r="F5749"/>
      <c r="G5749"/>
      <c r="H5749"/>
      <c r="I5749"/>
    </row>
    <row r="5750" spans="6:9" x14ac:dyDescent="0.3">
      <c r="F5750"/>
      <c r="G5750"/>
      <c r="H5750"/>
      <c r="I5750"/>
    </row>
    <row r="5751" spans="6:9" x14ac:dyDescent="0.3">
      <c r="F5751"/>
      <c r="G5751"/>
      <c r="H5751"/>
      <c r="I5751"/>
    </row>
    <row r="5752" spans="6:9" x14ac:dyDescent="0.3">
      <c r="F5752"/>
      <c r="G5752"/>
      <c r="H5752"/>
      <c r="I5752"/>
    </row>
    <row r="5753" spans="6:9" x14ac:dyDescent="0.3">
      <c r="F5753"/>
      <c r="G5753"/>
      <c r="H5753"/>
      <c r="I5753"/>
    </row>
    <row r="5754" spans="6:9" x14ac:dyDescent="0.3">
      <c r="F5754"/>
      <c r="G5754"/>
      <c r="H5754"/>
      <c r="I5754"/>
    </row>
    <row r="5755" spans="6:9" x14ac:dyDescent="0.3">
      <c r="F5755"/>
      <c r="G5755"/>
      <c r="H5755"/>
      <c r="I5755"/>
    </row>
    <row r="5756" spans="6:9" x14ac:dyDescent="0.3">
      <c r="F5756"/>
      <c r="G5756"/>
      <c r="H5756"/>
      <c r="I5756"/>
    </row>
    <row r="5757" spans="6:9" x14ac:dyDescent="0.3">
      <c r="F5757"/>
      <c r="G5757"/>
      <c r="H5757"/>
      <c r="I5757"/>
    </row>
    <row r="5758" spans="6:9" x14ac:dyDescent="0.3">
      <c r="F5758"/>
      <c r="G5758"/>
      <c r="H5758"/>
      <c r="I5758"/>
    </row>
    <row r="5759" spans="6:9" x14ac:dyDescent="0.3">
      <c r="F5759"/>
      <c r="G5759"/>
      <c r="H5759"/>
      <c r="I5759"/>
    </row>
    <row r="5760" spans="6:9" x14ac:dyDescent="0.3">
      <c r="F5760"/>
      <c r="G5760"/>
      <c r="H5760"/>
      <c r="I5760"/>
    </row>
    <row r="5761" spans="6:9" x14ac:dyDescent="0.3">
      <c r="F5761"/>
      <c r="G5761"/>
      <c r="H5761"/>
      <c r="I5761"/>
    </row>
    <row r="5762" spans="6:9" x14ac:dyDescent="0.3">
      <c r="F5762"/>
      <c r="G5762"/>
      <c r="H5762"/>
      <c r="I5762"/>
    </row>
    <row r="5763" spans="6:9" x14ac:dyDescent="0.3">
      <c r="F5763"/>
      <c r="G5763"/>
      <c r="H5763"/>
      <c r="I5763"/>
    </row>
    <row r="5764" spans="6:9" x14ac:dyDescent="0.3">
      <c r="F5764"/>
      <c r="G5764"/>
      <c r="H5764"/>
      <c r="I5764"/>
    </row>
    <row r="5765" spans="6:9" x14ac:dyDescent="0.3">
      <c r="F5765"/>
      <c r="G5765"/>
      <c r="H5765"/>
      <c r="I5765"/>
    </row>
    <row r="5766" spans="6:9" x14ac:dyDescent="0.3">
      <c r="F5766"/>
      <c r="G5766"/>
      <c r="H5766"/>
      <c r="I5766"/>
    </row>
    <row r="5767" spans="6:9" x14ac:dyDescent="0.3">
      <c r="F5767"/>
      <c r="G5767"/>
      <c r="H5767"/>
      <c r="I5767"/>
    </row>
    <row r="5768" spans="6:9" x14ac:dyDescent="0.3">
      <c r="F5768"/>
      <c r="G5768"/>
      <c r="H5768"/>
      <c r="I5768"/>
    </row>
    <row r="5769" spans="6:9" x14ac:dyDescent="0.3">
      <c r="F5769"/>
      <c r="G5769"/>
      <c r="H5769"/>
      <c r="I5769"/>
    </row>
    <row r="5770" spans="6:9" x14ac:dyDescent="0.3">
      <c r="F5770"/>
      <c r="G5770"/>
      <c r="H5770"/>
      <c r="I5770"/>
    </row>
    <row r="5771" spans="6:9" x14ac:dyDescent="0.3">
      <c r="F5771"/>
      <c r="G5771"/>
      <c r="H5771"/>
      <c r="I5771"/>
    </row>
    <row r="5772" spans="6:9" x14ac:dyDescent="0.3">
      <c r="F5772"/>
      <c r="G5772"/>
      <c r="H5772"/>
      <c r="I5772"/>
    </row>
    <row r="5773" spans="6:9" x14ac:dyDescent="0.3">
      <c r="F5773"/>
      <c r="G5773"/>
      <c r="H5773"/>
      <c r="I5773"/>
    </row>
    <row r="5774" spans="6:9" x14ac:dyDescent="0.3">
      <c r="F5774"/>
      <c r="G5774"/>
      <c r="H5774"/>
      <c r="I5774"/>
    </row>
    <row r="5775" spans="6:9" x14ac:dyDescent="0.3">
      <c r="F5775"/>
      <c r="G5775"/>
      <c r="H5775"/>
      <c r="I5775"/>
    </row>
    <row r="5776" spans="6:9" x14ac:dyDescent="0.3">
      <c r="F5776"/>
      <c r="G5776"/>
      <c r="H5776"/>
      <c r="I5776"/>
    </row>
    <row r="5777" spans="6:9" x14ac:dyDescent="0.3">
      <c r="F5777"/>
      <c r="G5777"/>
      <c r="H5777"/>
      <c r="I5777"/>
    </row>
    <row r="5778" spans="6:9" x14ac:dyDescent="0.3">
      <c r="F5778"/>
      <c r="G5778"/>
      <c r="H5778"/>
      <c r="I5778"/>
    </row>
    <row r="5779" spans="6:9" x14ac:dyDescent="0.3">
      <c r="F5779"/>
      <c r="G5779"/>
      <c r="H5779"/>
      <c r="I5779"/>
    </row>
    <row r="5780" spans="6:9" x14ac:dyDescent="0.3">
      <c r="F5780"/>
      <c r="G5780"/>
      <c r="H5780"/>
      <c r="I5780"/>
    </row>
    <row r="5781" spans="6:9" x14ac:dyDescent="0.3">
      <c r="F5781"/>
      <c r="G5781"/>
      <c r="H5781"/>
      <c r="I5781"/>
    </row>
    <row r="5782" spans="6:9" x14ac:dyDescent="0.3">
      <c r="F5782"/>
      <c r="G5782"/>
      <c r="H5782"/>
      <c r="I5782"/>
    </row>
    <row r="5783" spans="6:9" x14ac:dyDescent="0.3">
      <c r="F5783"/>
      <c r="G5783"/>
      <c r="H5783"/>
      <c r="I5783"/>
    </row>
    <row r="5784" spans="6:9" x14ac:dyDescent="0.3">
      <c r="F5784"/>
      <c r="G5784"/>
      <c r="H5784"/>
      <c r="I5784"/>
    </row>
    <row r="5785" spans="6:9" x14ac:dyDescent="0.3">
      <c r="F5785"/>
      <c r="G5785"/>
      <c r="H5785"/>
      <c r="I5785"/>
    </row>
    <row r="5786" spans="6:9" x14ac:dyDescent="0.3">
      <c r="F5786"/>
      <c r="G5786"/>
      <c r="H5786"/>
      <c r="I5786"/>
    </row>
    <row r="5787" spans="6:9" x14ac:dyDescent="0.3">
      <c r="F5787"/>
      <c r="G5787"/>
      <c r="H5787"/>
      <c r="I5787"/>
    </row>
    <row r="5788" spans="6:9" x14ac:dyDescent="0.3">
      <c r="F5788"/>
      <c r="G5788"/>
      <c r="H5788"/>
      <c r="I5788"/>
    </row>
    <row r="5789" spans="6:9" x14ac:dyDescent="0.3">
      <c r="F5789"/>
      <c r="G5789"/>
      <c r="H5789"/>
      <c r="I5789"/>
    </row>
    <row r="5790" spans="6:9" x14ac:dyDescent="0.3">
      <c r="F5790"/>
      <c r="G5790"/>
      <c r="H5790"/>
      <c r="I5790"/>
    </row>
    <row r="5791" spans="6:9" x14ac:dyDescent="0.3">
      <c r="F5791"/>
      <c r="G5791"/>
      <c r="H5791"/>
      <c r="I5791"/>
    </row>
    <row r="5792" spans="6:9" x14ac:dyDescent="0.3">
      <c r="F5792"/>
      <c r="G5792"/>
      <c r="H5792"/>
      <c r="I5792"/>
    </row>
    <row r="5793" spans="6:9" x14ac:dyDescent="0.3">
      <c r="F5793"/>
      <c r="G5793"/>
      <c r="H5793"/>
      <c r="I5793"/>
    </row>
    <row r="5794" spans="6:9" x14ac:dyDescent="0.3">
      <c r="F5794"/>
      <c r="G5794"/>
      <c r="H5794"/>
      <c r="I5794"/>
    </row>
    <row r="5795" spans="6:9" x14ac:dyDescent="0.3">
      <c r="F5795"/>
      <c r="G5795"/>
      <c r="H5795"/>
      <c r="I5795"/>
    </row>
    <row r="5796" spans="6:9" x14ac:dyDescent="0.3">
      <c r="F5796"/>
      <c r="G5796"/>
      <c r="H5796"/>
      <c r="I5796"/>
    </row>
    <row r="5797" spans="6:9" x14ac:dyDescent="0.3">
      <c r="F5797"/>
      <c r="G5797"/>
      <c r="H5797"/>
      <c r="I5797"/>
    </row>
    <row r="5798" spans="6:9" x14ac:dyDescent="0.3">
      <c r="F5798"/>
      <c r="G5798"/>
      <c r="H5798"/>
      <c r="I5798"/>
    </row>
    <row r="5799" spans="6:9" x14ac:dyDescent="0.3">
      <c r="F5799"/>
      <c r="G5799"/>
      <c r="H5799"/>
      <c r="I5799"/>
    </row>
    <row r="5800" spans="6:9" x14ac:dyDescent="0.3">
      <c r="F5800"/>
      <c r="G5800"/>
      <c r="H5800"/>
      <c r="I5800"/>
    </row>
    <row r="5801" spans="6:9" x14ac:dyDescent="0.3">
      <c r="F5801"/>
      <c r="G5801"/>
      <c r="H5801"/>
      <c r="I5801"/>
    </row>
    <row r="5802" spans="6:9" x14ac:dyDescent="0.3">
      <c r="F5802"/>
      <c r="G5802"/>
      <c r="H5802"/>
      <c r="I5802"/>
    </row>
    <row r="5803" spans="6:9" x14ac:dyDescent="0.3">
      <c r="F5803"/>
      <c r="G5803"/>
      <c r="H5803"/>
      <c r="I5803"/>
    </row>
    <row r="5804" spans="6:9" x14ac:dyDescent="0.3">
      <c r="F5804"/>
      <c r="G5804"/>
      <c r="H5804"/>
      <c r="I5804"/>
    </row>
    <row r="5805" spans="6:9" x14ac:dyDescent="0.3">
      <c r="F5805"/>
      <c r="G5805"/>
      <c r="H5805"/>
      <c r="I5805"/>
    </row>
    <row r="5806" spans="6:9" x14ac:dyDescent="0.3">
      <c r="F5806"/>
      <c r="G5806"/>
      <c r="H5806"/>
      <c r="I5806"/>
    </row>
    <row r="5807" spans="6:9" x14ac:dyDescent="0.3">
      <c r="F5807"/>
      <c r="G5807"/>
      <c r="H5807"/>
      <c r="I5807"/>
    </row>
    <row r="5808" spans="6:9" x14ac:dyDescent="0.3">
      <c r="F5808"/>
      <c r="G5808"/>
      <c r="H5808"/>
      <c r="I5808"/>
    </row>
    <row r="5809" spans="6:9" x14ac:dyDescent="0.3">
      <c r="F5809"/>
      <c r="G5809"/>
      <c r="H5809"/>
      <c r="I5809"/>
    </row>
    <row r="5810" spans="6:9" x14ac:dyDescent="0.3">
      <c r="F5810"/>
      <c r="G5810"/>
      <c r="H5810"/>
      <c r="I5810"/>
    </row>
    <row r="5811" spans="6:9" x14ac:dyDescent="0.3">
      <c r="F5811"/>
      <c r="G5811"/>
      <c r="H5811"/>
      <c r="I5811"/>
    </row>
    <row r="5812" spans="6:9" x14ac:dyDescent="0.3">
      <c r="F5812"/>
      <c r="G5812"/>
      <c r="H5812"/>
      <c r="I5812"/>
    </row>
    <row r="5813" spans="6:9" x14ac:dyDescent="0.3">
      <c r="F5813"/>
      <c r="G5813"/>
      <c r="H5813"/>
      <c r="I5813"/>
    </row>
    <row r="5814" spans="6:9" x14ac:dyDescent="0.3">
      <c r="F5814"/>
      <c r="G5814"/>
      <c r="H5814"/>
      <c r="I5814"/>
    </row>
    <row r="5815" spans="6:9" x14ac:dyDescent="0.3">
      <c r="F5815"/>
      <c r="G5815"/>
      <c r="H5815"/>
      <c r="I5815"/>
    </row>
    <row r="5816" spans="6:9" x14ac:dyDescent="0.3">
      <c r="F5816"/>
      <c r="G5816"/>
      <c r="H5816"/>
      <c r="I5816"/>
    </row>
    <row r="5817" spans="6:9" x14ac:dyDescent="0.3">
      <c r="F5817"/>
      <c r="G5817"/>
      <c r="H5817"/>
      <c r="I5817"/>
    </row>
    <row r="5818" spans="6:9" x14ac:dyDescent="0.3">
      <c r="F5818"/>
      <c r="G5818"/>
      <c r="H5818"/>
      <c r="I5818"/>
    </row>
    <row r="5819" spans="6:9" x14ac:dyDescent="0.3">
      <c r="F5819"/>
      <c r="G5819"/>
      <c r="H5819"/>
      <c r="I5819"/>
    </row>
    <row r="5820" spans="6:9" x14ac:dyDescent="0.3">
      <c r="F5820"/>
      <c r="G5820"/>
      <c r="H5820"/>
      <c r="I5820"/>
    </row>
    <row r="5821" spans="6:9" x14ac:dyDescent="0.3">
      <c r="F5821"/>
      <c r="G5821"/>
      <c r="H5821"/>
      <c r="I5821"/>
    </row>
    <row r="5822" spans="6:9" x14ac:dyDescent="0.3">
      <c r="F5822"/>
      <c r="G5822"/>
      <c r="H5822"/>
      <c r="I5822"/>
    </row>
    <row r="5823" spans="6:9" x14ac:dyDescent="0.3">
      <c r="F5823"/>
      <c r="G5823"/>
      <c r="H5823"/>
      <c r="I5823"/>
    </row>
    <row r="5824" spans="6:9" x14ac:dyDescent="0.3">
      <c r="F5824"/>
      <c r="G5824"/>
      <c r="H5824"/>
      <c r="I5824"/>
    </row>
    <row r="5825" spans="6:9" x14ac:dyDescent="0.3">
      <c r="F5825"/>
      <c r="G5825"/>
      <c r="H5825"/>
      <c r="I5825"/>
    </row>
    <row r="5826" spans="6:9" x14ac:dyDescent="0.3">
      <c r="F5826"/>
      <c r="G5826"/>
      <c r="H5826"/>
      <c r="I5826"/>
    </row>
    <row r="5827" spans="6:9" x14ac:dyDescent="0.3">
      <c r="F5827"/>
      <c r="G5827"/>
      <c r="H5827"/>
      <c r="I5827"/>
    </row>
    <row r="5828" spans="6:9" x14ac:dyDescent="0.3">
      <c r="F5828"/>
      <c r="G5828"/>
      <c r="H5828"/>
      <c r="I5828"/>
    </row>
    <row r="5829" spans="6:9" x14ac:dyDescent="0.3">
      <c r="F5829"/>
      <c r="G5829"/>
      <c r="H5829"/>
      <c r="I5829"/>
    </row>
    <row r="5830" spans="6:9" x14ac:dyDescent="0.3">
      <c r="F5830"/>
      <c r="G5830"/>
      <c r="H5830"/>
      <c r="I5830"/>
    </row>
    <row r="5831" spans="6:9" x14ac:dyDescent="0.3">
      <c r="F5831"/>
      <c r="G5831"/>
      <c r="H5831"/>
      <c r="I5831"/>
    </row>
    <row r="5832" spans="6:9" x14ac:dyDescent="0.3">
      <c r="F5832"/>
      <c r="G5832"/>
      <c r="H5832"/>
      <c r="I5832"/>
    </row>
    <row r="5833" spans="6:9" x14ac:dyDescent="0.3">
      <c r="F5833"/>
      <c r="G5833"/>
      <c r="H5833"/>
      <c r="I5833"/>
    </row>
    <row r="5834" spans="6:9" x14ac:dyDescent="0.3">
      <c r="F5834"/>
      <c r="G5834"/>
      <c r="H5834"/>
      <c r="I5834"/>
    </row>
    <row r="5835" spans="6:9" x14ac:dyDescent="0.3">
      <c r="F5835"/>
      <c r="G5835"/>
      <c r="H5835"/>
      <c r="I5835"/>
    </row>
    <row r="5836" spans="6:9" x14ac:dyDescent="0.3">
      <c r="F5836"/>
      <c r="G5836"/>
      <c r="H5836"/>
      <c r="I5836"/>
    </row>
    <row r="5837" spans="6:9" x14ac:dyDescent="0.3">
      <c r="F5837"/>
      <c r="G5837"/>
      <c r="H5837"/>
      <c r="I5837"/>
    </row>
    <row r="5838" spans="6:9" x14ac:dyDescent="0.3">
      <c r="F5838"/>
      <c r="G5838"/>
      <c r="H5838"/>
      <c r="I5838"/>
    </row>
    <row r="5839" spans="6:9" x14ac:dyDescent="0.3">
      <c r="F5839"/>
      <c r="G5839"/>
      <c r="H5839"/>
      <c r="I5839"/>
    </row>
    <row r="5840" spans="6:9" x14ac:dyDescent="0.3">
      <c r="F5840"/>
      <c r="G5840"/>
      <c r="H5840"/>
      <c r="I5840"/>
    </row>
    <row r="5841" spans="6:9" x14ac:dyDescent="0.3">
      <c r="F5841"/>
      <c r="G5841"/>
      <c r="H5841"/>
      <c r="I5841"/>
    </row>
    <row r="5842" spans="6:9" x14ac:dyDescent="0.3">
      <c r="F5842"/>
      <c r="G5842"/>
      <c r="H5842"/>
      <c r="I5842"/>
    </row>
    <row r="5843" spans="6:9" x14ac:dyDescent="0.3">
      <c r="F5843"/>
      <c r="G5843"/>
      <c r="H5843"/>
      <c r="I5843"/>
    </row>
    <row r="5844" spans="6:9" x14ac:dyDescent="0.3">
      <c r="F5844"/>
      <c r="G5844"/>
      <c r="H5844"/>
      <c r="I5844"/>
    </row>
    <row r="5845" spans="6:9" x14ac:dyDescent="0.3">
      <c r="F5845"/>
      <c r="G5845"/>
      <c r="H5845"/>
      <c r="I5845"/>
    </row>
    <row r="5846" spans="6:9" x14ac:dyDescent="0.3">
      <c r="F5846"/>
      <c r="G5846"/>
      <c r="H5846"/>
      <c r="I5846"/>
    </row>
    <row r="5847" spans="6:9" x14ac:dyDescent="0.3">
      <c r="F5847"/>
      <c r="G5847"/>
      <c r="H5847"/>
      <c r="I5847"/>
    </row>
    <row r="5848" spans="6:9" x14ac:dyDescent="0.3">
      <c r="F5848"/>
      <c r="G5848"/>
      <c r="H5848"/>
      <c r="I5848"/>
    </row>
    <row r="5849" spans="6:9" x14ac:dyDescent="0.3">
      <c r="F5849"/>
      <c r="G5849"/>
      <c r="H5849"/>
      <c r="I5849"/>
    </row>
    <row r="5850" spans="6:9" x14ac:dyDescent="0.3">
      <c r="F5850"/>
      <c r="G5850"/>
      <c r="H5850"/>
      <c r="I5850"/>
    </row>
    <row r="5851" spans="6:9" x14ac:dyDescent="0.3">
      <c r="F5851"/>
      <c r="G5851"/>
      <c r="H5851"/>
      <c r="I5851"/>
    </row>
    <row r="5852" spans="6:9" x14ac:dyDescent="0.3">
      <c r="F5852"/>
      <c r="G5852"/>
      <c r="H5852"/>
      <c r="I5852"/>
    </row>
    <row r="5853" spans="6:9" x14ac:dyDescent="0.3">
      <c r="F5853"/>
      <c r="G5853"/>
      <c r="H5853"/>
      <c r="I5853"/>
    </row>
    <row r="5854" spans="6:9" x14ac:dyDescent="0.3">
      <c r="F5854"/>
      <c r="G5854"/>
      <c r="H5854"/>
      <c r="I5854"/>
    </row>
    <row r="5855" spans="6:9" x14ac:dyDescent="0.3">
      <c r="F5855"/>
      <c r="G5855"/>
      <c r="H5855"/>
      <c r="I5855"/>
    </row>
    <row r="5856" spans="6:9" x14ac:dyDescent="0.3">
      <c r="F5856"/>
      <c r="G5856"/>
      <c r="H5856"/>
      <c r="I5856"/>
    </row>
    <row r="5857" spans="6:9" x14ac:dyDescent="0.3">
      <c r="F5857"/>
      <c r="G5857"/>
      <c r="H5857"/>
      <c r="I5857"/>
    </row>
    <row r="5858" spans="6:9" x14ac:dyDescent="0.3">
      <c r="F5858"/>
      <c r="G5858"/>
      <c r="H5858"/>
      <c r="I5858"/>
    </row>
    <row r="5859" spans="6:9" x14ac:dyDescent="0.3">
      <c r="F5859"/>
      <c r="G5859"/>
      <c r="H5859"/>
      <c r="I5859"/>
    </row>
    <row r="5860" spans="6:9" x14ac:dyDescent="0.3">
      <c r="F5860"/>
      <c r="G5860"/>
      <c r="H5860"/>
      <c r="I5860"/>
    </row>
    <row r="5861" spans="6:9" x14ac:dyDescent="0.3">
      <c r="F5861"/>
      <c r="G5861"/>
      <c r="H5861"/>
      <c r="I5861"/>
    </row>
    <row r="5862" spans="6:9" x14ac:dyDescent="0.3">
      <c r="F5862"/>
      <c r="G5862"/>
      <c r="H5862"/>
      <c r="I5862"/>
    </row>
    <row r="5863" spans="6:9" x14ac:dyDescent="0.3">
      <c r="F5863"/>
      <c r="G5863"/>
      <c r="H5863"/>
      <c r="I5863"/>
    </row>
    <row r="5864" spans="6:9" x14ac:dyDescent="0.3">
      <c r="F5864"/>
      <c r="G5864"/>
      <c r="H5864"/>
      <c r="I5864"/>
    </row>
    <row r="5865" spans="6:9" x14ac:dyDescent="0.3">
      <c r="F5865"/>
      <c r="G5865"/>
      <c r="H5865"/>
      <c r="I5865"/>
    </row>
    <row r="5866" spans="6:9" x14ac:dyDescent="0.3">
      <c r="F5866"/>
      <c r="G5866"/>
      <c r="H5866"/>
      <c r="I5866"/>
    </row>
    <row r="5867" spans="6:9" x14ac:dyDescent="0.3">
      <c r="F5867"/>
      <c r="G5867"/>
      <c r="H5867"/>
      <c r="I5867"/>
    </row>
    <row r="5868" spans="6:9" x14ac:dyDescent="0.3">
      <c r="F5868"/>
      <c r="G5868"/>
      <c r="H5868"/>
      <c r="I5868"/>
    </row>
    <row r="5869" spans="6:9" x14ac:dyDescent="0.3">
      <c r="F5869"/>
      <c r="G5869"/>
      <c r="H5869"/>
      <c r="I5869"/>
    </row>
    <row r="5870" spans="6:9" x14ac:dyDescent="0.3">
      <c r="F5870"/>
      <c r="G5870"/>
      <c r="H5870"/>
      <c r="I5870"/>
    </row>
    <row r="5871" spans="6:9" x14ac:dyDescent="0.3">
      <c r="F5871"/>
      <c r="G5871"/>
      <c r="H5871"/>
      <c r="I5871"/>
    </row>
    <row r="5872" spans="6:9" x14ac:dyDescent="0.3">
      <c r="F5872"/>
      <c r="G5872"/>
      <c r="H5872"/>
      <c r="I5872"/>
    </row>
    <row r="5873" spans="6:9" x14ac:dyDescent="0.3">
      <c r="F5873"/>
      <c r="G5873"/>
      <c r="H5873"/>
      <c r="I5873"/>
    </row>
    <row r="5874" spans="6:9" x14ac:dyDescent="0.3">
      <c r="F5874"/>
      <c r="G5874"/>
      <c r="H5874"/>
      <c r="I5874"/>
    </row>
    <row r="5875" spans="6:9" x14ac:dyDescent="0.3">
      <c r="F5875"/>
      <c r="G5875"/>
      <c r="H5875"/>
      <c r="I5875"/>
    </row>
    <row r="5876" spans="6:9" x14ac:dyDescent="0.3">
      <c r="F5876"/>
      <c r="G5876"/>
      <c r="H5876"/>
      <c r="I5876"/>
    </row>
    <row r="5877" spans="6:9" x14ac:dyDescent="0.3">
      <c r="F5877"/>
      <c r="G5877"/>
      <c r="H5877"/>
      <c r="I5877"/>
    </row>
    <row r="5878" spans="6:9" x14ac:dyDescent="0.3">
      <c r="F5878"/>
      <c r="G5878"/>
      <c r="H5878"/>
      <c r="I5878"/>
    </row>
    <row r="5879" spans="6:9" x14ac:dyDescent="0.3">
      <c r="F5879"/>
      <c r="G5879"/>
      <c r="H5879"/>
      <c r="I5879"/>
    </row>
    <row r="5880" spans="6:9" x14ac:dyDescent="0.3">
      <c r="F5880"/>
      <c r="G5880"/>
      <c r="H5880"/>
      <c r="I5880"/>
    </row>
    <row r="5881" spans="6:9" x14ac:dyDescent="0.3">
      <c r="F5881"/>
      <c r="G5881"/>
      <c r="H5881"/>
      <c r="I5881"/>
    </row>
    <row r="5882" spans="6:9" x14ac:dyDescent="0.3">
      <c r="F5882"/>
      <c r="G5882"/>
      <c r="H5882"/>
      <c r="I5882"/>
    </row>
    <row r="5883" spans="6:9" x14ac:dyDescent="0.3">
      <c r="F5883"/>
      <c r="G5883"/>
      <c r="H5883"/>
      <c r="I5883"/>
    </row>
    <row r="5884" spans="6:9" x14ac:dyDescent="0.3">
      <c r="F5884"/>
      <c r="G5884"/>
      <c r="H5884"/>
      <c r="I5884"/>
    </row>
    <row r="5885" spans="6:9" x14ac:dyDescent="0.3">
      <c r="F5885"/>
      <c r="G5885"/>
      <c r="H5885"/>
      <c r="I5885"/>
    </row>
    <row r="5886" spans="6:9" x14ac:dyDescent="0.3">
      <c r="F5886"/>
      <c r="G5886"/>
      <c r="H5886"/>
      <c r="I5886"/>
    </row>
    <row r="5887" spans="6:9" x14ac:dyDescent="0.3">
      <c r="F5887"/>
      <c r="G5887"/>
      <c r="H5887"/>
      <c r="I5887"/>
    </row>
    <row r="5888" spans="6:9" x14ac:dyDescent="0.3">
      <c r="F5888"/>
      <c r="G5888"/>
      <c r="H5888"/>
      <c r="I5888"/>
    </row>
    <row r="5889" spans="6:9" x14ac:dyDescent="0.3">
      <c r="F5889"/>
      <c r="G5889"/>
      <c r="H5889"/>
      <c r="I5889"/>
    </row>
    <row r="5890" spans="6:9" x14ac:dyDescent="0.3">
      <c r="F5890"/>
      <c r="G5890"/>
      <c r="H5890"/>
      <c r="I5890"/>
    </row>
    <row r="5891" spans="6:9" x14ac:dyDescent="0.3">
      <c r="F5891"/>
      <c r="G5891"/>
      <c r="H5891"/>
      <c r="I5891"/>
    </row>
    <row r="5892" spans="6:9" x14ac:dyDescent="0.3">
      <c r="F5892"/>
      <c r="G5892"/>
      <c r="H5892"/>
      <c r="I5892"/>
    </row>
    <row r="5893" spans="6:9" x14ac:dyDescent="0.3">
      <c r="F5893"/>
      <c r="G5893"/>
      <c r="H5893"/>
      <c r="I5893"/>
    </row>
    <row r="5894" spans="6:9" x14ac:dyDescent="0.3">
      <c r="F5894"/>
      <c r="G5894"/>
      <c r="H5894"/>
      <c r="I5894"/>
    </row>
    <row r="5895" spans="6:9" x14ac:dyDescent="0.3">
      <c r="F5895"/>
      <c r="G5895"/>
      <c r="H5895"/>
      <c r="I5895"/>
    </row>
    <row r="5896" spans="6:9" x14ac:dyDescent="0.3">
      <c r="F5896"/>
      <c r="G5896"/>
      <c r="H5896"/>
      <c r="I5896"/>
    </row>
    <row r="5897" spans="6:9" x14ac:dyDescent="0.3">
      <c r="F5897"/>
      <c r="G5897"/>
      <c r="H5897"/>
      <c r="I5897"/>
    </row>
    <row r="5898" spans="6:9" x14ac:dyDescent="0.3">
      <c r="F5898"/>
      <c r="G5898"/>
      <c r="H5898"/>
      <c r="I5898"/>
    </row>
    <row r="5899" spans="6:9" x14ac:dyDescent="0.3">
      <c r="F5899"/>
      <c r="G5899"/>
      <c r="H5899"/>
      <c r="I5899"/>
    </row>
    <row r="5900" spans="6:9" x14ac:dyDescent="0.3">
      <c r="F5900"/>
      <c r="G5900"/>
      <c r="H5900"/>
      <c r="I5900"/>
    </row>
    <row r="5901" spans="6:9" x14ac:dyDescent="0.3">
      <c r="F5901"/>
      <c r="G5901"/>
      <c r="H5901"/>
      <c r="I5901"/>
    </row>
    <row r="5902" spans="6:9" x14ac:dyDescent="0.3">
      <c r="F5902"/>
      <c r="G5902"/>
      <c r="H5902"/>
      <c r="I5902"/>
    </row>
    <row r="5903" spans="6:9" x14ac:dyDescent="0.3">
      <c r="F5903"/>
      <c r="G5903"/>
      <c r="H5903"/>
      <c r="I5903"/>
    </row>
    <row r="5904" spans="6:9" x14ac:dyDescent="0.3">
      <c r="F5904"/>
      <c r="G5904"/>
      <c r="H5904"/>
      <c r="I5904"/>
    </row>
    <row r="5905" spans="6:9" x14ac:dyDescent="0.3">
      <c r="F5905"/>
      <c r="G5905"/>
      <c r="H5905"/>
      <c r="I5905"/>
    </row>
    <row r="5906" spans="6:9" x14ac:dyDescent="0.3">
      <c r="F5906"/>
      <c r="G5906"/>
      <c r="H5906"/>
      <c r="I5906"/>
    </row>
    <row r="5907" spans="6:9" x14ac:dyDescent="0.3">
      <c r="F5907"/>
      <c r="G5907"/>
      <c r="H5907"/>
      <c r="I5907"/>
    </row>
    <row r="5908" spans="6:9" x14ac:dyDescent="0.3">
      <c r="F5908"/>
      <c r="G5908"/>
      <c r="H5908"/>
      <c r="I5908"/>
    </row>
    <row r="5909" spans="6:9" x14ac:dyDescent="0.3">
      <c r="F5909"/>
      <c r="G5909"/>
      <c r="H5909"/>
      <c r="I5909"/>
    </row>
    <row r="5910" spans="6:9" x14ac:dyDescent="0.3">
      <c r="F5910"/>
      <c r="G5910"/>
      <c r="H5910"/>
      <c r="I5910"/>
    </row>
    <row r="5911" spans="6:9" x14ac:dyDescent="0.3">
      <c r="F5911"/>
      <c r="G5911"/>
      <c r="H5911"/>
      <c r="I5911"/>
    </row>
    <row r="5912" spans="6:9" x14ac:dyDescent="0.3">
      <c r="F5912"/>
      <c r="G5912"/>
      <c r="H5912"/>
      <c r="I5912"/>
    </row>
    <row r="5913" spans="6:9" x14ac:dyDescent="0.3">
      <c r="F5913"/>
      <c r="G5913"/>
      <c r="H5913"/>
      <c r="I5913"/>
    </row>
    <row r="5914" spans="6:9" x14ac:dyDescent="0.3">
      <c r="F5914"/>
      <c r="G5914"/>
      <c r="H5914"/>
      <c r="I5914"/>
    </row>
    <row r="5915" spans="6:9" x14ac:dyDescent="0.3">
      <c r="F5915"/>
      <c r="G5915"/>
      <c r="H5915"/>
      <c r="I5915"/>
    </row>
    <row r="5916" spans="6:9" x14ac:dyDescent="0.3">
      <c r="F5916"/>
      <c r="G5916"/>
      <c r="H5916"/>
      <c r="I5916"/>
    </row>
    <row r="5917" spans="6:9" x14ac:dyDescent="0.3">
      <c r="F5917"/>
      <c r="G5917"/>
      <c r="H5917"/>
      <c r="I5917"/>
    </row>
    <row r="5918" spans="6:9" x14ac:dyDescent="0.3">
      <c r="F5918"/>
      <c r="G5918"/>
      <c r="H5918"/>
      <c r="I5918"/>
    </row>
    <row r="5919" spans="6:9" x14ac:dyDescent="0.3">
      <c r="F5919"/>
      <c r="G5919"/>
      <c r="H5919"/>
      <c r="I5919"/>
    </row>
    <row r="5920" spans="6:9" x14ac:dyDescent="0.3">
      <c r="F5920"/>
      <c r="G5920"/>
      <c r="H5920"/>
      <c r="I5920"/>
    </row>
    <row r="5921" spans="6:9" x14ac:dyDescent="0.3">
      <c r="F5921"/>
      <c r="G5921"/>
      <c r="H5921"/>
      <c r="I5921"/>
    </row>
    <row r="5922" spans="6:9" x14ac:dyDescent="0.3">
      <c r="F5922"/>
      <c r="G5922"/>
      <c r="H5922"/>
      <c r="I5922"/>
    </row>
    <row r="5923" spans="6:9" x14ac:dyDescent="0.3">
      <c r="F5923"/>
      <c r="G5923"/>
      <c r="H5923"/>
      <c r="I5923"/>
    </row>
    <row r="5924" spans="6:9" x14ac:dyDescent="0.3">
      <c r="F5924"/>
      <c r="G5924"/>
      <c r="H5924"/>
      <c r="I5924"/>
    </row>
    <row r="5925" spans="6:9" x14ac:dyDescent="0.3">
      <c r="F5925"/>
      <c r="G5925"/>
      <c r="H5925"/>
      <c r="I5925"/>
    </row>
    <row r="5926" spans="6:9" x14ac:dyDescent="0.3">
      <c r="F5926"/>
      <c r="G5926"/>
      <c r="H5926"/>
      <c r="I5926"/>
    </row>
    <row r="5927" spans="6:9" x14ac:dyDescent="0.3">
      <c r="F5927"/>
      <c r="G5927"/>
      <c r="H5927"/>
      <c r="I5927"/>
    </row>
    <row r="5928" spans="6:9" x14ac:dyDescent="0.3">
      <c r="F5928"/>
      <c r="G5928"/>
      <c r="H5928"/>
      <c r="I5928"/>
    </row>
    <row r="5929" spans="6:9" x14ac:dyDescent="0.3">
      <c r="F5929"/>
      <c r="G5929"/>
      <c r="H5929"/>
      <c r="I5929"/>
    </row>
    <row r="5930" spans="6:9" x14ac:dyDescent="0.3">
      <c r="F5930"/>
      <c r="G5930"/>
      <c r="H5930"/>
      <c r="I5930"/>
    </row>
    <row r="5931" spans="6:9" x14ac:dyDescent="0.3">
      <c r="F5931"/>
      <c r="G5931"/>
      <c r="H5931"/>
      <c r="I5931"/>
    </row>
    <row r="5932" spans="6:9" x14ac:dyDescent="0.3">
      <c r="F5932"/>
      <c r="G5932"/>
      <c r="H5932"/>
      <c r="I5932"/>
    </row>
    <row r="5933" spans="6:9" x14ac:dyDescent="0.3">
      <c r="F5933"/>
      <c r="G5933"/>
      <c r="H5933"/>
      <c r="I5933"/>
    </row>
    <row r="5934" spans="6:9" x14ac:dyDescent="0.3">
      <c r="F5934"/>
      <c r="G5934"/>
      <c r="H5934"/>
      <c r="I5934"/>
    </row>
    <row r="5935" spans="6:9" x14ac:dyDescent="0.3">
      <c r="F5935"/>
      <c r="G5935"/>
      <c r="H5935"/>
      <c r="I5935"/>
    </row>
    <row r="5936" spans="6:9" x14ac:dyDescent="0.3">
      <c r="F5936"/>
      <c r="G5936"/>
      <c r="H5936"/>
      <c r="I5936"/>
    </row>
    <row r="5937" spans="6:9" x14ac:dyDescent="0.3">
      <c r="F5937"/>
      <c r="G5937"/>
      <c r="H5937"/>
      <c r="I5937"/>
    </row>
    <row r="5938" spans="6:9" x14ac:dyDescent="0.3">
      <c r="F5938"/>
      <c r="G5938"/>
      <c r="H5938"/>
      <c r="I5938"/>
    </row>
    <row r="5939" spans="6:9" x14ac:dyDescent="0.3">
      <c r="F5939"/>
      <c r="G5939"/>
      <c r="H5939"/>
      <c r="I5939"/>
    </row>
    <row r="5940" spans="6:9" x14ac:dyDescent="0.3">
      <c r="F5940"/>
      <c r="G5940"/>
      <c r="H5940"/>
      <c r="I5940"/>
    </row>
    <row r="5941" spans="6:9" x14ac:dyDescent="0.3">
      <c r="F5941"/>
      <c r="G5941"/>
      <c r="H5941"/>
      <c r="I5941"/>
    </row>
    <row r="5942" spans="6:9" x14ac:dyDescent="0.3">
      <c r="F5942"/>
      <c r="G5942"/>
      <c r="H5942"/>
      <c r="I5942"/>
    </row>
    <row r="5943" spans="6:9" x14ac:dyDescent="0.3">
      <c r="F5943"/>
      <c r="G5943"/>
      <c r="H5943"/>
      <c r="I5943"/>
    </row>
    <row r="5944" spans="6:9" x14ac:dyDescent="0.3">
      <c r="F5944"/>
      <c r="G5944"/>
      <c r="H5944"/>
      <c r="I5944"/>
    </row>
    <row r="5945" spans="6:9" x14ac:dyDescent="0.3">
      <c r="F5945"/>
      <c r="G5945"/>
      <c r="H5945"/>
      <c r="I5945"/>
    </row>
    <row r="5946" spans="6:9" x14ac:dyDescent="0.3">
      <c r="F5946"/>
      <c r="G5946"/>
      <c r="H5946"/>
      <c r="I5946"/>
    </row>
    <row r="5947" spans="6:9" x14ac:dyDescent="0.3">
      <c r="F5947"/>
      <c r="G5947"/>
      <c r="H5947"/>
      <c r="I5947"/>
    </row>
    <row r="5948" spans="6:9" x14ac:dyDescent="0.3">
      <c r="F5948"/>
      <c r="G5948"/>
      <c r="H5948"/>
      <c r="I5948"/>
    </row>
    <row r="5949" spans="6:9" x14ac:dyDescent="0.3">
      <c r="F5949"/>
      <c r="G5949"/>
      <c r="H5949"/>
      <c r="I5949"/>
    </row>
    <row r="5950" spans="6:9" x14ac:dyDescent="0.3">
      <c r="F5950"/>
      <c r="G5950"/>
      <c r="H5950"/>
      <c r="I5950"/>
    </row>
    <row r="5951" spans="6:9" x14ac:dyDescent="0.3">
      <c r="F5951"/>
      <c r="G5951"/>
      <c r="H5951"/>
      <c r="I5951"/>
    </row>
    <row r="5952" spans="6:9" x14ac:dyDescent="0.3">
      <c r="F5952"/>
      <c r="G5952"/>
      <c r="H5952"/>
      <c r="I5952"/>
    </row>
    <row r="5953" spans="6:9" x14ac:dyDescent="0.3">
      <c r="F5953"/>
      <c r="G5953"/>
      <c r="H5953"/>
      <c r="I5953"/>
    </row>
    <row r="5954" spans="6:9" x14ac:dyDescent="0.3">
      <c r="F5954"/>
      <c r="G5954"/>
      <c r="H5954"/>
      <c r="I5954"/>
    </row>
    <row r="5955" spans="6:9" x14ac:dyDescent="0.3">
      <c r="F5955"/>
      <c r="G5955"/>
      <c r="H5955"/>
      <c r="I5955"/>
    </row>
    <row r="5956" spans="6:9" x14ac:dyDescent="0.3">
      <c r="F5956"/>
      <c r="G5956"/>
      <c r="H5956"/>
      <c r="I5956"/>
    </row>
    <row r="5957" spans="6:9" x14ac:dyDescent="0.3">
      <c r="F5957"/>
      <c r="G5957"/>
      <c r="H5957"/>
      <c r="I5957"/>
    </row>
    <row r="5958" spans="6:9" x14ac:dyDescent="0.3">
      <c r="F5958"/>
      <c r="G5958"/>
      <c r="H5958"/>
      <c r="I5958"/>
    </row>
    <row r="5959" spans="6:9" x14ac:dyDescent="0.3">
      <c r="F5959"/>
      <c r="G5959"/>
      <c r="H5959"/>
      <c r="I5959"/>
    </row>
    <row r="5960" spans="6:9" x14ac:dyDescent="0.3">
      <c r="F5960"/>
      <c r="G5960"/>
      <c r="H5960"/>
      <c r="I5960"/>
    </row>
    <row r="5961" spans="6:9" x14ac:dyDescent="0.3">
      <c r="F5961"/>
      <c r="G5961"/>
      <c r="H5961"/>
      <c r="I5961"/>
    </row>
    <row r="5962" spans="6:9" x14ac:dyDescent="0.3">
      <c r="F5962"/>
      <c r="G5962"/>
      <c r="H5962"/>
      <c r="I5962"/>
    </row>
    <row r="5963" spans="6:9" x14ac:dyDescent="0.3">
      <c r="F5963"/>
      <c r="G5963"/>
      <c r="H5963"/>
      <c r="I5963"/>
    </row>
    <row r="5964" spans="6:9" x14ac:dyDescent="0.3">
      <c r="F5964"/>
      <c r="G5964"/>
      <c r="H5964"/>
      <c r="I5964"/>
    </row>
    <row r="5965" spans="6:9" x14ac:dyDescent="0.3">
      <c r="F5965"/>
      <c r="G5965"/>
      <c r="H5965"/>
      <c r="I5965"/>
    </row>
    <row r="5966" spans="6:9" x14ac:dyDescent="0.3">
      <c r="F5966"/>
      <c r="G5966"/>
      <c r="H5966"/>
      <c r="I5966"/>
    </row>
    <row r="5967" spans="6:9" x14ac:dyDescent="0.3">
      <c r="F5967"/>
      <c r="G5967"/>
      <c r="H5967"/>
      <c r="I5967"/>
    </row>
    <row r="5968" spans="6:9" x14ac:dyDescent="0.3">
      <c r="F5968"/>
      <c r="G5968"/>
      <c r="H5968"/>
      <c r="I5968"/>
    </row>
    <row r="5969" spans="6:9" x14ac:dyDescent="0.3">
      <c r="F5969"/>
      <c r="G5969"/>
      <c r="H5969"/>
      <c r="I5969"/>
    </row>
    <row r="5970" spans="6:9" x14ac:dyDescent="0.3">
      <c r="F5970"/>
      <c r="G5970"/>
      <c r="H5970"/>
      <c r="I5970"/>
    </row>
    <row r="5971" spans="6:9" x14ac:dyDescent="0.3">
      <c r="F5971"/>
      <c r="G5971"/>
      <c r="H5971"/>
      <c r="I5971"/>
    </row>
    <row r="5972" spans="6:9" x14ac:dyDescent="0.3">
      <c r="F5972"/>
      <c r="G5972"/>
      <c r="H5972"/>
      <c r="I5972"/>
    </row>
    <row r="5973" spans="6:9" x14ac:dyDescent="0.3">
      <c r="F5973"/>
      <c r="G5973"/>
      <c r="H5973"/>
      <c r="I5973"/>
    </row>
    <row r="5974" spans="6:9" x14ac:dyDescent="0.3">
      <c r="F5974"/>
      <c r="G5974"/>
      <c r="H5974"/>
      <c r="I5974"/>
    </row>
    <row r="5975" spans="6:9" x14ac:dyDescent="0.3">
      <c r="F5975"/>
      <c r="G5975"/>
      <c r="H5975"/>
      <c r="I5975"/>
    </row>
    <row r="5976" spans="6:9" x14ac:dyDescent="0.3">
      <c r="F5976"/>
      <c r="G5976"/>
      <c r="H5976"/>
      <c r="I5976"/>
    </row>
    <row r="5977" spans="6:9" x14ac:dyDescent="0.3">
      <c r="F5977"/>
      <c r="G5977"/>
      <c r="H5977"/>
      <c r="I5977"/>
    </row>
    <row r="5978" spans="6:9" x14ac:dyDescent="0.3">
      <c r="F5978"/>
      <c r="G5978"/>
      <c r="H5978"/>
      <c r="I5978"/>
    </row>
    <row r="5979" spans="6:9" x14ac:dyDescent="0.3">
      <c r="F5979"/>
      <c r="G5979"/>
      <c r="H5979"/>
      <c r="I5979"/>
    </row>
    <row r="5980" spans="6:9" x14ac:dyDescent="0.3">
      <c r="F5980"/>
      <c r="G5980"/>
      <c r="H5980"/>
      <c r="I5980"/>
    </row>
    <row r="5981" spans="6:9" x14ac:dyDescent="0.3">
      <c r="F5981"/>
      <c r="G5981"/>
      <c r="H5981"/>
      <c r="I5981"/>
    </row>
    <row r="5982" spans="6:9" x14ac:dyDescent="0.3">
      <c r="F5982"/>
      <c r="G5982"/>
      <c r="H5982"/>
      <c r="I5982"/>
    </row>
    <row r="5983" spans="6:9" x14ac:dyDescent="0.3">
      <c r="F5983"/>
      <c r="G5983"/>
      <c r="H5983"/>
      <c r="I5983"/>
    </row>
    <row r="5984" spans="6:9" x14ac:dyDescent="0.3">
      <c r="F5984"/>
      <c r="G5984"/>
      <c r="H5984"/>
      <c r="I5984"/>
    </row>
    <row r="5985" spans="6:9" x14ac:dyDescent="0.3">
      <c r="F5985"/>
      <c r="G5985"/>
      <c r="H5985"/>
      <c r="I5985"/>
    </row>
    <row r="5986" spans="6:9" x14ac:dyDescent="0.3">
      <c r="F5986"/>
      <c r="G5986"/>
      <c r="H5986"/>
      <c r="I5986"/>
    </row>
    <row r="5987" spans="6:9" x14ac:dyDescent="0.3">
      <c r="F5987"/>
      <c r="G5987"/>
      <c r="H5987"/>
      <c r="I5987"/>
    </row>
    <row r="5988" spans="6:9" x14ac:dyDescent="0.3">
      <c r="F5988"/>
      <c r="G5988"/>
      <c r="H5988"/>
      <c r="I5988"/>
    </row>
    <row r="5989" spans="6:9" x14ac:dyDescent="0.3">
      <c r="F5989"/>
      <c r="G5989"/>
      <c r="H5989"/>
      <c r="I5989"/>
    </row>
    <row r="5990" spans="6:9" x14ac:dyDescent="0.3">
      <c r="F5990"/>
      <c r="G5990"/>
      <c r="H5990"/>
      <c r="I5990"/>
    </row>
    <row r="5991" spans="6:9" x14ac:dyDescent="0.3">
      <c r="F5991"/>
      <c r="G5991"/>
      <c r="H5991"/>
      <c r="I5991"/>
    </row>
    <row r="5992" spans="6:9" x14ac:dyDescent="0.3">
      <c r="F5992"/>
      <c r="G5992"/>
      <c r="H5992"/>
      <c r="I5992"/>
    </row>
    <row r="5993" spans="6:9" x14ac:dyDescent="0.3">
      <c r="F5993"/>
      <c r="G5993"/>
      <c r="H5993"/>
      <c r="I5993"/>
    </row>
    <row r="5994" spans="6:9" x14ac:dyDescent="0.3">
      <c r="F5994"/>
      <c r="G5994"/>
      <c r="H5994"/>
      <c r="I5994"/>
    </row>
    <row r="5995" spans="6:9" x14ac:dyDescent="0.3">
      <c r="F5995"/>
      <c r="G5995"/>
      <c r="H5995"/>
      <c r="I5995"/>
    </row>
    <row r="5996" spans="6:9" x14ac:dyDescent="0.3">
      <c r="F5996"/>
      <c r="G5996"/>
      <c r="H5996"/>
      <c r="I5996"/>
    </row>
    <row r="5997" spans="6:9" x14ac:dyDescent="0.3">
      <c r="F5997"/>
      <c r="G5997"/>
      <c r="H5997"/>
      <c r="I5997"/>
    </row>
    <row r="5998" spans="6:9" x14ac:dyDescent="0.3">
      <c r="F5998"/>
      <c r="G5998"/>
      <c r="H5998"/>
      <c r="I5998"/>
    </row>
    <row r="5999" spans="6:9" x14ac:dyDescent="0.3">
      <c r="F5999"/>
      <c r="G5999"/>
      <c r="H5999"/>
      <c r="I5999"/>
    </row>
    <row r="6000" spans="6:9" x14ac:dyDescent="0.3">
      <c r="F6000"/>
      <c r="G6000"/>
      <c r="H6000"/>
      <c r="I6000"/>
    </row>
    <row r="6001" spans="6:9" x14ac:dyDescent="0.3">
      <c r="F6001"/>
      <c r="G6001"/>
      <c r="H6001"/>
      <c r="I6001"/>
    </row>
    <row r="6002" spans="6:9" x14ac:dyDescent="0.3">
      <c r="F6002"/>
      <c r="G6002"/>
      <c r="H6002"/>
      <c r="I6002"/>
    </row>
    <row r="6003" spans="6:9" x14ac:dyDescent="0.3">
      <c r="F6003"/>
      <c r="G6003"/>
      <c r="H6003"/>
      <c r="I6003"/>
    </row>
    <row r="6004" spans="6:9" x14ac:dyDescent="0.3">
      <c r="F6004"/>
      <c r="G6004"/>
      <c r="H6004"/>
      <c r="I6004"/>
    </row>
    <row r="6005" spans="6:9" x14ac:dyDescent="0.3">
      <c r="F6005"/>
      <c r="G6005"/>
      <c r="H6005"/>
      <c r="I6005"/>
    </row>
    <row r="6006" spans="6:9" x14ac:dyDescent="0.3">
      <c r="F6006"/>
      <c r="G6006"/>
      <c r="H6006"/>
      <c r="I6006"/>
    </row>
    <row r="6007" spans="6:9" x14ac:dyDescent="0.3">
      <c r="F6007"/>
      <c r="G6007"/>
      <c r="H6007"/>
      <c r="I6007"/>
    </row>
    <row r="6008" spans="6:9" x14ac:dyDescent="0.3">
      <c r="F6008"/>
      <c r="G6008"/>
      <c r="H6008"/>
      <c r="I6008"/>
    </row>
    <row r="6009" spans="6:9" x14ac:dyDescent="0.3">
      <c r="F6009"/>
      <c r="G6009"/>
      <c r="H6009"/>
      <c r="I6009"/>
    </row>
    <row r="6010" spans="6:9" x14ac:dyDescent="0.3">
      <c r="F6010"/>
      <c r="G6010"/>
      <c r="H6010"/>
      <c r="I6010"/>
    </row>
    <row r="6011" spans="6:9" x14ac:dyDescent="0.3">
      <c r="F6011"/>
      <c r="G6011"/>
      <c r="H6011"/>
      <c r="I6011"/>
    </row>
    <row r="6012" spans="6:9" x14ac:dyDescent="0.3">
      <c r="F6012"/>
      <c r="G6012"/>
      <c r="H6012"/>
      <c r="I6012"/>
    </row>
    <row r="6013" spans="6:9" x14ac:dyDescent="0.3">
      <c r="F6013"/>
      <c r="G6013"/>
      <c r="H6013"/>
      <c r="I6013"/>
    </row>
    <row r="6014" spans="6:9" x14ac:dyDescent="0.3">
      <c r="F6014"/>
      <c r="G6014"/>
      <c r="H6014"/>
      <c r="I6014"/>
    </row>
    <row r="6015" spans="6:9" x14ac:dyDescent="0.3">
      <c r="F6015"/>
      <c r="G6015"/>
      <c r="H6015"/>
      <c r="I6015"/>
    </row>
    <row r="6016" spans="6:9" x14ac:dyDescent="0.3">
      <c r="F6016"/>
      <c r="G6016"/>
      <c r="H6016"/>
      <c r="I6016"/>
    </row>
    <row r="6017" spans="6:9" x14ac:dyDescent="0.3">
      <c r="F6017"/>
      <c r="G6017"/>
      <c r="H6017"/>
      <c r="I6017"/>
    </row>
    <row r="6018" spans="6:9" x14ac:dyDescent="0.3">
      <c r="F6018"/>
      <c r="G6018"/>
      <c r="H6018"/>
      <c r="I6018"/>
    </row>
    <row r="6019" spans="6:9" x14ac:dyDescent="0.3">
      <c r="F6019"/>
      <c r="G6019"/>
      <c r="H6019"/>
      <c r="I6019"/>
    </row>
    <row r="6020" spans="6:9" x14ac:dyDescent="0.3">
      <c r="F6020"/>
      <c r="G6020"/>
      <c r="H6020"/>
      <c r="I6020"/>
    </row>
    <row r="6021" spans="6:9" x14ac:dyDescent="0.3">
      <c r="F6021"/>
      <c r="G6021"/>
      <c r="H6021"/>
      <c r="I6021"/>
    </row>
    <row r="6022" spans="6:9" x14ac:dyDescent="0.3">
      <c r="F6022"/>
      <c r="G6022"/>
      <c r="H6022"/>
      <c r="I6022"/>
    </row>
    <row r="6023" spans="6:9" x14ac:dyDescent="0.3">
      <c r="F6023"/>
      <c r="G6023"/>
      <c r="H6023"/>
      <c r="I6023"/>
    </row>
    <row r="6024" spans="6:9" x14ac:dyDescent="0.3">
      <c r="F6024"/>
      <c r="G6024"/>
      <c r="H6024"/>
      <c r="I6024"/>
    </row>
    <row r="6025" spans="6:9" x14ac:dyDescent="0.3">
      <c r="F6025"/>
      <c r="G6025"/>
      <c r="H6025"/>
      <c r="I6025"/>
    </row>
    <row r="6026" spans="6:9" x14ac:dyDescent="0.3">
      <c r="F6026"/>
      <c r="G6026"/>
      <c r="H6026"/>
      <c r="I6026"/>
    </row>
    <row r="6027" spans="6:9" x14ac:dyDescent="0.3">
      <c r="F6027"/>
      <c r="G6027"/>
      <c r="H6027"/>
      <c r="I6027"/>
    </row>
    <row r="6028" spans="6:9" x14ac:dyDescent="0.3">
      <c r="F6028"/>
      <c r="G6028"/>
      <c r="H6028"/>
      <c r="I6028"/>
    </row>
    <row r="6029" spans="6:9" x14ac:dyDescent="0.3">
      <c r="F6029"/>
      <c r="G6029"/>
      <c r="H6029"/>
      <c r="I6029"/>
    </row>
    <row r="6030" spans="6:9" x14ac:dyDescent="0.3">
      <c r="F6030"/>
      <c r="G6030"/>
      <c r="H6030"/>
      <c r="I6030"/>
    </row>
    <row r="6031" spans="6:9" x14ac:dyDescent="0.3">
      <c r="F6031"/>
      <c r="G6031"/>
      <c r="H6031"/>
      <c r="I6031"/>
    </row>
    <row r="6032" spans="6:9" x14ac:dyDescent="0.3">
      <c r="F6032"/>
      <c r="G6032"/>
      <c r="H6032"/>
      <c r="I6032"/>
    </row>
    <row r="6033" spans="6:9" x14ac:dyDescent="0.3">
      <c r="F6033"/>
      <c r="G6033"/>
      <c r="H6033"/>
      <c r="I6033"/>
    </row>
    <row r="6034" spans="6:9" x14ac:dyDescent="0.3">
      <c r="F6034"/>
      <c r="G6034"/>
      <c r="H6034"/>
      <c r="I6034"/>
    </row>
    <row r="6035" spans="6:9" x14ac:dyDescent="0.3">
      <c r="F6035"/>
      <c r="G6035"/>
      <c r="H6035"/>
      <c r="I6035"/>
    </row>
    <row r="6036" spans="6:9" x14ac:dyDescent="0.3">
      <c r="F6036"/>
      <c r="G6036"/>
      <c r="H6036"/>
      <c r="I6036"/>
    </row>
    <row r="6037" spans="6:9" x14ac:dyDescent="0.3">
      <c r="F6037"/>
      <c r="G6037"/>
      <c r="H6037"/>
      <c r="I6037"/>
    </row>
    <row r="6038" spans="6:9" x14ac:dyDescent="0.3">
      <c r="F6038"/>
      <c r="G6038"/>
      <c r="H6038"/>
      <c r="I6038"/>
    </row>
    <row r="6039" spans="6:9" x14ac:dyDescent="0.3">
      <c r="F6039"/>
      <c r="G6039"/>
      <c r="H6039"/>
      <c r="I6039"/>
    </row>
    <row r="6040" spans="6:9" x14ac:dyDescent="0.3">
      <c r="F6040"/>
      <c r="G6040"/>
      <c r="H6040"/>
      <c r="I6040"/>
    </row>
    <row r="6041" spans="6:9" x14ac:dyDescent="0.3">
      <c r="F6041"/>
      <c r="G6041"/>
      <c r="H6041"/>
      <c r="I6041"/>
    </row>
    <row r="6042" spans="6:9" x14ac:dyDescent="0.3">
      <c r="F6042"/>
      <c r="G6042"/>
      <c r="H6042"/>
      <c r="I6042"/>
    </row>
    <row r="6043" spans="6:9" x14ac:dyDescent="0.3">
      <c r="F6043"/>
      <c r="G6043"/>
      <c r="H6043"/>
      <c r="I6043"/>
    </row>
    <row r="6044" spans="6:9" x14ac:dyDescent="0.3">
      <c r="F6044"/>
      <c r="G6044"/>
      <c r="H6044"/>
      <c r="I6044"/>
    </row>
    <row r="6045" spans="6:9" x14ac:dyDescent="0.3">
      <c r="F6045"/>
      <c r="G6045"/>
      <c r="H6045"/>
      <c r="I6045"/>
    </row>
    <row r="6046" spans="6:9" x14ac:dyDescent="0.3">
      <c r="F6046"/>
      <c r="G6046"/>
      <c r="H6046"/>
      <c r="I6046"/>
    </row>
    <row r="6047" spans="6:9" x14ac:dyDescent="0.3">
      <c r="F6047"/>
      <c r="G6047"/>
      <c r="H6047"/>
      <c r="I6047"/>
    </row>
    <row r="6048" spans="6:9" x14ac:dyDescent="0.3">
      <c r="F6048"/>
      <c r="G6048"/>
      <c r="H6048"/>
      <c r="I6048"/>
    </row>
    <row r="6049" spans="6:9" x14ac:dyDescent="0.3">
      <c r="F6049"/>
      <c r="G6049"/>
      <c r="H6049"/>
      <c r="I6049"/>
    </row>
    <row r="6050" spans="6:9" x14ac:dyDescent="0.3">
      <c r="F6050"/>
      <c r="G6050"/>
      <c r="H6050"/>
      <c r="I6050"/>
    </row>
    <row r="6051" spans="6:9" x14ac:dyDescent="0.3">
      <c r="F6051"/>
      <c r="G6051"/>
      <c r="H6051"/>
      <c r="I6051"/>
    </row>
    <row r="6052" spans="6:9" x14ac:dyDescent="0.3">
      <c r="F6052"/>
      <c r="G6052"/>
      <c r="H6052"/>
      <c r="I6052"/>
    </row>
    <row r="6053" spans="6:9" x14ac:dyDescent="0.3">
      <c r="F6053"/>
      <c r="G6053"/>
      <c r="H6053"/>
      <c r="I6053"/>
    </row>
    <row r="6054" spans="6:9" x14ac:dyDescent="0.3">
      <c r="F6054"/>
      <c r="G6054"/>
      <c r="H6054"/>
      <c r="I6054"/>
    </row>
    <row r="6055" spans="6:9" x14ac:dyDescent="0.3">
      <c r="F6055"/>
      <c r="G6055"/>
      <c r="H6055"/>
      <c r="I6055"/>
    </row>
    <row r="6056" spans="6:9" x14ac:dyDescent="0.3">
      <c r="F6056"/>
      <c r="G6056"/>
      <c r="H6056"/>
      <c r="I6056"/>
    </row>
    <row r="6057" spans="6:9" x14ac:dyDescent="0.3">
      <c r="F6057"/>
      <c r="G6057"/>
      <c r="H6057"/>
      <c r="I6057"/>
    </row>
    <row r="6058" spans="6:9" x14ac:dyDescent="0.3">
      <c r="F6058"/>
      <c r="G6058"/>
      <c r="H6058"/>
      <c r="I6058"/>
    </row>
    <row r="6059" spans="6:9" x14ac:dyDescent="0.3">
      <c r="F6059"/>
      <c r="G6059"/>
      <c r="H6059"/>
      <c r="I6059"/>
    </row>
    <row r="6060" spans="6:9" x14ac:dyDescent="0.3">
      <c r="F6060"/>
      <c r="G6060"/>
      <c r="H6060"/>
      <c r="I6060"/>
    </row>
    <row r="6061" spans="6:9" x14ac:dyDescent="0.3">
      <c r="F6061"/>
      <c r="G6061"/>
      <c r="H6061"/>
      <c r="I6061"/>
    </row>
    <row r="6062" spans="6:9" x14ac:dyDescent="0.3">
      <c r="F6062"/>
      <c r="G6062"/>
      <c r="H6062"/>
      <c r="I6062"/>
    </row>
    <row r="6063" spans="6:9" x14ac:dyDescent="0.3">
      <c r="F6063"/>
      <c r="G6063"/>
      <c r="H6063"/>
      <c r="I6063"/>
    </row>
    <row r="6064" spans="6:9" x14ac:dyDescent="0.3">
      <c r="F6064"/>
      <c r="G6064"/>
      <c r="H6064"/>
      <c r="I6064"/>
    </row>
    <row r="6065" spans="6:9" x14ac:dyDescent="0.3">
      <c r="F6065"/>
      <c r="G6065"/>
      <c r="H6065"/>
      <c r="I6065"/>
    </row>
    <row r="6066" spans="6:9" x14ac:dyDescent="0.3">
      <c r="F6066"/>
      <c r="G6066"/>
      <c r="H6066"/>
      <c r="I6066"/>
    </row>
    <row r="6067" spans="6:9" x14ac:dyDescent="0.3">
      <c r="F6067"/>
      <c r="G6067"/>
      <c r="H6067"/>
      <c r="I6067"/>
    </row>
    <row r="6068" spans="6:9" x14ac:dyDescent="0.3">
      <c r="F6068"/>
      <c r="G6068"/>
      <c r="H6068"/>
      <c r="I6068"/>
    </row>
    <row r="6069" spans="6:9" x14ac:dyDescent="0.3">
      <c r="F6069"/>
      <c r="G6069"/>
      <c r="H6069"/>
      <c r="I6069"/>
    </row>
    <row r="6070" spans="6:9" x14ac:dyDescent="0.3">
      <c r="F6070"/>
      <c r="G6070"/>
      <c r="H6070"/>
      <c r="I6070"/>
    </row>
    <row r="6071" spans="6:9" x14ac:dyDescent="0.3">
      <c r="F6071"/>
      <c r="G6071"/>
      <c r="H6071"/>
      <c r="I6071"/>
    </row>
    <row r="6072" spans="6:9" x14ac:dyDescent="0.3">
      <c r="F6072"/>
      <c r="G6072"/>
      <c r="H6072"/>
      <c r="I6072"/>
    </row>
    <row r="6073" spans="6:9" x14ac:dyDescent="0.3">
      <c r="F6073"/>
      <c r="G6073"/>
      <c r="H6073"/>
      <c r="I6073"/>
    </row>
    <row r="6074" spans="6:9" x14ac:dyDescent="0.3">
      <c r="F6074"/>
      <c r="G6074"/>
      <c r="H6074"/>
      <c r="I6074"/>
    </row>
    <row r="6075" spans="6:9" x14ac:dyDescent="0.3">
      <c r="F6075"/>
      <c r="G6075"/>
      <c r="H6075"/>
      <c r="I6075"/>
    </row>
    <row r="6076" spans="6:9" x14ac:dyDescent="0.3">
      <c r="F6076"/>
      <c r="G6076"/>
      <c r="H6076"/>
      <c r="I6076"/>
    </row>
    <row r="6077" spans="6:9" x14ac:dyDescent="0.3">
      <c r="F6077"/>
      <c r="G6077"/>
      <c r="H6077"/>
      <c r="I6077"/>
    </row>
    <row r="6078" spans="6:9" x14ac:dyDescent="0.3">
      <c r="F6078"/>
      <c r="G6078"/>
      <c r="H6078"/>
      <c r="I6078"/>
    </row>
    <row r="6079" spans="6:9" x14ac:dyDescent="0.3">
      <c r="F6079"/>
      <c r="G6079"/>
      <c r="H6079"/>
      <c r="I6079"/>
    </row>
    <row r="6080" spans="6:9" x14ac:dyDescent="0.3">
      <c r="F6080"/>
      <c r="G6080"/>
      <c r="H6080"/>
      <c r="I6080"/>
    </row>
    <row r="6081" spans="6:9" x14ac:dyDescent="0.3">
      <c r="F6081"/>
      <c r="G6081"/>
      <c r="H6081"/>
      <c r="I6081"/>
    </row>
    <row r="6082" spans="6:9" x14ac:dyDescent="0.3">
      <c r="F6082"/>
      <c r="G6082"/>
      <c r="H6082"/>
      <c r="I6082"/>
    </row>
    <row r="6083" spans="6:9" x14ac:dyDescent="0.3">
      <c r="F6083"/>
      <c r="G6083"/>
      <c r="H6083"/>
      <c r="I6083"/>
    </row>
    <row r="6084" spans="6:9" x14ac:dyDescent="0.3">
      <c r="F6084"/>
      <c r="G6084"/>
      <c r="H6084"/>
      <c r="I6084"/>
    </row>
    <row r="6085" spans="6:9" x14ac:dyDescent="0.3">
      <c r="F6085"/>
      <c r="G6085"/>
      <c r="H6085"/>
      <c r="I6085"/>
    </row>
    <row r="6086" spans="6:9" x14ac:dyDescent="0.3">
      <c r="F6086"/>
      <c r="G6086"/>
      <c r="H6086"/>
      <c r="I6086"/>
    </row>
    <row r="6087" spans="6:9" x14ac:dyDescent="0.3">
      <c r="F6087"/>
      <c r="G6087"/>
      <c r="H6087"/>
      <c r="I6087"/>
    </row>
    <row r="6088" spans="6:9" x14ac:dyDescent="0.3">
      <c r="F6088"/>
      <c r="G6088"/>
      <c r="H6088"/>
      <c r="I6088"/>
    </row>
    <row r="6089" spans="6:9" x14ac:dyDescent="0.3">
      <c r="F6089"/>
      <c r="G6089"/>
      <c r="H6089"/>
      <c r="I6089"/>
    </row>
    <row r="6090" spans="6:9" x14ac:dyDescent="0.3">
      <c r="F6090"/>
      <c r="G6090"/>
      <c r="H6090"/>
      <c r="I6090"/>
    </row>
    <row r="6091" spans="6:9" x14ac:dyDescent="0.3">
      <c r="F6091"/>
      <c r="G6091"/>
      <c r="H6091"/>
      <c r="I6091"/>
    </row>
    <row r="6092" spans="6:9" x14ac:dyDescent="0.3">
      <c r="F6092"/>
      <c r="G6092"/>
      <c r="H6092"/>
      <c r="I6092"/>
    </row>
    <row r="6093" spans="6:9" x14ac:dyDescent="0.3">
      <c r="F6093"/>
      <c r="G6093"/>
      <c r="H6093"/>
      <c r="I6093"/>
    </row>
    <row r="6094" spans="6:9" x14ac:dyDescent="0.3">
      <c r="F6094"/>
      <c r="G6094"/>
      <c r="H6094"/>
      <c r="I6094"/>
    </row>
    <row r="6095" spans="6:9" x14ac:dyDescent="0.3">
      <c r="F6095"/>
      <c r="G6095"/>
      <c r="H6095"/>
      <c r="I6095"/>
    </row>
    <row r="6096" spans="6:9" x14ac:dyDescent="0.3">
      <c r="F6096"/>
      <c r="G6096"/>
      <c r="H6096"/>
      <c r="I6096"/>
    </row>
    <row r="6097" spans="6:9" x14ac:dyDescent="0.3">
      <c r="F6097"/>
      <c r="G6097"/>
      <c r="H6097"/>
      <c r="I6097"/>
    </row>
    <row r="6098" spans="6:9" x14ac:dyDescent="0.3">
      <c r="F6098"/>
      <c r="G6098"/>
      <c r="H6098"/>
      <c r="I6098"/>
    </row>
    <row r="6099" spans="6:9" x14ac:dyDescent="0.3">
      <c r="F6099"/>
      <c r="G6099"/>
      <c r="H6099"/>
      <c r="I6099"/>
    </row>
    <row r="6100" spans="6:9" x14ac:dyDescent="0.3">
      <c r="F6100"/>
      <c r="G6100"/>
      <c r="H6100"/>
      <c r="I6100"/>
    </row>
    <row r="6101" spans="6:9" x14ac:dyDescent="0.3">
      <c r="F6101"/>
      <c r="G6101"/>
      <c r="H6101"/>
      <c r="I6101"/>
    </row>
    <row r="6102" spans="6:9" x14ac:dyDescent="0.3">
      <c r="F6102"/>
      <c r="G6102"/>
      <c r="H6102"/>
      <c r="I6102"/>
    </row>
    <row r="6103" spans="6:9" x14ac:dyDescent="0.3">
      <c r="F6103"/>
      <c r="G6103"/>
      <c r="H6103"/>
      <c r="I6103"/>
    </row>
    <row r="6104" spans="6:9" x14ac:dyDescent="0.3">
      <c r="F6104"/>
      <c r="G6104"/>
      <c r="H6104"/>
      <c r="I6104"/>
    </row>
    <row r="6105" spans="6:9" x14ac:dyDescent="0.3">
      <c r="F6105"/>
      <c r="G6105"/>
      <c r="H6105"/>
      <c r="I6105"/>
    </row>
    <row r="6106" spans="6:9" x14ac:dyDescent="0.3">
      <c r="F6106"/>
      <c r="G6106"/>
      <c r="H6106"/>
      <c r="I6106"/>
    </row>
    <row r="6107" spans="6:9" x14ac:dyDescent="0.3">
      <c r="F6107"/>
      <c r="G6107"/>
      <c r="H6107"/>
      <c r="I6107"/>
    </row>
    <row r="6108" spans="6:9" x14ac:dyDescent="0.3">
      <c r="F6108"/>
      <c r="G6108"/>
      <c r="H6108"/>
      <c r="I6108"/>
    </row>
    <row r="6109" spans="6:9" x14ac:dyDescent="0.3">
      <c r="F6109"/>
      <c r="G6109"/>
      <c r="H6109"/>
      <c r="I6109"/>
    </row>
    <row r="6110" spans="6:9" x14ac:dyDescent="0.3">
      <c r="F6110"/>
      <c r="G6110"/>
      <c r="H6110"/>
      <c r="I6110"/>
    </row>
    <row r="6111" spans="6:9" x14ac:dyDescent="0.3">
      <c r="F6111"/>
      <c r="G6111"/>
      <c r="H6111"/>
      <c r="I6111"/>
    </row>
    <row r="6112" spans="6:9" x14ac:dyDescent="0.3">
      <c r="F6112"/>
      <c r="G6112"/>
      <c r="H6112"/>
      <c r="I6112"/>
    </row>
    <row r="6113" spans="6:9" x14ac:dyDescent="0.3">
      <c r="F6113"/>
      <c r="G6113"/>
      <c r="H6113"/>
      <c r="I6113"/>
    </row>
    <row r="6114" spans="6:9" x14ac:dyDescent="0.3">
      <c r="F6114"/>
      <c r="G6114"/>
      <c r="H6114"/>
      <c r="I6114"/>
    </row>
    <row r="6115" spans="6:9" x14ac:dyDescent="0.3">
      <c r="F6115"/>
      <c r="G6115"/>
      <c r="H6115"/>
      <c r="I6115"/>
    </row>
    <row r="6116" spans="6:9" x14ac:dyDescent="0.3">
      <c r="F6116"/>
      <c r="G6116"/>
      <c r="H6116"/>
      <c r="I6116"/>
    </row>
    <row r="6117" spans="6:9" x14ac:dyDescent="0.3">
      <c r="F6117"/>
      <c r="G6117"/>
      <c r="H6117"/>
      <c r="I6117"/>
    </row>
    <row r="6118" spans="6:9" x14ac:dyDescent="0.3">
      <c r="F6118"/>
      <c r="G6118"/>
      <c r="H6118"/>
      <c r="I6118"/>
    </row>
    <row r="6119" spans="6:9" x14ac:dyDescent="0.3">
      <c r="F6119"/>
      <c r="G6119"/>
      <c r="H6119"/>
      <c r="I6119"/>
    </row>
    <row r="6120" spans="6:9" x14ac:dyDescent="0.3">
      <c r="F6120"/>
      <c r="G6120"/>
      <c r="H6120"/>
      <c r="I6120"/>
    </row>
    <row r="6121" spans="6:9" x14ac:dyDescent="0.3">
      <c r="F6121"/>
      <c r="G6121"/>
      <c r="H6121"/>
      <c r="I6121"/>
    </row>
    <row r="6122" spans="6:9" x14ac:dyDescent="0.3">
      <c r="F6122"/>
      <c r="G6122"/>
      <c r="H6122"/>
      <c r="I6122"/>
    </row>
    <row r="6123" spans="6:9" x14ac:dyDescent="0.3">
      <c r="F6123"/>
      <c r="G6123"/>
      <c r="H6123"/>
      <c r="I6123"/>
    </row>
    <row r="6124" spans="6:9" x14ac:dyDescent="0.3">
      <c r="F6124"/>
      <c r="G6124"/>
      <c r="H6124"/>
      <c r="I6124"/>
    </row>
    <row r="6125" spans="6:9" x14ac:dyDescent="0.3">
      <c r="F6125"/>
      <c r="G6125"/>
      <c r="H6125"/>
      <c r="I6125"/>
    </row>
    <row r="6126" spans="6:9" x14ac:dyDescent="0.3">
      <c r="F6126"/>
      <c r="G6126"/>
      <c r="H6126"/>
      <c r="I6126"/>
    </row>
    <row r="6127" spans="6:9" x14ac:dyDescent="0.3">
      <c r="F6127"/>
      <c r="G6127"/>
      <c r="H6127"/>
      <c r="I6127"/>
    </row>
    <row r="6128" spans="6:9" x14ac:dyDescent="0.3">
      <c r="F6128"/>
      <c r="G6128"/>
      <c r="H6128"/>
      <c r="I6128"/>
    </row>
    <row r="6129" spans="6:9" x14ac:dyDescent="0.3">
      <c r="F6129"/>
      <c r="G6129"/>
      <c r="H6129"/>
      <c r="I6129"/>
    </row>
    <row r="6130" spans="6:9" x14ac:dyDescent="0.3">
      <c r="F6130"/>
      <c r="G6130"/>
      <c r="H6130"/>
      <c r="I6130"/>
    </row>
    <row r="6131" spans="6:9" x14ac:dyDescent="0.3">
      <c r="F6131"/>
      <c r="G6131"/>
      <c r="H6131"/>
      <c r="I6131"/>
    </row>
    <row r="6132" spans="6:9" x14ac:dyDescent="0.3">
      <c r="F6132"/>
      <c r="G6132"/>
      <c r="H6132"/>
      <c r="I6132"/>
    </row>
    <row r="6133" spans="6:9" x14ac:dyDescent="0.3">
      <c r="F6133"/>
      <c r="G6133"/>
      <c r="H6133"/>
      <c r="I6133"/>
    </row>
    <row r="6134" spans="6:9" x14ac:dyDescent="0.3">
      <c r="F6134"/>
      <c r="G6134"/>
      <c r="H6134"/>
      <c r="I6134"/>
    </row>
    <row r="6135" spans="6:9" x14ac:dyDescent="0.3">
      <c r="F6135"/>
      <c r="G6135"/>
      <c r="H6135"/>
      <c r="I6135"/>
    </row>
    <row r="6136" spans="6:9" x14ac:dyDescent="0.3">
      <c r="F6136"/>
      <c r="G6136"/>
      <c r="H6136"/>
      <c r="I6136"/>
    </row>
    <row r="6137" spans="6:9" x14ac:dyDescent="0.3">
      <c r="F6137"/>
      <c r="G6137"/>
      <c r="H6137"/>
      <c r="I6137"/>
    </row>
    <row r="6138" spans="6:9" x14ac:dyDescent="0.3">
      <c r="F6138"/>
      <c r="G6138"/>
      <c r="H6138"/>
      <c r="I6138"/>
    </row>
    <row r="6139" spans="6:9" x14ac:dyDescent="0.3">
      <c r="F6139"/>
      <c r="G6139"/>
      <c r="H6139"/>
      <c r="I6139"/>
    </row>
    <row r="6140" spans="6:9" x14ac:dyDescent="0.3">
      <c r="F6140"/>
      <c r="G6140"/>
      <c r="H6140"/>
      <c r="I6140"/>
    </row>
    <row r="6141" spans="6:9" x14ac:dyDescent="0.3">
      <c r="F6141"/>
      <c r="G6141"/>
      <c r="H6141"/>
      <c r="I6141"/>
    </row>
    <row r="6142" spans="6:9" x14ac:dyDescent="0.3">
      <c r="F6142"/>
      <c r="G6142"/>
      <c r="H6142"/>
      <c r="I6142"/>
    </row>
    <row r="6143" spans="6:9" x14ac:dyDescent="0.3">
      <c r="F6143"/>
      <c r="G6143"/>
      <c r="H6143"/>
      <c r="I6143"/>
    </row>
    <row r="6144" spans="6:9" x14ac:dyDescent="0.3">
      <c r="F6144"/>
      <c r="G6144"/>
      <c r="H6144"/>
      <c r="I6144"/>
    </row>
    <row r="6145" spans="6:9" x14ac:dyDescent="0.3">
      <c r="F6145"/>
      <c r="G6145"/>
      <c r="H6145"/>
      <c r="I6145"/>
    </row>
    <row r="6146" spans="6:9" x14ac:dyDescent="0.3">
      <c r="F6146"/>
      <c r="G6146"/>
      <c r="H6146"/>
      <c r="I6146"/>
    </row>
    <row r="6147" spans="6:9" x14ac:dyDescent="0.3">
      <c r="F6147"/>
      <c r="G6147"/>
      <c r="H6147"/>
      <c r="I6147"/>
    </row>
    <row r="6148" spans="6:9" x14ac:dyDescent="0.3">
      <c r="F6148"/>
      <c r="G6148"/>
      <c r="H6148"/>
      <c r="I6148"/>
    </row>
    <row r="6149" spans="6:9" x14ac:dyDescent="0.3">
      <c r="F6149"/>
      <c r="G6149"/>
      <c r="H6149"/>
      <c r="I6149"/>
    </row>
    <row r="6150" spans="6:9" x14ac:dyDescent="0.3">
      <c r="F6150"/>
      <c r="G6150"/>
      <c r="H6150"/>
      <c r="I6150"/>
    </row>
    <row r="6151" spans="6:9" x14ac:dyDescent="0.3">
      <c r="F6151"/>
      <c r="G6151"/>
      <c r="H6151"/>
      <c r="I6151"/>
    </row>
    <row r="6152" spans="6:9" x14ac:dyDescent="0.3">
      <c r="F6152"/>
      <c r="G6152"/>
      <c r="H6152"/>
      <c r="I6152"/>
    </row>
    <row r="6153" spans="6:9" x14ac:dyDescent="0.3">
      <c r="F6153"/>
      <c r="G6153"/>
      <c r="H6153"/>
      <c r="I6153"/>
    </row>
    <row r="6154" spans="6:9" x14ac:dyDescent="0.3">
      <c r="F6154"/>
      <c r="G6154"/>
      <c r="H6154"/>
      <c r="I6154"/>
    </row>
    <row r="6155" spans="6:9" x14ac:dyDescent="0.3">
      <c r="F6155"/>
      <c r="G6155"/>
      <c r="H6155"/>
      <c r="I6155"/>
    </row>
    <row r="6156" spans="6:9" x14ac:dyDescent="0.3">
      <c r="F6156"/>
      <c r="G6156"/>
      <c r="H6156"/>
      <c r="I6156"/>
    </row>
    <row r="6157" spans="6:9" x14ac:dyDescent="0.3">
      <c r="F6157"/>
      <c r="G6157"/>
      <c r="H6157"/>
      <c r="I6157"/>
    </row>
    <row r="6158" spans="6:9" x14ac:dyDescent="0.3">
      <c r="F6158"/>
      <c r="G6158"/>
      <c r="H6158"/>
      <c r="I6158"/>
    </row>
    <row r="6159" spans="6:9" x14ac:dyDescent="0.3">
      <c r="F6159"/>
      <c r="G6159"/>
      <c r="H6159"/>
      <c r="I6159"/>
    </row>
    <row r="6160" spans="6:9" x14ac:dyDescent="0.3">
      <c r="F6160"/>
      <c r="G6160"/>
      <c r="H6160"/>
      <c r="I6160"/>
    </row>
    <row r="6161" spans="6:9" x14ac:dyDescent="0.3">
      <c r="F6161"/>
      <c r="G6161"/>
      <c r="H6161"/>
      <c r="I6161"/>
    </row>
    <row r="6162" spans="6:9" x14ac:dyDescent="0.3">
      <c r="F6162"/>
      <c r="G6162"/>
      <c r="H6162"/>
      <c r="I6162"/>
    </row>
    <row r="6163" spans="6:9" x14ac:dyDescent="0.3">
      <c r="F6163"/>
      <c r="G6163"/>
      <c r="H6163"/>
      <c r="I6163"/>
    </row>
    <row r="6164" spans="6:9" x14ac:dyDescent="0.3">
      <c r="F6164"/>
      <c r="G6164"/>
      <c r="H6164"/>
      <c r="I6164"/>
    </row>
    <row r="6165" spans="6:9" x14ac:dyDescent="0.3">
      <c r="F6165"/>
      <c r="G6165"/>
      <c r="H6165"/>
      <c r="I6165"/>
    </row>
    <row r="6166" spans="6:9" x14ac:dyDescent="0.3">
      <c r="F6166"/>
      <c r="G6166"/>
      <c r="H6166"/>
      <c r="I6166"/>
    </row>
    <row r="6167" spans="6:9" x14ac:dyDescent="0.3">
      <c r="F6167"/>
      <c r="G6167"/>
      <c r="H6167"/>
      <c r="I6167"/>
    </row>
    <row r="6168" spans="6:9" x14ac:dyDescent="0.3">
      <c r="F6168"/>
      <c r="G6168"/>
      <c r="H6168"/>
      <c r="I6168"/>
    </row>
    <row r="6169" spans="6:9" x14ac:dyDescent="0.3">
      <c r="F6169"/>
      <c r="G6169"/>
      <c r="H6169"/>
      <c r="I6169"/>
    </row>
    <row r="6170" spans="6:9" x14ac:dyDescent="0.3">
      <c r="F6170"/>
      <c r="G6170"/>
      <c r="H6170"/>
      <c r="I6170"/>
    </row>
    <row r="6171" spans="6:9" x14ac:dyDescent="0.3">
      <c r="F6171"/>
      <c r="G6171"/>
      <c r="H6171"/>
      <c r="I6171"/>
    </row>
    <row r="6172" spans="6:9" x14ac:dyDescent="0.3">
      <c r="F6172"/>
      <c r="G6172"/>
      <c r="H6172"/>
      <c r="I6172"/>
    </row>
    <row r="6173" spans="6:9" x14ac:dyDescent="0.3">
      <c r="F6173"/>
      <c r="G6173"/>
      <c r="H6173"/>
      <c r="I6173"/>
    </row>
    <row r="6174" spans="6:9" x14ac:dyDescent="0.3">
      <c r="F6174"/>
      <c r="G6174"/>
      <c r="H6174"/>
      <c r="I6174"/>
    </row>
    <row r="6175" spans="6:9" x14ac:dyDescent="0.3">
      <c r="F6175"/>
      <c r="G6175"/>
      <c r="H6175"/>
      <c r="I6175"/>
    </row>
    <row r="6176" spans="6:9" x14ac:dyDescent="0.3">
      <c r="F6176"/>
      <c r="G6176"/>
      <c r="H6176"/>
      <c r="I6176"/>
    </row>
    <row r="6177" spans="6:9" x14ac:dyDescent="0.3">
      <c r="F6177"/>
      <c r="G6177"/>
      <c r="H6177"/>
      <c r="I6177"/>
    </row>
    <row r="6178" spans="6:9" x14ac:dyDescent="0.3">
      <c r="F6178"/>
      <c r="G6178"/>
      <c r="H6178"/>
      <c r="I6178"/>
    </row>
    <row r="6179" spans="6:9" x14ac:dyDescent="0.3">
      <c r="F6179"/>
      <c r="G6179"/>
      <c r="H6179"/>
      <c r="I6179"/>
    </row>
    <row r="6180" spans="6:9" x14ac:dyDescent="0.3">
      <c r="F6180"/>
      <c r="G6180"/>
      <c r="H6180"/>
      <c r="I6180"/>
    </row>
    <row r="6181" spans="6:9" x14ac:dyDescent="0.3">
      <c r="F6181"/>
      <c r="G6181"/>
      <c r="H6181"/>
      <c r="I6181"/>
    </row>
    <row r="6182" spans="6:9" x14ac:dyDescent="0.3">
      <c r="F6182"/>
      <c r="G6182"/>
      <c r="H6182"/>
      <c r="I6182"/>
    </row>
    <row r="6183" spans="6:9" x14ac:dyDescent="0.3">
      <c r="F6183"/>
      <c r="G6183"/>
      <c r="H6183"/>
      <c r="I6183"/>
    </row>
    <row r="6184" spans="6:9" x14ac:dyDescent="0.3">
      <c r="F6184"/>
      <c r="G6184"/>
      <c r="H6184"/>
      <c r="I6184"/>
    </row>
    <row r="6185" spans="6:9" x14ac:dyDescent="0.3">
      <c r="F6185"/>
      <c r="G6185"/>
      <c r="H6185"/>
      <c r="I6185"/>
    </row>
    <row r="6186" spans="6:9" x14ac:dyDescent="0.3">
      <c r="F6186"/>
      <c r="G6186"/>
      <c r="H6186"/>
      <c r="I6186"/>
    </row>
    <row r="6187" spans="6:9" x14ac:dyDescent="0.3">
      <c r="F6187"/>
      <c r="G6187"/>
      <c r="H6187"/>
      <c r="I6187"/>
    </row>
    <row r="6188" spans="6:9" x14ac:dyDescent="0.3">
      <c r="F6188"/>
      <c r="G6188"/>
      <c r="H6188"/>
      <c r="I6188"/>
    </row>
    <row r="6189" spans="6:9" x14ac:dyDescent="0.3">
      <c r="F6189"/>
      <c r="G6189"/>
      <c r="H6189"/>
      <c r="I6189"/>
    </row>
    <row r="6190" spans="6:9" x14ac:dyDescent="0.3">
      <c r="F6190"/>
      <c r="G6190"/>
      <c r="H6190"/>
      <c r="I6190"/>
    </row>
    <row r="6191" spans="6:9" x14ac:dyDescent="0.3">
      <c r="F6191"/>
      <c r="G6191"/>
      <c r="H6191"/>
      <c r="I6191"/>
    </row>
    <row r="6192" spans="6:9" x14ac:dyDescent="0.3">
      <c r="F6192"/>
      <c r="G6192"/>
      <c r="H6192"/>
      <c r="I6192"/>
    </row>
    <row r="6193" spans="6:9" x14ac:dyDescent="0.3">
      <c r="F6193"/>
      <c r="G6193"/>
      <c r="H6193"/>
      <c r="I6193"/>
    </row>
    <row r="6194" spans="6:9" x14ac:dyDescent="0.3">
      <c r="F6194"/>
      <c r="G6194"/>
      <c r="H6194"/>
      <c r="I6194"/>
    </row>
    <row r="6195" spans="6:9" x14ac:dyDescent="0.3">
      <c r="F6195"/>
      <c r="G6195"/>
      <c r="H6195"/>
      <c r="I6195"/>
    </row>
    <row r="6196" spans="6:9" x14ac:dyDescent="0.3">
      <c r="F6196"/>
      <c r="G6196"/>
      <c r="H6196"/>
      <c r="I6196"/>
    </row>
    <row r="6197" spans="6:9" x14ac:dyDescent="0.3">
      <c r="F6197"/>
      <c r="G6197"/>
      <c r="H6197"/>
      <c r="I6197"/>
    </row>
    <row r="6198" spans="6:9" x14ac:dyDescent="0.3">
      <c r="F6198"/>
      <c r="G6198"/>
      <c r="H6198"/>
      <c r="I6198"/>
    </row>
    <row r="6199" spans="6:9" x14ac:dyDescent="0.3">
      <c r="F6199"/>
      <c r="G6199"/>
      <c r="H6199"/>
      <c r="I6199"/>
    </row>
    <row r="6200" spans="6:9" x14ac:dyDescent="0.3">
      <c r="F6200"/>
      <c r="G6200"/>
      <c r="H6200"/>
      <c r="I6200"/>
    </row>
    <row r="6201" spans="6:9" x14ac:dyDescent="0.3">
      <c r="F6201"/>
      <c r="G6201"/>
      <c r="H6201"/>
      <c r="I6201"/>
    </row>
    <row r="6202" spans="6:9" x14ac:dyDescent="0.3">
      <c r="F6202"/>
      <c r="G6202"/>
      <c r="H6202"/>
      <c r="I6202"/>
    </row>
    <row r="6203" spans="6:9" x14ac:dyDescent="0.3">
      <c r="F6203"/>
      <c r="G6203"/>
      <c r="H6203"/>
      <c r="I6203"/>
    </row>
    <row r="6204" spans="6:9" x14ac:dyDescent="0.3">
      <c r="F6204"/>
      <c r="G6204"/>
      <c r="H6204"/>
      <c r="I6204"/>
    </row>
    <row r="6205" spans="6:9" x14ac:dyDescent="0.3">
      <c r="F6205"/>
      <c r="G6205"/>
      <c r="H6205"/>
      <c r="I6205"/>
    </row>
    <row r="6206" spans="6:9" x14ac:dyDescent="0.3">
      <c r="F6206"/>
      <c r="G6206"/>
      <c r="H6206"/>
      <c r="I6206"/>
    </row>
    <row r="6207" spans="6:9" x14ac:dyDescent="0.3">
      <c r="F6207"/>
      <c r="G6207"/>
      <c r="H6207"/>
      <c r="I6207"/>
    </row>
    <row r="6208" spans="6:9" x14ac:dyDescent="0.3">
      <c r="F6208"/>
      <c r="G6208"/>
      <c r="H6208"/>
      <c r="I6208"/>
    </row>
    <row r="6209" spans="6:9" x14ac:dyDescent="0.3">
      <c r="F6209"/>
      <c r="G6209"/>
      <c r="H6209"/>
      <c r="I6209"/>
    </row>
    <row r="6210" spans="6:9" x14ac:dyDescent="0.3">
      <c r="F6210"/>
      <c r="G6210"/>
      <c r="H6210"/>
      <c r="I6210"/>
    </row>
    <row r="6211" spans="6:9" x14ac:dyDescent="0.3">
      <c r="F6211"/>
      <c r="G6211"/>
      <c r="H6211"/>
      <c r="I6211"/>
    </row>
    <row r="6212" spans="6:9" x14ac:dyDescent="0.3">
      <c r="F6212"/>
      <c r="G6212"/>
      <c r="H6212"/>
      <c r="I6212"/>
    </row>
    <row r="6213" spans="6:9" x14ac:dyDescent="0.3">
      <c r="F6213"/>
      <c r="G6213"/>
      <c r="H6213"/>
      <c r="I6213"/>
    </row>
    <row r="6214" spans="6:9" x14ac:dyDescent="0.3">
      <c r="F6214"/>
      <c r="G6214"/>
      <c r="H6214"/>
      <c r="I6214"/>
    </row>
    <row r="6215" spans="6:9" x14ac:dyDescent="0.3">
      <c r="F6215"/>
      <c r="G6215"/>
      <c r="H6215"/>
      <c r="I6215"/>
    </row>
    <row r="6216" spans="6:9" x14ac:dyDescent="0.3">
      <c r="F6216"/>
      <c r="G6216"/>
      <c r="H6216"/>
      <c r="I6216"/>
    </row>
    <row r="6217" spans="6:9" x14ac:dyDescent="0.3">
      <c r="F6217"/>
      <c r="G6217"/>
      <c r="H6217"/>
      <c r="I6217"/>
    </row>
    <row r="6218" spans="6:9" x14ac:dyDescent="0.3">
      <c r="F6218"/>
      <c r="G6218"/>
      <c r="H6218"/>
      <c r="I6218"/>
    </row>
    <row r="6219" spans="6:9" x14ac:dyDescent="0.3">
      <c r="F6219"/>
      <c r="G6219"/>
      <c r="H6219"/>
      <c r="I6219"/>
    </row>
    <row r="6220" spans="6:9" x14ac:dyDescent="0.3">
      <c r="F6220"/>
      <c r="G6220"/>
      <c r="H6220"/>
      <c r="I6220"/>
    </row>
    <row r="6221" spans="6:9" x14ac:dyDescent="0.3">
      <c r="F6221"/>
      <c r="G6221"/>
      <c r="H6221"/>
      <c r="I6221"/>
    </row>
    <row r="6222" spans="6:9" x14ac:dyDescent="0.3">
      <c r="F6222"/>
      <c r="G6222"/>
      <c r="H6222"/>
      <c r="I6222"/>
    </row>
    <row r="6223" spans="6:9" x14ac:dyDescent="0.3">
      <c r="F6223"/>
      <c r="G6223"/>
      <c r="H6223"/>
      <c r="I6223"/>
    </row>
    <row r="6224" spans="6:9" x14ac:dyDescent="0.3">
      <c r="F6224"/>
      <c r="G6224"/>
      <c r="H6224"/>
      <c r="I6224"/>
    </row>
    <row r="6225" spans="6:9" x14ac:dyDescent="0.3">
      <c r="F6225"/>
      <c r="G6225"/>
      <c r="H6225"/>
      <c r="I6225"/>
    </row>
    <row r="6226" spans="6:9" x14ac:dyDescent="0.3">
      <c r="F6226"/>
      <c r="G6226"/>
      <c r="H6226"/>
      <c r="I6226"/>
    </row>
    <row r="6227" spans="6:9" x14ac:dyDescent="0.3">
      <c r="F6227"/>
      <c r="G6227"/>
      <c r="H6227"/>
      <c r="I6227"/>
    </row>
    <row r="6228" spans="6:9" x14ac:dyDescent="0.3">
      <c r="F6228"/>
      <c r="G6228"/>
      <c r="H6228"/>
      <c r="I6228"/>
    </row>
    <row r="6229" spans="6:9" x14ac:dyDescent="0.3">
      <c r="F6229"/>
      <c r="G6229"/>
      <c r="H6229"/>
      <c r="I6229"/>
    </row>
    <row r="6230" spans="6:9" x14ac:dyDescent="0.3">
      <c r="F6230"/>
      <c r="G6230"/>
      <c r="H6230"/>
      <c r="I6230"/>
    </row>
    <row r="6231" spans="6:9" x14ac:dyDescent="0.3">
      <c r="F6231"/>
      <c r="G6231"/>
      <c r="H6231"/>
      <c r="I6231"/>
    </row>
    <row r="6232" spans="6:9" x14ac:dyDescent="0.3">
      <c r="F6232"/>
      <c r="G6232"/>
      <c r="H6232"/>
      <c r="I6232"/>
    </row>
    <row r="6233" spans="6:9" x14ac:dyDescent="0.3">
      <c r="F6233"/>
      <c r="G6233"/>
      <c r="H6233"/>
      <c r="I6233"/>
    </row>
    <row r="6234" spans="6:9" x14ac:dyDescent="0.3">
      <c r="F6234"/>
      <c r="G6234"/>
      <c r="H6234"/>
      <c r="I6234"/>
    </row>
    <row r="6235" spans="6:9" x14ac:dyDescent="0.3">
      <c r="F6235"/>
      <c r="G6235"/>
      <c r="H6235"/>
      <c r="I6235"/>
    </row>
    <row r="6236" spans="6:9" x14ac:dyDescent="0.3">
      <c r="F6236"/>
      <c r="G6236"/>
      <c r="H6236"/>
      <c r="I6236"/>
    </row>
    <row r="6237" spans="6:9" x14ac:dyDescent="0.3">
      <c r="F6237"/>
      <c r="G6237"/>
      <c r="H6237"/>
      <c r="I6237"/>
    </row>
    <row r="6238" spans="6:9" x14ac:dyDescent="0.3">
      <c r="F6238"/>
      <c r="G6238"/>
      <c r="H6238"/>
      <c r="I6238"/>
    </row>
    <row r="6239" spans="6:9" x14ac:dyDescent="0.3">
      <c r="F6239"/>
      <c r="G6239"/>
      <c r="H6239"/>
      <c r="I6239"/>
    </row>
    <row r="6240" spans="6:9" x14ac:dyDescent="0.3">
      <c r="F6240"/>
      <c r="G6240"/>
      <c r="H6240"/>
      <c r="I6240"/>
    </row>
    <row r="6241" spans="6:9" x14ac:dyDescent="0.3">
      <c r="F6241"/>
      <c r="G6241"/>
      <c r="H6241"/>
      <c r="I6241"/>
    </row>
    <row r="6242" spans="6:9" x14ac:dyDescent="0.3">
      <c r="F6242"/>
      <c r="G6242"/>
      <c r="H6242"/>
      <c r="I6242"/>
    </row>
    <row r="6243" spans="6:9" x14ac:dyDescent="0.3">
      <c r="F6243"/>
      <c r="G6243"/>
      <c r="H6243"/>
      <c r="I6243"/>
    </row>
    <row r="6244" spans="6:9" x14ac:dyDescent="0.3">
      <c r="F6244"/>
      <c r="G6244"/>
      <c r="H6244"/>
      <c r="I6244"/>
    </row>
    <row r="6245" spans="6:9" x14ac:dyDescent="0.3">
      <c r="F6245"/>
      <c r="G6245"/>
      <c r="H6245"/>
      <c r="I6245"/>
    </row>
    <row r="6246" spans="6:9" x14ac:dyDescent="0.3">
      <c r="F6246"/>
      <c r="G6246"/>
      <c r="H6246"/>
      <c r="I6246"/>
    </row>
    <row r="6247" spans="6:9" x14ac:dyDescent="0.3">
      <c r="F6247"/>
      <c r="G6247"/>
      <c r="H6247"/>
      <c r="I6247"/>
    </row>
    <row r="6248" spans="6:9" x14ac:dyDescent="0.3">
      <c r="F6248"/>
      <c r="G6248"/>
      <c r="H6248"/>
      <c r="I6248"/>
    </row>
    <row r="6249" spans="6:9" x14ac:dyDescent="0.3">
      <c r="F6249"/>
      <c r="G6249"/>
      <c r="H6249"/>
      <c r="I6249"/>
    </row>
    <row r="6250" spans="6:9" x14ac:dyDescent="0.3">
      <c r="F6250"/>
      <c r="G6250"/>
      <c r="H6250"/>
      <c r="I6250"/>
    </row>
    <row r="6251" spans="6:9" x14ac:dyDescent="0.3">
      <c r="F6251"/>
      <c r="G6251"/>
      <c r="H6251"/>
      <c r="I6251"/>
    </row>
    <row r="6252" spans="6:9" x14ac:dyDescent="0.3">
      <c r="F6252"/>
      <c r="G6252"/>
      <c r="H6252"/>
      <c r="I6252"/>
    </row>
    <row r="6253" spans="6:9" x14ac:dyDescent="0.3">
      <c r="F6253"/>
      <c r="G6253"/>
      <c r="H6253"/>
      <c r="I6253"/>
    </row>
    <row r="6254" spans="6:9" x14ac:dyDescent="0.3">
      <c r="F6254"/>
      <c r="G6254"/>
      <c r="H6254"/>
      <c r="I6254"/>
    </row>
    <row r="6255" spans="6:9" x14ac:dyDescent="0.3">
      <c r="F6255"/>
      <c r="G6255"/>
      <c r="H6255"/>
      <c r="I6255"/>
    </row>
    <row r="6256" spans="6:9" x14ac:dyDescent="0.3">
      <c r="F6256"/>
      <c r="G6256"/>
      <c r="H6256"/>
      <c r="I6256"/>
    </row>
    <row r="6257" spans="6:9" x14ac:dyDescent="0.3">
      <c r="F6257"/>
      <c r="G6257"/>
      <c r="H6257"/>
      <c r="I6257"/>
    </row>
    <row r="6258" spans="6:9" x14ac:dyDescent="0.3">
      <c r="F6258"/>
      <c r="G6258"/>
      <c r="H6258"/>
      <c r="I6258"/>
    </row>
    <row r="6259" spans="6:9" x14ac:dyDescent="0.3">
      <c r="F6259"/>
      <c r="G6259"/>
      <c r="H6259"/>
      <c r="I6259"/>
    </row>
    <row r="6260" spans="6:9" x14ac:dyDescent="0.3">
      <c r="F6260"/>
      <c r="G6260"/>
      <c r="H6260"/>
      <c r="I6260"/>
    </row>
    <row r="6261" spans="6:9" x14ac:dyDescent="0.3">
      <c r="F6261"/>
      <c r="G6261"/>
      <c r="H6261"/>
      <c r="I6261"/>
    </row>
    <row r="6262" spans="6:9" x14ac:dyDescent="0.3">
      <c r="F6262"/>
      <c r="G6262"/>
      <c r="H6262"/>
      <c r="I6262"/>
    </row>
    <row r="6263" spans="6:9" x14ac:dyDescent="0.3">
      <c r="F6263"/>
      <c r="G6263"/>
      <c r="H6263"/>
      <c r="I6263"/>
    </row>
    <row r="6264" spans="6:9" x14ac:dyDescent="0.3">
      <c r="F6264"/>
      <c r="G6264"/>
      <c r="H6264"/>
      <c r="I6264"/>
    </row>
    <row r="6265" spans="6:9" x14ac:dyDescent="0.3">
      <c r="F6265"/>
      <c r="G6265"/>
      <c r="H6265"/>
      <c r="I6265"/>
    </row>
    <row r="6266" spans="6:9" x14ac:dyDescent="0.3">
      <c r="F6266"/>
      <c r="G6266"/>
      <c r="H6266"/>
      <c r="I6266"/>
    </row>
    <row r="6267" spans="6:9" x14ac:dyDescent="0.3">
      <c r="F6267"/>
      <c r="G6267"/>
      <c r="H6267"/>
      <c r="I6267"/>
    </row>
    <row r="6268" spans="6:9" x14ac:dyDescent="0.3">
      <c r="F6268"/>
      <c r="G6268"/>
      <c r="H6268"/>
      <c r="I6268"/>
    </row>
    <row r="6269" spans="6:9" x14ac:dyDescent="0.3">
      <c r="F6269"/>
      <c r="G6269"/>
      <c r="H6269"/>
      <c r="I6269"/>
    </row>
    <row r="6270" spans="6:9" x14ac:dyDescent="0.3">
      <c r="F6270"/>
      <c r="G6270"/>
      <c r="H6270"/>
      <c r="I6270"/>
    </row>
    <row r="6271" spans="6:9" x14ac:dyDescent="0.3">
      <c r="F6271"/>
      <c r="G6271"/>
      <c r="H6271"/>
      <c r="I6271"/>
    </row>
    <row r="6272" spans="6:9" x14ac:dyDescent="0.3">
      <c r="F6272"/>
      <c r="G6272"/>
      <c r="H6272"/>
      <c r="I6272"/>
    </row>
    <row r="6273" spans="6:9" x14ac:dyDescent="0.3">
      <c r="F6273"/>
      <c r="G6273"/>
      <c r="H6273"/>
      <c r="I6273"/>
    </row>
    <row r="6274" spans="6:9" x14ac:dyDescent="0.3">
      <c r="F6274"/>
      <c r="G6274"/>
      <c r="H6274"/>
      <c r="I6274"/>
    </row>
    <row r="6275" spans="6:9" x14ac:dyDescent="0.3">
      <c r="F6275"/>
      <c r="G6275"/>
      <c r="H6275"/>
      <c r="I6275"/>
    </row>
    <row r="6276" spans="6:9" x14ac:dyDescent="0.3">
      <c r="F6276"/>
      <c r="G6276"/>
      <c r="H6276"/>
      <c r="I6276"/>
    </row>
    <row r="6277" spans="6:9" x14ac:dyDescent="0.3">
      <c r="F6277"/>
      <c r="G6277"/>
      <c r="H6277"/>
      <c r="I6277"/>
    </row>
    <row r="6278" spans="6:9" x14ac:dyDescent="0.3">
      <c r="F6278"/>
      <c r="G6278"/>
      <c r="H6278"/>
      <c r="I6278"/>
    </row>
    <row r="6279" spans="6:9" x14ac:dyDescent="0.3">
      <c r="F6279"/>
      <c r="G6279"/>
      <c r="H6279"/>
      <c r="I6279"/>
    </row>
    <row r="6280" spans="6:9" x14ac:dyDescent="0.3">
      <c r="F6280"/>
      <c r="G6280"/>
      <c r="H6280"/>
      <c r="I6280"/>
    </row>
    <row r="6281" spans="6:9" x14ac:dyDescent="0.3">
      <c r="F6281"/>
      <c r="G6281"/>
      <c r="H6281"/>
      <c r="I6281"/>
    </row>
    <row r="6282" spans="6:9" x14ac:dyDescent="0.3">
      <c r="F6282"/>
      <c r="G6282"/>
      <c r="H6282"/>
      <c r="I6282"/>
    </row>
    <row r="6283" spans="6:9" x14ac:dyDescent="0.3">
      <c r="F6283"/>
      <c r="G6283"/>
      <c r="H6283"/>
      <c r="I6283"/>
    </row>
    <row r="6284" spans="6:9" x14ac:dyDescent="0.3">
      <c r="F6284"/>
      <c r="G6284"/>
      <c r="H6284"/>
      <c r="I6284"/>
    </row>
    <row r="6285" spans="6:9" x14ac:dyDescent="0.3">
      <c r="F6285"/>
      <c r="G6285"/>
      <c r="H6285"/>
      <c r="I6285"/>
    </row>
    <row r="6286" spans="6:9" x14ac:dyDescent="0.3">
      <c r="F6286"/>
      <c r="G6286"/>
      <c r="H6286"/>
      <c r="I6286"/>
    </row>
    <row r="6287" spans="6:9" x14ac:dyDescent="0.3">
      <c r="F6287"/>
      <c r="G6287"/>
      <c r="H6287"/>
      <c r="I6287"/>
    </row>
    <row r="6288" spans="6:9" x14ac:dyDescent="0.3">
      <c r="F6288"/>
      <c r="G6288"/>
      <c r="H6288"/>
      <c r="I6288"/>
    </row>
    <row r="6289" spans="6:9" x14ac:dyDescent="0.3">
      <c r="F6289"/>
      <c r="G6289"/>
      <c r="H6289"/>
      <c r="I6289"/>
    </row>
    <row r="6290" spans="6:9" x14ac:dyDescent="0.3">
      <c r="F6290"/>
      <c r="G6290"/>
      <c r="H6290"/>
      <c r="I6290"/>
    </row>
    <row r="6291" spans="6:9" x14ac:dyDescent="0.3">
      <c r="F6291"/>
      <c r="G6291"/>
      <c r="H6291"/>
      <c r="I6291"/>
    </row>
    <row r="6292" spans="6:9" x14ac:dyDescent="0.3">
      <c r="F6292"/>
      <c r="G6292"/>
      <c r="H6292"/>
      <c r="I6292"/>
    </row>
    <row r="6293" spans="6:9" x14ac:dyDescent="0.3">
      <c r="F6293"/>
      <c r="G6293"/>
      <c r="H6293"/>
      <c r="I6293"/>
    </row>
    <row r="6294" spans="6:9" x14ac:dyDescent="0.3">
      <c r="F6294"/>
      <c r="G6294"/>
      <c r="H6294"/>
      <c r="I6294"/>
    </row>
    <row r="6295" spans="6:9" x14ac:dyDescent="0.3">
      <c r="F6295"/>
      <c r="G6295"/>
      <c r="H6295"/>
      <c r="I6295"/>
    </row>
    <row r="6296" spans="6:9" x14ac:dyDescent="0.3">
      <c r="F6296"/>
      <c r="G6296"/>
      <c r="H6296"/>
      <c r="I6296"/>
    </row>
    <row r="6297" spans="6:9" x14ac:dyDescent="0.3">
      <c r="F6297"/>
      <c r="G6297"/>
      <c r="H6297"/>
      <c r="I6297"/>
    </row>
    <row r="6298" spans="6:9" x14ac:dyDescent="0.3">
      <c r="F6298"/>
      <c r="G6298"/>
      <c r="H6298"/>
      <c r="I6298"/>
    </row>
    <row r="6299" spans="6:9" x14ac:dyDescent="0.3">
      <c r="F6299"/>
      <c r="G6299"/>
      <c r="H6299"/>
      <c r="I6299"/>
    </row>
    <row r="6300" spans="6:9" x14ac:dyDescent="0.3">
      <c r="F6300"/>
      <c r="G6300"/>
      <c r="H6300"/>
      <c r="I6300"/>
    </row>
    <row r="6301" spans="6:9" x14ac:dyDescent="0.3">
      <c r="F6301"/>
      <c r="G6301"/>
      <c r="H6301"/>
      <c r="I6301"/>
    </row>
    <row r="6302" spans="6:9" x14ac:dyDescent="0.3">
      <c r="F6302"/>
      <c r="G6302"/>
      <c r="H6302"/>
      <c r="I6302"/>
    </row>
    <row r="6303" spans="6:9" x14ac:dyDescent="0.3">
      <c r="F6303"/>
      <c r="G6303"/>
      <c r="H6303"/>
      <c r="I6303"/>
    </row>
    <row r="6304" spans="6:9" x14ac:dyDescent="0.3">
      <c r="F6304"/>
      <c r="G6304"/>
      <c r="H6304"/>
      <c r="I6304"/>
    </row>
    <row r="6305" spans="6:9" x14ac:dyDescent="0.3">
      <c r="F6305"/>
      <c r="G6305"/>
      <c r="H6305"/>
      <c r="I6305"/>
    </row>
    <row r="6306" spans="6:9" x14ac:dyDescent="0.3">
      <c r="F6306"/>
      <c r="G6306"/>
      <c r="H6306"/>
      <c r="I6306"/>
    </row>
    <row r="6307" spans="6:9" x14ac:dyDescent="0.3">
      <c r="F6307"/>
      <c r="G6307"/>
      <c r="H6307"/>
      <c r="I6307"/>
    </row>
    <row r="6308" spans="6:9" x14ac:dyDescent="0.3">
      <c r="F6308"/>
      <c r="G6308"/>
      <c r="H6308"/>
      <c r="I6308"/>
    </row>
    <row r="6309" spans="6:9" x14ac:dyDescent="0.3">
      <c r="F6309"/>
      <c r="G6309"/>
      <c r="H6309"/>
      <c r="I6309"/>
    </row>
    <row r="6310" spans="6:9" x14ac:dyDescent="0.3">
      <c r="F6310"/>
      <c r="G6310"/>
      <c r="H6310"/>
      <c r="I6310"/>
    </row>
    <row r="6311" spans="6:9" x14ac:dyDescent="0.3">
      <c r="F6311"/>
      <c r="G6311"/>
      <c r="H6311"/>
      <c r="I6311"/>
    </row>
    <row r="6312" spans="6:9" x14ac:dyDescent="0.3">
      <c r="F6312"/>
      <c r="G6312"/>
      <c r="H6312"/>
      <c r="I6312"/>
    </row>
    <row r="6313" spans="6:9" x14ac:dyDescent="0.3">
      <c r="F6313"/>
      <c r="G6313"/>
      <c r="H6313"/>
      <c r="I6313"/>
    </row>
    <row r="6314" spans="6:9" x14ac:dyDescent="0.3">
      <c r="F6314"/>
      <c r="G6314"/>
      <c r="H6314"/>
      <c r="I6314"/>
    </row>
    <row r="6315" spans="6:9" x14ac:dyDescent="0.3">
      <c r="F6315"/>
      <c r="G6315"/>
      <c r="H6315"/>
      <c r="I6315"/>
    </row>
    <row r="6316" spans="6:9" x14ac:dyDescent="0.3">
      <c r="F6316"/>
      <c r="G6316"/>
      <c r="H6316"/>
      <c r="I6316"/>
    </row>
    <row r="6317" spans="6:9" x14ac:dyDescent="0.3">
      <c r="F6317"/>
      <c r="G6317"/>
      <c r="H6317"/>
      <c r="I6317"/>
    </row>
    <row r="6318" spans="6:9" x14ac:dyDescent="0.3">
      <c r="F6318"/>
      <c r="G6318"/>
      <c r="H6318"/>
      <c r="I6318"/>
    </row>
    <row r="6319" spans="6:9" x14ac:dyDescent="0.3">
      <c r="F6319"/>
      <c r="G6319"/>
      <c r="H6319"/>
      <c r="I6319"/>
    </row>
    <row r="6320" spans="6:9" x14ac:dyDescent="0.3">
      <c r="F6320"/>
      <c r="G6320"/>
      <c r="H6320"/>
      <c r="I6320"/>
    </row>
    <row r="6321" spans="6:9" x14ac:dyDescent="0.3">
      <c r="F6321"/>
      <c r="G6321"/>
      <c r="H6321"/>
      <c r="I6321"/>
    </row>
    <row r="6322" spans="6:9" x14ac:dyDescent="0.3">
      <c r="F6322"/>
      <c r="G6322"/>
      <c r="H6322"/>
      <c r="I6322"/>
    </row>
    <row r="6323" spans="6:9" x14ac:dyDescent="0.3">
      <c r="F6323"/>
      <c r="G6323"/>
      <c r="H6323"/>
      <c r="I6323"/>
    </row>
    <row r="6324" spans="6:9" x14ac:dyDescent="0.3">
      <c r="F6324"/>
      <c r="G6324"/>
      <c r="H6324"/>
      <c r="I6324"/>
    </row>
    <row r="6325" spans="6:9" x14ac:dyDescent="0.3">
      <c r="F6325"/>
      <c r="G6325"/>
      <c r="H6325"/>
      <c r="I6325"/>
    </row>
    <row r="6326" spans="6:9" x14ac:dyDescent="0.3">
      <c r="F6326"/>
      <c r="G6326"/>
      <c r="H6326"/>
      <c r="I6326"/>
    </row>
    <row r="6327" spans="6:9" x14ac:dyDescent="0.3">
      <c r="F6327"/>
      <c r="G6327"/>
      <c r="H6327"/>
      <c r="I6327"/>
    </row>
    <row r="6328" spans="6:9" x14ac:dyDescent="0.3">
      <c r="F6328"/>
      <c r="G6328"/>
      <c r="H6328"/>
      <c r="I6328"/>
    </row>
    <row r="6329" spans="6:9" x14ac:dyDescent="0.3">
      <c r="F6329"/>
      <c r="G6329"/>
      <c r="H6329"/>
      <c r="I6329"/>
    </row>
    <row r="6330" spans="6:9" x14ac:dyDescent="0.3">
      <c r="F6330"/>
      <c r="G6330"/>
      <c r="H6330"/>
      <c r="I6330"/>
    </row>
    <row r="6331" spans="6:9" x14ac:dyDescent="0.3">
      <c r="F6331"/>
      <c r="G6331"/>
      <c r="H6331"/>
      <c r="I6331"/>
    </row>
    <row r="6332" spans="6:9" x14ac:dyDescent="0.3">
      <c r="F6332"/>
      <c r="G6332"/>
      <c r="H6332"/>
      <c r="I6332"/>
    </row>
    <row r="6333" spans="6:9" x14ac:dyDescent="0.3">
      <c r="F6333"/>
      <c r="G6333"/>
      <c r="H6333"/>
      <c r="I6333"/>
    </row>
    <row r="6334" spans="6:9" x14ac:dyDescent="0.3">
      <c r="F6334"/>
      <c r="G6334"/>
      <c r="H6334"/>
      <c r="I6334"/>
    </row>
    <row r="6335" spans="6:9" x14ac:dyDescent="0.3">
      <c r="F6335"/>
      <c r="G6335"/>
      <c r="H6335"/>
      <c r="I6335"/>
    </row>
    <row r="6336" spans="6:9" x14ac:dyDescent="0.3">
      <c r="F6336"/>
      <c r="G6336"/>
      <c r="H6336"/>
      <c r="I6336"/>
    </row>
    <row r="6337" spans="6:9" x14ac:dyDescent="0.3">
      <c r="F6337"/>
      <c r="G6337"/>
      <c r="H6337"/>
      <c r="I6337"/>
    </row>
    <row r="6338" spans="6:9" x14ac:dyDescent="0.3">
      <c r="F6338"/>
      <c r="G6338"/>
      <c r="H6338"/>
      <c r="I6338"/>
    </row>
    <row r="6339" spans="6:9" x14ac:dyDescent="0.3">
      <c r="F6339"/>
      <c r="G6339"/>
      <c r="H6339"/>
      <c r="I6339"/>
    </row>
    <row r="6340" spans="6:9" x14ac:dyDescent="0.3">
      <c r="F6340"/>
      <c r="G6340"/>
      <c r="H6340"/>
      <c r="I6340"/>
    </row>
    <row r="6341" spans="6:9" x14ac:dyDescent="0.3">
      <c r="F6341"/>
      <c r="G6341"/>
      <c r="H6341"/>
      <c r="I6341"/>
    </row>
    <row r="6342" spans="6:9" x14ac:dyDescent="0.3">
      <c r="F6342"/>
      <c r="G6342"/>
      <c r="H6342"/>
      <c r="I6342"/>
    </row>
    <row r="6343" spans="6:9" x14ac:dyDescent="0.3">
      <c r="F6343"/>
      <c r="G6343"/>
      <c r="H6343"/>
      <c r="I6343"/>
    </row>
    <row r="6344" spans="6:9" x14ac:dyDescent="0.3">
      <c r="F6344"/>
      <c r="G6344"/>
      <c r="H6344"/>
      <c r="I6344"/>
    </row>
    <row r="6345" spans="6:9" x14ac:dyDescent="0.3">
      <c r="F6345"/>
      <c r="G6345"/>
      <c r="H6345"/>
      <c r="I6345"/>
    </row>
    <row r="6346" spans="6:9" x14ac:dyDescent="0.3">
      <c r="F6346"/>
      <c r="G6346"/>
      <c r="H6346"/>
      <c r="I6346"/>
    </row>
    <row r="6347" spans="6:9" x14ac:dyDescent="0.3">
      <c r="F6347"/>
      <c r="G6347"/>
      <c r="H6347"/>
      <c r="I6347"/>
    </row>
    <row r="6348" spans="6:9" x14ac:dyDescent="0.3">
      <c r="F6348"/>
      <c r="G6348"/>
      <c r="H6348"/>
      <c r="I6348"/>
    </row>
    <row r="6349" spans="6:9" x14ac:dyDescent="0.3">
      <c r="F6349"/>
      <c r="G6349"/>
      <c r="H6349"/>
      <c r="I6349"/>
    </row>
    <row r="6350" spans="6:9" x14ac:dyDescent="0.3">
      <c r="F6350"/>
      <c r="G6350"/>
      <c r="H6350"/>
      <c r="I6350"/>
    </row>
    <row r="6351" spans="6:9" x14ac:dyDescent="0.3">
      <c r="F6351"/>
      <c r="G6351"/>
      <c r="H6351"/>
      <c r="I6351"/>
    </row>
    <row r="6352" spans="6:9" x14ac:dyDescent="0.3">
      <c r="F6352"/>
      <c r="G6352"/>
      <c r="H6352"/>
      <c r="I6352"/>
    </row>
    <row r="6353" spans="6:9" x14ac:dyDescent="0.3">
      <c r="F6353"/>
      <c r="G6353"/>
      <c r="H6353"/>
      <c r="I6353"/>
    </row>
    <row r="6354" spans="6:9" x14ac:dyDescent="0.3">
      <c r="F6354"/>
      <c r="G6354"/>
      <c r="H6354"/>
      <c r="I6354"/>
    </row>
    <row r="6355" spans="6:9" x14ac:dyDescent="0.3">
      <c r="F6355"/>
      <c r="G6355"/>
      <c r="H6355"/>
      <c r="I6355"/>
    </row>
    <row r="6356" spans="6:9" x14ac:dyDescent="0.3">
      <c r="F6356"/>
      <c r="G6356"/>
      <c r="H6356"/>
      <c r="I6356"/>
    </row>
    <row r="6357" spans="6:9" x14ac:dyDescent="0.3">
      <c r="F6357"/>
      <c r="G6357"/>
      <c r="H6357"/>
      <c r="I6357"/>
    </row>
    <row r="6358" spans="6:9" x14ac:dyDescent="0.3">
      <c r="F6358"/>
      <c r="G6358"/>
      <c r="H6358"/>
      <c r="I6358"/>
    </row>
    <row r="6359" spans="6:9" x14ac:dyDescent="0.3">
      <c r="F6359"/>
      <c r="G6359"/>
      <c r="H6359"/>
      <c r="I6359"/>
    </row>
    <row r="6360" spans="6:9" x14ac:dyDescent="0.3">
      <c r="F6360"/>
      <c r="G6360"/>
      <c r="H6360"/>
      <c r="I6360"/>
    </row>
    <row r="6361" spans="6:9" x14ac:dyDescent="0.3">
      <c r="F6361"/>
      <c r="G6361"/>
      <c r="H6361"/>
      <c r="I6361"/>
    </row>
    <row r="6362" spans="6:9" x14ac:dyDescent="0.3">
      <c r="F6362"/>
      <c r="G6362"/>
      <c r="H6362"/>
      <c r="I6362"/>
    </row>
    <row r="6363" spans="6:9" x14ac:dyDescent="0.3">
      <c r="F6363"/>
      <c r="G6363"/>
      <c r="H6363"/>
      <c r="I6363"/>
    </row>
    <row r="6364" spans="6:9" x14ac:dyDescent="0.3">
      <c r="F6364"/>
      <c r="G6364"/>
      <c r="H6364"/>
      <c r="I6364"/>
    </row>
    <row r="6365" spans="6:9" x14ac:dyDescent="0.3">
      <c r="F6365"/>
      <c r="G6365"/>
      <c r="H6365"/>
      <c r="I6365"/>
    </row>
    <row r="6366" spans="6:9" x14ac:dyDescent="0.3">
      <c r="F6366"/>
      <c r="G6366"/>
      <c r="H6366"/>
      <c r="I6366"/>
    </row>
    <row r="6367" spans="6:9" x14ac:dyDescent="0.3">
      <c r="F6367"/>
      <c r="G6367"/>
      <c r="H6367"/>
      <c r="I6367"/>
    </row>
    <row r="6368" spans="6:9" x14ac:dyDescent="0.3">
      <c r="F6368"/>
      <c r="G6368"/>
      <c r="H6368"/>
      <c r="I6368"/>
    </row>
    <row r="6369" spans="6:9" x14ac:dyDescent="0.3">
      <c r="F6369"/>
      <c r="G6369"/>
      <c r="H6369"/>
      <c r="I6369"/>
    </row>
    <row r="6370" spans="6:9" x14ac:dyDescent="0.3">
      <c r="F6370"/>
      <c r="G6370"/>
      <c r="H6370"/>
      <c r="I6370"/>
    </row>
    <row r="6371" spans="6:9" x14ac:dyDescent="0.3">
      <c r="F6371"/>
      <c r="G6371"/>
      <c r="H6371"/>
      <c r="I6371"/>
    </row>
    <row r="6372" spans="6:9" x14ac:dyDescent="0.3">
      <c r="F6372"/>
      <c r="G6372"/>
      <c r="H6372"/>
      <c r="I6372"/>
    </row>
    <row r="6373" spans="6:9" x14ac:dyDescent="0.3">
      <c r="F6373"/>
      <c r="G6373"/>
      <c r="H6373"/>
      <c r="I6373"/>
    </row>
    <row r="6374" spans="6:9" x14ac:dyDescent="0.3">
      <c r="F6374"/>
      <c r="G6374"/>
      <c r="H6374"/>
      <c r="I6374"/>
    </row>
    <row r="6375" spans="6:9" x14ac:dyDescent="0.3">
      <c r="F6375"/>
      <c r="G6375"/>
      <c r="H6375"/>
      <c r="I6375"/>
    </row>
    <row r="6376" spans="6:9" x14ac:dyDescent="0.3">
      <c r="F6376"/>
      <c r="G6376"/>
      <c r="H6376"/>
      <c r="I6376"/>
    </row>
    <row r="6377" spans="6:9" x14ac:dyDescent="0.3">
      <c r="F6377"/>
      <c r="G6377"/>
      <c r="H6377"/>
      <c r="I6377"/>
    </row>
    <row r="6378" spans="6:9" x14ac:dyDescent="0.3">
      <c r="F6378"/>
      <c r="G6378"/>
      <c r="H6378"/>
      <c r="I6378"/>
    </row>
    <row r="6379" spans="6:9" x14ac:dyDescent="0.3">
      <c r="F6379"/>
      <c r="G6379"/>
      <c r="H6379"/>
      <c r="I6379"/>
    </row>
    <row r="6380" spans="6:9" x14ac:dyDescent="0.3">
      <c r="F6380"/>
      <c r="G6380"/>
      <c r="H6380"/>
      <c r="I6380"/>
    </row>
    <row r="6381" spans="6:9" x14ac:dyDescent="0.3">
      <c r="F6381"/>
      <c r="G6381"/>
      <c r="H6381"/>
      <c r="I6381"/>
    </row>
    <row r="6382" spans="6:9" x14ac:dyDescent="0.3">
      <c r="F6382"/>
      <c r="G6382"/>
      <c r="H6382"/>
      <c r="I6382"/>
    </row>
    <row r="6383" spans="6:9" x14ac:dyDescent="0.3">
      <c r="F6383"/>
      <c r="G6383"/>
      <c r="H6383"/>
      <c r="I6383"/>
    </row>
    <row r="6384" spans="6:9" x14ac:dyDescent="0.3">
      <c r="F6384"/>
      <c r="G6384"/>
      <c r="H6384"/>
      <c r="I6384"/>
    </row>
    <row r="6385" spans="6:9" x14ac:dyDescent="0.3">
      <c r="F6385"/>
      <c r="G6385"/>
      <c r="H6385"/>
      <c r="I6385"/>
    </row>
    <row r="6386" spans="6:9" x14ac:dyDescent="0.3">
      <c r="F6386"/>
      <c r="G6386"/>
      <c r="H6386"/>
      <c r="I6386"/>
    </row>
    <row r="6387" spans="6:9" x14ac:dyDescent="0.3">
      <c r="F6387"/>
      <c r="G6387"/>
      <c r="H6387"/>
      <c r="I6387"/>
    </row>
    <row r="6388" spans="6:9" x14ac:dyDescent="0.3">
      <c r="F6388"/>
      <c r="G6388"/>
      <c r="H6388"/>
      <c r="I6388"/>
    </row>
    <row r="6389" spans="6:9" x14ac:dyDescent="0.3">
      <c r="F6389"/>
      <c r="G6389"/>
      <c r="H6389"/>
      <c r="I6389"/>
    </row>
    <row r="6390" spans="6:9" x14ac:dyDescent="0.3">
      <c r="F6390"/>
      <c r="G6390"/>
      <c r="H6390"/>
      <c r="I6390"/>
    </row>
    <row r="6391" spans="6:9" x14ac:dyDescent="0.3">
      <c r="F6391"/>
      <c r="G6391"/>
      <c r="H6391"/>
      <c r="I6391"/>
    </row>
    <row r="6392" spans="6:9" x14ac:dyDescent="0.3">
      <c r="F6392"/>
      <c r="G6392"/>
      <c r="H6392"/>
      <c r="I6392"/>
    </row>
    <row r="6393" spans="6:9" x14ac:dyDescent="0.3">
      <c r="F6393"/>
      <c r="G6393"/>
      <c r="H6393"/>
      <c r="I6393"/>
    </row>
    <row r="6394" spans="6:9" x14ac:dyDescent="0.3">
      <c r="F6394"/>
      <c r="G6394"/>
      <c r="H6394"/>
      <c r="I6394"/>
    </row>
    <row r="6395" spans="6:9" x14ac:dyDescent="0.3">
      <c r="F6395"/>
      <c r="G6395"/>
      <c r="H6395"/>
      <c r="I6395"/>
    </row>
    <row r="6396" spans="6:9" x14ac:dyDescent="0.3">
      <c r="F6396"/>
      <c r="G6396"/>
      <c r="H6396"/>
      <c r="I6396"/>
    </row>
    <row r="6397" spans="6:9" x14ac:dyDescent="0.3">
      <c r="F6397"/>
      <c r="G6397"/>
      <c r="H6397"/>
      <c r="I6397"/>
    </row>
    <row r="6398" spans="6:9" x14ac:dyDescent="0.3">
      <c r="F6398"/>
      <c r="G6398"/>
      <c r="H6398"/>
      <c r="I6398"/>
    </row>
    <row r="6399" spans="6:9" x14ac:dyDescent="0.3">
      <c r="F6399"/>
      <c r="G6399"/>
      <c r="H6399"/>
      <c r="I6399"/>
    </row>
    <row r="6400" spans="6:9" x14ac:dyDescent="0.3">
      <c r="F6400"/>
      <c r="G6400"/>
      <c r="H6400"/>
      <c r="I6400"/>
    </row>
    <row r="6401" spans="6:9" x14ac:dyDescent="0.3">
      <c r="F6401"/>
      <c r="G6401"/>
      <c r="H6401"/>
      <c r="I6401"/>
    </row>
    <row r="6402" spans="6:9" x14ac:dyDescent="0.3">
      <c r="F6402"/>
      <c r="G6402"/>
      <c r="H6402"/>
      <c r="I6402"/>
    </row>
    <row r="6403" spans="6:9" x14ac:dyDescent="0.3">
      <c r="F6403"/>
      <c r="G6403"/>
      <c r="H6403"/>
      <c r="I6403"/>
    </row>
    <row r="6404" spans="6:9" x14ac:dyDescent="0.3">
      <c r="F6404"/>
      <c r="G6404"/>
      <c r="H6404"/>
      <c r="I6404"/>
    </row>
    <row r="6405" spans="6:9" x14ac:dyDescent="0.3">
      <c r="F6405"/>
      <c r="G6405"/>
      <c r="H6405"/>
      <c r="I6405"/>
    </row>
    <row r="6406" spans="6:9" x14ac:dyDescent="0.3">
      <c r="F6406"/>
      <c r="G6406"/>
      <c r="H6406"/>
      <c r="I6406"/>
    </row>
    <row r="6407" spans="6:9" x14ac:dyDescent="0.3">
      <c r="F6407"/>
      <c r="G6407"/>
      <c r="H6407"/>
      <c r="I6407"/>
    </row>
    <row r="6408" spans="6:9" x14ac:dyDescent="0.3">
      <c r="F6408"/>
      <c r="G6408"/>
      <c r="H6408"/>
      <c r="I6408"/>
    </row>
    <row r="6409" spans="6:9" x14ac:dyDescent="0.3">
      <c r="F6409"/>
      <c r="G6409"/>
      <c r="H6409"/>
      <c r="I6409"/>
    </row>
    <row r="6410" spans="6:9" x14ac:dyDescent="0.3">
      <c r="F6410"/>
      <c r="G6410"/>
      <c r="H6410"/>
      <c r="I6410"/>
    </row>
    <row r="6411" spans="6:9" x14ac:dyDescent="0.3">
      <c r="F6411"/>
      <c r="G6411"/>
      <c r="H6411"/>
      <c r="I6411"/>
    </row>
    <row r="6412" spans="6:9" x14ac:dyDescent="0.3">
      <c r="F6412"/>
      <c r="G6412"/>
      <c r="H6412"/>
      <c r="I6412"/>
    </row>
    <row r="6413" spans="6:9" x14ac:dyDescent="0.3">
      <c r="F6413"/>
      <c r="G6413"/>
      <c r="H6413"/>
      <c r="I6413"/>
    </row>
    <row r="6414" spans="6:9" x14ac:dyDescent="0.3">
      <c r="F6414"/>
      <c r="G6414"/>
      <c r="H6414"/>
      <c r="I6414"/>
    </row>
    <row r="6415" spans="6:9" x14ac:dyDescent="0.3">
      <c r="F6415"/>
      <c r="G6415"/>
      <c r="H6415"/>
      <c r="I6415"/>
    </row>
    <row r="6416" spans="6:9" x14ac:dyDescent="0.3">
      <c r="F6416"/>
      <c r="G6416"/>
      <c r="H6416"/>
      <c r="I6416"/>
    </row>
    <row r="6417" spans="6:9" x14ac:dyDescent="0.3">
      <c r="F6417"/>
      <c r="G6417"/>
      <c r="H6417"/>
      <c r="I6417"/>
    </row>
    <row r="6418" spans="6:9" x14ac:dyDescent="0.3">
      <c r="F6418"/>
      <c r="G6418"/>
      <c r="H6418"/>
      <c r="I6418"/>
    </row>
    <row r="6419" spans="6:9" x14ac:dyDescent="0.3">
      <c r="F6419"/>
      <c r="G6419"/>
      <c r="H6419"/>
      <c r="I6419"/>
    </row>
    <row r="6420" spans="6:9" x14ac:dyDescent="0.3">
      <c r="F6420"/>
      <c r="G6420"/>
      <c r="H6420"/>
      <c r="I6420"/>
    </row>
    <row r="6421" spans="6:9" x14ac:dyDescent="0.3">
      <c r="F6421"/>
      <c r="G6421"/>
      <c r="H6421"/>
      <c r="I6421"/>
    </row>
    <row r="6422" spans="6:9" x14ac:dyDescent="0.3">
      <c r="F6422"/>
      <c r="G6422"/>
      <c r="H6422"/>
      <c r="I6422"/>
    </row>
    <row r="6423" spans="6:9" x14ac:dyDescent="0.3">
      <c r="F6423"/>
      <c r="G6423"/>
      <c r="H6423"/>
      <c r="I6423"/>
    </row>
    <row r="6424" spans="6:9" x14ac:dyDescent="0.3">
      <c r="F6424"/>
      <c r="G6424"/>
      <c r="H6424"/>
      <c r="I6424"/>
    </row>
    <row r="6425" spans="6:9" x14ac:dyDescent="0.3">
      <c r="F6425"/>
      <c r="G6425"/>
      <c r="H6425"/>
      <c r="I6425"/>
    </row>
    <row r="6426" spans="6:9" x14ac:dyDescent="0.3">
      <c r="F6426"/>
      <c r="G6426"/>
      <c r="H6426"/>
      <c r="I6426"/>
    </row>
    <row r="6427" spans="6:9" x14ac:dyDescent="0.3">
      <c r="F6427"/>
      <c r="G6427"/>
      <c r="H6427"/>
      <c r="I6427"/>
    </row>
    <row r="6428" spans="6:9" x14ac:dyDescent="0.3">
      <c r="F6428"/>
      <c r="G6428"/>
      <c r="H6428"/>
      <c r="I6428"/>
    </row>
    <row r="6429" spans="6:9" x14ac:dyDescent="0.3">
      <c r="F6429"/>
      <c r="G6429"/>
      <c r="H6429"/>
      <c r="I6429"/>
    </row>
    <row r="6430" spans="6:9" x14ac:dyDescent="0.3">
      <c r="F6430"/>
      <c r="G6430"/>
      <c r="H6430"/>
      <c r="I6430"/>
    </row>
    <row r="6431" spans="6:9" x14ac:dyDescent="0.3">
      <c r="F6431"/>
      <c r="G6431"/>
      <c r="H6431"/>
      <c r="I6431"/>
    </row>
    <row r="6432" spans="6:9" x14ac:dyDescent="0.3">
      <c r="F6432"/>
      <c r="G6432"/>
      <c r="H6432"/>
      <c r="I6432"/>
    </row>
    <row r="6433" spans="6:9" x14ac:dyDescent="0.3">
      <c r="F6433"/>
      <c r="G6433"/>
      <c r="H6433"/>
      <c r="I6433"/>
    </row>
    <row r="6434" spans="6:9" x14ac:dyDescent="0.3">
      <c r="F6434"/>
      <c r="G6434"/>
      <c r="H6434"/>
      <c r="I6434"/>
    </row>
    <row r="6435" spans="6:9" x14ac:dyDescent="0.3">
      <c r="F6435"/>
      <c r="G6435"/>
      <c r="H6435"/>
      <c r="I6435"/>
    </row>
    <row r="6436" spans="6:9" x14ac:dyDescent="0.3">
      <c r="F6436"/>
      <c r="G6436"/>
      <c r="H6436"/>
      <c r="I6436"/>
    </row>
    <row r="6437" spans="6:9" x14ac:dyDescent="0.3">
      <c r="F6437"/>
      <c r="G6437"/>
      <c r="H6437"/>
      <c r="I6437"/>
    </row>
    <row r="6438" spans="6:9" x14ac:dyDescent="0.3">
      <c r="F6438"/>
      <c r="G6438"/>
      <c r="H6438"/>
      <c r="I6438"/>
    </row>
    <row r="6439" spans="6:9" x14ac:dyDescent="0.3">
      <c r="F6439"/>
      <c r="G6439"/>
      <c r="H6439"/>
      <c r="I6439"/>
    </row>
    <row r="6440" spans="6:9" x14ac:dyDescent="0.3">
      <c r="F6440"/>
      <c r="G6440"/>
      <c r="H6440"/>
      <c r="I6440"/>
    </row>
    <row r="6441" spans="6:9" x14ac:dyDescent="0.3">
      <c r="F6441"/>
      <c r="G6441"/>
      <c r="H6441"/>
      <c r="I6441"/>
    </row>
    <row r="6442" spans="6:9" x14ac:dyDescent="0.3">
      <c r="F6442"/>
      <c r="G6442"/>
      <c r="H6442"/>
      <c r="I6442"/>
    </row>
    <row r="6443" spans="6:9" x14ac:dyDescent="0.3">
      <c r="F6443"/>
      <c r="G6443"/>
      <c r="H6443"/>
      <c r="I6443"/>
    </row>
    <row r="6444" spans="6:9" x14ac:dyDescent="0.3">
      <c r="F6444"/>
      <c r="G6444"/>
      <c r="H6444"/>
      <c r="I6444"/>
    </row>
    <row r="6445" spans="6:9" x14ac:dyDescent="0.3">
      <c r="F6445"/>
      <c r="G6445"/>
      <c r="H6445"/>
      <c r="I6445"/>
    </row>
    <row r="6446" spans="6:9" x14ac:dyDescent="0.3">
      <c r="F6446"/>
      <c r="G6446"/>
      <c r="H6446"/>
      <c r="I6446"/>
    </row>
    <row r="6447" spans="6:9" x14ac:dyDescent="0.3">
      <c r="F6447"/>
      <c r="G6447"/>
      <c r="H6447"/>
      <c r="I6447"/>
    </row>
    <row r="6448" spans="6:9" x14ac:dyDescent="0.3">
      <c r="F6448"/>
      <c r="G6448"/>
      <c r="H6448"/>
      <c r="I6448"/>
    </row>
    <row r="6449" spans="6:9" x14ac:dyDescent="0.3">
      <c r="F6449"/>
      <c r="G6449"/>
      <c r="H6449"/>
      <c r="I6449"/>
    </row>
    <row r="6450" spans="6:9" x14ac:dyDescent="0.3">
      <c r="F6450"/>
      <c r="G6450"/>
      <c r="H6450"/>
      <c r="I6450"/>
    </row>
    <row r="6451" spans="6:9" x14ac:dyDescent="0.3">
      <c r="F6451"/>
      <c r="G6451"/>
      <c r="H6451"/>
      <c r="I6451"/>
    </row>
    <row r="6452" spans="6:9" x14ac:dyDescent="0.3">
      <c r="F6452"/>
      <c r="G6452"/>
      <c r="H6452"/>
      <c r="I6452"/>
    </row>
    <row r="6453" spans="6:9" x14ac:dyDescent="0.3">
      <c r="F6453"/>
      <c r="G6453"/>
      <c r="H6453"/>
      <c r="I6453"/>
    </row>
    <row r="6454" spans="6:9" x14ac:dyDescent="0.3">
      <c r="F6454"/>
      <c r="G6454"/>
      <c r="H6454"/>
      <c r="I6454"/>
    </row>
    <row r="6455" spans="6:9" x14ac:dyDescent="0.3">
      <c r="F6455"/>
      <c r="G6455"/>
      <c r="H6455"/>
      <c r="I6455"/>
    </row>
    <row r="6456" spans="6:9" x14ac:dyDescent="0.3">
      <c r="F6456"/>
      <c r="G6456"/>
      <c r="H6456"/>
      <c r="I6456"/>
    </row>
    <row r="6457" spans="6:9" x14ac:dyDescent="0.3">
      <c r="F6457"/>
      <c r="G6457"/>
      <c r="H6457"/>
      <c r="I6457"/>
    </row>
    <row r="6458" spans="6:9" x14ac:dyDescent="0.3">
      <c r="F6458"/>
      <c r="G6458"/>
      <c r="H6458"/>
      <c r="I6458"/>
    </row>
    <row r="6459" spans="6:9" x14ac:dyDescent="0.3">
      <c r="F6459"/>
      <c r="G6459"/>
      <c r="H6459"/>
      <c r="I6459"/>
    </row>
    <row r="6460" spans="6:9" x14ac:dyDescent="0.3">
      <c r="F6460"/>
      <c r="G6460"/>
      <c r="H6460"/>
      <c r="I6460"/>
    </row>
    <row r="6461" spans="6:9" x14ac:dyDescent="0.3">
      <c r="F6461"/>
      <c r="G6461"/>
      <c r="H6461"/>
      <c r="I6461"/>
    </row>
    <row r="6462" spans="6:9" x14ac:dyDescent="0.3">
      <c r="F6462"/>
      <c r="G6462"/>
      <c r="H6462"/>
      <c r="I6462"/>
    </row>
    <row r="6463" spans="6:9" x14ac:dyDescent="0.3">
      <c r="F6463"/>
      <c r="G6463"/>
      <c r="H6463"/>
      <c r="I6463"/>
    </row>
    <row r="6464" spans="6:9" x14ac:dyDescent="0.3">
      <c r="F6464"/>
      <c r="G6464"/>
      <c r="H6464"/>
      <c r="I6464"/>
    </row>
    <row r="6465" spans="6:9" x14ac:dyDescent="0.3">
      <c r="F6465"/>
      <c r="G6465"/>
      <c r="H6465"/>
      <c r="I6465"/>
    </row>
    <row r="6466" spans="6:9" x14ac:dyDescent="0.3">
      <c r="F6466"/>
      <c r="G6466"/>
      <c r="H6466"/>
      <c r="I6466"/>
    </row>
    <row r="6467" spans="6:9" x14ac:dyDescent="0.3">
      <c r="F6467"/>
      <c r="G6467"/>
      <c r="H6467"/>
      <c r="I6467"/>
    </row>
    <row r="6468" spans="6:9" x14ac:dyDescent="0.3">
      <c r="F6468"/>
      <c r="G6468"/>
      <c r="H6468"/>
      <c r="I6468"/>
    </row>
    <row r="6469" spans="6:9" x14ac:dyDescent="0.3">
      <c r="F6469"/>
      <c r="G6469"/>
      <c r="H6469"/>
      <c r="I6469"/>
    </row>
    <row r="6470" spans="6:9" x14ac:dyDescent="0.3">
      <c r="F6470"/>
      <c r="G6470"/>
      <c r="H6470"/>
      <c r="I6470"/>
    </row>
    <row r="6471" spans="6:9" x14ac:dyDescent="0.3">
      <c r="F6471"/>
      <c r="G6471"/>
      <c r="H6471"/>
      <c r="I6471"/>
    </row>
    <row r="6472" spans="6:9" x14ac:dyDescent="0.3">
      <c r="F6472"/>
      <c r="G6472"/>
      <c r="H6472"/>
      <c r="I6472"/>
    </row>
    <row r="6473" spans="6:9" x14ac:dyDescent="0.3">
      <c r="F6473"/>
      <c r="G6473"/>
      <c r="H6473"/>
      <c r="I6473"/>
    </row>
    <row r="6474" spans="6:9" x14ac:dyDescent="0.3">
      <c r="F6474"/>
      <c r="G6474"/>
      <c r="H6474"/>
      <c r="I6474"/>
    </row>
    <row r="6475" spans="6:9" x14ac:dyDescent="0.3">
      <c r="F6475"/>
      <c r="G6475"/>
      <c r="H6475"/>
      <c r="I6475"/>
    </row>
    <row r="6476" spans="6:9" x14ac:dyDescent="0.3">
      <c r="F6476"/>
      <c r="G6476"/>
      <c r="H6476"/>
      <c r="I6476"/>
    </row>
    <row r="6477" spans="6:9" x14ac:dyDescent="0.3">
      <c r="F6477"/>
      <c r="G6477"/>
      <c r="H6477"/>
      <c r="I6477"/>
    </row>
    <row r="6478" spans="6:9" x14ac:dyDescent="0.3">
      <c r="F6478"/>
      <c r="G6478"/>
      <c r="H6478"/>
      <c r="I6478"/>
    </row>
    <row r="6479" spans="6:9" x14ac:dyDescent="0.3">
      <c r="F6479"/>
      <c r="G6479"/>
      <c r="H6479"/>
      <c r="I6479"/>
    </row>
    <row r="6480" spans="6:9" x14ac:dyDescent="0.3">
      <c r="F6480"/>
      <c r="G6480"/>
      <c r="H6480"/>
      <c r="I6480"/>
    </row>
    <row r="6481" spans="6:9" x14ac:dyDescent="0.3">
      <c r="F6481"/>
      <c r="G6481"/>
      <c r="H6481"/>
      <c r="I6481"/>
    </row>
    <row r="6482" spans="6:9" x14ac:dyDescent="0.3">
      <c r="F6482"/>
      <c r="G6482"/>
      <c r="H6482"/>
      <c r="I6482"/>
    </row>
    <row r="6483" spans="6:9" x14ac:dyDescent="0.3">
      <c r="F6483"/>
      <c r="G6483"/>
      <c r="H6483"/>
      <c r="I6483"/>
    </row>
    <row r="6484" spans="6:9" x14ac:dyDescent="0.3">
      <c r="F6484"/>
      <c r="G6484"/>
      <c r="H6484"/>
      <c r="I6484"/>
    </row>
    <row r="6485" spans="6:9" x14ac:dyDescent="0.3">
      <c r="F6485"/>
      <c r="G6485"/>
      <c r="H6485"/>
      <c r="I6485"/>
    </row>
    <row r="6486" spans="6:9" x14ac:dyDescent="0.3">
      <c r="F6486"/>
      <c r="G6486"/>
      <c r="H6486"/>
      <c r="I6486"/>
    </row>
    <row r="6487" spans="6:9" x14ac:dyDescent="0.3">
      <c r="F6487"/>
      <c r="G6487"/>
      <c r="H6487"/>
      <c r="I6487"/>
    </row>
    <row r="6488" spans="6:9" x14ac:dyDescent="0.3">
      <c r="F6488"/>
      <c r="G6488"/>
      <c r="H6488"/>
      <c r="I6488"/>
    </row>
    <row r="6489" spans="6:9" x14ac:dyDescent="0.3">
      <c r="F6489"/>
      <c r="G6489"/>
      <c r="H6489"/>
      <c r="I6489"/>
    </row>
    <row r="6490" spans="6:9" x14ac:dyDescent="0.3">
      <c r="F6490"/>
      <c r="G6490"/>
      <c r="H6490"/>
      <c r="I6490"/>
    </row>
    <row r="6491" spans="6:9" x14ac:dyDescent="0.3">
      <c r="F6491"/>
      <c r="G6491"/>
      <c r="H6491"/>
      <c r="I6491"/>
    </row>
    <row r="6492" spans="6:9" x14ac:dyDescent="0.3">
      <c r="F6492"/>
      <c r="G6492"/>
      <c r="H6492"/>
      <c r="I6492"/>
    </row>
    <row r="6493" spans="6:9" x14ac:dyDescent="0.3">
      <c r="F6493"/>
      <c r="G6493"/>
      <c r="H6493"/>
      <c r="I6493"/>
    </row>
    <row r="6494" spans="6:9" x14ac:dyDescent="0.3">
      <c r="F6494"/>
      <c r="G6494"/>
      <c r="H6494"/>
      <c r="I6494"/>
    </row>
    <row r="6495" spans="6:9" x14ac:dyDescent="0.3">
      <c r="F6495"/>
      <c r="G6495"/>
      <c r="H6495"/>
      <c r="I6495"/>
    </row>
    <row r="6496" spans="6:9" x14ac:dyDescent="0.3">
      <c r="F6496"/>
      <c r="G6496"/>
      <c r="H6496"/>
      <c r="I6496"/>
    </row>
    <row r="6497" spans="6:9" x14ac:dyDescent="0.3">
      <c r="F6497"/>
      <c r="G6497"/>
      <c r="H6497"/>
      <c r="I6497"/>
    </row>
    <row r="6498" spans="6:9" x14ac:dyDescent="0.3">
      <c r="F6498"/>
      <c r="G6498"/>
      <c r="H6498"/>
      <c r="I6498"/>
    </row>
    <row r="6499" spans="6:9" x14ac:dyDescent="0.3">
      <c r="F6499"/>
      <c r="G6499"/>
      <c r="H6499"/>
      <c r="I6499"/>
    </row>
    <row r="6500" spans="6:9" x14ac:dyDescent="0.3">
      <c r="F6500"/>
      <c r="G6500"/>
      <c r="H6500"/>
      <c r="I6500"/>
    </row>
    <row r="6501" spans="6:9" x14ac:dyDescent="0.3">
      <c r="F6501"/>
      <c r="G6501"/>
      <c r="H6501"/>
      <c r="I6501"/>
    </row>
    <row r="6502" spans="6:9" x14ac:dyDescent="0.3">
      <c r="F6502"/>
      <c r="G6502"/>
      <c r="H6502"/>
      <c r="I6502"/>
    </row>
    <row r="6503" spans="6:9" x14ac:dyDescent="0.3">
      <c r="F6503"/>
      <c r="G6503"/>
      <c r="H6503"/>
      <c r="I6503"/>
    </row>
    <row r="6504" spans="6:9" x14ac:dyDescent="0.3">
      <c r="F6504"/>
      <c r="G6504"/>
      <c r="H6504"/>
      <c r="I6504"/>
    </row>
    <row r="6505" spans="6:9" x14ac:dyDescent="0.3">
      <c r="F6505"/>
      <c r="G6505"/>
      <c r="H6505"/>
      <c r="I6505"/>
    </row>
    <row r="6506" spans="6:9" x14ac:dyDescent="0.3">
      <c r="F6506"/>
      <c r="G6506"/>
      <c r="H6506"/>
      <c r="I6506"/>
    </row>
    <row r="6507" spans="6:9" x14ac:dyDescent="0.3">
      <c r="F6507"/>
      <c r="G6507"/>
      <c r="H6507"/>
      <c r="I6507"/>
    </row>
    <row r="6508" spans="6:9" x14ac:dyDescent="0.3">
      <c r="F6508"/>
      <c r="G6508"/>
      <c r="H6508"/>
      <c r="I6508"/>
    </row>
    <row r="6509" spans="6:9" x14ac:dyDescent="0.3">
      <c r="F6509"/>
      <c r="G6509"/>
      <c r="H6509"/>
      <c r="I6509"/>
    </row>
    <row r="6510" spans="6:9" x14ac:dyDescent="0.3">
      <c r="F6510"/>
      <c r="G6510"/>
      <c r="H6510"/>
      <c r="I6510"/>
    </row>
    <row r="6511" spans="6:9" x14ac:dyDescent="0.3">
      <c r="F6511"/>
      <c r="G6511"/>
      <c r="H6511"/>
      <c r="I6511"/>
    </row>
    <row r="6512" spans="6:9" x14ac:dyDescent="0.3">
      <c r="F6512"/>
      <c r="G6512"/>
      <c r="H6512"/>
      <c r="I6512"/>
    </row>
    <row r="6513" spans="6:9" x14ac:dyDescent="0.3">
      <c r="F6513"/>
      <c r="G6513"/>
      <c r="H6513"/>
      <c r="I6513"/>
    </row>
    <row r="6514" spans="6:9" x14ac:dyDescent="0.3">
      <c r="F6514"/>
      <c r="G6514"/>
      <c r="H6514"/>
      <c r="I6514"/>
    </row>
    <row r="6515" spans="6:9" x14ac:dyDescent="0.3">
      <c r="F6515"/>
      <c r="G6515"/>
      <c r="H6515"/>
      <c r="I6515"/>
    </row>
    <row r="6516" spans="6:9" x14ac:dyDescent="0.3">
      <c r="F6516"/>
      <c r="G6516"/>
      <c r="H6516"/>
      <c r="I6516"/>
    </row>
    <row r="6517" spans="6:9" x14ac:dyDescent="0.3">
      <c r="F6517"/>
      <c r="G6517"/>
      <c r="H6517"/>
      <c r="I6517"/>
    </row>
    <row r="6518" spans="6:9" x14ac:dyDescent="0.3">
      <c r="F6518"/>
      <c r="G6518"/>
      <c r="H6518"/>
      <c r="I6518"/>
    </row>
    <row r="6519" spans="6:9" x14ac:dyDescent="0.3">
      <c r="F6519"/>
      <c r="G6519"/>
      <c r="H6519"/>
      <c r="I6519"/>
    </row>
    <row r="6520" spans="6:9" x14ac:dyDescent="0.3">
      <c r="F6520"/>
      <c r="G6520"/>
      <c r="H6520"/>
      <c r="I6520"/>
    </row>
    <row r="6521" spans="6:9" x14ac:dyDescent="0.3">
      <c r="F6521"/>
      <c r="G6521"/>
      <c r="H6521"/>
      <c r="I6521"/>
    </row>
    <row r="6522" spans="6:9" x14ac:dyDescent="0.3">
      <c r="F6522"/>
      <c r="G6522"/>
      <c r="H6522"/>
      <c r="I6522"/>
    </row>
    <row r="6523" spans="6:9" x14ac:dyDescent="0.3">
      <c r="F6523"/>
      <c r="G6523"/>
      <c r="H6523"/>
      <c r="I6523"/>
    </row>
    <row r="6524" spans="6:9" x14ac:dyDescent="0.3">
      <c r="F6524"/>
      <c r="G6524"/>
      <c r="H6524"/>
      <c r="I6524"/>
    </row>
    <row r="6525" spans="6:9" x14ac:dyDescent="0.3">
      <c r="F6525"/>
      <c r="G6525"/>
      <c r="H6525"/>
      <c r="I6525"/>
    </row>
    <row r="6526" spans="6:9" x14ac:dyDescent="0.3">
      <c r="F6526"/>
      <c r="G6526"/>
      <c r="H6526"/>
      <c r="I6526"/>
    </row>
    <row r="6527" spans="6:9" x14ac:dyDescent="0.3">
      <c r="F6527"/>
      <c r="G6527"/>
      <c r="H6527"/>
      <c r="I6527"/>
    </row>
    <row r="6528" spans="6:9" x14ac:dyDescent="0.3">
      <c r="F6528"/>
      <c r="G6528"/>
      <c r="H6528"/>
      <c r="I6528"/>
    </row>
    <row r="6529" spans="6:9" x14ac:dyDescent="0.3">
      <c r="F6529"/>
      <c r="G6529"/>
      <c r="H6529"/>
      <c r="I6529"/>
    </row>
    <row r="6530" spans="6:9" x14ac:dyDescent="0.3">
      <c r="F6530"/>
      <c r="G6530"/>
      <c r="H6530"/>
      <c r="I6530"/>
    </row>
    <row r="6531" spans="6:9" x14ac:dyDescent="0.3">
      <c r="F6531"/>
      <c r="G6531"/>
      <c r="H6531"/>
      <c r="I6531"/>
    </row>
    <row r="6532" spans="6:9" x14ac:dyDescent="0.3">
      <c r="F6532"/>
      <c r="G6532"/>
      <c r="H6532"/>
      <c r="I6532"/>
    </row>
    <row r="6533" spans="6:9" x14ac:dyDescent="0.3">
      <c r="F6533"/>
      <c r="G6533"/>
      <c r="H6533"/>
      <c r="I6533"/>
    </row>
    <row r="6534" spans="6:9" x14ac:dyDescent="0.3">
      <c r="F6534"/>
      <c r="G6534"/>
      <c r="H6534"/>
      <c r="I6534"/>
    </row>
    <row r="6535" spans="6:9" x14ac:dyDescent="0.3">
      <c r="F6535"/>
      <c r="G6535"/>
      <c r="H6535"/>
      <c r="I6535"/>
    </row>
    <row r="6536" spans="6:9" x14ac:dyDescent="0.3">
      <c r="F6536"/>
      <c r="G6536"/>
      <c r="H6536"/>
      <c r="I6536"/>
    </row>
    <row r="6537" spans="6:9" x14ac:dyDescent="0.3">
      <c r="F6537"/>
      <c r="G6537"/>
      <c r="H6537"/>
      <c r="I6537"/>
    </row>
    <row r="6538" spans="6:9" x14ac:dyDescent="0.3">
      <c r="F6538"/>
      <c r="G6538"/>
      <c r="H6538"/>
      <c r="I6538"/>
    </row>
    <row r="6539" spans="6:9" x14ac:dyDescent="0.3">
      <c r="F6539"/>
      <c r="G6539"/>
      <c r="H6539"/>
      <c r="I6539"/>
    </row>
    <row r="6540" spans="6:9" x14ac:dyDescent="0.3">
      <c r="F6540"/>
      <c r="G6540"/>
      <c r="H6540"/>
      <c r="I6540"/>
    </row>
    <row r="6541" spans="6:9" x14ac:dyDescent="0.3">
      <c r="F6541"/>
      <c r="G6541"/>
      <c r="H6541"/>
      <c r="I6541"/>
    </row>
    <row r="6542" spans="6:9" x14ac:dyDescent="0.3">
      <c r="F6542"/>
      <c r="G6542"/>
      <c r="H6542"/>
      <c r="I6542"/>
    </row>
    <row r="6543" spans="6:9" x14ac:dyDescent="0.3">
      <c r="F6543"/>
      <c r="G6543"/>
      <c r="H6543"/>
      <c r="I6543"/>
    </row>
    <row r="6544" spans="6:9" x14ac:dyDescent="0.3">
      <c r="F6544"/>
      <c r="G6544"/>
      <c r="H6544"/>
      <c r="I6544"/>
    </row>
    <row r="6545" spans="6:9" x14ac:dyDescent="0.3">
      <c r="F6545"/>
      <c r="G6545"/>
      <c r="H6545"/>
      <c r="I6545"/>
    </row>
    <row r="6546" spans="6:9" x14ac:dyDescent="0.3">
      <c r="F6546"/>
      <c r="G6546"/>
      <c r="H6546"/>
      <c r="I6546"/>
    </row>
    <row r="6547" spans="6:9" x14ac:dyDescent="0.3">
      <c r="F6547"/>
      <c r="G6547"/>
      <c r="H6547"/>
      <c r="I6547"/>
    </row>
    <row r="6548" spans="6:9" x14ac:dyDescent="0.3">
      <c r="F6548"/>
      <c r="G6548"/>
      <c r="H6548"/>
      <c r="I6548"/>
    </row>
    <row r="6549" spans="6:9" x14ac:dyDescent="0.3">
      <c r="F6549"/>
      <c r="G6549"/>
      <c r="H6549"/>
      <c r="I6549"/>
    </row>
    <row r="6550" spans="6:9" x14ac:dyDescent="0.3">
      <c r="F6550"/>
      <c r="G6550"/>
      <c r="H6550"/>
      <c r="I6550"/>
    </row>
    <row r="6551" spans="6:9" x14ac:dyDescent="0.3">
      <c r="F6551"/>
      <c r="G6551"/>
      <c r="H6551"/>
      <c r="I6551"/>
    </row>
    <row r="6552" spans="6:9" x14ac:dyDescent="0.3">
      <c r="F6552"/>
      <c r="G6552"/>
      <c r="H6552"/>
      <c r="I6552"/>
    </row>
    <row r="6553" spans="6:9" x14ac:dyDescent="0.3">
      <c r="F6553"/>
      <c r="G6553"/>
      <c r="H6553"/>
      <c r="I6553"/>
    </row>
    <row r="6554" spans="6:9" x14ac:dyDescent="0.3">
      <c r="F6554"/>
      <c r="G6554"/>
      <c r="H6554"/>
      <c r="I6554"/>
    </row>
    <row r="6555" spans="6:9" x14ac:dyDescent="0.3">
      <c r="F6555"/>
      <c r="G6555"/>
      <c r="H6555"/>
      <c r="I6555"/>
    </row>
    <row r="6556" spans="6:9" x14ac:dyDescent="0.3">
      <c r="F6556"/>
      <c r="G6556"/>
      <c r="H6556"/>
      <c r="I6556"/>
    </row>
    <row r="6557" spans="6:9" x14ac:dyDescent="0.3">
      <c r="F6557"/>
      <c r="G6557"/>
      <c r="H6557"/>
      <c r="I6557"/>
    </row>
    <row r="6558" spans="6:9" x14ac:dyDescent="0.3">
      <c r="F6558"/>
      <c r="G6558"/>
      <c r="H6558"/>
      <c r="I6558"/>
    </row>
    <row r="6559" spans="6:9" x14ac:dyDescent="0.3">
      <c r="F6559"/>
      <c r="G6559"/>
      <c r="H6559"/>
      <c r="I6559"/>
    </row>
    <row r="6560" spans="6:9" x14ac:dyDescent="0.3">
      <c r="F6560"/>
      <c r="G6560"/>
      <c r="H6560"/>
      <c r="I6560"/>
    </row>
    <row r="6561" spans="6:9" x14ac:dyDescent="0.3">
      <c r="F6561"/>
      <c r="G6561"/>
      <c r="H6561"/>
      <c r="I6561"/>
    </row>
    <row r="6562" spans="6:9" x14ac:dyDescent="0.3">
      <c r="F6562"/>
      <c r="G6562"/>
      <c r="H6562"/>
      <c r="I6562"/>
    </row>
    <row r="6563" spans="6:9" x14ac:dyDescent="0.3">
      <c r="F6563"/>
      <c r="G6563"/>
      <c r="H6563"/>
      <c r="I6563"/>
    </row>
    <row r="6564" spans="6:9" x14ac:dyDescent="0.3">
      <c r="F6564"/>
      <c r="G6564"/>
      <c r="H6564"/>
      <c r="I6564"/>
    </row>
    <row r="6565" spans="6:9" x14ac:dyDescent="0.3">
      <c r="F6565"/>
      <c r="G6565"/>
      <c r="H6565"/>
      <c r="I6565"/>
    </row>
    <row r="6566" spans="6:9" x14ac:dyDescent="0.3">
      <c r="F6566"/>
      <c r="G6566"/>
      <c r="H6566"/>
      <c r="I6566"/>
    </row>
    <row r="6567" spans="6:9" x14ac:dyDescent="0.3">
      <c r="F6567"/>
      <c r="G6567"/>
      <c r="H6567"/>
      <c r="I6567"/>
    </row>
    <row r="6568" spans="6:9" x14ac:dyDescent="0.3">
      <c r="F6568"/>
      <c r="G6568"/>
      <c r="H6568"/>
      <c r="I6568"/>
    </row>
    <row r="6569" spans="6:9" x14ac:dyDescent="0.3">
      <c r="F6569"/>
      <c r="G6569"/>
      <c r="H6569"/>
      <c r="I6569"/>
    </row>
    <row r="6570" spans="6:9" x14ac:dyDescent="0.3">
      <c r="F6570"/>
      <c r="G6570"/>
      <c r="H6570"/>
      <c r="I6570"/>
    </row>
    <row r="6571" spans="6:9" x14ac:dyDescent="0.3">
      <c r="F6571"/>
      <c r="G6571"/>
      <c r="H6571"/>
      <c r="I6571"/>
    </row>
    <row r="6572" spans="6:9" x14ac:dyDescent="0.3">
      <c r="F6572"/>
      <c r="G6572"/>
      <c r="H6572"/>
      <c r="I6572"/>
    </row>
    <row r="6573" spans="6:9" x14ac:dyDescent="0.3">
      <c r="F6573"/>
      <c r="G6573"/>
      <c r="H6573"/>
      <c r="I6573"/>
    </row>
    <row r="6574" spans="6:9" x14ac:dyDescent="0.3">
      <c r="F6574"/>
      <c r="G6574"/>
      <c r="H6574"/>
      <c r="I6574"/>
    </row>
    <row r="6575" spans="6:9" x14ac:dyDescent="0.3">
      <c r="F6575"/>
      <c r="G6575"/>
      <c r="H6575"/>
      <c r="I6575"/>
    </row>
    <row r="6576" spans="6:9" x14ac:dyDescent="0.3">
      <c r="F6576"/>
      <c r="G6576"/>
      <c r="H6576"/>
      <c r="I6576"/>
    </row>
    <row r="6577" spans="6:9" x14ac:dyDescent="0.3">
      <c r="F6577"/>
      <c r="G6577"/>
      <c r="H6577"/>
      <c r="I6577"/>
    </row>
    <row r="6578" spans="6:9" x14ac:dyDescent="0.3">
      <c r="F6578"/>
      <c r="G6578"/>
      <c r="H6578"/>
      <c r="I6578"/>
    </row>
    <row r="6579" spans="6:9" x14ac:dyDescent="0.3">
      <c r="F6579"/>
      <c r="G6579"/>
      <c r="H6579"/>
      <c r="I6579"/>
    </row>
    <row r="6580" spans="6:9" x14ac:dyDescent="0.3">
      <c r="F6580"/>
      <c r="G6580"/>
      <c r="H6580"/>
      <c r="I6580"/>
    </row>
    <row r="6581" spans="6:9" x14ac:dyDescent="0.3">
      <c r="F6581"/>
      <c r="G6581"/>
      <c r="H6581"/>
      <c r="I6581"/>
    </row>
    <row r="6582" spans="6:9" x14ac:dyDescent="0.3">
      <c r="F6582"/>
      <c r="G6582"/>
      <c r="H6582"/>
      <c r="I6582"/>
    </row>
    <row r="6583" spans="6:9" x14ac:dyDescent="0.3">
      <c r="F6583"/>
      <c r="G6583"/>
      <c r="H6583"/>
      <c r="I6583"/>
    </row>
    <row r="6584" spans="6:9" x14ac:dyDescent="0.3">
      <c r="F6584"/>
      <c r="G6584"/>
      <c r="H6584"/>
      <c r="I6584"/>
    </row>
    <row r="6585" spans="6:9" x14ac:dyDescent="0.3">
      <c r="F6585"/>
      <c r="G6585"/>
      <c r="H6585"/>
      <c r="I6585"/>
    </row>
    <row r="6586" spans="6:9" x14ac:dyDescent="0.3">
      <c r="F6586"/>
      <c r="G6586"/>
      <c r="H6586"/>
      <c r="I6586"/>
    </row>
    <row r="6587" spans="6:9" x14ac:dyDescent="0.3">
      <c r="F6587"/>
      <c r="G6587"/>
      <c r="H6587"/>
      <c r="I6587"/>
    </row>
    <row r="6588" spans="6:9" x14ac:dyDescent="0.3">
      <c r="F6588"/>
      <c r="G6588"/>
      <c r="H6588"/>
      <c r="I6588"/>
    </row>
    <row r="6589" spans="6:9" x14ac:dyDescent="0.3">
      <c r="F6589"/>
      <c r="G6589"/>
      <c r="H6589"/>
      <c r="I6589"/>
    </row>
    <row r="6590" spans="6:9" x14ac:dyDescent="0.3">
      <c r="F6590"/>
      <c r="G6590"/>
      <c r="H6590"/>
      <c r="I6590"/>
    </row>
    <row r="6591" spans="6:9" x14ac:dyDescent="0.3">
      <c r="F6591"/>
      <c r="G6591"/>
      <c r="H6591"/>
      <c r="I6591"/>
    </row>
    <row r="6592" spans="6:9" x14ac:dyDescent="0.3">
      <c r="F6592"/>
      <c r="G6592"/>
      <c r="H6592"/>
      <c r="I6592"/>
    </row>
    <row r="6593" spans="6:9" x14ac:dyDescent="0.3">
      <c r="F6593"/>
      <c r="G6593"/>
      <c r="H6593"/>
      <c r="I6593"/>
    </row>
    <row r="6594" spans="6:9" x14ac:dyDescent="0.3">
      <c r="F6594"/>
      <c r="G6594"/>
      <c r="H6594"/>
      <c r="I6594"/>
    </row>
    <row r="6595" spans="6:9" x14ac:dyDescent="0.3">
      <c r="F6595"/>
      <c r="G6595"/>
      <c r="H6595"/>
      <c r="I6595"/>
    </row>
    <row r="6596" spans="6:9" x14ac:dyDescent="0.3">
      <c r="F6596"/>
      <c r="G6596"/>
      <c r="H6596"/>
      <c r="I6596"/>
    </row>
    <row r="6597" spans="6:9" x14ac:dyDescent="0.3">
      <c r="F6597"/>
      <c r="G6597"/>
      <c r="H6597"/>
      <c r="I6597"/>
    </row>
    <row r="6598" spans="6:9" x14ac:dyDescent="0.3">
      <c r="F6598"/>
      <c r="G6598"/>
      <c r="H6598"/>
      <c r="I6598"/>
    </row>
    <row r="6599" spans="6:9" x14ac:dyDescent="0.3">
      <c r="F6599"/>
      <c r="G6599"/>
      <c r="H6599"/>
      <c r="I6599"/>
    </row>
    <row r="6600" spans="6:9" x14ac:dyDescent="0.3">
      <c r="F6600"/>
      <c r="G6600"/>
      <c r="H6600"/>
      <c r="I6600"/>
    </row>
    <row r="6601" spans="6:9" x14ac:dyDescent="0.3">
      <c r="F6601"/>
      <c r="G6601"/>
      <c r="H6601"/>
      <c r="I6601"/>
    </row>
    <row r="6602" spans="6:9" x14ac:dyDescent="0.3">
      <c r="F6602"/>
      <c r="G6602"/>
      <c r="H6602"/>
      <c r="I6602"/>
    </row>
    <row r="6603" spans="6:9" x14ac:dyDescent="0.3">
      <c r="F6603"/>
      <c r="G6603"/>
      <c r="H6603"/>
      <c r="I6603"/>
    </row>
    <row r="6604" spans="6:9" x14ac:dyDescent="0.3">
      <c r="F6604"/>
      <c r="G6604"/>
      <c r="H6604"/>
      <c r="I6604"/>
    </row>
    <row r="6605" spans="6:9" x14ac:dyDescent="0.3">
      <c r="F6605"/>
      <c r="G6605"/>
      <c r="H6605"/>
      <c r="I6605"/>
    </row>
    <row r="6606" spans="6:9" x14ac:dyDescent="0.3">
      <c r="F6606"/>
      <c r="G6606"/>
      <c r="H6606"/>
      <c r="I6606"/>
    </row>
    <row r="6607" spans="6:9" x14ac:dyDescent="0.3">
      <c r="F6607"/>
      <c r="G6607"/>
      <c r="H6607"/>
      <c r="I6607"/>
    </row>
    <row r="6608" spans="6:9" x14ac:dyDescent="0.3">
      <c r="F6608"/>
      <c r="G6608"/>
      <c r="H6608"/>
      <c r="I6608"/>
    </row>
    <row r="6609" spans="6:9" x14ac:dyDescent="0.3">
      <c r="F6609"/>
      <c r="G6609"/>
      <c r="H6609"/>
      <c r="I6609"/>
    </row>
    <row r="6610" spans="6:9" x14ac:dyDescent="0.3">
      <c r="F6610"/>
      <c r="G6610"/>
      <c r="H6610"/>
      <c r="I6610"/>
    </row>
    <row r="6611" spans="6:9" x14ac:dyDescent="0.3">
      <c r="F6611"/>
      <c r="G6611"/>
      <c r="H6611"/>
      <c r="I6611"/>
    </row>
    <row r="6612" spans="6:9" x14ac:dyDescent="0.3">
      <c r="F6612"/>
      <c r="G6612"/>
      <c r="H6612"/>
      <c r="I6612"/>
    </row>
    <row r="6613" spans="6:9" x14ac:dyDescent="0.3">
      <c r="F6613"/>
      <c r="G6613"/>
      <c r="H6613"/>
      <c r="I6613"/>
    </row>
    <row r="6614" spans="6:9" x14ac:dyDescent="0.3">
      <c r="F6614"/>
      <c r="G6614"/>
      <c r="H6614"/>
      <c r="I6614"/>
    </row>
    <row r="6615" spans="6:9" x14ac:dyDescent="0.3">
      <c r="F6615"/>
      <c r="G6615"/>
      <c r="H6615"/>
      <c r="I6615"/>
    </row>
    <row r="6616" spans="6:9" x14ac:dyDescent="0.3">
      <c r="F6616"/>
      <c r="G6616"/>
      <c r="H6616"/>
      <c r="I6616"/>
    </row>
    <row r="6617" spans="6:9" x14ac:dyDescent="0.3">
      <c r="F6617"/>
      <c r="G6617"/>
      <c r="H6617"/>
      <c r="I6617"/>
    </row>
    <row r="6618" spans="6:9" x14ac:dyDescent="0.3">
      <c r="F6618"/>
      <c r="G6618"/>
      <c r="H6618"/>
      <c r="I6618"/>
    </row>
    <row r="6619" spans="6:9" x14ac:dyDescent="0.3">
      <c r="F6619"/>
      <c r="G6619"/>
      <c r="H6619"/>
      <c r="I6619"/>
    </row>
    <row r="6620" spans="6:9" x14ac:dyDescent="0.3">
      <c r="F6620"/>
      <c r="G6620"/>
      <c r="H6620"/>
      <c r="I6620"/>
    </row>
    <row r="6621" spans="6:9" x14ac:dyDescent="0.3">
      <c r="F6621"/>
      <c r="G6621"/>
      <c r="H6621"/>
      <c r="I6621"/>
    </row>
    <row r="6622" spans="6:9" x14ac:dyDescent="0.3">
      <c r="F6622"/>
      <c r="G6622"/>
      <c r="H6622"/>
      <c r="I6622"/>
    </row>
    <row r="6623" spans="6:9" x14ac:dyDescent="0.3">
      <c r="F6623"/>
      <c r="G6623"/>
      <c r="H6623"/>
      <c r="I6623"/>
    </row>
    <row r="6624" spans="6:9" x14ac:dyDescent="0.3">
      <c r="F6624"/>
      <c r="G6624"/>
      <c r="H6624"/>
      <c r="I6624"/>
    </row>
    <row r="6625" spans="6:9" x14ac:dyDescent="0.3">
      <c r="F6625"/>
      <c r="G6625"/>
      <c r="H6625"/>
      <c r="I6625"/>
    </row>
    <row r="6626" spans="6:9" x14ac:dyDescent="0.3">
      <c r="F6626"/>
      <c r="G6626"/>
      <c r="H6626"/>
      <c r="I6626"/>
    </row>
    <row r="6627" spans="6:9" x14ac:dyDescent="0.3">
      <c r="F6627"/>
      <c r="G6627"/>
      <c r="H6627"/>
      <c r="I6627"/>
    </row>
    <row r="6628" spans="6:9" x14ac:dyDescent="0.3">
      <c r="F6628"/>
      <c r="G6628"/>
      <c r="H6628"/>
      <c r="I6628"/>
    </row>
    <row r="6629" spans="6:9" x14ac:dyDescent="0.3">
      <c r="F6629"/>
      <c r="G6629"/>
      <c r="H6629"/>
      <c r="I6629"/>
    </row>
    <row r="6630" spans="6:9" x14ac:dyDescent="0.3">
      <c r="F6630"/>
      <c r="G6630"/>
      <c r="H6630"/>
      <c r="I6630"/>
    </row>
    <row r="6631" spans="6:9" x14ac:dyDescent="0.3">
      <c r="F6631"/>
      <c r="G6631"/>
      <c r="H6631"/>
      <c r="I6631"/>
    </row>
    <row r="6632" spans="6:9" x14ac:dyDescent="0.3">
      <c r="F6632"/>
      <c r="G6632"/>
      <c r="H6632"/>
      <c r="I6632"/>
    </row>
    <row r="6633" spans="6:9" x14ac:dyDescent="0.3">
      <c r="F6633"/>
      <c r="G6633"/>
      <c r="H6633"/>
      <c r="I6633"/>
    </row>
    <row r="6634" spans="6:9" x14ac:dyDescent="0.3">
      <c r="F6634"/>
      <c r="G6634"/>
      <c r="H6634"/>
      <c r="I6634"/>
    </row>
    <row r="6635" spans="6:9" x14ac:dyDescent="0.3">
      <c r="F6635"/>
      <c r="G6635"/>
      <c r="H6635"/>
      <c r="I6635"/>
    </row>
    <row r="6636" spans="6:9" x14ac:dyDescent="0.3">
      <c r="F6636"/>
      <c r="G6636"/>
      <c r="H6636"/>
      <c r="I6636"/>
    </row>
    <row r="6637" spans="6:9" x14ac:dyDescent="0.3">
      <c r="F6637"/>
      <c r="G6637"/>
      <c r="H6637"/>
      <c r="I6637"/>
    </row>
    <row r="6638" spans="6:9" x14ac:dyDescent="0.3">
      <c r="F6638"/>
      <c r="G6638"/>
      <c r="H6638"/>
      <c r="I6638"/>
    </row>
    <row r="6639" spans="6:9" x14ac:dyDescent="0.3">
      <c r="F6639"/>
      <c r="G6639"/>
      <c r="H6639"/>
      <c r="I6639"/>
    </row>
    <row r="6640" spans="6:9" x14ac:dyDescent="0.3">
      <c r="F6640"/>
      <c r="G6640"/>
      <c r="H6640"/>
      <c r="I6640"/>
    </row>
    <row r="6641" spans="6:9" x14ac:dyDescent="0.3">
      <c r="F6641"/>
      <c r="G6641"/>
      <c r="H6641"/>
      <c r="I6641"/>
    </row>
    <row r="6642" spans="6:9" x14ac:dyDescent="0.3">
      <c r="F6642"/>
      <c r="G6642"/>
      <c r="H6642"/>
      <c r="I6642"/>
    </row>
    <row r="6643" spans="6:9" x14ac:dyDescent="0.3">
      <c r="F6643"/>
      <c r="G6643"/>
      <c r="H6643"/>
      <c r="I6643"/>
    </row>
    <row r="6644" spans="6:9" x14ac:dyDescent="0.3">
      <c r="F6644"/>
      <c r="G6644"/>
      <c r="H6644"/>
      <c r="I6644"/>
    </row>
    <row r="6645" spans="6:9" x14ac:dyDescent="0.3">
      <c r="F6645"/>
      <c r="G6645"/>
      <c r="H6645"/>
      <c r="I6645"/>
    </row>
    <row r="6646" spans="6:9" x14ac:dyDescent="0.3">
      <c r="F6646"/>
      <c r="G6646"/>
      <c r="H6646"/>
      <c r="I6646"/>
    </row>
    <row r="6647" spans="6:9" x14ac:dyDescent="0.3">
      <c r="F6647"/>
      <c r="G6647"/>
      <c r="H6647"/>
      <c r="I6647"/>
    </row>
    <row r="6648" spans="6:9" x14ac:dyDescent="0.3">
      <c r="F6648"/>
      <c r="G6648"/>
      <c r="H6648"/>
      <c r="I6648"/>
    </row>
    <row r="6649" spans="6:9" x14ac:dyDescent="0.3">
      <c r="F6649"/>
      <c r="G6649"/>
      <c r="H6649"/>
      <c r="I6649"/>
    </row>
    <row r="6650" spans="6:9" x14ac:dyDescent="0.3">
      <c r="F6650"/>
      <c r="G6650"/>
      <c r="H6650"/>
      <c r="I6650"/>
    </row>
    <row r="6651" spans="6:9" x14ac:dyDescent="0.3">
      <c r="F6651"/>
      <c r="G6651"/>
      <c r="H6651"/>
      <c r="I6651"/>
    </row>
    <row r="6652" spans="6:9" x14ac:dyDescent="0.3">
      <c r="F6652"/>
      <c r="G6652"/>
      <c r="H6652"/>
      <c r="I6652"/>
    </row>
    <row r="6653" spans="6:9" x14ac:dyDescent="0.3">
      <c r="F6653"/>
      <c r="G6653"/>
      <c r="H6653"/>
      <c r="I6653"/>
    </row>
    <row r="6654" spans="6:9" x14ac:dyDescent="0.3">
      <c r="F6654"/>
      <c r="G6654"/>
      <c r="H6654"/>
      <c r="I6654"/>
    </row>
    <row r="6655" spans="6:9" x14ac:dyDescent="0.3">
      <c r="F6655"/>
      <c r="G6655"/>
      <c r="H6655"/>
      <c r="I6655"/>
    </row>
    <row r="6656" spans="6:9" x14ac:dyDescent="0.3">
      <c r="F6656"/>
      <c r="G6656"/>
      <c r="H6656"/>
      <c r="I6656"/>
    </row>
    <row r="6657" spans="6:9" x14ac:dyDescent="0.3">
      <c r="F6657"/>
      <c r="G6657"/>
      <c r="H6657"/>
      <c r="I6657"/>
    </row>
    <row r="6658" spans="6:9" x14ac:dyDescent="0.3">
      <c r="F6658"/>
      <c r="G6658"/>
      <c r="H6658"/>
      <c r="I6658"/>
    </row>
    <row r="6659" spans="6:9" x14ac:dyDescent="0.3">
      <c r="F6659"/>
      <c r="G6659"/>
      <c r="H6659"/>
      <c r="I6659"/>
    </row>
    <row r="6660" spans="6:9" x14ac:dyDescent="0.3">
      <c r="F6660"/>
      <c r="G6660"/>
      <c r="H6660"/>
      <c r="I6660"/>
    </row>
    <row r="6661" spans="6:9" x14ac:dyDescent="0.3">
      <c r="F6661"/>
      <c r="G6661"/>
      <c r="H6661"/>
      <c r="I6661"/>
    </row>
    <row r="6662" spans="6:9" x14ac:dyDescent="0.3">
      <c r="F6662"/>
      <c r="G6662"/>
      <c r="H6662"/>
      <c r="I6662"/>
    </row>
    <row r="6663" spans="6:9" x14ac:dyDescent="0.3">
      <c r="F6663"/>
      <c r="G6663"/>
      <c r="H6663"/>
      <c r="I6663"/>
    </row>
    <row r="6664" spans="6:9" x14ac:dyDescent="0.3">
      <c r="F6664"/>
      <c r="G6664"/>
      <c r="H6664"/>
      <c r="I6664"/>
    </row>
    <row r="6665" spans="6:9" x14ac:dyDescent="0.3">
      <c r="F6665"/>
      <c r="G6665"/>
      <c r="H6665"/>
      <c r="I6665"/>
    </row>
    <row r="6666" spans="6:9" x14ac:dyDescent="0.3">
      <c r="F6666"/>
      <c r="G6666"/>
      <c r="H6666"/>
      <c r="I6666"/>
    </row>
    <row r="6667" spans="6:9" x14ac:dyDescent="0.3">
      <c r="F6667"/>
      <c r="G6667"/>
      <c r="H6667"/>
      <c r="I6667"/>
    </row>
    <row r="6668" spans="6:9" x14ac:dyDescent="0.3">
      <c r="F6668"/>
      <c r="G6668"/>
      <c r="H6668"/>
      <c r="I6668"/>
    </row>
    <row r="6669" spans="6:9" x14ac:dyDescent="0.3">
      <c r="F6669"/>
      <c r="G6669"/>
      <c r="H6669"/>
      <c r="I6669"/>
    </row>
    <row r="6670" spans="6:9" x14ac:dyDescent="0.3">
      <c r="F6670"/>
      <c r="G6670"/>
      <c r="H6670"/>
      <c r="I6670"/>
    </row>
    <row r="6671" spans="6:9" x14ac:dyDescent="0.3">
      <c r="F6671"/>
      <c r="G6671"/>
      <c r="H6671"/>
      <c r="I6671"/>
    </row>
    <row r="6672" spans="6:9" x14ac:dyDescent="0.3">
      <c r="F6672"/>
      <c r="G6672"/>
      <c r="H6672"/>
      <c r="I6672"/>
    </row>
    <row r="6673" spans="6:9" x14ac:dyDescent="0.3">
      <c r="F6673"/>
      <c r="G6673"/>
      <c r="H6673"/>
      <c r="I6673"/>
    </row>
    <row r="6674" spans="6:9" x14ac:dyDescent="0.3">
      <c r="F6674"/>
      <c r="G6674"/>
      <c r="H6674"/>
      <c r="I6674"/>
    </row>
    <row r="6675" spans="6:9" x14ac:dyDescent="0.3">
      <c r="F6675"/>
      <c r="G6675"/>
      <c r="H6675"/>
      <c r="I6675"/>
    </row>
    <row r="6676" spans="6:9" x14ac:dyDescent="0.3">
      <c r="F6676"/>
      <c r="G6676"/>
      <c r="H6676"/>
      <c r="I6676"/>
    </row>
    <row r="6677" spans="6:9" x14ac:dyDescent="0.3">
      <c r="F6677"/>
      <c r="G6677"/>
      <c r="H6677"/>
      <c r="I6677"/>
    </row>
    <row r="6678" spans="6:9" x14ac:dyDescent="0.3">
      <c r="F6678"/>
      <c r="G6678"/>
      <c r="H6678"/>
      <c r="I6678"/>
    </row>
    <row r="6679" spans="6:9" x14ac:dyDescent="0.3">
      <c r="F6679"/>
      <c r="G6679"/>
      <c r="H6679"/>
      <c r="I6679"/>
    </row>
    <row r="6680" spans="6:9" x14ac:dyDescent="0.3">
      <c r="F6680"/>
      <c r="G6680"/>
      <c r="H6680"/>
      <c r="I6680"/>
    </row>
    <row r="6681" spans="6:9" x14ac:dyDescent="0.3">
      <c r="F6681"/>
      <c r="G6681"/>
      <c r="H6681"/>
      <c r="I6681"/>
    </row>
    <row r="6682" spans="6:9" x14ac:dyDescent="0.3">
      <c r="F6682"/>
      <c r="G6682"/>
      <c r="H6682"/>
      <c r="I6682"/>
    </row>
    <row r="6683" spans="6:9" x14ac:dyDescent="0.3">
      <c r="F6683"/>
      <c r="G6683"/>
      <c r="H6683"/>
      <c r="I6683"/>
    </row>
    <row r="6684" spans="6:9" x14ac:dyDescent="0.3">
      <c r="F6684"/>
      <c r="G6684"/>
      <c r="H6684"/>
      <c r="I6684"/>
    </row>
    <row r="6685" spans="6:9" x14ac:dyDescent="0.3">
      <c r="F6685"/>
      <c r="G6685"/>
      <c r="H6685"/>
      <c r="I6685"/>
    </row>
    <row r="6686" spans="6:9" x14ac:dyDescent="0.3">
      <c r="F6686"/>
      <c r="G6686"/>
      <c r="H6686"/>
      <c r="I6686"/>
    </row>
    <row r="6687" spans="6:9" x14ac:dyDescent="0.3">
      <c r="F6687"/>
      <c r="G6687"/>
      <c r="H6687"/>
      <c r="I6687"/>
    </row>
    <row r="6688" spans="6:9" x14ac:dyDescent="0.3">
      <c r="F6688"/>
      <c r="G6688"/>
      <c r="H6688"/>
      <c r="I6688"/>
    </row>
    <row r="6689" spans="6:9" x14ac:dyDescent="0.3">
      <c r="F6689"/>
      <c r="G6689"/>
      <c r="H6689"/>
      <c r="I6689"/>
    </row>
    <row r="6690" spans="6:9" x14ac:dyDescent="0.3">
      <c r="F6690"/>
      <c r="G6690"/>
      <c r="H6690"/>
      <c r="I6690"/>
    </row>
    <row r="6691" spans="6:9" x14ac:dyDescent="0.3">
      <c r="F6691"/>
      <c r="G6691"/>
      <c r="H6691"/>
      <c r="I6691"/>
    </row>
    <row r="6692" spans="6:9" x14ac:dyDescent="0.3">
      <c r="F6692"/>
      <c r="G6692"/>
      <c r="H6692"/>
      <c r="I6692"/>
    </row>
    <row r="6693" spans="6:9" x14ac:dyDescent="0.3">
      <c r="F6693"/>
      <c r="G6693"/>
      <c r="H6693"/>
      <c r="I6693"/>
    </row>
    <row r="6694" spans="6:9" x14ac:dyDescent="0.3">
      <c r="F6694"/>
      <c r="G6694"/>
      <c r="H6694"/>
      <c r="I6694"/>
    </row>
    <row r="6695" spans="6:9" x14ac:dyDescent="0.3">
      <c r="F6695"/>
      <c r="G6695"/>
      <c r="H6695"/>
      <c r="I6695"/>
    </row>
    <row r="6696" spans="6:9" x14ac:dyDescent="0.3">
      <c r="F6696"/>
      <c r="G6696"/>
      <c r="H6696"/>
      <c r="I6696"/>
    </row>
    <row r="6697" spans="6:9" x14ac:dyDescent="0.3">
      <c r="F6697"/>
      <c r="G6697"/>
      <c r="H6697"/>
      <c r="I6697"/>
    </row>
    <row r="6698" spans="6:9" x14ac:dyDescent="0.3">
      <c r="F6698"/>
      <c r="G6698"/>
      <c r="H6698"/>
      <c r="I6698"/>
    </row>
    <row r="6699" spans="6:9" x14ac:dyDescent="0.3">
      <c r="F6699"/>
      <c r="G6699"/>
      <c r="H6699"/>
      <c r="I6699"/>
    </row>
    <row r="6700" spans="6:9" x14ac:dyDescent="0.3">
      <c r="F6700"/>
      <c r="G6700"/>
      <c r="H6700"/>
      <c r="I6700"/>
    </row>
    <row r="6701" spans="6:9" x14ac:dyDescent="0.3">
      <c r="F6701"/>
      <c r="G6701"/>
      <c r="H6701"/>
      <c r="I6701"/>
    </row>
    <row r="6702" spans="6:9" x14ac:dyDescent="0.3">
      <c r="F6702"/>
      <c r="G6702"/>
      <c r="H6702"/>
      <c r="I6702"/>
    </row>
    <row r="6703" spans="6:9" x14ac:dyDescent="0.3">
      <c r="F6703"/>
      <c r="G6703"/>
      <c r="H6703"/>
      <c r="I6703"/>
    </row>
    <row r="6704" spans="6:9" x14ac:dyDescent="0.3">
      <c r="F6704"/>
      <c r="G6704"/>
      <c r="H6704"/>
      <c r="I6704"/>
    </row>
    <row r="6705" spans="6:9" x14ac:dyDescent="0.3">
      <c r="F6705"/>
      <c r="G6705"/>
      <c r="H6705"/>
      <c r="I6705"/>
    </row>
    <row r="6706" spans="6:9" x14ac:dyDescent="0.3">
      <c r="F6706"/>
      <c r="G6706"/>
      <c r="H6706"/>
      <c r="I6706"/>
    </row>
    <row r="6707" spans="6:9" x14ac:dyDescent="0.3">
      <c r="F6707"/>
      <c r="G6707"/>
      <c r="H6707"/>
      <c r="I6707"/>
    </row>
    <row r="6708" spans="6:9" x14ac:dyDescent="0.3">
      <c r="F6708"/>
      <c r="G6708"/>
      <c r="H6708"/>
      <c r="I6708"/>
    </row>
    <row r="6709" spans="6:9" x14ac:dyDescent="0.3">
      <c r="F6709"/>
      <c r="G6709"/>
      <c r="H6709"/>
      <c r="I6709"/>
    </row>
    <row r="6710" spans="6:9" x14ac:dyDescent="0.3">
      <c r="F6710"/>
      <c r="G6710"/>
      <c r="H6710"/>
      <c r="I6710"/>
    </row>
    <row r="6711" spans="6:9" x14ac:dyDescent="0.3">
      <c r="F6711"/>
      <c r="G6711"/>
      <c r="H6711"/>
      <c r="I6711"/>
    </row>
    <row r="6712" spans="6:9" x14ac:dyDescent="0.3">
      <c r="F6712"/>
      <c r="G6712"/>
      <c r="H6712"/>
      <c r="I6712"/>
    </row>
    <row r="6713" spans="6:9" x14ac:dyDescent="0.3">
      <c r="F6713"/>
      <c r="G6713"/>
      <c r="H6713"/>
      <c r="I6713"/>
    </row>
    <row r="6714" spans="6:9" x14ac:dyDescent="0.3">
      <c r="F6714"/>
      <c r="G6714"/>
      <c r="H6714"/>
      <c r="I6714"/>
    </row>
    <row r="6715" spans="6:9" x14ac:dyDescent="0.3">
      <c r="F6715"/>
      <c r="G6715"/>
      <c r="H6715"/>
      <c r="I6715"/>
    </row>
    <row r="6716" spans="6:9" x14ac:dyDescent="0.3">
      <c r="F6716"/>
      <c r="G6716"/>
      <c r="H6716"/>
      <c r="I6716"/>
    </row>
    <row r="6717" spans="6:9" x14ac:dyDescent="0.3">
      <c r="F6717"/>
      <c r="G6717"/>
      <c r="H6717"/>
      <c r="I6717"/>
    </row>
    <row r="6718" spans="6:9" x14ac:dyDescent="0.3">
      <c r="F6718"/>
      <c r="G6718"/>
      <c r="H6718"/>
      <c r="I6718"/>
    </row>
    <row r="6719" spans="6:9" x14ac:dyDescent="0.3">
      <c r="F6719"/>
      <c r="G6719"/>
      <c r="H6719"/>
      <c r="I6719"/>
    </row>
    <row r="6720" spans="6:9" x14ac:dyDescent="0.3">
      <c r="F6720"/>
      <c r="G6720"/>
      <c r="H6720"/>
      <c r="I6720"/>
    </row>
    <row r="6721" spans="6:9" x14ac:dyDescent="0.3">
      <c r="F6721"/>
      <c r="G6721"/>
      <c r="H6721"/>
      <c r="I6721"/>
    </row>
    <row r="6722" spans="6:9" x14ac:dyDescent="0.3">
      <c r="F6722"/>
      <c r="G6722"/>
      <c r="H6722"/>
      <c r="I6722"/>
    </row>
    <row r="6723" spans="6:9" x14ac:dyDescent="0.3">
      <c r="F6723"/>
      <c r="G6723"/>
      <c r="H6723"/>
      <c r="I6723"/>
    </row>
    <row r="6724" spans="6:9" x14ac:dyDescent="0.3">
      <c r="F6724"/>
      <c r="G6724"/>
      <c r="H6724"/>
      <c r="I6724"/>
    </row>
    <row r="6725" spans="6:9" x14ac:dyDescent="0.3">
      <c r="F6725"/>
      <c r="G6725"/>
      <c r="H6725"/>
      <c r="I6725"/>
    </row>
    <row r="6726" spans="6:9" x14ac:dyDescent="0.3">
      <c r="F6726"/>
      <c r="G6726"/>
      <c r="H6726"/>
      <c r="I6726"/>
    </row>
    <row r="6727" spans="6:9" x14ac:dyDescent="0.3">
      <c r="F6727"/>
      <c r="G6727"/>
      <c r="H6727"/>
      <c r="I6727"/>
    </row>
    <row r="6728" spans="6:9" x14ac:dyDescent="0.3">
      <c r="F6728"/>
      <c r="G6728"/>
      <c r="H6728"/>
      <c r="I6728"/>
    </row>
    <row r="6729" spans="6:9" x14ac:dyDescent="0.3">
      <c r="F6729"/>
      <c r="G6729"/>
      <c r="H6729"/>
      <c r="I6729"/>
    </row>
    <row r="6730" spans="6:9" x14ac:dyDescent="0.3">
      <c r="F6730"/>
      <c r="G6730"/>
      <c r="H6730"/>
      <c r="I6730"/>
    </row>
    <row r="6731" spans="6:9" x14ac:dyDescent="0.3">
      <c r="F6731"/>
      <c r="G6731"/>
      <c r="H6731"/>
      <c r="I6731"/>
    </row>
    <row r="6732" spans="6:9" x14ac:dyDescent="0.3">
      <c r="F6732"/>
      <c r="G6732"/>
      <c r="H6732"/>
      <c r="I6732"/>
    </row>
    <row r="6733" spans="6:9" x14ac:dyDescent="0.3">
      <c r="F6733"/>
      <c r="G6733"/>
      <c r="H6733"/>
      <c r="I6733"/>
    </row>
    <row r="6734" spans="6:9" x14ac:dyDescent="0.3">
      <c r="F6734"/>
      <c r="G6734"/>
      <c r="H6734"/>
      <c r="I6734"/>
    </row>
    <row r="6735" spans="6:9" x14ac:dyDescent="0.3">
      <c r="F6735"/>
      <c r="G6735"/>
      <c r="H6735"/>
      <c r="I6735"/>
    </row>
    <row r="6736" spans="6:9" x14ac:dyDescent="0.3">
      <c r="F6736"/>
      <c r="G6736"/>
      <c r="H6736"/>
      <c r="I6736"/>
    </row>
    <row r="6737" spans="6:9" x14ac:dyDescent="0.3">
      <c r="F6737"/>
      <c r="G6737"/>
      <c r="H6737"/>
      <c r="I6737"/>
    </row>
    <row r="6738" spans="6:9" x14ac:dyDescent="0.3">
      <c r="F6738"/>
      <c r="G6738"/>
      <c r="H6738"/>
      <c r="I6738"/>
    </row>
    <row r="6739" spans="6:9" x14ac:dyDescent="0.3">
      <c r="F6739"/>
      <c r="G6739"/>
      <c r="H6739"/>
      <c r="I6739"/>
    </row>
    <row r="6740" spans="6:9" x14ac:dyDescent="0.3">
      <c r="F6740"/>
      <c r="G6740"/>
      <c r="H6740"/>
      <c r="I6740"/>
    </row>
    <row r="6741" spans="6:9" x14ac:dyDescent="0.3">
      <c r="F6741"/>
      <c r="G6741"/>
      <c r="H6741"/>
      <c r="I6741"/>
    </row>
    <row r="6742" spans="6:9" x14ac:dyDescent="0.3">
      <c r="F6742"/>
      <c r="G6742"/>
      <c r="H6742"/>
      <c r="I6742"/>
    </row>
    <row r="6743" spans="6:9" x14ac:dyDescent="0.3">
      <c r="F6743"/>
      <c r="G6743"/>
      <c r="H6743"/>
      <c r="I6743"/>
    </row>
    <row r="6744" spans="6:9" x14ac:dyDescent="0.3">
      <c r="F6744"/>
      <c r="G6744"/>
      <c r="H6744"/>
      <c r="I6744"/>
    </row>
    <row r="6745" spans="6:9" x14ac:dyDescent="0.3">
      <c r="F6745"/>
      <c r="G6745"/>
      <c r="H6745"/>
      <c r="I6745"/>
    </row>
    <row r="6746" spans="6:9" x14ac:dyDescent="0.3">
      <c r="F6746"/>
      <c r="G6746"/>
      <c r="H6746"/>
      <c r="I6746"/>
    </row>
    <row r="6747" spans="6:9" x14ac:dyDescent="0.3">
      <c r="F6747"/>
      <c r="G6747"/>
      <c r="H6747"/>
      <c r="I6747"/>
    </row>
    <row r="6748" spans="6:9" x14ac:dyDescent="0.3">
      <c r="F6748"/>
      <c r="G6748"/>
      <c r="H6748"/>
      <c r="I6748"/>
    </row>
    <row r="6749" spans="6:9" x14ac:dyDescent="0.3">
      <c r="F6749"/>
      <c r="G6749"/>
      <c r="H6749"/>
      <c r="I6749"/>
    </row>
    <row r="6750" spans="6:9" x14ac:dyDescent="0.3">
      <c r="F6750"/>
      <c r="G6750"/>
      <c r="H6750"/>
      <c r="I6750"/>
    </row>
    <row r="6751" spans="6:9" x14ac:dyDescent="0.3">
      <c r="F6751"/>
      <c r="G6751"/>
      <c r="H6751"/>
      <c r="I6751"/>
    </row>
    <row r="6752" spans="6:9" x14ac:dyDescent="0.3">
      <c r="F6752"/>
      <c r="G6752"/>
      <c r="H6752"/>
      <c r="I6752"/>
    </row>
    <row r="6753" spans="6:9" x14ac:dyDescent="0.3">
      <c r="F6753"/>
      <c r="G6753"/>
      <c r="H6753"/>
      <c r="I6753"/>
    </row>
    <row r="6754" spans="6:9" x14ac:dyDescent="0.3">
      <c r="F6754"/>
      <c r="G6754"/>
      <c r="H6754"/>
      <c r="I6754"/>
    </row>
    <row r="6755" spans="6:9" x14ac:dyDescent="0.3">
      <c r="F6755"/>
      <c r="G6755"/>
      <c r="H6755"/>
      <c r="I6755"/>
    </row>
    <row r="6756" spans="6:9" x14ac:dyDescent="0.3">
      <c r="F6756"/>
      <c r="G6756"/>
      <c r="H6756"/>
      <c r="I6756"/>
    </row>
    <row r="6757" spans="6:9" x14ac:dyDescent="0.3">
      <c r="F6757"/>
      <c r="G6757"/>
      <c r="H6757"/>
      <c r="I6757"/>
    </row>
    <row r="6758" spans="6:9" x14ac:dyDescent="0.3">
      <c r="F6758"/>
      <c r="G6758"/>
      <c r="H6758"/>
      <c r="I6758"/>
    </row>
    <row r="6759" spans="6:9" x14ac:dyDescent="0.3">
      <c r="F6759"/>
      <c r="G6759"/>
      <c r="H6759"/>
      <c r="I6759"/>
    </row>
    <row r="6760" spans="6:9" x14ac:dyDescent="0.3">
      <c r="F6760"/>
      <c r="G6760"/>
      <c r="H6760"/>
      <c r="I6760"/>
    </row>
    <row r="6761" spans="6:9" x14ac:dyDescent="0.3">
      <c r="F6761"/>
      <c r="G6761"/>
      <c r="H6761"/>
      <c r="I6761"/>
    </row>
    <row r="6762" spans="6:9" x14ac:dyDescent="0.3">
      <c r="F6762"/>
      <c r="G6762"/>
      <c r="H6762"/>
      <c r="I6762"/>
    </row>
    <row r="6763" spans="6:9" x14ac:dyDescent="0.3">
      <c r="F6763"/>
      <c r="G6763"/>
      <c r="H6763"/>
      <c r="I6763"/>
    </row>
    <row r="6764" spans="6:9" x14ac:dyDescent="0.3">
      <c r="F6764"/>
      <c r="G6764"/>
      <c r="H6764"/>
      <c r="I6764"/>
    </row>
    <row r="6765" spans="6:9" x14ac:dyDescent="0.3">
      <c r="F6765"/>
      <c r="G6765"/>
      <c r="H6765"/>
      <c r="I6765"/>
    </row>
    <row r="6766" spans="6:9" x14ac:dyDescent="0.3">
      <c r="F6766"/>
      <c r="G6766"/>
      <c r="H6766"/>
      <c r="I6766"/>
    </row>
    <row r="6767" spans="6:9" x14ac:dyDescent="0.3">
      <c r="F6767"/>
      <c r="G6767"/>
      <c r="H6767"/>
      <c r="I6767"/>
    </row>
    <row r="6768" spans="6:9" x14ac:dyDescent="0.3">
      <c r="F6768"/>
      <c r="G6768"/>
      <c r="H6768"/>
      <c r="I6768"/>
    </row>
    <row r="6769" spans="6:9" x14ac:dyDescent="0.3">
      <c r="F6769"/>
      <c r="G6769"/>
      <c r="H6769"/>
      <c r="I6769"/>
    </row>
    <row r="6770" spans="6:9" x14ac:dyDescent="0.3">
      <c r="F6770"/>
      <c r="G6770"/>
      <c r="H6770"/>
      <c r="I6770"/>
    </row>
    <row r="6771" spans="6:9" x14ac:dyDescent="0.3">
      <c r="F6771"/>
      <c r="G6771"/>
      <c r="H6771"/>
      <c r="I6771"/>
    </row>
    <row r="6772" spans="6:9" x14ac:dyDescent="0.3">
      <c r="F6772"/>
      <c r="G6772"/>
      <c r="H6772"/>
      <c r="I6772"/>
    </row>
    <row r="6773" spans="6:9" x14ac:dyDescent="0.3">
      <c r="F6773"/>
      <c r="G6773"/>
      <c r="H6773"/>
      <c r="I6773"/>
    </row>
    <row r="6774" spans="6:9" x14ac:dyDescent="0.3">
      <c r="F6774"/>
      <c r="G6774"/>
      <c r="H6774"/>
      <c r="I6774"/>
    </row>
    <row r="6775" spans="6:9" x14ac:dyDescent="0.3">
      <c r="F6775"/>
      <c r="G6775"/>
      <c r="H6775"/>
      <c r="I6775"/>
    </row>
    <row r="6776" spans="6:9" x14ac:dyDescent="0.3">
      <c r="F6776"/>
      <c r="G6776"/>
      <c r="H6776"/>
      <c r="I6776"/>
    </row>
    <row r="6777" spans="6:9" x14ac:dyDescent="0.3">
      <c r="F6777"/>
      <c r="G6777"/>
      <c r="H6777"/>
      <c r="I6777"/>
    </row>
    <row r="6778" spans="6:9" x14ac:dyDescent="0.3">
      <c r="F6778"/>
      <c r="G6778"/>
      <c r="H6778"/>
      <c r="I6778"/>
    </row>
    <row r="6779" spans="6:9" x14ac:dyDescent="0.3">
      <c r="F6779"/>
      <c r="G6779"/>
      <c r="H6779"/>
      <c r="I6779"/>
    </row>
    <row r="6780" spans="6:9" x14ac:dyDescent="0.3">
      <c r="F6780"/>
      <c r="G6780"/>
      <c r="H6780"/>
      <c r="I6780"/>
    </row>
    <row r="6781" spans="6:9" x14ac:dyDescent="0.3">
      <c r="F6781"/>
      <c r="G6781"/>
      <c r="H6781"/>
      <c r="I6781"/>
    </row>
    <row r="6782" spans="6:9" x14ac:dyDescent="0.3">
      <c r="F6782"/>
      <c r="G6782"/>
      <c r="H6782"/>
      <c r="I6782"/>
    </row>
    <row r="6783" spans="6:9" x14ac:dyDescent="0.3">
      <c r="F6783"/>
      <c r="G6783"/>
      <c r="H6783"/>
      <c r="I6783"/>
    </row>
    <row r="6784" spans="6:9" x14ac:dyDescent="0.3">
      <c r="F6784"/>
      <c r="G6784"/>
      <c r="H6784"/>
      <c r="I6784"/>
    </row>
    <row r="6785" spans="6:9" x14ac:dyDescent="0.3">
      <c r="F6785"/>
      <c r="G6785"/>
      <c r="H6785"/>
      <c r="I6785"/>
    </row>
    <row r="6786" spans="6:9" x14ac:dyDescent="0.3">
      <c r="F6786"/>
      <c r="G6786"/>
      <c r="H6786"/>
      <c r="I6786"/>
    </row>
    <row r="6787" spans="6:9" x14ac:dyDescent="0.3">
      <c r="F6787"/>
      <c r="G6787"/>
      <c r="H6787"/>
      <c r="I6787"/>
    </row>
    <row r="6788" spans="6:9" x14ac:dyDescent="0.3">
      <c r="F6788"/>
      <c r="G6788"/>
      <c r="H6788"/>
      <c r="I6788"/>
    </row>
    <row r="6789" spans="6:9" x14ac:dyDescent="0.3">
      <c r="F6789"/>
      <c r="G6789"/>
      <c r="H6789"/>
      <c r="I6789"/>
    </row>
    <row r="6790" spans="6:9" x14ac:dyDescent="0.3">
      <c r="F6790"/>
      <c r="G6790"/>
      <c r="H6790"/>
      <c r="I6790"/>
    </row>
    <row r="6791" spans="6:9" x14ac:dyDescent="0.3">
      <c r="F6791"/>
      <c r="G6791"/>
      <c r="H6791"/>
      <c r="I6791"/>
    </row>
    <row r="6792" spans="6:9" x14ac:dyDescent="0.3">
      <c r="F6792"/>
      <c r="G6792"/>
      <c r="H6792"/>
      <c r="I6792"/>
    </row>
    <row r="6793" spans="6:9" x14ac:dyDescent="0.3">
      <c r="F6793"/>
      <c r="G6793"/>
      <c r="H6793"/>
      <c r="I6793"/>
    </row>
    <row r="6794" spans="6:9" x14ac:dyDescent="0.3">
      <c r="F6794"/>
      <c r="G6794"/>
      <c r="H6794"/>
      <c r="I6794"/>
    </row>
    <row r="6795" spans="6:9" x14ac:dyDescent="0.3">
      <c r="F6795"/>
      <c r="G6795"/>
      <c r="H6795"/>
      <c r="I6795"/>
    </row>
    <row r="6796" spans="6:9" x14ac:dyDescent="0.3">
      <c r="F6796"/>
      <c r="G6796"/>
      <c r="H6796"/>
      <c r="I6796"/>
    </row>
    <row r="6797" spans="6:9" x14ac:dyDescent="0.3">
      <c r="F6797"/>
      <c r="G6797"/>
      <c r="H6797"/>
      <c r="I6797"/>
    </row>
    <row r="6798" spans="6:9" x14ac:dyDescent="0.3">
      <c r="F6798"/>
      <c r="G6798"/>
      <c r="H6798"/>
      <c r="I6798"/>
    </row>
    <row r="6799" spans="6:9" x14ac:dyDescent="0.3">
      <c r="F6799"/>
      <c r="G6799"/>
      <c r="H6799"/>
      <c r="I6799"/>
    </row>
    <row r="6800" spans="6:9" x14ac:dyDescent="0.3">
      <c r="F6800"/>
      <c r="G6800"/>
      <c r="H6800"/>
      <c r="I6800"/>
    </row>
    <row r="6801" spans="6:9" x14ac:dyDescent="0.3">
      <c r="F6801"/>
      <c r="G6801"/>
      <c r="H6801"/>
      <c r="I6801"/>
    </row>
    <row r="6802" spans="6:9" x14ac:dyDescent="0.3">
      <c r="F6802"/>
      <c r="G6802"/>
      <c r="H6802"/>
      <c r="I6802"/>
    </row>
    <row r="6803" spans="6:9" x14ac:dyDescent="0.3">
      <c r="F6803"/>
      <c r="G6803"/>
      <c r="H6803"/>
      <c r="I6803"/>
    </row>
    <row r="6804" spans="6:9" x14ac:dyDescent="0.3">
      <c r="F6804"/>
      <c r="G6804"/>
      <c r="H6804"/>
      <c r="I6804"/>
    </row>
    <row r="6805" spans="6:9" x14ac:dyDescent="0.3">
      <c r="F6805"/>
      <c r="G6805"/>
      <c r="H6805"/>
      <c r="I6805"/>
    </row>
    <row r="6806" spans="6:9" x14ac:dyDescent="0.3">
      <c r="F6806"/>
      <c r="G6806"/>
      <c r="H6806"/>
      <c r="I6806"/>
    </row>
    <row r="6807" spans="6:9" x14ac:dyDescent="0.3">
      <c r="F6807"/>
      <c r="G6807"/>
      <c r="H6807"/>
      <c r="I6807"/>
    </row>
    <row r="6808" spans="6:9" x14ac:dyDescent="0.3">
      <c r="F6808"/>
      <c r="G6808"/>
      <c r="H6808"/>
      <c r="I6808"/>
    </row>
    <row r="6809" spans="6:9" x14ac:dyDescent="0.3">
      <c r="F6809"/>
      <c r="G6809"/>
      <c r="H6809"/>
      <c r="I6809"/>
    </row>
    <row r="6810" spans="6:9" x14ac:dyDescent="0.3">
      <c r="F6810"/>
      <c r="G6810"/>
      <c r="H6810"/>
      <c r="I6810"/>
    </row>
    <row r="6811" spans="6:9" x14ac:dyDescent="0.3">
      <c r="F6811"/>
      <c r="G6811"/>
      <c r="H6811"/>
      <c r="I6811"/>
    </row>
    <row r="6812" spans="6:9" x14ac:dyDescent="0.3">
      <c r="F6812"/>
      <c r="G6812"/>
      <c r="H6812"/>
      <c r="I6812"/>
    </row>
    <row r="6813" spans="6:9" x14ac:dyDescent="0.3">
      <c r="F6813"/>
      <c r="G6813"/>
      <c r="H6813"/>
      <c r="I6813"/>
    </row>
    <row r="6814" spans="6:9" x14ac:dyDescent="0.3">
      <c r="F6814"/>
      <c r="G6814"/>
      <c r="H6814"/>
      <c r="I6814"/>
    </row>
    <row r="6815" spans="6:9" x14ac:dyDescent="0.3">
      <c r="F6815"/>
      <c r="G6815"/>
      <c r="H6815"/>
      <c r="I6815"/>
    </row>
    <row r="6816" spans="6:9" x14ac:dyDescent="0.3">
      <c r="F6816"/>
      <c r="G6816"/>
      <c r="H6816"/>
      <c r="I6816"/>
    </row>
    <row r="6817" spans="6:9" x14ac:dyDescent="0.3">
      <c r="F6817"/>
      <c r="G6817"/>
      <c r="H6817"/>
      <c r="I6817"/>
    </row>
    <row r="6818" spans="6:9" x14ac:dyDescent="0.3">
      <c r="F6818"/>
      <c r="G6818"/>
      <c r="H6818"/>
      <c r="I6818"/>
    </row>
    <row r="6819" spans="6:9" x14ac:dyDescent="0.3">
      <c r="F6819"/>
      <c r="G6819"/>
      <c r="H6819"/>
      <c r="I6819"/>
    </row>
    <row r="6820" spans="6:9" x14ac:dyDescent="0.3">
      <c r="F6820"/>
      <c r="G6820"/>
      <c r="H6820"/>
      <c r="I6820"/>
    </row>
    <row r="6821" spans="6:9" x14ac:dyDescent="0.3">
      <c r="F6821"/>
      <c r="G6821"/>
      <c r="H6821"/>
      <c r="I6821"/>
    </row>
    <row r="6822" spans="6:9" x14ac:dyDescent="0.3">
      <c r="F6822"/>
      <c r="G6822"/>
      <c r="H6822"/>
      <c r="I6822"/>
    </row>
    <row r="6823" spans="6:9" x14ac:dyDescent="0.3">
      <c r="F6823"/>
      <c r="G6823"/>
      <c r="H6823"/>
      <c r="I6823"/>
    </row>
    <row r="6824" spans="6:9" x14ac:dyDescent="0.3">
      <c r="F6824"/>
      <c r="G6824"/>
      <c r="H6824"/>
      <c r="I6824"/>
    </row>
    <row r="6825" spans="6:9" x14ac:dyDescent="0.3">
      <c r="F6825"/>
      <c r="G6825"/>
      <c r="H6825"/>
      <c r="I6825"/>
    </row>
    <row r="6826" spans="6:9" x14ac:dyDescent="0.3">
      <c r="F6826"/>
      <c r="G6826"/>
      <c r="H6826"/>
      <c r="I6826"/>
    </row>
    <row r="6827" spans="6:9" x14ac:dyDescent="0.3">
      <c r="F6827"/>
      <c r="G6827"/>
      <c r="H6827"/>
      <c r="I6827"/>
    </row>
    <row r="6828" spans="6:9" x14ac:dyDescent="0.3">
      <c r="F6828"/>
      <c r="G6828"/>
      <c r="H6828"/>
      <c r="I6828"/>
    </row>
    <row r="6829" spans="6:9" x14ac:dyDescent="0.3">
      <c r="F6829"/>
      <c r="G6829"/>
      <c r="H6829"/>
      <c r="I6829"/>
    </row>
    <row r="6830" spans="6:9" x14ac:dyDescent="0.3">
      <c r="F6830"/>
      <c r="G6830"/>
      <c r="H6830"/>
      <c r="I6830"/>
    </row>
    <row r="6831" spans="6:9" x14ac:dyDescent="0.3">
      <c r="F6831"/>
      <c r="G6831"/>
      <c r="H6831"/>
      <c r="I6831"/>
    </row>
    <row r="6832" spans="6:9" x14ac:dyDescent="0.3">
      <c r="F6832"/>
      <c r="G6832"/>
      <c r="H6832"/>
      <c r="I6832"/>
    </row>
    <row r="6833" spans="6:9" x14ac:dyDescent="0.3">
      <c r="F6833"/>
      <c r="G6833"/>
      <c r="H6833"/>
      <c r="I6833"/>
    </row>
    <row r="6834" spans="6:9" x14ac:dyDescent="0.3">
      <c r="F6834"/>
      <c r="G6834"/>
      <c r="H6834"/>
      <c r="I6834"/>
    </row>
    <row r="6835" spans="6:9" x14ac:dyDescent="0.3">
      <c r="F6835"/>
      <c r="G6835"/>
      <c r="H6835"/>
      <c r="I6835"/>
    </row>
    <row r="6836" spans="6:9" x14ac:dyDescent="0.3">
      <c r="F6836"/>
      <c r="G6836"/>
      <c r="H6836"/>
      <c r="I6836"/>
    </row>
    <row r="6837" spans="6:9" x14ac:dyDescent="0.3">
      <c r="F6837"/>
      <c r="G6837"/>
      <c r="H6837"/>
      <c r="I6837"/>
    </row>
    <row r="6838" spans="6:9" x14ac:dyDescent="0.3">
      <c r="F6838"/>
      <c r="G6838"/>
      <c r="H6838"/>
      <c r="I6838"/>
    </row>
    <row r="6839" spans="6:9" x14ac:dyDescent="0.3">
      <c r="F6839"/>
      <c r="G6839"/>
      <c r="H6839"/>
      <c r="I6839"/>
    </row>
    <row r="6840" spans="6:9" x14ac:dyDescent="0.3">
      <c r="F6840"/>
      <c r="G6840"/>
      <c r="H6840"/>
      <c r="I6840"/>
    </row>
    <row r="6841" spans="6:9" x14ac:dyDescent="0.3">
      <c r="F6841"/>
      <c r="G6841"/>
      <c r="H6841"/>
      <c r="I6841"/>
    </row>
    <row r="6842" spans="6:9" x14ac:dyDescent="0.3">
      <c r="F6842"/>
      <c r="G6842"/>
      <c r="H6842"/>
      <c r="I6842"/>
    </row>
    <row r="6843" spans="6:9" x14ac:dyDescent="0.3">
      <c r="F6843"/>
      <c r="G6843"/>
      <c r="H6843"/>
      <c r="I6843"/>
    </row>
    <row r="6844" spans="6:9" x14ac:dyDescent="0.3">
      <c r="F6844"/>
      <c r="G6844"/>
      <c r="H6844"/>
      <c r="I6844"/>
    </row>
    <row r="6845" spans="6:9" x14ac:dyDescent="0.3">
      <c r="F6845"/>
      <c r="G6845"/>
      <c r="H6845"/>
      <c r="I6845"/>
    </row>
    <row r="6846" spans="6:9" x14ac:dyDescent="0.3">
      <c r="F6846"/>
      <c r="G6846"/>
      <c r="H6846"/>
      <c r="I6846"/>
    </row>
    <row r="6847" spans="6:9" x14ac:dyDescent="0.3">
      <c r="F6847"/>
      <c r="G6847"/>
      <c r="H6847"/>
      <c r="I6847"/>
    </row>
    <row r="6848" spans="6:9" x14ac:dyDescent="0.3">
      <c r="F6848"/>
      <c r="G6848"/>
      <c r="H6848"/>
      <c r="I6848"/>
    </row>
    <row r="6849" spans="6:9" x14ac:dyDescent="0.3">
      <c r="F6849"/>
      <c r="G6849"/>
      <c r="H6849"/>
      <c r="I6849"/>
    </row>
    <row r="6850" spans="6:9" x14ac:dyDescent="0.3">
      <c r="F6850"/>
      <c r="G6850"/>
      <c r="H6850"/>
      <c r="I6850"/>
    </row>
    <row r="6851" spans="6:9" x14ac:dyDescent="0.3">
      <c r="F6851"/>
      <c r="G6851"/>
      <c r="H6851"/>
      <c r="I6851"/>
    </row>
    <row r="6852" spans="6:9" x14ac:dyDescent="0.3">
      <c r="F6852"/>
      <c r="G6852"/>
      <c r="H6852"/>
      <c r="I6852"/>
    </row>
    <row r="6853" spans="6:9" x14ac:dyDescent="0.3">
      <c r="F6853"/>
      <c r="G6853"/>
      <c r="H6853"/>
      <c r="I6853"/>
    </row>
    <row r="6854" spans="6:9" x14ac:dyDescent="0.3">
      <c r="F6854"/>
      <c r="G6854"/>
      <c r="H6854"/>
      <c r="I6854"/>
    </row>
    <row r="6855" spans="6:9" x14ac:dyDescent="0.3">
      <c r="F6855"/>
      <c r="G6855"/>
      <c r="H6855"/>
      <c r="I6855"/>
    </row>
    <row r="6856" spans="6:9" x14ac:dyDescent="0.3">
      <c r="F6856"/>
      <c r="G6856"/>
      <c r="H6856"/>
      <c r="I6856"/>
    </row>
    <row r="6857" spans="6:9" x14ac:dyDescent="0.3">
      <c r="F6857"/>
      <c r="G6857"/>
      <c r="H6857"/>
      <c r="I6857"/>
    </row>
    <row r="6858" spans="6:9" x14ac:dyDescent="0.3">
      <c r="F6858"/>
      <c r="G6858"/>
      <c r="H6858"/>
      <c r="I6858"/>
    </row>
    <row r="6859" spans="6:9" x14ac:dyDescent="0.3">
      <c r="F6859"/>
      <c r="G6859"/>
      <c r="H6859"/>
      <c r="I6859"/>
    </row>
    <row r="6860" spans="6:9" x14ac:dyDescent="0.3">
      <c r="F6860"/>
      <c r="G6860"/>
      <c r="H6860"/>
      <c r="I6860"/>
    </row>
    <row r="6861" spans="6:9" x14ac:dyDescent="0.3">
      <c r="F6861"/>
      <c r="G6861"/>
      <c r="H6861"/>
      <c r="I6861"/>
    </row>
    <row r="6862" spans="6:9" x14ac:dyDescent="0.3">
      <c r="F6862"/>
      <c r="G6862"/>
      <c r="H6862"/>
      <c r="I6862"/>
    </row>
    <row r="6863" spans="6:9" x14ac:dyDescent="0.3">
      <c r="F6863"/>
      <c r="G6863"/>
      <c r="H6863"/>
      <c r="I6863"/>
    </row>
    <row r="6864" spans="6:9" x14ac:dyDescent="0.3">
      <c r="F6864"/>
      <c r="G6864"/>
      <c r="H6864"/>
      <c r="I6864"/>
    </row>
    <row r="6865" spans="6:9" x14ac:dyDescent="0.3">
      <c r="F6865"/>
      <c r="G6865"/>
      <c r="H6865"/>
      <c r="I6865"/>
    </row>
    <row r="6866" spans="6:9" x14ac:dyDescent="0.3">
      <c r="F6866"/>
      <c r="G6866"/>
      <c r="H6866"/>
      <c r="I6866"/>
    </row>
    <row r="6867" spans="6:9" x14ac:dyDescent="0.3">
      <c r="F6867"/>
      <c r="G6867"/>
      <c r="H6867"/>
      <c r="I6867"/>
    </row>
    <row r="6868" spans="6:9" x14ac:dyDescent="0.3">
      <c r="F6868"/>
      <c r="G6868"/>
      <c r="H6868"/>
      <c r="I6868"/>
    </row>
    <row r="6869" spans="6:9" x14ac:dyDescent="0.3">
      <c r="F6869"/>
      <c r="G6869"/>
      <c r="H6869"/>
      <c r="I6869"/>
    </row>
    <row r="6870" spans="6:9" x14ac:dyDescent="0.3">
      <c r="F6870"/>
      <c r="G6870"/>
      <c r="H6870"/>
      <c r="I6870"/>
    </row>
    <row r="6871" spans="6:9" x14ac:dyDescent="0.3">
      <c r="F6871"/>
      <c r="G6871"/>
      <c r="H6871"/>
      <c r="I6871"/>
    </row>
    <row r="6872" spans="6:9" x14ac:dyDescent="0.3">
      <c r="F6872"/>
      <c r="G6872"/>
      <c r="H6872"/>
      <c r="I6872"/>
    </row>
    <row r="6873" spans="6:9" x14ac:dyDescent="0.3">
      <c r="F6873"/>
      <c r="G6873"/>
      <c r="H6873"/>
      <c r="I6873"/>
    </row>
    <row r="6874" spans="6:9" x14ac:dyDescent="0.3">
      <c r="F6874"/>
      <c r="G6874"/>
      <c r="H6874"/>
      <c r="I6874"/>
    </row>
    <row r="6875" spans="6:9" x14ac:dyDescent="0.3">
      <c r="F6875"/>
      <c r="G6875"/>
      <c r="H6875"/>
      <c r="I6875"/>
    </row>
    <row r="6876" spans="6:9" x14ac:dyDescent="0.3">
      <c r="F6876"/>
      <c r="G6876"/>
      <c r="H6876"/>
      <c r="I6876"/>
    </row>
    <row r="6877" spans="6:9" x14ac:dyDescent="0.3">
      <c r="F6877"/>
      <c r="G6877"/>
      <c r="H6877"/>
      <c r="I6877"/>
    </row>
    <row r="6878" spans="6:9" x14ac:dyDescent="0.3">
      <c r="F6878"/>
      <c r="G6878"/>
      <c r="H6878"/>
      <c r="I6878"/>
    </row>
    <row r="6879" spans="6:9" x14ac:dyDescent="0.3">
      <c r="F6879"/>
      <c r="G6879"/>
      <c r="H6879"/>
      <c r="I6879"/>
    </row>
    <row r="6880" spans="6:9" x14ac:dyDescent="0.3">
      <c r="F6880"/>
      <c r="G6880"/>
      <c r="H6880"/>
      <c r="I6880"/>
    </row>
    <row r="6881" spans="6:9" x14ac:dyDescent="0.3">
      <c r="F6881"/>
      <c r="G6881"/>
      <c r="H6881"/>
      <c r="I6881"/>
    </row>
    <row r="6882" spans="6:9" x14ac:dyDescent="0.3">
      <c r="F6882"/>
      <c r="G6882"/>
      <c r="H6882"/>
      <c r="I6882"/>
    </row>
    <row r="6883" spans="6:9" x14ac:dyDescent="0.3">
      <c r="F6883"/>
      <c r="G6883"/>
      <c r="H6883"/>
      <c r="I6883"/>
    </row>
    <row r="6884" spans="6:9" x14ac:dyDescent="0.3">
      <c r="F6884"/>
      <c r="G6884"/>
      <c r="H6884"/>
      <c r="I6884"/>
    </row>
    <row r="6885" spans="6:9" x14ac:dyDescent="0.3">
      <c r="F6885"/>
      <c r="G6885"/>
      <c r="H6885"/>
      <c r="I6885"/>
    </row>
    <row r="6886" spans="6:9" x14ac:dyDescent="0.3">
      <c r="F6886"/>
      <c r="G6886"/>
      <c r="H6886"/>
      <c r="I6886"/>
    </row>
    <row r="6887" spans="6:9" x14ac:dyDescent="0.3">
      <c r="F6887"/>
      <c r="G6887"/>
      <c r="H6887"/>
      <c r="I6887"/>
    </row>
    <row r="6888" spans="6:9" x14ac:dyDescent="0.3">
      <c r="F6888"/>
      <c r="G6888"/>
      <c r="H6888"/>
      <c r="I6888"/>
    </row>
    <row r="6889" spans="6:9" x14ac:dyDescent="0.3">
      <c r="F6889"/>
      <c r="G6889"/>
      <c r="H6889"/>
      <c r="I6889"/>
    </row>
    <row r="6890" spans="6:9" x14ac:dyDescent="0.3">
      <c r="F6890"/>
      <c r="G6890"/>
      <c r="H6890"/>
      <c r="I6890"/>
    </row>
    <row r="6891" spans="6:9" x14ac:dyDescent="0.3">
      <c r="F6891"/>
      <c r="G6891"/>
      <c r="H6891"/>
      <c r="I6891"/>
    </row>
    <row r="6892" spans="6:9" x14ac:dyDescent="0.3">
      <c r="F6892"/>
      <c r="G6892"/>
      <c r="H6892"/>
      <c r="I6892"/>
    </row>
    <row r="6893" spans="6:9" x14ac:dyDescent="0.3">
      <c r="F6893"/>
      <c r="G6893"/>
      <c r="H6893"/>
      <c r="I6893"/>
    </row>
    <row r="6894" spans="6:9" x14ac:dyDescent="0.3">
      <c r="F6894"/>
      <c r="G6894"/>
      <c r="H6894"/>
      <c r="I6894"/>
    </row>
    <row r="6895" spans="6:9" x14ac:dyDescent="0.3">
      <c r="F6895"/>
      <c r="G6895"/>
      <c r="H6895"/>
      <c r="I6895"/>
    </row>
    <row r="6896" spans="6:9" x14ac:dyDescent="0.3">
      <c r="F6896"/>
      <c r="G6896"/>
      <c r="H6896"/>
      <c r="I6896"/>
    </row>
    <row r="6897" spans="6:9" x14ac:dyDescent="0.3">
      <c r="F6897"/>
      <c r="G6897"/>
      <c r="H6897"/>
      <c r="I6897"/>
    </row>
    <row r="6898" spans="6:9" x14ac:dyDescent="0.3">
      <c r="F6898"/>
      <c r="G6898"/>
      <c r="H6898"/>
      <c r="I6898"/>
    </row>
    <row r="6899" spans="6:9" x14ac:dyDescent="0.3">
      <c r="F6899"/>
      <c r="G6899"/>
      <c r="H6899"/>
      <c r="I6899"/>
    </row>
    <row r="6900" spans="6:9" x14ac:dyDescent="0.3">
      <c r="F6900"/>
      <c r="G6900"/>
      <c r="H6900"/>
      <c r="I6900"/>
    </row>
    <row r="6901" spans="6:9" x14ac:dyDescent="0.3">
      <c r="F6901"/>
      <c r="G6901"/>
      <c r="H6901"/>
      <c r="I6901"/>
    </row>
    <row r="6902" spans="6:9" x14ac:dyDescent="0.3">
      <c r="F6902"/>
      <c r="G6902"/>
      <c r="H6902"/>
      <c r="I6902"/>
    </row>
    <row r="6903" spans="6:9" x14ac:dyDescent="0.3">
      <c r="F6903"/>
      <c r="G6903"/>
      <c r="H6903"/>
      <c r="I6903"/>
    </row>
    <row r="6904" spans="6:9" x14ac:dyDescent="0.3">
      <c r="F6904"/>
      <c r="G6904"/>
      <c r="H6904"/>
      <c r="I6904"/>
    </row>
    <row r="6905" spans="6:9" x14ac:dyDescent="0.3">
      <c r="F6905"/>
      <c r="G6905"/>
      <c r="H6905"/>
      <c r="I6905"/>
    </row>
    <row r="6906" spans="6:9" x14ac:dyDescent="0.3">
      <c r="F6906"/>
      <c r="G6906"/>
      <c r="H6906"/>
      <c r="I6906"/>
    </row>
    <row r="6907" spans="6:9" x14ac:dyDescent="0.3">
      <c r="F6907"/>
      <c r="G6907"/>
      <c r="H6907"/>
      <c r="I6907"/>
    </row>
    <row r="6908" spans="6:9" x14ac:dyDescent="0.3">
      <c r="F6908"/>
      <c r="G6908"/>
      <c r="H6908"/>
      <c r="I6908"/>
    </row>
    <row r="6909" spans="6:9" x14ac:dyDescent="0.3">
      <c r="F6909"/>
      <c r="G6909"/>
      <c r="H6909"/>
      <c r="I6909"/>
    </row>
    <row r="6910" spans="6:9" x14ac:dyDescent="0.3">
      <c r="F6910"/>
      <c r="G6910"/>
      <c r="H6910"/>
      <c r="I6910"/>
    </row>
    <row r="6911" spans="6:9" x14ac:dyDescent="0.3">
      <c r="F6911"/>
      <c r="G6911"/>
      <c r="H6911"/>
      <c r="I6911"/>
    </row>
    <row r="6912" spans="6:9" x14ac:dyDescent="0.3">
      <c r="F6912"/>
      <c r="G6912"/>
      <c r="H6912"/>
      <c r="I6912"/>
    </row>
    <row r="6913" spans="6:9" x14ac:dyDescent="0.3">
      <c r="F6913"/>
      <c r="G6913"/>
      <c r="H6913"/>
      <c r="I6913"/>
    </row>
    <row r="6914" spans="6:9" x14ac:dyDescent="0.3">
      <c r="F6914"/>
      <c r="G6914"/>
      <c r="H6914"/>
      <c r="I6914"/>
    </row>
    <row r="6915" spans="6:9" x14ac:dyDescent="0.3">
      <c r="F6915"/>
      <c r="G6915"/>
      <c r="H6915"/>
      <c r="I6915"/>
    </row>
    <row r="6916" spans="6:9" x14ac:dyDescent="0.3">
      <c r="F6916"/>
      <c r="G6916"/>
      <c r="H6916"/>
      <c r="I6916"/>
    </row>
    <row r="6917" spans="6:9" x14ac:dyDescent="0.3">
      <c r="F6917"/>
      <c r="G6917"/>
      <c r="H6917"/>
      <c r="I6917"/>
    </row>
    <row r="6918" spans="6:9" x14ac:dyDescent="0.3">
      <c r="F6918"/>
      <c r="G6918"/>
      <c r="H6918"/>
      <c r="I6918"/>
    </row>
    <row r="6919" spans="6:9" x14ac:dyDescent="0.3">
      <c r="F6919"/>
      <c r="G6919"/>
      <c r="H6919"/>
      <c r="I6919"/>
    </row>
    <row r="6920" spans="6:9" x14ac:dyDescent="0.3">
      <c r="F6920"/>
      <c r="G6920"/>
      <c r="H6920"/>
      <c r="I6920"/>
    </row>
    <row r="6921" spans="6:9" x14ac:dyDescent="0.3">
      <c r="F6921"/>
      <c r="G6921"/>
      <c r="H6921"/>
      <c r="I6921"/>
    </row>
    <row r="6922" spans="6:9" x14ac:dyDescent="0.3">
      <c r="F6922"/>
      <c r="G6922"/>
      <c r="H6922"/>
      <c r="I6922"/>
    </row>
    <row r="6923" spans="6:9" x14ac:dyDescent="0.3">
      <c r="F6923"/>
      <c r="G6923"/>
      <c r="H6923"/>
      <c r="I6923"/>
    </row>
    <row r="6924" spans="6:9" x14ac:dyDescent="0.3">
      <c r="F6924"/>
      <c r="G6924"/>
      <c r="H6924"/>
      <c r="I6924"/>
    </row>
    <row r="6925" spans="6:9" x14ac:dyDescent="0.3">
      <c r="F6925"/>
      <c r="G6925"/>
      <c r="H6925"/>
      <c r="I6925"/>
    </row>
    <row r="6926" spans="6:9" x14ac:dyDescent="0.3">
      <c r="F6926"/>
      <c r="G6926"/>
      <c r="H6926"/>
      <c r="I6926"/>
    </row>
    <row r="6927" spans="6:9" x14ac:dyDescent="0.3">
      <c r="F6927"/>
      <c r="G6927"/>
      <c r="H6927"/>
      <c r="I6927"/>
    </row>
    <row r="6928" spans="6:9" x14ac:dyDescent="0.3">
      <c r="F6928"/>
      <c r="G6928"/>
      <c r="H6928"/>
      <c r="I6928"/>
    </row>
    <row r="6929" spans="6:9" x14ac:dyDescent="0.3">
      <c r="F6929"/>
      <c r="G6929"/>
      <c r="H6929"/>
      <c r="I6929"/>
    </row>
    <row r="6930" spans="6:9" x14ac:dyDescent="0.3">
      <c r="F6930"/>
      <c r="G6930"/>
      <c r="H6930"/>
      <c r="I6930"/>
    </row>
    <row r="6931" spans="6:9" x14ac:dyDescent="0.3">
      <c r="F6931"/>
      <c r="G6931"/>
      <c r="H6931"/>
      <c r="I6931"/>
    </row>
    <row r="6932" spans="6:9" x14ac:dyDescent="0.3">
      <c r="F6932"/>
      <c r="G6932"/>
      <c r="H6932"/>
      <c r="I6932"/>
    </row>
    <row r="6933" spans="6:9" x14ac:dyDescent="0.3">
      <c r="F6933"/>
      <c r="G6933"/>
      <c r="H6933"/>
      <c r="I6933"/>
    </row>
    <row r="6934" spans="6:9" x14ac:dyDescent="0.3">
      <c r="F6934"/>
      <c r="G6934"/>
      <c r="H6934"/>
      <c r="I6934"/>
    </row>
    <row r="6935" spans="6:9" x14ac:dyDescent="0.3">
      <c r="F6935"/>
      <c r="G6935"/>
      <c r="H6935"/>
      <c r="I6935"/>
    </row>
    <row r="6936" spans="6:9" x14ac:dyDescent="0.3">
      <c r="F6936"/>
      <c r="G6936"/>
      <c r="H6936"/>
      <c r="I6936"/>
    </row>
    <row r="6937" spans="6:9" x14ac:dyDescent="0.3">
      <c r="F6937"/>
      <c r="G6937"/>
      <c r="H6937"/>
      <c r="I6937"/>
    </row>
    <row r="6938" spans="6:9" x14ac:dyDescent="0.3">
      <c r="F6938"/>
      <c r="G6938"/>
      <c r="H6938"/>
      <c r="I6938"/>
    </row>
    <row r="6939" spans="6:9" x14ac:dyDescent="0.3">
      <c r="F6939"/>
      <c r="G6939"/>
      <c r="H6939"/>
      <c r="I6939"/>
    </row>
    <row r="6940" spans="6:9" x14ac:dyDescent="0.3">
      <c r="F6940"/>
      <c r="G6940"/>
      <c r="H6940"/>
      <c r="I6940"/>
    </row>
    <row r="6941" spans="6:9" x14ac:dyDescent="0.3">
      <c r="F6941"/>
      <c r="G6941"/>
      <c r="H6941"/>
      <c r="I6941"/>
    </row>
    <row r="6942" spans="6:9" x14ac:dyDescent="0.3">
      <c r="F6942"/>
      <c r="G6942"/>
      <c r="H6942"/>
      <c r="I6942"/>
    </row>
    <row r="6943" spans="6:9" x14ac:dyDescent="0.3">
      <c r="F6943"/>
      <c r="G6943"/>
      <c r="H6943"/>
      <c r="I6943"/>
    </row>
    <row r="6944" spans="6:9" x14ac:dyDescent="0.3">
      <c r="F6944"/>
      <c r="G6944"/>
      <c r="H6944"/>
      <c r="I6944"/>
    </row>
    <row r="6945" spans="6:9" x14ac:dyDescent="0.3">
      <c r="F6945"/>
      <c r="G6945"/>
      <c r="H6945"/>
      <c r="I6945"/>
    </row>
    <row r="6946" spans="6:9" x14ac:dyDescent="0.3">
      <c r="F6946"/>
      <c r="G6946"/>
      <c r="H6946"/>
      <c r="I6946"/>
    </row>
    <row r="6947" spans="6:9" x14ac:dyDescent="0.3">
      <c r="F6947"/>
      <c r="G6947"/>
      <c r="H6947"/>
      <c r="I6947"/>
    </row>
    <row r="6948" spans="6:9" x14ac:dyDescent="0.3">
      <c r="F6948"/>
      <c r="G6948"/>
      <c r="H6948"/>
      <c r="I6948"/>
    </row>
    <row r="6949" spans="6:9" x14ac:dyDescent="0.3">
      <c r="F6949"/>
      <c r="G6949"/>
      <c r="H6949"/>
      <c r="I6949"/>
    </row>
    <row r="6950" spans="6:9" x14ac:dyDescent="0.3">
      <c r="F6950"/>
      <c r="G6950"/>
      <c r="H6950"/>
      <c r="I6950"/>
    </row>
    <row r="6951" spans="6:9" x14ac:dyDescent="0.3">
      <c r="F6951"/>
      <c r="G6951"/>
      <c r="H6951"/>
      <c r="I6951"/>
    </row>
    <row r="6952" spans="6:9" x14ac:dyDescent="0.3">
      <c r="F6952"/>
      <c r="G6952"/>
      <c r="H6952"/>
      <c r="I6952"/>
    </row>
    <row r="6953" spans="6:9" x14ac:dyDescent="0.3">
      <c r="F6953"/>
      <c r="G6953"/>
      <c r="H6953"/>
      <c r="I6953"/>
    </row>
    <row r="6954" spans="6:9" x14ac:dyDescent="0.3">
      <c r="F6954"/>
      <c r="G6954"/>
      <c r="H6954"/>
      <c r="I6954"/>
    </row>
    <row r="6955" spans="6:9" x14ac:dyDescent="0.3">
      <c r="F6955"/>
      <c r="G6955"/>
      <c r="H6955"/>
      <c r="I6955"/>
    </row>
    <row r="6956" spans="6:9" x14ac:dyDescent="0.3">
      <c r="F6956"/>
      <c r="G6956"/>
      <c r="H6956"/>
      <c r="I6956"/>
    </row>
    <row r="6957" spans="6:9" x14ac:dyDescent="0.3">
      <c r="F6957"/>
      <c r="G6957"/>
      <c r="H6957"/>
      <c r="I6957"/>
    </row>
    <row r="6958" spans="6:9" x14ac:dyDescent="0.3">
      <c r="F6958"/>
      <c r="G6958"/>
      <c r="H6958"/>
      <c r="I6958"/>
    </row>
    <row r="6959" spans="6:9" x14ac:dyDescent="0.3">
      <c r="F6959"/>
      <c r="G6959"/>
      <c r="H6959"/>
      <c r="I6959"/>
    </row>
    <row r="6960" spans="6:9" x14ac:dyDescent="0.3">
      <c r="F6960"/>
      <c r="G6960"/>
      <c r="H6960"/>
      <c r="I6960"/>
    </row>
    <row r="6961" spans="6:9" x14ac:dyDescent="0.3">
      <c r="F6961"/>
      <c r="G6961"/>
      <c r="H6961"/>
      <c r="I6961"/>
    </row>
    <row r="6962" spans="6:9" x14ac:dyDescent="0.3">
      <c r="F6962"/>
      <c r="G6962"/>
      <c r="H6962"/>
      <c r="I6962"/>
    </row>
    <row r="6963" spans="6:9" x14ac:dyDescent="0.3">
      <c r="F6963"/>
      <c r="G6963"/>
      <c r="H6963"/>
      <c r="I6963"/>
    </row>
    <row r="6964" spans="6:9" x14ac:dyDescent="0.3">
      <c r="F6964"/>
      <c r="G6964"/>
      <c r="H6964"/>
      <c r="I6964"/>
    </row>
    <row r="6965" spans="6:9" x14ac:dyDescent="0.3">
      <c r="F6965"/>
      <c r="G6965"/>
      <c r="H6965"/>
      <c r="I6965"/>
    </row>
    <row r="6966" spans="6:9" x14ac:dyDescent="0.3">
      <c r="F6966"/>
      <c r="G6966"/>
      <c r="H6966"/>
      <c r="I6966"/>
    </row>
    <row r="6967" spans="6:9" x14ac:dyDescent="0.3">
      <c r="F6967"/>
      <c r="G6967"/>
      <c r="H6967"/>
      <c r="I6967"/>
    </row>
    <row r="6968" spans="6:9" x14ac:dyDescent="0.3">
      <c r="F6968"/>
      <c r="G6968"/>
      <c r="H6968"/>
      <c r="I6968"/>
    </row>
    <row r="6969" spans="6:9" x14ac:dyDescent="0.3">
      <c r="F6969"/>
      <c r="G6969"/>
      <c r="H6969"/>
      <c r="I6969"/>
    </row>
    <row r="6970" spans="6:9" x14ac:dyDescent="0.3">
      <c r="F6970"/>
      <c r="G6970"/>
      <c r="H6970"/>
      <c r="I6970"/>
    </row>
    <row r="6971" spans="6:9" x14ac:dyDescent="0.3">
      <c r="F6971"/>
      <c r="G6971"/>
      <c r="H6971"/>
      <c r="I6971"/>
    </row>
    <row r="6972" spans="6:9" x14ac:dyDescent="0.3">
      <c r="F6972"/>
      <c r="G6972"/>
      <c r="H6972"/>
      <c r="I6972"/>
    </row>
    <row r="6973" spans="6:9" x14ac:dyDescent="0.3">
      <c r="F6973"/>
      <c r="G6973"/>
      <c r="H6973"/>
      <c r="I6973"/>
    </row>
    <row r="6974" spans="6:9" x14ac:dyDescent="0.3">
      <c r="F6974"/>
      <c r="G6974"/>
      <c r="H6974"/>
      <c r="I6974"/>
    </row>
    <row r="6975" spans="6:9" x14ac:dyDescent="0.3">
      <c r="F6975"/>
      <c r="G6975"/>
      <c r="H6975"/>
      <c r="I6975"/>
    </row>
    <row r="6976" spans="6:9" x14ac:dyDescent="0.3">
      <c r="F6976"/>
      <c r="G6976"/>
      <c r="H6976"/>
      <c r="I6976"/>
    </row>
    <row r="6977" spans="6:9" x14ac:dyDescent="0.3">
      <c r="F6977"/>
      <c r="G6977"/>
      <c r="H6977"/>
      <c r="I6977"/>
    </row>
    <row r="6978" spans="6:9" x14ac:dyDescent="0.3">
      <c r="F6978"/>
      <c r="G6978"/>
      <c r="H6978"/>
      <c r="I6978"/>
    </row>
    <row r="6979" spans="6:9" x14ac:dyDescent="0.3">
      <c r="F6979"/>
      <c r="G6979"/>
      <c r="H6979"/>
      <c r="I6979"/>
    </row>
    <row r="6980" spans="6:9" x14ac:dyDescent="0.3">
      <c r="F6980"/>
      <c r="G6980"/>
      <c r="H6980"/>
      <c r="I6980"/>
    </row>
    <row r="6981" spans="6:9" x14ac:dyDescent="0.3">
      <c r="F6981"/>
      <c r="G6981"/>
      <c r="H6981"/>
      <c r="I6981"/>
    </row>
    <row r="6982" spans="6:9" x14ac:dyDescent="0.3">
      <c r="F6982"/>
      <c r="G6982"/>
      <c r="H6982"/>
      <c r="I6982"/>
    </row>
    <row r="6983" spans="6:9" x14ac:dyDescent="0.3">
      <c r="F6983"/>
      <c r="G6983"/>
      <c r="H6983"/>
      <c r="I6983"/>
    </row>
    <row r="6984" spans="6:9" x14ac:dyDescent="0.3">
      <c r="F6984"/>
      <c r="G6984"/>
      <c r="H6984"/>
      <c r="I6984"/>
    </row>
    <row r="6985" spans="6:9" x14ac:dyDescent="0.3">
      <c r="F6985"/>
      <c r="G6985"/>
      <c r="H6985"/>
      <c r="I6985"/>
    </row>
    <row r="6986" spans="6:9" x14ac:dyDescent="0.3">
      <c r="F6986"/>
      <c r="G6986"/>
      <c r="H6986"/>
      <c r="I6986"/>
    </row>
    <row r="6987" spans="6:9" x14ac:dyDescent="0.3">
      <c r="F6987"/>
      <c r="G6987"/>
      <c r="H6987"/>
      <c r="I6987"/>
    </row>
    <row r="6988" spans="6:9" x14ac:dyDescent="0.3">
      <c r="F6988"/>
      <c r="G6988"/>
      <c r="H6988"/>
      <c r="I6988"/>
    </row>
    <row r="6989" spans="6:9" x14ac:dyDescent="0.3">
      <c r="F6989"/>
      <c r="G6989"/>
      <c r="H6989"/>
      <c r="I6989"/>
    </row>
    <row r="6990" spans="6:9" x14ac:dyDescent="0.3">
      <c r="F6990"/>
      <c r="G6990"/>
      <c r="H6990"/>
      <c r="I6990"/>
    </row>
    <row r="6991" spans="6:9" x14ac:dyDescent="0.3">
      <c r="F6991"/>
      <c r="G6991"/>
      <c r="H6991"/>
      <c r="I6991"/>
    </row>
    <row r="6992" spans="6:9" x14ac:dyDescent="0.3">
      <c r="F6992"/>
      <c r="G6992"/>
      <c r="H6992"/>
      <c r="I6992"/>
    </row>
    <row r="6993" spans="6:9" x14ac:dyDescent="0.3">
      <c r="F6993"/>
      <c r="G6993"/>
      <c r="H6993"/>
      <c r="I6993"/>
    </row>
    <row r="6994" spans="6:9" x14ac:dyDescent="0.3">
      <c r="F6994"/>
      <c r="G6994"/>
      <c r="H6994"/>
      <c r="I6994"/>
    </row>
    <row r="6995" spans="6:9" x14ac:dyDescent="0.3">
      <c r="F6995"/>
      <c r="G6995"/>
      <c r="H6995"/>
      <c r="I6995"/>
    </row>
    <row r="6996" spans="6:9" x14ac:dyDescent="0.3">
      <c r="F6996"/>
      <c r="G6996"/>
      <c r="H6996"/>
      <c r="I6996"/>
    </row>
    <row r="6997" spans="6:9" x14ac:dyDescent="0.3">
      <c r="F6997"/>
      <c r="G6997"/>
      <c r="H6997"/>
      <c r="I6997"/>
    </row>
    <row r="6998" spans="6:9" x14ac:dyDescent="0.3">
      <c r="F6998"/>
      <c r="G6998"/>
      <c r="H6998"/>
      <c r="I6998"/>
    </row>
    <row r="6999" spans="6:9" x14ac:dyDescent="0.3">
      <c r="F6999"/>
      <c r="G6999"/>
      <c r="H6999"/>
      <c r="I6999"/>
    </row>
    <row r="7000" spans="6:9" x14ac:dyDescent="0.3">
      <c r="F7000"/>
      <c r="G7000"/>
      <c r="H7000"/>
      <c r="I7000"/>
    </row>
    <row r="7001" spans="6:9" x14ac:dyDescent="0.3">
      <c r="F7001"/>
      <c r="G7001"/>
      <c r="H7001"/>
      <c r="I7001"/>
    </row>
    <row r="7002" spans="6:9" x14ac:dyDescent="0.3">
      <c r="F7002"/>
      <c r="G7002"/>
      <c r="H7002"/>
      <c r="I7002"/>
    </row>
    <row r="7003" spans="6:9" x14ac:dyDescent="0.3">
      <c r="F7003"/>
      <c r="G7003"/>
      <c r="H7003"/>
      <c r="I7003"/>
    </row>
    <row r="7004" spans="6:9" x14ac:dyDescent="0.3">
      <c r="F7004"/>
      <c r="G7004"/>
      <c r="H7004"/>
      <c r="I7004"/>
    </row>
    <row r="7005" spans="6:9" x14ac:dyDescent="0.3">
      <c r="F7005"/>
      <c r="G7005"/>
      <c r="H7005"/>
      <c r="I7005"/>
    </row>
    <row r="7006" spans="6:9" x14ac:dyDescent="0.3">
      <c r="F7006"/>
      <c r="G7006"/>
      <c r="H7006"/>
      <c r="I7006"/>
    </row>
    <row r="7007" spans="6:9" x14ac:dyDescent="0.3">
      <c r="F7007"/>
      <c r="G7007"/>
      <c r="H7007"/>
      <c r="I7007"/>
    </row>
    <row r="7008" spans="6:9" x14ac:dyDescent="0.3">
      <c r="F7008"/>
      <c r="G7008"/>
      <c r="H7008"/>
      <c r="I7008"/>
    </row>
    <row r="7009" spans="6:9" x14ac:dyDescent="0.3">
      <c r="F7009"/>
      <c r="G7009"/>
      <c r="H7009"/>
      <c r="I7009"/>
    </row>
    <row r="7010" spans="6:9" x14ac:dyDescent="0.3">
      <c r="F7010"/>
      <c r="G7010"/>
      <c r="H7010"/>
      <c r="I7010"/>
    </row>
    <row r="7011" spans="6:9" x14ac:dyDescent="0.3">
      <c r="F7011"/>
      <c r="G7011"/>
      <c r="H7011"/>
      <c r="I7011"/>
    </row>
    <row r="7012" spans="6:9" x14ac:dyDescent="0.3">
      <c r="F7012"/>
      <c r="G7012"/>
      <c r="H7012"/>
      <c r="I7012"/>
    </row>
    <row r="7013" spans="6:9" x14ac:dyDescent="0.3">
      <c r="F7013"/>
      <c r="G7013"/>
      <c r="H7013"/>
      <c r="I7013"/>
    </row>
    <row r="7014" spans="6:9" x14ac:dyDescent="0.3">
      <c r="F7014"/>
      <c r="G7014"/>
      <c r="H7014"/>
      <c r="I7014"/>
    </row>
    <row r="7015" spans="6:9" x14ac:dyDescent="0.3">
      <c r="F7015"/>
      <c r="G7015"/>
      <c r="H7015"/>
      <c r="I7015"/>
    </row>
    <row r="7016" spans="6:9" x14ac:dyDescent="0.3">
      <c r="F7016"/>
      <c r="G7016"/>
      <c r="H7016"/>
      <c r="I7016"/>
    </row>
    <row r="7017" spans="6:9" x14ac:dyDescent="0.3">
      <c r="F7017"/>
      <c r="G7017"/>
      <c r="H7017"/>
      <c r="I7017"/>
    </row>
    <row r="7018" spans="6:9" x14ac:dyDescent="0.3">
      <c r="F7018"/>
      <c r="G7018"/>
      <c r="H7018"/>
      <c r="I7018"/>
    </row>
    <row r="7019" spans="6:9" x14ac:dyDescent="0.3">
      <c r="F7019"/>
      <c r="G7019"/>
      <c r="H7019"/>
      <c r="I7019"/>
    </row>
    <row r="7020" spans="6:9" x14ac:dyDescent="0.3">
      <c r="F7020"/>
      <c r="G7020"/>
      <c r="H7020"/>
      <c r="I7020"/>
    </row>
    <row r="7021" spans="6:9" x14ac:dyDescent="0.3">
      <c r="F7021"/>
      <c r="G7021"/>
      <c r="H7021"/>
      <c r="I7021"/>
    </row>
    <row r="7022" spans="6:9" x14ac:dyDescent="0.3">
      <c r="F7022"/>
      <c r="G7022"/>
      <c r="H7022"/>
      <c r="I7022"/>
    </row>
    <row r="7023" spans="6:9" x14ac:dyDescent="0.3">
      <c r="F7023"/>
      <c r="G7023"/>
      <c r="H7023"/>
      <c r="I7023"/>
    </row>
    <row r="7024" spans="6:9" x14ac:dyDescent="0.3">
      <c r="F7024"/>
      <c r="G7024"/>
      <c r="H7024"/>
      <c r="I7024"/>
    </row>
    <row r="7025" spans="6:9" x14ac:dyDescent="0.3">
      <c r="F7025"/>
      <c r="G7025"/>
      <c r="H7025"/>
      <c r="I7025"/>
    </row>
    <row r="7026" spans="6:9" x14ac:dyDescent="0.3">
      <c r="F7026"/>
      <c r="G7026"/>
      <c r="H7026"/>
      <c r="I7026"/>
    </row>
    <row r="7027" spans="6:9" x14ac:dyDescent="0.3">
      <c r="F7027"/>
      <c r="G7027"/>
      <c r="H7027"/>
      <c r="I7027"/>
    </row>
    <row r="7028" spans="6:9" x14ac:dyDescent="0.3">
      <c r="F7028"/>
      <c r="G7028"/>
      <c r="H7028"/>
      <c r="I7028"/>
    </row>
    <row r="7029" spans="6:9" x14ac:dyDescent="0.3">
      <c r="F7029"/>
      <c r="G7029"/>
      <c r="H7029"/>
      <c r="I7029"/>
    </row>
    <row r="7030" spans="6:9" x14ac:dyDescent="0.3">
      <c r="F7030"/>
      <c r="G7030"/>
      <c r="H7030"/>
      <c r="I7030"/>
    </row>
    <row r="7031" spans="6:9" x14ac:dyDescent="0.3">
      <c r="F7031"/>
      <c r="G7031"/>
      <c r="H7031"/>
      <c r="I7031"/>
    </row>
    <row r="7032" spans="6:9" x14ac:dyDescent="0.3">
      <c r="F7032"/>
      <c r="G7032"/>
      <c r="H7032"/>
      <c r="I7032"/>
    </row>
    <row r="7033" spans="6:9" x14ac:dyDescent="0.3">
      <c r="F7033"/>
      <c r="G7033"/>
      <c r="H7033"/>
      <c r="I7033"/>
    </row>
    <row r="7034" spans="6:9" x14ac:dyDescent="0.3">
      <c r="F7034"/>
      <c r="G7034"/>
      <c r="H7034"/>
      <c r="I7034"/>
    </row>
    <row r="7035" spans="6:9" x14ac:dyDescent="0.3">
      <c r="F7035"/>
      <c r="G7035"/>
      <c r="H7035"/>
      <c r="I7035"/>
    </row>
    <row r="7036" spans="6:9" x14ac:dyDescent="0.3">
      <c r="F7036"/>
      <c r="G7036"/>
      <c r="H7036"/>
      <c r="I7036"/>
    </row>
    <row r="7037" spans="6:9" x14ac:dyDescent="0.3">
      <c r="F7037"/>
      <c r="G7037"/>
      <c r="H7037"/>
      <c r="I7037"/>
    </row>
    <row r="7038" spans="6:9" x14ac:dyDescent="0.3">
      <c r="F7038"/>
      <c r="G7038"/>
      <c r="H7038"/>
      <c r="I7038"/>
    </row>
    <row r="7039" spans="6:9" x14ac:dyDescent="0.3">
      <c r="F7039"/>
      <c r="G7039"/>
      <c r="H7039"/>
      <c r="I7039"/>
    </row>
    <row r="7040" spans="6:9" x14ac:dyDescent="0.3">
      <c r="F7040"/>
      <c r="G7040"/>
      <c r="H7040"/>
      <c r="I7040"/>
    </row>
    <row r="7041" spans="6:9" x14ac:dyDescent="0.3">
      <c r="F7041"/>
      <c r="G7041"/>
      <c r="H7041"/>
      <c r="I7041"/>
    </row>
    <row r="7042" spans="6:9" x14ac:dyDescent="0.3">
      <c r="F7042"/>
      <c r="G7042"/>
      <c r="H7042"/>
      <c r="I7042"/>
    </row>
    <row r="7043" spans="6:9" x14ac:dyDescent="0.3">
      <c r="F7043"/>
      <c r="G7043"/>
      <c r="H7043"/>
      <c r="I7043"/>
    </row>
    <row r="7044" spans="6:9" x14ac:dyDescent="0.3">
      <c r="F7044"/>
      <c r="G7044"/>
      <c r="H7044"/>
      <c r="I7044"/>
    </row>
    <row r="7045" spans="6:9" x14ac:dyDescent="0.3">
      <c r="F7045"/>
      <c r="G7045"/>
      <c r="H7045"/>
      <c r="I7045"/>
    </row>
    <row r="7046" spans="6:9" x14ac:dyDescent="0.3">
      <c r="F7046"/>
      <c r="G7046"/>
      <c r="H7046"/>
      <c r="I7046"/>
    </row>
    <row r="7047" spans="6:9" x14ac:dyDescent="0.3">
      <c r="F7047"/>
      <c r="G7047"/>
      <c r="H7047"/>
      <c r="I7047"/>
    </row>
    <row r="7048" spans="6:9" x14ac:dyDescent="0.3">
      <c r="F7048"/>
      <c r="G7048"/>
      <c r="H7048"/>
      <c r="I7048"/>
    </row>
    <row r="7049" spans="6:9" x14ac:dyDescent="0.3">
      <c r="F7049"/>
      <c r="G7049"/>
      <c r="H7049"/>
      <c r="I7049"/>
    </row>
    <row r="7050" spans="6:9" x14ac:dyDescent="0.3">
      <c r="F7050"/>
      <c r="G7050"/>
      <c r="H7050"/>
      <c r="I7050"/>
    </row>
    <row r="7051" spans="6:9" x14ac:dyDescent="0.3">
      <c r="F7051"/>
      <c r="G7051"/>
      <c r="H7051"/>
      <c r="I7051"/>
    </row>
    <row r="7052" spans="6:9" x14ac:dyDescent="0.3">
      <c r="F7052"/>
      <c r="G7052"/>
      <c r="H7052"/>
      <c r="I7052"/>
    </row>
    <row r="7053" spans="6:9" x14ac:dyDescent="0.3">
      <c r="F7053"/>
      <c r="G7053"/>
      <c r="H7053"/>
      <c r="I7053"/>
    </row>
    <row r="7054" spans="6:9" x14ac:dyDescent="0.3">
      <c r="F7054"/>
      <c r="G7054"/>
      <c r="H7054"/>
      <c r="I7054"/>
    </row>
    <row r="7055" spans="6:9" x14ac:dyDescent="0.3">
      <c r="F7055"/>
      <c r="G7055"/>
      <c r="H7055"/>
      <c r="I7055"/>
    </row>
    <row r="7056" spans="6:9" x14ac:dyDescent="0.3">
      <c r="F7056"/>
      <c r="G7056"/>
      <c r="H7056"/>
      <c r="I7056"/>
    </row>
    <row r="7057" spans="6:9" x14ac:dyDescent="0.3">
      <c r="F7057"/>
      <c r="G7057"/>
      <c r="H7057"/>
      <c r="I7057"/>
    </row>
    <row r="7058" spans="6:9" x14ac:dyDescent="0.3">
      <c r="F7058"/>
      <c r="G7058"/>
      <c r="H7058"/>
      <c r="I7058"/>
    </row>
    <row r="7059" spans="6:9" x14ac:dyDescent="0.3">
      <c r="F7059"/>
      <c r="G7059"/>
      <c r="H7059"/>
      <c r="I7059"/>
    </row>
    <row r="7060" spans="6:9" x14ac:dyDescent="0.3">
      <c r="F7060"/>
      <c r="G7060"/>
      <c r="H7060"/>
      <c r="I7060"/>
    </row>
    <row r="7061" spans="6:9" x14ac:dyDescent="0.3">
      <c r="F7061"/>
      <c r="G7061"/>
      <c r="H7061"/>
      <c r="I7061"/>
    </row>
    <row r="7062" spans="6:9" x14ac:dyDescent="0.3">
      <c r="F7062"/>
      <c r="G7062"/>
      <c r="H7062"/>
      <c r="I7062"/>
    </row>
    <row r="7063" spans="6:9" x14ac:dyDescent="0.3">
      <c r="F7063"/>
      <c r="G7063"/>
      <c r="H7063"/>
      <c r="I7063"/>
    </row>
    <row r="7064" spans="6:9" x14ac:dyDescent="0.3">
      <c r="F7064"/>
      <c r="G7064"/>
      <c r="H7064"/>
      <c r="I7064"/>
    </row>
    <row r="7065" spans="6:9" x14ac:dyDescent="0.3">
      <c r="F7065"/>
      <c r="G7065"/>
      <c r="H7065"/>
      <c r="I7065"/>
    </row>
    <row r="7066" spans="6:9" x14ac:dyDescent="0.3">
      <c r="F7066"/>
      <c r="G7066"/>
      <c r="H7066"/>
      <c r="I7066"/>
    </row>
    <row r="7067" spans="6:9" x14ac:dyDescent="0.3">
      <c r="F7067"/>
      <c r="G7067"/>
      <c r="H7067"/>
      <c r="I7067"/>
    </row>
    <row r="7068" spans="6:9" x14ac:dyDescent="0.3">
      <c r="F7068"/>
      <c r="G7068"/>
      <c r="H7068"/>
      <c r="I7068"/>
    </row>
    <row r="7069" spans="6:9" x14ac:dyDescent="0.3">
      <c r="F7069"/>
      <c r="G7069"/>
      <c r="H7069"/>
      <c r="I7069"/>
    </row>
    <row r="7070" spans="6:9" x14ac:dyDescent="0.3">
      <c r="F7070"/>
      <c r="G7070"/>
      <c r="H7070"/>
      <c r="I7070"/>
    </row>
    <row r="7071" spans="6:9" x14ac:dyDescent="0.3">
      <c r="F7071"/>
      <c r="G7071"/>
      <c r="H7071"/>
      <c r="I7071"/>
    </row>
    <row r="7072" spans="6:9" x14ac:dyDescent="0.3">
      <c r="F7072"/>
      <c r="G7072"/>
      <c r="H7072"/>
      <c r="I7072"/>
    </row>
    <row r="7073" spans="6:9" x14ac:dyDescent="0.3">
      <c r="F7073"/>
      <c r="G7073"/>
      <c r="H7073"/>
      <c r="I7073"/>
    </row>
    <row r="7074" spans="6:9" x14ac:dyDescent="0.3">
      <c r="F7074"/>
      <c r="G7074"/>
      <c r="H7074"/>
      <c r="I7074"/>
    </row>
    <row r="7075" spans="6:9" x14ac:dyDescent="0.3">
      <c r="F7075"/>
      <c r="G7075"/>
      <c r="H7075"/>
      <c r="I7075"/>
    </row>
    <row r="7076" spans="6:9" x14ac:dyDescent="0.3">
      <c r="F7076"/>
      <c r="G7076"/>
      <c r="H7076"/>
      <c r="I7076"/>
    </row>
    <row r="7077" spans="6:9" x14ac:dyDescent="0.3">
      <c r="F7077"/>
      <c r="G7077"/>
      <c r="H7077"/>
      <c r="I7077"/>
    </row>
    <row r="7078" spans="6:9" x14ac:dyDescent="0.3">
      <c r="F7078"/>
      <c r="G7078"/>
      <c r="H7078"/>
      <c r="I7078"/>
    </row>
    <row r="7079" spans="6:9" x14ac:dyDescent="0.3">
      <c r="F7079"/>
      <c r="G7079"/>
      <c r="H7079"/>
      <c r="I7079"/>
    </row>
    <row r="7080" spans="6:9" x14ac:dyDescent="0.3">
      <c r="F7080"/>
      <c r="G7080"/>
      <c r="H7080"/>
      <c r="I7080"/>
    </row>
    <row r="7081" spans="6:9" x14ac:dyDescent="0.3">
      <c r="F7081"/>
      <c r="G7081"/>
      <c r="H7081"/>
      <c r="I7081"/>
    </row>
    <row r="7082" spans="6:9" x14ac:dyDescent="0.3">
      <c r="F7082"/>
      <c r="G7082"/>
      <c r="H7082"/>
      <c r="I7082"/>
    </row>
    <row r="7083" spans="6:9" x14ac:dyDescent="0.3">
      <c r="F7083"/>
      <c r="G7083"/>
      <c r="H7083"/>
      <c r="I7083"/>
    </row>
    <row r="7084" spans="6:9" x14ac:dyDescent="0.3">
      <c r="F7084"/>
      <c r="G7084"/>
      <c r="H7084"/>
      <c r="I7084"/>
    </row>
    <row r="7085" spans="6:9" x14ac:dyDescent="0.3">
      <c r="F7085"/>
      <c r="G7085"/>
      <c r="H7085"/>
      <c r="I7085"/>
    </row>
    <row r="7086" spans="6:9" x14ac:dyDescent="0.3">
      <c r="F7086"/>
      <c r="G7086"/>
      <c r="H7086"/>
      <c r="I7086"/>
    </row>
    <row r="7087" spans="6:9" x14ac:dyDescent="0.3">
      <c r="F7087"/>
      <c r="G7087"/>
      <c r="H7087"/>
      <c r="I7087"/>
    </row>
    <row r="7088" spans="6:9" x14ac:dyDescent="0.3">
      <c r="F7088"/>
      <c r="G7088"/>
      <c r="H7088"/>
      <c r="I7088"/>
    </row>
    <row r="7089" spans="6:9" x14ac:dyDescent="0.3">
      <c r="F7089"/>
      <c r="G7089"/>
      <c r="H7089"/>
      <c r="I7089"/>
    </row>
    <row r="7090" spans="6:9" x14ac:dyDescent="0.3">
      <c r="F7090"/>
      <c r="G7090"/>
      <c r="H7090"/>
      <c r="I7090"/>
    </row>
    <row r="7091" spans="6:9" x14ac:dyDescent="0.3">
      <c r="F7091"/>
      <c r="G7091"/>
      <c r="H7091"/>
      <c r="I7091"/>
    </row>
    <row r="7092" spans="6:9" x14ac:dyDescent="0.3">
      <c r="F7092"/>
      <c r="G7092"/>
      <c r="H7092"/>
      <c r="I7092"/>
    </row>
    <row r="7093" spans="6:9" x14ac:dyDescent="0.3">
      <c r="F7093"/>
      <c r="G7093"/>
      <c r="H7093"/>
      <c r="I7093"/>
    </row>
    <row r="7094" spans="6:9" x14ac:dyDescent="0.3">
      <c r="F7094"/>
      <c r="G7094"/>
      <c r="H7094"/>
      <c r="I7094"/>
    </row>
    <row r="7095" spans="6:9" x14ac:dyDescent="0.3">
      <c r="F7095"/>
      <c r="G7095"/>
      <c r="H7095"/>
      <c r="I7095"/>
    </row>
    <row r="7096" spans="6:9" x14ac:dyDescent="0.3">
      <c r="F7096"/>
      <c r="G7096"/>
      <c r="H7096"/>
      <c r="I7096"/>
    </row>
    <row r="7097" spans="6:9" x14ac:dyDescent="0.3">
      <c r="F7097"/>
      <c r="G7097"/>
      <c r="H7097"/>
      <c r="I7097"/>
    </row>
    <row r="7098" spans="6:9" x14ac:dyDescent="0.3">
      <c r="F7098"/>
      <c r="G7098"/>
      <c r="H7098"/>
      <c r="I7098"/>
    </row>
    <row r="7099" spans="6:9" x14ac:dyDescent="0.3">
      <c r="F7099"/>
      <c r="G7099"/>
      <c r="H7099"/>
      <c r="I7099"/>
    </row>
    <row r="7100" spans="6:9" x14ac:dyDescent="0.3">
      <c r="F7100"/>
      <c r="G7100"/>
      <c r="H7100"/>
      <c r="I7100"/>
    </row>
    <row r="7101" spans="6:9" x14ac:dyDescent="0.3">
      <c r="F7101"/>
      <c r="G7101"/>
      <c r="H7101"/>
      <c r="I7101"/>
    </row>
    <row r="7102" spans="6:9" x14ac:dyDescent="0.3">
      <c r="F7102"/>
      <c r="G7102"/>
      <c r="H7102"/>
      <c r="I7102"/>
    </row>
    <row r="7103" spans="6:9" x14ac:dyDescent="0.3">
      <c r="F7103"/>
      <c r="G7103"/>
      <c r="H7103"/>
      <c r="I7103"/>
    </row>
    <row r="7104" spans="6:9" x14ac:dyDescent="0.3">
      <c r="F7104"/>
      <c r="G7104"/>
      <c r="H7104"/>
      <c r="I7104"/>
    </row>
    <row r="7105" spans="6:9" x14ac:dyDescent="0.3">
      <c r="F7105"/>
      <c r="G7105"/>
      <c r="H7105"/>
      <c r="I7105"/>
    </row>
    <row r="7106" spans="6:9" x14ac:dyDescent="0.3">
      <c r="F7106"/>
      <c r="G7106"/>
      <c r="H7106"/>
      <c r="I7106"/>
    </row>
    <row r="7107" spans="6:9" x14ac:dyDescent="0.3">
      <c r="F7107"/>
      <c r="G7107"/>
      <c r="H7107"/>
      <c r="I7107"/>
    </row>
    <row r="7108" spans="6:9" x14ac:dyDescent="0.3">
      <c r="F7108"/>
      <c r="G7108"/>
      <c r="H7108"/>
      <c r="I7108"/>
    </row>
    <row r="7109" spans="6:9" x14ac:dyDescent="0.3">
      <c r="F7109"/>
      <c r="G7109"/>
      <c r="H7109"/>
      <c r="I7109"/>
    </row>
    <row r="7110" spans="6:9" x14ac:dyDescent="0.3">
      <c r="F7110"/>
      <c r="G7110"/>
      <c r="H7110"/>
      <c r="I7110"/>
    </row>
    <row r="7111" spans="6:9" x14ac:dyDescent="0.3">
      <c r="F7111"/>
      <c r="G7111"/>
      <c r="H7111"/>
      <c r="I7111"/>
    </row>
    <row r="7112" spans="6:9" x14ac:dyDescent="0.3">
      <c r="F7112"/>
      <c r="G7112"/>
      <c r="H7112"/>
      <c r="I7112"/>
    </row>
    <row r="7113" spans="6:9" x14ac:dyDescent="0.3">
      <c r="F7113"/>
      <c r="G7113"/>
      <c r="H7113"/>
      <c r="I7113"/>
    </row>
    <row r="7114" spans="6:9" x14ac:dyDescent="0.3">
      <c r="F7114"/>
      <c r="G7114"/>
      <c r="H7114"/>
      <c r="I7114"/>
    </row>
    <row r="7115" spans="6:9" x14ac:dyDescent="0.3">
      <c r="F7115"/>
      <c r="G7115"/>
      <c r="H7115"/>
      <c r="I7115"/>
    </row>
    <row r="7116" spans="6:9" x14ac:dyDescent="0.3">
      <c r="F7116"/>
      <c r="G7116"/>
      <c r="H7116"/>
      <c r="I7116"/>
    </row>
    <row r="7117" spans="6:9" x14ac:dyDescent="0.3">
      <c r="F7117"/>
      <c r="G7117"/>
      <c r="H7117"/>
      <c r="I7117"/>
    </row>
    <row r="7118" spans="6:9" x14ac:dyDescent="0.3">
      <c r="F7118"/>
      <c r="G7118"/>
      <c r="H7118"/>
      <c r="I7118"/>
    </row>
    <row r="7119" spans="6:9" x14ac:dyDescent="0.3">
      <c r="F7119"/>
      <c r="G7119"/>
      <c r="H7119"/>
      <c r="I7119"/>
    </row>
    <row r="7120" spans="6:9" x14ac:dyDescent="0.3">
      <c r="F7120"/>
      <c r="G7120"/>
      <c r="H7120"/>
      <c r="I7120"/>
    </row>
    <row r="7121" spans="6:9" x14ac:dyDescent="0.3">
      <c r="F7121"/>
      <c r="G7121"/>
      <c r="H7121"/>
      <c r="I7121"/>
    </row>
    <row r="7122" spans="6:9" x14ac:dyDescent="0.3">
      <c r="F7122"/>
      <c r="G7122"/>
      <c r="H7122"/>
      <c r="I7122"/>
    </row>
    <row r="7123" spans="6:9" x14ac:dyDescent="0.3">
      <c r="F7123"/>
      <c r="G7123"/>
      <c r="H7123"/>
      <c r="I7123"/>
    </row>
    <row r="7124" spans="6:9" x14ac:dyDescent="0.3">
      <c r="F7124"/>
      <c r="G7124"/>
      <c r="H7124"/>
      <c r="I7124"/>
    </row>
    <row r="7125" spans="6:9" x14ac:dyDescent="0.3">
      <c r="F7125"/>
      <c r="G7125"/>
      <c r="H7125"/>
      <c r="I7125"/>
    </row>
    <row r="7126" spans="6:9" x14ac:dyDescent="0.3">
      <c r="F7126"/>
      <c r="G7126"/>
      <c r="H7126"/>
      <c r="I7126"/>
    </row>
    <row r="7127" spans="6:9" x14ac:dyDescent="0.3">
      <c r="F7127"/>
      <c r="G7127"/>
      <c r="H7127"/>
      <c r="I7127"/>
    </row>
    <row r="7128" spans="6:9" x14ac:dyDescent="0.3">
      <c r="F7128"/>
      <c r="G7128"/>
      <c r="H7128"/>
      <c r="I7128"/>
    </row>
    <row r="7129" spans="6:9" x14ac:dyDescent="0.3">
      <c r="F7129"/>
      <c r="G7129"/>
      <c r="H7129"/>
      <c r="I7129"/>
    </row>
    <row r="7130" spans="6:9" x14ac:dyDescent="0.3">
      <c r="F7130"/>
      <c r="G7130"/>
      <c r="H7130"/>
      <c r="I7130"/>
    </row>
    <row r="7131" spans="6:9" x14ac:dyDescent="0.3">
      <c r="F7131"/>
      <c r="G7131"/>
      <c r="H7131"/>
      <c r="I7131"/>
    </row>
    <row r="7132" spans="6:9" x14ac:dyDescent="0.3">
      <c r="F7132"/>
      <c r="G7132"/>
      <c r="H7132"/>
      <c r="I7132"/>
    </row>
    <row r="7133" spans="6:9" x14ac:dyDescent="0.3">
      <c r="F7133"/>
      <c r="G7133"/>
      <c r="H7133"/>
      <c r="I7133"/>
    </row>
    <row r="7134" spans="6:9" x14ac:dyDescent="0.3">
      <c r="F7134"/>
      <c r="G7134"/>
      <c r="H7134"/>
      <c r="I7134"/>
    </row>
    <row r="7135" spans="6:9" x14ac:dyDescent="0.3">
      <c r="F7135"/>
      <c r="G7135"/>
      <c r="H7135"/>
      <c r="I7135"/>
    </row>
    <row r="7136" spans="6:9" x14ac:dyDescent="0.3">
      <c r="F7136"/>
      <c r="G7136"/>
      <c r="H7136"/>
      <c r="I7136"/>
    </row>
    <row r="7137" spans="6:9" x14ac:dyDescent="0.3">
      <c r="F7137"/>
      <c r="G7137"/>
      <c r="H7137"/>
      <c r="I7137"/>
    </row>
    <row r="7138" spans="6:9" x14ac:dyDescent="0.3">
      <c r="F7138"/>
      <c r="G7138"/>
      <c r="H7138"/>
      <c r="I7138"/>
    </row>
    <row r="7139" spans="6:9" x14ac:dyDescent="0.3">
      <c r="F7139"/>
      <c r="G7139"/>
      <c r="H7139"/>
      <c r="I7139"/>
    </row>
    <row r="7140" spans="6:9" x14ac:dyDescent="0.3">
      <c r="F7140"/>
      <c r="G7140"/>
      <c r="H7140"/>
      <c r="I7140"/>
    </row>
    <row r="7141" spans="6:9" x14ac:dyDescent="0.3">
      <c r="F7141"/>
      <c r="G7141"/>
      <c r="H7141"/>
      <c r="I7141"/>
    </row>
    <row r="7142" spans="6:9" x14ac:dyDescent="0.3">
      <c r="F7142"/>
      <c r="G7142"/>
      <c r="H7142"/>
      <c r="I7142"/>
    </row>
    <row r="7143" spans="6:9" x14ac:dyDescent="0.3">
      <c r="F7143"/>
      <c r="G7143"/>
      <c r="H7143"/>
      <c r="I7143"/>
    </row>
    <row r="7144" spans="6:9" x14ac:dyDescent="0.3">
      <c r="F7144"/>
      <c r="G7144"/>
      <c r="H7144"/>
      <c r="I7144"/>
    </row>
    <row r="7145" spans="6:9" x14ac:dyDescent="0.3">
      <c r="F7145"/>
      <c r="G7145"/>
      <c r="H7145"/>
      <c r="I7145"/>
    </row>
    <row r="7146" spans="6:9" x14ac:dyDescent="0.3">
      <c r="F7146"/>
      <c r="G7146"/>
      <c r="H7146"/>
      <c r="I7146"/>
    </row>
    <row r="7147" spans="6:9" x14ac:dyDescent="0.3">
      <c r="F7147"/>
      <c r="G7147"/>
      <c r="H7147"/>
      <c r="I7147"/>
    </row>
    <row r="7148" spans="6:9" x14ac:dyDescent="0.3">
      <c r="F7148"/>
      <c r="G7148"/>
      <c r="H7148"/>
      <c r="I7148"/>
    </row>
    <row r="7149" spans="6:9" x14ac:dyDescent="0.3">
      <c r="F7149"/>
      <c r="G7149"/>
      <c r="H7149"/>
      <c r="I7149"/>
    </row>
    <row r="7150" spans="6:9" x14ac:dyDescent="0.3">
      <c r="F7150"/>
      <c r="G7150"/>
      <c r="H7150"/>
      <c r="I7150"/>
    </row>
    <row r="7151" spans="6:9" x14ac:dyDescent="0.3">
      <c r="F7151"/>
      <c r="G7151"/>
      <c r="H7151"/>
      <c r="I7151"/>
    </row>
    <row r="7152" spans="6:9" x14ac:dyDescent="0.3">
      <c r="F7152"/>
      <c r="G7152"/>
      <c r="H7152"/>
      <c r="I7152"/>
    </row>
    <row r="7153" spans="6:9" x14ac:dyDescent="0.3">
      <c r="F7153"/>
      <c r="G7153"/>
      <c r="H7153"/>
      <c r="I7153"/>
    </row>
    <row r="7154" spans="6:9" x14ac:dyDescent="0.3">
      <c r="F7154"/>
      <c r="G7154"/>
      <c r="H7154"/>
      <c r="I7154"/>
    </row>
    <row r="7155" spans="6:9" x14ac:dyDescent="0.3">
      <c r="F7155"/>
      <c r="G7155"/>
      <c r="H7155"/>
      <c r="I7155"/>
    </row>
    <row r="7156" spans="6:9" x14ac:dyDescent="0.3">
      <c r="F7156"/>
      <c r="G7156"/>
      <c r="H7156"/>
      <c r="I7156"/>
    </row>
    <row r="7157" spans="6:9" x14ac:dyDescent="0.3">
      <c r="F7157"/>
      <c r="G7157"/>
      <c r="H7157"/>
      <c r="I7157"/>
    </row>
    <row r="7158" spans="6:9" x14ac:dyDescent="0.3">
      <c r="F7158"/>
      <c r="G7158"/>
      <c r="H7158"/>
      <c r="I7158"/>
    </row>
    <row r="7159" spans="6:9" x14ac:dyDescent="0.3">
      <c r="F7159"/>
      <c r="G7159"/>
      <c r="H7159"/>
      <c r="I7159"/>
    </row>
    <row r="7160" spans="6:9" x14ac:dyDescent="0.3">
      <c r="F7160"/>
      <c r="G7160"/>
      <c r="H7160"/>
      <c r="I7160"/>
    </row>
    <row r="7161" spans="6:9" x14ac:dyDescent="0.3">
      <c r="F7161"/>
      <c r="G7161"/>
      <c r="H7161"/>
      <c r="I7161"/>
    </row>
    <row r="7162" spans="6:9" x14ac:dyDescent="0.3">
      <c r="F7162"/>
      <c r="G7162"/>
      <c r="H7162"/>
      <c r="I7162"/>
    </row>
    <row r="7163" spans="6:9" x14ac:dyDescent="0.3">
      <c r="F7163"/>
      <c r="G7163"/>
      <c r="H7163"/>
      <c r="I7163"/>
    </row>
    <row r="7164" spans="6:9" x14ac:dyDescent="0.3">
      <c r="F7164"/>
      <c r="G7164"/>
      <c r="H7164"/>
      <c r="I7164"/>
    </row>
    <row r="7165" spans="6:9" x14ac:dyDescent="0.3">
      <c r="F7165"/>
      <c r="G7165"/>
      <c r="H7165"/>
      <c r="I7165"/>
    </row>
    <row r="7166" spans="6:9" x14ac:dyDescent="0.3">
      <c r="F7166"/>
      <c r="G7166"/>
      <c r="H7166"/>
      <c r="I7166"/>
    </row>
    <row r="7167" spans="6:9" x14ac:dyDescent="0.3">
      <c r="F7167"/>
      <c r="G7167"/>
      <c r="H7167"/>
      <c r="I7167"/>
    </row>
    <row r="7168" spans="6:9" x14ac:dyDescent="0.3">
      <c r="F7168"/>
      <c r="G7168"/>
      <c r="H7168"/>
      <c r="I7168"/>
    </row>
    <row r="7169" spans="6:9" x14ac:dyDescent="0.3">
      <c r="F7169"/>
      <c r="G7169"/>
      <c r="H7169"/>
      <c r="I7169"/>
    </row>
    <row r="7170" spans="6:9" x14ac:dyDescent="0.3">
      <c r="F7170"/>
      <c r="G7170"/>
      <c r="H7170"/>
      <c r="I7170"/>
    </row>
    <row r="7171" spans="6:9" x14ac:dyDescent="0.3">
      <c r="F7171"/>
      <c r="G7171"/>
      <c r="H7171"/>
      <c r="I7171"/>
    </row>
    <row r="7172" spans="6:9" x14ac:dyDescent="0.3">
      <c r="F7172"/>
      <c r="G7172"/>
      <c r="H7172"/>
      <c r="I7172"/>
    </row>
    <row r="7173" spans="6:9" x14ac:dyDescent="0.3">
      <c r="F7173"/>
      <c r="G7173"/>
      <c r="H7173"/>
      <c r="I7173"/>
    </row>
    <row r="7174" spans="6:9" x14ac:dyDescent="0.3">
      <c r="F7174"/>
      <c r="G7174"/>
      <c r="H7174"/>
      <c r="I7174"/>
    </row>
    <row r="7175" spans="6:9" x14ac:dyDescent="0.3">
      <c r="F7175"/>
      <c r="G7175"/>
      <c r="H7175"/>
      <c r="I7175"/>
    </row>
    <row r="7176" spans="6:9" x14ac:dyDescent="0.3">
      <c r="F7176"/>
      <c r="G7176"/>
      <c r="H7176"/>
      <c r="I7176"/>
    </row>
    <row r="7177" spans="6:9" x14ac:dyDescent="0.3">
      <c r="F7177"/>
      <c r="G7177"/>
      <c r="H7177"/>
      <c r="I7177"/>
    </row>
    <row r="7178" spans="6:9" x14ac:dyDescent="0.3">
      <c r="F7178"/>
      <c r="G7178"/>
      <c r="H7178"/>
      <c r="I7178"/>
    </row>
    <row r="7179" spans="6:9" x14ac:dyDescent="0.3">
      <c r="F7179"/>
      <c r="G7179"/>
      <c r="H7179"/>
      <c r="I7179"/>
    </row>
    <row r="7180" spans="6:9" x14ac:dyDescent="0.3">
      <c r="F7180"/>
      <c r="G7180"/>
      <c r="H7180"/>
      <c r="I7180"/>
    </row>
    <row r="7181" spans="6:9" x14ac:dyDescent="0.3">
      <c r="F7181"/>
      <c r="G7181"/>
      <c r="H7181"/>
      <c r="I7181"/>
    </row>
    <row r="7182" spans="6:9" x14ac:dyDescent="0.3">
      <c r="F7182"/>
      <c r="G7182"/>
      <c r="H7182"/>
      <c r="I7182"/>
    </row>
    <row r="7183" spans="6:9" x14ac:dyDescent="0.3">
      <c r="F7183"/>
      <c r="G7183"/>
      <c r="H7183"/>
      <c r="I7183"/>
    </row>
    <row r="7184" spans="6:9" x14ac:dyDescent="0.3">
      <c r="F7184"/>
      <c r="G7184"/>
      <c r="H7184"/>
      <c r="I7184"/>
    </row>
    <row r="7185" spans="6:9" x14ac:dyDescent="0.3">
      <c r="F7185"/>
      <c r="G7185"/>
      <c r="H7185"/>
      <c r="I7185"/>
    </row>
    <row r="7186" spans="6:9" x14ac:dyDescent="0.3">
      <c r="F7186"/>
      <c r="G7186"/>
      <c r="H7186"/>
      <c r="I7186"/>
    </row>
    <row r="7187" spans="6:9" x14ac:dyDescent="0.3">
      <c r="F7187"/>
      <c r="G7187"/>
      <c r="H7187"/>
      <c r="I7187"/>
    </row>
    <row r="7188" spans="6:9" x14ac:dyDescent="0.3">
      <c r="F7188"/>
      <c r="G7188"/>
      <c r="H7188"/>
      <c r="I7188"/>
    </row>
    <row r="7189" spans="6:9" x14ac:dyDescent="0.3">
      <c r="F7189"/>
      <c r="G7189"/>
      <c r="H7189"/>
      <c r="I7189"/>
    </row>
    <row r="7190" spans="6:9" x14ac:dyDescent="0.3">
      <c r="F7190"/>
      <c r="G7190"/>
      <c r="H7190"/>
      <c r="I7190"/>
    </row>
    <row r="7191" spans="6:9" x14ac:dyDescent="0.3">
      <c r="F7191"/>
      <c r="G7191"/>
      <c r="H7191"/>
      <c r="I7191"/>
    </row>
    <row r="7192" spans="6:9" x14ac:dyDescent="0.3">
      <c r="F7192"/>
      <c r="G7192"/>
      <c r="H7192"/>
      <c r="I7192"/>
    </row>
    <row r="7193" spans="6:9" x14ac:dyDescent="0.3">
      <c r="F7193"/>
      <c r="G7193"/>
      <c r="H7193"/>
      <c r="I7193"/>
    </row>
    <row r="7194" spans="6:9" x14ac:dyDescent="0.3">
      <c r="F7194"/>
      <c r="G7194"/>
      <c r="H7194"/>
      <c r="I7194"/>
    </row>
    <row r="7195" spans="6:9" x14ac:dyDescent="0.3">
      <c r="F7195"/>
      <c r="G7195"/>
      <c r="H7195"/>
      <c r="I7195"/>
    </row>
    <row r="7196" spans="6:9" x14ac:dyDescent="0.3">
      <c r="F7196"/>
      <c r="G7196"/>
      <c r="H7196"/>
      <c r="I7196"/>
    </row>
    <row r="7197" spans="6:9" x14ac:dyDescent="0.3">
      <c r="F7197"/>
      <c r="G7197"/>
      <c r="H7197"/>
      <c r="I7197"/>
    </row>
    <row r="7198" spans="6:9" x14ac:dyDescent="0.3">
      <c r="F7198"/>
      <c r="G7198"/>
      <c r="H7198"/>
      <c r="I7198"/>
    </row>
    <row r="7199" spans="6:9" x14ac:dyDescent="0.3">
      <c r="F7199"/>
      <c r="G7199"/>
      <c r="H7199"/>
      <c r="I7199"/>
    </row>
    <row r="7200" spans="6:9" x14ac:dyDescent="0.3">
      <c r="F7200"/>
      <c r="G7200"/>
      <c r="H7200"/>
      <c r="I7200"/>
    </row>
    <row r="7201" spans="6:9" x14ac:dyDescent="0.3">
      <c r="F7201"/>
      <c r="G7201"/>
      <c r="H7201"/>
      <c r="I7201"/>
    </row>
    <row r="7202" spans="6:9" x14ac:dyDescent="0.3">
      <c r="F7202"/>
      <c r="G7202"/>
      <c r="H7202"/>
      <c r="I7202"/>
    </row>
    <row r="7203" spans="6:9" x14ac:dyDescent="0.3">
      <c r="F7203"/>
      <c r="G7203"/>
      <c r="H7203"/>
      <c r="I7203"/>
    </row>
    <row r="7204" spans="6:9" x14ac:dyDescent="0.3">
      <c r="F7204"/>
      <c r="G7204"/>
      <c r="H7204"/>
      <c r="I7204"/>
    </row>
    <row r="7205" spans="6:9" x14ac:dyDescent="0.3">
      <c r="F7205"/>
      <c r="G7205"/>
      <c r="H7205"/>
      <c r="I7205"/>
    </row>
    <row r="7206" spans="6:9" x14ac:dyDescent="0.3">
      <c r="F7206"/>
      <c r="G7206"/>
      <c r="H7206"/>
      <c r="I7206"/>
    </row>
    <row r="7207" spans="6:9" x14ac:dyDescent="0.3">
      <c r="F7207"/>
      <c r="G7207"/>
      <c r="H7207"/>
      <c r="I7207"/>
    </row>
    <row r="7208" spans="6:9" x14ac:dyDescent="0.3">
      <c r="F7208"/>
      <c r="G7208"/>
      <c r="H7208"/>
      <c r="I7208"/>
    </row>
    <row r="7209" spans="6:9" x14ac:dyDescent="0.3">
      <c r="F7209"/>
      <c r="G7209"/>
      <c r="H7209"/>
      <c r="I7209"/>
    </row>
    <row r="7210" spans="6:9" x14ac:dyDescent="0.3">
      <c r="F7210"/>
      <c r="G7210"/>
      <c r="H7210"/>
      <c r="I7210"/>
    </row>
    <row r="7211" spans="6:9" x14ac:dyDescent="0.3">
      <c r="F7211"/>
      <c r="G7211"/>
      <c r="H7211"/>
      <c r="I7211"/>
    </row>
    <row r="7212" spans="6:9" x14ac:dyDescent="0.3">
      <c r="F7212"/>
      <c r="G7212"/>
      <c r="H7212"/>
      <c r="I7212"/>
    </row>
    <row r="7213" spans="6:9" x14ac:dyDescent="0.3">
      <c r="F7213"/>
      <c r="G7213"/>
      <c r="H7213"/>
      <c r="I7213"/>
    </row>
    <row r="7214" spans="6:9" x14ac:dyDescent="0.3">
      <c r="F7214"/>
      <c r="G7214"/>
      <c r="H7214"/>
      <c r="I7214"/>
    </row>
    <row r="7215" spans="6:9" x14ac:dyDescent="0.3">
      <c r="F7215"/>
      <c r="G7215"/>
      <c r="H7215"/>
      <c r="I7215"/>
    </row>
    <row r="7216" spans="6:9" x14ac:dyDescent="0.3">
      <c r="F7216"/>
      <c r="G7216"/>
      <c r="H7216"/>
      <c r="I7216"/>
    </row>
    <row r="7217" spans="6:9" x14ac:dyDescent="0.3">
      <c r="F7217"/>
      <c r="G7217"/>
      <c r="H7217"/>
      <c r="I7217"/>
    </row>
    <row r="7218" spans="6:9" x14ac:dyDescent="0.3">
      <c r="F7218"/>
      <c r="G7218"/>
      <c r="H7218"/>
      <c r="I7218"/>
    </row>
    <row r="7219" spans="6:9" x14ac:dyDescent="0.3">
      <c r="F7219"/>
      <c r="G7219"/>
      <c r="H7219"/>
      <c r="I7219"/>
    </row>
    <row r="7220" spans="6:9" x14ac:dyDescent="0.3">
      <c r="F7220"/>
      <c r="G7220"/>
      <c r="H7220"/>
      <c r="I7220"/>
    </row>
    <row r="7221" spans="6:9" x14ac:dyDescent="0.3">
      <c r="F7221"/>
      <c r="G7221"/>
      <c r="H7221"/>
      <c r="I7221"/>
    </row>
    <row r="7222" spans="6:9" x14ac:dyDescent="0.3">
      <c r="F7222"/>
      <c r="G7222"/>
      <c r="H7222"/>
      <c r="I7222"/>
    </row>
    <row r="7223" spans="6:9" x14ac:dyDescent="0.3">
      <c r="F7223"/>
      <c r="G7223"/>
      <c r="H7223"/>
      <c r="I7223"/>
    </row>
    <row r="7224" spans="6:9" x14ac:dyDescent="0.3">
      <c r="F7224"/>
      <c r="G7224"/>
      <c r="H7224"/>
      <c r="I7224"/>
    </row>
    <row r="7225" spans="6:9" x14ac:dyDescent="0.3">
      <c r="F7225"/>
      <c r="G7225"/>
      <c r="H7225"/>
      <c r="I7225"/>
    </row>
    <row r="7226" spans="6:9" x14ac:dyDescent="0.3">
      <c r="F7226"/>
      <c r="G7226"/>
      <c r="H7226"/>
      <c r="I7226"/>
    </row>
    <row r="7227" spans="6:9" x14ac:dyDescent="0.3">
      <c r="F7227"/>
      <c r="G7227"/>
      <c r="H7227"/>
      <c r="I7227"/>
    </row>
    <row r="7228" spans="6:9" x14ac:dyDescent="0.3">
      <c r="F7228"/>
      <c r="G7228"/>
      <c r="H7228"/>
      <c r="I7228"/>
    </row>
    <row r="7229" spans="6:9" x14ac:dyDescent="0.3">
      <c r="F7229"/>
      <c r="G7229"/>
      <c r="H7229"/>
      <c r="I7229"/>
    </row>
    <row r="7230" spans="6:9" x14ac:dyDescent="0.3">
      <c r="F7230"/>
      <c r="G7230"/>
      <c r="H7230"/>
      <c r="I7230"/>
    </row>
    <row r="7231" spans="6:9" x14ac:dyDescent="0.3">
      <c r="F7231"/>
      <c r="G7231"/>
      <c r="H7231"/>
      <c r="I7231"/>
    </row>
    <row r="7232" spans="6:9" x14ac:dyDescent="0.3">
      <c r="F7232"/>
      <c r="G7232"/>
      <c r="H7232"/>
      <c r="I7232"/>
    </row>
    <row r="7233" spans="6:9" x14ac:dyDescent="0.3">
      <c r="F7233"/>
      <c r="G7233"/>
      <c r="H7233"/>
      <c r="I7233"/>
    </row>
    <row r="7234" spans="6:9" x14ac:dyDescent="0.3">
      <c r="F7234"/>
      <c r="G7234"/>
      <c r="H7234"/>
      <c r="I7234"/>
    </row>
    <row r="7235" spans="6:9" x14ac:dyDescent="0.3">
      <c r="F7235"/>
      <c r="G7235"/>
      <c r="H7235"/>
      <c r="I7235"/>
    </row>
    <row r="7236" spans="6:9" x14ac:dyDescent="0.3">
      <c r="F7236"/>
      <c r="G7236"/>
      <c r="H7236"/>
      <c r="I7236"/>
    </row>
    <row r="7237" spans="6:9" x14ac:dyDescent="0.3">
      <c r="F7237"/>
      <c r="G7237"/>
      <c r="H7237"/>
      <c r="I7237"/>
    </row>
    <row r="7238" spans="6:9" x14ac:dyDescent="0.3">
      <c r="F7238"/>
      <c r="G7238"/>
      <c r="H7238"/>
      <c r="I7238"/>
    </row>
    <row r="7239" spans="6:9" x14ac:dyDescent="0.3">
      <c r="F7239"/>
      <c r="G7239"/>
      <c r="H7239"/>
      <c r="I7239"/>
    </row>
    <row r="7240" spans="6:9" x14ac:dyDescent="0.3">
      <c r="F7240"/>
      <c r="G7240"/>
      <c r="H7240"/>
      <c r="I7240"/>
    </row>
    <row r="7241" spans="6:9" x14ac:dyDescent="0.3">
      <c r="F7241"/>
      <c r="G7241"/>
      <c r="H7241"/>
      <c r="I7241"/>
    </row>
    <row r="7242" spans="6:9" x14ac:dyDescent="0.3">
      <c r="F7242"/>
      <c r="G7242"/>
      <c r="H7242"/>
      <c r="I7242"/>
    </row>
    <row r="7243" spans="6:9" x14ac:dyDescent="0.3">
      <c r="F7243"/>
      <c r="G7243"/>
      <c r="H7243"/>
      <c r="I7243"/>
    </row>
    <row r="7244" spans="6:9" x14ac:dyDescent="0.3">
      <c r="F7244"/>
      <c r="G7244"/>
      <c r="H7244"/>
      <c r="I7244"/>
    </row>
    <row r="7245" spans="6:9" x14ac:dyDescent="0.3">
      <c r="F7245"/>
      <c r="G7245"/>
      <c r="H7245"/>
      <c r="I7245"/>
    </row>
    <row r="7246" spans="6:9" x14ac:dyDescent="0.3">
      <c r="F7246"/>
      <c r="G7246"/>
      <c r="H7246"/>
      <c r="I7246"/>
    </row>
    <row r="7247" spans="6:9" x14ac:dyDescent="0.3">
      <c r="F7247"/>
      <c r="G7247"/>
      <c r="H7247"/>
      <c r="I7247"/>
    </row>
    <row r="7248" spans="6:9" x14ac:dyDescent="0.3">
      <c r="F7248"/>
      <c r="G7248"/>
      <c r="H7248"/>
      <c r="I7248"/>
    </row>
    <row r="7249" spans="6:9" x14ac:dyDescent="0.3">
      <c r="F7249"/>
      <c r="G7249"/>
      <c r="H7249"/>
      <c r="I7249"/>
    </row>
    <row r="7250" spans="6:9" x14ac:dyDescent="0.3">
      <c r="F7250"/>
      <c r="G7250"/>
      <c r="H7250"/>
      <c r="I7250"/>
    </row>
    <row r="7251" spans="6:9" x14ac:dyDescent="0.3">
      <c r="F7251"/>
      <c r="G7251"/>
      <c r="H7251"/>
      <c r="I7251"/>
    </row>
    <row r="7252" spans="6:9" x14ac:dyDescent="0.3">
      <c r="F7252"/>
      <c r="G7252"/>
      <c r="H7252"/>
      <c r="I7252"/>
    </row>
    <row r="7253" spans="6:9" x14ac:dyDescent="0.3">
      <c r="F7253"/>
      <c r="G7253"/>
      <c r="H7253"/>
      <c r="I7253"/>
    </row>
    <row r="7254" spans="6:9" x14ac:dyDescent="0.3">
      <c r="F7254"/>
      <c r="G7254"/>
      <c r="H7254"/>
      <c r="I7254"/>
    </row>
    <row r="7255" spans="6:9" x14ac:dyDescent="0.3">
      <c r="F7255"/>
      <c r="G7255"/>
      <c r="H7255"/>
      <c r="I7255"/>
    </row>
    <row r="7256" spans="6:9" x14ac:dyDescent="0.3">
      <c r="F7256"/>
      <c r="G7256"/>
      <c r="H7256"/>
      <c r="I7256"/>
    </row>
    <row r="7257" spans="6:9" x14ac:dyDescent="0.3">
      <c r="F7257"/>
      <c r="G7257"/>
      <c r="H7257"/>
      <c r="I7257"/>
    </row>
    <row r="7258" spans="6:9" x14ac:dyDescent="0.3">
      <c r="F7258"/>
      <c r="G7258"/>
      <c r="H7258"/>
      <c r="I7258"/>
    </row>
    <row r="7259" spans="6:9" x14ac:dyDescent="0.3">
      <c r="F7259"/>
      <c r="G7259"/>
      <c r="H7259"/>
      <c r="I7259"/>
    </row>
    <row r="7260" spans="6:9" x14ac:dyDescent="0.3">
      <c r="F7260"/>
      <c r="G7260"/>
      <c r="H7260"/>
      <c r="I7260"/>
    </row>
    <row r="7261" spans="6:9" x14ac:dyDescent="0.3">
      <c r="F7261"/>
      <c r="G7261"/>
      <c r="H7261"/>
      <c r="I7261"/>
    </row>
    <row r="7262" spans="6:9" x14ac:dyDescent="0.3">
      <c r="F7262"/>
      <c r="G7262"/>
      <c r="H7262"/>
      <c r="I7262"/>
    </row>
    <row r="7263" spans="6:9" x14ac:dyDescent="0.3">
      <c r="F7263"/>
      <c r="G7263"/>
      <c r="H7263"/>
      <c r="I7263"/>
    </row>
    <row r="7264" spans="6:9" x14ac:dyDescent="0.3">
      <c r="F7264"/>
      <c r="G7264"/>
      <c r="H7264"/>
      <c r="I7264"/>
    </row>
    <row r="7265" spans="6:9" x14ac:dyDescent="0.3">
      <c r="F7265"/>
      <c r="G7265"/>
      <c r="H7265"/>
      <c r="I7265"/>
    </row>
    <row r="7266" spans="6:9" x14ac:dyDescent="0.3">
      <c r="F7266"/>
      <c r="G7266"/>
      <c r="H7266"/>
      <c r="I7266"/>
    </row>
    <row r="7267" spans="6:9" x14ac:dyDescent="0.3">
      <c r="F7267"/>
      <c r="G7267"/>
      <c r="H7267"/>
      <c r="I7267"/>
    </row>
    <row r="7268" spans="6:9" x14ac:dyDescent="0.3">
      <c r="F7268"/>
      <c r="G7268"/>
      <c r="H7268"/>
      <c r="I7268"/>
    </row>
    <row r="7269" spans="6:9" x14ac:dyDescent="0.3">
      <c r="F7269"/>
      <c r="G7269"/>
      <c r="H7269"/>
      <c r="I7269"/>
    </row>
    <row r="7270" spans="6:9" x14ac:dyDescent="0.3">
      <c r="F7270"/>
      <c r="G7270"/>
      <c r="H7270"/>
      <c r="I7270"/>
    </row>
    <row r="7271" spans="6:9" x14ac:dyDescent="0.3">
      <c r="F7271"/>
      <c r="G7271"/>
      <c r="H7271"/>
      <c r="I7271"/>
    </row>
    <row r="7272" spans="6:9" x14ac:dyDescent="0.3">
      <c r="F7272"/>
      <c r="G7272"/>
      <c r="H7272"/>
      <c r="I7272"/>
    </row>
    <row r="7273" spans="6:9" x14ac:dyDescent="0.3">
      <c r="F7273"/>
      <c r="G7273"/>
      <c r="H7273"/>
      <c r="I7273"/>
    </row>
    <row r="7274" spans="6:9" x14ac:dyDescent="0.3">
      <c r="F7274"/>
      <c r="G7274"/>
      <c r="H7274"/>
      <c r="I7274"/>
    </row>
    <row r="7275" spans="6:9" x14ac:dyDescent="0.3">
      <c r="F7275"/>
      <c r="G7275"/>
      <c r="H7275"/>
      <c r="I7275"/>
    </row>
    <row r="7276" spans="6:9" x14ac:dyDescent="0.3">
      <c r="F7276"/>
      <c r="G7276"/>
      <c r="H7276"/>
      <c r="I7276"/>
    </row>
    <row r="7277" spans="6:9" x14ac:dyDescent="0.3">
      <c r="F7277"/>
      <c r="G7277"/>
      <c r="H7277"/>
      <c r="I7277"/>
    </row>
    <row r="7278" spans="6:9" x14ac:dyDescent="0.3">
      <c r="F7278"/>
      <c r="G7278"/>
      <c r="H7278"/>
      <c r="I7278"/>
    </row>
    <row r="7279" spans="6:9" x14ac:dyDescent="0.3">
      <c r="F7279"/>
      <c r="G7279"/>
      <c r="H7279"/>
      <c r="I7279"/>
    </row>
    <row r="7280" spans="6:9" x14ac:dyDescent="0.3">
      <c r="F7280"/>
      <c r="G7280"/>
      <c r="H7280"/>
      <c r="I7280"/>
    </row>
    <row r="7281" spans="6:9" x14ac:dyDescent="0.3">
      <c r="F7281"/>
      <c r="G7281"/>
      <c r="H7281"/>
      <c r="I7281"/>
    </row>
    <row r="7282" spans="6:9" x14ac:dyDescent="0.3">
      <c r="F7282"/>
      <c r="G7282"/>
      <c r="H7282"/>
      <c r="I7282"/>
    </row>
    <row r="7283" spans="6:9" x14ac:dyDescent="0.3">
      <c r="F7283"/>
      <c r="G7283"/>
      <c r="H7283"/>
      <c r="I7283"/>
    </row>
    <row r="7284" spans="6:9" x14ac:dyDescent="0.3">
      <c r="F7284"/>
      <c r="G7284"/>
      <c r="H7284"/>
      <c r="I7284"/>
    </row>
    <row r="7285" spans="6:9" x14ac:dyDescent="0.3">
      <c r="F7285"/>
      <c r="G7285"/>
      <c r="H7285"/>
      <c r="I7285"/>
    </row>
    <row r="7286" spans="6:9" x14ac:dyDescent="0.3">
      <c r="F7286"/>
      <c r="G7286"/>
      <c r="H7286"/>
      <c r="I7286"/>
    </row>
    <row r="7287" spans="6:9" x14ac:dyDescent="0.3">
      <c r="F7287"/>
      <c r="G7287"/>
      <c r="H7287"/>
      <c r="I7287"/>
    </row>
    <row r="7288" spans="6:9" x14ac:dyDescent="0.3">
      <c r="F7288"/>
      <c r="G7288"/>
      <c r="H7288"/>
      <c r="I7288"/>
    </row>
    <row r="7289" spans="6:9" x14ac:dyDescent="0.3">
      <c r="F7289"/>
      <c r="G7289"/>
      <c r="H7289"/>
      <c r="I7289"/>
    </row>
    <row r="7290" spans="6:9" x14ac:dyDescent="0.3">
      <c r="F7290"/>
      <c r="G7290"/>
      <c r="H7290"/>
      <c r="I7290"/>
    </row>
    <row r="7291" spans="6:9" x14ac:dyDescent="0.3">
      <c r="F7291"/>
      <c r="G7291"/>
      <c r="H7291"/>
      <c r="I7291"/>
    </row>
    <row r="7292" spans="6:9" x14ac:dyDescent="0.3">
      <c r="F7292"/>
      <c r="G7292"/>
      <c r="H7292"/>
      <c r="I7292"/>
    </row>
    <row r="7293" spans="6:9" x14ac:dyDescent="0.3">
      <c r="F7293"/>
      <c r="G7293"/>
      <c r="H7293"/>
      <c r="I7293"/>
    </row>
    <row r="7294" spans="6:9" x14ac:dyDescent="0.3">
      <c r="F7294"/>
      <c r="G7294"/>
      <c r="H7294"/>
      <c r="I7294"/>
    </row>
    <row r="7295" spans="6:9" x14ac:dyDescent="0.3">
      <c r="F7295"/>
      <c r="G7295"/>
      <c r="H7295"/>
      <c r="I7295"/>
    </row>
    <row r="7296" spans="6:9" x14ac:dyDescent="0.3">
      <c r="F7296"/>
      <c r="G7296"/>
      <c r="H7296"/>
      <c r="I7296"/>
    </row>
    <row r="7297" spans="6:9" x14ac:dyDescent="0.3">
      <c r="F7297"/>
      <c r="G7297"/>
      <c r="H7297"/>
      <c r="I7297"/>
    </row>
    <row r="7298" spans="6:9" x14ac:dyDescent="0.3">
      <c r="F7298"/>
      <c r="G7298"/>
      <c r="H7298"/>
      <c r="I7298"/>
    </row>
    <row r="7299" spans="6:9" x14ac:dyDescent="0.3">
      <c r="F7299"/>
      <c r="G7299"/>
      <c r="H7299"/>
      <c r="I7299"/>
    </row>
    <row r="7300" spans="6:9" x14ac:dyDescent="0.3">
      <c r="F7300"/>
      <c r="G7300"/>
      <c r="H7300"/>
      <c r="I7300"/>
    </row>
    <row r="7301" spans="6:9" x14ac:dyDescent="0.3">
      <c r="F7301"/>
      <c r="G7301"/>
      <c r="H7301"/>
      <c r="I7301"/>
    </row>
    <row r="7302" spans="6:9" x14ac:dyDescent="0.3">
      <c r="F7302"/>
      <c r="G7302"/>
      <c r="H7302"/>
      <c r="I7302"/>
    </row>
    <row r="7303" spans="6:9" x14ac:dyDescent="0.3">
      <c r="F7303"/>
      <c r="G7303"/>
      <c r="H7303"/>
      <c r="I7303"/>
    </row>
    <row r="7304" spans="6:9" x14ac:dyDescent="0.3">
      <c r="F7304"/>
      <c r="G7304"/>
      <c r="H7304"/>
      <c r="I7304"/>
    </row>
    <row r="7305" spans="6:9" x14ac:dyDescent="0.3">
      <c r="F7305"/>
      <c r="G7305"/>
      <c r="H7305"/>
      <c r="I7305"/>
    </row>
    <row r="7306" spans="6:9" x14ac:dyDescent="0.3">
      <c r="F7306"/>
      <c r="G7306"/>
      <c r="H7306"/>
      <c r="I7306"/>
    </row>
    <row r="7307" spans="6:9" x14ac:dyDescent="0.3">
      <c r="F7307"/>
      <c r="G7307"/>
      <c r="H7307"/>
      <c r="I7307"/>
    </row>
    <row r="7308" spans="6:9" x14ac:dyDescent="0.3">
      <c r="F7308"/>
      <c r="G7308"/>
      <c r="H7308"/>
      <c r="I7308"/>
    </row>
    <row r="7309" spans="6:9" x14ac:dyDescent="0.3">
      <c r="F7309"/>
      <c r="G7309"/>
      <c r="H7309"/>
      <c r="I7309"/>
    </row>
    <row r="7310" spans="6:9" x14ac:dyDescent="0.3">
      <c r="F7310"/>
      <c r="G7310"/>
      <c r="H7310"/>
      <c r="I7310"/>
    </row>
    <row r="7311" spans="6:9" x14ac:dyDescent="0.3">
      <c r="F7311"/>
      <c r="G7311"/>
      <c r="H7311"/>
      <c r="I7311"/>
    </row>
    <row r="7312" spans="6:9" x14ac:dyDescent="0.3">
      <c r="F7312"/>
      <c r="G7312"/>
      <c r="H7312"/>
      <c r="I7312"/>
    </row>
    <row r="7313" spans="6:9" x14ac:dyDescent="0.3">
      <c r="F7313"/>
      <c r="G7313"/>
      <c r="H7313"/>
      <c r="I7313"/>
    </row>
    <row r="7314" spans="6:9" x14ac:dyDescent="0.3">
      <c r="F7314"/>
      <c r="G7314"/>
      <c r="H7314"/>
      <c r="I7314"/>
    </row>
    <row r="7315" spans="6:9" x14ac:dyDescent="0.3">
      <c r="F7315"/>
      <c r="G7315"/>
      <c r="H7315"/>
      <c r="I7315"/>
    </row>
    <row r="7316" spans="6:9" x14ac:dyDescent="0.3">
      <c r="F7316"/>
      <c r="G7316"/>
      <c r="H7316"/>
      <c r="I7316"/>
    </row>
    <row r="7317" spans="6:9" x14ac:dyDescent="0.3">
      <c r="F7317"/>
      <c r="G7317"/>
      <c r="H7317"/>
      <c r="I7317"/>
    </row>
    <row r="7318" spans="6:9" x14ac:dyDescent="0.3">
      <c r="F7318"/>
      <c r="G7318"/>
      <c r="H7318"/>
      <c r="I7318"/>
    </row>
    <row r="7319" spans="6:9" x14ac:dyDescent="0.3">
      <c r="F7319"/>
      <c r="G7319"/>
      <c r="H7319"/>
      <c r="I7319"/>
    </row>
    <row r="7320" spans="6:9" x14ac:dyDescent="0.3">
      <c r="F7320"/>
      <c r="G7320"/>
      <c r="H7320"/>
      <c r="I7320"/>
    </row>
    <row r="7321" spans="6:9" x14ac:dyDescent="0.3">
      <c r="F7321"/>
      <c r="G7321"/>
      <c r="H7321"/>
      <c r="I7321"/>
    </row>
    <row r="7322" spans="6:9" x14ac:dyDescent="0.3">
      <c r="F7322"/>
      <c r="G7322"/>
      <c r="H7322"/>
      <c r="I7322"/>
    </row>
    <row r="7323" spans="6:9" x14ac:dyDescent="0.3">
      <c r="F7323"/>
      <c r="G7323"/>
      <c r="H7323"/>
      <c r="I7323"/>
    </row>
    <row r="7324" spans="6:9" x14ac:dyDescent="0.3">
      <c r="F7324"/>
      <c r="G7324"/>
      <c r="H7324"/>
      <c r="I7324"/>
    </row>
    <row r="7325" spans="6:9" x14ac:dyDescent="0.3">
      <c r="F7325"/>
      <c r="G7325"/>
      <c r="H7325"/>
      <c r="I7325"/>
    </row>
    <row r="7326" spans="6:9" x14ac:dyDescent="0.3">
      <c r="F7326"/>
      <c r="G7326"/>
      <c r="H7326"/>
      <c r="I7326"/>
    </row>
    <row r="7327" spans="6:9" x14ac:dyDescent="0.3">
      <c r="F7327"/>
      <c r="G7327"/>
      <c r="H7327"/>
      <c r="I7327"/>
    </row>
    <row r="7328" spans="6:9" x14ac:dyDescent="0.3">
      <c r="F7328"/>
      <c r="G7328"/>
      <c r="H7328"/>
      <c r="I7328"/>
    </row>
    <row r="7329" spans="6:9" x14ac:dyDescent="0.3">
      <c r="F7329"/>
      <c r="G7329"/>
      <c r="H7329"/>
      <c r="I7329"/>
    </row>
    <row r="7330" spans="6:9" x14ac:dyDescent="0.3">
      <c r="F7330"/>
      <c r="G7330"/>
      <c r="H7330"/>
      <c r="I7330"/>
    </row>
    <row r="7331" spans="6:9" x14ac:dyDescent="0.3">
      <c r="F7331"/>
      <c r="G7331"/>
      <c r="H7331"/>
      <c r="I7331"/>
    </row>
    <row r="7332" spans="6:9" x14ac:dyDescent="0.3">
      <c r="F7332"/>
      <c r="G7332"/>
      <c r="H7332"/>
      <c r="I7332"/>
    </row>
    <row r="7333" spans="6:9" x14ac:dyDescent="0.3">
      <c r="F7333"/>
      <c r="G7333"/>
      <c r="H7333"/>
      <c r="I7333"/>
    </row>
    <row r="7334" spans="6:9" x14ac:dyDescent="0.3">
      <c r="F7334"/>
      <c r="G7334"/>
      <c r="H7334"/>
      <c r="I7334"/>
    </row>
    <row r="7335" spans="6:9" x14ac:dyDescent="0.3">
      <c r="F7335"/>
      <c r="G7335"/>
      <c r="H7335"/>
      <c r="I7335"/>
    </row>
    <row r="7336" spans="6:9" x14ac:dyDescent="0.3">
      <c r="F7336"/>
      <c r="G7336"/>
      <c r="H7336"/>
      <c r="I7336"/>
    </row>
    <row r="7337" spans="6:9" x14ac:dyDescent="0.3">
      <c r="F7337"/>
      <c r="G7337"/>
      <c r="H7337"/>
      <c r="I7337"/>
    </row>
    <row r="7338" spans="6:9" x14ac:dyDescent="0.3">
      <c r="F7338"/>
      <c r="G7338"/>
      <c r="H7338"/>
      <c r="I7338"/>
    </row>
    <row r="7339" spans="6:9" x14ac:dyDescent="0.3">
      <c r="F7339"/>
      <c r="G7339"/>
      <c r="H7339"/>
      <c r="I7339"/>
    </row>
    <row r="7340" spans="6:9" x14ac:dyDescent="0.3">
      <c r="F7340"/>
      <c r="G7340"/>
      <c r="H7340"/>
      <c r="I7340"/>
    </row>
    <row r="7341" spans="6:9" x14ac:dyDescent="0.3">
      <c r="F7341"/>
      <c r="G7341"/>
      <c r="H7341"/>
      <c r="I7341"/>
    </row>
    <row r="7342" spans="6:9" x14ac:dyDescent="0.3">
      <c r="F7342"/>
      <c r="G7342"/>
      <c r="H7342"/>
      <c r="I7342"/>
    </row>
    <row r="7343" spans="6:9" x14ac:dyDescent="0.3">
      <c r="F7343"/>
      <c r="G7343"/>
      <c r="H7343"/>
      <c r="I7343"/>
    </row>
    <row r="7344" spans="6:9" x14ac:dyDescent="0.3">
      <c r="F7344"/>
      <c r="G7344"/>
      <c r="H7344"/>
      <c r="I7344"/>
    </row>
    <row r="7345" spans="6:9" x14ac:dyDescent="0.3">
      <c r="F7345"/>
      <c r="G7345"/>
      <c r="H7345"/>
      <c r="I7345"/>
    </row>
    <row r="7346" spans="6:9" x14ac:dyDescent="0.3">
      <c r="F7346"/>
      <c r="G7346"/>
      <c r="H7346"/>
      <c r="I7346"/>
    </row>
    <row r="7347" spans="6:9" x14ac:dyDescent="0.3">
      <c r="F7347"/>
      <c r="G7347"/>
      <c r="H7347"/>
      <c r="I7347"/>
    </row>
    <row r="7348" spans="6:9" x14ac:dyDescent="0.3">
      <c r="F7348"/>
      <c r="G7348"/>
      <c r="H7348"/>
      <c r="I7348"/>
    </row>
    <row r="7349" spans="6:9" x14ac:dyDescent="0.3">
      <c r="F7349"/>
      <c r="G7349"/>
      <c r="H7349"/>
      <c r="I7349"/>
    </row>
    <row r="7350" spans="6:9" x14ac:dyDescent="0.3">
      <c r="F7350"/>
      <c r="G7350"/>
      <c r="H7350"/>
      <c r="I7350"/>
    </row>
    <row r="7351" spans="6:9" x14ac:dyDescent="0.3">
      <c r="F7351"/>
      <c r="G7351"/>
      <c r="H7351"/>
      <c r="I7351"/>
    </row>
    <row r="7352" spans="6:9" x14ac:dyDescent="0.3">
      <c r="F7352"/>
      <c r="G7352"/>
      <c r="H7352"/>
      <c r="I7352"/>
    </row>
    <row r="7353" spans="6:9" x14ac:dyDescent="0.3">
      <c r="F7353"/>
      <c r="G7353"/>
      <c r="H7353"/>
      <c r="I7353"/>
    </row>
    <row r="7354" spans="6:9" x14ac:dyDescent="0.3">
      <c r="F7354"/>
      <c r="G7354"/>
      <c r="H7354"/>
      <c r="I7354"/>
    </row>
    <row r="7355" spans="6:9" x14ac:dyDescent="0.3">
      <c r="F7355"/>
      <c r="G7355"/>
      <c r="H7355"/>
      <c r="I7355"/>
    </row>
    <row r="7356" spans="6:9" x14ac:dyDescent="0.3">
      <c r="F7356"/>
      <c r="G7356"/>
      <c r="H7356"/>
      <c r="I7356"/>
    </row>
    <row r="7357" spans="6:9" x14ac:dyDescent="0.3">
      <c r="F7357"/>
      <c r="G7357"/>
      <c r="H7357"/>
      <c r="I7357"/>
    </row>
    <row r="7358" spans="6:9" x14ac:dyDescent="0.3">
      <c r="F7358"/>
      <c r="G7358"/>
      <c r="H7358"/>
      <c r="I7358"/>
    </row>
    <row r="7359" spans="6:9" x14ac:dyDescent="0.3">
      <c r="F7359"/>
      <c r="G7359"/>
      <c r="H7359"/>
      <c r="I7359"/>
    </row>
    <row r="7360" spans="6:9" x14ac:dyDescent="0.3">
      <c r="F7360"/>
      <c r="G7360"/>
      <c r="H7360"/>
      <c r="I7360"/>
    </row>
    <row r="7361" spans="6:9" x14ac:dyDescent="0.3">
      <c r="F7361"/>
      <c r="G7361"/>
      <c r="H7361"/>
      <c r="I7361"/>
    </row>
    <row r="7362" spans="6:9" x14ac:dyDescent="0.3">
      <c r="F7362"/>
      <c r="G7362"/>
      <c r="H7362"/>
      <c r="I7362"/>
    </row>
    <row r="7363" spans="6:9" x14ac:dyDescent="0.3">
      <c r="F7363"/>
      <c r="G7363"/>
      <c r="H7363"/>
      <c r="I7363"/>
    </row>
    <row r="7364" spans="6:9" x14ac:dyDescent="0.3">
      <c r="F7364"/>
      <c r="G7364"/>
      <c r="H7364"/>
      <c r="I7364"/>
    </row>
    <row r="7365" spans="6:9" x14ac:dyDescent="0.3">
      <c r="F7365"/>
      <c r="G7365"/>
      <c r="H7365"/>
      <c r="I7365"/>
    </row>
    <row r="7366" spans="6:9" x14ac:dyDescent="0.3">
      <c r="F7366"/>
      <c r="G7366"/>
      <c r="H7366"/>
      <c r="I7366"/>
    </row>
    <row r="7367" spans="6:9" x14ac:dyDescent="0.3">
      <c r="F7367"/>
      <c r="G7367"/>
      <c r="H7367"/>
      <c r="I7367"/>
    </row>
    <row r="7368" spans="6:9" x14ac:dyDescent="0.3">
      <c r="F7368"/>
      <c r="G7368"/>
      <c r="H7368"/>
      <c r="I7368"/>
    </row>
    <row r="7369" spans="6:9" x14ac:dyDescent="0.3">
      <c r="F7369"/>
      <c r="G7369"/>
      <c r="H7369"/>
      <c r="I7369"/>
    </row>
    <row r="7370" spans="6:9" x14ac:dyDescent="0.3">
      <c r="F7370"/>
      <c r="G7370"/>
      <c r="H7370"/>
      <c r="I7370"/>
    </row>
    <row r="7371" spans="6:9" x14ac:dyDescent="0.3">
      <c r="F7371"/>
      <c r="G7371"/>
      <c r="H7371"/>
      <c r="I7371"/>
    </row>
    <row r="7372" spans="6:9" x14ac:dyDescent="0.3">
      <c r="F7372"/>
      <c r="G7372"/>
      <c r="H7372"/>
      <c r="I7372"/>
    </row>
    <row r="7373" spans="6:9" x14ac:dyDescent="0.3">
      <c r="F7373"/>
      <c r="G7373"/>
      <c r="H7373"/>
      <c r="I7373"/>
    </row>
    <row r="7374" spans="6:9" x14ac:dyDescent="0.3">
      <c r="F7374"/>
      <c r="G7374"/>
      <c r="H7374"/>
      <c r="I7374"/>
    </row>
    <row r="7375" spans="6:9" x14ac:dyDescent="0.3">
      <c r="F7375"/>
      <c r="G7375"/>
      <c r="H7375"/>
      <c r="I7375"/>
    </row>
    <row r="7376" spans="6:9" x14ac:dyDescent="0.3">
      <c r="F7376"/>
      <c r="G7376"/>
      <c r="H7376"/>
      <c r="I7376"/>
    </row>
    <row r="7377" spans="6:9" x14ac:dyDescent="0.3">
      <c r="F7377"/>
      <c r="G7377"/>
      <c r="H7377"/>
      <c r="I7377"/>
    </row>
    <row r="7378" spans="6:9" x14ac:dyDescent="0.3">
      <c r="F7378"/>
      <c r="G7378"/>
      <c r="H7378"/>
      <c r="I7378"/>
    </row>
    <row r="7379" spans="6:9" x14ac:dyDescent="0.3">
      <c r="F7379"/>
      <c r="G7379"/>
      <c r="H7379"/>
      <c r="I7379"/>
    </row>
    <row r="7380" spans="6:9" x14ac:dyDescent="0.3">
      <c r="F7380"/>
      <c r="G7380"/>
      <c r="H7380"/>
      <c r="I7380"/>
    </row>
    <row r="7381" spans="6:9" x14ac:dyDescent="0.3">
      <c r="F7381"/>
      <c r="G7381"/>
      <c r="H7381"/>
      <c r="I7381"/>
    </row>
    <row r="7382" spans="6:9" x14ac:dyDescent="0.3">
      <c r="F7382"/>
      <c r="G7382"/>
      <c r="H7382"/>
      <c r="I7382"/>
    </row>
    <row r="7383" spans="6:9" x14ac:dyDescent="0.3">
      <c r="F7383"/>
      <c r="G7383"/>
      <c r="H7383"/>
      <c r="I7383"/>
    </row>
    <row r="7384" spans="6:9" x14ac:dyDescent="0.3">
      <c r="F7384"/>
      <c r="G7384"/>
      <c r="H7384"/>
      <c r="I7384"/>
    </row>
    <row r="7385" spans="6:9" x14ac:dyDescent="0.3">
      <c r="F7385"/>
      <c r="G7385"/>
      <c r="H7385"/>
      <c r="I7385"/>
    </row>
    <row r="7386" spans="6:9" x14ac:dyDescent="0.3">
      <c r="F7386"/>
      <c r="G7386"/>
      <c r="H7386"/>
      <c r="I7386"/>
    </row>
    <row r="7387" spans="6:9" x14ac:dyDescent="0.3">
      <c r="F7387"/>
      <c r="G7387"/>
      <c r="H7387"/>
      <c r="I7387"/>
    </row>
    <row r="7388" spans="6:9" x14ac:dyDescent="0.3">
      <c r="F7388"/>
      <c r="G7388"/>
      <c r="H7388"/>
      <c r="I7388"/>
    </row>
    <row r="7389" spans="6:9" x14ac:dyDescent="0.3">
      <c r="F7389"/>
      <c r="G7389"/>
      <c r="H7389"/>
      <c r="I7389"/>
    </row>
    <row r="7390" spans="6:9" x14ac:dyDescent="0.3">
      <c r="F7390"/>
      <c r="G7390"/>
      <c r="H7390"/>
      <c r="I7390"/>
    </row>
    <row r="7391" spans="6:9" x14ac:dyDescent="0.3">
      <c r="F7391"/>
      <c r="G7391"/>
      <c r="H7391"/>
      <c r="I7391"/>
    </row>
    <row r="7392" spans="6:9" x14ac:dyDescent="0.3">
      <c r="F7392"/>
      <c r="G7392"/>
      <c r="H7392"/>
      <c r="I7392"/>
    </row>
    <row r="7393" spans="6:9" x14ac:dyDescent="0.3">
      <c r="F7393"/>
      <c r="G7393"/>
      <c r="H7393"/>
      <c r="I7393"/>
    </row>
    <row r="7394" spans="6:9" x14ac:dyDescent="0.3">
      <c r="F7394"/>
      <c r="G7394"/>
      <c r="H7394"/>
      <c r="I7394"/>
    </row>
    <row r="7395" spans="6:9" x14ac:dyDescent="0.3">
      <c r="F7395"/>
      <c r="G7395"/>
      <c r="H7395"/>
      <c r="I7395"/>
    </row>
    <row r="7396" spans="6:9" x14ac:dyDescent="0.3">
      <c r="F7396"/>
      <c r="G7396"/>
      <c r="H7396"/>
      <c r="I7396"/>
    </row>
    <row r="7397" spans="6:9" x14ac:dyDescent="0.3">
      <c r="F7397"/>
      <c r="G7397"/>
      <c r="H7397"/>
      <c r="I7397"/>
    </row>
    <row r="7398" spans="6:9" x14ac:dyDescent="0.3">
      <c r="F7398"/>
      <c r="G7398"/>
      <c r="H7398"/>
      <c r="I7398"/>
    </row>
    <row r="7399" spans="6:9" x14ac:dyDescent="0.3">
      <c r="F7399"/>
      <c r="G7399"/>
      <c r="H7399"/>
      <c r="I7399"/>
    </row>
    <row r="7400" spans="6:9" x14ac:dyDescent="0.3">
      <c r="F7400"/>
      <c r="G7400"/>
      <c r="H7400"/>
      <c r="I7400"/>
    </row>
    <row r="7401" spans="6:9" x14ac:dyDescent="0.3">
      <c r="F7401"/>
      <c r="G7401"/>
      <c r="H7401"/>
      <c r="I7401"/>
    </row>
    <row r="7402" spans="6:9" x14ac:dyDescent="0.3">
      <c r="F7402"/>
      <c r="G7402"/>
      <c r="H7402"/>
      <c r="I7402"/>
    </row>
    <row r="7403" spans="6:9" x14ac:dyDescent="0.3">
      <c r="F7403"/>
      <c r="G7403"/>
      <c r="H7403"/>
      <c r="I7403"/>
    </row>
    <row r="7404" spans="6:9" x14ac:dyDescent="0.3">
      <c r="F7404"/>
      <c r="G7404"/>
      <c r="H7404"/>
      <c r="I7404"/>
    </row>
    <row r="7405" spans="6:9" x14ac:dyDescent="0.3">
      <c r="F7405"/>
      <c r="G7405"/>
      <c r="H7405"/>
      <c r="I7405"/>
    </row>
    <row r="7406" spans="6:9" x14ac:dyDescent="0.3">
      <c r="F7406"/>
      <c r="G7406"/>
      <c r="H7406"/>
      <c r="I7406"/>
    </row>
    <row r="7407" spans="6:9" x14ac:dyDescent="0.3">
      <c r="F7407"/>
      <c r="G7407"/>
      <c r="H7407"/>
      <c r="I7407"/>
    </row>
    <row r="7408" spans="6:9" x14ac:dyDescent="0.3">
      <c r="F7408"/>
      <c r="G7408"/>
      <c r="H7408"/>
      <c r="I7408"/>
    </row>
    <row r="7409" spans="6:9" x14ac:dyDescent="0.3">
      <c r="F7409"/>
      <c r="G7409"/>
      <c r="H7409"/>
      <c r="I7409"/>
    </row>
    <row r="7410" spans="6:9" x14ac:dyDescent="0.3">
      <c r="F7410"/>
      <c r="G7410"/>
      <c r="H7410"/>
      <c r="I7410"/>
    </row>
    <row r="7411" spans="6:9" x14ac:dyDescent="0.3">
      <c r="F7411"/>
      <c r="G7411"/>
      <c r="H7411"/>
      <c r="I7411"/>
    </row>
    <row r="7412" spans="6:9" x14ac:dyDescent="0.3">
      <c r="F7412"/>
      <c r="G7412"/>
      <c r="H7412"/>
      <c r="I7412"/>
    </row>
    <row r="7413" spans="6:9" x14ac:dyDescent="0.3">
      <c r="F7413"/>
      <c r="G7413"/>
      <c r="H7413"/>
      <c r="I7413"/>
    </row>
    <row r="7414" spans="6:9" x14ac:dyDescent="0.3">
      <c r="F7414"/>
      <c r="G7414"/>
      <c r="H7414"/>
      <c r="I7414"/>
    </row>
    <row r="7415" spans="6:9" x14ac:dyDescent="0.3">
      <c r="F7415"/>
      <c r="G7415"/>
      <c r="H7415"/>
      <c r="I7415"/>
    </row>
    <row r="7416" spans="6:9" x14ac:dyDescent="0.3">
      <c r="F7416"/>
      <c r="G7416"/>
      <c r="H7416"/>
      <c r="I7416"/>
    </row>
    <row r="7417" spans="6:9" x14ac:dyDescent="0.3">
      <c r="F7417"/>
      <c r="G7417"/>
      <c r="H7417"/>
      <c r="I7417"/>
    </row>
    <row r="7418" spans="6:9" x14ac:dyDescent="0.3">
      <c r="F7418"/>
      <c r="G7418"/>
      <c r="H7418"/>
      <c r="I7418"/>
    </row>
    <row r="7419" spans="6:9" x14ac:dyDescent="0.3">
      <c r="F7419"/>
      <c r="G7419"/>
      <c r="H7419"/>
      <c r="I7419"/>
    </row>
    <row r="7420" spans="6:9" x14ac:dyDescent="0.3">
      <c r="F7420"/>
      <c r="G7420"/>
      <c r="H7420"/>
      <c r="I7420"/>
    </row>
    <row r="7421" spans="6:9" x14ac:dyDescent="0.3">
      <c r="F7421"/>
      <c r="G7421"/>
      <c r="H7421"/>
      <c r="I7421"/>
    </row>
    <row r="7422" spans="6:9" x14ac:dyDescent="0.3">
      <c r="F7422"/>
      <c r="G7422"/>
      <c r="H7422"/>
      <c r="I7422"/>
    </row>
    <row r="7423" spans="6:9" x14ac:dyDescent="0.3">
      <c r="F7423"/>
      <c r="G7423"/>
      <c r="H7423"/>
      <c r="I7423"/>
    </row>
    <row r="7424" spans="6:9" x14ac:dyDescent="0.3">
      <c r="F7424"/>
      <c r="G7424"/>
      <c r="H7424"/>
      <c r="I7424"/>
    </row>
    <row r="7425" spans="6:9" x14ac:dyDescent="0.3">
      <c r="F7425"/>
      <c r="G7425"/>
      <c r="H7425"/>
      <c r="I7425"/>
    </row>
    <row r="7426" spans="6:9" x14ac:dyDescent="0.3">
      <c r="F7426"/>
      <c r="G7426"/>
      <c r="H7426"/>
      <c r="I7426"/>
    </row>
    <row r="7427" spans="6:9" x14ac:dyDescent="0.3">
      <c r="F7427"/>
      <c r="G7427"/>
      <c r="H7427"/>
      <c r="I7427"/>
    </row>
    <row r="7428" spans="6:9" x14ac:dyDescent="0.3">
      <c r="F7428"/>
      <c r="G7428"/>
      <c r="H7428"/>
      <c r="I7428"/>
    </row>
    <row r="7429" spans="6:9" x14ac:dyDescent="0.3">
      <c r="F7429"/>
      <c r="G7429"/>
      <c r="H7429"/>
      <c r="I7429"/>
    </row>
    <row r="7430" spans="6:9" x14ac:dyDescent="0.3">
      <c r="F7430"/>
      <c r="G7430"/>
      <c r="H7430"/>
      <c r="I7430"/>
    </row>
    <row r="7431" spans="6:9" x14ac:dyDescent="0.3">
      <c r="F7431"/>
      <c r="G7431"/>
      <c r="H7431"/>
      <c r="I7431"/>
    </row>
    <row r="7432" spans="6:9" x14ac:dyDescent="0.3">
      <c r="F7432"/>
      <c r="G7432"/>
      <c r="H7432"/>
      <c r="I7432"/>
    </row>
    <row r="7433" spans="6:9" x14ac:dyDescent="0.3">
      <c r="F7433"/>
      <c r="G7433"/>
      <c r="H7433"/>
      <c r="I7433"/>
    </row>
    <row r="7434" spans="6:9" x14ac:dyDescent="0.3">
      <c r="F7434"/>
      <c r="G7434"/>
      <c r="H7434"/>
      <c r="I7434"/>
    </row>
    <row r="7435" spans="6:9" x14ac:dyDescent="0.3">
      <c r="F7435"/>
      <c r="G7435"/>
      <c r="H7435"/>
      <c r="I7435"/>
    </row>
    <row r="7436" spans="6:9" x14ac:dyDescent="0.3">
      <c r="F7436"/>
      <c r="G7436"/>
      <c r="H7436"/>
      <c r="I7436"/>
    </row>
    <row r="7437" spans="6:9" x14ac:dyDescent="0.3">
      <c r="F7437"/>
      <c r="G7437"/>
      <c r="H7437"/>
      <c r="I7437"/>
    </row>
    <row r="7438" spans="6:9" x14ac:dyDescent="0.3">
      <c r="F7438"/>
      <c r="G7438"/>
      <c r="H7438"/>
      <c r="I7438"/>
    </row>
    <row r="7439" spans="6:9" x14ac:dyDescent="0.3">
      <c r="F7439"/>
      <c r="G7439"/>
      <c r="H7439"/>
      <c r="I7439"/>
    </row>
    <row r="7440" spans="6:9" x14ac:dyDescent="0.3">
      <c r="F7440"/>
      <c r="G7440"/>
      <c r="H7440"/>
      <c r="I7440"/>
    </row>
    <row r="7441" spans="6:9" x14ac:dyDescent="0.3">
      <c r="F7441"/>
      <c r="G7441"/>
      <c r="H7441"/>
      <c r="I7441"/>
    </row>
    <row r="7442" spans="6:9" x14ac:dyDescent="0.3">
      <c r="F7442"/>
      <c r="G7442"/>
      <c r="H7442"/>
      <c r="I7442"/>
    </row>
    <row r="7443" spans="6:9" x14ac:dyDescent="0.3">
      <c r="F7443"/>
      <c r="G7443"/>
      <c r="H7443"/>
      <c r="I7443"/>
    </row>
    <row r="7444" spans="6:9" x14ac:dyDescent="0.3">
      <c r="F7444"/>
      <c r="G7444"/>
      <c r="H7444"/>
      <c r="I7444"/>
    </row>
    <row r="7445" spans="6:9" x14ac:dyDescent="0.3">
      <c r="F7445"/>
      <c r="G7445"/>
      <c r="H7445"/>
      <c r="I7445"/>
    </row>
    <row r="7446" spans="6:9" x14ac:dyDescent="0.3">
      <c r="F7446"/>
      <c r="G7446"/>
      <c r="H7446"/>
      <c r="I7446"/>
    </row>
    <row r="7447" spans="6:9" x14ac:dyDescent="0.3">
      <c r="F7447"/>
      <c r="G7447"/>
      <c r="H7447"/>
      <c r="I7447"/>
    </row>
    <row r="7448" spans="6:9" x14ac:dyDescent="0.3">
      <c r="F7448"/>
      <c r="G7448"/>
      <c r="H7448"/>
      <c r="I7448"/>
    </row>
    <row r="7449" spans="6:9" x14ac:dyDescent="0.3">
      <c r="F7449"/>
      <c r="G7449"/>
      <c r="H7449"/>
      <c r="I7449"/>
    </row>
    <row r="7450" spans="6:9" x14ac:dyDescent="0.3">
      <c r="F7450"/>
      <c r="G7450"/>
      <c r="H7450"/>
      <c r="I7450"/>
    </row>
    <row r="7451" spans="6:9" x14ac:dyDescent="0.3">
      <c r="F7451"/>
      <c r="G7451"/>
      <c r="H7451"/>
      <c r="I7451"/>
    </row>
    <row r="7452" spans="6:9" x14ac:dyDescent="0.3">
      <c r="F7452"/>
      <c r="G7452"/>
      <c r="H7452"/>
      <c r="I7452"/>
    </row>
    <row r="7453" spans="6:9" x14ac:dyDescent="0.3">
      <c r="F7453"/>
      <c r="G7453"/>
      <c r="H7453"/>
      <c r="I7453"/>
    </row>
    <row r="7454" spans="6:9" x14ac:dyDescent="0.3">
      <c r="F7454"/>
      <c r="G7454"/>
      <c r="H7454"/>
      <c r="I7454"/>
    </row>
    <row r="7455" spans="6:9" x14ac:dyDescent="0.3">
      <c r="F7455"/>
      <c r="G7455"/>
      <c r="H7455"/>
      <c r="I7455"/>
    </row>
    <row r="7456" spans="6:9" x14ac:dyDescent="0.3">
      <c r="F7456"/>
      <c r="G7456"/>
      <c r="H7456"/>
      <c r="I7456"/>
    </row>
    <row r="7457" spans="6:9" x14ac:dyDescent="0.3">
      <c r="F7457"/>
      <c r="G7457"/>
      <c r="H7457"/>
      <c r="I7457"/>
    </row>
    <row r="7458" spans="6:9" x14ac:dyDescent="0.3">
      <c r="F7458"/>
      <c r="G7458"/>
      <c r="H7458"/>
      <c r="I7458"/>
    </row>
    <row r="7459" spans="6:9" x14ac:dyDescent="0.3">
      <c r="F7459"/>
      <c r="G7459"/>
      <c r="H7459"/>
      <c r="I7459"/>
    </row>
    <row r="7460" spans="6:9" x14ac:dyDescent="0.3">
      <c r="F7460"/>
      <c r="G7460"/>
      <c r="H7460"/>
      <c r="I7460"/>
    </row>
    <row r="7461" spans="6:9" x14ac:dyDescent="0.3">
      <c r="F7461"/>
      <c r="G7461"/>
      <c r="H7461"/>
      <c r="I7461"/>
    </row>
    <row r="7462" spans="6:9" x14ac:dyDescent="0.3">
      <c r="F7462"/>
      <c r="G7462"/>
      <c r="H7462"/>
      <c r="I7462"/>
    </row>
    <row r="7463" spans="6:9" x14ac:dyDescent="0.3">
      <c r="F7463"/>
      <c r="G7463"/>
      <c r="H7463"/>
      <c r="I7463"/>
    </row>
    <row r="7464" spans="6:9" x14ac:dyDescent="0.3">
      <c r="F7464"/>
      <c r="G7464"/>
      <c r="H7464"/>
      <c r="I7464"/>
    </row>
    <row r="7465" spans="6:9" x14ac:dyDescent="0.3">
      <c r="F7465"/>
      <c r="G7465"/>
      <c r="H7465"/>
      <c r="I7465"/>
    </row>
    <row r="7466" spans="6:9" x14ac:dyDescent="0.3">
      <c r="F7466"/>
      <c r="G7466"/>
      <c r="H7466"/>
      <c r="I7466"/>
    </row>
    <row r="7467" spans="6:9" x14ac:dyDescent="0.3">
      <c r="F7467"/>
      <c r="G7467"/>
      <c r="H7467"/>
      <c r="I7467"/>
    </row>
    <row r="7468" spans="6:9" x14ac:dyDescent="0.3">
      <c r="F7468"/>
      <c r="G7468"/>
      <c r="H7468"/>
      <c r="I7468"/>
    </row>
    <row r="7469" spans="6:9" x14ac:dyDescent="0.3">
      <c r="F7469"/>
      <c r="G7469"/>
      <c r="H7469"/>
      <c r="I7469"/>
    </row>
    <row r="7470" spans="6:9" x14ac:dyDescent="0.3">
      <c r="F7470"/>
      <c r="G7470"/>
      <c r="H7470"/>
      <c r="I7470"/>
    </row>
    <row r="7471" spans="6:9" x14ac:dyDescent="0.3">
      <c r="F7471"/>
      <c r="G7471"/>
      <c r="H7471"/>
      <c r="I7471"/>
    </row>
    <row r="7472" spans="6:9" x14ac:dyDescent="0.3">
      <c r="F7472"/>
      <c r="G7472"/>
      <c r="H7472"/>
      <c r="I7472"/>
    </row>
    <row r="7473" spans="6:9" x14ac:dyDescent="0.3">
      <c r="F7473"/>
      <c r="G7473"/>
      <c r="H7473"/>
      <c r="I7473"/>
    </row>
    <row r="7474" spans="6:9" x14ac:dyDescent="0.3">
      <c r="F7474"/>
      <c r="G7474"/>
      <c r="H7474"/>
      <c r="I7474"/>
    </row>
    <row r="7475" spans="6:9" x14ac:dyDescent="0.3">
      <c r="F7475"/>
      <c r="G7475"/>
      <c r="H7475"/>
      <c r="I7475"/>
    </row>
    <row r="7476" spans="6:9" x14ac:dyDescent="0.3">
      <c r="F7476"/>
      <c r="G7476"/>
      <c r="H7476"/>
      <c r="I7476"/>
    </row>
    <row r="7477" spans="6:9" x14ac:dyDescent="0.3">
      <c r="F7477"/>
      <c r="G7477"/>
      <c r="H7477"/>
      <c r="I7477"/>
    </row>
    <row r="7478" spans="6:9" x14ac:dyDescent="0.3">
      <c r="F7478"/>
      <c r="G7478"/>
      <c r="H7478"/>
      <c r="I7478"/>
    </row>
    <row r="7479" spans="6:9" x14ac:dyDescent="0.3">
      <c r="F7479"/>
      <c r="G7479"/>
      <c r="H7479"/>
      <c r="I7479"/>
    </row>
    <row r="7480" spans="6:9" x14ac:dyDescent="0.3">
      <c r="F7480"/>
      <c r="G7480"/>
      <c r="H7480"/>
      <c r="I7480"/>
    </row>
    <row r="7481" spans="6:9" x14ac:dyDescent="0.3">
      <c r="F7481"/>
      <c r="G7481"/>
      <c r="H7481"/>
      <c r="I7481"/>
    </row>
    <row r="7482" spans="6:9" x14ac:dyDescent="0.3">
      <c r="F7482"/>
      <c r="G7482"/>
      <c r="H7482"/>
      <c r="I7482"/>
    </row>
    <row r="7483" spans="6:9" x14ac:dyDescent="0.3">
      <c r="F7483"/>
      <c r="G7483"/>
      <c r="H7483"/>
      <c r="I7483"/>
    </row>
    <row r="7484" spans="6:9" x14ac:dyDescent="0.3">
      <c r="F7484"/>
      <c r="G7484"/>
      <c r="H7484"/>
      <c r="I7484"/>
    </row>
    <row r="7485" spans="6:9" x14ac:dyDescent="0.3">
      <c r="F7485"/>
      <c r="G7485"/>
      <c r="H7485"/>
      <c r="I7485"/>
    </row>
    <row r="7486" spans="6:9" x14ac:dyDescent="0.3">
      <c r="F7486"/>
      <c r="G7486"/>
      <c r="H7486"/>
      <c r="I7486"/>
    </row>
    <row r="7487" spans="6:9" x14ac:dyDescent="0.3">
      <c r="F7487"/>
      <c r="G7487"/>
      <c r="H7487"/>
      <c r="I7487"/>
    </row>
    <row r="7488" spans="6:9" x14ac:dyDescent="0.3">
      <c r="F7488"/>
      <c r="G7488"/>
      <c r="H7488"/>
      <c r="I7488"/>
    </row>
    <row r="7489" spans="6:9" x14ac:dyDescent="0.3">
      <c r="F7489"/>
      <c r="G7489"/>
      <c r="H7489"/>
      <c r="I7489"/>
    </row>
    <row r="7490" spans="6:9" x14ac:dyDescent="0.3">
      <c r="F7490"/>
      <c r="G7490"/>
      <c r="H7490"/>
      <c r="I7490"/>
    </row>
    <row r="7491" spans="6:9" x14ac:dyDescent="0.3">
      <c r="F7491"/>
      <c r="G7491"/>
      <c r="H7491"/>
      <c r="I7491"/>
    </row>
    <row r="7492" spans="6:9" x14ac:dyDescent="0.3">
      <c r="F7492"/>
      <c r="G7492"/>
      <c r="H7492"/>
      <c r="I7492"/>
    </row>
    <row r="7493" spans="6:9" x14ac:dyDescent="0.3">
      <c r="F7493"/>
      <c r="G7493"/>
      <c r="H7493"/>
      <c r="I7493"/>
    </row>
    <row r="7494" spans="6:9" x14ac:dyDescent="0.3">
      <c r="F7494"/>
      <c r="G7494"/>
      <c r="H7494"/>
      <c r="I7494"/>
    </row>
    <row r="7495" spans="6:9" x14ac:dyDescent="0.3">
      <c r="F7495"/>
      <c r="G7495"/>
      <c r="H7495"/>
      <c r="I7495"/>
    </row>
    <row r="7496" spans="6:9" x14ac:dyDescent="0.3">
      <c r="F7496"/>
      <c r="G7496"/>
      <c r="H7496"/>
      <c r="I7496"/>
    </row>
    <row r="7497" spans="6:9" x14ac:dyDescent="0.3">
      <c r="F7497"/>
      <c r="G7497"/>
      <c r="H7497"/>
      <c r="I7497"/>
    </row>
    <row r="7498" spans="6:9" x14ac:dyDescent="0.3">
      <c r="F7498"/>
      <c r="G7498"/>
      <c r="H7498"/>
      <c r="I7498"/>
    </row>
    <row r="7499" spans="6:9" x14ac:dyDescent="0.3">
      <c r="F7499"/>
      <c r="G7499"/>
      <c r="H7499"/>
      <c r="I7499"/>
    </row>
    <row r="7500" spans="6:9" x14ac:dyDescent="0.3">
      <c r="F7500"/>
      <c r="G7500"/>
      <c r="H7500"/>
      <c r="I7500"/>
    </row>
    <row r="7501" spans="6:9" x14ac:dyDescent="0.3">
      <c r="F7501"/>
      <c r="G7501"/>
      <c r="H7501"/>
      <c r="I7501"/>
    </row>
    <row r="7502" spans="6:9" x14ac:dyDescent="0.3">
      <c r="F7502"/>
      <c r="G7502"/>
      <c r="H7502"/>
      <c r="I7502"/>
    </row>
    <row r="7503" spans="6:9" x14ac:dyDescent="0.3">
      <c r="F7503"/>
      <c r="G7503"/>
      <c r="H7503"/>
      <c r="I7503"/>
    </row>
    <row r="7504" spans="6:9" x14ac:dyDescent="0.3">
      <c r="F7504"/>
      <c r="G7504"/>
      <c r="H7504"/>
      <c r="I7504"/>
    </row>
    <row r="7505" spans="6:9" x14ac:dyDescent="0.3">
      <c r="F7505"/>
      <c r="G7505"/>
      <c r="H7505"/>
      <c r="I7505"/>
    </row>
    <row r="7506" spans="6:9" x14ac:dyDescent="0.3">
      <c r="F7506"/>
      <c r="G7506"/>
      <c r="H7506"/>
      <c r="I7506"/>
    </row>
    <row r="7507" spans="6:9" x14ac:dyDescent="0.3">
      <c r="F7507"/>
      <c r="G7507"/>
      <c r="H7507"/>
      <c r="I7507"/>
    </row>
    <row r="7508" spans="6:9" x14ac:dyDescent="0.3">
      <c r="F7508"/>
      <c r="G7508"/>
      <c r="H7508"/>
      <c r="I7508"/>
    </row>
    <row r="7509" spans="6:9" x14ac:dyDescent="0.3">
      <c r="F7509"/>
      <c r="G7509"/>
      <c r="H7509"/>
      <c r="I7509"/>
    </row>
    <row r="7510" spans="6:9" x14ac:dyDescent="0.3">
      <c r="F7510"/>
      <c r="G7510"/>
      <c r="H7510"/>
      <c r="I7510"/>
    </row>
    <row r="7511" spans="6:9" x14ac:dyDescent="0.3">
      <c r="F7511"/>
      <c r="G7511"/>
      <c r="H7511"/>
      <c r="I7511"/>
    </row>
    <row r="7512" spans="6:9" x14ac:dyDescent="0.3">
      <c r="F7512"/>
      <c r="G7512"/>
      <c r="H7512"/>
      <c r="I7512"/>
    </row>
    <row r="7513" spans="6:9" x14ac:dyDescent="0.3">
      <c r="F7513"/>
      <c r="G7513"/>
      <c r="H7513"/>
      <c r="I7513"/>
    </row>
    <row r="7514" spans="6:9" x14ac:dyDescent="0.3">
      <c r="F7514"/>
      <c r="G7514"/>
      <c r="H7514"/>
      <c r="I7514"/>
    </row>
    <row r="7515" spans="6:9" x14ac:dyDescent="0.3">
      <c r="F7515"/>
      <c r="G7515"/>
      <c r="H7515"/>
      <c r="I7515"/>
    </row>
    <row r="7516" spans="6:9" x14ac:dyDescent="0.3">
      <c r="F7516"/>
      <c r="G7516"/>
      <c r="H7516"/>
      <c r="I7516"/>
    </row>
    <row r="7517" spans="6:9" x14ac:dyDescent="0.3">
      <c r="F7517"/>
      <c r="G7517"/>
      <c r="H7517"/>
      <c r="I7517"/>
    </row>
    <row r="7518" spans="6:9" x14ac:dyDescent="0.3">
      <c r="F7518"/>
      <c r="G7518"/>
      <c r="H7518"/>
      <c r="I7518"/>
    </row>
    <row r="7519" spans="6:9" x14ac:dyDescent="0.3">
      <c r="F7519"/>
      <c r="G7519"/>
      <c r="H7519"/>
      <c r="I7519"/>
    </row>
    <row r="7520" spans="6:9" x14ac:dyDescent="0.3">
      <c r="F7520"/>
      <c r="G7520"/>
      <c r="H7520"/>
      <c r="I7520"/>
    </row>
    <row r="7521" spans="6:9" x14ac:dyDescent="0.3">
      <c r="F7521"/>
      <c r="G7521"/>
      <c r="H7521"/>
      <c r="I7521"/>
    </row>
    <row r="7522" spans="6:9" x14ac:dyDescent="0.3">
      <c r="F7522"/>
      <c r="G7522"/>
      <c r="H7522"/>
      <c r="I7522"/>
    </row>
    <row r="7523" spans="6:9" x14ac:dyDescent="0.3">
      <c r="F7523"/>
      <c r="G7523"/>
      <c r="H7523"/>
      <c r="I7523"/>
    </row>
    <row r="7524" spans="6:9" x14ac:dyDescent="0.3">
      <c r="F7524"/>
      <c r="G7524"/>
      <c r="H7524"/>
      <c r="I7524"/>
    </row>
    <row r="7525" spans="6:9" x14ac:dyDescent="0.3">
      <c r="F7525"/>
      <c r="G7525"/>
      <c r="H7525"/>
      <c r="I7525"/>
    </row>
    <row r="7526" spans="6:9" x14ac:dyDescent="0.3">
      <c r="F7526"/>
      <c r="G7526"/>
      <c r="H7526"/>
      <c r="I7526"/>
    </row>
    <row r="7527" spans="6:9" x14ac:dyDescent="0.3">
      <c r="F7527"/>
      <c r="G7527"/>
      <c r="H7527"/>
      <c r="I7527"/>
    </row>
    <row r="7528" spans="6:9" x14ac:dyDescent="0.3">
      <c r="F7528"/>
      <c r="G7528"/>
      <c r="H7528"/>
      <c r="I7528"/>
    </row>
    <row r="7529" spans="6:9" x14ac:dyDescent="0.3">
      <c r="F7529"/>
      <c r="G7529"/>
      <c r="H7529"/>
      <c r="I7529"/>
    </row>
    <row r="7530" spans="6:9" x14ac:dyDescent="0.3">
      <c r="F7530"/>
      <c r="G7530"/>
      <c r="H7530"/>
      <c r="I7530"/>
    </row>
    <row r="7531" spans="6:9" x14ac:dyDescent="0.3">
      <c r="F7531"/>
      <c r="G7531"/>
      <c r="H7531"/>
      <c r="I7531"/>
    </row>
    <row r="7532" spans="6:9" x14ac:dyDescent="0.3">
      <c r="F7532"/>
      <c r="G7532"/>
      <c r="H7532"/>
      <c r="I7532"/>
    </row>
    <row r="7533" spans="6:9" x14ac:dyDescent="0.3">
      <c r="F7533"/>
      <c r="G7533"/>
      <c r="H7533"/>
      <c r="I7533"/>
    </row>
    <row r="7534" spans="6:9" x14ac:dyDescent="0.3">
      <c r="F7534"/>
      <c r="G7534"/>
      <c r="H7534"/>
      <c r="I7534"/>
    </row>
    <row r="7535" spans="6:9" x14ac:dyDescent="0.3">
      <c r="F7535"/>
      <c r="G7535"/>
      <c r="H7535"/>
      <c r="I7535"/>
    </row>
    <row r="7536" spans="6:9" x14ac:dyDescent="0.3">
      <c r="F7536"/>
      <c r="G7536"/>
      <c r="H7536"/>
      <c r="I7536"/>
    </row>
    <row r="7537" spans="6:9" x14ac:dyDescent="0.3">
      <c r="F7537"/>
      <c r="G7537"/>
      <c r="H7537"/>
      <c r="I7537"/>
    </row>
    <row r="7538" spans="6:9" x14ac:dyDescent="0.3">
      <c r="F7538"/>
      <c r="G7538"/>
      <c r="H7538"/>
      <c r="I7538"/>
    </row>
    <row r="7539" spans="6:9" x14ac:dyDescent="0.3">
      <c r="F7539"/>
      <c r="G7539"/>
      <c r="H7539"/>
      <c r="I7539"/>
    </row>
    <row r="7540" spans="6:9" x14ac:dyDescent="0.3">
      <c r="F7540"/>
      <c r="G7540"/>
      <c r="H7540"/>
      <c r="I7540"/>
    </row>
    <row r="7541" spans="6:9" x14ac:dyDescent="0.3">
      <c r="F7541"/>
      <c r="G7541"/>
      <c r="H7541"/>
      <c r="I7541"/>
    </row>
    <row r="7542" spans="6:9" x14ac:dyDescent="0.3">
      <c r="F7542"/>
      <c r="G7542"/>
      <c r="H7542"/>
      <c r="I7542"/>
    </row>
    <row r="7543" spans="6:9" x14ac:dyDescent="0.3">
      <c r="F7543"/>
      <c r="G7543"/>
      <c r="H7543"/>
      <c r="I7543"/>
    </row>
    <row r="7544" spans="6:9" x14ac:dyDescent="0.3">
      <c r="F7544"/>
      <c r="G7544"/>
      <c r="H7544"/>
      <c r="I7544"/>
    </row>
    <row r="7545" spans="6:9" x14ac:dyDescent="0.3">
      <c r="F7545"/>
      <c r="G7545"/>
      <c r="H7545"/>
      <c r="I7545"/>
    </row>
    <row r="7546" spans="6:9" x14ac:dyDescent="0.3">
      <c r="F7546"/>
      <c r="G7546"/>
      <c r="H7546"/>
      <c r="I7546"/>
    </row>
    <row r="7547" spans="6:9" x14ac:dyDescent="0.3">
      <c r="F7547"/>
      <c r="G7547"/>
      <c r="H7547"/>
      <c r="I7547"/>
    </row>
    <row r="7548" spans="6:9" x14ac:dyDescent="0.3">
      <c r="F7548"/>
      <c r="G7548"/>
      <c r="H7548"/>
      <c r="I7548"/>
    </row>
    <row r="7549" spans="6:9" x14ac:dyDescent="0.3">
      <c r="F7549"/>
      <c r="G7549"/>
      <c r="H7549"/>
      <c r="I7549"/>
    </row>
    <row r="7550" spans="6:9" x14ac:dyDescent="0.3">
      <c r="F7550"/>
      <c r="G7550"/>
      <c r="H7550"/>
      <c r="I7550"/>
    </row>
    <row r="7551" spans="6:9" x14ac:dyDescent="0.3">
      <c r="F7551"/>
      <c r="G7551"/>
      <c r="H7551"/>
      <c r="I7551"/>
    </row>
    <row r="7552" spans="6:9" x14ac:dyDescent="0.3">
      <c r="F7552"/>
      <c r="G7552"/>
      <c r="H7552"/>
      <c r="I7552"/>
    </row>
    <row r="7553" spans="6:9" x14ac:dyDescent="0.3">
      <c r="F7553"/>
      <c r="G7553"/>
      <c r="H7553"/>
      <c r="I7553"/>
    </row>
    <row r="7554" spans="6:9" x14ac:dyDescent="0.3">
      <c r="F7554"/>
      <c r="G7554"/>
      <c r="H7554"/>
      <c r="I7554"/>
    </row>
    <row r="7555" spans="6:9" x14ac:dyDescent="0.3">
      <c r="F7555"/>
      <c r="G7555"/>
      <c r="H7555"/>
      <c r="I7555"/>
    </row>
    <row r="7556" spans="6:9" x14ac:dyDescent="0.3">
      <c r="F7556"/>
      <c r="G7556"/>
      <c r="H7556"/>
      <c r="I7556"/>
    </row>
    <row r="7557" spans="6:9" x14ac:dyDescent="0.3">
      <c r="F7557"/>
      <c r="G7557"/>
      <c r="H7557"/>
      <c r="I7557"/>
    </row>
    <row r="7558" spans="6:9" x14ac:dyDescent="0.3">
      <c r="F7558"/>
      <c r="G7558"/>
      <c r="H7558"/>
      <c r="I7558"/>
    </row>
    <row r="7559" spans="6:9" x14ac:dyDescent="0.3">
      <c r="F7559"/>
      <c r="G7559"/>
      <c r="H7559"/>
      <c r="I7559"/>
    </row>
    <row r="7560" spans="6:9" x14ac:dyDescent="0.3">
      <c r="F7560"/>
      <c r="G7560"/>
      <c r="H7560"/>
      <c r="I7560"/>
    </row>
    <row r="7561" spans="6:9" x14ac:dyDescent="0.3">
      <c r="F7561"/>
      <c r="G7561"/>
      <c r="H7561"/>
      <c r="I7561"/>
    </row>
    <row r="7562" spans="6:9" x14ac:dyDescent="0.3">
      <c r="F7562"/>
      <c r="G7562"/>
      <c r="H7562"/>
      <c r="I7562"/>
    </row>
    <row r="7563" spans="6:9" x14ac:dyDescent="0.3">
      <c r="F7563"/>
      <c r="G7563"/>
      <c r="H7563"/>
      <c r="I7563"/>
    </row>
    <row r="7564" spans="6:9" x14ac:dyDescent="0.3">
      <c r="F7564"/>
      <c r="G7564"/>
      <c r="H7564"/>
      <c r="I7564"/>
    </row>
    <row r="7565" spans="6:9" x14ac:dyDescent="0.3">
      <c r="F7565"/>
      <c r="G7565"/>
      <c r="H7565"/>
      <c r="I7565"/>
    </row>
    <row r="7566" spans="6:9" x14ac:dyDescent="0.3">
      <c r="F7566"/>
      <c r="G7566"/>
      <c r="H7566"/>
      <c r="I7566"/>
    </row>
    <row r="7567" spans="6:9" x14ac:dyDescent="0.3">
      <c r="F7567"/>
      <c r="G7567"/>
      <c r="H7567"/>
      <c r="I7567"/>
    </row>
    <row r="7568" spans="6:9" x14ac:dyDescent="0.3">
      <c r="F7568"/>
      <c r="G7568"/>
      <c r="H7568"/>
      <c r="I7568"/>
    </row>
    <row r="7569" spans="6:9" x14ac:dyDescent="0.3">
      <c r="F7569"/>
      <c r="G7569"/>
      <c r="H7569"/>
      <c r="I7569"/>
    </row>
    <row r="7570" spans="6:9" x14ac:dyDescent="0.3">
      <c r="F7570"/>
      <c r="G7570"/>
      <c r="H7570"/>
      <c r="I7570"/>
    </row>
    <row r="7571" spans="6:9" x14ac:dyDescent="0.3">
      <c r="F7571"/>
      <c r="G7571"/>
      <c r="H7571"/>
      <c r="I7571"/>
    </row>
    <row r="7572" spans="6:9" x14ac:dyDescent="0.3">
      <c r="F7572"/>
      <c r="G7572"/>
      <c r="H7572"/>
      <c r="I7572"/>
    </row>
    <row r="7573" spans="6:9" x14ac:dyDescent="0.3">
      <c r="F7573"/>
      <c r="G7573"/>
      <c r="H7573"/>
      <c r="I7573"/>
    </row>
    <row r="7574" spans="6:9" x14ac:dyDescent="0.3">
      <c r="F7574"/>
      <c r="G7574"/>
      <c r="H7574"/>
      <c r="I7574"/>
    </row>
    <row r="7575" spans="6:9" x14ac:dyDescent="0.3">
      <c r="F7575"/>
      <c r="G7575"/>
      <c r="H7575"/>
      <c r="I7575"/>
    </row>
    <row r="7576" spans="6:9" x14ac:dyDescent="0.3">
      <c r="F7576"/>
      <c r="G7576"/>
      <c r="H7576"/>
      <c r="I7576"/>
    </row>
    <row r="7577" spans="6:9" x14ac:dyDescent="0.3">
      <c r="F7577"/>
      <c r="G7577"/>
      <c r="H7577"/>
      <c r="I7577"/>
    </row>
    <row r="7578" spans="6:9" x14ac:dyDescent="0.3">
      <c r="F7578"/>
      <c r="G7578"/>
      <c r="H7578"/>
      <c r="I7578"/>
    </row>
    <row r="7579" spans="6:9" x14ac:dyDescent="0.3">
      <c r="F7579"/>
      <c r="G7579"/>
      <c r="H7579"/>
      <c r="I7579"/>
    </row>
    <row r="7580" spans="6:9" x14ac:dyDescent="0.3">
      <c r="F7580"/>
      <c r="G7580"/>
      <c r="H7580"/>
      <c r="I7580"/>
    </row>
    <row r="7581" spans="6:9" x14ac:dyDescent="0.3">
      <c r="F7581"/>
      <c r="G7581"/>
      <c r="H7581"/>
      <c r="I7581"/>
    </row>
    <row r="7582" spans="6:9" x14ac:dyDescent="0.3">
      <c r="F7582"/>
      <c r="G7582"/>
      <c r="H7582"/>
      <c r="I7582"/>
    </row>
    <row r="7583" spans="6:9" x14ac:dyDescent="0.3">
      <c r="F7583"/>
      <c r="G7583"/>
      <c r="H7583"/>
      <c r="I7583"/>
    </row>
    <row r="7584" spans="6:9" x14ac:dyDescent="0.3">
      <c r="F7584"/>
      <c r="G7584"/>
      <c r="H7584"/>
      <c r="I7584"/>
    </row>
    <row r="7585" spans="6:9" x14ac:dyDescent="0.3">
      <c r="F7585"/>
      <c r="G7585"/>
      <c r="H7585"/>
      <c r="I7585"/>
    </row>
    <row r="7586" spans="6:9" x14ac:dyDescent="0.3">
      <c r="F7586"/>
      <c r="G7586"/>
      <c r="H7586"/>
      <c r="I7586"/>
    </row>
    <row r="7587" spans="6:9" x14ac:dyDescent="0.3">
      <c r="F7587"/>
      <c r="G7587"/>
      <c r="H7587"/>
      <c r="I7587"/>
    </row>
    <row r="7588" spans="6:9" x14ac:dyDescent="0.3">
      <c r="F7588"/>
      <c r="G7588"/>
      <c r="H7588"/>
      <c r="I7588"/>
    </row>
    <row r="7589" spans="6:9" x14ac:dyDescent="0.3">
      <c r="F7589"/>
      <c r="G7589"/>
      <c r="H7589"/>
      <c r="I7589"/>
    </row>
    <row r="7590" spans="6:9" x14ac:dyDescent="0.3">
      <c r="F7590"/>
      <c r="G7590"/>
      <c r="H7590"/>
      <c r="I7590"/>
    </row>
    <row r="7591" spans="6:9" x14ac:dyDescent="0.3">
      <c r="F7591"/>
      <c r="G7591"/>
      <c r="H7591"/>
      <c r="I7591"/>
    </row>
    <row r="7592" spans="6:9" x14ac:dyDescent="0.3">
      <c r="F7592"/>
      <c r="G7592"/>
      <c r="H7592"/>
      <c r="I7592"/>
    </row>
    <row r="7593" spans="6:9" x14ac:dyDescent="0.3">
      <c r="F7593"/>
      <c r="G7593"/>
      <c r="H7593"/>
      <c r="I7593"/>
    </row>
    <row r="7594" spans="6:9" x14ac:dyDescent="0.3">
      <c r="F7594"/>
      <c r="G7594"/>
      <c r="H7594"/>
      <c r="I7594"/>
    </row>
    <row r="7595" spans="6:9" x14ac:dyDescent="0.3">
      <c r="F7595"/>
      <c r="G7595"/>
      <c r="H7595"/>
      <c r="I7595"/>
    </row>
    <row r="7596" spans="6:9" x14ac:dyDescent="0.3">
      <c r="F7596"/>
      <c r="G7596"/>
      <c r="H7596"/>
      <c r="I7596"/>
    </row>
    <row r="7597" spans="6:9" x14ac:dyDescent="0.3">
      <c r="F7597"/>
      <c r="G7597"/>
      <c r="H7597"/>
      <c r="I7597"/>
    </row>
    <row r="7598" spans="6:9" x14ac:dyDescent="0.3">
      <c r="F7598"/>
      <c r="G7598"/>
      <c r="H7598"/>
      <c r="I7598"/>
    </row>
    <row r="7599" spans="6:9" x14ac:dyDescent="0.3">
      <c r="F7599"/>
      <c r="G7599"/>
      <c r="H7599"/>
      <c r="I7599"/>
    </row>
    <row r="7600" spans="6:9" x14ac:dyDescent="0.3">
      <c r="F7600"/>
      <c r="G7600"/>
      <c r="H7600"/>
      <c r="I7600"/>
    </row>
    <row r="7601" spans="6:9" x14ac:dyDescent="0.3">
      <c r="F7601"/>
      <c r="G7601"/>
      <c r="H7601"/>
      <c r="I7601"/>
    </row>
    <row r="7602" spans="6:9" x14ac:dyDescent="0.3">
      <c r="F7602"/>
      <c r="G7602"/>
      <c r="H7602"/>
      <c r="I7602"/>
    </row>
    <row r="7603" spans="6:9" x14ac:dyDescent="0.3">
      <c r="F7603"/>
      <c r="G7603"/>
      <c r="H7603"/>
      <c r="I7603"/>
    </row>
    <row r="7604" spans="6:9" x14ac:dyDescent="0.3">
      <c r="F7604"/>
      <c r="G7604"/>
      <c r="H7604"/>
      <c r="I7604"/>
    </row>
    <row r="7605" spans="6:9" x14ac:dyDescent="0.3">
      <c r="F7605"/>
      <c r="G7605"/>
      <c r="H7605"/>
      <c r="I7605"/>
    </row>
    <row r="7606" spans="6:9" x14ac:dyDescent="0.3">
      <c r="F7606"/>
      <c r="G7606"/>
      <c r="H7606"/>
      <c r="I7606"/>
    </row>
    <row r="7607" spans="6:9" x14ac:dyDescent="0.3">
      <c r="F7607"/>
      <c r="G7607"/>
      <c r="H7607"/>
      <c r="I7607"/>
    </row>
    <row r="7608" spans="6:9" x14ac:dyDescent="0.3">
      <c r="F7608"/>
      <c r="G7608"/>
      <c r="H7608"/>
      <c r="I7608"/>
    </row>
    <row r="7609" spans="6:9" x14ac:dyDescent="0.3">
      <c r="F7609"/>
      <c r="G7609"/>
      <c r="H7609"/>
      <c r="I7609"/>
    </row>
    <row r="7610" spans="6:9" x14ac:dyDescent="0.3">
      <c r="F7610"/>
      <c r="G7610"/>
      <c r="H7610"/>
      <c r="I7610"/>
    </row>
    <row r="7611" spans="6:9" x14ac:dyDescent="0.3">
      <c r="F7611"/>
      <c r="G7611"/>
      <c r="H7611"/>
      <c r="I7611"/>
    </row>
    <row r="7612" spans="6:9" x14ac:dyDescent="0.3">
      <c r="F7612"/>
      <c r="G7612"/>
      <c r="H7612"/>
      <c r="I7612"/>
    </row>
    <row r="7613" spans="6:9" x14ac:dyDescent="0.3">
      <c r="F7613"/>
      <c r="G7613"/>
      <c r="H7613"/>
      <c r="I7613"/>
    </row>
    <row r="7614" spans="6:9" x14ac:dyDescent="0.3">
      <c r="F7614"/>
      <c r="G7614"/>
      <c r="H7614"/>
      <c r="I7614"/>
    </row>
    <row r="7615" spans="6:9" x14ac:dyDescent="0.3">
      <c r="F7615"/>
      <c r="G7615"/>
      <c r="H7615"/>
      <c r="I7615"/>
    </row>
    <row r="7616" spans="6:9" x14ac:dyDescent="0.3">
      <c r="F7616"/>
      <c r="G7616"/>
      <c r="H7616"/>
      <c r="I7616"/>
    </row>
    <row r="7617" spans="6:9" x14ac:dyDescent="0.3">
      <c r="F7617"/>
      <c r="G7617"/>
      <c r="H7617"/>
      <c r="I7617"/>
    </row>
    <row r="7618" spans="6:9" x14ac:dyDescent="0.3">
      <c r="F7618"/>
      <c r="G7618"/>
      <c r="H7618"/>
      <c r="I7618"/>
    </row>
    <row r="7619" spans="6:9" x14ac:dyDescent="0.3">
      <c r="F7619"/>
      <c r="G7619"/>
      <c r="H7619"/>
      <c r="I7619"/>
    </row>
    <row r="7620" spans="6:9" x14ac:dyDescent="0.3">
      <c r="F7620"/>
      <c r="G7620"/>
      <c r="H7620"/>
      <c r="I7620"/>
    </row>
    <row r="7621" spans="6:9" x14ac:dyDescent="0.3">
      <c r="F7621"/>
      <c r="G7621"/>
      <c r="H7621"/>
      <c r="I7621"/>
    </row>
    <row r="7622" spans="6:9" x14ac:dyDescent="0.3">
      <c r="F7622"/>
      <c r="G7622"/>
      <c r="H7622"/>
      <c r="I7622"/>
    </row>
    <row r="7623" spans="6:9" x14ac:dyDescent="0.3">
      <c r="F7623"/>
      <c r="G7623"/>
      <c r="H7623"/>
      <c r="I7623"/>
    </row>
    <row r="7624" spans="6:9" x14ac:dyDescent="0.3">
      <c r="F7624"/>
      <c r="G7624"/>
      <c r="H7624"/>
      <c r="I7624"/>
    </row>
    <row r="7625" spans="6:9" x14ac:dyDescent="0.3">
      <c r="F7625"/>
      <c r="G7625"/>
      <c r="H7625"/>
      <c r="I7625"/>
    </row>
    <row r="7626" spans="6:9" x14ac:dyDescent="0.3">
      <c r="F7626"/>
      <c r="G7626"/>
      <c r="H7626"/>
      <c r="I7626"/>
    </row>
    <row r="7627" spans="6:9" x14ac:dyDescent="0.3">
      <c r="F7627"/>
      <c r="G7627"/>
      <c r="H7627"/>
      <c r="I7627"/>
    </row>
    <row r="7628" spans="6:9" x14ac:dyDescent="0.3">
      <c r="F7628"/>
      <c r="G7628"/>
      <c r="H7628"/>
      <c r="I7628"/>
    </row>
    <row r="7629" spans="6:9" x14ac:dyDescent="0.3">
      <c r="F7629"/>
      <c r="G7629"/>
      <c r="H7629"/>
      <c r="I7629"/>
    </row>
    <row r="7630" spans="6:9" x14ac:dyDescent="0.3">
      <c r="F7630"/>
      <c r="G7630"/>
      <c r="H7630"/>
      <c r="I7630"/>
    </row>
    <row r="7631" spans="6:9" x14ac:dyDescent="0.3">
      <c r="F7631"/>
      <c r="G7631"/>
      <c r="H7631"/>
      <c r="I7631"/>
    </row>
    <row r="7632" spans="6:9" x14ac:dyDescent="0.3">
      <c r="F7632"/>
      <c r="G7632"/>
      <c r="H7632"/>
      <c r="I7632"/>
    </row>
    <row r="7633" spans="6:9" x14ac:dyDescent="0.3">
      <c r="F7633"/>
      <c r="G7633"/>
      <c r="H7633"/>
      <c r="I7633"/>
    </row>
    <row r="7634" spans="6:9" x14ac:dyDescent="0.3">
      <c r="F7634"/>
      <c r="G7634"/>
      <c r="H7634"/>
      <c r="I7634"/>
    </row>
    <row r="7635" spans="6:9" x14ac:dyDescent="0.3">
      <c r="F7635"/>
      <c r="G7635"/>
      <c r="H7635"/>
      <c r="I7635"/>
    </row>
    <row r="7636" spans="6:9" x14ac:dyDescent="0.3">
      <c r="F7636"/>
      <c r="G7636"/>
      <c r="H7636"/>
      <c r="I7636"/>
    </row>
    <row r="7637" spans="6:9" x14ac:dyDescent="0.3">
      <c r="F7637"/>
      <c r="G7637"/>
      <c r="H7637"/>
      <c r="I7637"/>
    </row>
    <row r="7638" spans="6:9" x14ac:dyDescent="0.3">
      <c r="F7638"/>
      <c r="G7638"/>
      <c r="H7638"/>
      <c r="I7638"/>
    </row>
    <row r="7639" spans="6:9" x14ac:dyDescent="0.3">
      <c r="F7639"/>
      <c r="G7639"/>
      <c r="H7639"/>
      <c r="I7639"/>
    </row>
    <row r="7640" spans="6:9" x14ac:dyDescent="0.3">
      <c r="F7640"/>
      <c r="G7640"/>
      <c r="H7640"/>
      <c r="I7640"/>
    </row>
    <row r="7641" spans="6:9" x14ac:dyDescent="0.3">
      <c r="F7641"/>
      <c r="G7641"/>
      <c r="H7641"/>
      <c r="I7641"/>
    </row>
    <row r="7642" spans="6:9" x14ac:dyDescent="0.3">
      <c r="F7642"/>
      <c r="G7642"/>
      <c r="H7642"/>
      <c r="I7642"/>
    </row>
    <row r="7643" spans="6:9" x14ac:dyDescent="0.3">
      <c r="F7643"/>
      <c r="G7643"/>
      <c r="H7643"/>
      <c r="I7643"/>
    </row>
    <row r="7644" spans="6:9" x14ac:dyDescent="0.3">
      <c r="F7644"/>
      <c r="G7644"/>
      <c r="H7644"/>
      <c r="I7644"/>
    </row>
    <row r="7645" spans="6:9" x14ac:dyDescent="0.3">
      <c r="F7645"/>
      <c r="G7645"/>
      <c r="H7645"/>
      <c r="I7645"/>
    </row>
    <row r="7646" spans="6:9" x14ac:dyDescent="0.3">
      <c r="F7646"/>
      <c r="G7646"/>
      <c r="H7646"/>
      <c r="I7646"/>
    </row>
    <row r="7647" spans="6:9" x14ac:dyDescent="0.3">
      <c r="F7647"/>
      <c r="G7647"/>
      <c r="H7647"/>
      <c r="I7647"/>
    </row>
    <row r="7648" spans="6:9" x14ac:dyDescent="0.3">
      <c r="F7648"/>
      <c r="G7648"/>
      <c r="H7648"/>
      <c r="I7648"/>
    </row>
    <row r="7649" spans="6:9" x14ac:dyDescent="0.3">
      <c r="F7649"/>
      <c r="G7649"/>
      <c r="H7649"/>
      <c r="I7649"/>
    </row>
    <row r="7650" spans="6:9" x14ac:dyDescent="0.3">
      <c r="F7650"/>
      <c r="G7650"/>
      <c r="H7650"/>
      <c r="I7650"/>
    </row>
    <row r="7651" spans="6:9" x14ac:dyDescent="0.3">
      <c r="F7651"/>
      <c r="G7651"/>
      <c r="H7651"/>
      <c r="I7651"/>
    </row>
    <row r="7652" spans="6:9" x14ac:dyDescent="0.3">
      <c r="F7652"/>
      <c r="G7652"/>
      <c r="H7652"/>
      <c r="I7652"/>
    </row>
    <row r="7653" spans="6:9" x14ac:dyDescent="0.3">
      <c r="F7653"/>
      <c r="G7653"/>
      <c r="H7653"/>
      <c r="I7653"/>
    </row>
    <row r="7654" spans="6:9" x14ac:dyDescent="0.3">
      <c r="F7654"/>
      <c r="G7654"/>
      <c r="H7654"/>
      <c r="I7654"/>
    </row>
    <row r="7655" spans="6:9" x14ac:dyDescent="0.3">
      <c r="F7655"/>
      <c r="G7655"/>
      <c r="H7655"/>
      <c r="I7655"/>
    </row>
    <row r="7656" spans="6:9" x14ac:dyDescent="0.3">
      <c r="F7656"/>
      <c r="G7656"/>
      <c r="H7656"/>
      <c r="I7656"/>
    </row>
    <row r="7657" spans="6:9" x14ac:dyDescent="0.3">
      <c r="F7657"/>
      <c r="G7657"/>
      <c r="H7657"/>
      <c r="I7657"/>
    </row>
    <row r="7658" spans="6:9" x14ac:dyDescent="0.3">
      <c r="F7658"/>
      <c r="G7658"/>
      <c r="H7658"/>
      <c r="I7658"/>
    </row>
    <row r="7659" spans="6:9" x14ac:dyDescent="0.3">
      <c r="F7659"/>
      <c r="G7659"/>
      <c r="H7659"/>
      <c r="I7659"/>
    </row>
    <row r="7660" spans="6:9" x14ac:dyDescent="0.3">
      <c r="F7660"/>
      <c r="G7660"/>
      <c r="H7660"/>
      <c r="I7660"/>
    </row>
    <row r="7661" spans="6:9" x14ac:dyDescent="0.3">
      <c r="F7661"/>
      <c r="G7661"/>
      <c r="H7661"/>
      <c r="I7661"/>
    </row>
    <row r="7662" spans="6:9" x14ac:dyDescent="0.3">
      <c r="F7662"/>
      <c r="G7662"/>
      <c r="H7662"/>
      <c r="I7662"/>
    </row>
    <row r="7663" spans="6:9" x14ac:dyDescent="0.3">
      <c r="F7663"/>
      <c r="G7663"/>
      <c r="H7663"/>
      <c r="I7663"/>
    </row>
    <row r="7664" spans="6:9" x14ac:dyDescent="0.3">
      <c r="F7664"/>
      <c r="G7664"/>
      <c r="H7664"/>
      <c r="I7664"/>
    </row>
    <row r="7665" spans="6:9" x14ac:dyDescent="0.3">
      <c r="F7665"/>
      <c r="G7665"/>
      <c r="H7665"/>
      <c r="I7665"/>
    </row>
    <row r="7666" spans="6:9" x14ac:dyDescent="0.3">
      <c r="F7666"/>
      <c r="G7666"/>
      <c r="H7666"/>
      <c r="I7666"/>
    </row>
    <row r="7667" spans="6:9" x14ac:dyDescent="0.3">
      <c r="F7667"/>
      <c r="G7667"/>
      <c r="H7667"/>
      <c r="I7667"/>
    </row>
    <row r="7668" spans="6:9" x14ac:dyDescent="0.3">
      <c r="F7668"/>
      <c r="G7668"/>
      <c r="H7668"/>
      <c r="I7668"/>
    </row>
    <row r="7669" spans="6:9" x14ac:dyDescent="0.3">
      <c r="F7669"/>
      <c r="G7669"/>
      <c r="H7669"/>
      <c r="I7669"/>
    </row>
    <row r="7670" spans="6:9" x14ac:dyDescent="0.3">
      <c r="F7670"/>
      <c r="G7670"/>
      <c r="H7670"/>
      <c r="I7670"/>
    </row>
    <row r="7671" spans="6:9" x14ac:dyDescent="0.3">
      <c r="F7671"/>
      <c r="G7671"/>
      <c r="H7671"/>
      <c r="I7671"/>
    </row>
    <row r="7672" spans="6:9" x14ac:dyDescent="0.3">
      <c r="F7672"/>
      <c r="G7672"/>
      <c r="H7672"/>
      <c r="I7672"/>
    </row>
    <row r="7673" spans="6:9" x14ac:dyDescent="0.3">
      <c r="F7673"/>
      <c r="G7673"/>
      <c r="H7673"/>
      <c r="I7673"/>
    </row>
    <row r="7674" spans="6:9" x14ac:dyDescent="0.3">
      <c r="F7674"/>
      <c r="G7674"/>
      <c r="H7674"/>
      <c r="I7674"/>
    </row>
    <row r="7675" spans="6:9" x14ac:dyDescent="0.3">
      <c r="F7675"/>
      <c r="G7675"/>
      <c r="H7675"/>
      <c r="I7675"/>
    </row>
    <row r="7676" spans="6:9" x14ac:dyDescent="0.3">
      <c r="F7676"/>
      <c r="G7676"/>
      <c r="H7676"/>
      <c r="I7676"/>
    </row>
    <row r="7677" spans="6:9" x14ac:dyDescent="0.3">
      <c r="F7677"/>
      <c r="G7677"/>
      <c r="H7677"/>
      <c r="I7677"/>
    </row>
    <row r="7678" spans="6:9" x14ac:dyDescent="0.3">
      <c r="F7678"/>
      <c r="G7678"/>
      <c r="H7678"/>
      <c r="I7678"/>
    </row>
    <row r="7679" spans="6:9" x14ac:dyDescent="0.3">
      <c r="F7679"/>
      <c r="G7679"/>
      <c r="H7679"/>
      <c r="I7679"/>
    </row>
    <row r="7680" spans="6:9" x14ac:dyDescent="0.3">
      <c r="F7680"/>
      <c r="G7680"/>
      <c r="H7680"/>
      <c r="I7680"/>
    </row>
    <row r="7681" spans="6:9" x14ac:dyDescent="0.3">
      <c r="F7681"/>
      <c r="G7681"/>
      <c r="H7681"/>
      <c r="I7681"/>
    </row>
    <row r="7682" spans="6:9" x14ac:dyDescent="0.3">
      <c r="F7682"/>
      <c r="G7682"/>
      <c r="H7682"/>
      <c r="I7682"/>
    </row>
    <row r="7683" spans="6:9" x14ac:dyDescent="0.3">
      <c r="F7683"/>
      <c r="G7683"/>
      <c r="H7683"/>
      <c r="I7683"/>
    </row>
    <row r="7684" spans="6:9" x14ac:dyDescent="0.3">
      <c r="F7684"/>
      <c r="G7684"/>
      <c r="H7684"/>
      <c r="I7684"/>
    </row>
    <row r="7685" spans="6:9" x14ac:dyDescent="0.3">
      <c r="F7685"/>
      <c r="G7685"/>
      <c r="H7685"/>
      <c r="I7685"/>
    </row>
    <row r="7686" spans="6:9" x14ac:dyDescent="0.3">
      <c r="F7686"/>
      <c r="G7686"/>
      <c r="H7686"/>
      <c r="I7686"/>
    </row>
    <row r="7687" spans="6:9" x14ac:dyDescent="0.3">
      <c r="F7687"/>
      <c r="G7687"/>
      <c r="H7687"/>
      <c r="I7687"/>
    </row>
    <row r="7688" spans="6:9" x14ac:dyDescent="0.3">
      <c r="F7688"/>
      <c r="G7688"/>
      <c r="H7688"/>
      <c r="I7688"/>
    </row>
    <row r="7689" spans="6:9" x14ac:dyDescent="0.3">
      <c r="F7689"/>
      <c r="G7689"/>
      <c r="H7689"/>
      <c r="I7689"/>
    </row>
    <row r="7690" spans="6:9" x14ac:dyDescent="0.3">
      <c r="F7690"/>
      <c r="G7690"/>
      <c r="H7690"/>
      <c r="I7690"/>
    </row>
    <row r="7691" spans="6:9" x14ac:dyDescent="0.3">
      <c r="F7691"/>
      <c r="G7691"/>
      <c r="H7691"/>
      <c r="I7691"/>
    </row>
    <row r="7692" spans="6:9" x14ac:dyDescent="0.3">
      <c r="F7692"/>
      <c r="G7692"/>
      <c r="H7692"/>
      <c r="I7692"/>
    </row>
    <row r="7693" spans="6:9" x14ac:dyDescent="0.3">
      <c r="F7693"/>
      <c r="G7693"/>
      <c r="H7693"/>
      <c r="I7693"/>
    </row>
    <row r="7694" spans="6:9" x14ac:dyDescent="0.3">
      <c r="F7694"/>
      <c r="G7694"/>
      <c r="H7694"/>
      <c r="I7694"/>
    </row>
    <row r="7695" spans="6:9" x14ac:dyDescent="0.3">
      <c r="F7695"/>
      <c r="G7695"/>
      <c r="H7695"/>
      <c r="I7695"/>
    </row>
    <row r="7696" spans="6:9" x14ac:dyDescent="0.3">
      <c r="F7696"/>
      <c r="G7696"/>
      <c r="H7696"/>
      <c r="I7696"/>
    </row>
    <row r="7697" spans="6:9" x14ac:dyDescent="0.3">
      <c r="F7697"/>
      <c r="G7697"/>
      <c r="H7697"/>
      <c r="I7697"/>
    </row>
    <row r="7698" spans="6:9" x14ac:dyDescent="0.3">
      <c r="F7698"/>
      <c r="G7698"/>
      <c r="H7698"/>
      <c r="I7698"/>
    </row>
    <row r="7699" spans="6:9" x14ac:dyDescent="0.3">
      <c r="F7699"/>
      <c r="G7699"/>
      <c r="H7699"/>
      <c r="I7699"/>
    </row>
    <row r="7700" spans="6:9" x14ac:dyDescent="0.3">
      <c r="F7700"/>
      <c r="G7700"/>
      <c r="H7700"/>
      <c r="I7700"/>
    </row>
    <row r="7701" spans="6:9" x14ac:dyDescent="0.3">
      <c r="F7701"/>
      <c r="G7701"/>
      <c r="H7701"/>
      <c r="I7701"/>
    </row>
    <row r="7702" spans="6:9" x14ac:dyDescent="0.3">
      <c r="F7702"/>
      <c r="G7702"/>
      <c r="H7702"/>
      <c r="I7702"/>
    </row>
    <row r="7703" spans="6:9" x14ac:dyDescent="0.3">
      <c r="F7703"/>
      <c r="G7703"/>
      <c r="H7703"/>
      <c r="I7703"/>
    </row>
    <row r="7704" spans="6:9" x14ac:dyDescent="0.3">
      <c r="F7704"/>
      <c r="G7704"/>
      <c r="H7704"/>
      <c r="I7704"/>
    </row>
    <row r="7705" spans="6:9" x14ac:dyDescent="0.3">
      <c r="F7705"/>
      <c r="G7705"/>
      <c r="H7705"/>
      <c r="I7705"/>
    </row>
    <row r="7706" spans="6:9" x14ac:dyDescent="0.3">
      <c r="F7706"/>
      <c r="G7706"/>
      <c r="H7706"/>
      <c r="I7706"/>
    </row>
    <row r="7707" spans="6:9" x14ac:dyDescent="0.3">
      <c r="F7707"/>
      <c r="G7707"/>
      <c r="H7707"/>
      <c r="I7707"/>
    </row>
    <row r="7708" spans="6:9" x14ac:dyDescent="0.3">
      <c r="F7708"/>
      <c r="G7708"/>
      <c r="H7708"/>
      <c r="I7708"/>
    </row>
    <row r="7709" spans="6:9" x14ac:dyDescent="0.3">
      <c r="F7709"/>
      <c r="G7709"/>
      <c r="H7709"/>
      <c r="I7709"/>
    </row>
    <row r="7710" spans="6:9" x14ac:dyDescent="0.3">
      <c r="F7710"/>
      <c r="G7710"/>
      <c r="H7710"/>
      <c r="I7710"/>
    </row>
    <row r="7711" spans="6:9" x14ac:dyDescent="0.3">
      <c r="F7711"/>
      <c r="G7711"/>
      <c r="H7711"/>
      <c r="I7711"/>
    </row>
    <row r="7712" spans="6:9" x14ac:dyDescent="0.3">
      <c r="F7712"/>
      <c r="G7712"/>
      <c r="H7712"/>
      <c r="I7712"/>
    </row>
    <row r="7713" spans="6:9" x14ac:dyDescent="0.3">
      <c r="F7713"/>
      <c r="G7713"/>
      <c r="H7713"/>
      <c r="I7713"/>
    </row>
    <row r="7714" spans="6:9" x14ac:dyDescent="0.3">
      <c r="F7714"/>
      <c r="G7714"/>
      <c r="H7714"/>
      <c r="I7714"/>
    </row>
    <row r="7715" spans="6:9" x14ac:dyDescent="0.3">
      <c r="F7715"/>
      <c r="G7715"/>
      <c r="H7715"/>
      <c r="I7715"/>
    </row>
    <row r="7716" spans="6:9" x14ac:dyDescent="0.3">
      <c r="F7716"/>
      <c r="G7716"/>
      <c r="H7716"/>
      <c r="I7716"/>
    </row>
    <row r="7717" spans="6:9" x14ac:dyDescent="0.3">
      <c r="F7717"/>
      <c r="G7717"/>
      <c r="H7717"/>
      <c r="I7717"/>
    </row>
    <row r="7718" spans="6:9" x14ac:dyDescent="0.3">
      <c r="F7718"/>
      <c r="G7718"/>
      <c r="H7718"/>
      <c r="I7718"/>
    </row>
    <row r="7719" spans="6:9" x14ac:dyDescent="0.3">
      <c r="F7719"/>
      <c r="G7719"/>
      <c r="H7719"/>
      <c r="I7719"/>
    </row>
    <row r="7720" spans="6:9" x14ac:dyDescent="0.3">
      <c r="F7720"/>
      <c r="G7720"/>
      <c r="H7720"/>
      <c r="I7720"/>
    </row>
    <row r="7721" spans="6:9" x14ac:dyDescent="0.3">
      <c r="F7721"/>
      <c r="G7721"/>
      <c r="H7721"/>
      <c r="I7721"/>
    </row>
    <row r="7722" spans="6:9" x14ac:dyDescent="0.3">
      <c r="F7722"/>
      <c r="G7722"/>
      <c r="H7722"/>
      <c r="I7722"/>
    </row>
    <row r="7723" spans="6:9" x14ac:dyDescent="0.3">
      <c r="F7723"/>
      <c r="G7723"/>
      <c r="H7723"/>
      <c r="I7723"/>
    </row>
    <row r="7724" spans="6:9" x14ac:dyDescent="0.3">
      <c r="F7724"/>
      <c r="G7724"/>
      <c r="H7724"/>
      <c r="I7724"/>
    </row>
    <row r="7725" spans="6:9" x14ac:dyDescent="0.3">
      <c r="F7725"/>
      <c r="G7725"/>
      <c r="H7725"/>
      <c r="I7725"/>
    </row>
    <row r="7726" spans="6:9" x14ac:dyDescent="0.3">
      <c r="F7726"/>
      <c r="G7726"/>
      <c r="H7726"/>
      <c r="I7726"/>
    </row>
    <row r="7727" spans="6:9" x14ac:dyDescent="0.3">
      <c r="F7727"/>
      <c r="G7727"/>
      <c r="H7727"/>
      <c r="I7727"/>
    </row>
    <row r="7728" spans="6:9" x14ac:dyDescent="0.3">
      <c r="F7728"/>
      <c r="G7728"/>
      <c r="H7728"/>
      <c r="I7728"/>
    </row>
    <row r="7729" spans="6:9" x14ac:dyDescent="0.3">
      <c r="F7729"/>
      <c r="G7729"/>
      <c r="H7729"/>
      <c r="I7729"/>
    </row>
    <row r="7730" spans="6:9" x14ac:dyDescent="0.3">
      <c r="F7730"/>
      <c r="G7730"/>
      <c r="H7730"/>
      <c r="I7730"/>
    </row>
    <row r="7731" spans="6:9" x14ac:dyDescent="0.3">
      <c r="F7731"/>
      <c r="G7731"/>
      <c r="H7731"/>
      <c r="I7731"/>
    </row>
    <row r="7732" spans="6:9" x14ac:dyDescent="0.3">
      <c r="F7732"/>
      <c r="G7732"/>
      <c r="H7732"/>
      <c r="I7732"/>
    </row>
    <row r="7733" spans="6:9" x14ac:dyDescent="0.3">
      <c r="F7733"/>
      <c r="G7733"/>
      <c r="H7733"/>
      <c r="I7733"/>
    </row>
    <row r="7734" spans="6:9" x14ac:dyDescent="0.3">
      <c r="F7734"/>
      <c r="G7734"/>
      <c r="H7734"/>
      <c r="I7734"/>
    </row>
    <row r="7735" spans="6:9" x14ac:dyDescent="0.3">
      <c r="F7735"/>
      <c r="G7735"/>
      <c r="H7735"/>
      <c r="I7735"/>
    </row>
    <row r="7736" spans="6:9" x14ac:dyDescent="0.3">
      <c r="F7736"/>
      <c r="G7736"/>
      <c r="H7736"/>
      <c r="I7736"/>
    </row>
    <row r="7737" spans="6:9" x14ac:dyDescent="0.3">
      <c r="F7737"/>
      <c r="G7737"/>
      <c r="H7737"/>
      <c r="I7737"/>
    </row>
    <row r="7738" spans="6:9" x14ac:dyDescent="0.3">
      <c r="F7738"/>
      <c r="G7738"/>
      <c r="H7738"/>
      <c r="I7738"/>
    </row>
    <row r="7739" spans="6:9" x14ac:dyDescent="0.3">
      <c r="F7739"/>
      <c r="G7739"/>
      <c r="H7739"/>
      <c r="I7739"/>
    </row>
    <row r="7740" spans="6:9" x14ac:dyDescent="0.3">
      <c r="F7740"/>
      <c r="G7740"/>
      <c r="H7740"/>
      <c r="I7740"/>
    </row>
    <row r="7741" spans="6:9" x14ac:dyDescent="0.3">
      <c r="F7741"/>
      <c r="G7741"/>
      <c r="H7741"/>
      <c r="I7741"/>
    </row>
    <row r="7742" spans="6:9" x14ac:dyDescent="0.3">
      <c r="F7742"/>
      <c r="G7742"/>
      <c r="H7742"/>
      <c r="I7742"/>
    </row>
    <row r="7743" spans="6:9" x14ac:dyDescent="0.3">
      <c r="F7743"/>
      <c r="G7743"/>
      <c r="H7743"/>
      <c r="I7743"/>
    </row>
    <row r="7744" spans="6:9" x14ac:dyDescent="0.3">
      <c r="F7744"/>
      <c r="G7744"/>
      <c r="H7744"/>
      <c r="I7744"/>
    </row>
    <row r="7745" spans="6:9" x14ac:dyDescent="0.3">
      <c r="F7745"/>
      <c r="G7745"/>
      <c r="H7745"/>
      <c r="I7745"/>
    </row>
    <row r="7746" spans="6:9" x14ac:dyDescent="0.3">
      <c r="F7746"/>
      <c r="G7746"/>
      <c r="H7746"/>
      <c r="I7746"/>
    </row>
    <row r="7747" spans="6:9" x14ac:dyDescent="0.3">
      <c r="F7747"/>
      <c r="G7747"/>
      <c r="H7747"/>
      <c r="I7747"/>
    </row>
    <row r="7748" spans="6:9" x14ac:dyDescent="0.3">
      <c r="F7748"/>
      <c r="G7748"/>
      <c r="H7748"/>
      <c r="I7748"/>
    </row>
    <row r="7749" spans="6:9" x14ac:dyDescent="0.3">
      <c r="F7749"/>
      <c r="G7749"/>
      <c r="H7749"/>
      <c r="I7749"/>
    </row>
    <row r="7750" spans="6:9" x14ac:dyDescent="0.3">
      <c r="F7750"/>
      <c r="G7750"/>
      <c r="H7750"/>
      <c r="I7750"/>
    </row>
    <row r="7751" spans="6:9" x14ac:dyDescent="0.3">
      <c r="F7751"/>
      <c r="G7751"/>
      <c r="H7751"/>
      <c r="I7751"/>
    </row>
    <row r="7752" spans="6:9" x14ac:dyDescent="0.3">
      <c r="F7752"/>
      <c r="G7752"/>
      <c r="H7752"/>
      <c r="I7752"/>
    </row>
    <row r="7753" spans="6:9" x14ac:dyDescent="0.3">
      <c r="F7753"/>
      <c r="G7753"/>
      <c r="H7753"/>
      <c r="I7753"/>
    </row>
    <row r="7754" spans="6:9" x14ac:dyDescent="0.3">
      <c r="F7754"/>
      <c r="G7754"/>
      <c r="H7754"/>
      <c r="I7754"/>
    </row>
    <row r="7755" spans="6:9" x14ac:dyDescent="0.3">
      <c r="F7755"/>
      <c r="G7755"/>
      <c r="H7755"/>
      <c r="I7755"/>
    </row>
    <row r="7756" spans="6:9" x14ac:dyDescent="0.3">
      <c r="F7756"/>
      <c r="G7756"/>
      <c r="H7756"/>
      <c r="I7756"/>
    </row>
    <row r="7757" spans="6:9" x14ac:dyDescent="0.3">
      <c r="F7757"/>
      <c r="G7757"/>
      <c r="H7757"/>
      <c r="I7757"/>
    </row>
    <row r="7758" spans="6:9" x14ac:dyDescent="0.3">
      <c r="F7758"/>
      <c r="G7758"/>
      <c r="H7758"/>
      <c r="I7758"/>
    </row>
    <row r="7759" spans="6:9" x14ac:dyDescent="0.3">
      <c r="F7759"/>
      <c r="G7759"/>
      <c r="H7759"/>
      <c r="I7759"/>
    </row>
    <row r="7760" spans="6:9" x14ac:dyDescent="0.3">
      <c r="F7760"/>
      <c r="G7760"/>
      <c r="H7760"/>
      <c r="I7760"/>
    </row>
    <row r="7761" spans="6:9" x14ac:dyDescent="0.3">
      <c r="F7761"/>
      <c r="G7761"/>
      <c r="H7761"/>
      <c r="I7761"/>
    </row>
    <row r="7762" spans="6:9" x14ac:dyDescent="0.3">
      <c r="F7762"/>
      <c r="G7762"/>
      <c r="H7762"/>
      <c r="I7762"/>
    </row>
    <row r="7763" spans="6:9" x14ac:dyDescent="0.3">
      <c r="F7763"/>
      <c r="G7763"/>
      <c r="H7763"/>
      <c r="I7763"/>
    </row>
    <row r="7764" spans="6:9" x14ac:dyDescent="0.3">
      <c r="F7764"/>
      <c r="G7764"/>
      <c r="H7764"/>
      <c r="I7764"/>
    </row>
    <row r="7765" spans="6:9" x14ac:dyDescent="0.3">
      <c r="F7765"/>
      <c r="G7765"/>
      <c r="H7765"/>
      <c r="I7765"/>
    </row>
    <row r="7766" spans="6:9" x14ac:dyDescent="0.3">
      <c r="F7766"/>
      <c r="G7766"/>
      <c r="H7766"/>
      <c r="I7766"/>
    </row>
    <row r="7767" spans="6:9" x14ac:dyDescent="0.3">
      <c r="F7767"/>
      <c r="G7767"/>
      <c r="H7767"/>
      <c r="I7767"/>
    </row>
    <row r="7768" spans="6:9" x14ac:dyDescent="0.3">
      <c r="F7768"/>
      <c r="G7768"/>
      <c r="H7768"/>
      <c r="I7768"/>
    </row>
    <row r="7769" spans="6:9" x14ac:dyDescent="0.3">
      <c r="F7769"/>
      <c r="G7769"/>
      <c r="H7769"/>
      <c r="I7769"/>
    </row>
    <row r="7770" spans="6:9" x14ac:dyDescent="0.3">
      <c r="F7770"/>
      <c r="G7770"/>
      <c r="H7770"/>
      <c r="I7770"/>
    </row>
    <row r="7771" spans="6:9" x14ac:dyDescent="0.3">
      <c r="F7771"/>
      <c r="G7771"/>
      <c r="H7771"/>
      <c r="I7771"/>
    </row>
    <row r="7772" spans="6:9" x14ac:dyDescent="0.3">
      <c r="F7772"/>
      <c r="G7772"/>
      <c r="H7772"/>
      <c r="I7772"/>
    </row>
    <row r="7773" spans="6:9" x14ac:dyDescent="0.3">
      <c r="F7773"/>
      <c r="G7773"/>
      <c r="H7773"/>
      <c r="I7773"/>
    </row>
    <row r="7774" spans="6:9" x14ac:dyDescent="0.3">
      <c r="F7774"/>
      <c r="G7774"/>
      <c r="H7774"/>
      <c r="I7774"/>
    </row>
    <row r="7775" spans="6:9" x14ac:dyDescent="0.3">
      <c r="F7775"/>
      <c r="G7775"/>
      <c r="H7775"/>
      <c r="I7775"/>
    </row>
    <row r="7776" spans="6:9" x14ac:dyDescent="0.3">
      <c r="F7776"/>
      <c r="G7776"/>
      <c r="H7776"/>
      <c r="I7776"/>
    </row>
    <row r="7777" spans="6:9" x14ac:dyDescent="0.3">
      <c r="F7777"/>
      <c r="G7777"/>
      <c r="H7777"/>
      <c r="I7777"/>
    </row>
    <row r="7778" spans="6:9" x14ac:dyDescent="0.3">
      <c r="F7778"/>
      <c r="G7778"/>
      <c r="H7778"/>
      <c r="I7778"/>
    </row>
    <row r="7779" spans="6:9" x14ac:dyDescent="0.3">
      <c r="F7779"/>
      <c r="G7779"/>
      <c r="H7779"/>
      <c r="I7779"/>
    </row>
    <row r="7780" spans="6:9" x14ac:dyDescent="0.3">
      <c r="F7780"/>
      <c r="G7780"/>
      <c r="H7780"/>
      <c r="I7780"/>
    </row>
    <row r="7781" spans="6:9" x14ac:dyDescent="0.3">
      <c r="F7781"/>
      <c r="G7781"/>
      <c r="H7781"/>
      <c r="I7781"/>
    </row>
    <row r="7782" spans="6:9" x14ac:dyDescent="0.3">
      <c r="F7782"/>
      <c r="G7782"/>
      <c r="H7782"/>
      <c r="I7782"/>
    </row>
    <row r="7783" spans="6:9" x14ac:dyDescent="0.3">
      <c r="F7783"/>
      <c r="G7783"/>
      <c r="H7783"/>
      <c r="I7783"/>
    </row>
    <row r="7784" spans="6:9" x14ac:dyDescent="0.3">
      <c r="F7784"/>
      <c r="G7784"/>
      <c r="H7784"/>
      <c r="I7784"/>
    </row>
    <row r="7785" spans="6:9" x14ac:dyDescent="0.3">
      <c r="F7785"/>
      <c r="G7785"/>
      <c r="H7785"/>
      <c r="I7785"/>
    </row>
    <row r="7786" spans="6:9" x14ac:dyDescent="0.3">
      <c r="F7786"/>
      <c r="G7786"/>
      <c r="H7786"/>
      <c r="I7786"/>
    </row>
    <row r="7787" spans="6:9" x14ac:dyDescent="0.3">
      <c r="F7787"/>
      <c r="G7787"/>
      <c r="H7787"/>
      <c r="I7787"/>
    </row>
    <row r="7788" spans="6:9" x14ac:dyDescent="0.3">
      <c r="F7788"/>
      <c r="G7788"/>
      <c r="H7788"/>
      <c r="I7788"/>
    </row>
    <row r="7789" spans="6:9" x14ac:dyDescent="0.3">
      <c r="F7789"/>
      <c r="G7789"/>
      <c r="H7789"/>
      <c r="I7789"/>
    </row>
    <row r="7790" spans="6:9" x14ac:dyDescent="0.3">
      <c r="F7790"/>
      <c r="G7790"/>
      <c r="H7790"/>
      <c r="I7790"/>
    </row>
    <row r="7791" spans="6:9" x14ac:dyDescent="0.3">
      <c r="F7791"/>
      <c r="G7791"/>
      <c r="H7791"/>
      <c r="I7791"/>
    </row>
    <row r="7792" spans="6:9" x14ac:dyDescent="0.3">
      <c r="F7792"/>
      <c r="G7792"/>
      <c r="H7792"/>
      <c r="I7792"/>
    </row>
    <row r="7793" spans="6:9" x14ac:dyDescent="0.3">
      <c r="F7793"/>
      <c r="G7793"/>
      <c r="H7793"/>
      <c r="I7793"/>
    </row>
    <row r="7794" spans="6:9" x14ac:dyDescent="0.3">
      <c r="F7794"/>
      <c r="G7794"/>
      <c r="H7794"/>
      <c r="I7794"/>
    </row>
    <row r="7795" spans="6:9" x14ac:dyDescent="0.3">
      <c r="F7795"/>
      <c r="G7795"/>
      <c r="H7795"/>
      <c r="I7795"/>
    </row>
    <row r="7796" spans="6:9" x14ac:dyDescent="0.3">
      <c r="F7796"/>
      <c r="G7796"/>
      <c r="H7796"/>
      <c r="I7796"/>
    </row>
    <row r="7797" spans="6:9" x14ac:dyDescent="0.3">
      <c r="F7797"/>
      <c r="G7797"/>
      <c r="H7797"/>
      <c r="I7797"/>
    </row>
    <row r="7798" spans="6:9" x14ac:dyDescent="0.3">
      <c r="F7798"/>
      <c r="G7798"/>
      <c r="H7798"/>
      <c r="I7798"/>
    </row>
    <row r="7799" spans="6:9" x14ac:dyDescent="0.3">
      <c r="F7799"/>
      <c r="G7799"/>
      <c r="H7799"/>
      <c r="I7799"/>
    </row>
    <row r="7800" spans="6:9" x14ac:dyDescent="0.3">
      <c r="F7800"/>
      <c r="G7800"/>
      <c r="H7800"/>
      <c r="I7800"/>
    </row>
    <row r="7801" spans="6:9" x14ac:dyDescent="0.3">
      <c r="F7801"/>
      <c r="G7801"/>
      <c r="H7801"/>
      <c r="I7801"/>
    </row>
    <row r="7802" spans="6:9" x14ac:dyDescent="0.3">
      <c r="F7802"/>
      <c r="G7802"/>
      <c r="H7802"/>
      <c r="I7802"/>
    </row>
    <row r="7803" spans="6:9" x14ac:dyDescent="0.3">
      <c r="F7803"/>
      <c r="G7803"/>
      <c r="H7803"/>
      <c r="I7803"/>
    </row>
    <row r="7804" spans="6:9" x14ac:dyDescent="0.3">
      <c r="F7804"/>
      <c r="G7804"/>
      <c r="H7804"/>
      <c r="I7804"/>
    </row>
    <row r="7805" spans="6:9" x14ac:dyDescent="0.3">
      <c r="F7805"/>
      <c r="G7805"/>
      <c r="H7805"/>
      <c r="I7805"/>
    </row>
    <row r="7806" spans="6:9" x14ac:dyDescent="0.3">
      <c r="F7806"/>
      <c r="G7806"/>
      <c r="H7806"/>
      <c r="I7806"/>
    </row>
    <row r="7807" spans="6:9" x14ac:dyDescent="0.3">
      <c r="F7807"/>
      <c r="G7807"/>
      <c r="H7807"/>
      <c r="I7807"/>
    </row>
    <row r="7808" spans="6:9" x14ac:dyDescent="0.3">
      <c r="F7808"/>
      <c r="G7808"/>
      <c r="H7808"/>
      <c r="I7808"/>
    </row>
    <row r="7809" spans="6:9" x14ac:dyDescent="0.3">
      <c r="F7809"/>
      <c r="G7809"/>
      <c r="H7809"/>
      <c r="I7809"/>
    </row>
    <row r="7810" spans="6:9" x14ac:dyDescent="0.3">
      <c r="F7810"/>
      <c r="G7810"/>
      <c r="H7810"/>
      <c r="I7810"/>
    </row>
    <row r="7811" spans="6:9" x14ac:dyDescent="0.3">
      <c r="F7811"/>
      <c r="G7811"/>
      <c r="H7811"/>
      <c r="I7811"/>
    </row>
    <row r="7812" spans="6:9" x14ac:dyDescent="0.3">
      <c r="F7812"/>
      <c r="G7812"/>
      <c r="H7812"/>
      <c r="I7812"/>
    </row>
    <row r="7813" spans="6:9" x14ac:dyDescent="0.3">
      <c r="F7813"/>
      <c r="G7813"/>
      <c r="H7813"/>
      <c r="I7813"/>
    </row>
    <row r="7814" spans="6:9" x14ac:dyDescent="0.3">
      <c r="F7814"/>
      <c r="G7814"/>
      <c r="H7814"/>
      <c r="I7814"/>
    </row>
    <row r="7815" spans="6:9" x14ac:dyDescent="0.3">
      <c r="F7815"/>
      <c r="G7815"/>
      <c r="H7815"/>
      <c r="I7815"/>
    </row>
    <row r="7816" spans="6:9" x14ac:dyDescent="0.3">
      <c r="F7816"/>
      <c r="G7816"/>
      <c r="H7816"/>
      <c r="I7816"/>
    </row>
    <row r="7817" spans="6:9" x14ac:dyDescent="0.3">
      <c r="F7817"/>
      <c r="G7817"/>
      <c r="H7817"/>
      <c r="I7817"/>
    </row>
    <row r="7818" spans="6:9" x14ac:dyDescent="0.3">
      <c r="F7818"/>
      <c r="G7818"/>
      <c r="H7818"/>
      <c r="I7818"/>
    </row>
    <row r="7819" spans="6:9" x14ac:dyDescent="0.3">
      <c r="F7819"/>
      <c r="G7819"/>
      <c r="H7819"/>
      <c r="I7819"/>
    </row>
    <row r="7820" spans="6:9" x14ac:dyDescent="0.3">
      <c r="F7820"/>
      <c r="G7820"/>
      <c r="H7820"/>
      <c r="I7820"/>
    </row>
    <row r="7821" spans="6:9" x14ac:dyDescent="0.3">
      <c r="F7821"/>
      <c r="G7821"/>
      <c r="H7821"/>
      <c r="I7821"/>
    </row>
    <row r="7822" spans="6:9" x14ac:dyDescent="0.3">
      <c r="F7822"/>
      <c r="G7822"/>
      <c r="H7822"/>
      <c r="I7822"/>
    </row>
    <row r="7823" spans="6:9" x14ac:dyDescent="0.3">
      <c r="F7823"/>
      <c r="G7823"/>
      <c r="H7823"/>
      <c r="I7823"/>
    </row>
    <row r="7824" spans="6:9" x14ac:dyDescent="0.3">
      <c r="F7824"/>
      <c r="G7824"/>
      <c r="H7824"/>
      <c r="I7824"/>
    </row>
    <row r="7825" spans="6:9" x14ac:dyDescent="0.3">
      <c r="F7825"/>
      <c r="G7825"/>
      <c r="H7825"/>
      <c r="I7825"/>
    </row>
    <row r="7826" spans="6:9" x14ac:dyDescent="0.3">
      <c r="F7826"/>
      <c r="G7826"/>
      <c r="H7826"/>
      <c r="I7826"/>
    </row>
    <row r="7827" spans="6:9" x14ac:dyDescent="0.3">
      <c r="F7827"/>
      <c r="G7827"/>
      <c r="H7827"/>
      <c r="I7827"/>
    </row>
    <row r="7828" spans="6:9" x14ac:dyDescent="0.3">
      <c r="F7828"/>
      <c r="G7828"/>
      <c r="H7828"/>
      <c r="I7828"/>
    </row>
    <row r="7829" spans="6:9" x14ac:dyDescent="0.3">
      <c r="F7829"/>
      <c r="G7829"/>
      <c r="H7829"/>
      <c r="I7829"/>
    </row>
    <row r="7830" spans="6:9" x14ac:dyDescent="0.3">
      <c r="F7830"/>
      <c r="G7830"/>
      <c r="H7830"/>
      <c r="I7830"/>
    </row>
    <row r="7831" spans="6:9" x14ac:dyDescent="0.3">
      <c r="F7831"/>
      <c r="G7831"/>
      <c r="H7831"/>
      <c r="I7831"/>
    </row>
    <row r="7832" spans="6:9" x14ac:dyDescent="0.3">
      <c r="F7832"/>
      <c r="G7832"/>
      <c r="H7832"/>
      <c r="I7832"/>
    </row>
    <row r="7833" spans="6:9" x14ac:dyDescent="0.3">
      <c r="F7833"/>
      <c r="G7833"/>
      <c r="H7833"/>
      <c r="I7833"/>
    </row>
    <row r="7834" spans="6:9" x14ac:dyDescent="0.3">
      <c r="F7834"/>
      <c r="G7834"/>
      <c r="H7834"/>
      <c r="I7834"/>
    </row>
    <row r="7835" spans="6:9" x14ac:dyDescent="0.3">
      <c r="F7835"/>
      <c r="G7835"/>
      <c r="H7835"/>
      <c r="I7835"/>
    </row>
    <row r="7836" spans="6:9" x14ac:dyDescent="0.3">
      <c r="F7836"/>
      <c r="G7836"/>
      <c r="H7836"/>
      <c r="I7836"/>
    </row>
    <row r="7837" spans="6:9" x14ac:dyDescent="0.3">
      <c r="F7837"/>
      <c r="G7837"/>
      <c r="H7837"/>
      <c r="I7837"/>
    </row>
    <row r="7838" spans="6:9" x14ac:dyDescent="0.3">
      <c r="F7838"/>
      <c r="G7838"/>
      <c r="H7838"/>
      <c r="I7838"/>
    </row>
    <row r="7839" spans="6:9" x14ac:dyDescent="0.3">
      <c r="F7839"/>
      <c r="G7839"/>
      <c r="H7839"/>
      <c r="I7839"/>
    </row>
    <row r="7840" spans="6:9" x14ac:dyDescent="0.3">
      <c r="F7840"/>
      <c r="G7840"/>
      <c r="H7840"/>
      <c r="I7840"/>
    </row>
    <row r="7841" spans="6:9" x14ac:dyDescent="0.3">
      <c r="F7841"/>
      <c r="G7841"/>
      <c r="H7841"/>
      <c r="I7841"/>
    </row>
    <row r="7842" spans="6:9" x14ac:dyDescent="0.3">
      <c r="F7842"/>
      <c r="G7842"/>
      <c r="H7842"/>
      <c r="I7842"/>
    </row>
    <row r="7843" spans="6:9" x14ac:dyDescent="0.3">
      <c r="F7843"/>
      <c r="G7843"/>
      <c r="H7843"/>
      <c r="I7843"/>
    </row>
    <row r="7844" spans="6:9" x14ac:dyDescent="0.3">
      <c r="F7844"/>
      <c r="G7844"/>
      <c r="H7844"/>
      <c r="I7844"/>
    </row>
    <row r="7845" spans="6:9" x14ac:dyDescent="0.3">
      <c r="F7845"/>
      <c r="G7845"/>
      <c r="H7845"/>
      <c r="I7845"/>
    </row>
    <row r="7846" spans="6:9" x14ac:dyDescent="0.3">
      <c r="F7846"/>
      <c r="G7846"/>
      <c r="H7846"/>
      <c r="I7846"/>
    </row>
    <row r="7847" spans="6:9" x14ac:dyDescent="0.3">
      <c r="F7847"/>
      <c r="G7847"/>
      <c r="H7847"/>
      <c r="I7847"/>
    </row>
    <row r="7848" spans="6:9" x14ac:dyDescent="0.3">
      <c r="F7848"/>
      <c r="G7848"/>
      <c r="H7848"/>
      <c r="I7848"/>
    </row>
    <row r="7849" spans="6:9" x14ac:dyDescent="0.3">
      <c r="F7849"/>
      <c r="G7849"/>
      <c r="H7849"/>
      <c r="I7849"/>
    </row>
    <row r="7850" spans="6:9" x14ac:dyDescent="0.3">
      <c r="F7850"/>
      <c r="G7850"/>
      <c r="H7850"/>
      <c r="I7850"/>
    </row>
    <row r="7851" spans="6:9" x14ac:dyDescent="0.3">
      <c r="F7851"/>
      <c r="G7851"/>
      <c r="H7851"/>
      <c r="I7851"/>
    </row>
    <row r="7852" spans="6:9" x14ac:dyDescent="0.3">
      <c r="F7852"/>
      <c r="G7852"/>
      <c r="H7852"/>
      <c r="I7852"/>
    </row>
    <row r="7853" spans="6:9" x14ac:dyDescent="0.3">
      <c r="F7853"/>
      <c r="G7853"/>
      <c r="H7853"/>
      <c r="I7853"/>
    </row>
    <row r="7854" spans="6:9" x14ac:dyDescent="0.3">
      <c r="F7854"/>
      <c r="G7854"/>
      <c r="H7854"/>
      <c r="I7854"/>
    </row>
    <row r="7855" spans="6:9" x14ac:dyDescent="0.3">
      <c r="F7855"/>
      <c r="G7855"/>
      <c r="H7855"/>
      <c r="I7855"/>
    </row>
    <row r="7856" spans="6:9" x14ac:dyDescent="0.3">
      <c r="F7856"/>
      <c r="G7856"/>
      <c r="H7856"/>
      <c r="I7856"/>
    </row>
    <row r="7857" spans="6:9" x14ac:dyDescent="0.3">
      <c r="F7857"/>
      <c r="G7857"/>
      <c r="H7857"/>
      <c r="I7857"/>
    </row>
    <row r="7858" spans="6:9" x14ac:dyDescent="0.3">
      <c r="F7858"/>
      <c r="G7858"/>
      <c r="H7858"/>
      <c r="I7858"/>
    </row>
    <row r="7859" spans="6:9" x14ac:dyDescent="0.3">
      <c r="F7859"/>
      <c r="G7859"/>
      <c r="H7859"/>
      <c r="I7859"/>
    </row>
    <row r="7860" spans="6:9" x14ac:dyDescent="0.3">
      <c r="F7860"/>
      <c r="G7860"/>
      <c r="H7860"/>
      <c r="I7860"/>
    </row>
    <row r="7861" spans="6:9" x14ac:dyDescent="0.3">
      <c r="F7861"/>
      <c r="G7861"/>
      <c r="H7861"/>
      <c r="I7861"/>
    </row>
    <row r="7862" spans="6:9" x14ac:dyDescent="0.3">
      <c r="F7862"/>
      <c r="G7862"/>
      <c r="H7862"/>
      <c r="I7862"/>
    </row>
    <row r="7863" spans="6:9" x14ac:dyDescent="0.3">
      <c r="F7863"/>
      <c r="G7863"/>
      <c r="H7863"/>
      <c r="I7863"/>
    </row>
    <row r="7864" spans="6:9" x14ac:dyDescent="0.3">
      <c r="F7864"/>
      <c r="G7864"/>
      <c r="H7864"/>
      <c r="I7864"/>
    </row>
    <row r="7865" spans="6:9" x14ac:dyDescent="0.3">
      <c r="F7865"/>
      <c r="G7865"/>
      <c r="H7865"/>
      <c r="I7865"/>
    </row>
    <row r="7866" spans="6:9" x14ac:dyDescent="0.3">
      <c r="F7866"/>
      <c r="G7866"/>
      <c r="H7866"/>
      <c r="I7866"/>
    </row>
    <row r="7867" spans="6:9" x14ac:dyDescent="0.3">
      <c r="F7867"/>
      <c r="G7867"/>
      <c r="H7867"/>
      <c r="I7867"/>
    </row>
    <row r="7868" spans="6:9" x14ac:dyDescent="0.3">
      <c r="F7868"/>
      <c r="G7868"/>
      <c r="H7868"/>
      <c r="I7868"/>
    </row>
    <row r="7869" spans="6:9" x14ac:dyDescent="0.3">
      <c r="F7869"/>
      <c r="G7869"/>
      <c r="H7869"/>
      <c r="I7869"/>
    </row>
    <row r="7870" spans="6:9" x14ac:dyDescent="0.3">
      <c r="F7870"/>
      <c r="G7870"/>
      <c r="H7870"/>
      <c r="I7870"/>
    </row>
    <row r="7871" spans="6:9" x14ac:dyDescent="0.3">
      <c r="F7871"/>
      <c r="G7871"/>
      <c r="H7871"/>
      <c r="I7871"/>
    </row>
    <row r="7872" spans="6:9" x14ac:dyDescent="0.3">
      <c r="F7872"/>
      <c r="G7872"/>
      <c r="H7872"/>
      <c r="I7872"/>
    </row>
    <row r="7873" spans="6:9" x14ac:dyDescent="0.3">
      <c r="F7873"/>
      <c r="G7873"/>
      <c r="H7873"/>
      <c r="I7873"/>
    </row>
    <row r="7874" spans="6:9" x14ac:dyDescent="0.3">
      <c r="F7874"/>
      <c r="G7874"/>
      <c r="H7874"/>
      <c r="I7874"/>
    </row>
    <row r="7875" spans="6:9" x14ac:dyDescent="0.3">
      <c r="F7875"/>
      <c r="G7875"/>
      <c r="H7875"/>
      <c r="I7875"/>
    </row>
    <row r="7876" spans="6:9" x14ac:dyDescent="0.3">
      <c r="F7876"/>
      <c r="G7876"/>
      <c r="H7876"/>
      <c r="I7876"/>
    </row>
    <row r="7877" spans="6:9" x14ac:dyDescent="0.3">
      <c r="F7877"/>
      <c r="G7877"/>
      <c r="H7877"/>
      <c r="I7877"/>
    </row>
    <row r="7878" spans="6:9" x14ac:dyDescent="0.3">
      <c r="F7878"/>
      <c r="G7878"/>
      <c r="H7878"/>
      <c r="I7878"/>
    </row>
    <row r="7879" spans="6:9" x14ac:dyDescent="0.3">
      <c r="F7879"/>
      <c r="G7879"/>
      <c r="H7879"/>
      <c r="I7879"/>
    </row>
    <row r="7880" spans="6:9" x14ac:dyDescent="0.3">
      <c r="F7880"/>
      <c r="G7880"/>
      <c r="H7880"/>
      <c r="I7880"/>
    </row>
    <row r="7881" spans="6:9" x14ac:dyDescent="0.3">
      <c r="F7881"/>
      <c r="G7881"/>
      <c r="H7881"/>
      <c r="I7881"/>
    </row>
    <row r="7882" spans="6:9" x14ac:dyDescent="0.3">
      <c r="F7882"/>
      <c r="G7882"/>
      <c r="H7882"/>
      <c r="I7882"/>
    </row>
    <row r="7883" spans="6:9" x14ac:dyDescent="0.3">
      <c r="F7883"/>
      <c r="G7883"/>
      <c r="H7883"/>
      <c r="I7883"/>
    </row>
    <row r="7884" spans="6:9" x14ac:dyDescent="0.3">
      <c r="F7884"/>
      <c r="G7884"/>
      <c r="H7884"/>
      <c r="I7884"/>
    </row>
    <row r="7885" spans="6:9" x14ac:dyDescent="0.3">
      <c r="F7885"/>
      <c r="G7885"/>
      <c r="H7885"/>
      <c r="I7885"/>
    </row>
    <row r="7886" spans="6:9" x14ac:dyDescent="0.3">
      <c r="F7886"/>
      <c r="G7886"/>
      <c r="H7886"/>
      <c r="I7886"/>
    </row>
    <row r="7887" spans="6:9" x14ac:dyDescent="0.3">
      <c r="F7887"/>
      <c r="G7887"/>
      <c r="H7887"/>
      <c r="I7887"/>
    </row>
    <row r="7888" spans="6:9" x14ac:dyDescent="0.3">
      <c r="F7888"/>
      <c r="G7888"/>
      <c r="H7888"/>
      <c r="I7888"/>
    </row>
    <row r="7889" spans="6:9" x14ac:dyDescent="0.3">
      <c r="F7889"/>
      <c r="G7889"/>
      <c r="H7889"/>
      <c r="I7889"/>
    </row>
    <row r="7890" spans="6:9" x14ac:dyDescent="0.3">
      <c r="F7890"/>
      <c r="G7890"/>
      <c r="H7890"/>
      <c r="I7890"/>
    </row>
    <row r="7891" spans="6:9" x14ac:dyDescent="0.3">
      <c r="F7891"/>
      <c r="G7891"/>
      <c r="H7891"/>
      <c r="I7891"/>
    </row>
    <row r="7892" spans="6:9" x14ac:dyDescent="0.3">
      <c r="F7892"/>
      <c r="G7892"/>
      <c r="H7892"/>
      <c r="I7892"/>
    </row>
    <row r="7893" spans="6:9" x14ac:dyDescent="0.3">
      <c r="F7893"/>
      <c r="G7893"/>
      <c r="H7893"/>
      <c r="I7893"/>
    </row>
    <row r="7894" spans="6:9" x14ac:dyDescent="0.3">
      <c r="F7894"/>
      <c r="G7894"/>
      <c r="H7894"/>
      <c r="I7894"/>
    </row>
    <row r="7895" spans="6:9" x14ac:dyDescent="0.3">
      <c r="F7895"/>
      <c r="G7895"/>
      <c r="H7895"/>
      <c r="I7895"/>
    </row>
    <row r="7896" spans="6:9" x14ac:dyDescent="0.3">
      <c r="F7896"/>
      <c r="G7896"/>
      <c r="H7896"/>
      <c r="I7896"/>
    </row>
    <row r="7897" spans="6:9" x14ac:dyDescent="0.3">
      <c r="F7897"/>
      <c r="G7897"/>
      <c r="H7897"/>
      <c r="I7897"/>
    </row>
    <row r="7898" spans="6:9" x14ac:dyDescent="0.3">
      <c r="F7898"/>
      <c r="G7898"/>
      <c r="H7898"/>
      <c r="I7898"/>
    </row>
    <row r="7899" spans="6:9" x14ac:dyDescent="0.3">
      <c r="F7899"/>
      <c r="G7899"/>
      <c r="H7899"/>
      <c r="I7899"/>
    </row>
    <row r="7900" spans="6:9" x14ac:dyDescent="0.3">
      <c r="F7900"/>
      <c r="G7900"/>
      <c r="H7900"/>
      <c r="I7900"/>
    </row>
    <row r="7901" spans="6:9" x14ac:dyDescent="0.3">
      <c r="F7901"/>
      <c r="G7901"/>
      <c r="H7901"/>
      <c r="I7901"/>
    </row>
    <row r="7902" spans="6:9" x14ac:dyDescent="0.3">
      <c r="F7902"/>
      <c r="G7902"/>
      <c r="H7902"/>
      <c r="I7902"/>
    </row>
    <row r="7903" spans="6:9" x14ac:dyDescent="0.3">
      <c r="F7903"/>
      <c r="G7903"/>
      <c r="H7903"/>
      <c r="I7903"/>
    </row>
    <row r="7904" spans="6:9" x14ac:dyDescent="0.3">
      <c r="F7904"/>
      <c r="G7904"/>
      <c r="H7904"/>
      <c r="I7904"/>
    </row>
    <row r="7905" spans="6:9" x14ac:dyDescent="0.3">
      <c r="F7905"/>
      <c r="G7905"/>
      <c r="H7905"/>
      <c r="I7905"/>
    </row>
    <row r="7906" spans="6:9" x14ac:dyDescent="0.3">
      <c r="F7906"/>
      <c r="G7906"/>
      <c r="H7906"/>
      <c r="I7906"/>
    </row>
    <row r="7907" spans="6:9" x14ac:dyDescent="0.3">
      <c r="F7907"/>
      <c r="G7907"/>
      <c r="H7907"/>
      <c r="I7907"/>
    </row>
    <row r="7908" spans="6:9" x14ac:dyDescent="0.3">
      <c r="F7908"/>
      <c r="G7908"/>
      <c r="H7908"/>
      <c r="I7908"/>
    </row>
    <row r="7909" spans="6:9" x14ac:dyDescent="0.3">
      <c r="F7909"/>
      <c r="G7909"/>
      <c r="H7909"/>
      <c r="I7909"/>
    </row>
    <row r="7910" spans="6:9" x14ac:dyDescent="0.3">
      <c r="F7910"/>
      <c r="G7910"/>
      <c r="H7910"/>
      <c r="I7910"/>
    </row>
    <row r="7911" spans="6:9" x14ac:dyDescent="0.3">
      <c r="F7911"/>
      <c r="G7911"/>
      <c r="H7911"/>
      <c r="I7911"/>
    </row>
    <row r="7912" spans="6:9" x14ac:dyDescent="0.3">
      <c r="F7912"/>
      <c r="G7912"/>
      <c r="H7912"/>
      <c r="I7912"/>
    </row>
    <row r="7913" spans="6:9" x14ac:dyDescent="0.3">
      <c r="F7913"/>
      <c r="G7913"/>
      <c r="H7913"/>
      <c r="I7913"/>
    </row>
    <row r="7914" spans="6:9" x14ac:dyDescent="0.3">
      <c r="F7914"/>
      <c r="G7914"/>
      <c r="H7914"/>
      <c r="I7914"/>
    </row>
    <row r="7915" spans="6:9" x14ac:dyDescent="0.3">
      <c r="F7915"/>
      <c r="G7915"/>
      <c r="H7915"/>
      <c r="I7915"/>
    </row>
    <row r="7916" spans="6:9" x14ac:dyDescent="0.3">
      <c r="F7916"/>
      <c r="G7916"/>
      <c r="H7916"/>
      <c r="I7916"/>
    </row>
    <row r="7917" spans="6:9" x14ac:dyDescent="0.3">
      <c r="F7917"/>
      <c r="G7917"/>
      <c r="H7917"/>
      <c r="I7917"/>
    </row>
    <row r="7918" spans="6:9" x14ac:dyDescent="0.3">
      <c r="F7918"/>
      <c r="G7918"/>
      <c r="H7918"/>
      <c r="I7918"/>
    </row>
    <row r="7919" spans="6:9" x14ac:dyDescent="0.3">
      <c r="F7919"/>
      <c r="G7919"/>
      <c r="H7919"/>
      <c r="I7919"/>
    </row>
    <row r="7920" spans="6:9" x14ac:dyDescent="0.3">
      <c r="F7920"/>
      <c r="G7920"/>
      <c r="H7920"/>
      <c r="I7920"/>
    </row>
    <row r="7921" spans="6:9" x14ac:dyDescent="0.3">
      <c r="F7921"/>
      <c r="G7921"/>
      <c r="H7921"/>
      <c r="I7921"/>
    </row>
    <row r="7922" spans="6:9" x14ac:dyDescent="0.3">
      <c r="F7922"/>
      <c r="G7922"/>
      <c r="H7922"/>
      <c r="I7922"/>
    </row>
    <row r="7923" spans="6:9" x14ac:dyDescent="0.3">
      <c r="F7923"/>
      <c r="G7923"/>
      <c r="H7923"/>
      <c r="I7923"/>
    </row>
    <row r="7924" spans="6:9" x14ac:dyDescent="0.3">
      <c r="F7924"/>
      <c r="G7924"/>
      <c r="H7924"/>
      <c r="I7924"/>
    </row>
    <row r="7925" spans="6:9" x14ac:dyDescent="0.3">
      <c r="F7925"/>
      <c r="G7925"/>
      <c r="H7925"/>
      <c r="I7925"/>
    </row>
    <row r="7926" spans="6:9" x14ac:dyDescent="0.3">
      <c r="F7926"/>
      <c r="G7926"/>
      <c r="H7926"/>
      <c r="I7926"/>
    </row>
    <row r="7927" spans="6:9" x14ac:dyDescent="0.3">
      <c r="F7927"/>
      <c r="G7927"/>
      <c r="H7927"/>
      <c r="I7927"/>
    </row>
    <row r="7928" spans="6:9" x14ac:dyDescent="0.3">
      <c r="F7928"/>
      <c r="G7928"/>
      <c r="H7928"/>
      <c r="I7928"/>
    </row>
    <row r="7929" spans="6:9" x14ac:dyDescent="0.3">
      <c r="F7929"/>
      <c r="G7929"/>
      <c r="H7929"/>
      <c r="I7929"/>
    </row>
    <row r="7930" spans="6:9" x14ac:dyDescent="0.3">
      <c r="F7930"/>
      <c r="G7930"/>
      <c r="H7930"/>
      <c r="I7930"/>
    </row>
    <row r="7931" spans="6:9" x14ac:dyDescent="0.3">
      <c r="F7931"/>
      <c r="G7931"/>
      <c r="H7931"/>
      <c r="I7931"/>
    </row>
    <row r="7932" spans="6:9" x14ac:dyDescent="0.3">
      <c r="F7932"/>
      <c r="G7932"/>
      <c r="H7932"/>
      <c r="I7932"/>
    </row>
    <row r="7933" spans="6:9" x14ac:dyDescent="0.3">
      <c r="F7933"/>
      <c r="G7933"/>
      <c r="H7933"/>
      <c r="I7933"/>
    </row>
    <row r="7934" spans="6:9" x14ac:dyDescent="0.3">
      <c r="F7934"/>
      <c r="G7934"/>
      <c r="H7934"/>
      <c r="I7934"/>
    </row>
    <row r="7935" spans="6:9" x14ac:dyDescent="0.3">
      <c r="F7935"/>
      <c r="G7935"/>
      <c r="H7935"/>
      <c r="I7935"/>
    </row>
    <row r="7936" spans="6:9" x14ac:dyDescent="0.3">
      <c r="F7936"/>
      <c r="G7936"/>
      <c r="H7936"/>
      <c r="I7936"/>
    </row>
    <row r="7937" spans="6:9" x14ac:dyDescent="0.3">
      <c r="F7937"/>
      <c r="G7937"/>
      <c r="H7937"/>
      <c r="I7937"/>
    </row>
    <row r="7938" spans="6:9" x14ac:dyDescent="0.3">
      <c r="F7938"/>
      <c r="G7938"/>
      <c r="H7938"/>
      <c r="I7938"/>
    </row>
    <row r="7939" spans="6:9" x14ac:dyDescent="0.3">
      <c r="F7939"/>
      <c r="G7939"/>
      <c r="H7939"/>
      <c r="I7939"/>
    </row>
    <row r="7940" spans="6:9" x14ac:dyDescent="0.3">
      <c r="F7940"/>
      <c r="G7940"/>
      <c r="H7940"/>
      <c r="I7940"/>
    </row>
    <row r="7941" spans="6:9" x14ac:dyDescent="0.3">
      <c r="F7941"/>
      <c r="G7941"/>
      <c r="H7941"/>
      <c r="I7941"/>
    </row>
    <row r="7942" spans="6:9" x14ac:dyDescent="0.3">
      <c r="F7942"/>
      <c r="G7942"/>
      <c r="H7942"/>
      <c r="I7942"/>
    </row>
    <row r="7943" spans="6:9" x14ac:dyDescent="0.3">
      <c r="F7943"/>
      <c r="G7943"/>
      <c r="H7943"/>
      <c r="I7943"/>
    </row>
    <row r="7944" spans="6:9" x14ac:dyDescent="0.3">
      <c r="F7944"/>
      <c r="G7944"/>
      <c r="H7944"/>
      <c r="I7944"/>
    </row>
    <row r="7945" spans="6:9" x14ac:dyDescent="0.3">
      <c r="F7945"/>
      <c r="G7945"/>
      <c r="H7945"/>
      <c r="I7945"/>
    </row>
    <row r="7946" spans="6:9" x14ac:dyDescent="0.3">
      <c r="F7946"/>
      <c r="G7946"/>
      <c r="H7946"/>
      <c r="I7946"/>
    </row>
    <row r="7947" spans="6:9" x14ac:dyDescent="0.3">
      <c r="F7947"/>
      <c r="G7947"/>
      <c r="H7947"/>
      <c r="I7947"/>
    </row>
    <row r="7948" spans="6:9" x14ac:dyDescent="0.3">
      <c r="F7948"/>
      <c r="G7948"/>
      <c r="H7948"/>
      <c r="I7948"/>
    </row>
    <row r="7949" spans="6:9" x14ac:dyDescent="0.3">
      <c r="F7949"/>
      <c r="G7949"/>
      <c r="H7949"/>
      <c r="I7949"/>
    </row>
    <row r="7950" spans="6:9" x14ac:dyDescent="0.3">
      <c r="F7950"/>
      <c r="G7950"/>
      <c r="H7950"/>
      <c r="I7950"/>
    </row>
    <row r="7951" spans="6:9" x14ac:dyDescent="0.3">
      <c r="F7951"/>
      <c r="G7951"/>
      <c r="H7951"/>
      <c r="I7951"/>
    </row>
    <row r="7952" spans="6:9" x14ac:dyDescent="0.3">
      <c r="F7952"/>
      <c r="G7952"/>
      <c r="H7952"/>
      <c r="I7952"/>
    </row>
    <row r="7953" spans="6:9" x14ac:dyDescent="0.3">
      <c r="F7953"/>
      <c r="G7953"/>
      <c r="H7953"/>
      <c r="I7953"/>
    </row>
    <row r="7954" spans="6:9" x14ac:dyDescent="0.3">
      <c r="F7954"/>
      <c r="G7954"/>
      <c r="H7954"/>
      <c r="I7954"/>
    </row>
    <row r="7955" spans="6:9" x14ac:dyDescent="0.3">
      <c r="F7955"/>
      <c r="G7955"/>
      <c r="H7955"/>
      <c r="I7955"/>
    </row>
    <row r="7956" spans="6:9" x14ac:dyDescent="0.3">
      <c r="F7956"/>
      <c r="G7956"/>
      <c r="H7956"/>
      <c r="I7956"/>
    </row>
    <row r="7957" spans="6:9" x14ac:dyDescent="0.3">
      <c r="F7957"/>
      <c r="G7957"/>
      <c r="H7957"/>
      <c r="I7957"/>
    </row>
    <row r="7958" spans="6:9" x14ac:dyDescent="0.3">
      <c r="F7958"/>
      <c r="G7958"/>
      <c r="H7958"/>
      <c r="I7958"/>
    </row>
    <row r="7959" spans="6:9" x14ac:dyDescent="0.3">
      <c r="F7959"/>
      <c r="G7959"/>
      <c r="H7959"/>
      <c r="I7959"/>
    </row>
    <row r="7960" spans="6:9" x14ac:dyDescent="0.3">
      <c r="F7960"/>
      <c r="G7960"/>
      <c r="H7960"/>
      <c r="I7960"/>
    </row>
    <row r="7961" spans="6:9" x14ac:dyDescent="0.3">
      <c r="F7961"/>
      <c r="G7961"/>
      <c r="H7961"/>
      <c r="I7961"/>
    </row>
    <row r="7962" spans="6:9" x14ac:dyDescent="0.3">
      <c r="F7962"/>
      <c r="G7962"/>
      <c r="H7962"/>
      <c r="I7962"/>
    </row>
    <row r="7963" spans="6:9" x14ac:dyDescent="0.3">
      <c r="F7963"/>
      <c r="G7963"/>
      <c r="H7963"/>
      <c r="I7963"/>
    </row>
    <row r="7964" spans="6:9" x14ac:dyDescent="0.3">
      <c r="F7964"/>
      <c r="G7964"/>
      <c r="H7964"/>
      <c r="I7964"/>
    </row>
    <row r="7965" spans="6:9" x14ac:dyDescent="0.3">
      <c r="F7965"/>
      <c r="G7965"/>
      <c r="H7965"/>
      <c r="I7965"/>
    </row>
    <row r="7966" spans="6:9" x14ac:dyDescent="0.3">
      <c r="F7966"/>
      <c r="G7966"/>
      <c r="H7966"/>
      <c r="I7966"/>
    </row>
    <row r="7967" spans="6:9" x14ac:dyDescent="0.3">
      <c r="F7967"/>
      <c r="G7967"/>
      <c r="H7967"/>
      <c r="I7967"/>
    </row>
    <row r="7968" spans="6:9" x14ac:dyDescent="0.3">
      <c r="F7968"/>
      <c r="G7968"/>
      <c r="H7968"/>
      <c r="I7968"/>
    </row>
    <row r="7969" spans="6:9" x14ac:dyDescent="0.3">
      <c r="F7969"/>
      <c r="G7969"/>
      <c r="H7969"/>
      <c r="I7969"/>
    </row>
    <row r="7970" spans="6:9" x14ac:dyDescent="0.3">
      <c r="F7970"/>
      <c r="G7970"/>
      <c r="H7970"/>
      <c r="I7970"/>
    </row>
    <row r="7971" spans="6:9" x14ac:dyDescent="0.3">
      <c r="F7971"/>
      <c r="G7971"/>
      <c r="H7971"/>
      <c r="I7971"/>
    </row>
    <row r="7972" spans="6:9" x14ac:dyDescent="0.3">
      <c r="F7972"/>
      <c r="G7972"/>
      <c r="H7972"/>
      <c r="I7972"/>
    </row>
    <row r="7973" spans="6:9" x14ac:dyDescent="0.3">
      <c r="F7973"/>
      <c r="G7973"/>
      <c r="H7973"/>
      <c r="I7973"/>
    </row>
    <row r="7974" spans="6:9" x14ac:dyDescent="0.3">
      <c r="F7974"/>
      <c r="G7974"/>
      <c r="H7974"/>
      <c r="I7974"/>
    </row>
    <row r="7975" spans="6:9" x14ac:dyDescent="0.3">
      <c r="F7975"/>
      <c r="G7975"/>
      <c r="H7975"/>
      <c r="I7975"/>
    </row>
    <row r="7976" spans="6:9" x14ac:dyDescent="0.3">
      <c r="F7976"/>
      <c r="G7976"/>
      <c r="H7976"/>
      <c r="I7976"/>
    </row>
    <row r="7977" spans="6:9" x14ac:dyDescent="0.3">
      <c r="F7977"/>
      <c r="G7977"/>
      <c r="H7977"/>
      <c r="I7977"/>
    </row>
    <row r="7978" spans="6:9" x14ac:dyDescent="0.3">
      <c r="F7978"/>
      <c r="G7978"/>
      <c r="H7978"/>
      <c r="I7978"/>
    </row>
    <row r="7979" spans="6:9" x14ac:dyDescent="0.3">
      <c r="F7979"/>
      <c r="G7979"/>
      <c r="H7979"/>
      <c r="I7979"/>
    </row>
    <row r="7980" spans="6:9" x14ac:dyDescent="0.3">
      <c r="F7980"/>
      <c r="G7980"/>
      <c r="H7980"/>
      <c r="I7980"/>
    </row>
    <row r="7981" spans="6:9" x14ac:dyDescent="0.3">
      <c r="F7981"/>
      <c r="G7981"/>
      <c r="H7981"/>
      <c r="I7981"/>
    </row>
    <row r="7982" spans="6:9" x14ac:dyDescent="0.3">
      <c r="F7982"/>
      <c r="G7982"/>
      <c r="H7982"/>
      <c r="I7982"/>
    </row>
    <row r="7983" spans="6:9" x14ac:dyDescent="0.3">
      <c r="F7983"/>
      <c r="G7983"/>
      <c r="H7983"/>
      <c r="I7983"/>
    </row>
    <row r="7984" spans="6:9" x14ac:dyDescent="0.3">
      <c r="F7984"/>
      <c r="G7984"/>
      <c r="H7984"/>
      <c r="I7984"/>
    </row>
    <row r="7985" spans="6:9" x14ac:dyDescent="0.3">
      <c r="F7985"/>
      <c r="G7985"/>
      <c r="H7985"/>
      <c r="I7985"/>
    </row>
    <row r="7986" spans="6:9" x14ac:dyDescent="0.3">
      <c r="F7986"/>
      <c r="G7986"/>
      <c r="H7986"/>
      <c r="I7986"/>
    </row>
    <row r="7987" spans="6:9" x14ac:dyDescent="0.3">
      <c r="F7987"/>
      <c r="G7987"/>
      <c r="H7987"/>
      <c r="I7987"/>
    </row>
    <row r="7988" spans="6:9" x14ac:dyDescent="0.3">
      <c r="F7988"/>
      <c r="G7988"/>
      <c r="H7988"/>
      <c r="I7988"/>
    </row>
    <row r="7989" spans="6:9" x14ac:dyDescent="0.3">
      <c r="F7989"/>
      <c r="G7989"/>
      <c r="H7989"/>
      <c r="I7989"/>
    </row>
    <row r="7990" spans="6:9" x14ac:dyDescent="0.3">
      <c r="F7990"/>
      <c r="G7990"/>
      <c r="H7990"/>
      <c r="I7990"/>
    </row>
    <row r="7991" spans="6:9" x14ac:dyDescent="0.3">
      <c r="F7991"/>
      <c r="G7991"/>
      <c r="H7991"/>
      <c r="I7991"/>
    </row>
    <row r="7992" spans="6:9" x14ac:dyDescent="0.3">
      <c r="F7992"/>
      <c r="G7992"/>
      <c r="H7992"/>
      <c r="I7992"/>
    </row>
    <row r="7993" spans="6:9" x14ac:dyDescent="0.3">
      <c r="F7993"/>
      <c r="G7993"/>
      <c r="H7993"/>
      <c r="I7993"/>
    </row>
    <row r="7994" spans="6:9" x14ac:dyDescent="0.3">
      <c r="F7994"/>
      <c r="G7994"/>
      <c r="H7994"/>
      <c r="I7994"/>
    </row>
    <row r="7995" spans="6:9" x14ac:dyDescent="0.3">
      <c r="F7995"/>
      <c r="G7995"/>
      <c r="H7995"/>
      <c r="I7995"/>
    </row>
    <row r="7996" spans="6:9" x14ac:dyDescent="0.3">
      <c r="F7996"/>
      <c r="G7996"/>
      <c r="H7996"/>
      <c r="I7996"/>
    </row>
    <row r="7997" spans="6:9" x14ac:dyDescent="0.3">
      <c r="F7997"/>
      <c r="G7997"/>
      <c r="H7997"/>
      <c r="I7997"/>
    </row>
    <row r="7998" spans="6:9" x14ac:dyDescent="0.3">
      <c r="F7998"/>
      <c r="G7998"/>
      <c r="H7998"/>
      <c r="I7998"/>
    </row>
    <row r="7999" spans="6:9" x14ac:dyDescent="0.3">
      <c r="F7999"/>
      <c r="G7999"/>
      <c r="H7999"/>
      <c r="I7999"/>
    </row>
    <row r="8000" spans="6:9" x14ac:dyDescent="0.3">
      <c r="F8000"/>
      <c r="G8000"/>
      <c r="H8000"/>
      <c r="I8000"/>
    </row>
    <row r="8001" spans="6:9" x14ac:dyDescent="0.3">
      <c r="F8001"/>
      <c r="G8001"/>
      <c r="H8001"/>
      <c r="I8001"/>
    </row>
    <row r="8002" spans="6:9" x14ac:dyDescent="0.3">
      <c r="F8002"/>
      <c r="G8002"/>
      <c r="H8002"/>
      <c r="I8002"/>
    </row>
    <row r="8003" spans="6:9" x14ac:dyDescent="0.3">
      <c r="F8003"/>
      <c r="G8003"/>
      <c r="H8003"/>
      <c r="I8003"/>
    </row>
    <row r="8004" spans="6:9" x14ac:dyDescent="0.3">
      <c r="F8004"/>
      <c r="G8004"/>
      <c r="H8004"/>
      <c r="I8004"/>
    </row>
    <row r="8005" spans="6:9" x14ac:dyDescent="0.3">
      <c r="F8005"/>
      <c r="G8005"/>
      <c r="H8005"/>
      <c r="I8005"/>
    </row>
    <row r="8006" spans="6:9" x14ac:dyDescent="0.3">
      <c r="F8006"/>
      <c r="G8006"/>
      <c r="H8006"/>
      <c r="I8006"/>
    </row>
    <row r="8007" spans="6:9" x14ac:dyDescent="0.3">
      <c r="F8007"/>
      <c r="G8007"/>
      <c r="H8007"/>
      <c r="I8007"/>
    </row>
    <row r="8008" spans="6:9" x14ac:dyDescent="0.3">
      <c r="F8008"/>
      <c r="G8008"/>
      <c r="H8008"/>
      <c r="I8008"/>
    </row>
    <row r="8009" spans="6:9" x14ac:dyDescent="0.3">
      <c r="F8009"/>
      <c r="G8009"/>
      <c r="H8009"/>
      <c r="I8009"/>
    </row>
    <row r="8010" spans="6:9" x14ac:dyDescent="0.3">
      <c r="F8010"/>
      <c r="G8010"/>
      <c r="H8010"/>
      <c r="I8010"/>
    </row>
    <row r="8011" spans="6:9" x14ac:dyDescent="0.3">
      <c r="F8011"/>
      <c r="G8011"/>
      <c r="H8011"/>
      <c r="I8011"/>
    </row>
    <row r="8012" spans="6:9" x14ac:dyDescent="0.3">
      <c r="F8012"/>
      <c r="G8012"/>
      <c r="H8012"/>
      <c r="I8012"/>
    </row>
    <row r="8013" spans="6:9" x14ac:dyDescent="0.3">
      <c r="F8013"/>
      <c r="G8013"/>
      <c r="H8013"/>
      <c r="I8013"/>
    </row>
    <row r="8014" spans="6:9" x14ac:dyDescent="0.3">
      <c r="F8014"/>
      <c r="G8014"/>
      <c r="H8014"/>
      <c r="I8014"/>
    </row>
    <row r="8015" spans="6:9" x14ac:dyDescent="0.3">
      <c r="F8015"/>
      <c r="G8015"/>
      <c r="H8015"/>
      <c r="I8015"/>
    </row>
    <row r="8016" spans="6:9" x14ac:dyDescent="0.3">
      <c r="F8016"/>
      <c r="G8016"/>
      <c r="H8016"/>
      <c r="I8016"/>
    </row>
    <row r="8017" spans="6:9" x14ac:dyDescent="0.3">
      <c r="F8017"/>
      <c r="G8017"/>
      <c r="H8017"/>
      <c r="I8017"/>
    </row>
    <row r="8018" spans="6:9" x14ac:dyDescent="0.3">
      <c r="F8018"/>
      <c r="G8018"/>
      <c r="H8018"/>
      <c r="I8018"/>
    </row>
    <row r="8019" spans="6:9" x14ac:dyDescent="0.3">
      <c r="F8019"/>
      <c r="G8019"/>
      <c r="H8019"/>
      <c r="I8019"/>
    </row>
    <row r="8020" spans="6:9" x14ac:dyDescent="0.3">
      <c r="F8020"/>
      <c r="G8020"/>
      <c r="H8020"/>
      <c r="I8020"/>
    </row>
    <row r="8021" spans="6:9" x14ac:dyDescent="0.3">
      <c r="F8021"/>
      <c r="G8021"/>
      <c r="H8021"/>
      <c r="I8021"/>
    </row>
    <row r="8022" spans="6:9" x14ac:dyDescent="0.3">
      <c r="F8022"/>
      <c r="G8022"/>
      <c r="H8022"/>
      <c r="I8022"/>
    </row>
    <row r="8023" spans="6:9" x14ac:dyDescent="0.3">
      <c r="F8023"/>
      <c r="G8023"/>
      <c r="H8023"/>
      <c r="I8023"/>
    </row>
    <row r="8024" spans="6:9" x14ac:dyDescent="0.3">
      <c r="F8024"/>
      <c r="G8024"/>
      <c r="H8024"/>
      <c r="I8024"/>
    </row>
    <row r="8025" spans="6:9" x14ac:dyDescent="0.3">
      <c r="F8025"/>
      <c r="G8025"/>
      <c r="H8025"/>
      <c r="I8025"/>
    </row>
    <row r="8026" spans="6:9" x14ac:dyDescent="0.3">
      <c r="F8026"/>
      <c r="G8026"/>
      <c r="H8026"/>
      <c r="I8026"/>
    </row>
    <row r="8027" spans="6:9" x14ac:dyDescent="0.3">
      <c r="F8027"/>
      <c r="G8027"/>
      <c r="H8027"/>
      <c r="I8027"/>
    </row>
    <row r="8028" spans="6:9" x14ac:dyDescent="0.3">
      <c r="F8028"/>
      <c r="G8028"/>
      <c r="H8028"/>
      <c r="I8028"/>
    </row>
    <row r="8029" spans="6:9" x14ac:dyDescent="0.3">
      <c r="F8029"/>
      <c r="G8029"/>
      <c r="H8029"/>
      <c r="I8029"/>
    </row>
    <row r="8030" spans="6:9" x14ac:dyDescent="0.3">
      <c r="F8030"/>
      <c r="G8030"/>
      <c r="H8030"/>
      <c r="I8030"/>
    </row>
    <row r="8031" spans="6:9" x14ac:dyDescent="0.3">
      <c r="F8031"/>
      <c r="G8031"/>
      <c r="H8031"/>
      <c r="I8031"/>
    </row>
    <row r="8032" spans="6:9" x14ac:dyDescent="0.3">
      <c r="F8032"/>
      <c r="G8032"/>
      <c r="H8032"/>
      <c r="I8032"/>
    </row>
    <row r="8033" spans="6:9" x14ac:dyDescent="0.3">
      <c r="F8033"/>
      <c r="G8033"/>
      <c r="H8033"/>
      <c r="I8033"/>
    </row>
    <row r="8034" spans="6:9" x14ac:dyDescent="0.3">
      <c r="F8034"/>
      <c r="G8034"/>
      <c r="H8034"/>
      <c r="I8034"/>
    </row>
    <row r="8035" spans="6:9" x14ac:dyDescent="0.3">
      <c r="F8035"/>
      <c r="G8035"/>
      <c r="H8035"/>
      <c r="I8035"/>
    </row>
    <row r="8036" spans="6:9" x14ac:dyDescent="0.3">
      <c r="F8036"/>
      <c r="G8036"/>
      <c r="H8036"/>
      <c r="I8036"/>
    </row>
    <row r="8037" spans="6:9" x14ac:dyDescent="0.3">
      <c r="F8037"/>
      <c r="G8037"/>
      <c r="H8037"/>
      <c r="I8037"/>
    </row>
    <row r="8038" spans="6:9" x14ac:dyDescent="0.3">
      <c r="F8038"/>
      <c r="G8038"/>
      <c r="H8038"/>
      <c r="I8038"/>
    </row>
    <row r="8039" spans="6:9" x14ac:dyDescent="0.3">
      <c r="F8039"/>
      <c r="G8039"/>
      <c r="H8039"/>
      <c r="I8039"/>
    </row>
    <row r="8040" spans="6:9" x14ac:dyDescent="0.3">
      <c r="F8040"/>
      <c r="G8040"/>
      <c r="H8040"/>
      <c r="I8040"/>
    </row>
    <row r="8041" spans="6:9" x14ac:dyDescent="0.3">
      <c r="F8041"/>
      <c r="G8041"/>
      <c r="H8041"/>
      <c r="I8041"/>
    </row>
    <row r="8042" spans="6:9" x14ac:dyDescent="0.3">
      <c r="F8042"/>
      <c r="G8042"/>
      <c r="H8042"/>
      <c r="I8042"/>
    </row>
    <row r="8043" spans="6:9" x14ac:dyDescent="0.3">
      <c r="F8043"/>
      <c r="G8043"/>
      <c r="H8043"/>
      <c r="I8043"/>
    </row>
    <row r="8044" spans="6:9" x14ac:dyDescent="0.3">
      <c r="F8044"/>
      <c r="G8044"/>
      <c r="H8044"/>
      <c r="I8044"/>
    </row>
    <row r="8045" spans="6:9" x14ac:dyDescent="0.3">
      <c r="F8045"/>
      <c r="G8045"/>
      <c r="H8045"/>
      <c r="I8045"/>
    </row>
    <row r="8046" spans="6:9" x14ac:dyDescent="0.3">
      <c r="F8046"/>
      <c r="G8046"/>
      <c r="H8046"/>
      <c r="I8046"/>
    </row>
    <row r="8047" spans="6:9" x14ac:dyDescent="0.3">
      <c r="F8047"/>
      <c r="G8047"/>
      <c r="H8047"/>
      <c r="I8047"/>
    </row>
    <row r="8048" spans="6:9" x14ac:dyDescent="0.3">
      <c r="F8048"/>
      <c r="G8048"/>
      <c r="H8048"/>
      <c r="I8048"/>
    </row>
    <row r="8049" spans="6:9" x14ac:dyDescent="0.3">
      <c r="F8049"/>
      <c r="G8049"/>
      <c r="H8049"/>
      <c r="I8049"/>
    </row>
    <row r="8050" spans="6:9" x14ac:dyDescent="0.3">
      <c r="F8050"/>
      <c r="G8050"/>
      <c r="H8050"/>
      <c r="I8050"/>
    </row>
    <row r="8051" spans="6:9" x14ac:dyDescent="0.3">
      <c r="F8051"/>
      <c r="G8051"/>
      <c r="H8051"/>
      <c r="I8051"/>
    </row>
    <row r="8052" spans="6:9" x14ac:dyDescent="0.3">
      <c r="F8052"/>
      <c r="G8052"/>
      <c r="H8052"/>
      <c r="I8052"/>
    </row>
    <row r="8053" spans="6:9" x14ac:dyDescent="0.3">
      <c r="F8053"/>
      <c r="G8053"/>
      <c r="H8053"/>
      <c r="I8053"/>
    </row>
    <row r="8054" spans="6:9" x14ac:dyDescent="0.3">
      <c r="F8054"/>
      <c r="G8054"/>
      <c r="H8054"/>
      <c r="I8054"/>
    </row>
    <row r="8055" spans="6:9" x14ac:dyDescent="0.3">
      <c r="F8055"/>
      <c r="G8055"/>
      <c r="H8055"/>
      <c r="I8055"/>
    </row>
    <row r="8056" spans="6:9" x14ac:dyDescent="0.3">
      <c r="F8056"/>
      <c r="G8056"/>
      <c r="H8056"/>
      <c r="I8056"/>
    </row>
    <row r="8057" spans="6:9" x14ac:dyDescent="0.3">
      <c r="F8057"/>
      <c r="G8057"/>
      <c r="H8057"/>
      <c r="I8057"/>
    </row>
    <row r="8058" spans="6:9" x14ac:dyDescent="0.3">
      <c r="F8058"/>
      <c r="G8058"/>
      <c r="H8058"/>
      <c r="I8058"/>
    </row>
    <row r="8059" spans="6:9" x14ac:dyDescent="0.3">
      <c r="F8059"/>
      <c r="G8059"/>
      <c r="H8059"/>
      <c r="I8059"/>
    </row>
    <row r="8060" spans="6:9" x14ac:dyDescent="0.3">
      <c r="F8060"/>
      <c r="G8060"/>
      <c r="H8060"/>
      <c r="I8060"/>
    </row>
    <row r="8061" spans="6:9" x14ac:dyDescent="0.3">
      <c r="F8061"/>
      <c r="G8061"/>
      <c r="H8061"/>
      <c r="I8061"/>
    </row>
    <row r="8062" spans="6:9" x14ac:dyDescent="0.3">
      <c r="F8062"/>
      <c r="G8062"/>
      <c r="H8062"/>
      <c r="I8062"/>
    </row>
    <row r="8063" spans="6:9" x14ac:dyDescent="0.3">
      <c r="F8063"/>
      <c r="G8063"/>
      <c r="H8063"/>
      <c r="I8063"/>
    </row>
    <row r="8064" spans="6:9" x14ac:dyDescent="0.3">
      <c r="F8064"/>
      <c r="G8064"/>
      <c r="H8064"/>
      <c r="I8064"/>
    </row>
    <row r="8065" spans="6:9" x14ac:dyDescent="0.3">
      <c r="F8065"/>
      <c r="G8065"/>
      <c r="H8065"/>
      <c r="I8065"/>
    </row>
    <row r="8066" spans="6:9" x14ac:dyDescent="0.3">
      <c r="F8066"/>
      <c r="G8066"/>
      <c r="H8066"/>
      <c r="I8066"/>
    </row>
    <row r="8067" spans="6:9" x14ac:dyDescent="0.3">
      <c r="F8067"/>
      <c r="G8067"/>
      <c r="H8067"/>
      <c r="I8067"/>
    </row>
    <row r="8068" spans="6:9" x14ac:dyDescent="0.3">
      <c r="F8068"/>
      <c r="G8068"/>
      <c r="H8068"/>
      <c r="I8068"/>
    </row>
    <row r="8069" spans="6:9" x14ac:dyDescent="0.3">
      <c r="F8069"/>
      <c r="G8069"/>
      <c r="H8069"/>
      <c r="I8069"/>
    </row>
    <row r="8070" spans="6:9" x14ac:dyDescent="0.3">
      <c r="F8070"/>
      <c r="G8070"/>
      <c r="H8070"/>
      <c r="I8070"/>
    </row>
    <row r="8071" spans="6:9" x14ac:dyDescent="0.3">
      <c r="F8071"/>
      <c r="G8071"/>
      <c r="H8071"/>
      <c r="I8071"/>
    </row>
    <row r="8072" spans="6:9" x14ac:dyDescent="0.3">
      <c r="F8072"/>
      <c r="G8072"/>
      <c r="H8072"/>
      <c r="I8072"/>
    </row>
    <row r="8073" spans="6:9" x14ac:dyDescent="0.3">
      <c r="F8073"/>
      <c r="G8073"/>
      <c r="H8073"/>
      <c r="I8073"/>
    </row>
    <row r="8074" spans="6:9" x14ac:dyDescent="0.3">
      <c r="F8074"/>
      <c r="G8074"/>
      <c r="H8074"/>
      <c r="I8074"/>
    </row>
    <row r="8075" spans="6:9" x14ac:dyDescent="0.3">
      <c r="F8075"/>
      <c r="G8075"/>
      <c r="H8075"/>
      <c r="I8075"/>
    </row>
    <row r="8076" spans="6:9" x14ac:dyDescent="0.3">
      <c r="F8076"/>
      <c r="G8076"/>
      <c r="H8076"/>
      <c r="I8076"/>
    </row>
    <row r="8077" spans="6:9" x14ac:dyDescent="0.3">
      <c r="F8077"/>
      <c r="G8077"/>
      <c r="H8077"/>
      <c r="I8077"/>
    </row>
    <row r="8078" spans="6:9" x14ac:dyDescent="0.3">
      <c r="F8078"/>
      <c r="G8078"/>
      <c r="H8078"/>
      <c r="I8078"/>
    </row>
    <row r="8079" spans="6:9" x14ac:dyDescent="0.3">
      <c r="F8079"/>
      <c r="G8079"/>
      <c r="H8079"/>
      <c r="I8079"/>
    </row>
    <row r="8080" spans="6:9" x14ac:dyDescent="0.3">
      <c r="F8080"/>
      <c r="G8080"/>
      <c r="H8080"/>
      <c r="I8080"/>
    </row>
    <row r="8081" spans="6:9" x14ac:dyDescent="0.3">
      <c r="F8081"/>
      <c r="G8081"/>
      <c r="H8081"/>
      <c r="I8081"/>
    </row>
    <row r="8082" spans="6:9" x14ac:dyDescent="0.3">
      <c r="F8082"/>
      <c r="G8082"/>
      <c r="H8082"/>
      <c r="I8082"/>
    </row>
    <row r="8083" spans="6:9" x14ac:dyDescent="0.3">
      <c r="F8083"/>
      <c r="G8083"/>
      <c r="H8083"/>
      <c r="I8083"/>
    </row>
    <row r="8084" spans="6:9" x14ac:dyDescent="0.3">
      <c r="F8084"/>
      <c r="G8084"/>
      <c r="H8084"/>
      <c r="I8084"/>
    </row>
    <row r="8085" spans="6:9" x14ac:dyDescent="0.3">
      <c r="F8085"/>
      <c r="G8085"/>
      <c r="H8085"/>
      <c r="I8085"/>
    </row>
    <row r="8086" spans="6:9" x14ac:dyDescent="0.3">
      <c r="F8086"/>
      <c r="G8086"/>
      <c r="H8086"/>
      <c r="I8086"/>
    </row>
    <row r="8087" spans="6:9" x14ac:dyDescent="0.3">
      <c r="F8087"/>
      <c r="G8087"/>
      <c r="H8087"/>
      <c r="I8087"/>
    </row>
    <row r="8088" spans="6:9" x14ac:dyDescent="0.3">
      <c r="F8088"/>
      <c r="G8088"/>
      <c r="H8088"/>
      <c r="I8088"/>
    </row>
    <row r="8089" spans="6:9" x14ac:dyDescent="0.3">
      <c r="F8089"/>
      <c r="G8089"/>
      <c r="H8089"/>
      <c r="I8089"/>
    </row>
    <row r="8090" spans="6:9" x14ac:dyDescent="0.3">
      <c r="F8090"/>
      <c r="G8090"/>
      <c r="H8090"/>
      <c r="I8090"/>
    </row>
    <row r="8091" spans="6:9" x14ac:dyDescent="0.3">
      <c r="F8091"/>
      <c r="G8091"/>
      <c r="H8091"/>
      <c r="I8091"/>
    </row>
    <row r="8092" spans="6:9" x14ac:dyDescent="0.3">
      <c r="F8092"/>
      <c r="G8092"/>
      <c r="H8092"/>
      <c r="I8092"/>
    </row>
    <row r="8093" spans="6:9" x14ac:dyDescent="0.3">
      <c r="F8093"/>
      <c r="G8093"/>
      <c r="H8093"/>
      <c r="I8093"/>
    </row>
    <row r="8094" spans="6:9" x14ac:dyDescent="0.3">
      <c r="F8094"/>
      <c r="G8094"/>
      <c r="H8094"/>
      <c r="I8094"/>
    </row>
    <row r="8095" spans="6:9" x14ac:dyDescent="0.3">
      <c r="F8095"/>
      <c r="G8095"/>
      <c r="H8095"/>
      <c r="I8095"/>
    </row>
    <row r="8096" spans="6:9" x14ac:dyDescent="0.3">
      <c r="F8096"/>
      <c r="G8096"/>
      <c r="H8096"/>
      <c r="I8096"/>
    </row>
    <row r="8097" spans="6:9" x14ac:dyDescent="0.3">
      <c r="F8097"/>
      <c r="G8097"/>
      <c r="H8097"/>
      <c r="I8097"/>
    </row>
    <row r="8098" spans="6:9" x14ac:dyDescent="0.3">
      <c r="F8098"/>
      <c r="G8098"/>
      <c r="H8098"/>
      <c r="I8098"/>
    </row>
    <row r="8099" spans="6:9" x14ac:dyDescent="0.3">
      <c r="F8099"/>
      <c r="G8099"/>
      <c r="H8099"/>
      <c r="I8099"/>
    </row>
    <row r="8100" spans="6:9" x14ac:dyDescent="0.3">
      <c r="F8100"/>
      <c r="G8100"/>
      <c r="H8100"/>
      <c r="I8100"/>
    </row>
    <row r="8101" spans="6:9" x14ac:dyDescent="0.3">
      <c r="F8101"/>
      <c r="G8101"/>
      <c r="H8101"/>
      <c r="I8101"/>
    </row>
    <row r="8102" spans="6:9" x14ac:dyDescent="0.3">
      <c r="F8102"/>
      <c r="G8102"/>
      <c r="H8102"/>
      <c r="I8102"/>
    </row>
    <row r="8103" spans="6:9" x14ac:dyDescent="0.3">
      <c r="F8103"/>
      <c r="G8103"/>
      <c r="H8103"/>
      <c r="I8103"/>
    </row>
    <row r="8104" spans="6:9" x14ac:dyDescent="0.3">
      <c r="F8104"/>
      <c r="G8104"/>
      <c r="H8104"/>
      <c r="I8104"/>
    </row>
    <row r="8105" spans="6:9" x14ac:dyDescent="0.3">
      <c r="F8105"/>
      <c r="G8105"/>
      <c r="H8105"/>
      <c r="I8105"/>
    </row>
    <row r="8106" spans="6:9" x14ac:dyDescent="0.3">
      <c r="F8106"/>
      <c r="G8106"/>
      <c r="H8106"/>
      <c r="I8106"/>
    </row>
    <row r="8107" spans="6:9" x14ac:dyDescent="0.3">
      <c r="F8107"/>
      <c r="G8107"/>
      <c r="H8107"/>
      <c r="I8107"/>
    </row>
    <row r="8108" spans="6:9" x14ac:dyDescent="0.3">
      <c r="F8108"/>
      <c r="G8108"/>
      <c r="H8108"/>
      <c r="I8108"/>
    </row>
    <row r="8109" spans="6:9" x14ac:dyDescent="0.3">
      <c r="F8109"/>
      <c r="G8109"/>
      <c r="H8109"/>
      <c r="I8109"/>
    </row>
    <row r="8110" spans="6:9" x14ac:dyDescent="0.3">
      <c r="F8110"/>
      <c r="G8110"/>
      <c r="H8110"/>
      <c r="I8110"/>
    </row>
    <row r="8111" spans="6:9" x14ac:dyDescent="0.3">
      <c r="F8111"/>
      <c r="G8111"/>
      <c r="H8111"/>
      <c r="I8111"/>
    </row>
    <row r="8112" spans="6:9" x14ac:dyDescent="0.3">
      <c r="F8112"/>
      <c r="G8112"/>
      <c r="H8112"/>
      <c r="I8112"/>
    </row>
    <row r="8113" spans="6:9" x14ac:dyDescent="0.3">
      <c r="F8113"/>
      <c r="G8113"/>
      <c r="H8113"/>
      <c r="I8113"/>
    </row>
    <row r="8114" spans="6:9" x14ac:dyDescent="0.3">
      <c r="F8114"/>
      <c r="G8114"/>
      <c r="H8114"/>
      <c r="I8114"/>
    </row>
    <row r="8115" spans="6:9" x14ac:dyDescent="0.3">
      <c r="F8115"/>
      <c r="G8115"/>
      <c r="H8115"/>
      <c r="I8115"/>
    </row>
    <row r="8116" spans="6:9" x14ac:dyDescent="0.3">
      <c r="F8116"/>
      <c r="G8116"/>
      <c r="H8116"/>
      <c r="I8116"/>
    </row>
    <row r="8117" spans="6:9" x14ac:dyDescent="0.3">
      <c r="F8117"/>
      <c r="G8117"/>
      <c r="H8117"/>
      <c r="I8117"/>
    </row>
    <row r="8118" spans="6:9" x14ac:dyDescent="0.3">
      <c r="F8118"/>
      <c r="G8118"/>
      <c r="H8118"/>
      <c r="I8118"/>
    </row>
    <row r="8119" spans="6:9" x14ac:dyDescent="0.3">
      <c r="F8119"/>
      <c r="G8119"/>
      <c r="H8119"/>
      <c r="I8119"/>
    </row>
    <row r="8120" spans="6:9" x14ac:dyDescent="0.3">
      <c r="F8120"/>
      <c r="G8120"/>
      <c r="H8120"/>
      <c r="I8120"/>
    </row>
    <row r="8121" spans="6:9" x14ac:dyDescent="0.3">
      <c r="F8121"/>
      <c r="G8121"/>
      <c r="H8121"/>
      <c r="I8121"/>
    </row>
    <row r="8122" spans="6:9" x14ac:dyDescent="0.3">
      <c r="F8122"/>
      <c r="G8122"/>
      <c r="H8122"/>
      <c r="I8122"/>
    </row>
    <row r="8123" spans="6:9" x14ac:dyDescent="0.3">
      <c r="F8123"/>
      <c r="G8123"/>
      <c r="H8123"/>
      <c r="I8123"/>
    </row>
    <row r="8124" spans="6:9" x14ac:dyDescent="0.3">
      <c r="F8124"/>
      <c r="G8124"/>
      <c r="H8124"/>
      <c r="I8124"/>
    </row>
    <row r="8125" spans="6:9" x14ac:dyDescent="0.3">
      <c r="F8125"/>
      <c r="G8125"/>
      <c r="H8125"/>
      <c r="I8125"/>
    </row>
    <row r="8126" spans="6:9" x14ac:dyDescent="0.3">
      <c r="F8126"/>
      <c r="G8126"/>
      <c r="H8126"/>
      <c r="I8126"/>
    </row>
    <row r="8127" spans="6:9" x14ac:dyDescent="0.3">
      <c r="F8127"/>
      <c r="G8127"/>
      <c r="H8127"/>
      <c r="I8127"/>
    </row>
    <row r="8128" spans="6:9" x14ac:dyDescent="0.3">
      <c r="F8128"/>
      <c r="G8128"/>
      <c r="H8128"/>
      <c r="I8128"/>
    </row>
    <row r="8129" spans="6:9" x14ac:dyDescent="0.3">
      <c r="F8129"/>
      <c r="G8129"/>
      <c r="H8129"/>
      <c r="I8129"/>
    </row>
    <row r="8130" spans="6:9" x14ac:dyDescent="0.3">
      <c r="F8130"/>
      <c r="G8130"/>
      <c r="H8130"/>
      <c r="I8130"/>
    </row>
    <row r="8131" spans="6:9" x14ac:dyDescent="0.3">
      <c r="F8131"/>
      <c r="G8131"/>
      <c r="H8131"/>
      <c r="I8131"/>
    </row>
    <row r="8132" spans="6:9" x14ac:dyDescent="0.3">
      <c r="F8132"/>
      <c r="G8132"/>
      <c r="H8132"/>
      <c r="I8132"/>
    </row>
    <row r="8133" spans="6:9" x14ac:dyDescent="0.3">
      <c r="F8133"/>
      <c r="G8133"/>
      <c r="H8133"/>
      <c r="I8133"/>
    </row>
    <row r="8134" spans="6:9" x14ac:dyDescent="0.3">
      <c r="F8134"/>
      <c r="G8134"/>
      <c r="H8134"/>
      <c r="I8134"/>
    </row>
    <row r="8135" spans="6:9" x14ac:dyDescent="0.3">
      <c r="F8135"/>
      <c r="G8135"/>
      <c r="H8135"/>
      <c r="I8135"/>
    </row>
    <row r="8136" spans="6:9" x14ac:dyDescent="0.3">
      <c r="F8136"/>
      <c r="G8136"/>
      <c r="H8136"/>
      <c r="I8136"/>
    </row>
    <row r="8137" spans="6:9" x14ac:dyDescent="0.3">
      <c r="F8137"/>
      <c r="G8137"/>
      <c r="H8137"/>
      <c r="I8137"/>
    </row>
    <row r="8138" spans="6:9" x14ac:dyDescent="0.3">
      <c r="F8138"/>
      <c r="G8138"/>
      <c r="H8138"/>
      <c r="I8138"/>
    </row>
    <row r="8139" spans="6:9" x14ac:dyDescent="0.3">
      <c r="F8139"/>
      <c r="G8139"/>
      <c r="H8139"/>
      <c r="I8139"/>
    </row>
    <row r="8140" spans="6:9" x14ac:dyDescent="0.3">
      <c r="F8140"/>
      <c r="G8140"/>
      <c r="H8140"/>
      <c r="I8140"/>
    </row>
    <row r="8141" spans="6:9" x14ac:dyDescent="0.3">
      <c r="F8141"/>
      <c r="G8141"/>
      <c r="H8141"/>
      <c r="I8141"/>
    </row>
    <row r="8142" spans="6:9" x14ac:dyDescent="0.3">
      <c r="F8142"/>
      <c r="G8142"/>
      <c r="H8142"/>
      <c r="I8142"/>
    </row>
    <row r="8143" spans="6:9" x14ac:dyDescent="0.3">
      <c r="F8143"/>
      <c r="G8143"/>
      <c r="H8143"/>
      <c r="I8143"/>
    </row>
    <row r="8144" spans="6:9" x14ac:dyDescent="0.3">
      <c r="F8144"/>
      <c r="G8144"/>
      <c r="H8144"/>
      <c r="I8144"/>
    </row>
    <row r="8145" spans="6:9" x14ac:dyDescent="0.3">
      <c r="F8145"/>
      <c r="G8145"/>
      <c r="H8145"/>
      <c r="I8145"/>
    </row>
    <row r="8146" spans="6:9" x14ac:dyDescent="0.3">
      <c r="F8146"/>
      <c r="G8146"/>
      <c r="H8146"/>
      <c r="I8146"/>
    </row>
    <row r="8147" spans="6:9" x14ac:dyDescent="0.3">
      <c r="F8147"/>
      <c r="G8147"/>
      <c r="H8147"/>
      <c r="I8147"/>
    </row>
    <row r="8148" spans="6:9" x14ac:dyDescent="0.3">
      <c r="F8148"/>
      <c r="G8148"/>
      <c r="H8148"/>
      <c r="I8148"/>
    </row>
    <row r="8149" spans="6:9" x14ac:dyDescent="0.3">
      <c r="F8149"/>
      <c r="G8149"/>
      <c r="H8149"/>
      <c r="I8149"/>
    </row>
    <row r="8150" spans="6:9" x14ac:dyDescent="0.3">
      <c r="F8150"/>
      <c r="G8150"/>
      <c r="H8150"/>
      <c r="I8150"/>
    </row>
    <row r="8151" spans="6:9" x14ac:dyDescent="0.3">
      <c r="F8151"/>
      <c r="G8151"/>
      <c r="H8151"/>
      <c r="I8151"/>
    </row>
    <row r="8152" spans="6:9" x14ac:dyDescent="0.3">
      <c r="F8152"/>
      <c r="G8152"/>
      <c r="H8152"/>
      <c r="I8152"/>
    </row>
    <row r="8153" spans="6:9" x14ac:dyDescent="0.3">
      <c r="F8153"/>
      <c r="G8153"/>
      <c r="H8153"/>
      <c r="I8153"/>
    </row>
    <row r="8154" spans="6:9" x14ac:dyDescent="0.3">
      <c r="F8154"/>
      <c r="G8154"/>
      <c r="H8154"/>
      <c r="I8154"/>
    </row>
    <row r="8155" spans="6:9" x14ac:dyDescent="0.3">
      <c r="F8155"/>
      <c r="G8155"/>
      <c r="H8155"/>
      <c r="I8155"/>
    </row>
    <row r="8156" spans="6:9" x14ac:dyDescent="0.3">
      <c r="F8156"/>
      <c r="G8156"/>
      <c r="H8156"/>
      <c r="I8156"/>
    </row>
    <row r="8157" spans="6:9" x14ac:dyDescent="0.3">
      <c r="F8157"/>
      <c r="G8157"/>
      <c r="H8157"/>
      <c r="I8157"/>
    </row>
    <row r="8158" spans="6:9" x14ac:dyDescent="0.3">
      <c r="F8158"/>
      <c r="G8158"/>
      <c r="H8158"/>
      <c r="I8158"/>
    </row>
    <row r="8159" spans="6:9" x14ac:dyDescent="0.3">
      <c r="F8159"/>
      <c r="G8159"/>
      <c r="H8159"/>
      <c r="I8159"/>
    </row>
    <row r="8160" spans="6:9" x14ac:dyDescent="0.3">
      <c r="F8160"/>
      <c r="G8160"/>
      <c r="H8160"/>
      <c r="I8160"/>
    </row>
    <row r="8161" spans="6:9" x14ac:dyDescent="0.3">
      <c r="F8161"/>
      <c r="G8161"/>
      <c r="H8161"/>
      <c r="I8161"/>
    </row>
    <row r="8162" spans="6:9" x14ac:dyDescent="0.3">
      <c r="F8162"/>
      <c r="G8162"/>
      <c r="H8162"/>
      <c r="I8162"/>
    </row>
    <row r="8163" spans="6:9" x14ac:dyDescent="0.3">
      <c r="F8163"/>
      <c r="G8163"/>
      <c r="H8163"/>
      <c r="I8163"/>
    </row>
    <row r="8164" spans="6:9" x14ac:dyDescent="0.3">
      <c r="F8164"/>
      <c r="G8164"/>
      <c r="H8164"/>
      <c r="I8164"/>
    </row>
    <row r="8165" spans="6:9" x14ac:dyDescent="0.3">
      <c r="F8165"/>
      <c r="G8165"/>
      <c r="H8165"/>
      <c r="I8165"/>
    </row>
    <row r="8166" spans="6:9" x14ac:dyDescent="0.3">
      <c r="F8166"/>
      <c r="G8166"/>
      <c r="H8166"/>
      <c r="I8166"/>
    </row>
    <row r="8167" spans="6:9" x14ac:dyDescent="0.3">
      <c r="F8167"/>
      <c r="G8167"/>
      <c r="H8167"/>
      <c r="I8167"/>
    </row>
    <row r="8168" spans="6:9" x14ac:dyDescent="0.3">
      <c r="F8168"/>
      <c r="G8168"/>
      <c r="H8168"/>
      <c r="I8168"/>
    </row>
    <row r="8169" spans="6:9" x14ac:dyDescent="0.3">
      <c r="F8169"/>
      <c r="G8169"/>
      <c r="H8169"/>
      <c r="I8169"/>
    </row>
    <row r="8170" spans="6:9" x14ac:dyDescent="0.3">
      <c r="F8170"/>
      <c r="G8170"/>
      <c r="H8170"/>
      <c r="I8170"/>
    </row>
    <row r="8171" spans="6:9" x14ac:dyDescent="0.3">
      <c r="F8171"/>
      <c r="G8171"/>
      <c r="H8171"/>
      <c r="I8171"/>
    </row>
    <row r="8172" spans="6:9" x14ac:dyDescent="0.3">
      <c r="F8172"/>
      <c r="G8172"/>
      <c r="H8172"/>
      <c r="I8172"/>
    </row>
    <row r="8173" spans="6:9" x14ac:dyDescent="0.3">
      <c r="F8173"/>
      <c r="G8173"/>
      <c r="H8173"/>
      <c r="I8173"/>
    </row>
    <row r="8174" spans="6:9" x14ac:dyDescent="0.3">
      <c r="F8174"/>
      <c r="G8174"/>
      <c r="H8174"/>
      <c r="I8174"/>
    </row>
    <row r="8175" spans="6:9" x14ac:dyDescent="0.3">
      <c r="F8175"/>
      <c r="G8175"/>
      <c r="H8175"/>
      <c r="I8175"/>
    </row>
    <row r="8176" spans="6:9" x14ac:dyDescent="0.3">
      <c r="F8176"/>
      <c r="G8176"/>
      <c r="H8176"/>
      <c r="I8176"/>
    </row>
    <row r="8177" spans="6:9" x14ac:dyDescent="0.3">
      <c r="F8177"/>
      <c r="G8177"/>
      <c r="H8177"/>
      <c r="I8177"/>
    </row>
    <row r="8178" spans="6:9" x14ac:dyDescent="0.3">
      <c r="F8178"/>
      <c r="G8178"/>
      <c r="H8178"/>
      <c r="I8178"/>
    </row>
    <row r="8179" spans="6:9" x14ac:dyDescent="0.3">
      <c r="F8179"/>
      <c r="G8179"/>
      <c r="H8179"/>
      <c r="I8179"/>
    </row>
    <row r="8180" spans="6:9" x14ac:dyDescent="0.3">
      <c r="F8180"/>
      <c r="G8180"/>
      <c r="H8180"/>
      <c r="I8180"/>
    </row>
    <row r="8181" spans="6:9" x14ac:dyDescent="0.3">
      <c r="F8181"/>
      <c r="G8181"/>
      <c r="H8181"/>
      <c r="I8181"/>
    </row>
    <row r="8182" spans="6:9" x14ac:dyDescent="0.3">
      <c r="F8182"/>
      <c r="G8182"/>
      <c r="H8182"/>
      <c r="I8182"/>
    </row>
    <row r="8183" spans="6:9" x14ac:dyDescent="0.3">
      <c r="F8183"/>
      <c r="G8183"/>
      <c r="H8183"/>
      <c r="I8183"/>
    </row>
    <row r="8184" spans="6:9" x14ac:dyDescent="0.3">
      <c r="F8184"/>
      <c r="G8184"/>
      <c r="H8184"/>
      <c r="I8184"/>
    </row>
    <row r="8185" spans="6:9" x14ac:dyDescent="0.3">
      <c r="F8185"/>
      <c r="G8185"/>
      <c r="H8185"/>
      <c r="I8185"/>
    </row>
    <row r="8186" spans="6:9" x14ac:dyDescent="0.3">
      <c r="F8186"/>
      <c r="G8186"/>
      <c r="H8186"/>
      <c r="I8186"/>
    </row>
    <row r="8187" spans="6:9" x14ac:dyDescent="0.3">
      <c r="F8187"/>
      <c r="G8187"/>
      <c r="H8187"/>
      <c r="I8187"/>
    </row>
    <row r="8188" spans="6:9" x14ac:dyDescent="0.3">
      <c r="F8188"/>
      <c r="G8188"/>
      <c r="H8188"/>
      <c r="I8188"/>
    </row>
    <row r="8189" spans="6:9" x14ac:dyDescent="0.3">
      <c r="F8189"/>
      <c r="G8189"/>
      <c r="H8189"/>
      <c r="I8189"/>
    </row>
    <row r="8190" spans="6:9" x14ac:dyDescent="0.3">
      <c r="F8190"/>
      <c r="G8190"/>
      <c r="H8190"/>
      <c r="I8190"/>
    </row>
    <row r="8191" spans="6:9" x14ac:dyDescent="0.3">
      <c r="F8191"/>
      <c r="G8191"/>
      <c r="H8191"/>
      <c r="I8191"/>
    </row>
    <row r="8192" spans="6:9" x14ac:dyDescent="0.3">
      <c r="F8192"/>
      <c r="G8192"/>
      <c r="H8192"/>
      <c r="I8192"/>
    </row>
    <row r="8193" spans="6:9" x14ac:dyDescent="0.3">
      <c r="F8193"/>
      <c r="G8193"/>
      <c r="H8193"/>
      <c r="I8193"/>
    </row>
    <row r="8194" spans="6:9" x14ac:dyDescent="0.3">
      <c r="F8194"/>
      <c r="G8194"/>
      <c r="H8194"/>
      <c r="I8194"/>
    </row>
    <row r="8195" spans="6:9" x14ac:dyDescent="0.3">
      <c r="F8195"/>
      <c r="G8195"/>
      <c r="H8195"/>
      <c r="I8195"/>
    </row>
    <row r="8196" spans="6:9" x14ac:dyDescent="0.3">
      <c r="F8196"/>
      <c r="G8196"/>
      <c r="H8196"/>
      <c r="I8196"/>
    </row>
    <row r="8197" spans="6:9" x14ac:dyDescent="0.3">
      <c r="F8197"/>
      <c r="G8197"/>
      <c r="H8197"/>
      <c r="I8197"/>
    </row>
    <row r="8198" spans="6:9" x14ac:dyDescent="0.3">
      <c r="F8198"/>
      <c r="G8198"/>
      <c r="H8198"/>
      <c r="I8198"/>
    </row>
    <row r="8199" spans="6:9" x14ac:dyDescent="0.3">
      <c r="F8199"/>
      <c r="G8199"/>
      <c r="H8199"/>
      <c r="I8199"/>
    </row>
    <row r="8200" spans="6:9" x14ac:dyDescent="0.3">
      <c r="F8200"/>
      <c r="G8200"/>
      <c r="H8200"/>
      <c r="I8200"/>
    </row>
    <row r="8201" spans="6:9" x14ac:dyDescent="0.3">
      <c r="F8201"/>
      <c r="G8201"/>
      <c r="H8201"/>
      <c r="I8201"/>
    </row>
    <row r="8202" spans="6:9" x14ac:dyDescent="0.3">
      <c r="F8202"/>
      <c r="G8202"/>
      <c r="H8202"/>
      <c r="I8202"/>
    </row>
    <row r="8203" spans="6:9" x14ac:dyDescent="0.3">
      <c r="F8203"/>
      <c r="G8203"/>
      <c r="H8203"/>
      <c r="I8203"/>
    </row>
    <row r="8204" spans="6:9" x14ac:dyDescent="0.3">
      <c r="F8204"/>
      <c r="G8204"/>
      <c r="H8204"/>
      <c r="I8204"/>
    </row>
    <row r="8205" spans="6:9" x14ac:dyDescent="0.3">
      <c r="F8205"/>
      <c r="G8205"/>
      <c r="H8205"/>
      <c r="I8205"/>
    </row>
    <row r="8206" spans="6:9" x14ac:dyDescent="0.3">
      <c r="F8206"/>
      <c r="G8206"/>
      <c r="H8206"/>
      <c r="I8206"/>
    </row>
    <row r="8207" spans="6:9" x14ac:dyDescent="0.3">
      <c r="F8207"/>
      <c r="G8207"/>
      <c r="H8207"/>
      <c r="I8207"/>
    </row>
    <row r="8208" spans="6:9" x14ac:dyDescent="0.3">
      <c r="F8208"/>
      <c r="G8208"/>
      <c r="H8208"/>
      <c r="I8208"/>
    </row>
    <row r="8209" spans="6:9" x14ac:dyDescent="0.3">
      <c r="F8209"/>
      <c r="G8209"/>
      <c r="H8209"/>
      <c r="I8209"/>
    </row>
    <row r="8210" spans="6:9" x14ac:dyDescent="0.3">
      <c r="F8210"/>
      <c r="G8210"/>
      <c r="H8210"/>
      <c r="I8210"/>
    </row>
    <row r="8211" spans="6:9" x14ac:dyDescent="0.3">
      <c r="F8211"/>
      <c r="G8211"/>
      <c r="H8211"/>
      <c r="I8211"/>
    </row>
    <row r="8212" spans="6:9" x14ac:dyDescent="0.3">
      <c r="F8212"/>
      <c r="G8212"/>
      <c r="H8212"/>
      <c r="I8212"/>
    </row>
    <row r="8213" spans="6:9" x14ac:dyDescent="0.3">
      <c r="F8213"/>
      <c r="G8213"/>
      <c r="H8213"/>
      <c r="I8213"/>
    </row>
    <row r="8214" spans="6:9" x14ac:dyDescent="0.3">
      <c r="F8214"/>
      <c r="G8214"/>
      <c r="H8214"/>
      <c r="I8214"/>
    </row>
    <row r="8215" spans="6:9" x14ac:dyDescent="0.3">
      <c r="F8215"/>
      <c r="G8215"/>
      <c r="H8215"/>
      <c r="I8215"/>
    </row>
    <row r="8216" spans="6:9" x14ac:dyDescent="0.3">
      <c r="F8216"/>
      <c r="G8216"/>
      <c r="H8216"/>
      <c r="I8216"/>
    </row>
    <row r="8217" spans="6:9" x14ac:dyDescent="0.3">
      <c r="F8217"/>
      <c r="G8217"/>
      <c r="H8217"/>
      <c r="I8217"/>
    </row>
    <row r="8218" spans="6:9" x14ac:dyDescent="0.3">
      <c r="F8218"/>
      <c r="G8218"/>
      <c r="H8218"/>
      <c r="I8218"/>
    </row>
    <row r="8219" spans="6:9" x14ac:dyDescent="0.3">
      <c r="F8219"/>
      <c r="G8219"/>
      <c r="H8219"/>
      <c r="I8219"/>
    </row>
    <row r="8220" spans="6:9" x14ac:dyDescent="0.3">
      <c r="F8220"/>
      <c r="G8220"/>
      <c r="H8220"/>
      <c r="I8220"/>
    </row>
    <row r="8221" spans="6:9" x14ac:dyDescent="0.3">
      <c r="F8221"/>
      <c r="G8221"/>
      <c r="H8221"/>
      <c r="I8221"/>
    </row>
    <row r="8222" spans="6:9" x14ac:dyDescent="0.3">
      <c r="F8222"/>
      <c r="G8222"/>
      <c r="H8222"/>
      <c r="I8222"/>
    </row>
    <row r="8223" spans="6:9" x14ac:dyDescent="0.3">
      <c r="F8223"/>
      <c r="G8223"/>
      <c r="H8223"/>
      <c r="I8223"/>
    </row>
    <row r="8224" spans="6:9" x14ac:dyDescent="0.3">
      <c r="F8224"/>
      <c r="G8224"/>
      <c r="H8224"/>
      <c r="I8224"/>
    </row>
    <row r="8225" spans="6:9" x14ac:dyDescent="0.3">
      <c r="F8225"/>
      <c r="G8225"/>
      <c r="H8225"/>
      <c r="I8225"/>
    </row>
    <row r="8226" spans="6:9" x14ac:dyDescent="0.3">
      <c r="F8226"/>
      <c r="G8226"/>
      <c r="H8226"/>
      <c r="I8226"/>
    </row>
    <row r="8227" spans="6:9" x14ac:dyDescent="0.3">
      <c r="F8227"/>
      <c r="G8227"/>
      <c r="H8227"/>
      <c r="I8227"/>
    </row>
    <row r="8228" spans="6:9" x14ac:dyDescent="0.3">
      <c r="F8228"/>
      <c r="G8228"/>
      <c r="H8228"/>
      <c r="I8228"/>
    </row>
    <row r="8229" spans="6:9" x14ac:dyDescent="0.3">
      <c r="F8229"/>
      <c r="G8229"/>
      <c r="H8229"/>
      <c r="I8229"/>
    </row>
    <row r="8230" spans="6:9" x14ac:dyDescent="0.3">
      <c r="F8230"/>
      <c r="G8230"/>
      <c r="H8230"/>
      <c r="I8230"/>
    </row>
    <row r="8231" spans="6:9" x14ac:dyDescent="0.3">
      <c r="F8231"/>
      <c r="G8231"/>
      <c r="H8231"/>
      <c r="I8231"/>
    </row>
    <row r="8232" spans="6:9" x14ac:dyDescent="0.3">
      <c r="F8232"/>
      <c r="G8232"/>
      <c r="H8232"/>
      <c r="I8232"/>
    </row>
    <row r="8233" spans="6:9" x14ac:dyDescent="0.3">
      <c r="F8233"/>
      <c r="G8233"/>
      <c r="H8233"/>
      <c r="I8233"/>
    </row>
    <row r="8234" spans="6:9" x14ac:dyDescent="0.3">
      <c r="F8234"/>
      <c r="G8234"/>
      <c r="H8234"/>
      <c r="I8234"/>
    </row>
    <row r="8235" spans="6:9" x14ac:dyDescent="0.3">
      <c r="F8235"/>
      <c r="G8235"/>
      <c r="H8235"/>
      <c r="I8235"/>
    </row>
    <row r="8236" spans="6:9" x14ac:dyDescent="0.3">
      <c r="F8236"/>
      <c r="G8236"/>
      <c r="H8236"/>
      <c r="I8236"/>
    </row>
    <row r="8237" spans="6:9" x14ac:dyDescent="0.3">
      <c r="F8237"/>
      <c r="G8237"/>
      <c r="H8237"/>
      <c r="I8237"/>
    </row>
    <row r="8238" spans="6:9" x14ac:dyDescent="0.3">
      <c r="F8238"/>
      <c r="G8238"/>
      <c r="H8238"/>
      <c r="I8238"/>
    </row>
    <row r="8239" spans="6:9" x14ac:dyDescent="0.3">
      <c r="F8239"/>
      <c r="G8239"/>
      <c r="H8239"/>
      <c r="I8239"/>
    </row>
    <row r="8240" spans="6:9" x14ac:dyDescent="0.3">
      <c r="F8240"/>
      <c r="G8240"/>
      <c r="H8240"/>
      <c r="I8240"/>
    </row>
    <row r="8241" spans="6:9" x14ac:dyDescent="0.3">
      <c r="F8241"/>
      <c r="G8241"/>
      <c r="H8241"/>
      <c r="I8241"/>
    </row>
    <row r="8242" spans="6:9" x14ac:dyDescent="0.3">
      <c r="F8242"/>
      <c r="G8242"/>
      <c r="H8242"/>
      <c r="I8242"/>
    </row>
    <row r="8243" spans="6:9" x14ac:dyDescent="0.3">
      <c r="F8243"/>
      <c r="G8243"/>
      <c r="H8243"/>
      <c r="I8243"/>
    </row>
    <row r="8244" spans="6:9" x14ac:dyDescent="0.3">
      <c r="F8244"/>
      <c r="G8244"/>
      <c r="H8244"/>
      <c r="I8244"/>
    </row>
    <row r="8245" spans="6:9" x14ac:dyDescent="0.3">
      <c r="F8245"/>
      <c r="G8245"/>
      <c r="H8245"/>
      <c r="I8245"/>
    </row>
    <row r="8246" spans="6:9" x14ac:dyDescent="0.3">
      <c r="F8246"/>
      <c r="G8246"/>
      <c r="H8246"/>
      <c r="I8246"/>
    </row>
    <row r="8247" spans="6:9" x14ac:dyDescent="0.3">
      <c r="F8247"/>
      <c r="G8247"/>
      <c r="H8247"/>
      <c r="I8247"/>
    </row>
    <row r="8248" spans="6:9" x14ac:dyDescent="0.3">
      <c r="F8248"/>
      <c r="G8248"/>
      <c r="H8248"/>
      <c r="I8248"/>
    </row>
    <row r="8249" spans="6:9" x14ac:dyDescent="0.3">
      <c r="F8249"/>
      <c r="G8249"/>
      <c r="H8249"/>
      <c r="I8249"/>
    </row>
    <row r="8250" spans="6:9" x14ac:dyDescent="0.3">
      <c r="F8250"/>
      <c r="G8250"/>
      <c r="H8250"/>
      <c r="I8250"/>
    </row>
    <row r="8251" spans="6:9" x14ac:dyDescent="0.3">
      <c r="F8251"/>
      <c r="G8251"/>
      <c r="H8251"/>
      <c r="I8251"/>
    </row>
    <row r="8252" spans="6:9" x14ac:dyDescent="0.3">
      <c r="F8252"/>
      <c r="G8252"/>
      <c r="H8252"/>
      <c r="I8252"/>
    </row>
    <row r="8253" spans="6:9" x14ac:dyDescent="0.3">
      <c r="F8253"/>
      <c r="G8253"/>
      <c r="H8253"/>
      <c r="I8253"/>
    </row>
    <row r="8254" spans="6:9" x14ac:dyDescent="0.3">
      <c r="F8254"/>
      <c r="G8254"/>
      <c r="H8254"/>
      <c r="I8254"/>
    </row>
    <row r="8255" spans="6:9" x14ac:dyDescent="0.3">
      <c r="F8255"/>
      <c r="G8255"/>
      <c r="H8255"/>
      <c r="I8255"/>
    </row>
    <row r="8256" spans="6:9" x14ac:dyDescent="0.3">
      <c r="F8256"/>
      <c r="G8256"/>
      <c r="H8256"/>
      <c r="I8256"/>
    </row>
    <row r="8257" spans="6:9" x14ac:dyDescent="0.3">
      <c r="F8257"/>
      <c r="G8257"/>
      <c r="H8257"/>
      <c r="I8257"/>
    </row>
    <row r="8258" spans="6:9" x14ac:dyDescent="0.3">
      <c r="F8258"/>
      <c r="G8258"/>
      <c r="H8258"/>
      <c r="I8258"/>
    </row>
    <row r="8259" spans="6:9" x14ac:dyDescent="0.3">
      <c r="F8259"/>
      <c r="G8259"/>
      <c r="H8259"/>
      <c r="I8259"/>
    </row>
    <row r="8260" spans="6:9" x14ac:dyDescent="0.3">
      <c r="F8260"/>
      <c r="G8260"/>
      <c r="H8260"/>
      <c r="I8260"/>
    </row>
    <row r="8261" spans="6:9" x14ac:dyDescent="0.3">
      <c r="F8261"/>
      <c r="G8261"/>
      <c r="H8261"/>
      <c r="I8261"/>
    </row>
    <row r="8262" spans="6:9" x14ac:dyDescent="0.3">
      <c r="F8262"/>
      <c r="G8262"/>
      <c r="H8262"/>
      <c r="I8262"/>
    </row>
    <row r="8263" spans="6:9" x14ac:dyDescent="0.3">
      <c r="F8263"/>
      <c r="G8263"/>
      <c r="H8263"/>
      <c r="I8263"/>
    </row>
    <row r="8264" spans="6:9" x14ac:dyDescent="0.3">
      <c r="F8264"/>
      <c r="G8264"/>
      <c r="H8264"/>
      <c r="I8264"/>
    </row>
    <row r="8265" spans="6:9" x14ac:dyDescent="0.3">
      <c r="F8265"/>
      <c r="G8265"/>
      <c r="H8265"/>
      <c r="I8265"/>
    </row>
    <row r="8266" spans="6:9" x14ac:dyDescent="0.3">
      <c r="F8266"/>
      <c r="G8266"/>
      <c r="H8266"/>
      <c r="I8266"/>
    </row>
    <row r="8267" spans="6:9" x14ac:dyDescent="0.3">
      <c r="F8267"/>
      <c r="G8267"/>
      <c r="H8267"/>
      <c r="I8267"/>
    </row>
    <row r="8268" spans="6:9" x14ac:dyDescent="0.3">
      <c r="F8268"/>
      <c r="G8268"/>
      <c r="H8268"/>
      <c r="I8268"/>
    </row>
    <row r="8269" spans="6:9" x14ac:dyDescent="0.3">
      <c r="F8269"/>
      <c r="G8269"/>
      <c r="H8269"/>
      <c r="I8269"/>
    </row>
    <row r="8270" spans="6:9" x14ac:dyDescent="0.3">
      <c r="F8270"/>
      <c r="G8270"/>
      <c r="H8270"/>
      <c r="I8270"/>
    </row>
    <row r="8271" spans="6:9" x14ac:dyDescent="0.3">
      <c r="F8271"/>
      <c r="G8271"/>
      <c r="H8271"/>
      <c r="I8271"/>
    </row>
    <row r="8272" spans="6:9" x14ac:dyDescent="0.3">
      <c r="F8272"/>
      <c r="G8272"/>
      <c r="H8272"/>
      <c r="I8272"/>
    </row>
    <row r="8273" spans="6:9" x14ac:dyDescent="0.3">
      <c r="F8273"/>
      <c r="G8273"/>
      <c r="H8273"/>
      <c r="I8273"/>
    </row>
    <row r="8274" spans="6:9" x14ac:dyDescent="0.3">
      <c r="F8274"/>
      <c r="G8274"/>
      <c r="H8274"/>
      <c r="I8274"/>
    </row>
    <row r="8275" spans="6:9" x14ac:dyDescent="0.3">
      <c r="F8275"/>
      <c r="G8275"/>
      <c r="H8275"/>
      <c r="I8275"/>
    </row>
    <row r="8276" spans="6:9" x14ac:dyDescent="0.3">
      <c r="F8276"/>
      <c r="G8276"/>
      <c r="H8276"/>
      <c r="I8276"/>
    </row>
    <row r="8277" spans="6:9" x14ac:dyDescent="0.3">
      <c r="F8277"/>
      <c r="G8277"/>
      <c r="H8277"/>
      <c r="I8277"/>
    </row>
    <row r="8278" spans="6:9" x14ac:dyDescent="0.3">
      <c r="F8278"/>
      <c r="G8278"/>
      <c r="H8278"/>
      <c r="I8278"/>
    </row>
    <row r="8279" spans="6:9" x14ac:dyDescent="0.3">
      <c r="F8279"/>
      <c r="G8279"/>
      <c r="H8279"/>
      <c r="I8279"/>
    </row>
    <row r="8280" spans="6:9" x14ac:dyDescent="0.3">
      <c r="F8280"/>
      <c r="G8280"/>
      <c r="H8280"/>
      <c r="I8280"/>
    </row>
    <row r="8281" spans="6:9" x14ac:dyDescent="0.3">
      <c r="F8281"/>
      <c r="G8281"/>
      <c r="H8281"/>
      <c r="I8281"/>
    </row>
    <row r="8282" spans="6:9" x14ac:dyDescent="0.3">
      <c r="F8282"/>
      <c r="G8282"/>
      <c r="H8282"/>
      <c r="I8282"/>
    </row>
    <row r="8283" spans="6:9" x14ac:dyDescent="0.3">
      <c r="F8283"/>
      <c r="G8283"/>
      <c r="H8283"/>
      <c r="I8283"/>
    </row>
    <row r="8284" spans="6:9" x14ac:dyDescent="0.3">
      <c r="F8284"/>
      <c r="G8284"/>
      <c r="H8284"/>
      <c r="I8284"/>
    </row>
    <row r="8285" spans="6:9" x14ac:dyDescent="0.3">
      <c r="F8285"/>
      <c r="G8285"/>
      <c r="H8285"/>
      <c r="I8285"/>
    </row>
    <row r="8286" spans="6:9" x14ac:dyDescent="0.3">
      <c r="F8286"/>
      <c r="G8286"/>
      <c r="H8286"/>
      <c r="I8286"/>
    </row>
    <row r="8287" spans="6:9" x14ac:dyDescent="0.3">
      <c r="F8287"/>
      <c r="G8287"/>
      <c r="H8287"/>
      <c r="I8287"/>
    </row>
    <row r="8288" spans="6:9" x14ac:dyDescent="0.3">
      <c r="F8288"/>
      <c r="G8288"/>
      <c r="H8288"/>
      <c r="I8288"/>
    </row>
    <row r="8289" spans="6:9" x14ac:dyDescent="0.3">
      <c r="F8289"/>
      <c r="G8289"/>
      <c r="H8289"/>
      <c r="I8289"/>
    </row>
    <row r="8290" spans="6:9" x14ac:dyDescent="0.3">
      <c r="F8290"/>
      <c r="G8290"/>
      <c r="H8290"/>
      <c r="I8290"/>
    </row>
    <row r="8291" spans="6:9" x14ac:dyDescent="0.3">
      <c r="F8291"/>
      <c r="G8291"/>
      <c r="H8291"/>
      <c r="I8291"/>
    </row>
    <row r="8292" spans="6:9" x14ac:dyDescent="0.3">
      <c r="F8292"/>
      <c r="G8292"/>
      <c r="H8292"/>
      <c r="I8292"/>
    </row>
    <row r="8293" spans="6:9" x14ac:dyDescent="0.3">
      <c r="F8293"/>
      <c r="G8293"/>
      <c r="H8293"/>
      <c r="I8293"/>
    </row>
    <row r="8294" spans="6:9" x14ac:dyDescent="0.3">
      <c r="F8294"/>
      <c r="G8294"/>
      <c r="H8294"/>
      <c r="I8294"/>
    </row>
    <row r="8295" spans="6:9" x14ac:dyDescent="0.3">
      <c r="F8295"/>
      <c r="G8295"/>
      <c r="H8295"/>
      <c r="I8295"/>
    </row>
    <row r="8296" spans="6:9" x14ac:dyDescent="0.3">
      <c r="F8296"/>
      <c r="G8296"/>
      <c r="H8296"/>
      <c r="I8296"/>
    </row>
    <row r="8297" spans="6:9" x14ac:dyDescent="0.3">
      <c r="F8297"/>
      <c r="G8297"/>
      <c r="H8297"/>
      <c r="I8297"/>
    </row>
    <row r="8298" spans="6:9" x14ac:dyDescent="0.3">
      <c r="F8298"/>
      <c r="G8298"/>
      <c r="H8298"/>
      <c r="I8298"/>
    </row>
    <row r="8299" spans="6:9" x14ac:dyDescent="0.3">
      <c r="F8299"/>
      <c r="G8299"/>
      <c r="H8299"/>
      <c r="I8299"/>
    </row>
    <row r="8300" spans="6:9" x14ac:dyDescent="0.3">
      <c r="F8300"/>
      <c r="G8300"/>
      <c r="H8300"/>
      <c r="I8300"/>
    </row>
    <row r="8301" spans="6:9" x14ac:dyDescent="0.3">
      <c r="F8301"/>
      <c r="G8301"/>
      <c r="H8301"/>
      <c r="I8301"/>
    </row>
    <row r="8302" spans="6:9" x14ac:dyDescent="0.3">
      <c r="F8302"/>
      <c r="G8302"/>
      <c r="H8302"/>
      <c r="I8302"/>
    </row>
    <row r="8303" spans="6:9" x14ac:dyDescent="0.3">
      <c r="F8303"/>
      <c r="G8303"/>
      <c r="H8303"/>
      <c r="I8303"/>
    </row>
    <row r="8304" spans="6:9" x14ac:dyDescent="0.3">
      <c r="F8304"/>
      <c r="G8304"/>
      <c r="H8304"/>
      <c r="I8304"/>
    </row>
    <row r="8305" spans="6:9" x14ac:dyDescent="0.3">
      <c r="F8305"/>
      <c r="G8305"/>
      <c r="H8305"/>
      <c r="I8305"/>
    </row>
    <row r="8306" spans="6:9" x14ac:dyDescent="0.3">
      <c r="F8306"/>
      <c r="G8306"/>
      <c r="H8306"/>
      <c r="I8306"/>
    </row>
    <row r="8307" spans="6:9" x14ac:dyDescent="0.3">
      <c r="F8307"/>
      <c r="G8307"/>
      <c r="H8307"/>
      <c r="I8307"/>
    </row>
    <row r="8308" spans="6:9" x14ac:dyDescent="0.3">
      <c r="F8308"/>
      <c r="G8308"/>
      <c r="H8308"/>
      <c r="I8308"/>
    </row>
    <row r="8309" spans="6:9" x14ac:dyDescent="0.3">
      <c r="F8309"/>
      <c r="G8309"/>
      <c r="H8309"/>
      <c r="I8309"/>
    </row>
    <row r="8310" spans="6:9" x14ac:dyDescent="0.3">
      <c r="F8310"/>
      <c r="G8310"/>
      <c r="H8310"/>
      <c r="I8310"/>
    </row>
    <row r="8311" spans="6:9" x14ac:dyDescent="0.3">
      <c r="F8311"/>
      <c r="G8311"/>
      <c r="H8311"/>
      <c r="I8311"/>
    </row>
    <row r="8312" spans="6:9" x14ac:dyDescent="0.3">
      <c r="F8312"/>
      <c r="G8312"/>
      <c r="H8312"/>
      <c r="I8312"/>
    </row>
    <row r="8313" spans="6:9" x14ac:dyDescent="0.3">
      <c r="F8313"/>
      <c r="G8313"/>
      <c r="H8313"/>
      <c r="I8313"/>
    </row>
    <row r="8314" spans="6:9" x14ac:dyDescent="0.3">
      <c r="F8314"/>
      <c r="G8314"/>
      <c r="H8314"/>
      <c r="I8314"/>
    </row>
    <row r="8315" spans="6:9" x14ac:dyDescent="0.3">
      <c r="F8315"/>
      <c r="G8315"/>
      <c r="H8315"/>
      <c r="I8315"/>
    </row>
    <row r="8316" spans="6:9" x14ac:dyDescent="0.3">
      <c r="F8316"/>
      <c r="G8316"/>
      <c r="H8316"/>
      <c r="I8316"/>
    </row>
    <row r="8317" spans="6:9" x14ac:dyDescent="0.3">
      <c r="F8317"/>
      <c r="G8317"/>
      <c r="H8317"/>
      <c r="I8317"/>
    </row>
    <row r="8318" spans="6:9" x14ac:dyDescent="0.3">
      <c r="F8318"/>
      <c r="G8318"/>
      <c r="H8318"/>
      <c r="I8318"/>
    </row>
    <row r="8319" spans="6:9" x14ac:dyDescent="0.3">
      <c r="F8319"/>
      <c r="G8319"/>
      <c r="H8319"/>
      <c r="I8319"/>
    </row>
    <row r="8320" spans="6:9" x14ac:dyDescent="0.3">
      <c r="F8320"/>
      <c r="G8320"/>
      <c r="H8320"/>
      <c r="I8320"/>
    </row>
    <row r="8321" spans="6:9" x14ac:dyDescent="0.3">
      <c r="F8321"/>
      <c r="G8321"/>
      <c r="H8321"/>
      <c r="I8321"/>
    </row>
    <row r="8322" spans="6:9" x14ac:dyDescent="0.3">
      <c r="F8322"/>
      <c r="G8322"/>
      <c r="H8322"/>
      <c r="I8322"/>
    </row>
    <row r="8323" spans="6:9" x14ac:dyDescent="0.3">
      <c r="F8323"/>
      <c r="G8323"/>
      <c r="H8323"/>
      <c r="I8323"/>
    </row>
    <row r="8324" spans="6:9" x14ac:dyDescent="0.3">
      <c r="F8324"/>
      <c r="G8324"/>
      <c r="H8324"/>
      <c r="I8324"/>
    </row>
    <row r="8325" spans="6:9" x14ac:dyDescent="0.3">
      <c r="F8325"/>
      <c r="G8325"/>
      <c r="H8325"/>
      <c r="I8325"/>
    </row>
    <row r="8326" spans="6:9" x14ac:dyDescent="0.3">
      <c r="F8326"/>
      <c r="G8326"/>
      <c r="H8326"/>
      <c r="I8326"/>
    </row>
    <row r="8327" spans="6:9" x14ac:dyDescent="0.3">
      <c r="F8327"/>
      <c r="G8327"/>
      <c r="H8327"/>
      <c r="I8327"/>
    </row>
    <row r="8328" spans="6:9" x14ac:dyDescent="0.3">
      <c r="F8328"/>
      <c r="G8328"/>
      <c r="H8328"/>
      <c r="I8328"/>
    </row>
    <row r="8329" spans="6:9" x14ac:dyDescent="0.3">
      <c r="F8329"/>
      <c r="G8329"/>
      <c r="H8329"/>
      <c r="I8329"/>
    </row>
    <row r="8330" spans="6:9" x14ac:dyDescent="0.3">
      <c r="F8330"/>
      <c r="G8330"/>
      <c r="H8330"/>
      <c r="I8330"/>
    </row>
    <row r="8331" spans="6:9" x14ac:dyDescent="0.3">
      <c r="F8331"/>
      <c r="G8331"/>
      <c r="H8331"/>
      <c r="I8331"/>
    </row>
    <row r="8332" spans="6:9" x14ac:dyDescent="0.3">
      <c r="F8332"/>
      <c r="G8332"/>
      <c r="H8332"/>
      <c r="I8332"/>
    </row>
    <row r="8333" spans="6:9" x14ac:dyDescent="0.3">
      <c r="F8333"/>
      <c r="G8333"/>
      <c r="H8333"/>
      <c r="I8333"/>
    </row>
    <row r="8334" spans="6:9" x14ac:dyDescent="0.3">
      <c r="F8334"/>
      <c r="G8334"/>
      <c r="H8334"/>
      <c r="I8334"/>
    </row>
    <row r="8335" spans="6:9" x14ac:dyDescent="0.3">
      <c r="F8335"/>
      <c r="G8335"/>
      <c r="H8335"/>
      <c r="I8335"/>
    </row>
    <row r="8336" spans="6:9" x14ac:dyDescent="0.3">
      <c r="F8336"/>
      <c r="G8336"/>
      <c r="H8336"/>
      <c r="I8336"/>
    </row>
    <row r="8337" spans="6:9" x14ac:dyDescent="0.3">
      <c r="F8337"/>
      <c r="G8337"/>
      <c r="H8337"/>
      <c r="I8337"/>
    </row>
    <row r="8338" spans="6:9" x14ac:dyDescent="0.3">
      <c r="F8338"/>
      <c r="G8338"/>
      <c r="H8338"/>
      <c r="I8338"/>
    </row>
    <row r="8339" spans="6:9" x14ac:dyDescent="0.3">
      <c r="F8339"/>
      <c r="G8339"/>
      <c r="H8339"/>
      <c r="I8339"/>
    </row>
    <row r="8340" spans="6:9" x14ac:dyDescent="0.3">
      <c r="F8340"/>
      <c r="G8340"/>
      <c r="H8340"/>
      <c r="I8340"/>
    </row>
    <row r="8341" spans="6:9" x14ac:dyDescent="0.3">
      <c r="F8341"/>
      <c r="G8341"/>
      <c r="H8341"/>
      <c r="I8341"/>
    </row>
    <row r="8342" spans="6:9" x14ac:dyDescent="0.3">
      <c r="F8342"/>
      <c r="G8342"/>
      <c r="H8342"/>
      <c r="I8342"/>
    </row>
    <row r="8343" spans="6:9" x14ac:dyDescent="0.3">
      <c r="F8343"/>
      <c r="G8343"/>
      <c r="H8343"/>
      <c r="I8343"/>
    </row>
    <row r="8344" spans="6:9" x14ac:dyDescent="0.3">
      <c r="F8344"/>
      <c r="G8344"/>
      <c r="H8344"/>
      <c r="I8344"/>
    </row>
    <row r="8345" spans="6:9" x14ac:dyDescent="0.3">
      <c r="F8345"/>
      <c r="G8345"/>
      <c r="H8345"/>
      <c r="I8345"/>
    </row>
    <row r="8346" spans="6:9" x14ac:dyDescent="0.3">
      <c r="F8346"/>
      <c r="G8346"/>
      <c r="H8346"/>
      <c r="I8346"/>
    </row>
    <row r="8347" spans="6:9" x14ac:dyDescent="0.3">
      <c r="F8347"/>
      <c r="G8347"/>
      <c r="H8347"/>
      <c r="I8347"/>
    </row>
    <row r="8348" spans="6:9" x14ac:dyDescent="0.3">
      <c r="F8348"/>
      <c r="G8348"/>
      <c r="H8348"/>
      <c r="I8348"/>
    </row>
    <row r="8349" spans="6:9" x14ac:dyDescent="0.3">
      <c r="F8349"/>
      <c r="G8349"/>
      <c r="H8349"/>
      <c r="I8349"/>
    </row>
    <row r="8350" spans="6:9" x14ac:dyDescent="0.3">
      <c r="F8350"/>
      <c r="G8350"/>
      <c r="H8350"/>
      <c r="I8350"/>
    </row>
    <row r="8351" spans="6:9" x14ac:dyDescent="0.3">
      <c r="F8351"/>
      <c r="G8351"/>
      <c r="H8351"/>
      <c r="I8351"/>
    </row>
    <row r="8352" spans="6:9" x14ac:dyDescent="0.3">
      <c r="F8352"/>
      <c r="G8352"/>
      <c r="H8352"/>
      <c r="I8352"/>
    </row>
    <row r="8353" spans="6:9" x14ac:dyDescent="0.3">
      <c r="F8353"/>
      <c r="G8353"/>
      <c r="H8353"/>
      <c r="I8353"/>
    </row>
    <row r="8354" spans="6:9" x14ac:dyDescent="0.3">
      <c r="F8354"/>
      <c r="G8354"/>
      <c r="H8354"/>
      <c r="I8354"/>
    </row>
    <row r="8355" spans="6:9" x14ac:dyDescent="0.3">
      <c r="F8355"/>
      <c r="G8355"/>
      <c r="H8355"/>
      <c r="I8355"/>
    </row>
    <row r="8356" spans="6:9" x14ac:dyDescent="0.3">
      <c r="F8356"/>
      <c r="G8356"/>
      <c r="H8356"/>
      <c r="I8356"/>
    </row>
    <row r="8357" spans="6:9" x14ac:dyDescent="0.3">
      <c r="F8357"/>
      <c r="G8357"/>
      <c r="H8357"/>
      <c r="I8357"/>
    </row>
    <row r="8358" spans="6:9" x14ac:dyDescent="0.3">
      <c r="F8358"/>
      <c r="G8358"/>
      <c r="H8358"/>
      <c r="I8358"/>
    </row>
    <row r="8359" spans="6:9" x14ac:dyDescent="0.3">
      <c r="F8359"/>
      <c r="G8359"/>
      <c r="H8359"/>
      <c r="I8359"/>
    </row>
    <row r="8360" spans="6:9" x14ac:dyDescent="0.3">
      <c r="F8360"/>
      <c r="G8360"/>
      <c r="H8360"/>
      <c r="I8360"/>
    </row>
    <row r="8361" spans="6:9" x14ac:dyDescent="0.3">
      <c r="F8361"/>
      <c r="G8361"/>
      <c r="H8361"/>
      <c r="I8361"/>
    </row>
    <row r="8362" spans="6:9" x14ac:dyDescent="0.3">
      <c r="F8362"/>
      <c r="G8362"/>
      <c r="H8362"/>
      <c r="I8362"/>
    </row>
    <row r="8363" spans="6:9" x14ac:dyDescent="0.3">
      <c r="F8363"/>
      <c r="G8363"/>
      <c r="H8363"/>
      <c r="I8363"/>
    </row>
    <row r="8364" spans="6:9" x14ac:dyDescent="0.3">
      <c r="F8364"/>
      <c r="G8364"/>
      <c r="H8364"/>
      <c r="I8364"/>
    </row>
    <row r="8365" spans="6:9" x14ac:dyDescent="0.3">
      <c r="F8365"/>
      <c r="G8365"/>
      <c r="H8365"/>
      <c r="I8365"/>
    </row>
    <row r="8366" spans="6:9" x14ac:dyDescent="0.3">
      <c r="F8366"/>
      <c r="G8366"/>
      <c r="H8366"/>
      <c r="I8366"/>
    </row>
    <row r="8367" spans="6:9" x14ac:dyDescent="0.3">
      <c r="F8367"/>
      <c r="G8367"/>
      <c r="H8367"/>
      <c r="I8367"/>
    </row>
    <row r="8368" spans="6:9" x14ac:dyDescent="0.3">
      <c r="F8368"/>
      <c r="G8368"/>
      <c r="H8368"/>
      <c r="I8368"/>
    </row>
    <row r="8369" spans="6:9" x14ac:dyDescent="0.3">
      <c r="F8369"/>
      <c r="G8369"/>
      <c r="H8369"/>
      <c r="I8369"/>
    </row>
    <row r="8370" spans="6:9" x14ac:dyDescent="0.3">
      <c r="F8370"/>
      <c r="G8370"/>
      <c r="H8370"/>
      <c r="I8370"/>
    </row>
    <row r="8371" spans="6:9" x14ac:dyDescent="0.3">
      <c r="F8371"/>
      <c r="G8371"/>
      <c r="H8371"/>
      <c r="I8371"/>
    </row>
    <row r="8372" spans="6:9" x14ac:dyDescent="0.3">
      <c r="F8372"/>
      <c r="G8372"/>
      <c r="H8372"/>
      <c r="I8372"/>
    </row>
    <row r="8373" spans="6:9" x14ac:dyDescent="0.3">
      <c r="F8373"/>
      <c r="G8373"/>
      <c r="H8373"/>
      <c r="I8373"/>
    </row>
    <row r="8374" spans="6:9" x14ac:dyDescent="0.3">
      <c r="F8374"/>
      <c r="G8374"/>
      <c r="H8374"/>
      <c r="I8374"/>
    </row>
    <row r="8375" spans="6:9" x14ac:dyDescent="0.3">
      <c r="F8375"/>
      <c r="G8375"/>
      <c r="H8375"/>
      <c r="I8375"/>
    </row>
    <row r="8376" spans="6:9" x14ac:dyDescent="0.3">
      <c r="F8376"/>
      <c r="G8376"/>
      <c r="H8376"/>
      <c r="I8376"/>
    </row>
    <row r="8377" spans="6:9" x14ac:dyDescent="0.3">
      <c r="F8377"/>
      <c r="G8377"/>
      <c r="H8377"/>
      <c r="I8377"/>
    </row>
    <row r="8378" spans="6:9" x14ac:dyDescent="0.3">
      <c r="F8378"/>
      <c r="G8378"/>
      <c r="H8378"/>
      <c r="I8378"/>
    </row>
    <row r="8379" spans="6:9" x14ac:dyDescent="0.3">
      <c r="F8379"/>
      <c r="G8379"/>
      <c r="H8379"/>
      <c r="I8379"/>
    </row>
    <row r="8380" spans="6:9" x14ac:dyDescent="0.3">
      <c r="F8380"/>
      <c r="G8380"/>
      <c r="H8380"/>
      <c r="I8380"/>
    </row>
    <row r="8381" spans="6:9" x14ac:dyDescent="0.3">
      <c r="F8381"/>
      <c r="G8381"/>
      <c r="H8381"/>
      <c r="I8381"/>
    </row>
    <row r="8382" spans="6:9" x14ac:dyDescent="0.3">
      <c r="F8382"/>
      <c r="G8382"/>
      <c r="H8382"/>
      <c r="I8382"/>
    </row>
    <row r="8383" spans="6:9" x14ac:dyDescent="0.3">
      <c r="F8383"/>
      <c r="G8383"/>
      <c r="H8383"/>
      <c r="I8383"/>
    </row>
    <row r="8384" spans="6:9" x14ac:dyDescent="0.3">
      <c r="F8384"/>
      <c r="G8384"/>
      <c r="H8384"/>
      <c r="I8384"/>
    </row>
    <row r="8385" spans="6:9" x14ac:dyDescent="0.3">
      <c r="F8385"/>
      <c r="G8385"/>
      <c r="H8385"/>
      <c r="I8385"/>
    </row>
    <row r="8386" spans="6:9" x14ac:dyDescent="0.3">
      <c r="F8386"/>
      <c r="G8386"/>
      <c r="H8386"/>
      <c r="I8386"/>
    </row>
    <row r="8387" spans="6:9" x14ac:dyDescent="0.3">
      <c r="F8387"/>
      <c r="G8387"/>
      <c r="H8387"/>
      <c r="I8387"/>
    </row>
    <row r="8388" spans="6:9" x14ac:dyDescent="0.3">
      <c r="F8388"/>
      <c r="G8388"/>
      <c r="H8388"/>
      <c r="I8388"/>
    </row>
    <row r="8389" spans="6:9" x14ac:dyDescent="0.3">
      <c r="F8389"/>
      <c r="G8389"/>
      <c r="H8389"/>
      <c r="I8389"/>
    </row>
    <row r="8390" spans="6:9" x14ac:dyDescent="0.3">
      <c r="F8390"/>
      <c r="G8390"/>
      <c r="H8390"/>
      <c r="I8390"/>
    </row>
    <row r="8391" spans="6:9" x14ac:dyDescent="0.3">
      <c r="F8391"/>
      <c r="G8391"/>
      <c r="H8391"/>
      <c r="I8391"/>
    </row>
    <row r="8392" spans="6:9" x14ac:dyDescent="0.3">
      <c r="F8392"/>
      <c r="G8392"/>
      <c r="H8392"/>
      <c r="I8392"/>
    </row>
    <row r="8393" spans="6:9" x14ac:dyDescent="0.3">
      <c r="F8393"/>
      <c r="G8393"/>
      <c r="H8393"/>
      <c r="I8393"/>
    </row>
    <row r="8394" spans="6:9" x14ac:dyDescent="0.3">
      <c r="F8394"/>
      <c r="G8394"/>
      <c r="H8394"/>
      <c r="I8394"/>
    </row>
    <row r="8395" spans="6:9" x14ac:dyDescent="0.3">
      <c r="F8395"/>
      <c r="G8395"/>
      <c r="H8395"/>
      <c r="I8395"/>
    </row>
    <row r="8396" spans="6:9" x14ac:dyDescent="0.3">
      <c r="F8396"/>
      <c r="G8396"/>
      <c r="H8396"/>
      <c r="I8396"/>
    </row>
    <row r="8397" spans="6:9" x14ac:dyDescent="0.3">
      <c r="F8397"/>
      <c r="G8397"/>
      <c r="H8397"/>
      <c r="I8397"/>
    </row>
    <row r="8398" spans="6:9" x14ac:dyDescent="0.3">
      <c r="F8398"/>
      <c r="G8398"/>
      <c r="H8398"/>
      <c r="I8398"/>
    </row>
    <row r="8399" spans="6:9" x14ac:dyDescent="0.3">
      <c r="F8399"/>
      <c r="G8399"/>
      <c r="H8399"/>
      <c r="I8399"/>
    </row>
    <row r="8400" spans="6:9" x14ac:dyDescent="0.3">
      <c r="F8400"/>
      <c r="G8400"/>
      <c r="H8400"/>
      <c r="I8400"/>
    </row>
    <row r="8401" spans="6:9" x14ac:dyDescent="0.3">
      <c r="F8401"/>
      <c r="G8401"/>
      <c r="H8401"/>
      <c r="I8401"/>
    </row>
    <row r="8402" spans="6:9" x14ac:dyDescent="0.3">
      <c r="F8402"/>
      <c r="G8402"/>
      <c r="H8402"/>
      <c r="I8402"/>
    </row>
    <row r="8403" spans="6:9" x14ac:dyDescent="0.3">
      <c r="F8403"/>
      <c r="G8403"/>
      <c r="H8403"/>
      <c r="I8403"/>
    </row>
    <row r="8404" spans="6:9" x14ac:dyDescent="0.3">
      <c r="F8404"/>
      <c r="G8404"/>
      <c r="H8404"/>
      <c r="I8404"/>
    </row>
    <row r="8405" spans="6:9" x14ac:dyDescent="0.3">
      <c r="F8405"/>
      <c r="G8405"/>
      <c r="H8405"/>
      <c r="I8405"/>
    </row>
    <row r="8406" spans="6:9" x14ac:dyDescent="0.3">
      <c r="F8406"/>
      <c r="G8406"/>
      <c r="H8406"/>
      <c r="I8406"/>
    </row>
    <row r="8407" spans="6:9" x14ac:dyDescent="0.3">
      <c r="F8407"/>
      <c r="G8407"/>
      <c r="H8407"/>
      <c r="I8407"/>
    </row>
    <row r="8408" spans="6:9" x14ac:dyDescent="0.3">
      <c r="F8408"/>
      <c r="G8408"/>
      <c r="H8408"/>
      <c r="I8408"/>
    </row>
    <row r="8409" spans="6:9" x14ac:dyDescent="0.3">
      <c r="F8409"/>
      <c r="G8409"/>
      <c r="H8409"/>
      <c r="I8409"/>
    </row>
    <row r="8410" spans="6:9" x14ac:dyDescent="0.3">
      <c r="F8410"/>
      <c r="G8410"/>
      <c r="H8410"/>
      <c r="I8410"/>
    </row>
    <row r="8411" spans="6:9" x14ac:dyDescent="0.3">
      <c r="F8411"/>
      <c r="G8411"/>
      <c r="H8411"/>
      <c r="I8411"/>
    </row>
    <row r="8412" spans="6:9" x14ac:dyDescent="0.3">
      <c r="F8412"/>
      <c r="G8412"/>
      <c r="H8412"/>
      <c r="I8412"/>
    </row>
    <row r="8413" spans="6:9" x14ac:dyDescent="0.3">
      <c r="F8413"/>
      <c r="G8413"/>
      <c r="H8413"/>
      <c r="I8413"/>
    </row>
    <row r="8414" spans="6:9" x14ac:dyDescent="0.3">
      <c r="F8414"/>
      <c r="G8414"/>
      <c r="H8414"/>
      <c r="I8414"/>
    </row>
    <row r="8415" spans="6:9" x14ac:dyDescent="0.3">
      <c r="F8415"/>
      <c r="G8415"/>
      <c r="H8415"/>
      <c r="I8415"/>
    </row>
    <row r="8416" spans="6:9" x14ac:dyDescent="0.3">
      <c r="F8416"/>
      <c r="G8416"/>
      <c r="H8416"/>
      <c r="I8416"/>
    </row>
    <row r="8417" spans="6:9" x14ac:dyDescent="0.3">
      <c r="F8417"/>
      <c r="G8417"/>
      <c r="H8417"/>
      <c r="I8417"/>
    </row>
    <row r="8418" spans="6:9" x14ac:dyDescent="0.3">
      <c r="F8418"/>
      <c r="G8418"/>
      <c r="H8418"/>
      <c r="I8418"/>
    </row>
    <row r="8419" spans="6:9" x14ac:dyDescent="0.3">
      <c r="F8419"/>
      <c r="G8419"/>
      <c r="H8419"/>
      <c r="I8419"/>
    </row>
    <row r="8420" spans="6:9" x14ac:dyDescent="0.3">
      <c r="F8420"/>
      <c r="G8420"/>
      <c r="H8420"/>
      <c r="I8420"/>
    </row>
    <row r="8421" spans="6:9" x14ac:dyDescent="0.3">
      <c r="F8421"/>
      <c r="G8421"/>
      <c r="H8421"/>
      <c r="I8421"/>
    </row>
    <row r="8422" spans="6:9" x14ac:dyDescent="0.3">
      <c r="F8422"/>
      <c r="G8422"/>
      <c r="H8422"/>
      <c r="I8422"/>
    </row>
    <row r="8423" spans="6:9" x14ac:dyDescent="0.3">
      <c r="F8423"/>
      <c r="G8423"/>
      <c r="H8423"/>
      <c r="I8423"/>
    </row>
    <row r="8424" spans="6:9" x14ac:dyDescent="0.3">
      <c r="F8424"/>
      <c r="G8424"/>
      <c r="H8424"/>
      <c r="I8424"/>
    </row>
    <row r="8425" spans="6:9" x14ac:dyDescent="0.3">
      <c r="F8425"/>
      <c r="G8425"/>
      <c r="H8425"/>
      <c r="I8425"/>
    </row>
    <row r="8426" spans="6:9" x14ac:dyDescent="0.3">
      <c r="F8426"/>
      <c r="G8426"/>
      <c r="H8426"/>
      <c r="I8426"/>
    </row>
    <row r="8427" spans="6:9" x14ac:dyDescent="0.3">
      <c r="F8427"/>
      <c r="G8427"/>
      <c r="H8427"/>
      <c r="I8427"/>
    </row>
    <row r="8428" spans="6:9" x14ac:dyDescent="0.3">
      <c r="F8428"/>
      <c r="G8428"/>
      <c r="H8428"/>
      <c r="I8428"/>
    </row>
    <row r="8429" spans="6:9" x14ac:dyDescent="0.3">
      <c r="F8429"/>
      <c r="G8429"/>
      <c r="H8429"/>
      <c r="I8429"/>
    </row>
    <row r="8430" spans="6:9" x14ac:dyDescent="0.3">
      <c r="F8430"/>
      <c r="G8430"/>
      <c r="H8430"/>
      <c r="I8430"/>
    </row>
    <row r="8431" spans="6:9" x14ac:dyDescent="0.3">
      <c r="F8431"/>
      <c r="G8431"/>
      <c r="H8431"/>
      <c r="I8431"/>
    </row>
    <row r="8432" spans="6:9" x14ac:dyDescent="0.3">
      <c r="F8432"/>
      <c r="G8432"/>
      <c r="H8432"/>
      <c r="I8432"/>
    </row>
    <row r="8433" spans="6:9" x14ac:dyDescent="0.3">
      <c r="F8433"/>
      <c r="G8433"/>
      <c r="H8433"/>
      <c r="I8433"/>
    </row>
    <row r="8434" spans="6:9" x14ac:dyDescent="0.3">
      <c r="F8434"/>
      <c r="G8434"/>
      <c r="H8434"/>
      <c r="I8434"/>
    </row>
    <row r="8435" spans="6:9" x14ac:dyDescent="0.3">
      <c r="F8435"/>
      <c r="G8435"/>
      <c r="H8435"/>
      <c r="I8435"/>
    </row>
    <row r="8436" spans="6:9" x14ac:dyDescent="0.3">
      <c r="F8436"/>
      <c r="G8436"/>
      <c r="H8436"/>
      <c r="I8436"/>
    </row>
    <row r="8437" spans="6:9" x14ac:dyDescent="0.3">
      <c r="F8437"/>
      <c r="G8437"/>
      <c r="H8437"/>
      <c r="I8437"/>
    </row>
    <row r="8438" spans="6:9" x14ac:dyDescent="0.3">
      <c r="F8438"/>
      <c r="G8438"/>
      <c r="H8438"/>
      <c r="I8438"/>
    </row>
    <row r="8439" spans="6:9" x14ac:dyDescent="0.3">
      <c r="F8439"/>
      <c r="G8439"/>
      <c r="H8439"/>
      <c r="I8439"/>
    </row>
    <row r="8440" spans="6:9" x14ac:dyDescent="0.3">
      <c r="F8440"/>
      <c r="G8440"/>
      <c r="H8440"/>
      <c r="I8440"/>
    </row>
    <row r="8441" spans="6:9" x14ac:dyDescent="0.3">
      <c r="F8441"/>
      <c r="G8441"/>
      <c r="H8441"/>
      <c r="I8441"/>
    </row>
    <row r="8442" spans="6:9" x14ac:dyDescent="0.3">
      <c r="F8442"/>
      <c r="G8442"/>
      <c r="H8442"/>
      <c r="I8442"/>
    </row>
    <row r="8443" spans="6:9" x14ac:dyDescent="0.3">
      <c r="F8443"/>
      <c r="G8443"/>
      <c r="H8443"/>
      <c r="I8443"/>
    </row>
    <row r="8444" spans="6:9" x14ac:dyDescent="0.3">
      <c r="F8444"/>
      <c r="G8444"/>
      <c r="H8444"/>
      <c r="I8444"/>
    </row>
    <row r="8445" spans="6:9" x14ac:dyDescent="0.3">
      <c r="F8445"/>
      <c r="G8445"/>
      <c r="H8445"/>
      <c r="I8445"/>
    </row>
    <row r="8446" spans="6:9" x14ac:dyDescent="0.3">
      <c r="F8446"/>
      <c r="G8446"/>
      <c r="H8446"/>
      <c r="I8446"/>
    </row>
    <row r="8447" spans="6:9" x14ac:dyDescent="0.3">
      <c r="F8447"/>
      <c r="G8447"/>
      <c r="H8447"/>
      <c r="I8447"/>
    </row>
    <row r="8448" spans="6:9" x14ac:dyDescent="0.3">
      <c r="F8448"/>
      <c r="G8448"/>
      <c r="H8448"/>
      <c r="I8448"/>
    </row>
    <row r="8449" spans="6:9" x14ac:dyDescent="0.3">
      <c r="F8449"/>
      <c r="G8449"/>
      <c r="H8449"/>
      <c r="I8449"/>
    </row>
    <row r="8450" spans="6:9" x14ac:dyDescent="0.3">
      <c r="F8450"/>
      <c r="G8450"/>
      <c r="H8450"/>
      <c r="I8450"/>
    </row>
    <row r="8451" spans="6:9" x14ac:dyDescent="0.3">
      <c r="F8451"/>
      <c r="G8451"/>
      <c r="H8451"/>
      <c r="I8451"/>
    </row>
    <row r="8452" spans="6:9" x14ac:dyDescent="0.3">
      <c r="F8452"/>
      <c r="G8452"/>
      <c r="H8452"/>
      <c r="I8452"/>
    </row>
    <row r="8453" spans="6:9" x14ac:dyDescent="0.3">
      <c r="F8453"/>
      <c r="G8453"/>
      <c r="H8453"/>
      <c r="I8453"/>
    </row>
    <row r="8454" spans="6:9" x14ac:dyDescent="0.3">
      <c r="F8454"/>
      <c r="G8454"/>
      <c r="H8454"/>
      <c r="I8454"/>
    </row>
    <row r="8455" spans="6:9" x14ac:dyDescent="0.3">
      <c r="F8455"/>
      <c r="G8455"/>
      <c r="H8455"/>
      <c r="I8455"/>
    </row>
    <row r="8456" spans="6:9" x14ac:dyDescent="0.3">
      <c r="F8456"/>
      <c r="G8456"/>
      <c r="H8456"/>
      <c r="I8456"/>
    </row>
    <row r="8457" spans="6:9" x14ac:dyDescent="0.3">
      <c r="F8457"/>
      <c r="G8457"/>
      <c r="H8457"/>
      <c r="I8457"/>
    </row>
    <row r="8458" spans="6:9" x14ac:dyDescent="0.3">
      <c r="F8458"/>
      <c r="G8458"/>
      <c r="H8458"/>
      <c r="I8458"/>
    </row>
    <row r="8459" spans="6:9" x14ac:dyDescent="0.3">
      <c r="F8459"/>
      <c r="G8459"/>
      <c r="H8459"/>
      <c r="I8459"/>
    </row>
    <row r="8460" spans="6:9" x14ac:dyDescent="0.3">
      <c r="F8460"/>
      <c r="G8460"/>
      <c r="H8460"/>
      <c r="I8460"/>
    </row>
    <row r="8461" spans="6:9" x14ac:dyDescent="0.3">
      <c r="F8461"/>
      <c r="G8461"/>
      <c r="H8461"/>
      <c r="I8461"/>
    </row>
    <row r="8462" spans="6:9" x14ac:dyDescent="0.3">
      <c r="F8462"/>
      <c r="G8462"/>
      <c r="H8462"/>
      <c r="I8462"/>
    </row>
    <row r="8463" spans="6:9" x14ac:dyDescent="0.3">
      <c r="F8463"/>
      <c r="G8463"/>
      <c r="H8463"/>
      <c r="I8463"/>
    </row>
    <row r="8464" spans="6:9" x14ac:dyDescent="0.3">
      <c r="F8464"/>
      <c r="G8464"/>
      <c r="H8464"/>
      <c r="I8464"/>
    </row>
    <row r="8465" spans="6:9" x14ac:dyDescent="0.3">
      <c r="F8465"/>
      <c r="G8465"/>
      <c r="H8465"/>
      <c r="I8465"/>
    </row>
    <row r="8466" spans="6:9" x14ac:dyDescent="0.3">
      <c r="F8466"/>
      <c r="G8466"/>
      <c r="H8466"/>
      <c r="I8466"/>
    </row>
    <row r="8467" spans="6:9" x14ac:dyDescent="0.3">
      <c r="F8467"/>
      <c r="G8467"/>
      <c r="H8467"/>
      <c r="I8467"/>
    </row>
    <row r="8468" spans="6:9" x14ac:dyDescent="0.3">
      <c r="F8468"/>
      <c r="G8468"/>
      <c r="H8468"/>
      <c r="I8468"/>
    </row>
    <row r="8469" spans="6:9" x14ac:dyDescent="0.3">
      <c r="F8469"/>
      <c r="G8469"/>
      <c r="H8469"/>
      <c r="I8469"/>
    </row>
    <row r="8470" spans="6:9" x14ac:dyDescent="0.3">
      <c r="F8470"/>
      <c r="G8470"/>
      <c r="H8470"/>
      <c r="I8470"/>
    </row>
    <row r="8471" spans="6:9" x14ac:dyDescent="0.3">
      <c r="F8471"/>
      <c r="G8471"/>
      <c r="H8471"/>
      <c r="I8471"/>
    </row>
    <row r="8472" spans="6:9" x14ac:dyDescent="0.3">
      <c r="F8472"/>
      <c r="G8472"/>
      <c r="H8472"/>
      <c r="I8472"/>
    </row>
    <row r="8473" spans="6:9" x14ac:dyDescent="0.3">
      <c r="F8473"/>
      <c r="G8473"/>
      <c r="H8473"/>
      <c r="I8473"/>
    </row>
    <row r="8474" spans="6:9" x14ac:dyDescent="0.3">
      <c r="F8474"/>
      <c r="G8474"/>
      <c r="H8474"/>
      <c r="I8474"/>
    </row>
    <row r="8475" spans="6:9" x14ac:dyDescent="0.3">
      <c r="F8475"/>
      <c r="G8475"/>
      <c r="H8475"/>
      <c r="I8475"/>
    </row>
    <row r="8476" spans="6:9" x14ac:dyDescent="0.3">
      <c r="F8476"/>
      <c r="G8476"/>
      <c r="H8476"/>
      <c r="I8476"/>
    </row>
    <row r="8477" spans="6:9" x14ac:dyDescent="0.3">
      <c r="F8477"/>
      <c r="G8477"/>
      <c r="H8477"/>
      <c r="I8477"/>
    </row>
    <row r="8478" spans="6:9" x14ac:dyDescent="0.3">
      <c r="F8478"/>
      <c r="G8478"/>
      <c r="H8478"/>
      <c r="I8478"/>
    </row>
    <row r="8479" spans="6:9" x14ac:dyDescent="0.3">
      <c r="F8479"/>
      <c r="G8479"/>
      <c r="H8479"/>
      <c r="I8479"/>
    </row>
    <row r="8480" spans="6:9" x14ac:dyDescent="0.3">
      <c r="F8480"/>
      <c r="G8480"/>
      <c r="H8480"/>
      <c r="I8480"/>
    </row>
    <row r="8481" spans="6:9" x14ac:dyDescent="0.3">
      <c r="F8481"/>
      <c r="G8481"/>
      <c r="H8481"/>
      <c r="I8481"/>
    </row>
    <row r="8482" spans="6:9" x14ac:dyDescent="0.3">
      <c r="F8482"/>
      <c r="G8482"/>
      <c r="H8482"/>
      <c r="I8482"/>
    </row>
    <row r="8483" spans="6:9" x14ac:dyDescent="0.3">
      <c r="F8483"/>
      <c r="G8483"/>
      <c r="H8483"/>
      <c r="I8483"/>
    </row>
    <row r="8484" spans="6:9" x14ac:dyDescent="0.3">
      <c r="F8484"/>
      <c r="G8484"/>
      <c r="H8484"/>
      <c r="I8484"/>
    </row>
    <row r="8485" spans="6:9" x14ac:dyDescent="0.3">
      <c r="F8485"/>
      <c r="G8485"/>
      <c r="H8485"/>
      <c r="I8485"/>
    </row>
    <row r="8486" spans="6:9" x14ac:dyDescent="0.3">
      <c r="F8486"/>
      <c r="G8486"/>
      <c r="H8486"/>
      <c r="I8486"/>
    </row>
    <row r="8487" spans="6:9" x14ac:dyDescent="0.3">
      <c r="F8487"/>
      <c r="G8487"/>
      <c r="H8487"/>
      <c r="I8487"/>
    </row>
    <row r="8488" spans="6:9" x14ac:dyDescent="0.3">
      <c r="F8488"/>
      <c r="G8488"/>
      <c r="H8488"/>
      <c r="I8488"/>
    </row>
    <row r="8489" spans="6:9" x14ac:dyDescent="0.3">
      <c r="F8489"/>
      <c r="G8489"/>
      <c r="H8489"/>
      <c r="I8489"/>
    </row>
    <row r="8490" spans="6:9" x14ac:dyDescent="0.3">
      <c r="F8490"/>
      <c r="G8490"/>
      <c r="H8490"/>
      <c r="I8490"/>
    </row>
    <row r="8491" spans="6:9" x14ac:dyDescent="0.3">
      <c r="F8491"/>
      <c r="G8491"/>
      <c r="H8491"/>
      <c r="I8491"/>
    </row>
    <row r="8492" spans="6:9" x14ac:dyDescent="0.3">
      <c r="F8492"/>
      <c r="G8492"/>
      <c r="H8492"/>
      <c r="I8492"/>
    </row>
    <row r="8493" spans="6:9" x14ac:dyDescent="0.3">
      <c r="F8493"/>
      <c r="G8493"/>
      <c r="H8493"/>
      <c r="I8493"/>
    </row>
    <row r="8494" spans="6:9" x14ac:dyDescent="0.3">
      <c r="F8494"/>
      <c r="G8494"/>
      <c r="H8494"/>
      <c r="I8494"/>
    </row>
    <row r="8495" spans="6:9" x14ac:dyDescent="0.3">
      <c r="F8495"/>
      <c r="G8495"/>
      <c r="H8495"/>
      <c r="I8495"/>
    </row>
    <row r="8496" spans="6:9" x14ac:dyDescent="0.3">
      <c r="F8496"/>
      <c r="G8496"/>
      <c r="H8496"/>
      <c r="I8496"/>
    </row>
    <row r="8497" spans="6:9" x14ac:dyDescent="0.3">
      <c r="F8497"/>
      <c r="G8497"/>
      <c r="H8497"/>
      <c r="I8497"/>
    </row>
    <row r="8498" spans="6:9" x14ac:dyDescent="0.3">
      <c r="F8498"/>
      <c r="G8498"/>
      <c r="H8498"/>
      <c r="I8498"/>
    </row>
    <row r="8499" spans="6:9" x14ac:dyDescent="0.3">
      <c r="F8499"/>
      <c r="G8499"/>
      <c r="H8499"/>
      <c r="I8499"/>
    </row>
    <row r="8500" spans="6:9" x14ac:dyDescent="0.3">
      <c r="F8500"/>
      <c r="G8500"/>
      <c r="H8500"/>
      <c r="I8500"/>
    </row>
    <row r="8501" spans="6:9" x14ac:dyDescent="0.3">
      <c r="F8501"/>
      <c r="G8501"/>
      <c r="H8501"/>
      <c r="I8501"/>
    </row>
    <row r="8502" spans="6:9" x14ac:dyDescent="0.3">
      <c r="F8502"/>
      <c r="G8502"/>
      <c r="H8502"/>
      <c r="I8502"/>
    </row>
    <row r="8503" spans="6:9" x14ac:dyDescent="0.3">
      <c r="F8503"/>
      <c r="G8503"/>
      <c r="H8503"/>
      <c r="I8503"/>
    </row>
    <row r="8504" spans="6:9" x14ac:dyDescent="0.3">
      <c r="F8504"/>
      <c r="G8504"/>
      <c r="H8504"/>
      <c r="I8504"/>
    </row>
    <row r="8505" spans="6:9" x14ac:dyDescent="0.3">
      <c r="F8505"/>
      <c r="G8505"/>
      <c r="H8505"/>
      <c r="I8505"/>
    </row>
    <row r="8506" spans="6:9" x14ac:dyDescent="0.3">
      <c r="F8506"/>
      <c r="G8506"/>
      <c r="H8506"/>
      <c r="I8506"/>
    </row>
    <row r="8507" spans="6:9" x14ac:dyDescent="0.3">
      <c r="F8507"/>
      <c r="G8507"/>
      <c r="H8507"/>
      <c r="I8507"/>
    </row>
    <row r="8508" spans="6:9" x14ac:dyDescent="0.3">
      <c r="F8508"/>
      <c r="G8508"/>
      <c r="H8508"/>
      <c r="I8508"/>
    </row>
    <row r="8509" spans="6:9" x14ac:dyDescent="0.3">
      <c r="F8509"/>
      <c r="G8509"/>
      <c r="H8509"/>
      <c r="I8509"/>
    </row>
    <row r="8510" spans="6:9" x14ac:dyDescent="0.3">
      <c r="F8510"/>
      <c r="G8510"/>
      <c r="H8510"/>
      <c r="I8510"/>
    </row>
    <row r="8511" spans="6:9" x14ac:dyDescent="0.3">
      <c r="F8511"/>
      <c r="G8511"/>
      <c r="H8511"/>
      <c r="I8511"/>
    </row>
    <row r="8512" spans="6:9" x14ac:dyDescent="0.3">
      <c r="F8512"/>
      <c r="G8512"/>
      <c r="H8512"/>
      <c r="I8512"/>
    </row>
    <row r="8513" spans="6:9" x14ac:dyDescent="0.3">
      <c r="F8513"/>
      <c r="G8513"/>
      <c r="H8513"/>
      <c r="I8513"/>
    </row>
    <row r="8514" spans="6:9" x14ac:dyDescent="0.3">
      <c r="F8514"/>
      <c r="G8514"/>
      <c r="H8514"/>
      <c r="I8514"/>
    </row>
    <row r="8515" spans="6:9" x14ac:dyDescent="0.3">
      <c r="F8515"/>
      <c r="G8515"/>
      <c r="H8515"/>
      <c r="I8515"/>
    </row>
    <row r="8516" spans="6:9" x14ac:dyDescent="0.3">
      <c r="F8516"/>
      <c r="G8516"/>
      <c r="H8516"/>
      <c r="I8516"/>
    </row>
    <row r="8517" spans="6:9" x14ac:dyDescent="0.3">
      <c r="F8517"/>
      <c r="G8517"/>
      <c r="H8517"/>
      <c r="I8517"/>
    </row>
    <row r="8518" spans="6:9" x14ac:dyDescent="0.3">
      <c r="F8518"/>
      <c r="G8518"/>
      <c r="H8518"/>
      <c r="I8518"/>
    </row>
    <row r="8519" spans="6:9" x14ac:dyDescent="0.3">
      <c r="F8519"/>
      <c r="G8519"/>
      <c r="H8519"/>
      <c r="I8519"/>
    </row>
    <row r="8520" spans="6:9" x14ac:dyDescent="0.3">
      <c r="F8520"/>
      <c r="G8520"/>
      <c r="H8520"/>
      <c r="I8520"/>
    </row>
    <row r="8521" spans="6:9" x14ac:dyDescent="0.3">
      <c r="F8521"/>
      <c r="G8521"/>
      <c r="H8521"/>
      <c r="I8521"/>
    </row>
    <row r="8522" spans="6:9" x14ac:dyDescent="0.3">
      <c r="F8522"/>
      <c r="G8522"/>
      <c r="H8522"/>
      <c r="I8522"/>
    </row>
    <row r="8523" spans="6:9" x14ac:dyDescent="0.3">
      <c r="F8523"/>
      <c r="G8523"/>
      <c r="H8523"/>
      <c r="I8523"/>
    </row>
    <row r="8524" spans="6:9" x14ac:dyDescent="0.3">
      <c r="F8524"/>
      <c r="G8524"/>
      <c r="H8524"/>
      <c r="I8524"/>
    </row>
    <row r="8525" spans="6:9" x14ac:dyDescent="0.3">
      <c r="F8525"/>
      <c r="G8525"/>
      <c r="H8525"/>
      <c r="I8525"/>
    </row>
    <row r="8526" spans="6:9" x14ac:dyDescent="0.3">
      <c r="F8526"/>
      <c r="G8526"/>
      <c r="H8526"/>
      <c r="I8526"/>
    </row>
    <row r="8527" spans="6:9" x14ac:dyDescent="0.3">
      <c r="F8527"/>
      <c r="G8527"/>
      <c r="H8527"/>
      <c r="I8527"/>
    </row>
    <row r="8528" spans="6:9" x14ac:dyDescent="0.3">
      <c r="F8528"/>
      <c r="G8528"/>
      <c r="H8528"/>
      <c r="I8528"/>
    </row>
    <row r="8529" spans="6:9" x14ac:dyDescent="0.3">
      <c r="F8529"/>
      <c r="G8529"/>
      <c r="H8529"/>
      <c r="I8529"/>
    </row>
    <row r="8530" spans="6:9" x14ac:dyDescent="0.3">
      <c r="F8530"/>
      <c r="G8530"/>
      <c r="H8530"/>
      <c r="I8530"/>
    </row>
    <row r="8531" spans="6:9" x14ac:dyDescent="0.3">
      <c r="F8531"/>
      <c r="G8531"/>
      <c r="H8531"/>
      <c r="I8531"/>
    </row>
    <row r="8532" spans="6:9" x14ac:dyDescent="0.3">
      <c r="F8532"/>
      <c r="G8532"/>
      <c r="H8532"/>
      <c r="I8532"/>
    </row>
    <row r="8533" spans="6:9" x14ac:dyDescent="0.3">
      <c r="F8533"/>
      <c r="G8533"/>
      <c r="H8533"/>
      <c r="I8533"/>
    </row>
    <row r="8534" spans="6:9" x14ac:dyDescent="0.3">
      <c r="F8534"/>
      <c r="G8534"/>
      <c r="H8534"/>
      <c r="I8534"/>
    </row>
    <row r="8535" spans="6:9" x14ac:dyDescent="0.3">
      <c r="F8535"/>
      <c r="G8535"/>
      <c r="H8535"/>
      <c r="I8535"/>
    </row>
    <row r="8536" spans="6:9" x14ac:dyDescent="0.3">
      <c r="F8536"/>
      <c r="G8536"/>
      <c r="H8536"/>
      <c r="I8536"/>
    </row>
    <row r="8537" spans="6:9" x14ac:dyDescent="0.3">
      <c r="F8537"/>
      <c r="G8537"/>
      <c r="H8537"/>
      <c r="I8537"/>
    </row>
    <row r="8538" spans="6:9" x14ac:dyDescent="0.3">
      <c r="F8538"/>
      <c r="G8538"/>
      <c r="H8538"/>
      <c r="I8538"/>
    </row>
    <row r="8539" spans="6:9" x14ac:dyDescent="0.3">
      <c r="F8539"/>
      <c r="G8539"/>
      <c r="H8539"/>
      <c r="I8539"/>
    </row>
    <row r="8540" spans="6:9" x14ac:dyDescent="0.3">
      <c r="F8540"/>
      <c r="G8540"/>
      <c r="H8540"/>
      <c r="I8540"/>
    </row>
    <row r="8541" spans="6:9" x14ac:dyDescent="0.3">
      <c r="F8541"/>
      <c r="G8541"/>
      <c r="H8541"/>
      <c r="I8541"/>
    </row>
    <row r="8542" spans="6:9" x14ac:dyDescent="0.3">
      <c r="F8542"/>
      <c r="G8542"/>
      <c r="H8542"/>
      <c r="I8542"/>
    </row>
    <row r="8543" spans="6:9" x14ac:dyDescent="0.3">
      <c r="F8543"/>
      <c r="G8543"/>
      <c r="H8543"/>
      <c r="I8543"/>
    </row>
    <row r="8544" spans="6:9" x14ac:dyDescent="0.3">
      <c r="F8544"/>
      <c r="G8544"/>
      <c r="H8544"/>
      <c r="I8544"/>
    </row>
    <row r="8545" spans="6:9" x14ac:dyDescent="0.3">
      <c r="F8545"/>
      <c r="G8545"/>
      <c r="H8545"/>
      <c r="I8545"/>
    </row>
    <row r="8546" spans="6:9" x14ac:dyDescent="0.3">
      <c r="F8546"/>
      <c r="G8546"/>
      <c r="H8546"/>
      <c r="I8546"/>
    </row>
    <row r="8547" spans="6:9" x14ac:dyDescent="0.3">
      <c r="F8547"/>
      <c r="G8547"/>
      <c r="H8547"/>
      <c r="I8547"/>
    </row>
    <row r="8548" spans="6:9" x14ac:dyDescent="0.3">
      <c r="F8548"/>
      <c r="G8548"/>
      <c r="H8548"/>
      <c r="I8548"/>
    </row>
    <row r="8549" spans="6:9" x14ac:dyDescent="0.3">
      <c r="F8549"/>
      <c r="G8549"/>
      <c r="H8549"/>
      <c r="I8549"/>
    </row>
    <row r="8550" spans="6:9" x14ac:dyDescent="0.3">
      <c r="F8550"/>
      <c r="G8550"/>
      <c r="H8550"/>
      <c r="I8550"/>
    </row>
    <row r="8551" spans="6:9" x14ac:dyDescent="0.3">
      <c r="F8551"/>
      <c r="G8551"/>
      <c r="H8551"/>
      <c r="I8551"/>
    </row>
    <row r="8552" spans="6:9" x14ac:dyDescent="0.3">
      <c r="F8552"/>
      <c r="G8552"/>
      <c r="H8552"/>
      <c r="I8552"/>
    </row>
    <row r="8553" spans="6:9" x14ac:dyDescent="0.3">
      <c r="F8553"/>
      <c r="G8553"/>
      <c r="H8553"/>
      <c r="I8553"/>
    </row>
    <row r="8554" spans="6:9" x14ac:dyDescent="0.3">
      <c r="F8554"/>
      <c r="G8554"/>
      <c r="H8554"/>
      <c r="I8554"/>
    </row>
    <row r="8555" spans="6:9" x14ac:dyDescent="0.3">
      <c r="F8555"/>
      <c r="G8555"/>
      <c r="H8555"/>
      <c r="I8555"/>
    </row>
    <row r="8556" spans="6:9" x14ac:dyDescent="0.3">
      <c r="F8556"/>
      <c r="G8556"/>
      <c r="H8556"/>
      <c r="I8556"/>
    </row>
    <row r="8557" spans="6:9" x14ac:dyDescent="0.3">
      <c r="F8557"/>
      <c r="G8557"/>
      <c r="H8557"/>
      <c r="I8557"/>
    </row>
    <row r="8558" spans="6:9" x14ac:dyDescent="0.3">
      <c r="F8558"/>
      <c r="G8558"/>
      <c r="H8558"/>
      <c r="I8558"/>
    </row>
    <row r="8559" spans="6:9" x14ac:dyDescent="0.3">
      <c r="F8559"/>
      <c r="G8559"/>
      <c r="H8559"/>
      <c r="I8559"/>
    </row>
    <row r="8560" spans="6:9" x14ac:dyDescent="0.3">
      <c r="F8560"/>
      <c r="G8560"/>
      <c r="H8560"/>
      <c r="I8560"/>
    </row>
    <row r="8561" spans="6:9" x14ac:dyDescent="0.3">
      <c r="F8561"/>
      <c r="G8561"/>
      <c r="H8561"/>
      <c r="I8561"/>
    </row>
    <row r="8562" spans="6:9" x14ac:dyDescent="0.3">
      <c r="F8562"/>
      <c r="G8562"/>
      <c r="H8562"/>
      <c r="I8562"/>
    </row>
    <row r="8563" spans="6:9" x14ac:dyDescent="0.3">
      <c r="F8563"/>
      <c r="G8563"/>
      <c r="H8563"/>
      <c r="I8563"/>
    </row>
    <row r="8564" spans="6:9" x14ac:dyDescent="0.3">
      <c r="F8564"/>
      <c r="G8564"/>
      <c r="H8564"/>
      <c r="I8564"/>
    </row>
    <row r="8565" spans="6:9" x14ac:dyDescent="0.3">
      <c r="F8565"/>
      <c r="G8565"/>
      <c r="H8565"/>
      <c r="I8565"/>
    </row>
    <row r="8566" spans="6:9" x14ac:dyDescent="0.3">
      <c r="F8566"/>
      <c r="G8566"/>
      <c r="H8566"/>
      <c r="I8566"/>
    </row>
    <row r="8567" spans="6:9" x14ac:dyDescent="0.3">
      <c r="F8567"/>
      <c r="G8567"/>
      <c r="H8567"/>
      <c r="I8567"/>
    </row>
    <row r="8568" spans="6:9" x14ac:dyDescent="0.3">
      <c r="F8568"/>
      <c r="G8568"/>
      <c r="H8568"/>
      <c r="I8568"/>
    </row>
    <row r="8569" spans="6:9" x14ac:dyDescent="0.3">
      <c r="F8569"/>
      <c r="G8569"/>
      <c r="H8569"/>
      <c r="I8569"/>
    </row>
    <row r="8570" spans="6:9" x14ac:dyDescent="0.3">
      <c r="F8570"/>
      <c r="G8570"/>
      <c r="H8570"/>
      <c r="I8570"/>
    </row>
    <row r="8571" spans="6:9" x14ac:dyDescent="0.3">
      <c r="F8571"/>
      <c r="G8571"/>
      <c r="H8571"/>
      <c r="I8571"/>
    </row>
    <row r="8572" spans="6:9" x14ac:dyDescent="0.3">
      <c r="F8572"/>
      <c r="G8572"/>
      <c r="H8572"/>
      <c r="I8572"/>
    </row>
    <row r="8573" spans="6:9" x14ac:dyDescent="0.3">
      <c r="F8573"/>
      <c r="G8573"/>
      <c r="H8573"/>
      <c r="I8573"/>
    </row>
    <row r="8574" spans="6:9" x14ac:dyDescent="0.3">
      <c r="F8574"/>
      <c r="G8574"/>
      <c r="H8574"/>
      <c r="I8574"/>
    </row>
    <row r="8575" spans="6:9" x14ac:dyDescent="0.3">
      <c r="F8575"/>
      <c r="G8575"/>
      <c r="H8575"/>
      <c r="I8575"/>
    </row>
    <row r="8576" spans="6:9" x14ac:dyDescent="0.3">
      <c r="F8576"/>
      <c r="G8576"/>
      <c r="H8576"/>
      <c r="I8576"/>
    </row>
    <row r="8577" spans="6:9" x14ac:dyDescent="0.3">
      <c r="F8577"/>
      <c r="G8577"/>
      <c r="H8577"/>
      <c r="I8577"/>
    </row>
    <row r="8578" spans="6:9" x14ac:dyDescent="0.3">
      <c r="F8578"/>
      <c r="G8578"/>
      <c r="H8578"/>
      <c r="I8578"/>
    </row>
    <row r="8579" spans="6:9" x14ac:dyDescent="0.3">
      <c r="F8579"/>
      <c r="G8579"/>
      <c r="H8579"/>
      <c r="I8579"/>
    </row>
    <row r="8580" spans="6:9" x14ac:dyDescent="0.3">
      <c r="F8580"/>
      <c r="G8580"/>
      <c r="H8580"/>
      <c r="I8580"/>
    </row>
    <row r="8581" spans="6:9" x14ac:dyDescent="0.3">
      <c r="F8581"/>
      <c r="G8581"/>
      <c r="H8581"/>
      <c r="I8581"/>
    </row>
    <row r="8582" spans="6:9" x14ac:dyDescent="0.3">
      <c r="F8582"/>
      <c r="G8582"/>
      <c r="H8582"/>
      <c r="I8582"/>
    </row>
    <row r="8583" spans="6:9" x14ac:dyDescent="0.3">
      <c r="F8583"/>
      <c r="G8583"/>
      <c r="H8583"/>
      <c r="I8583"/>
    </row>
    <row r="8584" spans="6:9" x14ac:dyDescent="0.3">
      <c r="F8584"/>
      <c r="G8584"/>
      <c r="H8584"/>
      <c r="I8584"/>
    </row>
    <row r="8585" spans="6:9" x14ac:dyDescent="0.3">
      <c r="F8585"/>
      <c r="G8585"/>
      <c r="H8585"/>
      <c r="I8585"/>
    </row>
    <row r="8586" spans="6:9" x14ac:dyDescent="0.3">
      <c r="F8586"/>
      <c r="G8586"/>
      <c r="H8586"/>
      <c r="I8586"/>
    </row>
    <row r="8587" spans="6:9" x14ac:dyDescent="0.3">
      <c r="F8587"/>
      <c r="G8587"/>
      <c r="H8587"/>
      <c r="I8587"/>
    </row>
    <row r="8588" spans="6:9" x14ac:dyDescent="0.3">
      <c r="F8588"/>
      <c r="G8588"/>
      <c r="H8588"/>
      <c r="I8588"/>
    </row>
    <row r="8589" spans="6:9" x14ac:dyDescent="0.3">
      <c r="F8589"/>
      <c r="G8589"/>
      <c r="H8589"/>
      <c r="I8589"/>
    </row>
    <row r="8590" spans="6:9" x14ac:dyDescent="0.3">
      <c r="F8590"/>
      <c r="G8590"/>
      <c r="H8590"/>
      <c r="I8590"/>
    </row>
    <row r="8591" spans="6:9" x14ac:dyDescent="0.3">
      <c r="F8591"/>
      <c r="G8591"/>
      <c r="H8591"/>
      <c r="I8591"/>
    </row>
    <row r="8592" spans="6:9" x14ac:dyDescent="0.3">
      <c r="F8592"/>
      <c r="G8592"/>
      <c r="H8592"/>
      <c r="I8592"/>
    </row>
    <row r="8593" spans="6:9" x14ac:dyDescent="0.3">
      <c r="F8593"/>
      <c r="G8593"/>
      <c r="H8593"/>
      <c r="I8593"/>
    </row>
    <row r="8594" spans="6:9" x14ac:dyDescent="0.3">
      <c r="F8594"/>
      <c r="G8594"/>
      <c r="H8594"/>
      <c r="I8594"/>
    </row>
    <row r="8595" spans="6:9" x14ac:dyDescent="0.3">
      <c r="F8595"/>
      <c r="G8595"/>
      <c r="H8595"/>
      <c r="I8595"/>
    </row>
    <row r="8596" spans="6:9" x14ac:dyDescent="0.3">
      <c r="F8596"/>
      <c r="G8596"/>
      <c r="H8596"/>
      <c r="I8596"/>
    </row>
    <row r="8597" spans="6:9" x14ac:dyDescent="0.3">
      <c r="F8597"/>
      <c r="G8597"/>
      <c r="H8597"/>
      <c r="I8597"/>
    </row>
    <row r="8598" spans="6:9" x14ac:dyDescent="0.3">
      <c r="F8598"/>
      <c r="G8598"/>
      <c r="H8598"/>
      <c r="I8598"/>
    </row>
    <row r="8599" spans="6:9" x14ac:dyDescent="0.3">
      <c r="F8599"/>
      <c r="G8599"/>
      <c r="H8599"/>
      <c r="I8599"/>
    </row>
    <row r="8600" spans="6:9" x14ac:dyDescent="0.3">
      <c r="F8600"/>
      <c r="G8600"/>
      <c r="H8600"/>
      <c r="I8600"/>
    </row>
    <row r="8601" spans="6:9" x14ac:dyDescent="0.3">
      <c r="F8601"/>
      <c r="G8601"/>
      <c r="H8601"/>
      <c r="I8601"/>
    </row>
    <row r="8602" spans="6:9" x14ac:dyDescent="0.3">
      <c r="F8602"/>
      <c r="G8602"/>
      <c r="H8602"/>
      <c r="I8602"/>
    </row>
    <row r="8603" spans="6:9" x14ac:dyDescent="0.3">
      <c r="F8603"/>
      <c r="G8603"/>
      <c r="H8603"/>
      <c r="I8603"/>
    </row>
    <row r="8604" spans="6:9" x14ac:dyDescent="0.3">
      <c r="F8604"/>
      <c r="G8604"/>
      <c r="H8604"/>
      <c r="I8604"/>
    </row>
    <row r="8605" spans="6:9" x14ac:dyDescent="0.3">
      <c r="F8605"/>
      <c r="G8605"/>
      <c r="H8605"/>
      <c r="I8605"/>
    </row>
    <row r="8606" spans="6:9" x14ac:dyDescent="0.3">
      <c r="F8606"/>
      <c r="G8606"/>
      <c r="H8606"/>
      <c r="I8606"/>
    </row>
    <row r="8607" spans="6:9" x14ac:dyDescent="0.3">
      <c r="F8607"/>
      <c r="G8607"/>
      <c r="H8607"/>
      <c r="I8607"/>
    </row>
    <row r="8608" spans="6:9" x14ac:dyDescent="0.3">
      <c r="F8608"/>
      <c r="G8608"/>
      <c r="H8608"/>
      <c r="I8608"/>
    </row>
    <row r="8609" spans="6:9" x14ac:dyDescent="0.3">
      <c r="F8609"/>
      <c r="G8609"/>
      <c r="H8609"/>
      <c r="I8609"/>
    </row>
    <row r="8610" spans="6:9" x14ac:dyDescent="0.3">
      <c r="F8610"/>
      <c r="G8610"/>
      <c r="H8610"/>
      <c r="I8610"/>
    </row>
    <row r="8611" spans="6:9" x14ac:dyDescent="0.3">
      <c r="F8611"/>
      <c r="G8611"/>
      <c r="H8611"/>
      <c r="I8611"/>
    </row>
    <row r="8612" spans="6:9" x14ac:dyDescent="0.3">
      <c r="F8612"/>
      <c r="G8612"/>
      <c r="H8612"/>
      <c r="I8612"/>
    </row>
    <row r="8613" spans="6:9" x14ac:dyDescent="0.3">
      <c r="F8613"/>
      <c r="G8613"/>
      <c r="H8613"/>
      <c r="I8613"/>
    </row>
    <row r="8614" spans="6:9" x14ac:dyDescent="0.3">
      <c r="F8614"/>
      <c r="G8614"/>
      <c r="H8614"/>
      <c r="I8614"/>
    </row>
    <row r="8615" spans="6:9" x14ac:dyDescent="0.3">
      <c r="F8615"/>
      <c r="G8615"/>
      <c r="H8615"/>
      <c r="I8615"/>
    </row>
    <row r="8616" spans="6:9" x14ac:dyDescent="0.3">
      <c r="F8616"/>
      <c r="G8616"/>
      <c r="H8616"/>
      <c r="I8616"/>
    </row>
    <row r="8617" spans="6:9" x14ac:dyDescent="0.3">
      <c r="F8617"/>
      <c r="G8617"/>
      <c r="H8617"/>
      <c r="I8617"/>
    </row>
    <row r="8618" spans="6:9" x14ac:dyDescent="0.3">
      <c r="F8618"/>
      <c r="G8618"/>
      <c r="H8618"/>
      <c r="I8618"/>
    </row>
    <row r="8619" spans="6:9" x14ac:dyDescent="0.3">
      <c r="F8619"/>
      <c r="G8619"/>
      <c r="H8619"/>
      <c r="I8619"/>
    </row>
    <row r="8620" spans="6:9" x14ac:dyDescent="0.3">
      <c r="F8620"/>
      <c r="G8620"/>
      <c r="H8620"/>
      <c r="I8620"/>
    </row>
    <row r="8621" spans="6:9" x14ac:dyDescent="0.3">
      <c r="F8621"/>
      <c r="G8621"/>
      <c r="H8621"/>
      <c r="I8621"/>
    </row>
    <row r="8622" spans="6:9" x14ac:dyDescent="0.3">
      <c r="F8622"/>
      <c r="G8622"/>
      <c r="H8622"/>
      <c r="I8622"/>
    </row>
    <row r="8623" spans="6:9" x14ac:dyDescent="0.3">
      <c r="F8623"/>
      <c r="G8623"/>
      <c r="H8623"/>
      <c r="I8623"/>
    </row>
    <row r="8624" spans="6:9" x14ac:dyDescent="0.3">
      <c r="F8624"/>
      <c r="G8624"/>
      <c r="H8624"/>
      <c r="I8624"/>
    </row>
    <row r="8625" spans="6:9" x14ac:dyDescent="0.3">
      <c r="F8625"/>
      <c r="G8625"/>
      <c r="H8625"/>
      <c r="I8625"/>
    </row>
    <row r="8626" spans="6:9" x14ac:dyDescent="0.3">
      <c r="F8626"/>
      <c r="G8626"/>
      <c r="H8626"/>
      <c r="I8626"/>
    </row>
    <row r="8627" spans="6:9" x14ac:dyDescent="0.3">
      <c r="F8627"/>
      <c r="G8627"/>
      <c r="H8627"/>
      <c r="I8627"/>
    </row>
    <row r="8628" spans="6:9" x14ac:dyDescent="0.3">
      <c r="F8628"/>
      <c r="G8628"/>
      <c r="H8628"/>
      <c r="I8628"/>
    </row>
    <row r="8629" spans="6:9" x14ac:dyDescent="0.3">
      <c r="F8629"/>
      <c r="G8629"/>
      <c r="H8629"/>
      <c r="I8629"/>
    </row>
    <row r="8630" spans="6:9" x14ac:dyDescent="0.3">
      <c r="F8630"/>
      <c r="G8630"/>
      <c r="H8630"/>
      <c r="I8630"/>
    </row>
    <row r="8631" spans="6:9" x14ac:dyDescent="0.3">
      <c r="F8631"/>
      <c r="G8631"/>
      <c r="H8631"/>
      <c r="I8631"/>
    </row>
    <row r="8632" spans="6:9" x14ac:dyDescent="0.3">
      <c r="F8632"/>
      <c r="G8632"/>
      <c r="H8632"/>
      <c r="I8632"/>
    </row>
    <row r="8633" spans="6:9" x14ac:dyDescent="0.3">
      <c r="F8633"/>
      <c r="G8633"/>
      <c r="H8633"/>
      <c r="I8633"/>
    </row>
    <row r="8634" spans="6:9" x14ac:dyDescent="0.3">
      <c r="F8634"/>
      <c r="G8634"/>
      <c r="H8634"/>
      <c r="I8634"/>
    </row>
    <row r="8635" spans="6:9" x14ac:dyDescent="0.3">
      <c r="F8635"/>
      <c r="G8635"/>
      <c r="H8635"/>
      <c r="I8635"/>
    </row>
    <row r="8636" spans="6:9" x14ac:dyDescent="0.3">
      <c r="F8636"/>
      <c r="G8636"/>
      <c r="H8636"/>
      <c r="I8636"/>
    </row>
    <row r="8637" spans="6:9" x14ac:dyDescent="0.3">
      <c r="F8637"/>
      <c r="G8637"/>
      <c r="H8637"/>
      <c r="I8637"/>
    </row>
    <row r="8638" spans="6:9" x14ac:dyDescent="0.3">
      <c r="F8638"/>
      <c r="G8638"/>
      <c r="H8638"/>
      <c r="I8638"/>
    </row>
    <row r="8639" spans="6:9" x14ac:dyDescent="0.3">
      <c r="F8639"/>
      <c r="G8639"/>
      <c r="H8639"/>
      <c r="I8639"/>
    </row>
    <row r="8640" spans="6:9" x14ac:dyDescent="0.3">
      <c r="F8640"/>
      <c r="G8640"/>
      <c r="H8640"/>
      <c r="I8640"/>
    </row>
    <row r="8641" spans="6:9" x14ac:dyDescent="0.3">
      <c r="F8641"/>
      <c r="G8641"/>
      <c r="H8641"/>
      <c r="I8641"/>
    </row>
    <row r="8642" spans="6:9" x14ac:dyDescent="0.3">
      <c r="F8642"/>
      <c r="G8642"/>
      <c r="H8642"/>
      <c r="I8642"/>
    </row>
    <row r="8643" spans="6:9" x14ac:dyDescent="0.3">
      <c r="F8643"/>
      <c r="G8643"/>
      <c r="H8643"/>
      <c r="I8643"/>
    </row>
    <row r="8644" spans="6:9" x14ac:dyDescent="0.3">
      <c r="F8644"/>
      <c r="G8644"/>
      <c r="H8644"/>
      <c r="I8644"/>
    </row>
    <row r="8645" spans="6:9" x14ac:dyDescent="0.3">
      <c r="F8645"/>
      <c r="G8645"/>
      <c r="H8645"/>
      <c r="I8645"/>
    </row>
    <row r="8646" spans="6:9" x14ac:dyDescent="0.3">
      <c r="F8646"/>
      <c r="G8646"/>
      <c r="H8646"/>
      <c r="I8646"/>
    </row>
    <row r="8647" spans="6:9" x14ac:dyDescent="0.3">
      <c r="F8647"/>
      <c r="G8647"/>
      <c r="H8647"/>
      <c r="I8647"/>
    </row>
    <row r="8648" spans="6:9" x14ac:dyDescent="0.3">
      <c r="F8648"/>
      <c r="G8648"/>
      <c r="H8648"/>
      <c r="I8648"/>
    </row>
    <row r="8649" spans="6:9" x14ac:dyDescent="0.3">
      <c r="F8649"/>
      <c r="G8649"/>
      <c r="H8649"/>
      <c r="I8649"/>
    </row>
    <row r="8650" spans="6:9" x14ac:dyDescent="0.3">
      <c r="F8650"/>
      <c r="G8650"/>
      <c r="H8650"/>
      <c r="I8650"/>
    </row>
    <row r="8651" spans="6:9" x14ac:dyDescent="0.3">
      <c r="F8651"/>
      <c r="G8651"/>
      <c r="H8651"/>
      <c r="I8651"/>
    </row>
    <row r="8652" spans="6:9" x14ac:dyDescent="0.3">
      <c r="F8652"/>
      <c r="G8652"/>
      <c r="H8652"/>
      <c r="I8652"/>
    </row>
    <row r="8653" spans="6:9" x14ac:dyDescent="0.3">
      <c r="F8653"/>
      <c r="G8653"/>
      <c r="H8653"/>
      <c r="I8653"/>
    </row>
    <row r="8654" spans="6:9" x14ac:dyDescent="0.3">
      <c r="F8654"/>
      <c r="G8654"/>
      <c r="H8654"/>
      <c r="I8654"/>
    </row>
    <row r="8655" spans="6:9" x14ac:dyDescent="0.3">
      <c r="F8655"/>
      <c r="G8655"/>
      <c r="H8655"/>
      <c r="I8655"/>
    </row>
    <row r="8656" spans="6:9" x14ac:dyDescent="0.3">
      <c r="F8656"/>
      <c r="G8656"/>
      <c r="H8656"/>
      <c r="I8656"/>
    </row>
    <row r="8657" spans="6:9" x14ac:dyDescent="0.3">
      <c r="F8657"/>
      <c r="G8657"/>
      <c r="H8657"/>
      <c r="I8657"/>
    </row>
    <row r="8658" spans="6:9" x14ac:dyDescent="0.3">
      <c r="F8658"/>
      <c r="G8658"/>
      <c r="H8658"/>
      <c r="I8658"/>
    </row>
    <row r="8659" spans="6:9" x14ac:dyDescent="0.3">
      <c r="F8659"/>
      <c r="G8659"/>
      <c r="H8659"/>
      <c r="I8659"/>
    </row>
    <row r="8660" spans="6:9" x14ac:dyDescent="0.3">
      <c r="F8660"/>
      <c r="G8660"/>
      <c r="H8660"/>
      <c r="I8660"/>
    </row>
    <row r="8661" spans="6:9" x14ac:dyDescent="0.3">
      <c r="F8661"/>
      <c r="G8661"/>
      <c r="H8661"/>
      <c r="I8661"/>
    </row>
    <row r="8662" spans="6:9" x14ac:dyDescent="0.3">
      <c r="F8662"/>
      <c r="G8662"/>
      <c r="H8662"/>
      <c r="I8662"/>
    </row>
    <row r="8663" spans="6:9" x14ac:dyDescent="0.3">
      <c r="F8663"/>
      <c r="G8663"/>
      <c r="H8663"/>
      <c r="I8663"/>
    </row>
    <row r="8664" spans="6:9" x14ac:dyDescent="0.3">
      <c r="F8664"/>
      <c r="G8664"/>
      <c r="H8664"/>
      <c r="I8664"/>
    </row>
    <row r="8665" spans="6:9" x14ac:dyDescent="0.3">
      <c r="F8665"/>
      <c r="G8665"/>
      <c r="H8665"/>
      <c r="I8665"/>
    </row>
    <row r="8666" spans="6:9" x14ac:dyDescent="0.3">
      <c r="F8666"/>
      <c r="G8666"/>
      <c r="H8666"/>
      <c r="I8666"/>
    </row>
    <row r="8667" spans="6:9" x14ac:dyDescent="0.3">
      <c r="F8667"/>
      <c r="G8667"/>
      <c r="H8667"/>
      <c r="I8667"/>
    </row>
    <row r="8668" spans="6:9" x14ac:dyDescent="0.3">
      <c r="F8668"/>
      <c r="G8668"/>
      <c r="H8668"/>
      <c r="I8668"/>
    </row>
    <row r="8669" spans="6:9" x14ac:dyDescent="0.3">
      <c r="F8669"/>
      <c r="G8669"/>
      <c r="H8669"/>
      <c r="I8669"/>
    </row>
    <row r="8670" spans="6:9" x14ac:dyDescent="0.3">
      <c r="F8670"/>
      <c r="G8670"/>
      <c r="H8670"/>
      <c r="I8670"/>
    </row>
    <row r="8671" spans="6:9" x14ac:dyDescent="0.3">
      <c r="F8671"/>
      <c r="G8671"/>
      <c r="H8671"/>
      <c r="I8671"/>
    </row>
    <row r="8672" spans="6:9" x14ac:dyDescent="0.3">
      <c r="F8672"/>
      <c r="G8672"/>
      <c r="H8672"/>
      <c r="I8672"/>
    </row>
    <row r="8673" spans="6:9" x14ac:dyDescent="0.3">
      <c r="F8673"/>
      <c r="G8673"/>
      <c r="H8673"/>
      <c r="I8673"/>
    </row>
    <row r="8674" spans="6:9" x14ac:dyDescent="0.3">
      <c r="F8674"/>
      <c r="G8674"/>
      <c r="H8674"/>
      <c r="I8674"/>
    </row>
    <row r="8675" spans="6:9" x14ac:dyDescent="0.3">
      <c r="F8675"/>
      <c r="G8675"/>
      <c r="H8675"/>
      <c r="I8675"/>
    </row>
    <row r="8676" spans="6:9" x14ac:dyDescent="0.3">
      <c r="F8676"/>
      <c r="G8676"/>
      <c r="H8676"/>
      <c r="I8676"/>
    </row>
    <row r="8677" spans="6:9" x14ac:dyDescent="0.3">
      <c r="F8677"/>
      <c r="G8677"/>
      <c r="H8677"/>
      <c r="I8677"/>
    </row>
    <row r="8678" spans="6:9" x14ac:dyDescent="0.3">
      <c r="F8678"/>
      <c r="G8678"/>
      <c r="H8678"/>
      <c r="I8678"/>
    </row>
    <row r="8679" spans="6:9" x14ac:dyDescent="0.3">
      <c r="F8679"/>
      <c r="G8679"/>
      <c r="H8679"/>
      <c r="I8679"/>
    </row>
    <row r="8680" spans="6:9" x14ac:dyDescent="0.3">
      <c r="F8680"/>
      <c r="G8680"/>
      <c r="H8680"/>
      <c r="I8680"/>
    </row>
    <row r="8681" spans="6:9" x14ac:dyDescent="0.3">
      <c r="F8681"/>
      <c r="G8681"/>
      <c r="H8681"/>
      <c r="I8681"/>
    </row>
    <row r="8682" spans="6:9" x14ac:dyDescent="0.3">
      <c r="F8682"/>
      <c r="G8682"/>
      <c r="H8682"/>
      <c r="I8682"/>
    </row>
    <row r="8683" spans="6:9" x14ac:dyDescent="0.3">
      <c r="F8683"/>
      <c r="G8683"/>
      <c r="H8683"/>
      <c r="I8683"/>
    </row>
    <row r="8684" spans="6:9" x14ac:dyDescent="0.3">
      <c r="F8684"/>
      <c r="G8684"/>
      <c r="H8684"/>
      <c r="I8684"/>
    </row>
    <row r="8685" spans="6:9" x14ac:dyDescent="0.3">
      <c r="F8685"/>
      <c r="G8685"/>
      <c r="H8685"/>
      <c r="I8685"/>
    </row>
    <row r="8686" spans="6:9" x14ac:dyDescent="0.3">
      <c r="F8686"/>
      <c r="G8686"/>
      <c r="H8686"/>
      <c r="I8686"/>
    </row>
    <row r="8687" spans="6:9" x14ac:dyDescent="0.3">
      <c r="F8687"/>
      <c r="G8687"/>
      <c r="H8687"/>
      <c r="I8687"/>
    </row>
    <row r="8688" spans="6:9" x14ac:dyDescent="0.3">
      <c r="F8688"/>
      <c r="G8688"/>
      <c r="H8688"/>
      <c r="I8688"/>
    </row>
    <row r="8689" spans="6:9" x14ac:dyDescent="0.3">
      <c r="F8689"/>
      <c r="G8689"/>
      <c r="H8689"/>
      <c r="I8689"/>
    </row>
    <row r="8690" spans="6:9" x14ac:dyDescent="0.3">
      <c r="F8690"/>
      <c r="G8690"/>
      <c r="H8690"/>
      <c r="I8690"/>
    </row>
    <row r="8691" spans="6:9" x14ac:dyDescent="0.3">
      <c r="F8691"/>
      <c r="G8691"/>
      <c r="H8691"/>
      <c r="I8691"/>
    </row>
    <row r="8692" spans="6:9" x14ac:dyDescent="0.3">
      <c r="F8692"/>
      <c r="G8692"/>
      <c r="H8692"/>
      <c r="I8692"/>
    </row>
    <row r="8693" spans="6:9" x14ac:dyDescent="0.3">
      <c r="F8693"/>
      <c r="G8693"/>
      <c r="H8693"/>
      <c r="I8693"/>
    </row>
    <row r="8694" spans="6:9" x14ac:dyDescent="0.3">
      <c r="F8694"/>
      <c r="G8694"/>
      <c r="H8694"/>
      <c r="I8694"/>
    </row>
    <row r="8695" spans="6:9" x14ac:dyDescent="0.3">
      <c r="F8695"/>
      <c r="G8695"/>
      <c r="H8695"/>
      <c r="I8695"/>
    </row>
    <row r="8696" spans="6:9" x14ac:dyDescent="0.3">
      <c r="F8696"/>
      <c r="G8696"/>
      <c r="H8696"/>
      <c r="I8696"/>
    </row>
    <row r="8697" spans="6:9" x14ac:dyDescent="0.3">
      <c r="F8697"/>
      <c r="G8697"/>
      <c r="H8697"/>
      <c r="I8697"/>
    </row>
    <row r="8698" spans="6:9" x14ac:dyDescent="0.3">
      <c r="F8698"/>
      <c r="G8698"/>
      <c r="H8698"/>
      <c r="I8698"/>
    </row>
    <row r="8699" spans="6:9" x14ac:dyDescent="0.3">
      <c r="F8699"/>
      <c r="G8699"/>
      <c r="H8699"/>
      <c r="I8699"/>
    </row>
    <row r="8700" spans="6:9" x14ac:dyDescent="0.3">
      <c r="F8700"/>
      <c r="G8700"/>
      <c r="H8700"/>
      <c r="I8700"/>
    </row>
    <row r="8701" spans="6:9" x14ac:dyDescent="0.3">
      <c r="F8701"/>
      <c r="G8701"/>
      <c r="H8701"/>
      <c r="I8701"/>
    </row>
    <row r="8702" spans="6:9" x14ac:dyDescent="0.3">
      <c r="F8702"/>
      <c r="G8702"/>
      <c r="H8702"/>
      <c r="I8702"/>
    </row>
    <row r="8703" spans="6:9" x14ac:dyDescent="0.3">
      <c r="F8703"/>
      <c r="G8703"/>
      <c r="H8703"/>
      <c r="I8703"/>
    </row>
    <row r="8704" spans="6:9" x14ac:dyDescent="0.3">
      <c r="F8704"/>
      <c r="G8704"/>
      <c r="H8704"/>
      <c r="I8704"/>
    </row>
    <row r="8705" spans="6:9" x14ac:dyDescent="0.3">
      <c r="F8705"/>
      <c r="G8705"/>
      <c r="H8705"/>
      <c r="I8705"/>
    </row>
    <row r="8706" spans="6:9" x14ac:dyDescent="0.3">
      <c r="F8706"/>
      <c r="G8706"/>
      <c r="H8706"/>
      <c r="I8706"/>
    </row>
    <row r="8707" spans="6:9" x14ac:dyDescent="0.3">
      <c r="F8707"/>
      <c r="G8707"/>
      <c r="H8707"/>
      <c r="I8707"/>
    </row>
    <row r="8708" spans="6:9" x14ac:dyDescent="0.3">
      <c r="F8708"/>
      <c r="G8708"/>
      <c r="H8708"/>
      <c r="I8708"/>
    </row>
    <row r="8709" spans="6:9" x14ac:dyDescent="0.3">
      <c r="F8709"/>
      <c r="G8709"/>
      <c r="H8709"/>
      <c r="I8709"/>
    </row>
    <row r="8710" spans="6:9" x14ac:dyDescent="0.3">
      <c r="F8710"/>
      <c r="G8710"/>
      <c r="H8710"/>
      <c r="I8710"/>
    </row>
    <row r="8711" spans="6:9" x14ac:dyDescent="0.3">
      <c r="F8711"/>
      <c r="G8711"/>
      <c r="H8711"/>
      <c r="I8711"/>
    </row>
    <row r="8712" spans="6:9" x14ac:dyDescent="0.3">
      <c r="F8712"/>
      <c r="G8712"/>
      <c r="H8712"/>
      <c r="I8712"/>
    </row>
    <row r="8713" spans="6:9" x14ac:dyDescent="0.3">
      <c r="F8713"/>
      <c r="G8713"/>
      <c r="H8713"/>
      <c r="I8713"/>
    </row>
    <row r="8714" spans="6:9" x14ac:dyDescent="0.3">
      <c r="F8714"/>
      <c r="G8714"/>
      <c r="H8714"/>
      <c r="I8714"/>
    </row>
    <row r="8715" spans="6:9" x14ac:dyDescent="0.3">
      <c r="F8715"/>
      <c r="G8715"/>
      <c r="H8715"/>
      <c r="I8715"/>
    </row>
    <row r="8716" spans="6:9" x14ac:dyDescent="0.3">
      <c r="F8716"/>
      <c r="G8716"/>
      <c r="H8716"/>
      <c r="I8716"/>
    </row>
    <row r="8717" spans="6:9" x14ac:dyDescent="0.3">
      <c r="F8717"/>
      <c r="G8717"/>
      <c r="H8717"/>
      <c r="I8717"/>
    </row>
    <row r="8718" spans="6:9" x14ac:dyDescent="0.3">
      <c r="F8718"/>
      <c r="G8718"/>
      <c r="H8718"/>
      <c r="I8718"/>
    </row>
    <row r="8719" spans="6:9" x14ac:dyDescent="0.3">
      <c r="F8719"/>
      <c r="G8719"/>
      <c r="H8719"/>
      <c r="I8719"/>
    </row>
    <row r="8720" spans="6:9" x14ac:dyDescent="0.3">
      <c r="F8720"/>
      <c r="G8720"/>
      <c r="H8720"/>
      <c r="I8720"/>
    </row>
    <row r="8721" spans="6:9" x14ac:dyDescent="0.3">
      <c r="F8721"/>
      <c r="G8721"/>
      <c r="H8721"/>
      <c r="I8721"/>
    </row>
    <row r="8722" spans="6:9" x14ac:dyDescent="0.3">
      <c r="F8722"/>
      <c r="G8722"/>
      <c r="H8722"/>
      <c r="I8722"/>
    </row>
    <row r="8723" spans="6:9" x14ac:dyDescent="0.3">
      <c r="F8723"/>
      <c r="G8723"/>
      <c r="H8723"/>
      <c r="I8723"/>
    </row>
    <row r="8724" spans="6:9" x14ac:dyDescent="0.3">
      <c r="F8724"/>
      <c r="G8724"/>
      <c r="H8724"/>
      <c r="I8724"/>
    </row>
    <row r="8725" spans="6:9" x14ac:dyDescent="0.3">
      <c r="F8725"/>
      <c r="G8725"/>
      <c r="H8725"/>
      <c r="I8725"/>
    </row>
    <row r="8726" spans="6:9" x14ac:dyDescent="0.3">
      <c r="F8726"/>
      <c r="G8726"/>
      <c r="H8726"/>
      <c r="I8726"/>
    </row>
    <row r="8727" spans="6:9" x14ac:dyDescent="0.3">
      <c r="F8727"/>
      <c r="G8727"/>
      <c r="H8727"/>
      <c r="I8727"/>
    </row>
    <row r="8728" spans="6:9" x14ac:dyDescent="0.3">
      <c r="F8728"/>
      <c r="G8728"/>
      <c r="H8728"/>
      <c r="I8728"/>
    </row>
    <row r="8729" spans="6:9" x14ac:dyDescent="0.3">
      <c r="F8729"/>
      <c r="G8729"/>
      <c r="H8729"/>
      <c r="I8729"/>
    </row>
    <row r="8730" spans="6:9" x14ac:dyDescent="0.3">
      <c r="F8730"/>
      <c r="G8730"/>
      <c r="H8730"/>
      <c r="I8730"/>
    </row>
    <row r="8731" spans="6:9" x14ac:dyDescent="0.3">
      <c r="F8731"/>
      <c r="G8731"/>
      <c r="H8731"/>
      <c r="I8731"/>
    </row>
    <row r="8732" spans="6:9" x14ac:dyDescent="0.3">
      <c r="F8732"/>
      <c r="G8732"/>
      <c r="H8732"/>
      <c r="I8732"/>
    </row>
    <row r="8733" spans="6:9" x14ac:dyDescent="0.3">
      <c r="F8733"/>
      <c r="G8733"/>
      <c r="H8733"/>
      <c r="I8733"/>
    </row>
    <row r="8734" spans="6:9" x14ac:dyDescent="0.3">
      <c r="F8734"/>
      <c r="G8734"/>
      <c r="H8734"/>
      <c r="I8734"/>
    </row>
    <row r="8735" spans="6:9" x14ac:dyDescent="0.3">
      <c r="F8735"/>
      <c r="G8735"/>
      <c r="H8735"/>
      <c r="I8735"/>
    </row>
    <row r="8736" spans="6:9" x14ac:dyDescent="0.3">
      <c r="F8736"/>
      <c r="G8736"/>
      <c r="H8736"/>
      <c r="I8736"/>
    </row>
    <row r="8737" spans="6:9" x14ac:dyDescent="0.3">
      <c r="F8737"/>
      <c r="G8737"/>
      <c r="H8737"/>
      <c r="I8737"/>
    </row>
    <row r="8738" spans="6:9" x14ac:dyDescent="0.3">
      <c r="F8738"/>
      <c r="G8738"/>
      <c r="H8738"/>
      <c r="I8738"/>
    </row>
    <row r="8739" spans="6:9" x14ac:dyDescent="0.3">
      <c r="F8739"/>
      <c r="G8739"/>
      <c r="H8739"/>
      <c r="I8739"/>
    </row>
    <row r="8740" spans="6:9" x14ac:dyDescent="0.3">
      <c r="F8740"/>
      <c r="G8740"/>
      <c r="H8740"/>
      <c r="I8740"/>
    </row>
    <row r="8741" spans="6:9" x14ac:dyDescent="0.3">
      <c r="F8741"/>
      <c r="G8741"/>
      <c r="H8741"/>
      <c r="I8741"/>
    </row>
    <row r="8742" spans="6:9" x14ac:dyDescent="0.3">
      <c r="F8742"/>
      <c r="G8742"/>
      <c r="H8742"/>
      <c r="I8742"/>
    </row>
    <row r="8743" spans="6:9" x14ac:dyDescent="0.3">
      <c r="F8743"/>
      <c r="G8743"/>
      <c r="H8743"/>
      <c r="I8743"/>
    </row>
    <row r="8744" spans="6:9" x14ac:dyDescent="0.3">
      <c r="F8744"/>
      <c r="G8744"/>
      <c r="H8744"/>
      <c r="I8744"/>
    </row>
    <row r="8745" spans="6:9" x14ac:dyDescent="0.3">
      <c r="F8745"/>
      <c r="G8745"/>
      <c r="H8745"/>
      <c r="I8745"/>
    </row>
    <row r="8746" spans="6:9" x14ac:dyDescent="0.3">
      <c r="F8746"/>
      <c r="G8746"/>
      <c r="H8746"/>
      <c r="I8746"/>
    </row>
    <row r="8747" spans="6:9" x14ac:dyDescent="0.3">
      <c r="F8747"/>
      <c r="G8747"/>
      <c r="H8747"/>
      <c r="I8747"/>
    </row>
    <row r="8748" spans="6:9" x14ac:dyDescent="0.3">
      <c r="F8748"/>
      <c r="G8748"/>
      <c r="H8748"/>
      <c r="I8748"/>
    </row>
    <row r="8749" spans="6:9" x14ac:dyDescent="0.3">
      <c r="F8749"/>
      <c r="G8749"/>
      <c r="H8749"/>
      <c r="I8749"/>
    </row>
    <row r="8750" spans="6:9" x14ac:dyDescent="0.3">
      <c r="F8750"/>
      <c r="G8750"/>
      <c r="H8750"/>
      <c r="I8750"/>
    </row>
    <row r="8751" spans="6:9" x14ac:dyDescent="0.3">
      <c r="F8751"/>
      <c r="G8751"/>
      <c r="H8751"/>
      <c r="I8751"/>
    </row>
    <row r="8752" spans="6:9" x14ac:dyDescent="0.3">
      <c r="F8752"/>
      <c r="G8752"/>
      <c r="H8752"/>
      <c r="I8752"/>
    </row>
    <row r="8753" spans="6:9" x14ac:dyDescent="0.3">
      <c r="F8753"/>
      <c r="G8753"/>
      <c r="H8753"/>
      <c r="I8753"/>
    </row>
    <row r="8754" spans="6:9" x14ac:dyDescent="0.3">
      <c r="F8754"/>
      <c r="G8754"/>
      <c r="H8754"/>
      <c r="I8754"/>
    </row>
    <row r="8755" spans="6:9" x14ac:dyDescent="0.3">
      <c r="F8755"/>
      <c r="G8755"/>
      <c r="H8755"/>
      <c r="I8755"/>
    </row>
    <row r="8756" spans="6:9" x14ac:dyDescent="0.3">
      <c r="F8756"/>
      <c r="G8756"/>
      <c r="H8756"/>
      <c r="I8756"/>
    </row>
    <row r="8757" spans="6:9" x14ac:dyDescent="0.3">
      <c r="F8757"/>
      <c r="G8757"/>
      <c r="H8757"/>
      <c r="I8757"/>
    </row>
    <row r="8758" spans="6:9" x14ac:dyDescent="0.3">
      <c r="F8758"/>
      <c r="G8758"/>
      <c r="H8758"/>
      <c r="I8758"/>
    </row>
    <row r="8759" spans="6:9" x14ac:dyDescent="0.3">
      <c r="F8759"/>
      <c r="G8759"/>
      <c r="H8759"/>
      <c r="I8759"/>
    </row>
    <row r="8760" spans="6:9" x14ac:dyDescent="0.3">
      <c r="F8760"/>
      <c r="G8760"/>
      <c r="H8760"/>
      <c r="I8760"/>
    </row>
    <row r="8761" spans="6:9" x14ac:dyDescent="0.3">
      <c r="F8761"/>
      <c r="G8761"/>
      <c r="H8761"/>
      <c r="I8761"/>
    </row>
    <row r="8762" spans="6:9" x14ac:dyDescent="0.3">
      <c r="F8762"/>
      <c r="G8762"/>
      <c r="H8762"/>
      <c r="I8762"/>
    </row>
    <row r="8763" spans="6:9" x14ac:dyDescent="0.3">
      <c r="F8763"/>
      <c r="G8763"/>
      <c r="H8763"/>
      <c r="I8763"/>
    </row>
    <row r="8764" spans="6:9" x14ac:dyDescent="0.3">
      <c r="F8764"/>
      <c r="G8764"/>
      <c r="H8764"/>
      <c r="I8764"/>
    </row>
    <row r="8765" spans="6:9" x14ac:dyDescent="0.3">
      <c r="F8765"/>
      <c r="G8765"/>
      <c r="H8765"/>
      <c r="I8765"/>
    </row>
    <row r="8766" spans="6:9" x14ac:dyDescent="0.3">
      <c r="F8766"/>
      <c r="G8766"/>
      <c r="H8766"/>
      <c r="I8766"/>
    </row>
    <row r="8767" spans="6:9" x14ac:dyDescent="0.3">
      <c r="F8767"/>
      <c r="G8767"/>
      <c r="H8767"/>
      <c r="I8767"/>
    </row>
    <row r="8768" spans="6:9" x14ac:dyDescent="0.3">
      <c r="F8768"/>
      <c r="G8768"/>
      <c r="H8768"/>
      <c r="I8768"/>
    </row>
    <row r="8769" spans="6:9" x14ac:dyDescent="0.3">
      <c r="F8769"/>
      <c r="G8769"/>
      <c r="H8769"/>
      <c r="I8769"/>
    </row>
    <row r="8770" spans="6:9" x14ac:dyDescent="0.3">
      <c r="F8770"/>
      <c r="G8770"/>
      <c r="H8770"/>
      <c r="I8770"/>
    </row>
    <row r="8771" spans="6:9" x14ac:dyDescent="0.3">
      <c r="F8771"/>
      <c r="G8771"/>
      <c r="H8771"/>
      <c r="I8771"/>
    </row>
    <row r="8772" spans="6:9" x14ac:dyDescent="0.3">
      <c r="F8772"/>
      <c r="G8772"/>
      <c r="H8772"/>
      <c r="I8772"/>
    </row>
    <row r="8773" spans="6:9" x14ac:dyDescent="0.3">
      <c r="F8773"/>
      <c r="G8773"/>
      <c r="H8773"/>
      <c r="I8773"/>
    </row>
    <row r="8774" spans="6:9" x14ac:dyDescent="0.3">
      <c r="F8774"/>
      <c r="G8774"/>
      <c r="H8774"/>
      <c r="I8774"/>
    </row>
    <row r="8775" spans="6:9" x14ac:dyDescent="0.3">
      <c r="F8775"/>
      <c r="G8775"/>
      <c r="H8775"/>
      <c r="I8775"/>
    </row>
    <row r="8776" spans="6:9" x14ac:dyDescent="0.3">
      <c r="F8776"/>
      <c r="G8776"/>
      <c r="H8776"/>
      <c r="I8776"/>
    </row>
    <row r="8777" spans="6:9" x14ac:dyDescent="0.3">
      <c r="F8777"/>
      <c r="G8777"/>
      <c r="H8777"/>
      <c r="I8777"/>
    </row>
    <row r="8778" spans="6:9" x14ac:dyDescent="0.3">
      <c r="F8778"/>
      <c r="G8778"/>
      <c r="H8778"/>
      <c r="I8778"/>
    </row>
    <row r="8779" spans="6:9" x14ac:dyDescent="0.3">
      <c r="F8779"/>
      <c r="G8779"/>
      <c r="H8779"/>
      <c r="I8779"/>
    </row>
    <row r="8780" spans="6:9" x14ac:dyDescent="0.3">
      <c r="F8780"/>
      <c r="G8780"/>
      <c r="H8780"/>
      <c r="I8780"/>
    </row>
    <row r="8781" spans="6:9" x14ac:dyDescent="0.3">
      <c r="F8781"/>
      <c r="G8781"/>
      <c r="H8781"/>
      <c r="I8781"/>
    </row>
    <row r="8782" spans="6:9" x14ac:dyDescent="0.3">
      <c r="F8782"/>
      <c r="G8782"/>
      <c r="H8782"/>
      <c r="I8782"/>
    </row>
    <row r="8783" spans="6:9" x14ac:dyDescent="0.3">
      <c r="F8783"/>
      <c r="G8783"/>
      <c r="H8783"/>
      <c r="I8783"/>
    </row>
    <row r="8784" spans="6:9" x14ac:dyDescent="0.3">
      <c r="F8784"/>
      <c r="G8784"/>
      <c r="H8784"/>
      <c r="I8784"/>
    </row>
    <row r="8785" spans="6:9" x14ac:dyDescent="0.3">
      <c r="F8785"/>
      <c r="G8785"/>
      <c r="H8785"/>
      <c r="I8785"/>
    </row>
    <row r="8786" spans="6:9" x14ac:dyDescent="0.3">
      <c r="F8786"/>
      <c r="G8786"/>
      <c r="H8786"/>
      <c r="I8786"/>
    </row>
    <row r="8787" spans="6:9" x14ac:dyDescent="0.3">
      <c r="F8787"/>
      <c r="G8787"/>
      <c r="H8787"/>
      <c r="I8787"/>
    </row>
    <row r="8788" spans="6:9" x14ac:dyDescent="0.3">
      <c r="F8788"/>
      <c r="G8788"/>
      <c r="H8788"/>
      <c r="I8788"/>
    </row>
    <row r="8789" spans="6:9" x14ac:dyDescent="0.3">
      <c r="F8789"/>
      <c r="G8789"/>
      <c r="H8789"/>
      <c r="I8789"/>
    </row>
    <row r="8790" spans="6:9" x14ac:dyDescent="0.3">
      <c r="F8790"/>
      <c r="G8790"/>
      <c r="H8790"/>
      <c r="I8790"/>
    </row>
    <row r="8791" spans="6:9" x14ac:dyDescent="0.3">
      <c r="F8791"/>
      <c r="G8791"/>
      <c r="H8791"/>
      <c r="I8791"/>
    </row>
    <row r="8792" spans="6:9" x14ac:dyDescent="0.3">
      <c r="F8792"/>
      <c r="G8792"/>
      <c r="H8792"/>
      <c r="I8792"/>
    </row>
    <row r="8793" spans="6:9" x14ac:dyDescent="0.3">
      <c r="F8793"/>
      <c r="G8793"/>
      <c r="H8793"/>
      <c r="I8793"/>
    </row>
    <row r="8794" spans="6:9" x14ac:dyDescent="0.3">
      <c r="F8794"/>
      <c r="G8794"/>
      <c r="H8794"/>
      <c r="I8794"/>
    </row>
    <row r="8795" spans="6:9" x14ac:dyDescent="0.3">
      <c r="F8795"/>
      <c r="G8795"/>
      <c r="H8795"/>
      <c r="I8795"/>
    </row>
    <row r="8796" spans="6:9" x14ac:dyDescent="0.3">
      <c r="F8796"/>
      <c r="G8796"/>
      <c r="H8796"/>
      <c r="I8796"/>
    </row>
    <row r="8797" spans="6:9" x14ac:dyDescent="0.3">
      <c r="F8797"/>
      <c r="G8797"/>
      <c r="H8797"/>
      <c r="I8797"/>
    </row>
    <row r="8798" spans="6:9" x14ac:dyDescent="0.3">
      <c r="F8798"/>
      <c r="G8798"/>
      <c r="H8798"/>
      <c r="I8798"/>
    </row>
    <row r="8799" spans="6:9" x14ac:dyDescent="0.3">
      <c r="F8799"/>
      <c r="G8799"/>
      <c r="H8799"/>
      <c r="I8799"/>
    </row>
    <row r="8800" spans="6:9" x14ac:dyDescent="0.3">
      <c r="F8800"/>
      <c r="G8800"/>
      <c r="H8800"/>
      <c r="I8800"/>
    </row>
    <row r="8801" spans="6:9" x14ac:dyDescent="0.3">
      <c r="F8801"/>
      <c r="G8801"/>
      <c r="H8801"/>
      <c r="I8801"/>
    </row>
    <row r="8802" spans="6:9" x14ac:dyDescent="0.3">
      <c r="F8802"/>
      <c r="G8802"/>
      <c r="H8802"/>
      <c r="I8802"/>
    </row>
    <row r="8803" spans="6:9" x14ac:dyDescent="0.3">
      <c r="F8803"/>
      <c r="G8803"/>
      <c r="H8803"/>
      <c r="I8803"/>
    </row>
    <row r="8804" spans="6:9" x14ac:dyDescent="0.3">
      <c r="F8804"/>
      <c r="G8804"/>
      <c r="H8804"/>
      <c r="I8804"/>
    </row>
    <row r="8805" spans="6:9" x14ac:dyDescent="0.3">
      <c r="F8805"/>
      <c r="G8805"/>
      <c r="H8805"/>
      <c r="I8805"/>
    </row>
    <row r="8806" spans="6:9" x14ac:dyDescent="0.3">
      <c r="F8806"/>
      <c r="G8806"/>
      <c r="H8806"/>
      <c r="I8806"/>
    </row>
    <row r="8807" spans="6:9" x14ac:dyDescent="0.3">
      <c r="F8807"/>
      <c r="G8807"/>
      <c r="H8807"/>
      <c r="I8807"/>
    </row>
    <row r="8808" spans="6:9" x14ac:dyDescent="0.3">
      <c r="F8808"/>
      <c r="G8808"/>
      <c r="H8808"/>
      <c r="I8808"/>
    </row>
    <row r="8809" spans="6:9" x14ac:dyDescent="0.3">
      <c r="F8809"/>
      <c r="G8809"/>
      <c r="H8809"/>
      <c r="I8809"/>
    </row>
    <row r="8810" spans="6:9" x14ac:dyDescent="0.3">
      <c r="F8810"/>
      <c r="G8810"/>
      <c r="H8810"/>
      <c r="I8810"/>
    </row>
    <row r="8811" spans="6:9" x14ac:dyDescent="0.3">
      <c r="F8811"/>
      <c r="G8811"/>
      <c r="H8811"/>
      <c r="I8811"/>
    </row>
    <row r="8812" spans="6:9" x14ac:dyDescent="0.3">
      <c r="F8812"/>
      <c r="G8812"/>
      <c r="H8812"/>
      <c r="I8812"/>
    </row>
    <row r="8813" spans="6:9" x14ac:dyDescent="0.3">
      <c r="F8813"/>
      <c r="G8813"/>
      <c r="H8813"/>
      <c r="I8813"/>
    </row>
    <row r="8814" spans="6:9" x14ac:dyDescent="0.3">
      <c r="F8814"/>
      <c r="G8814"/>
      <c r="H8814"/>
      <c r="I8814"/>
    </row>
    <row r="8815" spans="6:9" x14ac:dyDescent="0.3">
      <c r="F8815"/>
      <c r="G8815"/>
      <c r="H8815"/>
      <c r="I8815"/>
    </row>
    <row r="8816" spans="6:9" x14ac:dyDescent="0.3">
      <c r="F8816"/>
      <c r="G8816"/>
      <c r="H8816"/>
      <c r="I8816"/>
    </row>
    <row r="8817" spans="6:9" x14ac:dyDescent="0.3">
      <c r="F8817"/>
      <c r="G8817"/>
      <c r="H8817"/>
      <c r="I8817"/>
    </row>
    <row r="8818" spans="6:9" x14ac:dyDescent="0.3">
      <c r="F8818"/>
      <c r="G8818"/>
      <c r="H8818"/>
      <c r="I8818"/>
    </row>
    <row r="8819" spans="6:9" x14ac:dyDescent="0.3">
      <c r="F8819"/>
      <c r="G8819"/>
      <c r="H8819"/>
      <c r="I8819"/>
    </row>
    <row r="8820" spans="6:9" x14ac:dyDescent="0.3">
      <c r="F8820"/>
      <c r="G8820"/>
      <c r="H8820"/>
      <c r="I8820"/>
    </row>
    <row r="8821" spans="6:9" x14ac:dyDescent="0.3">
      <c r="F8821"/>
      <c r="G8821"/>
      <c r="H8821"/>
      <c r="I8821"/>
    </row>
    <row r="8822" spans="6:9" x14ac:dyDescent="0.3">
      <c r="F8822"/>
      <c r="G8822"/>
      <c r="H8822"/>
      <c r="I8822"/>
    </row>
    <row r="8823" spans="6:9" x14ac:dyDescent="0.3">
      <c r="F8823"/>
      <c r="G8823"/>
      <c r="H8823"/>
      <c r="I8823"/>
    </row>
    <row r="8824" spans="6:9" x14ac:dyDescent="0.3">
      <c r="F8824"/>
      <c r="G8824"/>
      <c r="H8824"/>
      <c r="I8824"/>
    </row>
    <row r="8825" spans="6:9" x14ac:dyDescent="0.3">
      <c r="F8825"/>
      <c r="G8825"/>
      <c r="H8825"/>
      <c r="I8825"/>
    </row>
    <row r="8826" spans="6:9" x14ac:dyDescent="0.3">
      <c r="F8826"/>
      <c r="G8826"/>
      <c r="H8826"/>
      <c r="I8826"/>
    </row>
    <row r="8827" spans="6:9" x14ac:dyDescent="0.3">
      <c r="F8827"/>
      <c r="G8827"/>
      <c r="H8827"/>
      <c r="I8827"/>
    </row>
    <row r="8828" spans="6:9" x14ac:dyDescent="0.3">
      <c r="F8828"/>
      <c r="G8828"/>
      <c r="H8828"/>
      <c r="I8828"/>
    </row>
    <row r="8829" spans="6:9" x14ac:dyDescent="0.3">
      <c r="F8829"/>
      <c r="G8829"/>
      <c r="H8829"/>
      <c r="I8829"/>
    </row>
    <row r="8830" spans="6:9" x14ac:dyDescent="0.3">
      <c r="F8830"/>
      <c r="G8830"/>
      <c r="H8830"/>
      <c r="I8830"/>
    </row>
    <row r="8831" spans="6:9" x14ac:dyDescent="0.3">
      <c r="F8831"/>
      <c r="G8831"/>
      <c r="H8831"/>
      <c r="I8831"/>
    </row>
    <row r="8832" spans="6:9" x14ac:dyDescent="0.3">
      <c r="F8832"/>
      <c r="G8832"/>
      <c r="H8832"/>
      <c r="I8832"/>
    </row>
    <row r="8833" spans="6:9" x14ac:dyDescent="0.3">
      <c r="F8833"/>
      <c r="G8833"/>
      <c r="H8833"/>
      <c r="I8833"/>
    </row>
    <row r="8834" spans="6:9" x14ac:dyDescent="0.3">
      <c r="F8834"/>
      <c r="G8834"/>
      <c r="H8834"/>
      <c r="I8834"/>
    </row>
    <row r="8835" spans="6:9" x14ac:dyDescent="0.3">
      <c r="F8835"/>
      <c r="G8835"/>
      <c r="H8835"/>
      <c r="I8835"/>
    </row>
    <row r="8836" spans="6:9" x14ac:dyDescent="0.3">
      <c r="F8836"/>
      <c r="G8836"/>
      <c r="H8836"/>
      <c r="I8836"/>
    </row>
    <row r="8837" spans="6:9" x14ac:dyDescent="0.3">
      <c r="F8837"/>
      <c r="G8837"/>
      <c r="H8837"/>
      <c r="I8837"/>
    </row>
    <row r="8838" spans="6:9" x14ac:dyDescent="0.3">
      <c r="F8838"/>
      <c r="G8838"/>
      <c r="H8838"/>
      <c r="I8838"/>
    </row>
    <row r="8839" spans="6:9" x14ac:dyDescent="0.3">
      <c r="F8839"/>
      <c r="G8839"/>
      <c r="H8839"/>
      <c r="I8839"/>
    </row>
    <row r="8840" spans="6:9" x14ac:dyDescent="0.3">
      <c r="F8840"/>
      <c r="G8840"/>
      <c r="H8840"/>
      <c r="I8840"/>
    </row>
    <row r="8841" spans="6:9" x14ac:dyDescent="0.3">
      <c r="F8841"/>
      <c r="G8841"/>
      <c r="H8841"/>
      <c r="I8841"/>
    </row>
    <row r="8842" spans="6:9" x14ac:dyDescent="0.3">
      <c r="F8842"/>
      <c r="G8842"/>
      <c r="H8842"/>
      <c r="I8842"/>
    </row>
    <row r="8843" spans="6:9" x14ac:dyDescent="0.3">
      <c r="F8843"/>
      <c r="G8843"/>
      <c r="H8843"/>
      <c r="I8843"/>
    </row>
    <row r="8844" spans="6:9" x14ac:dyDescent="0.3">
      <c r="F8844"/>
      <c r="G8844"/>
      <c r="H8844"/>
      <c r="I8844"/>
    </row>
    <row r="8845" spans="6:9" x14ac:dyDescent="0.3">
      <c r="F8845"/>
      <c r="G8845"/>
      <c r="H8845"/>
      <c r="I8845"/>
    </row>
    <row r="8846" spans="6:9" x14ac:dyDescent="0.3">
      <c r="F8846"/>
      <c r="G8846"/>
      <c r="H8846"/>
      <c r="I8846"/>
    </row>
    <row r="8847" spans="6:9" x14ac:dyDescent="0.3">
      <c r="F8847"/>
      <c r="G8847"/>
      <c r="H8847"/>
      <c r="I8847"/>
    </row>
    <row r="8848" spans="6:9" x14ac:dyDescent="0.3">
      <c r="F8848"/>
      <c r="G8848"/>
      <c r="H8848"/>
      <c r="I8848"/>
    </row>
    <row r="8849" spans="6:9" x14ac:dyDescent="0.3">
      <c r="F8849"/>
      <c r="G8849"/>
      <c r="H8849"/>
      <c r="I8849"/>
    </row>
    <row r="8850" spans="6:9" x14ac:dyDescent="0.3">
      <c r="F8850"/>
      <c r="G8850"/>
      <c r="H8850"/>
      <c r="I8850"/>
    </row>
    <row r="8851" spans="6:9" x14ac:dyDescent="0.3">
      <c r="F8851"/>
      <c r="G8851"/>
      <c r="H8851"/>
      <c r="I8851"/>
    </row>
    <row r="8852" spans="6:9" x14ac:dyDescent="0.3">
      <c r="F8852"/>
      <c r="G8852"/>
      <c r="H8852"/>
      <c r="I8852"/>
    </row>
    <row r="8853" spans="6:9" x14ac:dyDescent="0.3">
      <c r="F8853"/>
      <c r="G8853"/>
      <c r="H8853"/>
      <c r="I8853"/>
    </row>
    <row r="8854" spans="6:9" x14ac:dyDescent="0.3">
      <c r="F8854"/>
      <c r="G8854"/>
      <c r="H8854"/>
      <c r="I8854"/>
    </row>
    <row r="8855" spans="6:9" x14ac:dyDescent="0.3">
      <c r="F8855"/>
      <c r="G8855"/>
      <c r="H8855"/>
      <c r="I8855"/>
    </row>
    <row r="8856" spans="6:9" x14ac:dyDescent="0.3">
      <c r="F8856"/>
      <c r="G8856"/>
      <c r="H8856"/>
      <c r="I8856"/>
    </row>
    <row r="8857" spans="6:9" x14ac:dyDescent="0.3">
      <c r="F8857"/>
      <c r="G8857"/>
      <c r="H8857"/>
      <c r="I8857"/>
    </row>
    <row r="8858" spans="6:9" x14ac:dyDescent="0.3">
      <c r="F8858"/>
      <c r="G8858"/>
      <c r="H8858"/>
      <c r="I8858"/>
    </row>
    <row r="8859" spans="6:9" x14ac:dyDescent="0.3">
      <c r="F8859"/>
      <c r="G8859"/>
      <c r="H8859"/>
      <c r="I8859"/>
    </row>
    <row r="8860" spans="6:9" x14ac:dyDescent="0.3">
      <c r="F8860"/>
      <c r="G8860"/>
      <c r="H8860"/>
      <c r="I8860"/>
    </row>
    <row r="8861" spans="6:9" x14ac:dyDescent="0.3">
      <c r="F8861"/>
      <c r="G8861"/>
      <c r="H8861"/>
      <c r="I8861"/>
    </row>
    <row r="8862" spans="6:9" x14ac:dyDescent="0.3">
      <c r="F8862"/>
      <c r="G8862"/>
      <c r="H8862"/>
      <c r="I8862"/>
    </row>
    <row r="8863" spans="6:9" x14ac:dyDescent="0.3">
      <c r="F8863"/>
      <c r="G8863"/>
      <c r="H8863"/>
      <c r="I8863"/>
    </row>
    <row r="8864" spans="6:9" x14ac:dyDescent="0.3">
      <c r="F8864"/>
      <c r="G8864"/>
      <c r="H8864"/>
      <c r="I8864"/>
    </row>
    <row r="8865" spans="6:9" x14ac:dyDescent="0.3">
      <c r="F8865"/>
      <c r="G8865"/>
      <c r="H8865"/>
      <c r="I8865"/>
    </row>
    <row r="8866" spans="6:9" x14ac:dyDescent="0.3">
      <c r="F8866"/>
      <c r="G8866"/>
      <c r="H8866"/>
      <c r="I8866"/>
    </row>
    <row r="8867" spans="6:9" x14ac:dyDescent="0.3">
      <c r="F8867"/>
      <c r="G8867"/>
      <c r="H8867"/>
      <c r="I8867"/>
    </row>
    <row r="8868" spans="6:9" x14ac:dyDescent="0.3">
      <c r="F8868"/>
      <c r="G8868"/>
      <c r="H8868"/>
      <c r="I8868"/>
    </row>
    <row r="8869" spans="6:9" x14ac:dyDescent="0.3">
      <c r="F8869"/>
      <c r="G8869"/>
      <c r="H8869"/>
      <c r="I8869"/>
    </row>
    <row r="8870" spans="6:9" x14ac:dyDescent="0.3">
      <c r="F8870"/>
      <c r="G8870"/>
      <c r="H8870"/>
      <c r="I8870"/>
    </row>
    <row r="8871" spans="6:9" x14ac:dyDescent="0.3">
      <c r="F8871"/>
      <c r="G8871"/>
      <c r="H8871"/>
      <c r="I8871"/>
    </row>
    <row r="8872" spans="6:9" x14ac:dyDescent="0.3">
      <c r="F8872"/>
      <c r="G8872"/>
      <c r="H8872"/>
      <c r="I8872"/>
    </row>
    <row r="8873" spans="6:9" x14ac:dyDescent="0.3">
      <c r="F8873"/>
      <c r="G8873"/>
      <c r="H8873"/>
      <c r="I8873"/>
    </row>
    <row r="8874" spans="6:9" x14ac:dyDescent="0.3">
      <c r="F8874"/>
      <c r="G8874"/>
      <c r="H8874"/>
      <c r="I8874"/>
    </row>
    <row r="8875" spans="6:9" x14ac:dyDescent="0.3">
      <c r="F8875"/>
      <c r="G8875"/>
      <c r="H8875"/>
      <c r="I8875"/>
    </row>
    <row r="8876" spans="6:9" x14ac:dyDescent="0.3">
      <c r="F8876"/>
      <c r="G8876"/>
      <c r="H8876"/>
      <c r="I8876"/>
    </row>
    <row r="8877" spans="6:9" x14ac:dyDescent="0.3">
      <c r="F8877"/>
      <c r="G8877"/>
      <c r="H8877"/>
      <c r="I8877"/>
    </row>
    <row r="8878" spans="6:9" x14ac:dyDescent="0.3">
      <c r="F8878"/>
      <c r="G8878"/>
      <c r="H8878"/>
      <c r="I8878"/>
    </row>
    <row r="8879" spans="6:9" x14ac:dyDescent="0.3">
      <c r="F8879"/>
      <c r="G8879"/>
      <c r="H8879"/>
      <c r="I8879"/>
    </row>
    <row r="8880" spans="6:9" x14ac:dyDescent="0.3">
      <c r="F8880"/>
      <c r="G8880"/>
      <c r="H8880"/>
      <c r="I8880"/>
    </row>
    <row r="8881" spans="6:9" x14ac:dyDescent="0.3">
      <c r="F8881"/>
      <c r="G8881"/>
      <c r="H8881"/>
      <c r="I8881"/>
    </row>
    <row r="8882" spans="6:9" x14ac:dyDescent="0.3">
      <c r="F8882"/>
      <c r="G8882"/>
      <c r="H8882"/>
      <c r="I8882"/>
    </row>
    <row r="8883" spans="6:9" x14ac:dyDescent="0.3">
      <c r="F8883"/>
      <c r="G8883"/>
      <c r="H8883"/>
      <c r="I8883"/>
    </row>
    <row r="8884" spans="6:9" x14ac:dyDescent="0.3">
      <c r="F8884"/>
      <c r="G8884"/>
      <c r="H8884"/>
      <c r="I8884"/>
    </row>
    <row r="8885" spans="6:9" x14ac:dyDescent="0.3">
      <c r="F8885"/>
      <c r="G8885"/>
      <c r="H8885"/>
      <c r="I8885"/>
    </row>
    <row r="8886" spans="6:9" x14ac:dyDescent="0.3">
      <c r="F8886"/>
      <c r="G8886"/>
      <c r="H8886"/>
      <c r="I8886"/>
    </row>
    <row r="8887" spans="6:9" x14ac:dyDescent="0.3">
      <c r="F8887"/>
      <c r="G8887"/>
      <c r="H8887"/>
      <c r="I8887"/>
    </row>
    <row r="8888" spans="6:9" x14ac:dyDescent="0.3">
      <c r="F8888"/>
      <c r="G8888"/>
      <c r="H8888"/>
      <c r="I8888"/>
    </row>
    <row r="8889" spans="6:9" x14ac:dyDescent="0.3">
      <c r="F8889"/>
      <c r="G8889"/>
      <c r="H8889"/>
      <c r="I8889"/>
    </row>
    <row r="8890" spans="6:9" x14ac:dyDescent="0.3">
      <c r="F8890"/>
      <c r="G8890"/>
      <c r="H8890"/>
      <c r="I8890"/>
    </row>
    <row r="8891" spans="6:9" x14ac:dyDescent="0.3">
      <c r="F8891"/>
      <c r="G8891"/>
      <c r="H8891"/>
      <c r="I8891"/>
    </row>
    <row r="8892" spans="6:9" x14ac:dyDescent="0.3">
      <c r="F8892"/>
      <c r="G8892"/>
      <c r="H8892"/>
      <c r="I8892"/>
    </row>
    <row r="8893" spans="6:9" x14ac:dyDescent="0.3">
      <c r="F8893"/>
      <c r="G8893"/>
      <c r="H8893"/>
      <c r="I8893"/>
    </row>
    <row r="8894" spans="6:9" x14ac:dyDescent="0.3">
      <c r="F8894"/>
      <c r="G8894"/>
      <c r="H8894"/>
      <c r="I8894"/>
    </row>
    <row r="8895" spans="6:9" x14ac:dyDescent="0.3">
      <c r="F8895"/>
      <c r="G8895"/>
      <c r="H8895"/>
      <c r="I8895"/>
    </row>
    <row r="8896" spans="6:9" x14ac:dyDescent="0.3">
      <c r="F8896"/>
      <c r="G8896"/>
      <c r="H8896"/>
      <c r="I8896"/>
    </row>
    <row r="8897" spans="6:9" x14ac:dyDescent="0.3">
      <c r="F8897"/>
      <c r="G8897"/>
      <c r="H8897"/>
      <c r="I8897"/>
    </row>
    <row r="8898" spans="6:9" x14ac:dyDescent="0.3">
      <c r="F8898"/>
      <c r="G8898"/>
      <c r="H8898"/>
      <c r="I8898"/>
    </row>
    <row r="8899" spans="6:9" x14ac:dyDescent="0.3">
      <c r="F8899"/>
      <c r="G8899"/>
      <c r="H8899"/>
      <c r="I8899"/>
    </row>
    <row r="8900" spans="6:9" x14ac:dyDescent="0.3">
      <c r="F8900"/>
      <c r="G8900"/>
      <c r="H8900"/>
      <c r="I8900"/>
    </row>
    <row r="8901" spans="6:9" x14ac:dyDescent="0.3">
      <c r="F8901"/>
      <c r="G8901"/>
      <c r="H8901"/>
      <c r="I8901"/>
    </row>
    <row r="8902" spans="6:9" x14ac:dyDescent="0.3">
      <c r="F8902"/>
      <c r="G8902"/>
      <c r="H8902"/>
      <c r="I8902"/>
    </row>
    <row r="8903" spans="6:9" x14ac:dyDescent="0.3">
      <c r="F8903"/>
      <c r="G8903"/>
      <c r="H8903"/>
      <c r="I8903"/>
    </row>
    <row r="8904" spans="6:9" x14ac:dyDescent="0.3">
      <c r="F8904"/>
      <c r="G8904"/>
      <c r="H8904"/>
      <c r="I8904"/>
    </row>
    <row r="8905" spans="6:9" x14ac:dyDescent="0.3">
      <c r="F8905"/>
      <c r="G8905"/>
      <c r="H8905"/>
      <c r="I8905"/>
    </row>
    <row r="8906" spans="6:9" x14ac:dyDescent="0.3">
      <c r="F8906"/>
      <c r="G8906"/>
      <c r="H8906"/>
      <c r="I8906"/>
    </row>
    <row r="8907" spans="6:9" x14ac:dyDescent="0.3">
      <c r="F8907"/>
      <c r="G8907"/>
      <c r="H8907"/>
      <c r="I8907"/>
    </row>
    <row r="8908" spans="6:9" x14ac:dyDescent="0.3">
      <c r="F8908"/>
      <c r="G8908"/>
      <c r="H8908"/>
      <c r="I8908"/>
    </row>
    <row r="8909" spans="6:9" x14ac:dyDescent="0.3">
      <c r="F8909"/>
      <c r="G8909"/>
      <c r="H8909"/>
      <c r="I8909"/>
    </row>
    <row r="8910" spans="6:9" x14ac:dyDescent="0.3">
      <c r="F8910"/>
      <c r="G8910"/>
      <c r="H8910"/>
      <c r="I8910"/>
    </row>
    <row r="8911" spans="6:9" x14ac:dyDescent="0.3">
      <c r="F8911"/>
      <c r="G8911"/>
      <c r="H8911"/>
      <c r="I8911"/>
    </row>
    <row r="8912" spans="6:9" x14ac:dyDescent="0.3">
      <c r="F8912"/>
      <c r="G8912"/>
      <c r="H8912"/>
      <c r="I8912"/>
    </row>
    <row r="8913" spans="6:9" x14ac:dyDescent="0.3">
      <c r="F8913"/>
      <c r="G8913"/>
      <c r="H8913"/>
      <c r="I8913"/>
    </row>
    <row r="8914" spans="6:9" x14ac:dyDescent="0.3">
      <c r="F8914"/>
      <c r="G8914"/>
      <c r="H8914"/>
      <c r="I8914"/>
    </row>
    <row r="8915" spans="6:9" x14ac:dyDescent="0.3">
      <c r="F8915"/>
      <c r="G8915"/>
      <c r="H8915"/>
      <c r="I8915"/>
    </row>
    <row r="8916" spans="6:9" x14ac:dyDescent="0.3">
      <c r="F8916"/>
      <c r="G8916"/>
      <c r="H8916"/>
      <c r="I8916"/>
    </row>
    <row r="8917" spans="6:9" x14ac:dyDescent="0.3">
      <c r="F8917"/>
      <c r="G8917"/>
      <c r="H8917"/>
      <c r="I8917"/>
    </row>
    <row r="8918" spans="6:9" x14ac:dyDescent="0.3">
      <c r="F8918"/>
      <c r="G8918"/>
      <c r="H8918"/>
      <c r="I8918"/>
    </row>
    <row r="8919" spans="6:9" x14ac:dyDescent="0.3">
      <c r="F8919"/>
      <c r="G8919"/>
      <c r="H8919"/>
      <c r="I8919"/>
    </row>
    <row r="8920" spans="6:9" x14ac:dyDescent="0.3">
      <c r="F8920"/>
      <c r="G8920"/>
      <c r="H8920"/>
      <c r="I8920"/>
    </row>
    <row r="8921" spans="6:9" x14ac:dyDescent="0.3">
      <c r="F8921"/>
      <c r="G8921"/>
      <c r="H8921"/>
      <c r="I8921"/>
    </row>
    <row r="8922" spans="6:9" x14ac:dyDescent="0.3">
      <c r="F8922"/>
      <c r="G8922"/>
      <c r="H8922"/>
      <c r="I8922"/>
    </row>
    <row r="8923" spans="6:9" x14ac:dyDescent="0.3">
      <c r="F8923"/>
      <c r="G8923"/>
      <c r="H8923"/>
      <c r="I8923"/>
    </row>
    <row r="8924" spans="6:9" x14ac:dyDescent="0.3">
      <c r="F8924"/>
      <c r="G8924"/>
      <c r="H8924"/>
      <c r="I8924"/>
    </row>
    <row r="8925" spans="6:9" x14ac:dyDescent="0.3">
      <c r="F8925"/>
      <c r="G8925"/>
      <c r="H8925"/>
      <c r="I8925"/>
    </row>
    <row r="8926" spans="6:9" x14ac:dyDescent="0.3">
      <c r="F8926"/>
      <c r="G8926"/>
      <c r="H8926"/>
      <c r="I8926"/>
    </row>
    <row r="8927" spans="6:9" x14ac:dyDescent="0.3">
      <c r="F8927"/>
      <c r="G8927"/>
      <c r="H8927"/>
      <c r="I8927"/>
    </row>
    <row r="8928" spans="6:9" x14ac:dyDescent="0.3">
      <c r="F8928"/>
      <c r="G8928"/>
      <c r="H8928"/>
      <c r="I8928"/>
    </row>
    <row r="8929" spans="6:9" x14ac:dyDescent="0.3">
      <c r="F8929"/>
      <c r="G8929"/>
      <c r="H8929"/>
      <c r="I8929"/>
    </row>
    <row r="8930" spans="6:9" x14ac:dyDescent="0.3">
      <c r="F8930"/>
      <c r="G8930"/>
      <c r="H8930"/>
      <c r="I8930"/>
    </row>
    <row r="8931" spans="6:9" x14ac:dyDescent="0.3">
      <c r="F8931"/>
      <c r="G8931"/>
      <c r="H8931"/>
      <c r="I8931"/>
    </row>
    <row r="8932" spans="6:9" x14ac:dyDescent="0.3">
      <c r="F8932"/>
      <c r="G8932"/>
      <c r="H8932"/>
      <c r="I8932"/>
    </row>
    <row r="8933" spans="6:9" x14ac:dyDescent="0.3">
      <c r="F8933"/>
      <c r="G8933"/>
      <c r="H8933"/>
      <c r="I8933"/>
    </row>
    <row r="8934" spans="6:9" x14ac:dyDescent="0.3">
      <c r="F8934"/>
      <c r="G8934"/>
      <c r="H8934"/>
      <c r="I8934"/>
    </row>
    <row r="8935" spans="6:9" x14ac:dyDescent="0.3">
      <c r="F8935"/>
      <c r="G8935"/>
      <c r="H8935"/>
      <c r="I8935"/>
    </row>
    <row r="8936" spans="6:9" x14ac:dyDescent="0.3">
      <c r="F8936"/>
      <c r="G8936"/>
      <c r="H8936"/>
      <c r="I8936"/>
    </row>
    <row r="8937" spans="6:9" x14ac:dyDescent="0.3">
      <c r="F8937"/>
      <c r="G8937"/>
      <c r="H8937"/>
      <c r="I8937"/>
    </row>
    <row r="8938" spans="6:9" x14ac:dyDescent="0.3">
      <c r="F8938"/>
      <c r="G8938"/>
      <c r="H8938"/>
      <c r="I8938"/>
    </row>
    <row r="8939" spans="6:9" x14ac:dyDescent="0.3">
      <c r="F8939"/>
      <c r="G8939"/>
      <c r="H8939"/>
      <c r="I8939"/>
    </row>
    <row r="8940" spans="6:9" x14ac:dyDescent="0.3">
      <c r="F8940"/>
      <c r="G8940"/>
      <c r="H8940"/>
      <c r="I8940"/>
    </row>
    <row r="8941" spans="6:9" x14ac:dyDescent="0.3">
      <c r="F8941"/>
      <c r="G8941"/>
      <c r="H8941"/>
      <c r="I8941"/>
    </row>
    <row r="8942" spans="6:9" x14ac:dyDescent="0.3">
      <c r="F8942"/>
      <c r="G8942"/>
      <c r="H8942"/>
      <c r="I8942"/>
    </row>
    <row r="8943" spans="6:9" x14ac:dyDescent="0.3">
      <c r="F8943"/>
      <c r="G8943"/>
      <c r="H8943"/>
      <c r="I8943"/>
    </row>
    <row r="8944" spans="6:9" x14ac:dyDescent="0.3">
      <c r="F8944"/>
      <c r="G8944"/>
      <c r="H8944"/>
      <c r="I8944"/>
    </row>
    <row r="8945" spans="6:9" x14ac:dyDescent="0.3">
      <c r="F8945"/>
      <c r="G8945"/>
      <c r="H8945"/>
      <c r="I8945"/>
    </row>
    <row r="8946" spans="6:9" x14ac:dyDescent="0.3">
      <c r="F8946"/>
      <c r="G8946"/>
      <c r="H8946"/>
      <c r="I8946"/>
    </row>
    <row r="8947" spans="6:9" x14ac:dyDescent="0.3">
      <c r="F8947"/>
      <c r="G8947"/>
      <c r="H8947"/>
      <c r="I8947"/>
    </row>
    <row r="8948" spans="6:9" x14ac:dyDescent="0.3">
      <c r="F8948"/>
      <c r="G8948"/>
      <c r="H8948"/>
      <c r="I8948"/>
    </row>
    <row r="8949" spans="6:9" x14ac:dyDescent="0.3">
      <c r="F8949"/>
      <c r="G8949"/>
      <c r="H8949"/>
      <c r="I8949"/>
    </row>
    <row r="8950" spans="6:9" x14ac:dyDescent="0.3">
      <c r="F8950"/>
      <c r="G8950"/>
      <c r="H8950"/>
      <c r="I8950"/>
    </row>
    <row r="8951" spans="6:9" x14ac:dyDescent="0.3">
      <c r="F8951"/>
      <c r="G8951"/>
      <c r="H8951"/>
      <c r="I8951"/>
    </row>
    <row r="8952" spans="6:9" x14ac:dyDescent="0.3">
      <c r="F8952"/>
      <c r="G8952"/>
      <c r="H8952"/>
      <c r="I8952"/>
    </row>
    <row r="8953" spans="6:9" x14ac:dyDescent="0.3">
      <c r="F8953"/>
      <c r="G8953"/>
      <c r="H8953"/>
      <c r="I8953"/>
    </row>
    <row r="8954" spans="6:9" x14ac:dyDescent="0.3">
      <c r="F8954"/>
      <c r="G8954"/>
      <c r="H8954"/>
      <c r="I8954"/>
    </row>
    <row r="8955" spans="6:9" x14ac:dyDescent="0.3">
      <c r="F8955"/>
      <c r="G8955"/>
      <c r="H8955"/>
      <c r="I8955"/>
    </row>
    <row r="8956" spans="6:9" x14ac:dyDescent="0.3">
      <c r="F8956"/>
      <c r="G8956"/>
      <c r="H8956"/>
      <c r="I8956"/>
    </row>
    <row r="8957" spans="6:9" x14ac:dyDescent="0.3">
      <c r="F8957"/>
      <c r="G8957"/>
      <c r="H8957"/>
      <c r="I8957"/>
    </row>
    <row r="8958" spans="6:9" x14ac:dyDescent="0.3">
      <c r="F8958"/>
      <c r="G8958"/>
      <c r="H8958"/>
      <c r="I8958"/>
    </row>
    <row r="8959" spans="6:9" x14ac:dyDescent="0.3">
      <c r="F8959"/>
      <c r="G8959"/>
      <c r="H8959"/>
      <c r="I8959"/>
    </row>
    <row r="8960" spans="6:9" x14ac:dyDescent="0.3">
      <c r="F8960"/>
      <c r="G8960"/>
      <c r="H8960"/>
      <c r="I8960"/>
    </row>
    <row r="8961" spans="6:9" x14ac:dyDescent="0.3">
      <c r="F8961"/>
      <c r="G8961"/>
      <c r="H8961"/>
      <c r="I8961"/>
    </row>
    <row r="8962" spans="6:9" x14ac:dyDescent="0.3">
      <c r="F8962"/>
      <c r="G8962"/>
      <c r="H8962"/>
      <c r="I8962"/>
    </row>
    <row r="8963" spans="6:9" x14ac:dyDescent="0.3">
      <c r="F8963"/>
      <c r="G8963"/>
      <c r="H8963"/>
      <c r="I8963"/>
    </row>
    <row r="8964" spans="6:9" x14ac:dyDescent="0.3">
      <c r="F8964"/>
      <c r="G8964"/>
      <c r="H8964"/>
      <c r="I8964"/>
    </row>
    <row r="8965" spans="6:9" x14ac:dyDescent="0.3">
      <c r="F8965"/>
      <c r="G8965"/>
      <c r="H8965"/>
      <c r="I8965"/>
    </row>
    <row r="8966" spans="6:9" x14ac:dyDescent="0.3">
      <c r="F8966"/>
      <c r="G8966"/>
      <c r="H8966"/>
      <c r="I8966"/>
    </row>
    <row r="8967" spans="6:9" x14ac:dyDescent="0.3">
      <c r="F8967"/>
      <c r="G8967"/>
      <c r="H8967"/>
      <c r="I8967"/>
    </row>
    <row r="8968" spans="6:9" x14ac:dyDescent="0.3">
      <c r="F8968"/>
      <c r="G8968"/>
      <c r="H8968"/>
      <c r="I8968"/>
    </row>
    <row r="8969" spans="6:9" x14ac:dyDescent="0.3">
      <c r="F8969"/>
      <c r="G8969"/>
      <c r="H8969"/>
      <c r="I8969"/>
    </row>
    <row r="8970" spans="6:9" x14ac:dyDescent="0.3">
      <c r="F8970"/>
      <c r="G8970"/>
      <c r="H8970"/>
      <c r="I8970"/>
    </row>
    <row r="8971" spans="6:9" x14ac:dyDescent="0.3">
      <c r="F8971"/>
      <c r="G8971"/>
      <c r="H8971"/>
      <c r="I8971"/>
    </row>
    <row r="8972" spans="6:9" x14ac:dyDescent="0.3">
      <c r="F8972"/>
      <c r="G8972"/>
      <c r="H8972"/>
      <c r="I8972"/>
    </row>
    <row r="8973" spans="6:9" x14ac:dyDescent="0.3">
      <c r="F8973"/>
      <c r="G8973"/>
      <c r="H8973"/>
      <c r="I8973"/>
    </row>
    <row r="8974" spans="6:9" x14ac:dyDescent="0.3">
      <c r="F8974"/>
      <c r="G8974"/>
      <c r="H8974"/>
      <c r="I8974"/>
    </row>
    <row r="8975" spans="6:9" x14ac:dyDescent="0.3">
      <c r="F8975"/>
      <c r="G8975"/>
      <c r="H8975"/>
      <c r="I8975"/>
    </row>
    <row r="8976" spans="6:9" x14ac:dyDescent="0.3">
      <c r="F8976"/>
      <c r="G8976"/>
      <c r="H8976"/>
      <c r="I8976"/>
    </row>
    <row r="8977" spans="6:9" x14ac:dyDescent="0.3">
      <c r="F8977"/>
      <c r="G8977"/>
      <c r="H8977"/>
      <c r="I8977"/>
    </row>
    <row r="8978" spans="6:9" x14ac:dyDescent="0.3">
      <c r="F8978"/>
      <c r="G8978"/>
      <c r="H8978"/>
      <c r="I8978"/>
    </row>
    <row r="8979" spans="6:9" x14ac:dyDescent="0.3">
      <c r="F8979"/>
      <c r="G8979"/>
      <c r="H8979"/>
      <c r="I8979"/>
    </row>
    <row r="8980" spans="6:9" x14ac:dyDescent="0.3">
      <c r="F8980"/>
      <c r="G8980"/>
      <c r="H8980"/>
      <c r="I8980"/>
    </row>
    <row r="8981" spans="6:9" x14ac:dyDescent="0.3">
      <c r="F8981"/>
      <c r="G8981"/>
      <c r="H8981"/>
      <c r="I8981"/>
    </row>
    <row r="8982" spans="6:9" x14ac:dyDescent="0.3">
      <c r="F8982"/>
      <c r="G8982"/>
      <c r="H8982"/>
      <c r="I8982"/>
    </row>
    <row r="8983" spans="6:9" x14ac:dyDescent="0.3">
      <c r="F8983"/>
      <c r="G8983"/>
      <c r="H8983"/>
      <c r="I8983"/>
    </row>
    <row r="8984" spans="6:9" x14ac:dyDescent="0.3">
      <c r="F8984"/>
      <c r="G8984"/>
      <c r="H8984"/>
      <c r="I8984"/>
    </row>
    <row r="8985" spans="6:9" x14ac:dyDescent="0.3">
      <c r="F8985"/>
      <c r="G8985"/>
      <c r="H8985"/>
      <c r="I8985"/>
    </row>
    <row r="8986" spans="6:9" x14ac:dyDescent="0.3">
      <c r="F8986"/>
      <c r="G8986"/>
      <c r="H8986"/>
      <c r="I8986"/>
    </row>
    <row r="8987" spans="6:9" x14ac:dyDescent="0.3">
      <c r="F8987"/>
      <c r="G8987"/>
      <c r="H8987"/>
      <c r="I8987"/>
    </row>
    <row r="8988" spans="6:9" x14ac:dyDescent="0.3">
      <c r="F8988"/>
      <c r="G8988"/>
      <c r="H8988"/>
      <c r="I8988"/>
    </row>
    <row r="8989" spans="6:9" x14ac:dyDescent="0.3">
      <c r="F8989"/>
      <c r="G8989"/>
      <c r="H8989"/>
      <c r="I8989"/>
    </row>
    <row r="8990" spans="6:9" x14ac:dyDescent="0.3">
      <c r="F8990"/>
      <c r="G8990"/>
      <c r="H8990"/>
      <c r="I8990"/>
    </row>
    <row r="8991" spans="6:9" x14ac:dyDescent="0.3">
      <c r="F8991"/>
      <c r="G8991"/>
      <c r="H8991"/>
      <c r="I8991"/>
    </row>
    <row r="8992" spans="6:9" x14ac:dyDescent="0.3">
      <c r="F8992"/>
      <c r="G8992"/>
      <c r="H8992"/>
      <c r="I8992"/>
    </row>
    <row r="8993" spans="6:9" x14ac:dyDescent="0.3">
      <c r="F8993"/>
      <c r="G8993"/>
      <c r="H8993"/>
      <c r="I8993"/>
    </row>
    <row r="8994" spans="6:9" x14ac:dyDescent="0.3">
      <c r="F8994"/>
      <c r="G8994"/>
      <c r="H8994"/>
      <c r="I8994"/>
    </row>
    <row r="8995" spans="6:9" x14ac:dyDescent="0.3">
      <c r="F8995"/>
      <c r="G8995"/>
      <c r="H8995"/>
      <c r="I8995"/>
    </row>
    <row r="8996" spans="6:9" x14ac:dyDescent="0.3">
      <c r="F8996"/>
      <c r="G8996"/>
      <c r="H8996"/>
      <c r="I8996"/>
    </row>
    <row r="8997" spans="6:9" x14ac:dyDescent="0.3">
      <c r="F8997"/>
      <c r="G8997"/>
      <c r="H8997"/>
      <c r="I8997"/>
    </row>
    <row r="8998" spans="6:9" x14ac:dyDescent="0.3">
      <c r="F8998"/>
      <c r="G8998"/>
      <c r="H8998"/>
      <c r="I8998"/>
    </row>
    <row r="8999" spans="6:9" x14ac:dyDescent="0.3">
      <c r="F8999"/>
      <c r="G8999"/>
      <c r="H8999"/>
      <c r="I8999"/>
    </row>
    <row r="9000" spans="6:9" x14ac:dyDescent="0.3">
      <c r="F9000"/>
      <c r="G9000"/>
      <c r="H9000"/>
      <c r="I9000"/>
    </row>
    <row r="9001" spans="6:9" x14ac:dyDescent="0.3">
      <c r="F9001"/>
      <c r="G9001"/>
      <c r="H9001"/>
      <c r="I9001"/>
    </row>
    <row r="9002" spans="6:9" x14ac:dyDescent="0.3">
      <c r="F9002"/>
      <c r="G9002"/>
      <c r="H9002"/>
      <c r="I9002"/>
    </row>
    <row r="9003" spans="6:9" x14ac:dyDescent="0.3">
      <c r="F9003"/>
      <c r="G9003"/>
      <c r="H9003"/>
      <c r="I9003"/>
    </row>
    <row r="9004" spans="6:9" x14ac:dyDescent="0.3">
      <c r="F9004"/>
      <c r="G9004"/>
      <c r="H9004"/>
      <c r="I9004"/>
    </row>
    <row r="9005" spans="6:9" x14ac:dyDescent="0.3">
      <c r="F9005"/>
      <c r="G9005"/>
      <c r="H9005"/>
      <c r="I9005"/>
    </row>
    <row r="9006" spans="6:9" x14ac:dyDescent="0.3">
      <c r="F9006"/>
      <c r="G9006"/>
      <c r="H9006"/>
      <c r="I9006"/>
    </row>
    <row r="9007" spans="6:9" x14ac:dyDescent="0.3">
      <c r="F9007"/>
      <c r="G9007"/>
      <c r="H9007"/>
      <c r="I9007"/>
    </row>
    <row r="9008" spans="6:9" x14ac:dyDescent="0.3">
      <c r="F9008"/>
      <c r="G9008"/>
      <c r="H9008"/>
      <c r="I9008"/>
    </row>
    <row r="9009" spans="6:9" x14ac:dyDescent="0.3">
      <c r="F9009"/>
      <c r="G9009"/>
      <c r="H9009"/>
      <c r="I9009"/>
    </row>
    <row r="9010" spans="6:9" x14ac:dyDescent="0.3">
      <c r="F9010"/>
      <c r="G9010"/>
      <c r="H9010"/>
      <c r="I9010"/>
    </row>
    <row r="9011" spans="6:9" x14ac:dyDescent="0.3">
      <c r="F9011"/>
      <c r="G9011"/>
      <c r="H9011"/>
      <c r="I9011"/>
    </row>
    <row r="9012" spans="6:9" x14ac:dyDescent="0.3">
      <c r="F9012"/>
      <c r="G9012"/>
      <c r="H9012"/>
      <c r="I9012"/>
    </row>
    <row r="9013" spans="6:9" x14ac:dyDescent="0.3">
      <c r="F9013"/>
      <c r="G9013"/>
      <c r="H9013"/>
      <c r="I9013"/>
    </row>
    <row r="9014" spans="6:9" x14ac:dyDescent="0.3">
      <c r="F9014"/>
      <c r="G9014"/>
      <c r="H9014"/>
      <c r="I9014"/>
    </row>
    <row r="9015" spans="6:9" x14ac:dyDescent="0.3">
      <c r="F9015"/>
      <c r="G9015"/>
      <c r="H9015"/>
      <c r="I9015"/>
    </row>
    <row r="9016" spans="6:9" x14ac:dyDescent="0.3">
      <c r="F9016"/>
      <c r="G9016"/>
      <c r="H9016"/>
      <c r="I9016"/>
    </row>
    <row r="9017" spans="6:9" x14ac:dyDescent="0.3">
      <c r="F9017"/>
      <c r="G9017"/>
      <c r="H9017"/>
      <c r="I9017"/>
    </row>
    <row r="9018" spans="6:9" x14ac:dyDescent="0.3">
      <c r="F9018"/>
      <c r="G9018"/>
      <c r="H9018"/>
      <c r="I9018"/>
    </row>
    <row r="9019" spans="6:9" x14ac:dyDescent="0.3">
      <c r="F9019"/>
      <c r="G9019"/>
      <c r="H9019"/>
      <c r="I9019"/>
    </row>
    <row r="9020" spans="6:9" x14ac:dyDescent="0.3">
      <c r="F9020"/>
      <c r="G9020"/>
      <c r="H9020"/>
      <c r="I9020"/>
    </row>
    <row r="9021" spans="6:9" x14ac:dyDescent="0.3">
      <c r="F9021"/>
      <c r="G9021"/>
      <c r="H9021"/>
      <c r="I9021"/>
    </row>
    <row r="9022" spans="6:9" x14ac:dyDescent="0.3">
      <c r="F9022"/>
      <c r="G9022"/>
      <c r="H9022"/>
      <c r="I9022"/>
    </row>
    <row r="9023" spans="6:9" x14ac:dyDescent="0.3">
      <c r="F9023"/>
      <c r="G9023"/>
      <c r="H9023"/>
      <c r="I9023"/>
    </row>
    <row r="9024" spans="6:9" x14ac:dyDescent="0.3">
      <c r="F9024"/>
      <c r="G9024"/>
      <c r="H9024"/>
      <c r="I9024"/>
    </row>
    <row r="9025" spans="6:9" x14ac:dyDescent="0.3">
      <c r="F9025"/>
      <c r="G9025"/>
      <c r="H9025"/>
      <c r="I9025"/>
    </row>
    <row r="9026" spans="6:9" x14ac:dyDescent="0.3">
      <c r="F9026"/>
      <c r="G9026"/>
      <c r="H9026"/>
      <c r="I9026"/>
    </row>
    <row r="9027" spans="6:9" x14ac:dyDescent="0.3">
      <c r="F9027"/>
      <c r="G9027"/>
      <c r="H9027"/>
      <c r="I9027"/>
    </row>
    <row r="9028" spans="6:9" x14ac:dyDescent="0.3">
      <c r="F9028"/>
      <c r="G9028"/>
      <c r="H9028"/>
      <c r="I9028"/>
    </row>
    <row r="9029" spans="6:9" x14ac:dyDescent="0.3">
      <c r="F9029"/>
      <c r="G9029"/>
      <c r="H9029"/>
      <c r="I9029"/>
    </row>
    <row r="9030" spans="6:9" x14ac:dyDescent="0.3">
      <c r="F9030"/>
      <c r="G9030"/>
      <c r="H9030"/>
      <c r="I9030"/>
    </row>
    <row r="9031" spans="6:9" x14ac:dyDescent="0.3">
      <c r="F9031"/>
      <c r="G9031"/>
      <c r="H9031"/>
      <c r="I9031"/>
    </row>
    <row r="9032" spans="6:9" x14ac:dyDescent="0.3">
      <c r="F9032"/>
      <c r="G9032"/>
      <c r="H9032"/>
      <c r="I9032"/>
    </row>
    <row r="9033" spans="6:9" x14ac:dyDescent="0.3">
      <c r="F9033"/>
      <c r="G9033"/>
      <c r="H9033"/>
      <c r="I9033"/>
    </row>
    <row r="9034" spans="6:9" x14ac:dyDescent="0.3">
      <c r="F9034"/>
      <c r="G9034"/>
      <c r="H9034"/>
      <c r="I9034"/>
    </row>
    <row r="9035" spans="6:9" x14ac:dyDescent="0.3">
      <c r="F9035"/>
      <c r="G9035"/>
      <c r="H9035"/>
      <c r="I9035"/>
    </row>
    <row r="9036" spans="6:9" x14ac:dyDescent="0.3">
      <c r="F9036"/>
      <c r="G9036"/>
      <c r="H9036"/>
      <c r="I9036"/>
    </row>
    <row r="9037" spans="6:9" x14ac:dyDescent="0.3">
      <c r="F9037"/>
      <c r="G9037"/>
      <c r="H9037"/>
      <c r="I9037"/>
    </row>
    <row r="9038" spans="6:9" x14ac:dyDescent="0.3">
      <c r="F9038"/>
      <c r="G9038"/>
      <c r="H9038"/>
      <c r="I9038"/>
    </row>
    <row r="9039" spans="6:9" x14ac:dyDescent="0.3">
      <c r="F9039"/>
      <c r="G9039"/>
      <c r="H9039"/>
      <c r="I9039"/>
    </row>
    <row r="9040" spans="6:9" x14ac:dyDescent="0.3">
      <c r="F9040"/>
      <c r="G9040"/>
      <c r="H9040"/>
      <c r="I9040"/>
    </row>
    <row r="9041" spans="6:9" x14ac:dyDescent="0.3">
      <c r="F9041"/>
      <c r="G9041"/>
      <c r="H9041"/>
      <c r="I9041"/>
    </row>
    <row r="9042" spans="6:9" x14ac:dyDescent="0.3">
      <c r="F9042"/>
      <c r="G9042"/>
      <c r="H9042"/>
      <c r="I9042"/>
    </row>
    <row r="9043" spans="6:9" x14ac:dyDescent="0.3">
      <c r="F9043"/>
      <c r="G9043"/>
      <c r="H9043"/>
      <c r="I9043"/>
    </row>
    <row r="9044" spans="6:9" x14ac:dyDescent="0.3">
      <c r="F9044"/>
      <c r="G9044"/>
      <c r="H9044"/>
      <c r="I9044"/>
    </row>
    <row r="9045" spans="6:9" x14ac:dyDescent="0.3">
      <c r="F9045"/>
      <c r="G9045"/>
      <c r="H9045"/>
      <c r="I9045"/>
    </row>
    <row r="9046" spans="6:9" x14ac:dyDescent="0.3">
      <c r="F9046"/>
      <c r="G9046"/>
      <c r="H9046"/>
      <c r="I9046"/>
    </row>
    <row r="9047" spans="6:9" x14ac:dyDescent="0.3">
      <c r="F9047"/>
      <c r="G9047"/>
      <c r="H9047"/>
      <c r="I9047"/>
    </row>
    <row r="9048" spans="6:9" x14ac:dyDescent="0.3">
      <c r="F9048"/>
      <c r="G9048"/>
      <c r="H9048"/>
      <c r="I9048"/>
    </row>
    <row r="9049" spans="6:9" x14ac:dyDescent="0.3">
      <c r="F9049"/>
      <c r="G9049"/>
      <c r="H9049"/>
      <c r="I9049"/>
    </row>
    <row r="9050" spans="6:9" x14ac:dyDescent="0.3">
      <c r="F9050"/>
      <c r="G9050"/>
      <c r="H9050"/>
      <c r="I9050"/>
    </row>
    <row r="9051" spans="6:9" x14ac:dyDescent="0.3">
      <c r="F9051"/>
      <c r="G9051"/>
      <c r="H9051"/>
      <c r="I9051"/>
    </row>
    <row r="9052" spans="6:9" x14ac:dyDescent="0.3">
      <c r="F9052"/>
      <c r="G9052"/>
      <c r="H9052"/>
      <c r="I9052"/>
    </row>
    <row r="9053" spans="6:9" x14ac:dyDescent="0.3">
      <c r="F9053"/>
      <c r="G9053"/>
      <c r="H9053"/>
      <c r="I9053"/>
    </row>
    <row r="9054" spans="6:9" x14ac:dyDescent="0.3">
      <c r="F9054"/>
      <c r="G9054"/>
      <c r="H9054"/>
      <c r="I9054"/>
    </row>
    <row r="9055" spans="6:9" x14ac:dyDescent="0.3">
      <c r="F9055"/>
      <c r="G9055"/>
      <c r="H9055"/>
      <c r="I9055"/>
    </row>
    <row r="9056" spans="6:9" x14ac:dyDescent="0.3">
      <c r="F9056"/>
      <c r="G9056"/>
      <c r="H9056"/>
      <c r="I9056"/>
    </row>
    <row r="9057" spans="6:9" x14ac:dyDescent="0.3">
      <c r="F9057"/>
      <c r="G9057"/>
      <c r="H9057"/>
      <c r="I9057"/>
    </row>
    <row r="9058" spans="6:9" x14ac:dyDescent="0.3">
      <c r="F9058"/>
      <c r="G9058"/>
      <c r="H9058"/>
      <c r="I9058"/>
    </row>
    <row r="9059" spans="6:9" x14ac:dyDescent="0.3">
      <c r="F9059"/>
      <c r="G9059"/>
      <c r="H9059"/>
      <c r="I9059"/>
    </row>
    <row r="9060" spans="6:9" x14ac:dyDescent="0.3">
      <c r="F9060"/>
      <c r="G9060"/>
      <c r="H9060"/>
      <c r="I9060"/>
    </row>
    <row r="9061" spans="6:9" x14ac:dyDescent="0.3">
      <c r="F9061"/>
      <c r="G9061"/>
      <c r="H9061"/>
      <c r="I9061"/>
    </row>
    <row r="9062" spans="6:9" x14ac:dyDescent="0.3">
      <c r="F9062"/>
      <c r="G9062"/>
      <c r="H9062"/>
      <c r="I9062"/>
    </row>
    <row r="9063" spans="6:9" x14ac:dyDescent="0.3">
      <c r="F9063"/>
      <c r="G9063"/>
      <c r="H9063"/>
      <c r="I9063"/>
    </row>
    <row r="9064" spans="6:9" x14ac:dyDescent="0.3">
      <c r="F9064"/>
      <c r="G9064"/>
      <c r="H9064"/>
      <c r="I9064"/>
    </row>
    <row r="9065" spans="6:9" x14ac:dyDescent="0.3">
      <c r="F9065"/>
      <c r="G9065"/>
      <c r="H9065"/>
      <c r="I9065"/>
    </row>
    <row r="9066" spans="6:9" x14ac:dyDescent="0.3">
      <c r="F9066"/>
      <c r="G9066"/>
      <c r="H9066"/>
      <c r="I9066"/>
    </row>
    <row r="9067" spans="6:9" x14ac:dyDescent="0.3">
      <c r="F9067"/>
      <c r="G9067"/>
      <c r="H9067"/>
      <c r="I9067"/>
    </row>
    <row r="9068" spans="6:9" x14ac:dyDescent="0.3">
      <c r="F9068"/>
      <c r="G9068"/>
      <c r="H9068"/>
      <c r="I9068"/>
    </row>
    <row r="9069" spans="6:9" x14ac:dyDescent="0.3">
      <c r="F9069"/>
      <c r="G9069"/>
      <c r="H9069"/>
      <c r="I9069"/>
    </row>
    <row r="9070" spans="6:9" x14ac:dyDescent="0.3">
      <c r="F9070"/>
      <c r="G9070"/>
      <c r="H9070"/>
      <c r="I9070"/>
    </row>
    <row r="9071" spans="6:9" x14ac:dyDescent="0.3">
      <c r="F9071"/>
      <c r="G9071"/>
      <c r="H9071"/>
      <c r="I9071"/>
    </row>
    <row r="9072" spans="6:9" x14ac:dyDescent="0.3">
      <c r="F9072"/>
      <c r="G9072"/>
      <c r="H9072"/>
      <c r="I9072"/>
    </row>
    <row r="9073" spans="6:9" x14ac:dyDescent="0.3">
      <c r="F9073"/>
      <c r="G9073"/>
      <c r="H9073"/>
      <c r="I9073"/>
    </row>
    <row r="9074" spans="6:9" x14ac:dyDescent="0.3">
      <c r="F9074"/>
      <c r="G9074"/>
      <c r="H9074"/>
      <c r="I9074"/>
    </row>
    <row r="9075" spans="6:9" x14ac:dyDescent="0.3">
      <c r="F9075"/>
      <c r="G9075"/>
      <c r="H9075"/>
      <c r="I9075"/>
    </row>
    <row r="9076" spans="6:9" x14ac:dyDescent="0.3">
      <c r="F9076"/>
      <c r="G9076"/>
      <c r="H9076"/>
      <c r="I9076"/>
    </row>
    <row r="9077" spans="6:9" x14ac:dyDescent="0.3">
      <c r="F9077"/>
      <c r="G9077"/>
      <c r="H9077"/>
      <c r="I9077"/>
    </row>
    <row r="9078" spans="6:9" x14ac:dyDescent="0.3">
      <c r="F9078"/>
      <c r="G9078"/>
      <c r="H9078"/>
      <c r="I9078"/>
    </row>
    <row r="9079" spans="6:9" x14ac:dyDescent="0.3">
      <c r="F9079"/>
      <c r="G9079"/>
      <c r="H9079"/>
      <c r="I9079"/>
    </row>
    <row r="9080" spans="6:9" x14ac:dyDescent="0.3">
      <c r="F9080"/>
      <c r="G9080"/>
      <c r="H9080"/>
      <c r="I9080"/>
    </row>
    <row r="9081" spans="6:9" x14ac:dyDescent="0.3">
      <c r="F9081"/>
      <c r="G9081"/>
      <c r="H9081"/>
      <c r="I9081"/>
    </row>
    <row r="9082" spans="6:9" x14ac:dyDescent="0.3">
      <c r="F9082"/>
      <c r="G9082"/>
      <c r="H9082"/>
      <c r="I9082"/>
    </row>
    <row r="9083" spans="6:9" x14ac:dyDescent="0.3">
      <c r="F9083"/>
      <c r="G9083"/>
      <c r="H9083"/>
      <c r="I9083"/>
    </row>
    <row r="9084" spans="6:9" x14ac:dyDescent="0.3">
      <c r="F9084"/>
      <c r="G9084"/>
      <c r="H9084"/>
      <c r="I9084"/>
    </row>
    <row r="9085" spans="6:9" x14ac:dyDescent="0.3">
      <c r="F9085"/>
      <c r="G9085"/>
      <c r="H9085"/>
      <c r="I9085"/>
    </row>
    <row r="9086" spans="6:9" x14ac:dyDescent="0.3">
      <c r="F9086"/>
      <c r="G9086"/>
      <c r="H9086"/>
      <c r="I9086"/>
    </row>
    <row r="9087" spans="6:9" x14ac:dyDescent="0.3">
      <c r="F9087"/>
      <c r="G9087"/>
      <c r="H9087"/>
      <c r="I9087"/>
    </row>
    <row r="9088" spans="6:9" x14ac:dyDescent="0.3">
      <c r="F9088"/>
      <c r="G9088"/>
      <c r="H9088"/>
      <c r="I9088"/>
    </row>
    <row r="9089" spans="6:9" x14ac:dyDescent="0.3">
      <c r="F9089"/>
      <c r="G9089"/>
      <c r="H9089"/>
      <c r="I9089"/>
    </row>
    <row r="9090" spans="6:9" x14ac:dyDescent="0.3">
      <c r="F9090"/>
      <c r="G9090"/>
      <c r="H9090"/>
      <c r="I9090"/>
    </row>
    <row r="9091" spans="6:9" x14ac:dyDescent="0.3">
      <c r="F9091"/>
      <c r="G9091"/>
      <c r="H9091"/>
      <c r="I9091"/>
    </row>
    <row r="9092" spans="6:9" x14ac:dyDescent="0.3">
      <c r="F9092"/>
      <c r="G9092"/>
      <c r="H9092"/>
      <c r="I9092"/>
    </row>
    <row r="9093" spans="6:9" x14ac:dyDescent="0.3">
      <c r="F9093"/>
      <c r="G9093"/>
      <c r="H9093"/>
      <c r="I9093"/>
    </row>
    <row r="9094" spans="6:9" x14ac:dyDescent="0.3">
      <c r="F9094"/>
      <c r="G9094"/>
      <c r="H9094"/>
      <c r="I9094"/>
    </row>
    <row r="9095" spans="6:9" x14ac:dyDescent="0.3">
      <c r="F9095"/>
      <c r="G9095"/>
      <c r="H9095"/>
      <c r="I9095"/>
    </row>
    <row r="9096" spans="6:9" x14ac:dyDescent="0.3">
      <c r="F9096"/>
      <c r="G9096"/>
      <c r="H9096"/>
      <c r="I9096"/>
    </row>
    <row r="9097" spans="6:9" x14ac:dyDescent="0.3">
      <c r="F9097"/>
      <c r="G9097"/>
      <c r="H9097"/>
      <c r="I9097"/>
    </row>
    <row r="9098" spans="6:9" x14ac:dyDescent="0.3">
      <c r="F9098"/>
      <c r="G9098"/>
      <c r="H9098"/>
      <c r="I9098"/>
    </row>
    <row r="9099" spans="6:9" x14ac:dyDescent="0.3">
      <c r="F9099"/>
      <c r="G9099"/>
      <c r="H9099"/>
      <c r="I9099"/>
    </row>
    <row r="9100" spans="6:9" x14ac:dyDescent="0.3">
      <c r="F9100"/>
      <c r="G9100"/>
      <c r="H9100"/>
      <c r="I9100"/>
    </row>
    <row r="9101" spans="6:9" x14ac:dyDescent="0.3">
      <c r="F9101"/>
      <c r="G9101"/>
      <c r="H9101"/>
      <c r="I9101"/>
    </row>
    <row r="9102" spans="6:9" x14ac:dyDescent="0.3">
      <c r="F9102"/>
      <c r="G9102"/>
      <c r="H9102"/>
      <c r="I9102"/>
    </row>
    <row r="9103" spans="6:9" x14ac:dyDescent="0.3">
      <c r="F9103"/>
      <c r="G9103"/>
      <c r="H9103"/>
      <c r="I9103"/>
    </row>
    <row r="9104" spans="6:9" x14ac:dyDescent="0.3">
      <c r="F9104"/>
      <c r="G9104"/>
      <c r="H9104"/>
      <c r="I9104"/>
    </row>
    <row r="9105" spans="6:9" x14ac:dyDescent="0.3">
      <c r="F9105"/>
      <c r="G9105"/>
      <c r="H9105"/>
      <c r="I9105"/>
    </row>
    <row r="9106" spans="6:9" x14ac:dyDescent="0.3">
      <c r="F9106"/>
      <c r="G9106"/>
      <c r="H9106"/>
      <c r="I9106"/>
    </row>
    <row r="9107" spans="6:9" x14ac:dyDescent="0.3">
      <c r="F9107"/>
      <c r="G9107"/>
      <c r="H9107"/>
      <c r="I9107"/>
    </row>
    <row r="9108" spans="6:9" x14ac:dyDescent="0.3">
      <c r="F9108"/>
      <c r="G9108"/>
      <c r="H9108"/>
      <c r="I9108"/>
    </row>
    <row r="9109" spans="6:9" x14ac:dyDescent="0.3">
      <c r="F9109"/>
      <c r="G9109"/>
      <c r="H9109"/>
      <c r="I9109"/>
    </row>
    <row r="9110" spans="6:9" x14ac:dyDescent="0.3">
      <c r="F9110"/>
      <c r="G9110"/>
      <c r="H9110"/>
      <c r="I9110"/>
    </row>
    <row r="9111" spans="6:9" x14ac:dyDescent="0.3">
      <c r="F9111"/>
      <c r="G9111"/>
      <c r="H9111"/>
      <c r="I9111"/>
    </row>
    <row r="9112" spans="6:9" x14ac:dyDescent="0.3">
      <c r="F9112"/>
      <c r="G9112"/>
      <c r="H9112"/>
      <c r="I9112"/>
    </row>
    <row r="9113" spans="6:9" x14ac:dyDescent="0.3">
      <c r="F9113"/>
      <c r="G9113"/>
      <c r="H9113"/>
      <c r="I9113"/>
    </row>
    <row r="9114" spans="6:9" x14ac:dyDescent="0.3">
      <c r="F9114"/>
      <c r="G9114"/>
      <c r="H9114"/>
      <c r="I9114"/>
    </row>
    <row r="9115" spans="6:9" x14ac:dyDescent="0.3">
      <c r="F9115"/>
      <c r="G9115"/>
      <c r="H9115"/>
      <c r="I9115"/>
    </row>
    <row r="9116" spans="6:9" x14ac:dyDescent="0.3">
      <c r="F9116"/>
      <c r="G9116"/>
      <c r="H9116"/>
      <c r="I9116"/>
    </row>
    <row r="9117" spans="6:9" x14ac:dyDescent="0.3">
      <c r="F9117"/>
      <c r="G9117"/>
      <c r="H9117"/>
      <c r="I9117"/>
    </row>
    <row r="9118" spans="6:9" x14ac:dyDescent="0.3">
      <c r="F9118"/>
      <c r="G9118"/>
      <c r="H9118"/>
      <c r="I9118"/>
    </row>
    <row r="9119" spans="6:9" x14ac:dyDescent="0.3">
      <c r="F9119"/>
      <c r="G9119"/>
      <c r="H9119"/>
      <c r="I9119"/>
    </row>
    <row r="9120" spans="6:9" x14ac:dyDescent="0.3">
      <c r="F9120"/>
      <c r="G9120"/>
      <c r="H9120"/>
      <c r="I9120"/>
    </row>
    <row r="9121" spans="6:9" x14ac:dyDescent="0.3">
      <c r="F9121"/>
      <c r="G9121"/>
      <c r="H9121"/>
      <c r="I9121"/>
    </row>
    <row r="9122" spans="6:9" x14ac:dyDescent="0.3">
      <c r="F9122"/>
      <c r="G9122"/>
      <c r="H9122"/>
      <c r="I9122"/>
    </row>
    <row r="9123" spans="6:9" x14ac:dyDescent="0.3">
      <c r="F9123"/>
      <c r="G9123"/>
      <c r="H9123"/>
      <c r="I9123"/>
    </row>
    <row r="9124" spans="6:9" x14ac:dyDescent="0.3">
      <c r="F9124"/>
      <c r="G9124"/>
      <c r="H9124"/>
      <c r="I9124"/>
    </row>
    <row r="9125" spans="6:9" x14ac:dyDescent="0.3">
      <c r="F9125"/>
      <c r="G9125"/>
      <c r="H9125"/>
      <c r="I9125"/>
    </row>
    <row r="9126" spans="6:9" x14ac:dyDescent="0.3">
      <c r="F9126"/>
      <c r="G9126"/>
      <c r="H9126"/>
      <c r="I9126"/>
    </row>
    <row r="9127" spans="6:9" x14ac:dyDescent="0.3">
      <c r="F9127"/>
      <c r="G9127"/>
      <c r="H9127"/>
      <c r="I9127"/>
    </row>
    <row r="9128" spans="6:9" x14ac:dyDescent="0.3">
      <c r="F9128"/>
      <c r="G9128"/>
      <c r="H9128"/>
      <c r="I9128"/>
    </row>
    <row r="9129" spans="6:9" x14ac:dyDescent="0.3">
      <c r="F9129"/>
      <c r="G9129"/>
      <c r="H9129"/>
      <c r="I9129"/>
    </row>
    <row r="9130" spans="6:9" x14ac:dyDescent="0.3">
      <c r="F9130"/>
      <c r="G9130"/>
      <c r="H9130"/>
      <c r="I9130"/>
    </row>
    <row r="9131" spans="6:9" x14ac:dyDescent="0.3">
      <c r="F9131"/>
      <c r="G9131"/>
      <c r="H9131"/>
      <c r="I9131"/>
    </row>
    <row r="9132" spans="6:9" x14ac:dyDescent="0.3">
      <c r="F9132"/>
      <c r="G9132"/>
      <c r="H9132"/>
      <c r="I9132"/>
    </row>
    <row r="9133" spans="6:9" x14ac:dyDescent="0.3">
      <c r="F9133"/>
      <c r="G9133"/>
      <c r="H9133"/>
      <c r="I9133"/>
    </row>
    <row r="9134" spans="6:9" x14ac:dyDescent="0.3">
      <c r="F9134"/>
      <c r="G9134"/>
      <c r="H9134"/>
      <c r="I9134"/>
    </row>
    <row r="9135" spans="6:9" x14ac:dyDescent="0.3">
      <c r="F9135"/>
      <c r="G9135"/>
      <c r="H9135"/>
      <c r="I9135"/>
    </row>
    <row r="9136" spans="6:9" x14ac:dyDescent="0.3">
      <c r="F9136"/>
      <c r="G9136"/>
      <c r="H9136"/>
      <c r="I9136"/>
    </row>
    <row r="9137" spans="6:9" x14ac:dyDescent="0.3">
      <c r="F9137"/>
      <c r="G9137"/>
      <c r="H9137"/>
      <c r="I9137"/>
    </row>
    <row r="9138" spans="6:9" x14ac:dyDescent="0.3">
      <c r="F9138"/>
      <c r="G9138"/>
      <c r="H9138"/>
      <c r="I9138"/>
    </row>
    <row r="9139" spans="6:9" x14ac:dyDescent="0.3">
      <c r="F9139"/>
      <c r="G9139"/>
      <c r="H9139"/>
      <c r="I9139"/>
    </row>
    <row r="9140" spans="6:9" x14ac:dyDescent="0.3">
      <c r="F9140"/>
      <c r="G9140"/>
      <c r="H9140"/>
      <c r="I9140"/>
    </row>
    <row r="9141" spans="6:9" x14ac:dyDescent="0.3">
      <c r="F9141"/>
      <c r="G9141"/>
      <c r="H9141"/>
      <c r="I9141"/>
    </row>
    <row r="9142" spans="6:9" x14ac:dyDescent="0.3">
      <c r="F9142"/>
      <c r="G9142"/>
      <c r="H9142"/>
      <c r="I9142"/>
    </row>
    <row r="9143" spans="6:9" x14ac:dyDescent="0.3">
      <c r="F9143"/>
      <c r="G9143"/>
      <c r="H9143"/>
      <c r="I9143"/>
    </row>
    <row r="9144" spans="6:9" x14ac:dyDescent="0.3">
      <c r="F9144"/>
      <c r="G9144"/>
      <c r="H9144"/>
      <c r="I9144"/>
    </row>
    <row r="9145" spans="6:9" x14ac:dyDescent="0.3">
      <c r="F9145"/>
      <c r="G9145"/>
      <c r="H9145"/>
      <c r="I9145"/>
    </row>
    <row r="9146" spans="6:9" x14ac:dyDescent="0.3">
      <c r="F9146"/>
      <c r="G9146"/>
      <c r="H9146"/>
      <c r="I9146"/>
    </row>
    <row r="9147" spans="6:9" x14ac:dyDescent="0.3">
      <c r="F9147"/>
      <c r="G9147"/>
      <c r="H9147"/>
      <c r="I9147"/>
    </row>
    <row r="9148" spans="6:9" x14ac:dyDescent="0.3">
      <c r="F9148"/>
      <c r="G9148"/>
      <c r="H9148"/>
      <c r="I9148"/>
    </row>
    <row r="9149" spans="6:9" x14ac:dyDescent="0.3">
      <c r="F9149"/>
      <c r="G9149"/>
      <c r="H9149"/>
      <c r="I9149"/>
    </row>
    <row r="9150" spans="6:9" x14ac:dyDescent="0.3">
      <c r="F9150"/>
      <c r="G9150"/>
      <c r="H9150"/>
      <c r="I9150"/>
    </row>
    <row r="9151" spans="6:9" x14ac:dyDescent="0.3">
      <c r="F9151"/>
      <c r="G9151"/>
      <c r="H9151"/>
      <c r="I9151"/>
    </row>
    <row r="9152" spans="6:9" x14ac:dyDescent="0.3">
      <c r="F9152"/>
      <c r="G9152"/>
      <c r="H9152"/>
      <c r="I9152"/>
    </row>
    <row r="9153" spans="6:9" x14ac:dyDescent="0.3">
      <c r="F9153"/>
      <c r="G9153"/>
      <c r="H9153"/>
      <c r="I9153"/>
    </row>
    <row r="9154" spans="6:9" x14ac:dyDescent="0.3">
      <c r="F9154"/>
      <c r="G9154"/>
      <c r="H9154"/>
      <c r="I9154"/>
    </row>
    <row r="9155" spans="6:9" x14ac:dyDescent="0.3">
      <c r="F9155"/>
      <c r="G9155"/>
      <c r="H9155"/>
      <c r="I9155"/>
    </row>
    <row r="9156" spans="6:9" x14ac:dyDescent="0.3">
      <c r="F9156"/>
      <c r="G9156"/>
      <c r="H9156"/>
      <c r="I9156"/>
    </row>
    <row r="9157" spans="6:9" x14ac:dyDescent="0.3">
      <c r="F9157"/>
      <c r="G9157"/>
      <c r="H9157"/>
      <c r="I9157"/>
    </row>
    <row r="9158" spans="6:9" x14ac:dyDescent="0.3">
      <c r="F9158"/>
      <c r="G9158"/>
      <c r="H9158"/>
      <c r="I9158"/>
    </row>
    <row r="9159" spans="6:9" x14ac:dyDescent="0.3">
      <c r="F9159"/>
      <c r="G9159"/>
      <c r="H9159"/>
      <c r="I9159"/>
    </row>
    <row r="9160" spans="6:9" x14ac:dyDescent="0.3">
      <c r="F9160"/>
      <c r="G9160"/>
      <c r="H9160"/>
      <c r="I9160"/>
    </row>
    <row r="9161" spans="6:9" x14ac:dyDescent="0.3">
      <c r="F9161"/>
      <c r="G9161"/>
      <c r="H9161"/>
      <c r="I9161"/>
    </row>
    <row r="9162" spans="6:9" x14ac:dyDescent="0.3">
      <c r="F9162"/>
      <c r="G9162"/>
      <c r="H9162"/>
      <c r="I9162"/>
    </row>
    <row r="9163" spans="6:9" x14ac:dyDescent="0.3">
      <c r="F9163"/>
      <c r="G9163"/>
      <c r="H9163"/>
      <c r="I9163"/>
    </row>
    <row r="9164" spans="6:9" x14ac:dyDescent="0.3">
      <c r="F9164"/>
      <c r="G9164"/>
      <c r="H9164"/>
      <c r="I9164"/>
    </row>
    <row r="9165" spans="6:9" x14ac:dyDescent="0.3">
      <c r="F9165"/>
      <c r="G9165"/>
      <c r="H9165"/>
      <c r="I9165"/>
    </row>
    <row r="9166" spans="6:9" x14ac:dyDescent="0.3">
      <c r="F9166"/>
      <c r="G9166"/>
      <c r="H9166"/>
      <c r="I9166"/>
    </row>
    <row r="9167" spans="6:9" x14ac:dyDescent="0.3">
      <c r="F9167"/>
      <c r="G9167"/>
      <c r="H9167"/>
      <c r="I9167"/>
    </row>
    <row r="9168" spans="6:9" x14ac:dyDescent="0.3">
      <c r="F9168"/>
      <c r="G9168"/>
      <c r="H9168"/>
      <c r="I9168"/>
    </row>
    <row r="9169" spans="6:9" x14ac:dyDescent="0.3">
      <c r="F9169"/>
      <c r="G9169"/>
      <c r="H9169"/>
      <c r="I9169"/>
    </row>
    <row r="9170" spans="6:9" x14ac:dyDescent="0.3">
      <c r="F9170"/>
      <c r="G9170"/>
      <c r="H9170"/>
      <c r="I9170"/>
    </row>
    <row r="9171" spans="6:9" x14ac:dyDescent="0.3">
      <c r="F9171"/>
      <c r="G9171"/>
      <c r="H9171"/>
      <c r="I9171"/>
    </row>
    <row r="9172" spans="6:9" x14ac:dyDescent="0.3">
      <c r="F9172"/>
      <c r="G9172"/>
      <c r="H9172"/>
      <c r="I9172"/>
    </row>
    <row r="9173" spans="6:9" x14ac:dyDescent="0.3">
      <c r="F9173"/>
      <c r="G9173"/>
      <c r="H9173"/>
      <c r="I9173"/>
    </row>
    <row r="9174" spans="6:9" x14ac:dyDescent="0.3">
      <c r="F9174"/>
      <c r="G9174"/>
      <c r="H9174"/>
      <c r="I9174"/>
    </row>
    <row r="9175" spans="6:9" x14ac:dyDescent="0.3">
      <c r="F9175"/>
      <c r="G9175"/>
      <c r="H9175"/>
      <c r="I9175"/>
    </row>
    <row r="9176" spans="6:9" x14ac:dyDescent="0.3">
      <c r="F9176"/>
      <c r="G9176"/>
      <c r="H9176"/>
      <c r="I9176"/>
    </row>
    <row r="9177" spans="6:9" x14ac:dyDescent="0.3">
      <c r="F9177"/>
      <c r="G9177"/>
      <c r="H9177"/>
      <c r="I9177"/>
    </row>
    <row r="9178" spans="6:9" x14ac:dyDescent="0.3">
      <c r="F9178"/>
      <c r="G9178"/>
      <c r="H9178"/>
      <c r="I9178"/>
    </row>
    <row r="9179" spans="6:9" x14ac:dyDescent="0.3">
      <c r="F9179"/>
      <c r="G9179"/>
      <c r="H9179"/>
      <c r="I9179"/>
    </row>
    <row r="9180" spans="6:9" x14ac:dyDescent="0.3">
      <c r="F9180"/>
      <c r="G9180"/>
      <c r="H9180"/>
      <c r="I9180"/>
    </row>
    <row r="9181" spans="6:9" x14ac:dyDescent="0.3">
      <c r="F9181"/>
      <c r="G9181"/>
      <c r="H9181"/>
      <c r="I9181"/>
    </row>
    <row r="9182" spans="6:9" x14ac:dyDescent="0.3">
      <c r="F9182"/>
      <c r="G9182"/>
      <c r="H9182"/>
      <c r="I9182"/>
    </row>
    <row r="9183" spans="6:9" x14ac:dyDescent="0.3">
      <c r="F9183"/>
      <c r="G9183"/>
      <c r="H9183"/>
      <c r="I9183"/>
    </row>
    <row r="9184" spans="6:9" x14ac:dyDescent="0.3">
      <c r="F9184"/>
      <c r="G9184"/>
      <c r="H9184"/>
      <c r="I9184"/>
    </row>
    <row r="9185" spans="6:9" x14ac:dyDescent="0.3">
      <c r="F9185"/>
      <c r="G9185"/>
      <c r="H9185"/>
      <c r="I9185"/>
    </row>
    <row r="9186" spans="6:9" x14ac:dyDescent="0.3">
      <c r="F9186"/>
      <c r="G9186"/>
      <c r="H9186"/>
      <c r="I9186"/>
    </row>
    <row r="9187" spans="6:9" x14ac:dyDescent="0.3">
      <c r="F9187"/>
      <c r="G9187"/>
      <c r="H9187"/>
      <c r="I9187"/>
    </row>
    <row r="9188" spans="6:9" x14ac:dyDescent="0.3">
      <c r="F9188"/>
      <c r="G9188"/>
      <c r="H9188"/>
      <c r="I9188"/>
    </row>
    <row r="9189" spans="6:9" x14ac:dyDescent="0.3">
      <c r="F9189"/>
      <c r="G9189"/>
      <c r="H9189"/>
      <c r="I9189"/>
    </row>
    <row r="9190" spans="6:9" x14ac:dyDescent="0.3">
      <c r="F9190"/>
      <c r="G9190"/>
      <c r="H9190"/>
      <c r="I9190"/>
    </row>
    <row r="9191" spans="6:9" x14ac:dyDescent="0.3">
      <c r="F9191"/>
      <c r="G9191"/>
      <c r="H9191"/>
      <c r="I9191"/>
    </row>
    <row r="9192" spans="6:9" x14ac:dyDescent="0.3">
      <c r="F9192"/>
      <c r="G9192"/>
      <c r="H9192"/>
      <c r="I9192"/>
    </row>
    <row r="9193" spans="6:9" x14ac:dyDescent="0.3">
      <c r="F9193"/>
      <c r="G9193"/>
      <c r="H9193"/>
      <c r="I9193"/>
    </row>
    <row r="9194" spans="6:9" x14ac:dyDescent="0.3">
      <c r="F9194"/>
      <c r="G9194"/>
      <c r="H9194"/>
      <c r="I9194"/>
    </row>
    <row r="9195" spans="6:9" x14ac:dyDescent="0.3">
      <c r="F9195"/>
      <c r="G9195"/>
      <c r="H9195"/>
      <c r="I9195"/>
    </row>
    <row r="9196" spans="6:9" x14ac:dyDescent="0.3">
      <c r="F9196"/>
      <c r="G9196"/>
      <c r="H9196"/>
      <c r="I9196"/>
    </row>
    <row r="9197" spans="6:9" x14ac:dyDescent="0.3">
      <c r="F9197"/>
      <c r="G9197"/>
      <c r="H9197"/>
      <c r="I9197"/>
    </row>
    <row r="9198" spans="6:9" x14ac:dyDescent="0.3">
      <c r="F9198"/>
      <c r="G9198"/>
      <c r="H9198"/>
      <c r="I9198"/>
    </row>
    <row r="9199" spans="6:9" x14ac:dyDescent="0.3">
      <c r="F9199"/>
      <c r="G9199"/>
      <c r="H9199"/>
      <c r="I9199"/>
    </row>
    <row r="9200" spans="6:9" x14ac:dyDescent="0.3">
      <c r="F9200"/>
      <c r="G9200"/>
      <c r="H9200"/>
      <c r="I9200"/>
    </row>
    <row r="9201" spans="6:9" x14ac:dyDescent="0.3">
      <c r="F9201"/>
      <c r="G9201"/>
      <c r="H9201"/>
      <c r="I9201"/>
    </row>
    <row r="9202" spans="6:9" x14ac:dyDescent="0.3">
      <c r="F9202"/>
      <c r="G9202"/>
      <c r="H9202"/>
      <c r="I9202"/>
    </row>
    <row r="9203" spans="6:9" x14ac:dyDescent="0.3">
      <c r="F9203"/>
      <c r="G9203"/>
      <c r="H9203"/>
      <c r="I9203"/>
    </row>
    <row r="9204" spans="6:9" x14ac:dyDescent="0.3">
      <c r="F9204"/>
      <c r="G9204"/>
      <c r="H9204"/>
      <c r="I9204"/>
    </row>
    <row r="9205" spans="6:9" x14ac:dyDescent="0.3">
      <c r="F9205"/>
      <c r="G9205"/>
      <c r="H9205"/>
      <c r="I9205"/>
    </row>
    <row r="9206" spans="6:9" x14ac:dyDescent="0.3">
      <c r="F9206"/>
      <c r="G9206"/>
      <c r="H9206"/>
      <c r="I9206"/>
    </row>
    <row r="9207" spans="6:9" x14ac:dyDescent="0.3">
      <c r="F9207"/>
      <c r="G9207"/>
      <c r="H9207"/>
      <c r="I9207"/>
    </row>
    <row r="9208" spans="6:9" x14ac:dyDescent="0.3">
      <c r="F9208"/>
      <c r="G9208"/>
      <c r="H9208"/>
      <c r="I9208"/>
    </row>
    <row r="9209" spans="6:9" x14ac:dyDescent="0.3">
      <c r="F9209"/>
      <c r="G9209"/>
      <c r="H9209"/>
      <c r="I9209"/>
    </row>
    <row r="9210" spans="6:9" x14ac:dyDescent="0.3">
      <c r="F9210"/>
      <c r="G9210"/>
      <c r="H9210"/>
      <c r="I9210"/>
    </row>
    <row r="9211" spans="6:9" x14ac:dyDescent="0.3">
      <c r="F9211"/>
      <c r="G9211"/>
      <c r="H9211"/>
      <c r="I9211"/>
    </row>
    <row r="9212" spans="6:9" x14ac:dyDescent="0.3">
      <c r="F9212"/>
      <c r="G9212"/>
      <c r="H9212"/>
      <c r="I9212"/>
    </row>
    <row r="9213" spans="6:9" x14ac:dyDescent="0.3">
      <c r="F9213"/>
      <c r="G9213"/>
      <c r="H9213"/>
      <c r="I9213"/>
    </row>
    <row r="9214" spans="6:9" x14ac:dyDescent="0.3">
      <c r="F9214"/>
      <c r="G9214"/>
      <c r="H9214"/>
      <c r="I9214"/>
    </row>
    <row r="9215" spans="6:9" x14ac:dyDescent="0.3">
      <c r="F9215"/>
      <c r="G9215"/>
      <c r="H9215"/>
      <c r="I9215"/>
    </row>
    <row r="9216" spans="6:9" x14ac:dyDescent="0.3">
      <c r="F9216"/>
      <c r="G9216"/>
      <c r="H9216"/>
      <c r="I9216"/>
    </row>
    <row r="9217" spans="6:9" x14ac:dyDescent="0.3">
      <c r="F9217"/>
      <c r="G9217"/>
      <c r="H9217"/>
      <c r="I9217"/>
    </row>
    <row r="9218" spans="6:9" x14ac:dyDescent="0.3">
      <c r="F9218"/>
      <c r="G9218"/>
      <c r="H9218"/>
      <c r="I9218"/>
    </row>
    <row r="9219" spans="6:9" x14ac:dyDescent="0.3">
      <c r="F9219"/>
      <c r="G9219"/>
      <c r="H9219"/>
      <c r="I9219"/>
    </row>
    <row r="9220" spans="6:9" x14ac:dyDescent="0.3">
      <c r="F9220"/>
      <c r="G9220"/>
      <c r="H9220"/>
      <c r="I9220"/>
    </row>
    <row r="9221" spans="6:9" x14ac:dyDescent="0.3">
      <c r="F9221"/>
      <c r="G9221"/>
      <c r="H9221"/>
      <c r="I9221"/>
    </row>
    <row r="9222" spans="6:9" x14ac:dyDescent="0.3">
      <c r="F9222"/>
      <c r="G9222"/>
      <c r="H9222"/>
      <c r="I9222"/>
    </row>
    <row r="9223" spans="6:9" x14ac:dyDescent="0.3">
      <c r="F9223"/>
      <c r="G9223"/>
      <c r="H9223"/>
      <c r="I9223"/>
    </row>
    <row r="9224" spans="6:9" x14ac:dyDescent="0.3">
      <c r="F9224"/>
      <c r="G9224"/>
      <c r="H9224"/>
      <c r="I9224"/>
    </row>
    <row r="9225" spans="6:9" x14ac:dyDescent="0.3">
      <c r="F9225"/>
      <c r="G9225"/>
      <c r="H9225"/>
      <c r="I9225"/>
    </row>
    <row r="9226" spans="6:9" x14ac:dyDescent="0.3">
      <c r="F9226"/>
      <c r="G9226"/>
      <c r="H9226"/>
      <c r="I9226"/>
    </row>
    <row r="9227" spans="6:9" x14ac:dyDescent="0.3">
      <c r="F9227"/>
      <c r="G9227"/>
      <c r="H9227"/>
      <c r="I9227"/>
    </row>
    <row r="9228" spans="6:9" x14ac:dyDescent="0.3">
      <c r="F9228"/>
      <c r="G9228"/>
      <c r="H9228"/>
      <c r="I9228"/>
    </row>
    <row r="9229" spans="6:9" x14ac:dyDescent="0.3">
      <c r="F9229"/>
      <c r="G9229"/>
      <c r="H9229"/>
      <c r="I9229"/>
    </row>
    <row r="9230" spans="6:9" x14ac:dyDescent="0.3">
      <c r="F9230"/>
      <c r="G9230"/>
      <c r="H9230"/>
      <c r="I9230"/>
    </row>
    <row r="9231" spans="6:9" x14ac:dyDescent="0.3">
      <c r="F9231"/>
      <c r="G9231"/>
      <c r="H9231"/>
      <c r="I9231"/>
    </row>
    <row r="9232" spans="6:9" x14ac:dyDescent="0.3">
      <c r="F9232"/>
      <c r="G9232"/>
      <c r="H9232"/>
      <c r="I9232"/>
    </row>
    <row r="9233" spans="6:9" x14ac:dyDescent="0.3">
      <c r="F9233"/>
      <c r="G9233"/>
      <c r="H9233"/>
      <c r="I9233"/>
    </row>
    <row r="9234" spans="6:9" x14ac:dyDescent="0.3">
      <c r="F9234"/>
      <c r="G9234"/>
      <c r="H9234"/>
      <c r="I9234"/>
    </row>
    <row r="9235" spans="6:9" x14ac:dyDescent="0.3">
      <c r="F9235"/>
      <c r="G9235"/>
      <c r="H9235"/>
      <c r="I9235"/>
    </row>
    <row r="9236" spans="6:9" x14ac:dyDescent="0.3">
      <c r="F9236"/>
      <c r="G9236"/>
      <c r="H9236"/>
      <c r="I9236"/>
    </row>
    <row r="9237" spans="6:9" x14ac:dyDescent="0.3">
      <c r="F9237"/>
      <c r="G9237"/>
      <c r="H9237"/>
      <c r="I9237"/>
    </row>
    <row r="9238" spans="6:9" x14ac:dyDescent="0.3">
      <c r="F9238"/>
      <c r="G9238"/>
      <c r="H9238"/>
      <c r="I9238"/>
    </row>
    <row r="9239" spans="6:9" x14ac:dyDescent="0.3">
      <c r="F9239"/>
      <c r="G9239"/>
      <c r="H9239"/>
      <c r="I9239"/>
    </row>
    <row r="9240" spans="6:9" x14ac:dyDescent="0.3">
      <c r="F9240"/>
      <c r="G9240"/>
      <c r="H9240"/>
      <c r="I9240"/>
    </row>
    <row r="9241" spans="6:9" x14ac:dyDescent="0.3">
      <c r="F9241"/>
      <c r="G9241"/>
      <c r="H9241"/>
      <c r="I9241"/>
    </row>
    <row r="9242" spans="6:9" x14ac:dyDescent="0.3">
      <c r="F9242"/>
      <c r="G9242"/>
      <c r="H9242"/>
      <c r="I9242"/>
    </row>
    <row r="9243" spans="6:9" x14ac:dyDescent="0.3">
      <c r="F9243"/>
      <c r="G9243"/>
      <c r="H9243"/>
      <c r="I9243"/>
    </row>
    <row r="9244" spans="6:9" x14ac:dyDescent="0.3">
      <c r="F9244"/>
      <c r="G9244"/>
      <c r="H9244"/>
      <c r="I9244"/>
    </row>
    <row r="9245" spans="6:9" x14ac:dyDescent="0.3">
      <c r="F9245"/>
      <c r="G9245"/>
      <c r="H9245"/>
      <c r="I9245"/>
    </row>
    <row r="9246" spans="6:9" x14ac:dyDescent="0.3">
      <c r="F9246"/>
      <c r="G9246"/>
      <c r="H9246"/>
      <c r="I9246"/>
    </row>
    <row r="9247" spans="6:9" x14ac:dyDescent="0.3">
      <c r="F9247"/>
      <c r="G9247"/>
      <c r="H9247"/>
      <c r="I9247"/>
    </row>
    <row r="9248" spans="6:9" x14ac:dyDescent="0.3">
      <c r="F9248"/>
      <c r="G9248"/>
      <c r="H9248"/>
      <c r="I9248"/>
    </row>
    <row r="9249" spans="6:9" x14ac:dyDescent="0.3">
      <c r="F9249"/>
      <c r="G9249"/>
      <c r="H9249"/>
      <c r="I9249"/>
    </row>
    <row r="9250" spans="6:9" x14ac:dyDescent="0.3">
      <c r="F9250"/>
      <c r="G9250"/>
      <c r="H9250"/>
      <c r="I9250"/>
    </row>
    <row r="9251" spans="6:9" x14ac:dyDescent="0.3">
      <c r="F9251"/>
      <c r="G9251"/>
      <c r="H9251"/>
      <c r="I9251"/>
    </row>
    <row r="9252" spans="6:9" x14ac:dyDescent="0.3">
      <c r="F9252"/>
      <c r="G9252"/>
      <c r="H9252"/>
      <c r="I9252"/>
    </row>
    <row r="9253" spans="6:9" x14ac:dyDescent="0.3">
      <c r="F9253"/>
      <c r="G9253"/>
      <c r="H9253"/>
      <c r="I9253"/>
    </row>
    <row r="9254" spans="6:9" x14ac:dyDescent="0.3">
      <c r="F9254"/>
      <c r="G9254"/>
      <c r="H9254"/>
      <c r="I9254"/>
    </row>
    <row r="9255" spans="6:9" x14ac:dyDescent="0.3">
      <c r="F9255"/>
      <c r="G9255"/>
      <c r="H9255"/>
      <c r="I9255"/>
    </row>
    <row r="9256" spans="6:9" x14ac:dyDescent="0.3">
      <c r="F9256"/>
      <c r="G9256"/>
      <c r="H9256"/>
      <c r="I9256"/>
    </row>
    <row r="9257" spans="6:9" x14ac:dyDescent="0.3">
      <c r="F9257"/>
      <c r="G9257"/>
      <c r="H9257"/>
      <c r="I9257"/>
    </row>
    <row r="9258" spans="6:9" x14ac:dyDescent="0.3">
      <c r="F9258"/>
      <c r="G9258"/>
      <c r="H9258"/>
      <c r="I9258"/>
    </row>
    <row r="9259" spans="6:9" x14ac:dyDescent="0.3">
      <c r="F9259"/>
      <c r="G9259"/>
      <c r="H9259"/>
      <c r="I9259"/>
    </row>
    <row r="9260" spans="6:9" x14ac:dyDescent="0.3">
      <c r="F9260"/>
      <c r="G9260"/>
      <c r="H9260"/>
      <c r="I9260"/>
    </row>
    <row r="9261" spans="6:9" x14ac:dyDescent="0.3">
      <c r="F9261"/>
      <c r="G9261"/>
      <c r="H9261"/>
      <c r="I9261"/>
    </row>
    <row r="9262" spans="6:9" x14ac:dyDescent="0.3">
      <c r="F9262"/>
      <c r="G9262"/>
      <c r="H9262"/>
      <c r="I9262"/>
    </row>
    <row r="9263" spans="6:9" x14ac:dyDescent="0.3">
      <c r="F9263"/>
      <c r="G9263"/>
      <c r="H9263"/>
      <c r="I9263"/>
    </row>
    <row r="9264" spans="6:9" x14ac:dyDescent="0.3">
      <c r="F9264"/>
      <c r="G9264"/>
      <c r="H9264"/>
      <c r="I9264"/>
    </row>
    <row r="9265" spans="6:9" x14ac:dyDescent="0.3">
      <c r="F9265"/>
      <c r="G9265"/>
      <c r="H9265"/>
      <c r="I9265"/>
    </row>
    <row r="9266" spans="6:9" x14ac:dyDescent="0.3">
      <c r="F9266"/>
      <c r="G9266"/>
      <c r="H9266"/>
      <c r="I9266"/>
    </row>
    <row r="9267" spans="6:9" x14ac:dyDescent="0.3">
      <c r="F9267"/>
      <c r="G9267"/>
      <c r="H9267"/>
      <c r="I9267"/>
    </row>
    <row r="9268" spans="6:9" x14ac:dyDescent="0.3">
      <c r="F9268"/>
      <c r="G9268"/>
      <c r="H9268"/>
      <c r="I9268"/>
    </row>
    <row r="9269" spans="6:9" x14ac:dyDescent="0.3">
      <c r="F9269"/>
      <c r="G9269"/>
      <c r="H9269"/>
      <c r="I9269"/>
    </row>
    <row r="9270" spans="6:9" x14ac:dyDescent="0.3">
      <c r="F9270"/>
      <c r="G9270"/>
      <c r="H9270"/>
      <c r="I9270"/>
    </row>
    <row r="9271" spans="6:9" x14ac:dyDescent="0.3">
      <c r="F9271"/>
      <c r="G9271"/>
      <c r="H9271"/>
      <c r="I9271"/>
    </row>
    <row r="9272" spans="6:9" x14ac:dyDescent="0.3">
      <c r="F9272"/>
      <c r="G9272"/>
      <c r="H9272"/>
      <c r="I9272"/>
    </row>
    <row r="9273" spans="6:9" x14ac:dyDescent="0.3">
      <c r="F9273"/>
      <c r="G9273"/>
      <c r="H9273"/>
      <c r="I9273"/>
    </row>
    <row r="9274" spans="6:9" x14ac:dyDescent="0.3">
      <c r="F9274"/>
      <c r="G9274"/>
      <c r="H9274"/>
      <c r="I9274"/>
    </row>
    <row r="9275" spans="6:9" x14ac:dyDescent="0.3">
      <c r="F9275"/>
      <c r="G9275"/>
      <c r="H9275"/>
      <c r="I9275"/>
    </row>
    <row r="9276" spans="6:9" x14ac:dyDescent="0.3">
      <c r="F9276"/>
      <c r="G9276"/>
      <c r="H9276"/>
      <c r="I9276"/>
    </row>
    <row r="9277" spans="6:9" x14ac:dyDescent="0.3">
      <c r="F9277"/>
      <c r="G9277"/>
      <c r="H9277"/>
      <c r="I9277"/>
    </row>
    <row r="9278" spans="6:9" x14ac:dyDescent="0.3">
      <c r="F9278"/>
      <c r="G9278"/>
      <c r="H9278"/>
      <c r="I9278"/>
    </row>
    <row r="9279" spans="6:9" x14ac:dyDescent="0.3">
      <c r="F9279"/>
      <c r="G9279"/>
      <c r="H9279"/>
      <c r="I9279"/>
    </row>
    <row r="9280" spans="6:9" x14ac:dyDescent="0.3">
      <c r="F9280"/>
      <c r="G9280"/>
      <c r="H9280"/>
      <c r="I9280"/>
    </row>
    <row r="9281" spans="6:9" x14ac:dyDescent="0.3">
      <c r="F9281"/>
      <c r="G9281"/>
      <c r="H9281"/>
      <c r="I9281"/>
    </row>
    <row r="9282" spans="6:9" x14ac:dyDescent="0.3">
      <c r="F9282"/>
      <c r="G9282"/>
      <c r="H9282"/>
      <c r="I9282"/>
    </row>
    <row r="9283" spans="6:9" x14ac:dyDescent="0.3">
      <c r="F9283"/>
      <c r="G9283"/>
      <c r="H9283"/>
      <c r="I9283"/>
    </row>
    <row r="9284" spans="6:9" x14ac:dyDescent="0.3">
      <c r="F9284"/>
      <c r="G9284"/>
      <c r="H9284"/>
      <c r="I9284"/>
    </row>
    <row r="9285" spans="6:9" x14ac:dyDescent="0.3">
      <c r="F9285"/>
      <c r="G9285"/>
      <c r="H9285"/>
      <c r="I9285"/>
    </row>
    <row r="9286" spans="6:9" x14ac:dyDescent="0.3">
      <c r="F9286"/>
      <c r="G9286"/>
      <c r="H9286"/>
      <c r="I9286"/>
    </row>
    <row r="9287" spans="6:9" x14ac:dyDescent="0.3">
      <c r="F9287"/>
      <c r="G9287"/>
      <c r="H9287"/>
      <c r="I9287"/>
    </row>
    <row r="9288" spans="6:9" x14ac:dyDescent="0.3">
      <c r="F9288"/>
      <c r="G9288"/>
      <c r="H9288"/>
      <c r="I9288"/>
    </row>
    <row r="9289" spans="6:9" x14ac:dyDescent="0.3">
      <c r="F9289"/>
      <c r="G9289"/>
      <c r="H9289"/>
      <c r="I9289"/>
    </row>
    <row r="9290" spans="6:9" x14ac:dyDescent="0.3">
      <c r="F9290"/>
      <c r="G9290"/>
      <c r="H9290"/>
      <c r="I9290"/>
    </row>
    <row r="9291" spans="6:9" x14ac:dyDescent="0.3">
      <c r="F9291"/>
      <c r="G9291"/>
      <c r="H9291"/>
      <c r="I9291"/>
    </row>
    <row r="9292" spans="6:9" x14ac:dyDescent="0.3">
      <c r="F9292"/>
      <c r="G9292"/>
      <c r="H9292"/>
      <c r="I9292"/>
    </row>
    <row r="9293" spans="6:9" x14ac:dyDescent="0.3">
      <c r="F9293"/>
      <c r="G9293"/>
      <c r="H9293"/>
      <c r="I9293"/>
    </row>
    <row r="9294" spans="6:9" x14ac:dyDescent="0.3">
      <c r="F9294"/>
      <c r="G9294"/>
      <c r="H9294"/>
      <c r="I9294"/>
    </row>
    <row r="9295" spans="6:9" x14ac:dyDescent="0.3">
      <c r="F9295"/>
      <c r="G9295"/>
      <c r="H9295"/>
      <c r="I9295"/>
    </row>
    <row r="9296" spans="6:9" x14ac:dyDescent="0.3">
      <c r="F9296"/>
      <c r="G9296"/>
      <c r="H9296"/>
      <c r="I9296"/>
    </row>
    <row r="9297" spans="6:9" x14ac:dyDescent="0.3">
      <c r="F9297"/>
      <c r="G9297"/>
      <c r="H9297"/>
      <c r="I9297"/>
    </row>
    <row r="9298" spans="6:9" x14ac:dyDescent="0.3">
      <c r="F9298"/>
      <c r="G9298"/>
      <c r="H9298"/>
      <c r="I9298"/>
    </row>
    <row r="9299" spans="6:9" x14ac:dyDescent="0.3">
      <c r="F9299"/>
      <c r="G9299"/>
      <c r="H9299"/>
      <c r="I9299"/>
    </row>
    <row r="9300" spans="6:9" x14ac:dyDescent="0.3">
      <c r="F9300"/>
      <c r="G9300"/>
      <c r="H9300"/>
      <c r="I9300"/>
    </row>
    <row r="9301" spans="6:9" x14ac:dyDescent="0.3">
      <c r="F9301"/>
      <c r="G9301"/>
      <c r="H9301"/>
      <c r="I9301"/>
    </row>
    <row r="9302" spans="6:9" x14ac:dyDescent="0.3">
      <c r="F9302"/>
      <c r="G9302"/>
      <c r="H9302"/>
      <c r="I9302"/>
    </row>
    <row r="9303" spans="6:9" x14ac:dyDescent="0.3">
      <c r="F9303"/>
      <c r="G9303"/>
      <c r="H9303"/>
      <c r="I9303"/>
    </row>
    <row r="9304" spans="6:9" x14ac:dyDescent="0.3">
      <c r="F9304"/>
      <c r="G9304"/>
      <c r="H9304"/>
      <c r="I9304"/>
    </row>
    <row r="9305" spans="6:9" x14ac:dyDescent="0.3">
      <c r="F9305"/>
      <c r="G9305"/>
      <c r="H9305"/>
      <c r="I9305"/>
    </row>
    <row r="9306" spans="6:9" x14ac:dyDescent="0.3">
      <c r="F9306"/>
      <c r="G9306"/>
      <c r="H9306"/>
      <c r="I9306"/>
    </row>
    <row r="9307" spans="6:9" x14ac:dyDescent="0.3">
      <c r="F9307"/>
      <c r="G9307"/>
      <c r="H9307"/>
      <c r="I9307"/>
    </row>
    <row r="9308" spans="6:9" x14ac:dyDescent="0.3">
      <c r="F9308"/>
      <c r="G9308"/>
      <c r="H9308"/>
      <c r="I9308"/>
    </row>
    <row r="9309" spans="6:9" x14ac:dyDescent="0.3">
      <c r="F9309"/>
      <c r="G9309"/>
      <c r="H9309"/>
      <c r="I9309"/>
    </row>
    <row r="9310" spans="6:9" x14ac:dyDescent="0.3">
      <c r="F9310"/>
      <c r="G9310"/>
      <c r="H9310"/>
      <c r="I9310"/>
    </row>
    <row r="9311" spans="6:9" x14ac:dyDescent="0.3">
      <c r="F9311"/>
      <c r="G9311"/>
      <c r="H9311"/>
      <c r="I9311"/>
    </row>
    <row r="9312" spans="6:9" x14ac:dyDescent="0.3">
      <c r="F9312"/>
      <c r="G9312"/>
      <c r="H9312"/>
      <c r="I9312"/>
    </row>
    <row r="9313" spans="6:9" x14ac:dyDescent="0.3">
      <c r="F9313"/>
      <c r="G9313"/>
      <c r="H9313"/>
      <c r="I9313"/>
    </row>
    <row r="9314" spans="6:9" x14ac:dyDescent="0.3">
      <c r="F9314"/>
      <c r="G9314"/>
      <c r="H9314"/>
      <c r="I9314"/>
    </row>
    <row r="9315" spans="6:9" x14ac:dyDescent="0.3">
      <c r="F9315"/>
      <c r="G9315"/>
      <c r="H9315"/>
      <c r="I9315"/>
    </row>
    <row r="9316" spans="6:9" x14ac:dyDescent="0.3">
      <c r="F9316"/>
      <c r="G9316"/>
      <c r="H9316"/>
      <c r="I9316"/>
    </row>
    <row r="9317" spans="6:9" x14ac:dyDescent="0.3">
      <c r="F9317"/>
      <c r="G9317"/>
      <c r="H9317"/>
      <c r="I9317"/>
    </row>
    <row r="9318" spans="6:9" x14ac:dyDescent="0.3">
      <c r="F9318"/>
      <c r="G9318"/>
      <c r="H9318"/>
      <c r="I9318"/>
    </row>
    <row r="9319" spans="6:9" x14ac:dyDescent="0.3">
      <c r="F9319"/>
      <c r="G9319"/>
      <c r="H9319"/>
      <c r="I9319"/>
    </row>
    <row r="9320" spans="6:9" x14ac:dyDescent="0.3">
      <c r="F9320"/>
      <c r="G9320"/>
      <c r="H9320"/>
      <c r="I9320"/>
    </row>
    <row r="9321" spans="6:9" x14ac:dyDescent="0.3">
      <c r="F9321"/>
      <c r="G9321"/>
      <c r="H9321"/>
      <c r="I9321"/>
    </row>
    <row r="9322" spans="6:9" x14ac:dyDescent="0.3">
      <c r="F9322"/>
      <c r="G9322"/>
      <c r="H9322"/>
      <c r="I9322"/>
    </row>
    <row r="9323" spans="6:9" x14ac:dyDescent="0.3">
      <c r="F9323"/>
      <c r="G9323"/>
      <c r="H9323"/>
      <c r="I9323"/>
    </row>
    <row r="9324" spans="6:9" x14ac:dyDescent="0.3">
      <c r="F9324"/>
      <c r="G9324"/>
      <c r="H9324"/>
      <c r="I9324"/>
    </row>
    <row r="9325" spans="6:9" x14ac:dyDescent="0.3">
      <c r="F9325"/>
      <c r="G9325"/>
      <c r="H9325"/>
      <c r="I9325"/>
    </row>
    <row r="9326" spans="6:9" x14ac:dyDescent="0.3">
      <c r="F9326"/>
      <c r="G9326"/>
      <c r="H9326"/>
      <c r="I9326"/>
    </row>
    <row r="9327" spans="6:9" x14ac:dyDescent="0.3">
      <c r="F9327"/>
      <c r="G9327"/>
      <c r="H9327"/>
      <c r="I9327"/>
    </row>
    <row r="9328" spans="6:9" x14ac:dyDescent="0.3">
      <c r="F9328"/>
      <c r="G9328"/>
      <c r="H9328"/>
      <c r="I9328"/>
    </row>
    <row r="9329" spans="6:9" x14ac:dyDescent="0.3">
      <c r="F9329"/>
      <c r="G9329"/>
      <c r="H9329"/>
      <c r="I9329"/>
    </row>
    <row r="9330" spans="6:9" x14ac:dyDescent="0.3">
      <c r="F9330"/>
      <c r="G9330"/>
      <c r="H9330"/>
      <c r="I9330"/>
    </row>
    <row r="9331" spans="6:9" x14ac:dyDescent="0.3">
      <c r="F9331"/>
      <c r="G9331"/>
      <c r="H9331"/>
      <c r="I9331"/>
    </row>
    <row r="9332" spans="6:9" x14ac:dyDescent="0.3">
      <c r="F9332"/>
      <c r="G9332"/>
      <c r="H9332"/>
      <c r="I9332"/>
    </row>
    <row r="9333" spans="6:9" x14ac:dyDescent="0.3">
      <c r="F9333"/>
      <c r="G9333"/>
      <c r="H9333"/>
      <c r="I9333"/>
    </row>
    <row r="9334" spans="6:9" x14ac:dyDescent="0.3">
      <c r="F9334"/>
      <c r="G9334"/>
      <c r="H9334"/>
      <c r="I9334"/>
    </row>
    <row r="9335" spans="6:9" x14ac:dyDescent="0.3">
      <c r="F9335"/>
      <c r="G9335"/>
      <c r="H9335"/>
      <c r="I9335"/>
    </row>
    <row r="9336" spans="6:9" x14ac:dyDescent="0.3">
      <c r="F9336"/>
      <c r="G9336"/>
      <c r="H9336"/>
      <c r="I9336"/>
    </row>
    <row r="9337" spans="6:9" x14ac:dyDescent="0.3">
      <c r="F9337"/>
      <c r="G9337"/>
      <c r="H9337"/>
      <c r="I9337"/>
    </row>
    <row r="9338" spans="6:9" x14ac:dyDescent="0.3">
      <c r="F9338"/>
      <c r="G9338"/>
      <c r="H9338"/>
      <c r="I9338"/>
    </row>
    <row r="9339" spans="6:9" x14ac:dyDescent="0.3">
      <c r="F9339"/>
      <c r="G9339"/>
      <c r="H9339"/>
      <c r="I9339"/>
    </row>
    <row r="9340" spans="6:9" x14ac:dyDescent="0.3">
      <c r="F9340"/>
      <c r="G9340"/>
      <c r="H9340"/>
      <c r="I9340"/>
    </row>
    <row r="9341" spans="6:9" x14ac:dyDescent="0.3">
      <c r="F9341"/>
      <c r="G9341"/>
      <c r="H9341"/>
      <c r="I9341"/>
    </row>
    <row r="9342" spans="6:9" x14ac:dyDescent="0.3">
      <c r="F9342"/>
      <c r="G9342"/>
      <c r="H9342"/>
      <c r="I9342"/>
    </row>
    <row r="9343" spans="6:9" x14ac:dyDescent="0.3">
      <c r="F9343"/>
      <c r="G9343"/>
      <c r="H9343"/>
      <c r="I9343"/>
    </row>
    <row r="9344" spans="6:9" x14ac:dyDescent="0.3">
      <c r="F9344"/>
      <c r="G9344"/>
      <c r="H9344"/>
      <c r="I9344"/>
    </row>
    <row r="9345" spans="6:9" x14ac:dyDescent="0.3">
      <c r="F9345"/>
      <c r="G9345"/>
      <c r="H9345"/>
      <c r="I9345"/>
    </row>
    <row r="9346" spans="6:9" x14ac:dyDescent="0.3">
      <c r="F9346"/>
      <c r="G9346"/>
      <c r="H9346"/>
      <c r="I9346"/>
    </row>
    <row r="9347" spans="6:9" x14ac:dyDescent="0.3">
      <c r="F9347"/>
      <c r="G9347"/>
      <c r="H9347"/>
      <c r="I9347"/>
    </row>
    <row r="9348" spans="6:9" x14ac:dyDescent="0.3">
      <c r="F9348"/>
      <c r="G9348"/>
      <c r="H9348"/>
      <c r="I9348"/>
    </row>
    <row r="9349" spans="6:9" x14ac:dyDescent="0.3">
      <c r="F9349"/>
      <c r="G9349"/>
      <c r="H9349"/>
      <c r="I9349"/>
    </row>
    <row r="9350" spans="6:9" x14ac:dyDescent="0.3">
      <c r="F9350"/>
      <c r="G9350"/>
      <c r="H9350"/>
      <c r="I9350"/>
    </row>
    <row r="9351" spans="6:9" x14ac:dyDescent="0.3">
      <c r="F9351"/>
      <c r="G9351"/>
      <c r="H9351"/>
      <c r="I9351"/>
    </row>
    <row r="9352" spans="6:9" x14ac:dyDescent="0.3">
      <c r="F9352"/>
      <c r="G9352"/>
      <c r="H9352"/>
      <c r="I9352"/>
    </row>
    <row r="9353" spans="6:9" x14ac:dyDescent="0.3">
      <c r="F9353"/>
      <c r="G9353"/>
      <c r="H9353"/>
      <c r="I9353"/>
    </row>
    <row r="9354" spans="6:9" x14ac:dyDescent="0.3">
      <c r="F9354"/>
      <c r="G9354"/>
      <c r="H9354"/>
      <c r="I9354"/>
    </row>
    <row r="9355" spans="6:9" x14ac:dyDescent="0.3">
      <c r="F9355"/>
      <c r="G9355"/>
      <c r="H9355"/>
      <c r="I9355"/>
    </row>
    <row r="9356" spans="6:9" x14ac:dyDescent="0.3">
      <c r="F9356"/>
      <c r="G9356"/>
      <c r="H9356"/>
      <c r="I9356"/>
    </row>
    <row r="9357" spans="6:9" x14ac:dyDescent="0.3">
      <c r="F9357"/>
      <c r="G9357"/>
      <c r="H9357"/>
      <c r="I9357"/>
    </row>
    <row r="9358" spans="6:9" x14ac:dyDescent="0.3">
      <c r="F9358"/>
      <c r="G9358"/>
      <c r="H9358"/>
      <c r="I9358"/>
    </row>
    <row r="9359" spans="6:9" x14ac:dyDescent="0.3">
      <c r="F9359"/>
      <c r="G9359"/>
      <c r="H9359"/>
      <c r="I9359"/>
    </row>
    <row r="9360" spans="6:9" x14ac:dyDescent="0.3">
      <c r="F9360"/>
      <c r="G9360"/>
      <c r="H9360"/>
      <c r="I9360"/>
    </row>
    <row r="9361" spans="6:9" x14ac:dyDescent="0.3">
      <c r="F9361"/>
      <c r="G9361"/>
      <c r="H9361"/>
      <c r="I9361"/>
    </row>
    <row r="9362" spans="6:9" x14ac:dyDescent="0.3">
      <c r="F9362"/>
      <c r="G9362"/>
      <c r="H9362"/>
      <c r="I9362"/>
    </row>
    <row r="9363" spans="6:9" x14ac:dyDescent="0.3">
      <c r="F9363"/>
      <c r="G9363"/>
      <c r="H9363"/>
      <c r="I9363"/>
    </row>
    <row r="9364" spans="6:9" x14ac:dyDescent="0.3">
      <c r="F9364"/>
      <c r="G9364"/>
      <c r="H9364"/>
      <c r="I9364"/>
    </row>
    <row r="9365" spans="6:9" x14ac:dyDescent="0.3">
      <c r="F9365"/>
      <c r="G9365"/>
      <c r="H9365"/>
      <c r="I9365"/>
    </row>
    <row r="9366" spans="6:9" x14ac:dyDescent="0.3">
      <c r="F9366"/>
      <c r="G9366"/>
      <c r="H9366"/>
      <c r="I9366"/>
    </row>
    <row r="9367" spans="6:9" x14ac:dyDescent="0.3">
      <c r="F9367"/>
      <c r="G9367"/>
      <c r="H9367"/>
      <c r="I9367"/>
    </row>
    <row r="9368" spans="6:9" x14ac:dyDescent="0.3">
      <c r="F9368"/>
      <c r="G9368"/>
      <c r="H9368"/>
      <c r="I9368"/>
    </row>
    <row r="9369" spans="6:9" x14ac:dyDescent="0.3">
      <c r="F9369"/>
      <c r="G9369"/>
      <c r="H9369"/>
      <c r="I9369"/>
    </row>
    <row r="9370" spans="6:9" x14ac:dyDescent="0.3">
      <c r="F9370"/>
      <c r="G9370"/>
      <c r="H9370"/>
      <c r="I9370"/>
    </row>
    <row r="9371" spans="6:9" x14ac:dyDescent="0.3">
      <c r="F9371"/>
      <c r="G9371"/>
      <c r="H9371"/>
      <c r="I9371"/>
    </row>
    <row r="9372" spans="6:9" x14ac:dyDescent="0.3">
      <c r="F9372"/>
      <c r="G9372"/>
      <c r="H9372"/>
      <c r="I9372"/>
    </row>
    <row r="9373" spans="6:9" x14ac:dyDescent="0.3">
      <c r="F9373"/>
      <c r="G9373"/>
      <c r="H9373"/>
      <c r="I9373"/>
    </row>
    <row r="9374" spans="6:9" x14ac:dyDescent="0.3">
      <c r="F9374"/>
      <c r="G9374"/>
      <c r="H9374"/>
      <c r="I9374"/>
    </row>
    <row r="9375" spans="6:9" x14ac:dyDescent="0.3">
      <c r="F9375"/>
      <c r="G9375"/>
      <c r="H9375"/>
      <c r="I9375"/>
    </row>
    <row r="9376" spans="6:9" x14ac:dyDescent="0.3">
      <c r="F9376"/>
      <c r="G9376"/>
      <c r="H9376"/>
      <c r="I9376"/>
    </row>
    <row r="9377" spans="6:9" x14ac:dyDescent="0.3">
      <c r="F9377"/>
      <c r="G9377"/>
      <c r="H9377"/>
      <c r="I9377"/>
    </row>
    <row r="9378" spans="6:9" x14ac:dyDescent="0.3">
      <c r="F9378"/>
      <c r="G9378"/>
      <c r="H9378"/>
      <c r="I9378"/>
    </row>
    <row r="9379" spans="6:9" x14ac:dyDescent="0.3">
      <c r="F9379"/>
      <c r="G9379"/>
      <c r="H9379"/>
      <c r="I9379"/>
    </row>
    <row r="9380" spans="6:9" x14ac:dyDescent="0.3">
      <c r="F9380"/>
      <c r="G9380"/>
      <c r="H9380"/>
      <c r="I9380"/>
    </row>
    <row r="9381" spans="6:9" x14ac:dyDescent="0.3">
      <c r="F9381"/>
      <c r="G9381"/>
      <c r="H9381"/>
      <c r="I9381"/>
    </row>
    <row r="9382" spans="6:9" x14ac:dyDescent="0.3">
      <c r="F9382"/>
      <c r="G9382"/>
      <c r="H9382"/>
      <c r="I9382"/>
    </row>
    <row r="9383" spans="6:9" x14ac:dyDescent="0.3">
      <c r="F9383"/>
      <c r="G9383"/>
      <c r="H9383"/>
      <c r="I9383"/>
    </row>
    <row r="9384" spans="6:9" x14ac:dyDescent="0.3">
      <c r="F9384"/>
      <c r="G9384"/>
      <c r="H9384"/>
      <c r="I9384"/>
    </row>
    <row r="9385" spans="6:9" x14ac:dyDescent="0.3">
      <c r="F9385"/>
      <c r="G9385"/>
      <c r="H9385"/>
      <c r="I9385"/>
    </row>
    <row r="9386" spans="6:9" x14ac:dyDescent="0.3">
      <c r="F9386"/>
      <c r="G9386"/>
      <c r="H9386"/>
      <c r="I9386"/>
    </row>
    <row r="9387" spans="6:9" x14ac:dyDescent="0.3">
      <c r="F9387"/>
      <c r="G9387"/>
      <c r="H9387"/>
      <c r="I9387"/>
    </row>
    <row r="9388" spans="6:9" x14ac:dyDescent="0.3">
      <c r="F9388"/>
      <c r="G9388"/>
      <c r="H9388"/>
      <c r="I9388"/>
    </row>
    <row r="9389" spans="6:9" x14ac:dyDescent="0.3">
      <c r="F9389"/>
      <c r="G9389"/>
      <c r="H9389"/>
      <c r="I9389"/>
    </row>
    <row r="9390" spans="6:9" x14ac:dyDescent="0.3">
      <c r="F9390"/>
      <c r="G9390"/>
      <c r="H9390"/>
      <c r="I9390"/>
    </row>
    <row r="9391" spans="6:9" x14ac:dyDescent="0.3">
      <c r="F9391"/>
      <c r="G9391"/>
      <c r="H9391"/>
      <c r="I9391"/>
    </row>
    <row r="9392" spans="6:9" x14ac:dyDescent="0.3">
      <c r="F9392"/>
      <c r="G9392"/>
      <c r="H9392"/>
      <c r="I9392"/>
    </row>
    <row r="9393" spans="6:9" x14ac:dyDescent="0.3">
      <c r="F9393"/>
      <c r="G9393"/>
      <c r="H9393"/>
      <c r="I9393"/>
    </row>
    <row r="9394" spans="6:9" x14ac:dyDescent="0.3">
      <c r="F9394"/>
      <c r="G9394"/>
      <c r="H9394"/>
      <c r="I9394"/>
    </row>
    <row r="9395" spans="6:9" x14ac:dyDescent="0.3">
      <c r="F9395"/>
      <c r="G9395"/>
      <c r="H9395"/>
      <c r="I9395"/>
    </row>
    <row r="9396" spans="6:9" x14ac:dyDescent="0.3">
      <c r="F9396"/>
      <c r="G9396"/>
      <c r="H9396"/>
      <c r="I9396"/>
    </row>
    <row r="9397" spans="6:9" x14ac:dyDescent="0.3">
      <c r="F9397"/>
      <c r="G9397"/>
      <c r="H9397"/>
      <c r="I9397"/>
    </row>
    <row r="9398" spans="6:9" x14ac:dyDescent="0.3">
      <c r="F9398"/>
      <c r="G9398"/>
      <c r="H9398"/>
      <c r="I9398"/>
    </row>
    <row r="9399" spans="6:9" x14ac:dyDescent="0.3">
      <c r="F9399"/>
      <c r="G9399"/>
      <c r="H9399"/>
      <c r="I9399"/>
    </row>
    <row r="9400" spans="6:9" x14ac:dyDescent="0.3">
      <c r="F9400"/>
      <c r="G9400"/>
      <c r="H9400"/>
      <c r="I9400"/>
    </row>
    <row r="9401" spans="6:9" x14ac:dyDescent="0.3">
      <c r="F9401"/>
      <c r="G9401"/>
      <c r="H9401"/>
      <c r="I9401"/>
    </row>
    <row r="9402" spans="6:9" x14ac:dyDescent="0.3">
      <c r="F9402"/>
      <c r="G9402"/>
      <c r="H9402"/>
      <c r="I9402"/>
    </row>
    <row r="9403" spans="6:9" x14ac:dyDescent="0.3">
      <c r="F9403"/>
      <c r="G9403"/>
      <c r="H9403"/>
      <c r="I9403"/>
    </row>
    <row r="9404" spans="6:9" x14ac:dyDescent="0.3">
      <c r="F9404"/>
      <c r="G9404"/>
      <c r="H9404"/>
      <c r="I9404"/>
    </row>
    <row r="9405" spans="6:9" x14ac:dyDescent="0.3">
      <c r="F9405"/>
      <c r="G9405"/>
      <c r="H9405"/>
      <c r="I9405"/>
    </row>
    <row r="9406" spans="6:9" x14ac:dyDescent="0.3">
      <c r="F9406"/>
      <c r="G9406"/>
      <c r="H9406"/>
      <c r="I9406"/>
    </row>
    <row r="9407" spans="6:9" x14ac:dyDescent="0.3">
      <c r="F9407"/>
      <c r="G9407"/>
      <c r="H9407"/>
      <c r="I9407"/>
    </row>
    <row r="9408" spans="6:9" x14ac:dyDescent="0.3">
      <c r="F9408"/>
      <c r="G9408"/>
      <c r="H9408"/>
      <c r="I9408"/>
    </row>
    <row r="9409" spans="6:9" x14ac:dyDescent="0.3">
      <c r="F9409"/>
      <c r="G9409"/>
      <c r="H9409"/>
      <c r="I9409"/>
    </row>
    <row r="9410" spans="6:9" x14ac:dyDescent="0.3">
      <c r="F9410"/>
      <c r="G9410"/>
      <c r="H9410"/>
      <c r="I9410"/>
    </row>
    <row r="9411" spans="6:9" x14ac:dyDescent="0.3">
      <c r="F9411"/>
      <c r="G9411"/>
      <c r="H9411"/>
      <c r="I9411"/>
    </row>
    <row r="9412" spans="6:9" x14ac:dyDescent="0.3">
      <c r="F9412"/>
      <c r="G9412"/>
      <c r="H9412"/>
      <c r="I9412"/>
    </row>
    <row r="9413" spans="6:9" x14ac:dyDescent="0.3">
      <c r="F9413"/>
      <c r="G9413"/>
      <c r="H9413"/>
      <c r="I9413"/>
    </row>
    <row r="9414" spans="6:9" x14ac:dyDescent="0.3">
      <c r="F9414"/>
      <c r="G9414"/>
      <c r="H9414"/>
      <c r="I9414"/>
    </row>
    <row r="9415" spans="6:9" x14ac:dyDescent="0.3">
      <c r="F9415"/>
      <c r="G9415"/>
      <c r="H9415"/>
      <c r="I9415"/>
    </row>
    <row r="9416" spans="6:9" x14ac:dyDescent="0.3">
      <c r="F9416"/>
      <c r="G9416"/>
      <c r="H9416"/>
      <c r="I9416"/>
    </row>
    <row r="9417" spans="6:9" x14ac:dyDescent="0.3">
      <c r="F9417"/>
      <c r="G9417"/>
      <c r="H9417"/>
      <c r="I9417"/>
    </row>
    <row r="9418" spans="6:9" x14ac:dyDescent="0.3">
      <c r="F9418"/>
      <c r="G9418"/>
      <c r="H9418"/>
      <c r="I9418"/>
    </row>
    <row r="9419" spans="6:9" x14ac:dyDescent="0.3">
      <c r="F9419"/>
      <c r="G9419"/>
      <c r="H9419"/>
      <c r="I9419"/>
    </row>
    <row r="9420" spans="6:9" x14ac:dyDescent="0.3">
      <c r="F9420"/>
      <c r="G9420"/>
      <c r="H9420"/>
      <c r="I9420"/>
    </row>
    <row r="9421" spans="6:9" x14ac:dyDescent="0.3">
      <c r="F9421"/>
      <c r="G9421"/>
      <c r="H9421"/>
      <c r="I9421"/>
    </row>
    <row r="9422" spans="6:9" x14ac:dyDescent="0.3">
      <c r="F9422"/>
      <c r="G9422"/>
      <c r="H9422"/>
      <c r="I9422"/>
    </row>
    <row r="9423" spans="6:9" x14ac:dyDescent="0.3">
      <c r="F9423"/>
      <c r="G9423"/>
      <c r="H9423"/>
      <c r="I9423"/>
    </row>
    <row r="9424" spans="6:9" x14ac:dyDescent="0.3">
      <c r="F9424"/>
      <c r="G9424"/>
      <c r="H9424"/>
      <c r="I9424"/>
    </row>
    <row r="9425" spans="6:9" x14ac:dyDescent="0.3">
      <c r="F9425"/>
      <c r="G9425"/>
      <c r="H9425"/>
      <c r="I9425"/>
    </row>
    <row r="9426" spans="6:9" x14ac:dyDescent="0.3">
      <c r="F9426"/>
      <c r="G9426"/>
      <c r="H9426"/>
      <c r="I9426"/>
    </row>
    <row r="9427" spans="6:9" x14ac:dyDescent="0.3">
      <c r="F9427"/>
      <c r="G9427"/>
      <c r="H9427"/>
      <c r="I9427"/>
    </row>
    <row r="9428" spans="6:9" x14ac:dyDescent="0.3">
      <c r="F9428"/>
      <c r="G9428"/>
      <c r="H9428"/>
      <c r="I9428"/>
    </row>
    <row r="9429" spans="6:9" x14ac:dyDescent="0.3">
      <c r="F9429"/>
      <c r="G9429"/>
      <c r="H9429"/>
      <c r="I9429"/>
    </row>
    <row r="9430" spans="6:9" x14ac:dyDescent="0.3">
      <c r="F9430"/>
      <c r="G9430"/>
      <c r="H9430"/>
      <c r="I9430"/>
    </row>
    <row r="9431" spans="6:9" x14ac:dyDescent="0.3">
      <c r="F9431"/>
      <c r="G9431"/>
      <c r="H9431"/>
      <c r="I9431"/>
    </row>
    <row r="9432" spans="6:9" x14ac:dyDescent="0.3">
      <c r="F9432"/>
      <c r="G9432"/>
      <c r="H9432"/>
      <c r="I9432"/>
    </row>
    <row r="9433" spans="6:9" x14ac:dyDescent="0.3">
      <c r="F9433"/>
      <c r="G9433"/>
      <c r="H9433"/>
      <c r="I9433"/>
    </row>
    <row r="9434" spans="6:9" x14ac:dyDescent="0.3">
      <c r="F9434"/>
      <c r="G9434"/>
      <c r="H9434"/>
      <c r="I9434"/>
    </row>
    <row r="9435" spans="6:9" x14ac:dyDescent="0.3">
      <c r="F9435"/>
      <c r="G9435"/>
      <c r="H9435"/>
      <c r="I9435"/>
    </row>
    <row r="9436" spans="6:9" x14ac:dyDescent="0.3">
      <c r="F9436"/>
      <c r="G9436"/>
      <c r="H9436"/>
      <c r="I9436"/>
    </row>
    <row r="9437" spans="6:9" x14ac:dyDescent="0.3">
      <c r="F9437"/>
      <c r="G9437"/>
      <c r="H9437"/>
      <c r="I9437"/>
    </row>
    <row r="9438" spans="6:9" x14ac:dyDescent="0.3">
      <c r="F9438"/>
      <c r="G9438"/>
      <c r="H9438"/>
      <c r="I9438"/>
    </row>
    <row r="9439" spans="6:9" x14ac:dyDescent="0.3">
      <c r="F9439"/>
      <c r="G9439"/>
      <c r="H9439"/>
      <c r="I9439"/>
    </row>
    <row r="9440" spans="6:9" x14ac:dyDescent="0.3">
      <c r="F9440"/>
      <c r="G9440"/>
      <c r="H9440"/>
      <c r="I9440"/>
    </row>
    <row r="9441" spans="6:9" x14ac:dyDescent="0.3">
      <c r="F9441"/>
      <c r="G9441"/>
      <c r="H9441"/>
      <c r="I9441"/>
    </row>
    <row r="9442" spans="6:9" x14ac:dyDescent="0.3">
      <c r="F9442"/>
      <c r="G9442"/>
      <c r="H9442"/>
      <c r="I9442"/>
    </row>
    <row r="9443" spans="6:9" x14ac:dyDescent="0.3">
      <c r="F9443"/>
      <c r="G9443"/>
      <c r="H9443"/>
      <c r="I9443"/>
    </row>
    <row r="9444" spans="6:9" x14ac:dyDescent="0.3">
      <c r="F9444"/>
      <c r="G9444"/>
      <c r="H9444"/>
      <c r="I9444"/>
    </row>
    <row r="9445" spans="6:9" x14ac:dyDescent="0.3">
      <c r="F9445"/>
      <c r="G9445"/>
      <c r="H9445"/>
      <c r="I9445"/>
    </row>
    <row r="9446" spans="6:9" x14ac:dyDescent="0.3">
      <c r="F9446"/>
      <c r="G9446"/>
      <c r="H9446"/>
      <c r="I9446"/>
    </row>
    <row r="9447" spans="6:9" x14ac:dyDescent="0.3">
      <c r="F9447"/>
      <c r="G9447"/>
      <c r="H9447"/>
      <c r="I9447"/>
    </row>
    <row r="9448" spans="6:9" x14ac:dyDescent="0.3">
      <c r="F9448"/>
      <c r="G9448"/>
      <c r="H9448"/>
      <c r="I9448"/>
    </row>
    <row r="9449" spans="6:9" x14ac:dyDescent="0.3">
      <c r="F9449"/>
      <c r="G9449"/>
      <c r="H9449"/>
      <c r="I9449"/>
    </row>
    <row r="9450" spans="6:9" x14ac:dyDescent="0.3">
      <c r="F9450"/>
      <c r="G9450"/>
      <c r="H9450"/>
      <c r="I9450"/>
    </row>
    <row r="9451" spans="6:9" x14ac:dyDescent="0.3">
      <c r="F9451"/>
      <c r="G9451"/>
      <c r="H9451"/>
      <c r="I9451"/>
    </row>
    <row r="9452" spans="6:9" x14ac:dyDescent="0.3">
      <c r="F9452"/>
      <c r="G9452"/>
      <c r="H9452"/>
      <c r="I9452"/>
    </row>
    <row r="9453" spans="6:9" x14ac:dyDescent="0.3">
      <c r="F9453"/>
      <c r="G9453"/>
      <c r="H9453"/>
      <c r="I9453"/>
    </row>
    <row r="9454" spans="6:9" x14ac:dyDescent="0.3">
      <c r="F9454"/>
      <c r="G9454"/>
      <c r="H9454"/>
      <c r="I9454"/>
    </row>
    <row r="9455" spans="6:9" x14ac:dyDescent="0.3">
      <c r="F9455"/>
      <c r="G9455"/>
      <c r="H9455"/>
      <c r="I9455"/>
    </row>
    <row r="9456" spans="6:9" x14ac:dyDescent="0.3">
      <c r="F9456"/>
      <c r="G9456"/>
      <c r="H9456"/>
      <c r="I9456"/>
    </row>
    <row r="9457" spans="6:9" x14ac:dyDescent="0.3">
      <c r="F9457"/>
      <c r="G9457"/>
      <c r="H9457"/>
      <c r="I9457"/>
    </row>
    <row r="9458" spans="6:9" x14ac:dyDescent="0.3">
      <c r="F9458"/>
      <c r="G9458"/>
      <c r="H9458"/>
      <c r="I9458"/>
    </row>
    <row r="9459" spans="6:9" x14ac:dyDescent="0.3">
      <c r="F9459"/>
      <c r="G9459"/>
      <c r="H9459"/>
      <c r="I9459"/>
    </row>
    <row r="9460" spans="6:9" x14ac:dyDescent="0.3">
      <c r="F9460"/>
      <c r="G9460"/>
      <c r="H9460"/>
      <c r="I9460"/>
    </row>
    <row r="9461" spans="6:9" x14ac:dyDescent="0.3">
      <c r="F9461"/>
      <c r="G9461"/>
      <c r="H9461"/>
      <c r="I9461"/>
    </row>
    <row r="9462" spans="6:9" x14ac:dyDescent="0.3">
      <c r="F9462"/>
      <c r="G9462"/>
      <c r="H9462"/>
      <c r="I9462"/>
    </row>
    <row r="9463" spans="6:9" x14ac:dyDescent="0.3">
      <c r="F9463"/>
      <c r="G9463"/>
      <c r="H9463"/>
      <c r="I9463"/>
    </row>
    <row r="9464" spans="6:9" x14ac:dyDescent="0.3">
      <c r="F9464"/>
      <c r="G9464"/>
      <c r="H9464"/>
      <c r="I9464"/>
    </row>
    <row r="9465" spans="6:9" x14ac:dyDescent="0.3">
      <c r="F9465"/>
      <c r="G9465"/>
      <c r="H9465"/>
      <c r="I9465"/>
    </row>
    <row r="9466" spans="6:9" x14ac:dyDescent="0.3">
      <c r="F9466"/>
      <c r="G9466"/>
      <c r="H9466"/>
      <c r="I9466"/>
    </row>
    <row r="9467" spans="6:9" x14ac:dyDescent="0.3">
      <c r="F9467"/>
      <c r="G9467"/>
      <c r="H9467"/>
      <c r="I9467"/>
    </row>
    <row r="9468" spans="6:9" x14ac:dyDescent="0.3">
      <c r="F9468"/>
      <c r="G9468"/>
      <c r="H9468"/>
      <c r="I9468"/>
    </row>
    <row r="9469" spans="6:9" x14ac:dyDescent="0.3">
      <c r="F9469"/>
      <c r="G9469"/>
      <c r="H9469"/>
      <c r="I9469"/>
    </row>
    <row r="9470" spans="6:9" x14ac:dyDescent="0.3">
      <c r="F9470"/>
      <c r="G9470"/>
      <c r="H9470"/>
      <c r="I9470"/>
    </row>
    <row r="9471" spans="6:9" x14ac:dyDescent="0.3">
      <c r="F9471"/>
      <c r="G9471"/>
      <c r="H9471"/>
      <c r="I9471"/>
    </row>
    <row r="9472" spans="6:9" x14ac:dyDescent="0.3">
      <c r="F9472"/>
      <c r="G9472"/>
      <c r="H9472"/>
      <c r="I9472"/>
    </row>
    <row r="9473" spans="6:9" x14ac:dyDescent="0.3">
      <c r="F9473"/>
      <c r="G9473"/>
      <c r="H9473"/>
      <c r="I9473"/>
    </row>
    <row r="9474" spans="6:9" x14ac:dyDescent="0.3">
      <c r="F9474"/>
      <c r="G9474"/>
      <c r="H9474"/>
      <c r="I9474"/>
    </row>
    <row r="9475" spans="6:9" x14ac:dyDescent="0.3">
      <c r="F9475"/>
      <c r="G9475"/>
      <c r="H9475"/>
      <c r="I9475"/>
    </row>
    <row r="9476" spans="6:9" x14ac:dyDescent="0.3">
      <c r="F9476"/>
      <c r="G9476"/>
      <c r="H9476"/>
      <c r="I9476"/>
    </row>
    <row r="9477" spans="6:9" x14ac:dyDescent="0.3">
      <c r="F9477"/>
      <c r="G9477"/>
      <c r="H9477"/>
      <c r="I9477"/>
    </row>
    <row r="9478" spans="6:9" x14ac:dyDescent="0.3">
      <c r="F9478"/>
      <c r="G9478"/>
      <c r="H9478"/>
      <c r="I9478"/>
    </row>
    <row r="9479" spans="6:9" x14ac:dyDescent="0.3">
      <c r="F9479"/>
      <c r="G9479"/>
      <c r="H9479"/>
      <c r="I9479"/>
    </row>
    <row r="9480" spans="6:9" x14ac:dyDescent="0.3">
      <c r="F9480"/>
      <c r="G9480"/>
      <c r="H9480"/>
      <c r="I9480"/>
    </row>
    <row r="9481" spans="6:9" x14ac:dyDescent="0.3">
      <c r="F9481"/>
      <c r="G9481"/>
      <c r="H9481"/>
      <c r="I9481"/>
    </row>
    <row r="9482" spans="6:9" x14ac:dyDescent="0.3">
      <c r="F9482"/>
      <c r="G9482"/>
      <c r="H9482"/>
      <c r="I9482"/>
    </row>
    <row r="9483" spans="6:9" x14ac:dyDescent="0.3">
      <c r="F9483"/>
      <c r="G9483"/>
      <c r="H9483"/>
      <c r="I9483"/>
    </row>
    <row r="9484" spans="6:9" x14ac:dyDescent="0.3">
      <c r="F9484"/>
      <c r="G9484"/>
      <c r="H9484"/>
      <c r="I9484"/>
    </row>
    <row r="9485" spans="6:9" x14ac:dyDescent="0.3">
      <c r="F9485"/>
      <c r="G9485"/>
      <c r="H9485"/>
      <c r="I9485"/>
    </row>
    <row r="9486" spans="6:9" x14ac:dyDescent="0.3">
      <c r="F9486"/>
      <c r="G9486"/>
      <c r="H9486"/>
      <c r="I9486"/>
    </row>
    <row r="9487" spans="6:9" x14ac:dyDescent="0.3">
      <c r="F9487"/>
      <c r="G9487"/>
      <c r="H9487"/>
      <c r="I9487"/>
    </row>
    <row r="9488" spans="6:9" x14ac:dyDescent="0.3">
      <c r="F9488"/>
      <c r="G9488"/>
      <c r="H9488"/>
      <c r="I9488"/>
    </row>
    <row r="9489" spans="6:9" x14ac:dyDescent="0.3">
      <c r="F9489"/>
      <c r="G9489"/>
      <c r="H9489"/>
      <c r="I9489"/>
    </row>
    <row r="9490" spans="6:9" x14ac:dyDescent="0.3">
      <c r="F9490"/>
      <c r="G9490"/>
      <c r="H9490"/>
      <c r="I9490"/>
    </row>
    <row r="9491" spans="6:9" x14ac:dyDescent="0.3">
      <c r="F9491"/>
      <c r="G9491"/>
      <c r="H9491"/>
      <c r="I9491"/>
    </row>
    <row r="9492" spans="6:9" x14ac:dyDescent="0.3">
      <c r="F9492"/>
      <c r="G9492"/>
      <c r="H9492"/>
      <c r="I9492"/>
    </row>
    <row r="9493" spans="6:9" x14ac:dyDescent="0.3">
      <c r="F9493"/>
      <c r="G9493"/>
      <c r="H9493"/>
      <c r="I9493"/>
    </row>
    <row r="9494" spans="6:9" x14ac:dyDescent="0.3">
      <c r="F9494"/>
      <c r="G9494"/>
      <c r="H9494"/>
      <c r="I9494"/>
    </row>
    <row r="9495" spans="6:9" x14ac:dyDescent="0.3">
      <c r="F9495"/>
      <c r="G9495"/>
      <c r="H9495"/>
      <c r="I9495"/>
    </row>
    <row r="9496" spans="6:9" x14ac:dyDescent="0.3">
      <c r="F9496"/>
      <c r="G9496"/>
      <c r="H9496"/>
      <c r="I9496"/>
    </row>
    <row r="9497" spans="6:9" x14ac:dyDescent="0.3">
      <c r="F9497"/>
      <c r="G9497"/>
      <c r="H9497"/>
      <c r="I9497"/>
    </row>
    <row r="9498" spans="6:9" x14ac:dyDescent="0.3">
      <c r="F9498"/>
      <c r="G9498"/>
      <c r="H9498"/>
      <c r="I9498"/>
    </row>
    <row r="9499" spans="6:9" x14ac:dyDescent="0.3">
      <c r="F9499"/>
      <c r="G9499"/>
      <c r="H9499"/>
      <c r="I9499"/>
    </row>
    <row r="9500" spans="6:9" x14ac:dyDescent="0.3">
      <c r="F9500"/>
      <c r="G9500"/>
      <c r="H9500"/>
      <c r="I9500"/>
    </row>
    <row r="9501" spans="6:9" x14ac:dyDescent="0.3">
      <c r="F9501"/>
      <c r="G9501"/>
      <c r="H9501"/>
      <c r="I9501"/>
    </row>
    <row r="9502" spans="6:9" x14ac:dyDescent="0.3">
      <c r="F9502"/>
      <c r="G9502"/>
      <c r="H9502"/>
      <c r="I9502"/>
    </row>
    <row r="9503" spans="6:9" x14ac:dyDescent="0.3">
      <c r="F9503"/>
      <c r="G9503"/>
      <c r="H9503"/>
      <c r="I9503"/>
    </row>
    <row r="9504" spans="6:9" x14ac:dyDescent="0.3">
      <c r="F9504"/>
      <c r="G9504"/>
      <c r="H9504"/>
      <c r="I9504"/>
    </row>
    <row r="9505" spans="6:9" x14ac:dyDescent="0.3">
      <c r="F9505"/>
      <c r="G9505"/>
      <c r="H9505"/>
      <c r="I9505"/>
    </row>
    <row r="9506" spans="6:9" x14ac:dyDescent="0.3">
      <c r="F9506"/>
      <c r="G9506"/>
      <c r="H9506"/>
      <c r="I9506"/>
    </row>
    <row r="9507" spans="6:9" x14ac:dyDescent="0.3">
      <c r="F9507"/>
      <c r="G9507"/>
      <c r="H9507"/>
      <c r="I9507"/>
    </row>
    <row r="9508" spans="6:9" x14ac:dyDescent="0.3">
      <c r="F9508"/>
      <c r="G9508"/>
      <c r="H9508"/>
      <c r="I9508"/>
    </row>
    <row r="9509" spans="6:9" x14ac:dyDescent="0.3">
      <c r="F9509"/>
      <c r="G9509"/>
      <c r="H9509"/>
      <c r="I9509"/>
    </row>
    <row r="9510" spans="6:9" x14ac:dyDescent="0.3">
      <c r="F9510"/>
      <c r="G9510"/>
      <c r="H9510"/>
      <c r="I9510"/>
    </row>
    <row r="9511" spans="6:9" x14ac:dyDescent="0.3">
      <c r="F9511"/>
      <c r="G9511"/>
      <c r="H9511"/>
      <c r="I9511"/>
    </row>
    <row r="9512" spans="6:9" x14ac:dyDescent="0.3">
      <c r="F9512"/>
      <c r="G9512"/>
      <c r="H9512"/>
      <c r="I9512"/>
    </row>
    <row r="9513" spans="6:9" x14ac:dyDescent="0.3">
      <c r="F9513"/>
      <c r="G9513"/>
      <c r="H9513"/>
      <c r="I9513"/>
    </row>
    <row r="9514" spans="6:9" x14ac:dyDescent="0.3">
      <c r="F9514"/>
      <c r="G9514"/>
      <c r="H9514"/>
      <c r="I9514"/>
    </row>
    <row r="9515" spans="6:9" x14ac:dyDescent="0.3">
      <c r="F9515"/>
      <c r="G9515"/>
      <c r="H9515"/>
      <c r="I9515"/>
    </row>
    <row r="9516" spans="6:9" x14ac:dyDescent="0.3">
      <c r="F9516"/>
      <c r="G9516"/>
      <c r="H9516"/>
      <c r="I9516"/>
    </row>
    <row r="9517" spans="6:9" x14ac:dyDescent="0.3">
      <c r="F9517"/>
      <c r="G9517"/>
      <c r="H9517"/>
      <c r="I9517"/>
    </row>
    <row r="9518" spans="6:9" x14ac:dyDescent="0.3">
      <c r="F9518"/>
      <c r="G9518"/>
      <c r="H9518"/>
      <c r="I9518"/>
    </row>
    <row r="9519" spans="6:9" x14ac:dyDescent="0.3">
      <c r="F9519"/>
      <c r="G9519"/>
      <c r="H9519"/>
      <c r="I9519"/>
    </row>
    <row r="9520" spans="6:9" x14ac:dyDescent="0.3">
      <c r="F9520"/>
      <c r="G9520"/>
      <c r="H9520"/>
      <c r="I9520"/>
    </row>
    <row r="9521" spans="6:9" x14ac:dyDescent="0.3">
      <c r="F9521"/>
      <c r="G9521"/>
      <c r="H9521"/>
      <c r="I9521"/>
    </row>
    <row r="9522" spans="6:9" x14ac:dyDescent="0.3">
      <c r="F9522"/>
      <c r="G9522"/>
      <c r="H9522"/>
      <c r="I9522"/>
    </row>
    <row r="9523" spans="6:9" x14ac:dyDescent="0.3">
      <c r="F9523"/>
      <c r="G9523"/>
      <c r="H9523"/>
      <c r="I9523"/>
    </row>
    <row r="9524" spans="6:9" x14ac:dyDescent="0.3">
      <c r="F9524"/>
      <c r="G9524"/>
      <c r="H9524"/>
      <c r="I9524"/>
    </row>
    <row r="9525" spans="6:9" x14ac:dyDescent="0.3">
      <c r="F9525"/>
      <c r="G9525"/>
      <c r="H9525"/>
      <c r="I9525"/>
    </row>
    <row r="9526" spans="6:9" x14ac:dyDescent="0.3">
      <c r="F9526"/>
      <c r="G9526"/>
      <c r="H9526"/>
      <c r="I9526"/>
    </row>
    <row r="9527" spans="6:9" x14ac:dyDescent="0.3">
      <c r="F9527"/>
      <c r="G9527"/>
      <c r="H9527"/>
      <c r="I9527"/>
    </row>
    <row r="9528" spans="6:9" x14ac:dyDescent="0.3">
      <c r="F9528"/>
      <c r="G9528"/>
      <c r="H9528"/>
      <c r="I9528"/>
    </row>
    <row r="9529" spans="6:9" x14ac:dyDescent="0.3">
      <c r="F9529"/>
      <c r="G9529"/>
      <c r="H9529"/>
      <c r="I9529"/>
    </row>
    <row r="9530" spans="6:9" x14ac:dyDescent="0.3">
      <c r="F9530"/>
      <c r="G9530"/>
      <c r="H9530"/>
      <c r="I9530"/>
    </row>
    <row r="9531" spans="6:9" x14ac:dyDescent="0.3">
      <c r="F9531"/>
      <c r="G9531"/>
      <c r="H9531"/>
      <c r="I9531"/>
    </row>
    <row r="9532" spans="6:9" x14ac:dyDescent="0.3">
      <c r="F9532"/>
      <c r="G9532"/>
      <c r="H9532"/>
      <c r="I9532"/>
    </row>
    <row r="9533" spans="6:9" x14ac:dyDescent="0.3">
      <c r="F9533"/>
      <c r="G9533"/>
      <c r="H9533"/>
      <c r="I9533"/>
    </row>
    <row r="9534" spans="6:9" x14ac:dyDescent="0.3">
      <c r="F9534"/>
      <c r="G9534"/>
      <c r="H9534"/>
      <c r="I9534"/>
    </row>
    <row r="9535" spans="6:9" x14ac:dyDescent="0.3">
      <c r="F9535"/>
      <c r="G9535"/>
      <c r="H9535"/>
      <c r="I9535"/>
    </row>
    <row r="9536" spans="6:9" x14ac:dyDescent="0.3">
      <c r="F9536"/>
      <c r="G9536"/>
      <c r="H9536"/>
      <c r="I9536"/>
    </row>
    <row r="9537" spans="6:9" x14ac:dyDescent="0.3">
      <c r="F9537"/>
      <c r="G9537"/>
      <c r="H9537"/>
      <c r="I9537"/>
    </row>
    <row r="9538" spans="6:9" x14ac:dyDescent="0.3">
      <c r="F9538"/>
      <c r="G9538"/>
      <c r="H9538"/>
      <c r="I9538"/>
    </row>
    <row r="9539" spans="6:9" x14ac:dyDescent="0.3">
      <c r="F9539"/>
      <c r="G9539"/>
      <c r="H9539"/>
      <c r="I9539"/>
    </row>
    <row r="9540" spans="6:9" x14ac:dyDescent="0.3">
      <c r="F9540"/>
      <c r="G9540"/>
      <c r="H9540"/>
      <c r="I9540"/>
    </row>
    <row r="9541" spans="6:9" x14ac:dyDescent="0.3">
      <c r="F9541"/>
      <c r="G9541"/>
      <c r="H9541"/>
      <c r="I9541"/>
    </row>
    <row r="9542" spans="6:9" x14ac:dyDescent="0.3">
      <c r="F9542"/>
      <c r="G9542"/>
      <c r="H9542"/>
      <c r="I9542"/>
    </row>
    <row r="9543" spans="6:9" x14ac:dyDescent="0.3">
      <c r="F9543"/>
      <c r="G9543"/>
      <c r="H9543"/>
      <c r="I9543"/>
    </row>
    <row r="9544" spans="6:9" x14ac:dyDescent="0.3">
      <c r="F9544"/>
      <c r="G9544"/>
      <c r="H9544"/>
      <c r="I9544"/>
    </row>
    <row r="9545" spans="6:9" x14ac:dyDescent="0.3">
      <c r="F9545"/>
      <c r="G9545"/>
      <c r="H9545"/>
      <c r="I9545"/>
    </row>
    <row r="9546" spans="6:9" x14ac:dyDescent="0.3">
      <c r="F9546"/>
      <c r="G9546"/>
      <c r="H9546"/>
      <c r="I9546"/>
    </row>
    <row r="9547" spans="6:9" x14ac:dyDescent="0.3">
      <c r="F9547"/>
      <c r="G9547"/>
      <c r="H9547"/>
      <c r="I9547"/>
    </row>
    <row r="9548" spans="6:9" x14ac:dyDescent="0.3">
      <c r="F9548"/>
      <c r="G9548"/>
      <c r="H9548"/>
      <c r="I9548"/>
    </row>
    <row r="9549" spans="6:9" x14ac:dyDescent="0.3">
      <c r="F9549"/>
      <c r="G9549"/>
      <c r="H9549"/>
      <c r="I9549"/>
    </row>
    <row r="9550" spans="6:9" x14ac:dyDescent="0.3">
      <c r="F9550"/>
      <c r="G9550"/>
      <c r="H9550"/>
      <c r="I9550"/>
    </row>
    <row r="9551" spans="6:9" x14ac:dyDescent="0.3">
      <c r="F9551"/>
      <c r="G9551"/>
      <c r="H9551"/>
      <c r="I9551"/>
    </row>
    <row r="9552" spans="6:9" x14ac:dyDescent="0.3">
      <c r="F9552"/>
      <c r="G9552"/>
      <c r="H9552"/>
      <c r="I9552"/>
    </row>
    <row r="9553" spans="6:9" x14ac:dyDescent="0.3">
      <c r="F9553"/>
      <c r="G9553"/>
      <c r="H9553"/>
      <c r="I9553"/>
    </row>
    <row r="9554" spans="6:9" x14ac:dyDescent="0.3">
      <c r="F9554"/>
      <c r="G9554"/>
      <c r="H9554"/>
      <c r="I9554"/>
    </row>
    <row r="9555" spans="6:9" x14ac:dyDescent="0.3">
      <c r="F9555"/>
      <c r="G9555"/>
      <c r="H9555"/>
      <c r="I9555"/>
    </row>
    <row r="9556" spans="6:9" x14ac:dyDescent="0.3">
      <c r="F9556"/>
      <c r="G9556"/>
      <c r="H9556"/>
      <c r="I9556"/>
    </row>
    <row r="9557" spans="6:9" x14ac:dyDescent="0.3">
      <c r="F9557"/>
      <c r="G9557"/>
      <c r="H9557"/>
      <c r="I9557"/>
    </row>
    <row r="9558" spans="6:9" x14ac:dyDescent="0.3">
      <c r="F9558"/>
      <c r="G9558"/>
      <c r="H9558"/>
      <c r="I9558"/>
    </row>
    <row r="9559" spans="6:9" x14ac:dyDescent="0.3">
      <c r="F9559"/>
      <c r="G9559"/>
      <c r="H9559"/>
      <c r="I9559"/>
    </row>
    <row r="9560" spans="6:9" x14ac:dyDescent="0.3">
      <c r="F9560"/>
      <c r="G9560"/>
      <c r="H9560"/>
      <c r="I9560"/>
    </row>
    <row r="9561" spans="6:9" x14ac:dyDescent="0.3">
      <c r="F9561"/>
      <c r="G9561"/>
      <c r="H9561"/>
      <c r="I9561"/>
    </row>
    <row r="9562" spans="6:9" x14ac:dyDescent="0.3">
      <c r="F9562"/>
      <c r="G9562"/>
      <c r="H9562"/>
      <c r="I9562"/>
    </row>
    <row r="9563" spans="6:9" x14ac:dyDescent="0.3">
      <c r="F9563"/>
      <c r="G9563"/>
      <c r="H9563"/>
      <c r="I9563"/>
    </row>
    <row r="9564" spans="6:9" x14ac:dyDescent="0.3">
      <c r="F9564"/>
      <c r="G9564"/>
      <c r="H9564"/>
      <c r="I9564"/>
    </row>
    <row r="9565" spans="6:9" x14ac:dyDescent="0.3">
      <c r="F9565"/>
      <c r="G9565"/>
      <c r="H9565"/>
      <c r="I9565"/>
    </row>
    <row r="9566" spans="6:9" x14ac:dyDescent="0.3">
      <c r="F9566"/>
      <c r="G9566"/>
      <c r="H9566"/>
      <c r="I9566"/>
    </row>
    <row r="9567" spans="6:9" x14ac:dyDescent="0.3">
      <c r="F9567"/>
      <c r="G9567"/>
      <c r="H9567"/>
      <c r="I9567"/>
    </row>
    <row r="9568" spans="6:9" x14ac:dyDescent="0.3">
      <c r="F9568"/>
      <c r="G9568"/>
      <c r="H9568"/>
      <c r="I9568"/>
    </row>
    <row r="9569" spans="6:9" x14ac:dyDescent="0.3">
      <c r="F9569"/>
      <c r="G9569"/>
      <c r="H9569"/>
      <c r="I9569"/>
    </row>
    <row r="9570" spans="6:9" x14ac:dyDescent="0.3">
      <c r="F9570"/>
      <c r="G9570"/>
      <c r="H9570"/>
      <c r="I9570"/>
    </row>
    <row r="9571" spans="6:9" x14ac:dyDescent="0.3">
      <c r="F9571"/>
      <c r="G9571"/>
      <c r="H9571"/>
      <c r="I9571"/>
    </row>
    <row r="9572" spans="6:9" x14ac:dyDescent="0.3">
      <c r="F9572"/>
      <c r="G9572"/>
      <c r="H9572"/>
      <c r="I9572"/>
    </row>
    <row r="9573" spans="6:9" x14ac:dyDescent="0.3">
      <c r="F9573"/>
      <c r="G9573"/>
      <c r="H9573"/>
      <c r="I9573"/>
    </row>
    <row r="9574" spans="6:9" x14ac:dyDescent="0.3">
      <c r="F9574"/>
      <c r="G9574"/>
      <c r="H9574"/>
      <c r="I9574"/>
    </row>
    <row r="9575" spans="6:9" x14ac:dyDescent="0.3">
      <c r="F9575"/>
      <c r="G9575"/>
      <c r="H9575"/>
      <c r="I9575"/>
    </row>
    <row r="9576" spans="6:9" x14ac:dyDescent="0.3">
      <c r="F9576"/>
      <c r="G9576"/>
      <c r="H9576"/>
      <c r="I9576"/>
    </row>
    <row r="9577" spans="6:9" x14ac:dyDescent="0.3">
      <c r="F9577"/>
      <c r="G9577"/>
      <c r="H9577"/>
      <c r="I9577"/>
    </row>
    <row r="9578" spans="6:9" x14ac:dyDescent="0.3">
      <c r="F9578"/>
      <c r="G9578"/>
      <c r="H9578"/>
      <c r="I9578"/>
    </row>
    <row r="9579" spans="6:9" x14ac:dyDescent="0.3">
      <c r="F9579"/>
      <c r="G9579"/>
      <c r="H9579"/>
      <c r="I9579"/>
    </row>
    <row r="9580" spans="6:9" x14ac:dyDescent="0.3">
      <c r="F9580"/>
      <c r="G9580"/>
      <c r="H9580"/>
      <c r="I9580"/>
    </row>
    <row r="9581" spans="6:9" x14ac:dyDescent="0.3">
      <c r="F9581"/>
      <c r="G9581"/>
      <c r="H9581"/>
      <c r="I9581"/>
    </row>
    <row r="9582" spans="6:9" x14ac:dyDescent="0.3">
      <c r="F9582"/>
      <c r="G9582"/>
      <c r="H9582"/>
      <c r="I9582"/>
    </row>
    <row r="9583" spans="6:9" x14ac:dyDescent="0.3">
      <c r="F9583"/>
      <c r="G9583"/>
      <c r="H9583"/>
      <c r="I9583"/>
    </row>
    <row r="9584" spans="6:9" x14ac:dyDescent="0.3">
      <c r="F9584"/>
      <c r="G9584"/>
      <c r="H9584"/>
      <c r="I9584"/>
    </row>
    <row r="9585" spans="6:9" x14ac:dyDescent="0.3">
      <c r="F9585"/>
      <c r="G9585"/>
      <c r="H9585"/>
      <c r="I9585"/>
    </row>
    <row r="9586" spans="6:9" x14ac:dyDescent="0.3">
      <c r="F9586"/>
      <c r="G9586"/>
      <c r="H9586"/>
      <c r="I9586"/>
    </row>
    <row r="9587" spans="6:9" x14ac:dyDescent="0.3">
      <c r="F9587"/>
      <c r="G9587"/>
      <c r="H9587"/>
      <c r="I9587"/>
    </row>
    <row r="9588" spans="6:9" x14ac:dyDescent="0.3">
      <c r="F9588"/>
      <c r="G9588"/>
      <c r="H9588"/>
      <c r="I9588"/>
    </row>
    <row r="9589" spans="6:9" x14ac:dyDescent="0.3">
      <c r="F9589"/>
      <c r="G9589"/>
      <c r="H9589"/>
      <c r="I9589"/>
    </row>
    <row r="9590" spans="6:9" x14ac:dyDescent="0.3">
      <c r="F9590"/>
      <c r="G9590"/>
      <c r="H9590"/>
      <c r="I9590"/>
    </row>
    <row r="9591" spans="6:9" x14ac:dyDescent="0.3">
      <c r="F9591"/>
      <c r="G9591"/>
      <c r="H9591"/>
      <c r="I9591"/>
    </row>
    <row r="9592" spans="6:9" x14ac:dyDescent="0.3">
      <c r="F9592"/>
      <c r="G9592"/>
      <c r="H9592"/>
      <c r="I9592"/>
    </row>
    <row r="9593" spans="6:9" x14ac:dyDescent="0.3">
      <c r="F9593"/>
      <c r="G9593"/>
      <c r="H9593"/>
      <c r="I9593"/>
    </row>
    <row r="9594" spans="6:9" x14ac:dyDescent="0.3">
      <c r="F9594"/>
      <c r="G9594"/>
      <c r="H9594"/>
      <c r="I9594"/>
    </row>
    <row r="9595" spans="6:9" x14ac:dyDescent="0.3">
      <c r="F9595"/>
      <c r="G9595"/>
      <c r="H9595"/>
      <c r="I9595"/>
    </row>
    <row r="9596" spans="6:9" x14ac:dyDescent="0.3">
      <c r="F9596"/>
      <c r="G9596"/>
      <c r="H9596"/>
      <c r="I9596"/>
    </row>
    <row r="9597" spans="6:9" x14ac:dyDescent="0.3">
      <c r="F9597"/>
      <c r="G9597"/>
      <c r="H9597"/>
      <c r="I9597"/>
    </row>
    <row r="9598" spans="6:9" x14ac:dyDescent="0.3">
      <c r="F9598"/>
      <c r="G9598"/>
      <c r="H9598"/>
      <c r="I9598"/>
    </row>
    <row r="9599" spans="6:9" x14ac:dyDescent="0.3">
      <c r="F9599"/>
      <c r="G9599"/>
      <c r="H9599"/>
      <c r="I9599"/>
    </row>
    <row r="9600" spans="6:9" x14ac:dyDescent="0.3">
      <c r="F9600"/>
      <c r="G9600"/>
      <c r="H9600"/>
      <c r="I9600"/>
    </row>
    <row r="9601" spans="6:9" x14ac:dyDescent="0.3">
      <c r="F9601"/>
      <c r="G9601"/>
      <c r="H9601"/>
      <c r="I9601"/>
    </row>
    <row r="9602" spans="6:9" x14ac:dyDescent="0.3">
      <c r="F9602"/>
      <c r="G9602"/>
      <c r="H9602"/>
      <c r="I9602"/>
    </row>
    <row r="9603" spans="6:9" x14ac:dyDescent="0.3">
      <c r="F9603"/>
      <c r="G9603"/>
      <c r="H9603"/>
      <c r="I9603"/>
    </row>
    <row r="9604" spans="6:9" x14ac:dyDescent="0.3">
      <c r="F9604"/>
      <c r="G9604"/>
      <c r="H9604"/>
      <c r="I9604"/>
    </row>
    <row r="9605" spans="6:9" x14ac:dyDescent="0.3">
      <c r="F9605"/>
      <c r="G9605"/>
      <c r="H9605"/>
      <c r="I9605"/>
    </row>
    <row r="9606" spans="6:9" x14ac:dyDescent="0.3">
      <c r="F9606"/>
      <c r="G9606"/>
      <c r="H9606"/>
      <c r="I9606"/>
    </row>
    <row r="9607" spans="6:9" x14ac:dyDescent="0.3">
      <c r="F9607"/>
      <c r="G9607"/>
      <c r="H9607"/>
      <c r="I9607"/>
    </row>
    <row r="9608" spans="6:9" x14ac:dyDescent="0.3">
      <c r="F9608"/>
      <c r="G9608"/>
      <c r="H9608"/>
      <c r="I9608"/>
    </row>
    <row r="9609" spans="6:9" x14ac:dyDescent="0.3">
      <c r="F9609"/>
      <c r="G9609"/>
      <c r="H9609"/>
      <c r="I9609"/>
    </row>
    <row r="9610" spans="6:9" x14ac:dyDescent="0.3">
      <c r="F9610"/>
      <c r="G9610"/>
      <c r="H9610"/>
      <c r="I9610"/>
    </row>
    <row r="9611" spans="6:9" x14ac:dyDescent="0.3">
      <c r="F9611"/>
      <c r="G9611"/>
      <c r="H9611"/>
      <c r="I9611"/>
    </row>
    <row r="9612" spans="6:9" x14ac:dyDescent="0.3">
      <c r="F9612"/>
      <c r="G9612"/>
      <c r="H9612"/>
      <c r="I9612"/>
    </row>
    <row r="9613" spans="6:9" x14ac:dyDescent="0.3">
      <c r="F9613"/>
      <c r="G9613"/>
      <c r="H9613"/>
      <c r="I9613"/>
    </row>
    <row r="9614" spans="6:9" x14ac:dyDescent="0.3">
      <c r="F9614"/>
      <c r="G9614"/>
      <c r="H9614"/>
      <c r="I9614"/>
    </row>
    <row r="9615" spans="6:9" x14ac:dyDescent="0.3">
      <c r="F9615"/>
      <c r="G9615"/>
      <c r="H9615"/>
      <c r="I9615"/>
    </row>
    <row r="9616" spans="6:9" x14ac:dyDescent="0.3">
      <c r="F9616"/>
      <c r="G9616"/>
      <c r="H9616"/>
      <c r="I9616"/>
    </row>
    <row r="9617" spans="6:9" x14ac:dyDescent="0.3">
      <c r="F9617"/>
      <c r="G9617"/>
      <c r="H9617"/>
      <c r="I9617"/>
    </row>
    <row r="9618" spans="6:9" x14ac:dyDescent="0.3">
      <c r="F9618"/>
      <c r="G9618"/>
      <c r="H9618"/>
      <c r="I9618"/>
    </row>
    <row r="9619" spans="6:9" x14ac:dyDescent="0.3">
      <c r="F9619"/>
      <c r="G9619"/>
      <c r="H9619"/>
      <c r="I9619"/>
    </row>
    <row r="9620" spans="6:9" x14ac:dyDescent="0.3">
      <c r="F9620"/>
      <c r="G9620"/>
      <c r="H9620"/>
      <c r="I9620"/>
    </row>
    <row r="9621" spans="6:9" x14ac:dyDescent="0.3">
      <c r="F9621"/>
      <c r="G9621"/>
      <c r="H9621"/>
      <c r="I9621"/>
    </row>
    <row r="9622" spans="6:9" x14ac:dyDescent="0.3">
      <c r="F9622"/>
      <c r="G9622"/>
      <c r="H9622"/>
      <c r="I9622"/>
    </row>
    <row r="9623" spans="6:9" x14ac:dyDescent="0.3">
      <c r="F9623"/>
      <c r="G9623"/>
      <c r="H9623"/>
      <c r="I9623"/>
    </row>
    <row r="9624" spans="6:9" x14ac:dyDescent="0.3">
      <c r="F9624"/>
      <c r="G9624"/>
      <c r="H9624"/>
      <c r="I9624"/>
    </row>
    <row r="9625" spans="6:9" x14ac:dyDescent="0.3">
      <c r="F9625"/>
      <c r="G9625"/>
      <c r="H9625"/>
      <c r="I9625"/>
    </row>
    <row r="9626" spans="6:9" x14ac:dyDescent="0.3">
      <c r="F9626"/>
      <c r="G9626"/>
      <c r="H9626"/>
      <c r="I9626"/>
    </row>
    <row r="9627" spans="6:9" x14ac:dyDescent="0.3">
      <c r="F9627"/>
      <c r="G9627"/>
      <c r="H9627"/>
      <c r="I9627"/>
    </row>
    <row r="9628" spans="6:9" x14ac:dyDescent="0.3">
      <c r="F9628"/>
      <c r="G9628"/>
      <c r="H9628"/>
      <c r="I9628"/>
    </row>
    <row r="9629" spans="6:9" x14ac:dyDescent="0.3">
      <c r="F9629"/>
      <c r="G9629"/>
      <c r="H9629"/>
      <c r="I9629"/>
    </row>
    <row r="9630" spans="6:9" x14ac:dyDescent="0.3">
      <c r="F9630"/>
      <c r="G9630"/>
      <c r="H9630"/>
      <c r="I9630"/>
    </row>
    <row r="9631" spans="6:9" x14ac:dyDescent="0.3">
      <c r="F9631"/>
      <c r="G9631"/>
      <c r="H9631"/>
      <c r="I9631"/>
    </row>
    <row r="9632" spans="6:9" x14ac:dyDescent="0.3">
      <c r="F9632"/>
      <c r="G9632"/>
      <c r="H9632"/>
      <c r="I9632"/>
    </row>
    <row r="9633" spans="6:9" x14ac:dyDescent="0.3">
      <c r="F9633"/>
      <c r="G9633"/>
      <c r="H9633"/>
      <c r="I9633"/>
    </row>
    <row r="9634" spans="6:9" x14ac:dyDescent="0.3">
      <c r="F9634"/>
      <c r="G9634"/>
      <c r="H9634"/>
      <c r="I9634"/>
    </row>
    <row r="9635" spans="6:9" x14ac:dyDescent="0.3">
      <c r="F9635"/>
      <c r="G9635"/>
      <c r="H9635"/>
      <c r="I9635"/>
    </row>
    <row r="9636" spans="6:9" x14ac:dyDescent="0.3">
      <c r="F9636"/>
      <c r="G9636"/>
      <c r="H9636"/>
      <c r="I9636"/>
    </row>
    <row r="9637" spans="6:9" x14ac:dyDescent="0.3">
      <c r="F9637"/>
      <c r="G9637"/>
      <c r="H9637"/>
      <c r="I9637"/>
    </row>
    <row r="9638" spans="6:9" x14ac:dyDescent="0.3">
      <c r="F9638"/>
      <c r="G9638"/>
      <c r="H9638"/>
      <c r="I9638"/>
    </row>
    <row r="9639" spans="6:9" x14ac:dyDescent="0.3">
      <c r="F9639"/>
      <c r="G9639"/>
      <c r="H9639"/>
      <c r="I9639"/>
    </row>
    <row r="9640" spans="6:9" x14ac:dyDescent="0.3">
      <c r="F9640"/>
      <c r="G9640"/>
      <c r="H9640"/>
      <c r="I9640"/>
    </row>
    <row r="9641" spans="6:9" x14ac:dyDescent="0.3">
      <c r="F9641"/>
      <c r="G9641"/>
      <c r="H9641"/>
      <c r="I9641"/>
    </row>
    <row r="9642" spans="6:9" x14ac:dyDescent="0.3">
      <c r="F9642"/>
      <c r="G9642"/>
      <c r="H9642"/>
      <c r="I9642"/>
    </row>
    <row r="9643" spans="6:9" x14ac:dyDescent="0.3">
      <c r="F9643"/>
      <c r="G9643"/>
      <c r="H9643"/>
      <c r="I9643"/>
    </row>
    <row r="9644" spans="6:9" x14ac:dyDescent="0.3">
      <c r="F9644"/>
      <c r="G9644"/>
      <c r="H9644"/>
      <c r="I9644"/>
    </row>
    <row r="9645" spans="6:9" x14ac:dyDescent="0.3">
      <c r="F9645"/>
      <c r="G9645"/>
      <c r="H9645"/>
      <c r="I9645"/>
    </row>
    <row r="9646" spans="6:9" x14ac:dyDescent="0.3">
      <c r="F9646"/>
      <c r="G9646"/>
      <c r="H9646"/>
      <c r="I9646"/>
    </row>
    <row r="9647" spans="6:9" x14ac:dyDescent="0.3">
      <c r="F9647"/>
      <c r="G9647"/>
      <c r="H9647"/>
      <c r="I9647"/>
    </row>
    <row r="9648" spans="6:9" x14ac:dyDescent="0.3">
      <c r="F9648"/>
      <c r="G9648"/>
      <c r="H9648"/>
      <c r="I9648"/>
    </row>
    <row r="9649" spans="6:9" x14ac:dyDescent="0.3">
      <c r="F9649"/>
      <c r="G9649"/>
      <c r="H9649"/>
      <c r="I9649"/>
    </row>
    <row r="9650" spans="6:9" x14ac:dyDescent="0.3">
      <c r="F9650"/>
      <c r="G9650"/>
      <c r="H9650"/>
      <c r="I9650"/>
    </row>
    <row r="9651" spans="6:9" x14ac:dyDescent="0.3">
      <c r="F9651"/>
      <c r="G9651"/>
      <c r="H9651"/>
      <c r="I9651"/>
    </row>
    <row r="9652" spans="6:9" x14ac:dyDescent="0.3">
      <c r="F9652"/>
      <c r="G9652"/>
      <c r="H9652"/>
      <c r="I9652"/>
    </row>
    <row r="9653" spans="6:9" x14ac:dyDescent="0.3">
      <c r="F9653"/>
      <c r="G9653"/>
      <c r="H9653"/>
      <c r="I9653"/>
    </row>
    <row r="9654" spans="6:9" x14ac:dyDescent="0.3">
      <c r="F9654"/>
      <c r="G9654"/>
      <c r="H9654"/>
      <c r="I9654"/>
    </row>
    <row r="9655" spans="6:9" x14ac:dyDescent="0.3">
      <c r="F9655"/>
      <c r="G9655"/>
      <c r="H9655"/>
      <c r="I9655"/>
    </row>
    <row r="9656" spans="6:9" x14ac:dyDescent="0.3">
      <c r="F9656"/>
      <c r="G9656"/>
      <c r="H9656"/>
      <c r="I9656"/>
    </row>
    <row r="9657" spans="6:9" x14ac:dyDescent="0.3">
      <c r="F9657"/>
      <c r="G9657"/>
      <c r="H9657"/>
      <c r="I9657"/>
    </row>
    <row r="9658" spans="6:9" x14ac:dyDescent="0.3">
      <c r="F9658"/>
      <c r="G9658"/>
      <c r="H9658"/>
      <c r="I9658"/>
    </row>
    <row r="9659" spans="6:9" x14ac:dyDescent="0.3">
      <c r="F9659"/>
      <c r="G9659"/>
      <c r="H9659"/>
      <c r="I9659"/>
    </row>
    <row r="9660" spans="6:9" x14ac:dyDescent="0.3">
      <c r="F9660"/>
      <c r="G9660"/>
      <c r="H9660"/>
      <c r="I9660"/>
    </row>
    <row r="9661" spans="6:9" x14ac:dyDescent="0.3">
      <c r="F9661"/>
      <c r="G9661"/>
      <c r="H9661"/>
      <c r="I9661"/>
    </row>
    <row r="9662" spans="6:9" x14ac:dyDescent="0.3">
      <c r="F9662"/>
      <c r="G9662"/>
      <c r="H9662"/>
      <c r="I9662"/>
    </row>
    <row r="9663" spans="6:9" x14ac:dyDescent="0.3">
      <c r="F9663"/>
      <c r="G9663"/>
      <c r="H9663"/>
      <c r="I9663"/>
    </row>
    <row r="9664" spans="6:9" x14ac:dyDescent="0.3">
      <c r="F9664"/>
      <c r="G9664"/>
      <c r="H9664"/>
      <c r="I9664"/>
    </row>
    <row r="9665" spans="6:9" x14ac:dyDescent="0.3">
      <c r="F9665"/>
      <c r="G9665"/>
      <c r="H9665"/>
      <c r="I9665"/>
    </row>
    <row r="9666" spans="6:9" x14ac:dyDescent="0.3">
      <c r="F9666"/>
      <c r="G9666"/>
      <c r="H9666"/>
      <c r="I9666"/>
    </row>
    <row r="9667" spans="6:9" x14ac:dyDescent="0.3">
      <c r="F9667"/>
      <c r="G9667"/>
      <c r="H9667"/>
      <c r="I9667"/>
    </row>
    <row r="9668" spans="6:9" x14ac:dyDescent="0.3">
      <c r="F9668"/>
      <c r="G9668"/>
      <c r="H9668"/>
      <c r="I9668"/>
    </row>
    <row r="9669" spans="6:9" x14ac:dyDescent="0.3">
      <c r="F9669"/>
      <c r="G9669"/>
      <c r="H9669"/>
      <c r="I9669"/>
    </row>
    <row r="9670" spans="6:9" x14ac:dyDescent="0.3">
      <c r="F9670"/>
      <c r="G9670"/>
      <c r="H9670"/>
      <c r="I9670"/>
    </row>
    <row r="9671" spans="6:9" x14ac:dyDescent="0.3">
      <c r="F9671"/>
      <c r="G9671"/>
      <c r="H9671"/>
      <c r="I9671"/>
    </row>
    <row r="9672" spans="6:9" x14ac:dyDescent="0.3">
      <c r="F9672"/>
      <c r="G9672"/>
      <c r="H9672"/>
      <c r="I9672"/>
    </row>
    <row r="9673" spans="6:9" x14ac:dyDescent="0.3">
      <c r="F9673"/>
      <c r="G9673"/>
      <c r="H9673"/>
      <c r="I9673"/>
    </row>
    <row r="9674" spans="6:9" x14ac:dyDescent="0.3">
      <c r="F9674"/>
      <c r="G9674"/>
      <c r="H9674"/>
      <c r="I9674"/>
    </row>
    <row r="9675" spans="6:9" x14ac:dyDescent="0.3">
      <c r="F9675"/>
      <c r="G9675"/>
      <c r="H9675"/>
      <c r="I9675"/>
    </row>
    <row r="9676" spans="6:9" x14ac:dyDescent="0.3">
      <c r="F9676"/>
      <c r="G9676"/>
      <c r="H9676"/>
      <c r="I9676"/>
    </row>
    <row r="9677" spans="6:9" x14ac:dyDescent="0.3">
      <c r="F9677"/>
      <c r="G9677"/>
      <c r="H9677"/>
      <c r="I9677"/>
    </row>
    <row r="9678" spans="6:9" x14ac:dyDescent="0.3">
      <c r="F9678"/>
      <c r="G9678"/>
      <c r="H9678"/>
      <c r="I9678"/>
    </row>
    <row r="9679" spans="6:9" x14ac:dyDescent="0.3">
      <c r="F9679"/>
      <c r="G9679"/>
      <c r="H9679"/>
      <c r="I9679"/>
    </row>
    <row r="9680" spans="6:9" x14ac:dyDescent="0.3">
      <c r="F9680"/>
      <c r="G9680"/>
      <c r="H9680"/>
      <c r="I9680"/>
    </row>
    <row r="9681" spans="6:9" x14ac:dyDescent="0.3">
      <c r="F9681"/>
      <c r="G9681"/>
      <c r="H9681"/>
      <c r="I9681"/>
    </row>
    <row r="9682" spans="6:9" x14ac:dyDescent="0.3">
      <c r="F9682"/>
      <c r="G9682"/>
      <c r="H9682"/>
      <c r="I9682"/>
    </row>
    <row r="9683" spans="6:9" x14ac:dyDescent="0.3">
      <c r="F9683"/>
      <c r="G9683"/>
      <c r="H9683"/>
      <c r="I9683"/>
    </row>
    <row r="9684" spans="6:9" x14ac:dyDescent="0.3">
      <c r="F9684"/>
      <c r="G9684"/>
      <c r="H9684"/>
      <c r="I9684"/>
    </row>
    <row r="9685" spans="6:9" x14ac:dyDescent="0.3">
      <c r="F9685"/>
      <c r="G9685"/>
      <c r="H9685"/>
      <c r="I9685"/>
    </row>
    <row r="9686" spans="6:9" x14ac:dyDescent="0.3">
      <c r="F9686"/>
      <c r="G9686"/>
      <c r="H9686"/>
      <c r="I9686"/>
    </row>
    <row r="9687" spans="6:9" x14ac:dyDescent="0.3">
      <c r="F9687"/>
      <c r="G9687"/>
      <c r="H9687"/>
      <c r="I9687"/>
    </row>
    <row r="9688" spans="6:9" x14ac:dyDescent="0.3">
      <c r="F9688"/>
      <c r="G9688"/>
      <c r="H9688"/>
      <c r="I9688"/>
    </row>
    <row r="9689" spans="6:9" x14ac:dyDescent="0.3">
      <c r="F9689"/>
      <c r="G9689"/>
      <c r="H9689"/>
      <c r="I9689"/>
    </row>
    <row r="9690" spans="6:9" x14ac:dyDescent="0.3">
      <c r="F9690"/>
      <c r="G9690"/>
      <c r="H9690"/>
      <c r="I9690"/>
    </row>
    <row r="9691" spans="6:9" x14ac:dyDescent="0.3">
      <c r="F9691"/>
      <c r="G9691"/>
      <c r="H9691"/>
      <c r="I9691"/>
    </row>
    <row r="9692" spans="6:9" x14ac:dyDescent="0.3">
      <c r="F9692"/>
      <c r="G9692"/>
      <c r="H9692"/>
      <c r="I9692"/>
    </row>
    <row r="9693" spans="6:9" x14ac:dyDescent="0.3">
      <c r="F9693"/>
      <c r="G9693"/>
      <c r="H9693"/>
      <c r="I9693"/>
    </row>
    <row r="9694" spans="6:9" x14ac:dyDescent="0.3">
      <c r="F9694"/>
      <c r="G9694"/>
      <c r="H9694"/>
      <c r="I9694"/>
    </row>
    <row r="9695" spans="6:9" x14ac:dyDescent="0.3">
      <c r="F9695"/>
      <c r="G9695"/>
      <c r="H9695"/>
      <c r="I9695"/>
    </row>
    <row r="9696" spans="6:9" x14ac:dyDescent="0.3">
      <c r="F9696"/>
      <c r="G9696"/>
      <c r="H9696"/>
      <c r="I9696"/>
    </row>
    <row r="9697" spans="6:9" x14ac:dyDescent="0.3">
      <c r="F9697"/>
      <c r="G9697"/>
      <c r="H9697"/>
      <c r="I9697"/>
    </row>
    <row r="9698" spans="6:9" x14ac:dyDescent="0.3">
      <c r="F9698"/>
      <c r="G9698"/>
      <c r="H9698"/>
      <c r="I9698"/>
    </row>
    <row r="9699" spans="6:9" x14ac:dyDescent="0.3">
      <c r="F9699"/>
      <c r="G9699"/>
      <c r="H9699"/>
      <c r="I9699"/>
    </row>
    <row r="9700" spans="6:9" x14ac:dyDescent="0.3">
      <c r="F9700"/>
      <c r="G9700"/>
      <c r="H9700"/>
      <c r="I9700"/>
    </row>
    <row r="9701" spans="6:9" x14ac:dyDescent="0.3">
      <c r="F9701"/>
      <c r="G9701"/>
      <c r="H9701"/>
      <c r="I9701"/>
    </row>
    <row r="9702" spans="6:9" x14ac:dyDescent="0.3">
      <c r="F9702"/>
      <c r="G9702"/>
      <c r="H9702"/>
      <c r="I9702"/>
    </row>
    <row r="9703" spans="6:9" x14ac:dyDescent="0.3">
      <c r="F9703"/>
      <c r="G9703"/>
      <c r="H9703"/>
      <c r="I9703"/>
    </row>
    <row r="9704" spans="6:9" x14ac:dyDescent="0.3">
      <c r="F9704"/>
      <c r="G9704"/>
      <c r="H9704"/>
      <c r="I9704"/>
    </row>
    <row r="9705" spans="6:9" x14ac:dyDescent="0.3">
      <c r="F9705"/>
      <c r="G9705"/>
      <c r="H9705"/>
      <c r="I9705"/>
    </row>
    <row r="9706" spans="6:9" x14ac:dyDescent="0.3">
      <c r="F9706"/>
      <c r="G9706"/>
      <c r="H9706"/>
      <c r="I9706"/>
    </row>
    <row r="9707" spans="6:9" x14ac:dyDescent="0.3">
      <c r="F9707"/>
      <c r="G9707"/>
      <c r="H9707"/>
      <c r="I9707"/>
    </row>
    <row r="9708" spans="6:9" x14ac:dyDescent="0.3">
      <c r="F9708"/>
      <c r="G9708"/>
      <c r="H9708"/>
      <c r="I9708"/>
    </row>
    <row r="9709" spans="6:9" x14ac:dyDescent="0.3">
      <c r="F9709"/>
      <c r="G9709"/>
      <c r="H9709"/>
      <c r="I9709"/>
    </row>
    <row r="9710" spans="6:9" x14ac:dyDescent="0.3">
      <c r="F9710"/>
      <c r="G9710"/>
      <c r="H9710"/>
      <c r="I9710"/>
    </row>
    <row r="9711" spans="6:9" x14ac:dyDescent="0.3">
      <c r="F9711"/>
      <c r="G9711"/>
      <c r="H9711"/>
      <c r="I9711"/>
    </row>
    <row r="9712" spans="6:9" x14ac:dyDescent="0.3">
      <c r="F9712"/>
      <c r="G9712"/>
      <c r="H9712"/>
      <c r="I9712"/>
    </row>
    <row r="9713" spans="6:9" x14ac:dyDescent="0.3">
      <c r="F9713"/>
      <c r="G9713"/>
      <c r="H9713"/>
      <c r="I9713"/>
    </row>
    <row r="9714" spans="6:9" x14ac:dyDescent="0.3">
      <c r="F9714"/>
      <c r="G9714"/>
      <c r="H9714"/>
      <c r="I9714"/>
    </row>
    <row r="9715" spans="6:9" x14ac:dyDescent="0.3">
      <c r="F9715"/>
      <c r="G9715"/>
      <c r="H9715"/>
      <c r="I9715"/>
    </row>
    <row r="9716" spans="6:9" x14ac:dyDescent="0.3">
      <c r="F9716"/>
      <c r="G9716"/>
      <c r="H9716"/>
      <c r="I9716"/>
    </row>
    <row r="9717" spans="6:9" x14ac:dyDescent="0.3">
      <c r="F9717"/>
      <c r="G9717"/>
      <c r="H9717"/>
      <c r="I9717"/>
    </row>
    <row r="9718" spans="6:9" x14ac:dyDescent="0.3">
      <c r="F9718"/>
      <c r="G9718"/>
      <c r="H9718"/>
      <c r="I9718"/>
    </row>
    <row r="9719" spans="6:9" x14ac:dyDescent="0.3">
      <c r="F9719"/>
      <c r="G9719"/>
      <c r="H9719"/>
      <c r="I9719"/>
    </row>
    <row r="9720" spans="6:9" x14ac:dyDescent="0.3">
      <c r="F9720"/>
      <c r="G9720"/>
      <c r="H9720"/>
      <c r="I9720"/>
    </row>
    <row r="9721" spans="6:9" x14ac:dyDescent="0.3">
      <c r="F9721"/>
      <c r="G9721"/>
      <c r="H9721"/>
      <c r="I9721"/>
    </row>
    <row r="9722" spans="6:9" x14ac:dyDescent="0.3">
      <c r="F9722"/>
      <c r="G9722"/>
      <c r="H9722"/>
      <c r="I9722"/>
    </row>
    <row r="9723" spans="6:9" x14ac:dyDescent="0.3">
      <c r="F9723"/>
      <c r="G9723"/>
      <c r="H9723"/>
      <c r="I9723"/>
    </row>
    <row r="9724" spans="6:9" x14ac:dyDescent="0.3">
      <c r="F9724"/>
      <c r="G9724"/>
      <c r="H9724"/>
      <c r="I9724"/>
    </row>
    <row r="9725" spans="6:9" x14ac:dyDescent="0.3">
      <c r="F9725"/>
      <c r="G9725"/>
      <c r="H9725"/>
      <c r="I9725"/>
    </row>
    <row r="9726" spans="6:9" x14ac:dyDescent="0.3">
      <c r="F9726"/>
      <c r="G9726"/>
      <c r="H9726"/>
      <c r="I9726"/>
    </row>
    <row r="9727" spans="6:9" x14ac:dyDescent="0.3">
      <c r="F9727"/>
      <c r="G9727"/>
      <c r="H9727"/>
      <c r="I9727"/>
    </row>
    <row r="9728" spans="6:9" x14ac:dyDescent="0.3">
      <c r="F9728"/>
      <c r="G9728"/>
      <c r="H9728"/>
      <c r="I9728"/>
    </row>
    <row r="9729" spans="6:9" x14ac:dyDescent="0.3">
      <c r="F9729"/>
      <c r="G9729"/>
      <c r="H9729"/>
      <c r="I9729"/>
    </row>
    <row r="9730" spans="6:9" x14ac:dyDescent="0.3">
      <c r="F9730"/>
      <c r="G9730"/>
      <c r="H9730"/>
      <c r="I9730"/>
    </row>
    <row r="9731" spans="6:9" x14ac:dyDescent="0.3">
      <c r="F9731"/>
      <c r="G9731"/>
      <c r="H9731"/>
      <c r="I9731"/>
    </row>
    <row r="9732" spans="6:9" x14ac:dyDescent="0.3">
      <c r="F9732"/>
      <c r="G9732"/>
      <c r="H9732"/>
      <c r="I9732"/>
    </row>
    <row r="9733" spans="6:9" x14ac:dyDescent="0.3">
      <c r="F9733"/>
      <c r="G9733"/>
      <c r="H9733"/>
      <c r="I9733"/>
    </row>
    <row r="9734" spans="6:9" x14ac:dyDescent="0.3">
      <c r="F9734"/>
      <c r="G9734"/>
      <c r="H9734"/>
      <c r="I9734"/>
    </row>
    <row r="9735" spans="6:9" x14ac:dyDescent="0.3">
      <c r="F9735"/>
      <c r="G9735"/>
      <c r="H9735"/>
      <c r="I9735"/>
    </row>
    <row r="9736" spans="6:9" x14ac:dyDescent="0.3">
      <c r="F9736"/>
      <c r="G9736"/>
      <c r="H9736"/>
      <c r="I9736"/>
    </row>
    <row r="9737" spans="6:9" x14ac:dyDescent="0.3">
      <c r="F9737"/>
      <c r="G9737"/>
      <c r="H9737"/>
      <c r="I9737"/>
    </row>
    <row r="9738" spans="6:9" x14ac:dyDescent="0.3">
      <c r="F9738"/>
      <c r="G9738"/>
      <c r="H9738"/>
      <c r="I9738"/>
    </row>
    <row r="9739" spans="6:9" x14ac:dyDescent="0.3">
      <c r="F9739"/>
      <c r="G9739"/>
      <c r="H9739"/>
      <c r="I9739"/>
    </row>
    <row r="9740" spans="6:9" x14ac:dyDescent="0.3">
      <c r="F9740"/>
      <c r="G9740"/>
      <c r="H9740"/>
      <c r="I9740"/>
    </row>
    <row r="9741" spans="6:9" x14ac:dyDescent="0.3">
      <c r="F9741"/>
      <c r="G9741"/>
      <c r="H9741"/>
      <c r="I9741"/>
    </row>
    <row r="9742" spans="6:9" x14ac:dyDescent="0.3">
      <c r="F9742"/>
      <c r="G9742"/>
      <c r="H9742"/>
      <c r="I9742"/>
    </row>
    <row r="9743" spans="6:9" x14ac:dyDescent="0.3">
      <c r="F9743"/>
      <c r="G9743"/>
      <c r="H9743"/>
      <c r="I9743"/>
    </row>
    <row r="9744" spans="6:9" x14ac:dyDescent="0.3">
      <c r="F9744"/>
      <c r="G9744"/>
      <c r="H9744"/>
      <c r="I9744"/>
    </row>
    <row r="9745" spans="6:9" x14ac:dyDescent="0.3">
      <c r="F9745"/>
      <c r="G9745"/>
      <c r="H9745"/>
      <c r="I9745"/>
    </row>
    <row r="9746" spans="6:9" x14ac:dyDescent="0.3">
      <c r="F9746"/>
      <c r="G9746"/>
      <c r="H9746"/>
      <c r="I9746"/>
    </row>
    <row r="9747" spans="6:9" x14ac:dyDescent="0.3">
      <c r="F9747"/>
      <c r="G9747"/>
      <c r="H9747"/>
      <c r="I9747"/>
    </row>
    <row r="9748" spans="6:9" x14ac:dyDescent="0.3">
      <c r="F9748"/>
      <c r="G9748"/>
      <c r="H9748"/>
      <c r="I9748"/>
    </row>
    <row r="9749" spans="6:9" x14ac:dyDescent="0.3">
      <c r="F9749"/>
      <c r="G9749"/>
      <c r="H9749"/>
      <c r="I9749"/>
    </row>
    <row r="9750" spans="6:9" x14ac:dyDescent="0.3">
      <c r="F9750"/>
      <c r="G9750"/>
      <c r="H9750"/>
      <c r="I9750"/>
    </row>
    <row r="9751" spans="6:9" x14ac:dyDescent="0.3">
      <c r="F9751"/>
      <c r="G9751"/>
      <c r="H9751"/>
      <c r="I9751"/>
    </row>
    <row r="9752" spans="6:9" x14ac:dyDescent="0.3">
      <c r="F9752"/>
      <c r="G9752"/>
      <c r="H9752"/>
      <c r="I9752"/>
    </row>
    <row r="9753" spans="6:9" x14ac:dyDescent="0.3">
      <c r="F9753"/>
      <c r="G9753"/>
      <c r="H9753"/>
      <c r="I9753"/>
    </row>
    <row r="9754" spans="6:9" x14ac:dyDescent="0.3">
      <c r="F9754"/>
      <c r="G9754"/>
      <c r="H9754"/>
      <c r="I9754"/>
    </row>
    <row r="9755" spans="6:9" x14ac:dyDescent="0.3">
      <c r="F9755"/>
      <c r="G9755"/>
      <c r="H9755"/>
      <c r="I9755"/>
    </row>
    <row r="9756" spans="6:9" x14ac:dyDescent="0.3">
      <c r="F9756"/>
      <c r="G9756"/>
      <c r="H9756"/>
      <c r="I9756"/>
    </row>
    <row r="9757" spans="6:9" x14ac:dyDescent="0.3">
      <c r="F9757"/>
      <c r="G9757"/>
      <c r="H9757"/>
      <c r="I9757"/>
    </row>
    <row r="9758" spans="6:9" x14ac:dyDescent="0.3">
      <c r="F9758"/>
      <c r="G9758"/>
      <c r="H9758"/>
      <c r="I9758"/>
    </row>
    <row r="9759" spans="6:9" x14ac:dyDescent="0.3">
      <c r="F9759"/>
      <c r="G9759"/>
      <c r="H9759"/>
      <c r="I9759"/>
    </row>
    <row r="9760" spans="6:9" x14ac:dyDescent="0.3">
      <c r="F9760"/>
      <c r="G9760"/>
      <c r="H9760"/>
      <c r="I9760"/>
    </row>
    <row r="9761" spans="6:9" x14ac:dyDescent="0.3">
      <c r="F9761"/>
      <c r="G9761"/>
      <c r="H9761"/>
      <c r="I9761"/>
    </row>
    <row r="9762" spans="6:9" x14ac:dyDescent="0.3">
      <c r="F9762"/>
      <c r="G9762"/>
      <c r="H9762"/>
      <c r="I9762"/>
    </row>
    <row r="9763" spans="6:9" x14ac:dyDescent="0.3">
      <c r="F9763"/>
      <c r="G9763"/>
      <c r="H9763"/>
      <c r="I9763"/>
    </row>
    <row r="9764" spans="6:9" x14ac:dyDescent="0.3">
      <c r="F9764"/>
      <c r="G9764"/>
      <c r="H9764"/>
      <c r="I9764"/>
    </row>
    <row r="9765" spans="6:9" x14ac:dyDescent="0.3">
      <c r="F9765"/>
      <c r="G9765"/>
      <c r="H9765"/>
      <c r="I9765"/>
    </row>
    <row r="9766" spans="6:9" x14ac:dyDescent="0.3">
      <c r="F9766"/>
      <c r="G9766"/>
      <c r="H9766"/>
      <c r="I9766"/>
    </row>
    <row r="9767" spans="6:9" x14ac:dyDescent="0.3">
      <c r="F9767"/>
      <c r="G9767"/>
      <c r="H9767"/>
      <c r="I9767"/>
    </row>
    <row r="9768" spans="6:9" x14ac:dyDescent="0.3">
      <c r="F9768"/>
      <c r="G9768"/>
      <c r="H9768"/>
      <c r="I9768"/>
    </row>
    <row r="9769" spans="6:9" x14ac:dyDescent="0.3">
      <c r="F9769"/>
      <c r="G9769"/>
      <c r="H9769"/>
      <c r="I9769"/>
    </row>
    <row r="9770" spans="6:9" x14ac:dyDescent="0.3">
      <c r="F9770"/>
      <c r="G9770"/>
      <c r="H9770"/>
      <c r="I9770"/>
    </row>
    <row r="9771" spans="6:9" x14ac:dyDescent="0.3">
      <c r="F9771"/>
      <c r="G9771"/>
      <c r="H9771"/>
      <c r="I9771"/>
    </row>
    <row r="9772" spans="6:9" x14ac:dyDescent="0.3">
      <c r="F9772"/>
      <c r="G9772"/>
      <c r="H9772"/>
      <c r="I9772"/>
    </row>
    <row r="9773" spans="6:9" x14ac:dyDescent="0.3">
      <c r="F9773"/>
      <c r="G9773"/>
      <c r="H9773"/>
      <c r="I9773"/>
    </row>
    <row r="9774" spans="6:9" x14ac:dyDescent="0.3">
      <c r="F9774"/>
      <c r="G9774"/>
      <c r="H9774"/>
      <c r="I9774"/>
    </row>
    <row r="9775" spans="6:9" x14ac:dyDescent="0.3">
      <c r="F9775"/>
      <c r="G9775"/>
      <c r="H9775"/>
      <c r="I9775"/>
    </row>
    <row r="9776" spans="6:9" x14ac:dyDescent="0.3">
      <c r="F9776"/>
      <c r="G9776"/>
      <c r="H9776"/>
      <c r="I9776"/>
    </row>
    <row r="9777" spans="6:9" x14ac:dyDescent="0.3">
      <c r="F9777"/>
      <c r="G9777"/>
      <c r="H9777"/>
      <c r="I9777"/>
    </row>
    <row r="9778" spans="6:9" x14ac:dyDescent="0.3">
      <c r="F9778"/>
      <c r="G9778"/>
      <c r="H9778"/>
      <c r="I9778"/>
    </row>
    <row r="9779" spans="6:9" x14ac:dyDescent="0.3">
      <c r="F9779"/>
      <c r="G9779"/>
      <c r="H9779"/>
      <c r="I9779"/>
    </row>
    <row r="9780" spans="6:9" x14ac:dyDescent="0.3">
      <c r="F9780"/>
      <c r="G9780"/>
      <c r="H9780"/>
      <c r="I9780"/>
    </row>
    <row r="9781" spans="6:9" x14ac:dyDescent="0.3">
      <c r="F9781"/>
      <c r="G9781"/>
      <c r="H9781"/>
      <c r="I9781"/>
    </row>
    <row r="9782" spans="6:9" x14ac:dyDescent="0.3">
      <c r="F9782"/>
      <c r="G9782"/>
      <c r="H9782"/>
      <c r="I9782"/>
    </row>
    <row r="9783" spans="6:9" x14ac:dyDescent="0.3">
      <c r="F9783"/>
      <c r="G9783"/>
      <c r="H9783"/>
      <c r="I9783"/>
    </row>
    <row r="9784" spans="6:9" x14ac:dyDescent="0.3">
      <c r="F9784"/>
      <c r="G9784"/>
      <c r="H9784"/>
      <c r="I9784"/>
    </row>
    <row r="9785" spans="6:9" x14ac:dyDescent="0.3">
      <c r="F9785"/>
      <c r="G9785"/>
      <c r="H9785"/>
      <c r="I9785"/>
    </row>
    <row r="9786" spans="6:9" x14ac:dyDescent="0.3">
      <c r="F9786"/>
      <c r="G9786"/>
      <c r="H9786"/>
      <c r="I9786"/>
    </row>
    <row r="9787" spans="6:9" x14ac:dyDescent="0.3">
      <c r="F9787"/>
      <c r="G9787"/>
      <c r="H9787"/>
      <c r="I9787"/>
    </row>
    <row r="9788" spans="6:9" x14ac:dyDescent="0.3">
      <c r="F9788"/>
      <c r="G9788"/>
      <c r="H9788"/>
      <c r="I9788"/>
    </row>
    <row r="9789" spans="6:9" x14ac:dyDescent="0.3">
      <c r="F9789"/>
      <c r="G9789"/>
      <c r="H9789"/>
      <c r="I9789"/>
    </row>
    <row r="9790" spans="6:9" x14ac:dyDescent="0.3">
      <c r="F9790"/>
      <c r="G9790"/>
      <c r="H9790"/>
      <c r="I9790"/>
    </row>
    <row r="9791" spans="6:9" x14ac:dyDescent="0.3">
      <c r="F9791"/>
      <c r="G9791"/>
      <c r="H9791"/>
      <c r="I9791"/>
    </row>
    <row r="9792" spans="6:9" x14ac:dyDescent="0.3">
      <c r="F9792"/>
      <c r="G9792"/>
      <c r="H9792"/>
      <c r="I9792"/>
    </row>
    <row r="9793" spans="6:9" x14ac:dyDescent="0.3">
      <c r="F9793"/>
      <c r="G9793"/>
      <c r="H9793"/>
      <c r="I9793"/>
    </row>
    <row r="9794" spans="6:9" x14ac:dyDescent="0.3">
      <c r="F9794"/>
      <c r="G9794"/>
      <c r="H9794"/>
      <c r="I9794"/>
    </row>
    <row r="9795" spans="6:9" x14ac:dyDescent="0.3">
      <c r="F9795"/>
      <c r="G9795"/>
      <c r="H9795"/>
      <c r="I9795"/>
    </row>
    <row r="9796" spans="6:9" x14ac:dyDescent="0.3">
      <c r="F9796"/>
      <c r="G9796"/>
      <c r="H9796"/>
      <c r="I9796"/>
    </row>
    <row r="9797" spans="6:9" x14ac:dyDescent="0.3">
      <c r="F9797"/>
      <c r="G9797"/>
      <c r="H9797"/>
      <c r="I9797"/>
    </row>
    <row r="9798" spans="6:9" x14ac:dyDescent="0.3">
      <c r="F9798"/>
      <c r="G9798"/>
      <c r="H9798"/>
      <c r="I9798"/>
    </row>
    <row r="9799" spans="6:9" x14ac:dyDescent="0.3">
      <c r="F9799"/>
      <c r="G9799"/>
      <c r="H9799"/>
      <c r="I9799"/>
    </row>
    <row r="9800" spans="6:9" x14ac:dyDescent="0.3">
      <c r="F9800"/>
      <c r="G9800"/>
      <c r="H9800"/>
      <c r="I9800"/>
    </row>
    <row r="9801" spans="6:9" x14ac:dyDescent="0.3">
      <c r="F9801"/>
      <c r="G9801"/>
      <c r="H9801"/>
      <c r="I9801"/>
    </row>
    <row r="9802" spans="6:9" x14ac:dyDescent="0.3">
      <c r="F9802"/>
      <c r="G9802"/>
      <c r="H9802"/>
      <c r="I9802"/>
    </row>
    <row r="9803" spans="6:9" x14ac:dyDescent="0.3">
      <c r="F9803"/>
      <c r="G9803"/>
      <c r="H9803"/>
      <c r="I9803"/>
    </row>
    <row r="9804" spans="6:9" x14ac:dyDescent="0.3">
      <c r="F9804"/>
      <c r="G9804"/>
      <c r="H9804"/>
      <c r="I9804"/>
    </row>
    <row r="9805" spans="6:9" x14ac:dyDescent="0.3">
      <c r="F9805"/>
      <c r="G9805"/>
      <c r="H9805"/>
      <c r="I9805"/>
    </row>
    <row r="9806" spans="6:9" x14ac:dyDescent="0.3">
      <c r="F9806"/>
      <c r="G9806"/>
      <c r="H9806"/>
      <c r="I9806"/>
    </row>
    <row r="9807" spans="6:9" x14ac:dyDescent="0.3">
      <c r="F9807"/>
      <c r="G9807"/>
      <c r="H9807"/>
      <c r="I9807"/>
    </row>
    <row r="9808" spans="6:9" x14ac:dyDescent="0.3">
      <c r="F9808"/>
      <c r="G9808"/>
      <c r="H9808"/>
      <c r="I9808"/>
    </row>
    <row r="9809" spans="6:9" x14ac:dyDescent="0.3">
      <c r="F9809"/>
      <c r="G9809"/>
      <c r="H9809"/>
      <c r="I9809"/>
    </row>
    <row r="9810" spans="6:9" x14ac:dyDescent="0.3">
      <c r="F9810"/>
      <c r="G9810"/>
      <c r="H9810"/>
      <c r="I9810"/>
    </row>
    <row r="9811" spans="6:9" x14ac:dyDescent="0.3">
      <c r="F9811"/>
      <c r="G9811"/>
      <c r="H9811"/>
      <c r="I9811"/>
    </row>
    <row r="9812" spans="6:9" x14ac:dyDescent="0.3">
      <c r="F9812"/>
      <c r="G9812"/>
      <c r="H9812"/>
      <c r="I9812"/>
    </row>
    <row r="9813" spans="6:9" x14ac:dyDescent="0.3">
      <c r="F9813"/>
      <c r="G9813"/>
      <c r="H9813"/>
      <c r="I9813"/>
    </row>
    <row r="9814" spans="6:9" x14ac:dyDescent="0.3">
      <c r="F9814"/>
      <c r="G9814"/>
      <c r="H9814"/>
      <c r="I9814"/>
    </row>
    <row r="9815" spans="6:9" x14ac:dyDescent="0.3">
      <c r="F9815"/>
      <c r="G9815"/>
      <c r="H9815"/>
      <c r="I9815"/>
    </row>
    <row r="9816" spans="6:9" x14ac:dyDescent="0.3">
      <c r="F9816"/>
      <c r="G9816"/>
      <c r="H9816"/>
      <c r="I9816"/>
    </row>
    <row r="9817" spans="6:9" x14ac:dyDescent="0.3">
      <c r="F9817"/>
      <c r="G9817"/>
      <c r="H9817"/>
      <c r="I9817"/>
    </row>
    <row r="9818" spans="6:9" x14ac:dyDescent="0.3">
      <c r="F9818"/>
      <c r="G9818"/>
      <c r="H9818"/>
      <c r="I9818"/>
    </row>
    <row r="9819" spans="6:9" x14ac:dyDescent="0.3">
      <c r="F9819"/>
      <c r="G9819"/>
      <c r="H9819"/>
      <c r="I9819"/>
    </row>
    <row r="9820" spans="6:9" x14ac:dyDescent="0.3">
      <c r="F9820"/>
      <c r="G9820"/>
      <c r="H9820"/>
      <c r="I9820"/>
    </row>
    <row r="9821" spans="6:9" x14ac:dyDescent="0.3">
      <c r="F9821"/>
      <c r="G9821"/>
      <c r="H9821"/>
      <c r="I9821"/>
    </row>
    <row r="9822" spans="6:9" x14ac:dyDescent="0.3">
      <c r="F9822"/>
      <c r="G9822"/>
      <c r="H9822"/>
      <c r="I9822"/>
    </row>
    <row r="9823" spans="6:9" x14ac:dyDescent="0.3">
      <c r="F9823"/>
      <c r="G9823"/>
      <c r="H9823"/>
      <c r="I9823"/>
    </row>
    <row r="9824" spans="6:9" x14ac:dyDescent="0.3">
      <c r="F9824"/>
      <c r="G9824"/>
      <c r="H9824"/>
      <c r="I9824"/>
    </row>
    <row r="9825" spans="6:9" x14ac:dyDescent="0.3">
      <c r="F9825"/>
      <c r="G9825"/>
      <c r="H9825"/>
      <c r="I9825"/>
    </row>
    <row r="9826" spans="6:9" x14ac:dyDescent="0.3">
      <c r="F9826"/>
      <c r="G9826"/>
      <c r="H9826"/>
      <c r="I9826"/>
    </row>
    <row r="9827" spans="6:9" x14ac:dyDescent="0.3">
      <c r="F9827"/>
      <c r="G9827"/>
      <c r="H9827"/>
      <c r="I9827"/>
    </row>
    <row r="9828" spans="6:9" x14ac:dyDescent="0.3">
      <c r="F9828"/>
      <c r="G9828"/>
      <c r="H9828"/>
      <c r="I9828"/>
    </row>
    <row r="9829" spans="6:9" x14ac:dyDescent="0.3">
      <c r="F9829"/>
      <c r="G9829"/>
      <c r="H9829"/>
      <c r="I9829"/>
    </row>
    <row r="9830" spans="6:9" x14ac:dyDescent="0.3">
      <c r="F9830"/>
      <c r="G9830"/>
      <c r="H9830"/>
      <c r="I9830"/>
    </row>
    <row r="9831" spans="6:9" x14ac:dyDescent="0.3">
      <c r="F9831"/>
      <c r="G9831"/>
      <c r="H9831"/>
      <c r="I9831"/>
    </row>
    <row r="9832" spans="6:9" x14ac:dyDescent="0.3">
      <c r="F9832"/>
      <c r="G9832"/>
      <c r="H9832"/>
      <c r="I9832"/>
    </row>
    <row r="9833" spans="6:9" x14ac:dyDescent="0.3">
      <c r="F9833"/>
      <c r="G9833"/>
      <c r="H9833"/>
      <c r="I9833"/>
    </row>
    <row r="9834" spans="6:9" x14ac:dyDescent="0.3">
      <c r="F9834"/>
      <c r="G9834"/>
      <c r="H9834"/>
      <c r="I9834"/>
    </row>
    <row r="9835" spans="6:9" x14ac:dyDescent="0.3">
      <c r="F9835"/>
      <c r="G9835"/>
      <c r="H9835"/>
      <c r="I9835"/>
    </row>
    <row r="9836" spans="6:9" x14ac:dyDescent="0.3">
      <c r="F9836"/>
      <c r="G9836"/>
      <c r="H9836"/>
      <c r="I9836"/>
    </row>
    <row r="9837" spans="6:9" x14ac:dyDescent="0.3">
      <c r="F9837"/>
      <c r="G9837"/>
      <c r="H9837"/>
      <c r="I9837"/>
    </row>
    <row r="9838" spans="6:9" x14ac:dyDescent="0.3">
      <c r="F9838"/>
      <c r="G9838"/>
      <c r="H9838"/>
      <c r="I9838"/>
    </row>
    <row r="9839" spans="6:9" x14ac:dyDescent="0.3">
      <c r="F9839"/>
      <c r="G9839"/>
      <c r="H9839"/>
      <c r="I9839"/>
    </row>
    <row r="9840" spans="6:9" x14ac:dyDescent="0.3">
      <c r="F9840"/>
      <c r="G9840"/>
      <c r="H9840"/>
      <c r="I9840"/>
    </row>
    <row r="9841" spans="6:9" x14ac:dyDescent="0.3">
      <c r="F9841"/>
      <c r="G9841"/>
      <c r="H9841"/>
      <c r="I9841"/>
    </row>
    <row r="9842" spans="6:9" x14ac:dyDescent="0.3">
      <c r="F9842"/>
      <c r="G9842"/>
      <c r="H9842"/>
      <c r="I9842"/>
    </row>
    <row r="9843" spans="6:9" x14ac:dyDescent="0.3">
      <c r="F9843"/>
      <c r="G9843"/>
      <c r="H9843"/>
      <c r="I9843"/>
    </row>
    <row r="9844" spans="6:9" x14ac:dyDescent="0.3">
      <c r="F9844"/>
      <c r="G9844"/>
      <c r="H9844"/>
      <c r="I9844"/>
    </row>
    <row r="9845" spans="6:9" x14ac:dyDescent="0.3">
      <c r="F9845"/>
      <c r="G9845"/>
      <c r="H9845"/>
      <c r="I9845"/>
    </row>
    <row r="9846" spans="6:9" x14ac:dyDescent="0.3">
      <c r="F9846"/>
      <c r="G9846"/>
      <c r="H9846"/>
      <c r="I9846"/>
    </row>
    <row r="9847" spans="6:9" x14ac:dyDescent="0.3">
      <c r="F9847"/>
      <c r="G9847"/>
      <c r="H9847"/>
      <c r="I9847"/>
    </row>
    <row r="9848" spans="6:9" x14ac:dyDescent="0.3">
      <c r="F9848"/>
      <c r="G9848"/>
      <c r="H9848"/>
      <c r="I9848"/>
    </row>
    <row r="9849" spans="6:9" x14ac:dyDescent="0.3">
      <c r="F9849"/>
      <c r="G9849"/>
      <c r="H9849"/>
      <c r="I9849"/>
    </row>
    <row r="9850" spans="6:9" x14ac:dyDescent="0.3">
      <c r="F9850"/>
      <c r="G9850"/>
      <c r="H9850"/>
      <c r="I9850"/>
    </row>
    <row r="9851" spans="6:9" x14ac:dyDescent="0.3">
      <c r="F9851"/>
      <c r="G9851"/>
      <c r="H9851"/>
      <c r="I9851"/>
    </row>
    <row r="9852" spans="6:9" x14ac:dyDescent="0.3">
      <c r="F9852"/>
      <c r="G9852"/>
      <c r="H9852"/>
      <c r="I9852"/>
    </row>
    <row r="9853" spans="6:9" x14ac:dyDescent="0.3">
      <c r="F9853"/>
      <c r="G9853"/>
      <c r="H9853"/>
      <c r="I9853"/>
    </row>
    <row r="9854" spans="6:9" x14ac:dyDescent="0.3">
      <c r="F9854"/>
      <c r="G9854"/>
      <c r="H9854"/>
      <c r="I9854"/>
    </row>
    <row r="9855" spans="6:9" x14ac:dyDescent="0.3">
      <c r="F9855"/>
      <c r="G9855"/>
      <c r="H9855"/>
      <c r="I9855"/>
    </row>
    <row r="9856" spans="6:9" x14ac:dyDescent="0.3">
      <c r="F9856"/>
      <c r="G9856"/>
      <c r="H9856"/>
      <c r="I9856"/>
    </row>
    <row r="9857" spans="6:9" x14ac:dyDescent="0.3">
      <c r="F9857"/>
      <c r="G9857"/>
      <c r="H9857"/>
      <c r="I9857"/>
    </row>
    <row r="9858" spans="6:9" x14ac:dyDescent="0.3">
      <c r="F9858"/>
      <c r="G9858"/>
      <c r="H9858"/>
      <c r="I9858"/>
    </row>
    <row r="9859" spans="6:9" x14ac:dyDescent="0.3">
      <c r="F9859"/>
      <c r="G9859"/>
      <c r="H9859"/>
      <c r="I9859"/>
    </row>
    <row r="9860" spans="6:9" x14ac:dyDescent="0.3">
      <c r="F9860"/>
      <c r="G9860"/>
      <c r="H9860"/>
      <c r="I9860"/>
    </row>
    <row r="9861" spans="6:9" x14ac:dyDescent="0.3">
      <c r="F9861"/>
      <c r="G9861"/>
      <c r="H9861"/>
      <c r="I9861"/>
    </row>
    <row r="9862" spans="6:9" x14ac:dyDescent="0.3">
      <c r="F9862"/>
      <c r="G9862"/>
      <c r="H9862"/>
      <c r="I9862"/>
    </row>
    <row r="9863" spans="6:9" x14ac:dyDescent="0.3">
      <c r="F9863"/>
      <c r="G9863"/>
      <c r="H9863"/>
      <c r="I9863"/>
    </row>
    <row r="9864" spans="6:9" x14ac:dyDescent="0.3">
      <c r="F9864"/>
      <c r="G9864"/>
      <c r="H9864"/>
      <c r="I9864"/>
    </row>
    <row r="9865" spans="6:9" x14ac:dyDescent="0.3">
      <c r="F9865"/>
      <c r="G9865"/>
      <c r="H9865"/>
      <c r="I9865"/>
    </row>
    <row r="9866" spans="6:9" x14ac:dyDescent="0.3">
      <c r="F9866"/>
      <c r="G9866"/>
      <c r="H9866"/>
      <c r="I9866"/>
    </row>
    <row r="9867" spans="6:9" x14ac:dyDescent="0.3">
      <c r="F9867"/>
      <c r="G9867"/>
      <c r="H9867"/>
      <c r="I9867"/>
    </row>
    <row r="9868" spans="6:9" x14ac:dyDescent="0.3">
      <c r="F9868"/>
      <c r="G9868"/>
      <c r="H9868"/>
      <c r="I9868"/>
    </row>
    <row r="9869" spans="6:9" x14ac:dyDescent="0.3">
      <c r="F9869"/>
      <c r="G9869"/>
      <c r="H9869"/>
      <c r="I9869"/>
    </row>
    <row r="9870" spans="6:9" x14ac:dyDescent="0.3">
      <c r="F9870"/>
      <c r="G9870"/>
      <c r="H9870"/>
      <c r="I9870"/>
    </row>
    <row r="9871" spans="6:9" x14ac:dyDescent="0.3">
      <c r="F9871"/>
      <c r="G9871"/>
      <c r="H9871"/>
      <c r="I9871"/>
    </row>
    <row r="9872" spans="6:9" x14ac:dyDescent="0.3">
      <c r="F9872"/>
      <c r="G9872"/>
      <c r="H9872"/>
      <c r="I9872"/>
    </row>
    <row r="9873" spans="6:9" x14ac:dyDescent="0.3">
      <c r="F9873"/>
      <c r="G9873"/>
      <c r="H9873"/>
      <c r="I9873"/>
    </row>
    <row r="9874" spans="6:9" x14ac:dyDescent="0.3">
      <c r="F9874"/>
      <c r="G9874"/>
      <c r="H9874"/>
      <c r="I9874"/>
    </row>
    <row r="9875" spans="6:9" x14ac:dyDescent="0.3">
      <c r="F9875"/>
      <c r="G9875"/>
      <c r="H9875"/>
      <c r="I9875"/>
    </row>
    <row r="9876" spans="6:9" x14ac:dyDescent="0.3">
      <c r="F9876"/>
      <c r="G9876"/>
      <c r="H9876"/>
      <c r="I9876"/>
    </row>
    <row r="9877" spans="6:9" x14ac:dyDescent="0.3">
      <c r="F9877"/>
      <c r="G9877"/>
      <c r="H9877"/>
      <c r="I9877"/>
    </row>
    <row r="9878" spans="6:9" x14ac:dyDescent="0.3">
      <c r="F9878"/>
      <c r="G9878"/>
      <c r="H9878"/>
      <c r="I9878"/>
    </row>
    <row r="9879" spans="6:9" x14ac:dyDescent="0.3">
      <c r="F9879"/>
      <c r="G9879"/>
      <c r="H9879"/>
      <c r="I9879"/>
    </row>
    <row r="9880" spans="6:9" x14ac:dyDescent="0.3">
      <c r="F9880"/>
      <c r="G9880"/>
      <c r="H9880"/>
      <c r="I9880"/>
    </row>
    <row r="9881" spans="6:9" x14ac:dyDescent="0.3">
      <c r="F9881"/>
      <c r="G9881"/>
      <c r="H9881"/>
      <c r="I9881"/>
    </row>
    <row r="9882" spans="6:9" x14ac:dyDescent="0.3">
      <c r="F9882"/>
      <c r="G9882"/>
      <c r="H9882"/>
      <c r="I9882"/>
    </row>
    <row r="9883" spans="6:9" x14ac:dyDescent="0.3">
      <c r="F9883"/>
      <c r="G9883"/>
      <c r="H9883"/>
      <c r="I9883"/>
    </row>
    <row r="9884" spans="6:9" x14ac:dyDescent="0.3">
      <c r="F9884"/>
      <c r="G9884"/>
      <c r="H9884"/>
      <c r="I9884"/>
    </row>
    <row r="9885" spans="6:9" x14ac:dyDescent="0.3">
      <c r="F9885"/>
      <c r="G9885"/>
      <c r="H9885"/>
      <c r="I9885"/>
    </row>
    <row r="9886" spans="6:9" x14ac:dyDescent="0.3">
      <c r="F9886"/>
      <c r="G9886"/>
      <c r="H9886"/>
      <c r="I9886"/>
    </row>
    <row r="9887" spans="6:9" x14ac:dyDescent="0.3">
      <c r="F9887"/>
      <c r="G9887"/>
      <c r="H9887"/>
      <c r="I9887"/>
    </row>
    <row r="9888" spans="6:9" x14ac:dyDescent="0.3">
      <c r="F9888"/>
      <c r="G9888"/>
      <c r="H9888"/>
      <c r="I9888"/>
    </row>
    <row r="9889" spans="6:9" x14ac:dyDescent="0.3">
      <c r="F9889"/>
      <c r="G9889"/>
      <c r="H9889"/>
      <c r="I9889"/>
    </row>
    <row r="9890" spans="6:9" x14ac:dyDescent="0.3">
      <c r="F9890"/>
      <c r="G9890"/>
      <c r="H9890"/>
      <c r="I9890"/>
    </row>
    <row r="9891" spans="6:9" x14ac:dyDescent="0.3">
      <c r="F9891"/>
      <c r="G9891"/>
      <c r="H9891"/>
      <c r="I9891"/>
    </row>
    <row r="9892" spans="6:9" x14ac:dyDescent="0.3">
      <c r="F9892"/>
      <c r="G9892"/>
      <c r="H9892"/>
      <c r="I9892"/>
    </row>
    <row r="9893" spans="6:9" x14ac:dyDescent="0.3">
      <c r="F9893"/>
      <c r="G9893"/>
      <c r="H9893"/>
      <c r="I9893"/>
    </row>
    <row r="9894" spans="6:9" x14ac:dyDescent="0.3">
      <c r="F9894"/>
      <c r="G9894"/>
      <c r="H9894"/>
      <c r="I9894"/>
    </row>
    <row r="9895" spans="6:9" x14ac:dyDescent="0.3">
      <c r="F9895"/>
      <c r="G9895"/>
      <c r="H9895"/>
      <c r="I9895"/>
    </row>
    <row r="9896" spans="6:9" x14ac:dyDescent="0.3">
      <c r="F9896"/>
      <c r="G9896"/>
      <c r="H9896"/>
      <c r="I9896"/>
    </row>
    <row r="9897" spans="6:9" x14ac:dyDescent="0.3">
      <c r="F9897"/>
      <c r="G9897"/>
      <c r="H9897"/>
      <c r="I9897"/>
    </row>
    <row r="9898" spans="6:9" x14ac:dyDescent="0.3">
      <c r="F9898"/>
      <c r="G9898"/>
      <c r="H9898"/>
      <c r="I9898"/>
    </row>
    <row r="9899" spans="6:9" x14ac:dyDescent="0.3">
      <c r="F9899"/>
      <c r="G9899"/>
      <c r="H9899"/>
      <c r="I9899"/>
    </row>
    <row r="9900" spans="6:9" x14ac:dyDescent="0.3">
      <c r="F9900"/>
      <c r="G9900"/>
      <c r="H9900"/>
      <c r="I9900"/>
    </row>
    <row r="9901" spans="6:9" x14ac:dyDescent="0.3">
      <c r="F9901"/>
      <c r="G9901"/>
      <c r="H9901"/>
      <c r="I9901"/>
    </row>
    <row r="9902" spans="6:9" x14ac:dyDescent="0.3">
      <c r="F9902"/>
      <c r="G9902"/>
      <c r="H9902"/>
      <c r="I9902"/>
    </row>
    <row r="9903" spans="6:9" x14ac:dyDescent="0.3">
      <c r="F9903"/>
      <c r="G9903"/>
      <c r="H9903"/>
      <c r="I9903"/>
    </row>
    <row r="9904" spans="6:9" x14ac:dyDescent="0.3">
      <c r="F9904"/>
      <c r="G9904"/>
      <c r="H9904"/>
      <c r="I9904"/>
    </row>
    <row r="9905" spans="6:9" x14ac:dyDescent="0.3">
      <c r="F9905"/>
      <c r="G9905"/>
      <c r="H9905"/>
      <c r="I9905"/>
    </row>
    <row r="9906" spans="6:9" x14ac:dyDescent="0.3">
      <c r="F9906"/>
      <c r="G9906"/>
      <c r="H9906"/>
      <c r="I9906"/>
    </row>
    <row r="9907" spans="6:9" x14ac:dyDescent="0.3">
      <c r="F9907"/>
      <c r="G9907"/>
      <c r="H9907"/>
      <c r="I9907"/>
    </row>
    <row r="9908" spans="6:9" x14ac:dyDescent="0.3">
      <c r="F9908"/>
      <c r="G9908"/>
      <c r="H9908"/>
      <c r="I9908"/>
    </row>
    <row r="9909" spans="6:9" x14ac:dyDescent="0.3">
      <c r="F9909"/>
      <c r="G9909"/>
      <c r="H9909"/>
      <c r="I9909"/>
    </row>
    <row r="9910" spans="6:9" x14ac:dyDescent="0.3">
      <c r="F9910"/>
      <c r="G9910"/>
      <c r="H9910"/>
      <c r="I9910"/>
    </row>
    <row r="9911" spans="6:9" x14ac:dyDescent="0.3">
      <c r="F9911"/>
      <c r="G9911"/>
      <c r="H9911"/>
      <c r="I9911"/>
    </row>
    <row r="9912" spans="6:9" x14ac:dyDescent="0.3">
      <c r="F9912"/>
      <c r="G9912"/>
      <c r="H9912"/>
      <c r="I9912"/>
    </row>
    <row r="9913" spans="6:9" x14ac:dyDescent="0.3">
      <c r="F9913"/>
      <c r="G9913"/>
      <c r="H9913"/>
      <c r="I9913"/>
    </row>
    <row r="9914" spans="6:9" x14ac:dyDescent="0.3">
      <c r="F9914"/>
      <c r="G9914"/>
      <c r="H9914"/>
      <c r="I9914"/>
    </row>
    <row r="9915" spans="6:9" x14ac:dyDescent="0.3">
      <c r="F9915"/>
      <c r="G9915"/>
      <c r="H9915"/>
      <c r="I9915"/>
    </row>
    <row r="9916" spans="6:9" x14ac:dyDescent="0.3">
      <c r="F9916"/>
      <c r="G9916"/>
      <c r="H9916"/>
      <c r="I9916"/>
    </row>
    <row r="9917" spans="6:9" x14ac:dyDescent="0.3">
      <c r="F9917"/>
      <c r="G9917"/>
      <c r="H9917"/>
      <c r="I9917"/>
    </row>
    <row r="9918" spans="6:9" x14ac:dyDescent="0.3">
      <c r="F9918"/>
      <c r="G9918"/>
      <c r="H9918"/>
      <c r="I9918"/>
    </row>
    <row r="9919" spans="6:9" x14ac:dyDescent="0.3">
      <c r="F9919"/>
      <c r="G9919"/>
      <c r="H9919"/>
      <c r="I9919"/>
    </row>
    <row r="9920" spans="6:9" x14ac:dyDescent="0.3">
      <c r="F9920"/>
      <c r="G9920"/>
      <c r="H9920"/>
      <c r="I9920"/>
    </row>
    <row r="9921" spans="6:9" x14ac:dyDescent="0.3">
      <c r="F9921"/>
      <c r="G9921"/>
      <c r="H9921"/>
      <c r="I9921"/>
    </row>
    <row r="9922" spans="6:9" x14ac:dyDescent="0.3">
      <c r="F9922"/>
      <c r="G9922"/>
      <c r="H9922"/>
      <c r="I9922"/>
    </row>
    <row r="9923" spans="6:9" x14ac:dyDescent="0.3">
      <c r="F9923"/>
      <c r="G9923"/>
      <c r="H9923"/>
      <c r="I9923"/>
    </row>
    <row r="9924" spans="6:9" x14ac:dyDescent="0.3">
      <c r="F9924"/>
      <c r="G9924"/>
      <c r="H9924"/>
      <c r="I9924"/>
    </row>
    <row r="9925" spans="6:9" x14ac:dyDescent="0.3">
      <c r="F9925"/>
      <c r="G9925"/>
      <c r="H9925"/>
      <c r="I9925"/>
    </row>
    <row r="9926" spans="6:9" x14ac:dyDescent="0.3">
      <c r="F9926"/>
      <c r="G9926"/>
      <c r="H9926"/>
      <c r="I9926"/>
    </row>
    <row r="9927" spans="6:9" x14ac:dyDescent="0.3">
      <c r="F9927"/>
      <c r="G9927"/>
      <c r="H9927"/>
      <c r="I9927"/>
    </row>
    <row r="9928" spans="6:9" x14ac:dyDescent="0.3">
      <c r="F9928"/>
      <c r="G9928"/>
      <c r="H9928"/>
      <c r="I9928"/>
    </row>
    <row r="9929" spans="6:9" x14ac:dyDescent="0.3">
      <c r="F9929"/>
      <c r="G9929"/>
      <c r="H9929"/>
      <c r="I9929"/>
    </row>
    <row r="9930" spans="6:9" x14ac:dyDescent="0.3">
      <c r="F9930"/>
      <c r="G9930"/>
      <c r="H9930"/>
      <c r="I9930"/>
    </row>
    <row r="9931" spans="6:9" x14ac:dyDescent="0.3">
      <c r="F9931"/>
      <c r="G9931"/>
      <c r="H9931"/>
      <c r="I9931"/>
    </row>
    <row r="9932" spans="6:9" x14ac:dyDescent="0.3">
      <c r="F9932"/>
      <c r="G9932"/>
      <c r="H9932"/>
      <c r="I9932"/>
    </row>
    <row r="9933" spans="6:9" x14ac:dyDescent="0.3">
      <c r="F9933"/>
      <c r="G9933"/>
      <c r="H9933"/>
      <c r="I9933"/>
    </row>
    <row r="9934" spans="6:9" x14ac:dyDescent="0.3">
      <c r="F9934"/>
      <c r="G9934"/>
      <c r="H9934"/>
      <c r="I9934"/>
    </row>
    <row r="9935" spans="6:9" x14ac:dyDescent="0.3">
      <c r="F9935"/>
      <c r="G9935"/>
      <c r="H9935"/>
      <c r="I9935"/>
    </row>
    <row r="9936" spans="6:9" x14ac:dyDescent="0.3">
      <c r="F9936"/>
      <c r="G9936"/>
      <c r="H9936"/>
      <c r="I9936"/>
    </row>
    <row r="9937" spans="6:9" x14ac:dyDescent="0.3">
      <c r="F9937"/>
      <c r="G9937"/>
      <c r="H9937"/>
      <c r="I9937"/>
    </row>
    <row r="9938" spans="6:9" x14ac:dyDescent="0.3">
      <c r="F9938"/>
      <c r="G9938"/>
      <c r="H9938"/>
      <c r="I9938"/>
    </row>
    <row r="9939" spans="6:9" x14ac:dyDescent="0.3">
      <c r="F9939"/>
      <c r="G9939"/>
      <c r="H9939"/>
      <c r="I9939"/>
    </row>
    <row r="9940" spans="6:9" x14ac:dyDescent="0.3">
      <c r="F9940"/>
      <c r="G9940"/>
      <c r="H9940"/>
      <c r="I9940"/>
    </row>
    <row r="9941" spans="6:9" x14ac:dyDescent="0.3">
      <c r="F9941"/>
      <c r="G9941"/>
      <c r="H9941"/>
      <c r="I9941"/>
    </row>
    <row r="9942" spans="6:9" x14ac:dyDescent="0.3">
      <c r="F9942"/>
      <c r="G9942"/>
      <c r="H9942"/>
      <c r="I9942"/>
    </row>
    <row r="9943" spans="6:9" x14ac:dyDescent="0.3">
      <c r="F9943"/>
      <c r="G9943"/>
      <c r="H9943"/>
      <c r="I9943"/>
    </row>
    <row r="9944" spans="6:9" x14ac:dyDescent="0.3">
      <c r="F9944"/>
      <c r="G9944"/>
      <c r="H9944"/>
      <c r="I9944"/>
    </row>
    <row r="9945" spans="6:9" x14ac:dyDescent="0.3">
      <c r="F9945"/>
      <c r="G9945"/>
      <c r="H9945"/>
      <c r="I9945"/>
    </row>
    <row r="9946" spans="6:9" x14ac:dyDescent="0.3">
      <c r="F9946"/>
      <c r="G9946"/>
      <c r="H9946"/>
      <c r="I9946"/>
    </row>
    <row r="9947" spans="6:9" x14ac:dyDescent="0.3">
      <c r="F9947"/>
      <c r="G9947"/>
      <c r="H9947"/>
      <c r="I9947"/>
    </row>
    <row r="9948" spans="6:9" x14ac:dyDescent="0.3">
      <c r="F9948"/>
      <c r="G9948"/>
      <c r="H9948"/>
      <c r="I9948"/>
    </row>
    <row r="9949" spans="6:9" x14ac:dyDescent="0.3">
      <c r="F9949"/>
      <c r="G9949"/>
      <c r="H9949"/>
      <c r="I9949"/>
    </row>
    <row r="9950" spans="6:9" x14ac:dyDescent="0.3">
      <c r="F9950"/>
      <c r="G9950"/>
      <c r="H9950"/>
      <c r="I9950"/>
    </row>
    <row r="9951" spans="6:9" x14ac:dyDescent="0.3">
      <c r="F9951"/>
      <c r="G9951"/>
      <c r="H9951"/>
      <c r="I9951"/>
    </row>
    <row r="9952" spans="6:9" x14ac:dyDescent="0.3">
      <c r="F9952"/>
      <c r="G9952"/>
      <c r="H9952"/>
      <c r="I9952"/>
    </row>
    <row r="9953" spans="6:9" x14ac:dyDescent="0.3">
      <c r="F9953"/>
      <c r="G9953"/>
      <c r="H9953"/>
      <c r="I9953"/>
    </row>
    <row r="9954" spans="6:9" x14ac:dyDescent="0.3">
      <c r="F9954"/>
      <c r="G9954"/>
      <c r="H9954"/>
      <c r="I9954"/>
    </row>
    <row r="9955" spans="6:9" x14ac:dyDescent="0.3">
      <c r="F9955"/>
      <c r="G9955"/>
      <c r="H9955"/>
      <c r="I9955"/>
    </row>
    <row r="9956" spans="6:9" x14ac:dyDescent="0.3">
      <c r="F9956"/>
      <c r="G9956"/>
      <c r="H9956"/>
      <c r="I9956"/>
    </row>
    <row r="9957" spans="6:9" x14ac:dyDescent="0.3">
      <c r="F9957"/>
      <c r="G9957"/>
      <c r="H9957"/>
      <c r="I9957"/>
    </row>
    <row r="9958" spans="6:9" x14ac:dyDescent="0.3">
      <c r="F9958"/>
      <c r="G9958"/>
      <c r="H9958"/>
      <c r="I9958"/>
    </row>
    <row r="9959" spans="6:9" x14ac:dyDescent="0.3">
      <c r="F9959"/>
      <c r="G9959"/>
      <c r="H9959"/>
      <c r="I9959"/>
    </row>
    <row r="9960" spans="6:9" x14ac:dyDescent="0.3">
      <c r="F9960"/>
      <c r="G9960"/>
      <c r="H9960"/>
      <c r="I9960"/>
    </row>
    <row r="9961" spans="6:9" x14ac:dyDescent="0.3">
      <c r="F9961"/>
      <c r="G9961"/>
      <c r="H9961"/>
      <c r="I9961"/>
    </row>
    <row r="9962" spans="6:9" x14ac:dyDescent="0.3">
      <c r="F9962"/>
      <c r="G9962"/>
      <c r="H9962"/>
      <c r="I9962"/>
    </row>
    <row r="9963" spans="6:9" x14ac:dyDescent="0.3">
      <c r="F9963"/>
      <c r="G9963"/>
      <c r="H9963"/>
      <c r="I9963"/>
    </row>
    <row r="9964" spans="6:9" x14ac:dyDescent="0.3">
      <c r="F9964"/>
      <c r="G9964"/>
      <c r="H9964"/>
      <c r="I9964"/>
    </row>
    <row r="9965" spans="6:9" x14ac:dyDescent="0.3">
      <c r="F9965"/>
      <c r="G9965"/>
      <c r="H9965"/>
      <c r="I9965"/>
    </row>
    <row r="9966" spans="6:9" x14ac:dyDescent="0.3">
      <c r="F9966"/>
      <c r="G9966"/>
      <c r="H9966"/>
      <c r="I9966"/>
    </row>
    <row r="9967" spans="6:9" x14ac:dyDescent="0.3">
      <c r="F9967"/>
      <c r="G9967"/>
      <c r="H9967"/>
      <c r="I9967"/>
    </row>
    <row r="9968" spans="6:9" x14ac:dyDescent="0.3">
      <c r="F9968"/>
      <c r="G9968"/>
      <c r="H9968"/>
      <c r="I9968"/>
    </row>
    <row r="9969" spans="6:9" x14ac:dyDescent="0.3">
      <c r="F9969"/>
      <c r="G9969"/>
      <c r="H9969"/>
      <c r="I9969"/>
    </row>
    <row r="9970" spans="6:9" x14ac:dyDescent="0.3">
      <c r="F9970"/>
      <c r="G9970"/>
      <c r="H9970"/>
      <c r="I9970"/>
    </row>
    <row r="9971" spans="6:9" x14ac:dyDescent="0.3">
      <c r="F9971"/>
      <c r="G9971"/>
      <c r="H9971"/>
      <c r="I9971"/>
    </row>
    <row r="9972" spans="6:9" x14ac:dyDescent="0.3">
      <c r="F9972"/>
      <c r="G9972"/>
      <c r="H9972"/>
      <c r="I9972"/>
    </row>
    <row r="9973" spans="6:9" x14ac:dyDescent="0.3">
      <c r="F9973"/>
      <c r="G9973"/>
      <c r="H9973"/>
      <c r="I9973"/>
    </row>
    <row r="9974" spans="6:9" x14ac:dyDescent="0.3">
      <c r="F9974"/>
      <c r="G9974"/>
      <c r="H9974"/>
      <c r="I9974"/>
    </row>
    <row r="9975" spans="6:9" x14ac:dyDescent="0.3">
      <c r="F9975"/>
      <c r="G9975"/>
      <c r="H9975"/>
      <c r="I9975"/>
    </row>
    <row r="9976" spans="6:9" x14ac:dyDescent="0.3">
      <c r="F9976"/>
      <c r="G9976"/>
      <c r="H9976"/>
      <c r="I9976"/>
    </row>
    <row r="9977" spans="6:9" x14ac:dyDescent="0.3">
      <c r="F9977"/>
      <c r="G9977"/>
      <c r="H9977"/>
      <c r="I9977"/>
    </row>
    <row r="9978" spans="6:9" x14ac:dyDescent="0.3">
      <c r="F9978"/>
      <c r="G9978"/>
      <c r="H9978"/>
      <c r="I9978"/>
    </row>
    <row r="9979" spans="6:9" x14ac:dyDescent="0.3">
      <c r="F9979"/>
      <c r="G9979"/>
      <c r="H9979"/>
      <c r="I9979"/>
    </row>
    <row r="9980" spans="6:9" x14ac:dyDescent="0.3">
      <c r="F9980"/>
      <c r="G9980"/>
      <c r="H9980"/>
      <c r="I9980"/>
    </row>
    <row r="9981" spans="6:9" x14ac:dyDescent="0.3">
      <c r="F9981"/>
      <c r="G9981"/>
      <c r="H9981"/>
      <c r="I9981"/>
    </row>
    <row r="9982" spans="6:9" x14ac:dyDescent="0.3">
      <c r="F9982"/>
      <c r="G9982"/>
      <c r="H9982"/>
      <c r="I9982"/>
    </row>
    <row r="9983" spans="6:9" x14ac:dyDescent="0.3">
      <c r="F9983"/>
      <c r="G9983"/>
      <c r="H9983"/>
      <c r="I9983"/>
    </row>
    <row r="9984" spans="6:9" x14ac:dyDescent="0.3">
      <c r="F9984"/>
      <c r="G9984"/>
      <c r="H9984"/>
      <c r="I9984"/>
    </row>
    <row r="9985" spans="6:9" x14ac:dyDescent="0.3">
      <c r="F9985"/>
      <c r="G9985"/>
      <c r="H9985"/>
      <c r="I9985"/>
    </row>
    <row r="9986" spans="6:9" x14ac:dyDescent="0.3">
      <c r="F9986"/>
      <c r="G9986"/>
      <c r="H9986"/>
      <c r="I9986"/>
    </row>
    <row r="9987" spans="6:9" x14ac:dyDescent="0.3">
      <c r="F9987"/>
      <c r="G9987"/>
      <c r="H9987"/>
      <c r="I9987"/>
    </row>
    <row r="9988" spans="6:9" x14ac:dyDescent="0.3">
      <c r="F9988"/>
      <c r="G9988"/>
      <c r="H9988"/>
      <c r="I9988"/>
    </row>
    <row r="9989" spans="6:9" x14ac:dyDescent="0.3">
      <c r="F9989"/>
      <c r="G9989"/>
      <c r="H9989"/>
      <c r="I9989"/>
    </row>
    <row r="9990" spans="6:9" x14ac:dyDescent="0.3">
      <c r="F9990"/>
      <c r="G9990"/>
      <c r="H9990"/>
      <c r="I9990"/>
    </row>
    <row r="9991" spans="6:9" x14ac:dyDescent="0.3">
      <c r="F9991"/>
      <c r="G9991"/>
      <c r="H9991"/>
      <c r="I9991"/>
    </row>
    <row r="9992" spans="6:9" x14ac:dyDescent="0.3">
      <c r="F9992"/>
      <c r="G9992"/>
      <c r="H9992"/>
      <c r="I9992"/>
    </row>
    <row r="9993" spans="6:9" x14ac:dyDescent="0.3">
      <c r="F9993"/>
      <c r="G9993"/>
      <c r="H9993"/>
      <c r="I9993"/>
    </row>
    <row r="9994" spans="6:9" x14ac:dyDescent="0.3">
      <c r="F9994"/>
      <c r="G9994"/>
      <c r="H9994"/>
      <c r="I9994"/>
    </row>
    <row r="9995" spans="6:9" x14ac:dyDescent="0.3">
      <c r="F9995"/>
      <c r="G9995"/>
      <c r="H9995"/>
      <c r="I9995"/>
    </row>
    <row r="9996" spans="6:9" x14ac:dyDescent="0.3">
      <c r="F9996"/>
      <c r="G9996"/>
      <c r="H9996"/>
      <c r="I9996"/>
    </row>
    <row r="9997" spans="6:9" x14ac:dyDescent="0.3">
      <c r="F9997"/>
      <c r="G9997"/>
      <c r="H9997"/>
      <c r="I9997"/>
    </row>
    <row r="9998" spans="6:9" x14ac:dyDescent="0.3">
      <c r="F9998"/>
      <c r="G9998"/>
      <c r="H9998"/>
      <c r="I9998"/>
    </row>
    <row r="9999" spans="6:9" x14ac:dyDescent="0.3">
      <c r="F9999"/>
      <c r="G9999"/>
      <c r="H9999"/>
      <c r="I9999"/>
    </row>
    <row r="10000" spans="6:9" x14ac:dyDescent="0.3">
      <c r="F10000"/>
      <c r="G10000"/>
      <c r="H10000"/>
      <c r="I10000"/>
    </row>
    <row r="10001" spans="6:9" x14ac:dyDescent="0.3">
      <c r="F10001"/>
      <c r="G10001"/>
      <c r="H10001"/>
      <c r="I10001"/>
    </row>
    <row r="10002" spans="6:9" x14ac:dyDescent="0.3">
      <c r="F10002"/>
      <c r="G10002"/>
      <c r="H10002"/>
      <c r="I10002"/>
    </row>
    <row r="10003" spans="6:9" x14ac:dyDescent="0.3">
      <c r="F10003"/>
      <c r="G10003"/>
      <c r="H10003"/>
      <c r="I10003"/>
    </row>
    <row r="10004" spans="6:9" x14ac:dyDescent="0.3">
      <c r="F10004"/>
      <c r="G10004"/>
      <c r="H10004"/>
      <c r="I10004"/>
    </row>
    <row r="10005" spans="6:9" x14ac:dyDescent="0.3">
      <c r="F10005"/>
      <c r="G10005"/>
      <c r="H10005"/>
      <c r="I10005"/>
    </row>
    <row r="10006" spans="6:9" x14ac:dyDescent="0.3">
      <c r="F10006"/>
      <c r="G10006"/>
      <c r="H10006"/>
      <c r="I10006"/>
    </row>
    <row r="10007" spans="6:9" x14ac:dyDescent="0.3">
      <c r="F10007"/>
      <c r="G10007"/>
      <c r="H10007"/>
      <c r="I10007"/>
    </row>
    <row r="10008" spans="6:9" x14ac:dyDescent="0.3">
      <c r="F10008"/>
      <c r="G10008"/>
      <c r="H10008"/>
      <c r="I10008"/>
    </row>
    <row r="10009" spans="6:9" x14ac:dyDescent="0.3">
      <c r="F10009"/>
      <c r="G10009"/>
      <c r="H10009"/>
      <c r="I10009"/>
    </row>
    <row r="10010" spans="6:9" x14ac:dyDescent="0.3">
      <c r="F10010"/>
      <c r="G10010"/>
      <c r="H10010"/>
      <c r="I10010"/>
    </row>
    <row r="10011" spans="6:9" x14ac:dyDescent="0.3">
      <c r="F10011"/>
      <c r="G10011"/>
      <c r="H10011"/>
      <c r="I10011"/>
    </row>
    <row r="10012" spans="6:9" x14ac:dyDescent="0.3">
      <c r="F10012"/>
      <c r="G10012"/>
      <c r="H10012"/>
      <c r="I10012"/>
    </row>
    <row r="10013" spans="6:9" x14ac:dyDescent="0.3">
      <c r="F10013"/>
      <c r="G10013"/>
      <c r="H10013"/>
      <c r="I10013"/>
    </row>
    <row r="10014" spans="6:9" x14ac:dyDescent="0.3">
      <c r="F10014"/>
      <c r="G10014"/>
      <c r="H10014"/>
      <c r="I10014"/>
    </row>
    <row r="10015" spans="6:9" x14ac:dyDescent="0.3">
      <c r="F10015"/>
      <c r="G10015"/>
      <c r="H10015"/>
      <c r="I10015"/>
    </row>
    <row r="10016" spans="6:9" x14ac:dyDescent="0.3">
      <c r="F10016"/>
      <c r="G10016"/>
      <c r="H10016"/>
      <c r="I10016"/>
    </row>
    <row r="10017" spans="6:9" x14ac:dyDescent="0.3">
      <c r="F10017"/>
      <c r="G10017"/>
      <c r="H10017"/>
      <c r="I10017"/>
    </row>
    <row r="10018" spans="6:9" x14ac:dyDescent="0.3">
      <c r="F10018"/>
      <c r="G10018"/>
      <c r="H10018"/>
      <c r="I10018"/>
    </row>
    <row r="10019" spans="6:9" x14ac:dyDescent="0.3">
      <c r="F10019"/>
      <c r="G10019"/>
      <c r="H10019"/>
      <c r="I10019"/>
    </row>
    <row r="10020" spans="6:9" x14ac:dyDescent="0.3">
      <c r="F10020"/>
      <c r="G10020"/>
      <c r="H10020"/>
      <c r="I10020"/>
    </row>
    <row r="10021" spans="6:9" x14ac:dyDescent="0.3">
      <c r="F10021"/>
      <c r="G10021"/>
      <c r="H10021"/>
      <c r="I10021"/>
    </row>
    <row r="10022" spans="6:9" x14ac:dyDescent="0.3">
      <c r="F10022"/>
      <c r="G10022"/>
      <c r="H10022"/>
      <c r="I10022"/>
    </row>
    <row r="10023" spans="6:9" x14ac:dyDescent="0.3">
      <c r="F10023"/>
      <c r="G10023"/>
      <c r="H10023"/>
      <c r="I10023"/>
    </row>
    <row r="10024" spans="6:9" x14ac:dyDescent="0.3">
      <c r="F10024"/>
      <c r="G10024"/>
      <c r="H10024"/>
      <c r="I10024"/>
    </row>
    <row r="10025" spans="6:9" x14ac:dyDescent="0.3">
      <c r="F10025"/>
      <c r="G10025"/>
      <c r="H10025"/>
      <c r="I10025"/>
    </row>
    <row r="10026" spans="6:9" x14ac:dyDescent="0.3">
      <c r="F10026"/>
      <c r="G10026"/>
      <c r="H10026"/>
      <c r="I10026"/>
    </row>
    <row r="10027" spans="6:9" x14ac:dyDescent="0.3">
      <c r="F10027"/>
      <c r="G10027"/>
      <c r="H10027"/>
      <c r="I10027"/>
    </row>
    <row r="10028" spans="6:9" x14ac:dyDescent="0.3">
      <c r="F10028"/>
      <c r="G10028"/>
      <c r="H10028"/>
      <c r="I10028"/>
    </row>
    <row r="10029" spans="6:9" x14ac:dyDescent="0.3">
      <c r="F10029"/>
      <c r="G10029"/>
      <c r="H10029"/>
      <c r="I10029"/>
    </row>
    <row r="10030" spans="6:9" x14ac:dyDescent="0.3">
      <c r="F10030"/>
      <c r="G10030"/>
      <c r="H10030"/>
      <c r="I10030"/>
    </row>
    <row r="10031" spans="6:9" x14ac:dyDescent="0.3">
      <c r="F10031"/>
      <c r="G10031"/>
      <c r="H10031"/>
      <c r="I10031"/>
    </row>
    <row r="10032" spans="6:9" x14ac:dyDescent="0.3">
      <c r="F10032"/>
      <c r="G10032"/>
      <c r="H10032"/>
      <c r="I10032"/>
    </row>
    <row r="10033" spans="6:9" x14ac:dyDescent="0.3">
      <c r="F10033"/>
      <c r="G10033"/>
      <c r="H10033"/>
      <c r="I10033"/>
    </row>
    <row r="10034" spans="6:9" x14ac:dyDescent="0.3">
      <c r="F10034"/>
      <c r="G10034"/>
      <c r="H10034"/>
      <c r="I10034"/>
    </row>
    <row r="10035" spans="6:9" x14ac:dyDescent="0.3">
      <c r="F10035"/>
      <c r="G10035"/>
      <c r="H10035"/>
      <c r="I10035"/>
    </row>
    <row r="10036" spans="6:9" x14ac:dyDescent="0.3">
      <c r="F10036"/>
      <c r="G10036"/>
      <c r="H10036"/>
      <c r="I10036"/>
    </row>
    <row r="10037" spans="6:9" x14ac:dyDescent="0.3">
      <c r="F10037"/>
      <c r="G10037"/>
      <c r="H10037"/>
      <c r="I10037"/>
    </row>
    <row r="10038" spans="6:9" x14ac:dyDescent="0.3">
      <c r="F10038"/>
      <c r="G10038"/>
      <c r="H10038"/>
      <c r="I10038"/>
    </row>
    <row r="10039" spans="6:9" x14ac:dyDescent="0.3">
      <c r="F10039"/>
      <c r="G10039"/>
      <c r="H10039"/>
      <c r="I10039"/>
    </row>
    <row r="10040" spans="6:9" x14ac:dyDescent="0.3">
      <c r="F10040"/>
      <c r="G10040"/>
      <c r="H10040"/>
      <c r="I10040"/>
    </row>
    <row r="10041" spans="6:9" x14ac:dyDescent="0.3">
      <c r="F10041"/>
      <c r="G10041"/>
      <c r="H10041"/>
      <c r="I10041"/>
    </row>
    <row r="10042" spans="6:9" x14ac:dyDescent="0.3">
      <c r="F10042"/>
      <c r="G10042"/>
      <c r="H10042"/>
      <c r="I10042"/>
    </row>
    <row r="10043" spans="6:9" x14ac:dyDescent="0.3">
      <c r="F10043"/>
      <c r="G10043"/>
      <c r="H10043"/>
      <c r="I10043"/>
    </row>
    <row r="10044" spans="6:9" x14ac:dyDescent="0.3">
      <c r="F10044"/>
      <c r="G10044"/>
      <c r="H10044"/>
      <c r="I10044"/>
    </row>
    <row r="10045" spans="6:9" x14ac:dyDescent="0.3">
      <c r="F10045"/>
      <c r="G10045"/>
      <c r="H10045"/>
      <c r="I10045"/>
    </row>
    <row r="10046" spans="6:9" x14ac:dyDescent="0.3">
      <c r="F10046"/>
      <c r="G10046"/>
      <c r="H10046"/>
      <c r="I10046"/>
    </row>
    <row r="10047" spans="6:9" x14ac:dyDescent="0.3">
      <c r="F10047"/>
      <c r="G10047"/>
      <c r="H10047"/>
      <c r="I10047"/>
    </row>
    <row r="10048" spans="6:9" x14ac:dyDescent="0.3">
      <c r="F10048"/>
      <c r="G10048"/>
      <c r="H10048"/>
      <c r="I10048"/>
    </row>
    <row r="10049" spans="6:9" x14ac:dyDescent="0.3">
      <c r="F10049"/>
      <c r="G10049"/>
      <c r="H10049"/>
      <c r="I10049"/>
    </row>
    <row r="10050" spans="6:9" x14ac:dyDescent="0.3">
      <c r="F10050"/>
      <c r="G10050"/>
      <c r="H10050"/>
      <c r="I10050"/>
    </row>
    <row r="10051" spans="6:9" x14ac:dyDescent="0.3">
      <c r="F10051"/>
      <c r="G10051"/>
      <c r="H10051"/>
      <c r="I10051"/>
    </row>
    <row r="10052" spans="6:9" x14ac:dyDescent="0.3">
      <c r="F10052"/>
      <c r="G10052"/>
      <c r="H10052"/>
      <c r="I10052"/>
    </row>
    <row r="10053" spans="6:9" x14ac:dyDescent="0.3">
      <c r="F10053"/>
      <c r="G10053"/>
      <c r="H10053"/>
      <c r="I10053"/>
    </row>
    <row r="10054" spans="6:9" x14ac:dyDescent="0.3">
      <c r="F10054"/>
      <c r="G10054"/>
      <c r="H10054"/>
      <c r="I10054"/>
    </row>
    <row r="10055" spans="6:9" x14ac:dyDescent="0.3">
      <c r="F10055"/>
      <c r="G10055"/>
      <c r="H10055"/>
      <c r="I10055"/>
    </row>
    <row r="10056" spans="6:9" x14ac:dyDescent="0.3">
      <c r="F10056"/>
      <c r="G10056"/>
      <c r="H10056"/>
      <c r="I10056"/>
    </row>
    <row r="10057" spans="6:9" x14ac:dyDescent="0.3">
      <c r="F10057"/>
      <c r="G10057"/>
      <c r="H10057"/>
      <c r="I10057"/>
    </row>
    <row r="10058" spans="6:9" x14ac:dyDescent="0.3">
      <c r="F10058"/>
      <c r="G10058"/>
      <c r="H10058"/>
      <c r="I10058"/>
    </row>
    <row r="10059" spans="6:9" x14ac:dyDescent="0.3">
      <c r="F10059"/>
      <c r="G10059"/>
      <c r="H10059"/>
      <c r="I10059"/>
    </row>
    <row r="10060" spans="6:9" x14ac:dyDescent="0.3">
      <c r="F10060"/>
      <c r="G10060"/>
      <c r="H10060"/>
      <c r="I10060"/>
    </row>
    <row r="10061" spans="6:9" x14ac:dyDescent="0.3">
      <c r="F10061"/>
      <c r="G10061"/>
      <c r="H10061"/>
      <c r="I10061"/>
    </row>
    <row r="10062" spans="6:9" x14ac:dyDescent="0.3">
      <c r="F10062"/>
      <c r="G10062"/>
      <c r="H10062"/>
      <c r="I10062"/>
    </row>
    <row r="10063" spans="6:9" x14ac:dyDescent="0.3">
      <c r="F10063"/>
      <c r="G10063"/>
      <c r="H10063"/>
      <c r="I10063"/>
    </row>
    <row r="10064" spans="6:9" x14ac:dyDescent="0.3">
      <c r="F10064"/>
      <c r="G10064"/>
      <c r="H10064"/>
      <c r="I10064"/>
    </row>
    <row r="10065" spans="6:9" x14ac:dyDescent="0.3">
      <c r="F10065"/>
      <c r="G10065"/>
      <c r="H10065"/>
      <c r="I10065"/>
    </row>
    <row r="10066" spans="6:9" x14ac:dyDescent="0.3">
      <c r="F10066"/>
      <c r="G10066"/>
      <c r="H10066"/>
      <c r="I10066"/>
    </row>
    <row r="10067" spans="6:9" x14ac:dyDescent="0.3">
      <c r="F10067"/>
      <c r="G10067"/>
      <c r="H10067"/>
      <c r="I10067"/>
    </row>
    <row r="10068" spans="6:9" x14ac:dyDescent="0.3">
      <c r="F10068"/>
      <c r="G10068"/>
      <c r="H10068"/>
      <c r="I10068"/>
    </row>
    <row r="10069" spans="6:9" x14ac:dyDescent="0.3">
      <c r="F10069"/>
      <c r="G10069"/>
      <c r="H10069"/>
      <c r="I10069"/>
    </row>
    <row r="10070" spans="6:9" x14ac:dyDescent="0.3">
      <c r="F10070"/>
      <c r="G10070"/>
      <c r="H10070"/>
      <c r="I10070"/>
    </row>
    <row r="10071" spans="6:9" x14ac:dyDescent="0.3">
      <c r="F10071"/>
      <c r="G10071"/>
      <c r="H10071"/>
      <c r="I10071"/>
    </row>
    <row r="10072" spans="6:9" x14ac:dyDescent="0.3">
      <c r="F10072"/>
      <c r="G10072"/>
      <c r="H10072"/>
      <c r="I10072"/>
    </row>
    <row r="10073" spans="6:9" x14ac:dyDescent="0.3">
      <c r="F10073"/>
      <c r="G10073"/>
      <c r="H10073"/>
      <c r="I10073"/>
    </row>
    <row r="10074" spans="6:9" x14ac:dyDescent="0.3">
      <c r="F10074"/>
      <c r="G10074"/>
      <c r="H10074"/>
      <c r="I10074"/>
    </row>
    <row r="10075" spans="6:9" x14ac:dyDescent="0.3">
      <c r="F10075"/>
      <c r="G10075"/>
      <c r="H10075"/>
      <c r="I10075"/>
    </row>
    <row r="10076" spans="6:9" x14ac:dyDescent="0.3">
      <c r="F10076"/>
      <c r="G10076"/>
      <c r="H10076"/>
      <c r="I10076"/>
    </row>
    <row r="10077" spans="6:9" x14ac:dyDescent="0.3">
      <c r="F10077"/>
      <c r="G10077"/>
      <c r="H10077"/>
      <c r="I10077"/>
    </row>
    <row r="10078" spans="6:9" x14ac:dyDescent="0.3">
      <c r="F10078"/>
      <c r="G10078"/>
      <c r="H10078"/>
      <c r="I10078"/>
    </row>
    <row r="10079" spans="6:9" x14ac:dyDescent="0.3">
      <c r="F10079"/>
      <c r="G10079"/>
      <c r="H10079"/>
      <c r="I10079"/>
    </row>
    <row r="10080" spans="6:9" x14ac:dyDescent="0.3">
      <c r="F10080"/>
      <c r="G10080"/>
      <c r="H10080"/>
      <c r="I10080"/>
    </row>
    <row r="10081" spans="6:9" x14ac:dyDescent="0.3">
      <c r="F10081"/>
      <c r="G10081"/>
      <c r="H10081"/>
      <c r="I10081"/>
    </row>
    <row r="10082" spans="6:9" x14ac:dyDescent="0.3">
      <c r="F10082"/>
      <c r="G10082"/>
      <c r="H10082"/>
      <c r="I10082"/>
    </row>
    <row r="10083" spans="6:9" x14ac:dyDescent="0.3">
      <c r="F10083"/>
      <c r="G10083"/>
      <c r="H10083"/>
      <c r="I10083"/>
    </row>
    <row r="10084" spans="6:9" x14ac:dyDescent="0.3">
      <c r="F10084"/>
      <c r="G10084"/>
      <c r="H10084"/>
      <c r="I10084"/>
    </row>
    <row r="10085" spans="6:9" x14ac:dyDescent="0.3">
      <c r="F10085"/>
      <c r="G10085"/>
      <c r="H10085"/>
      <c r="I10085"/>
    </row>
    <row r="10086" spans="6:9" x14ac:dyDescent="0.3">
      <c r="F10086"/>
      <c r="G10086"/>
      <c r="H10086"/>
      <c r="I10086"/>
    </row>
    <row r="10087" spans="6:9" x14ac:dyDescent="0.3">
      <c r="F10087"/>
      <c r="G10087"/>
      <c r="H10087"/>
      <c r="I10087"/>
    </row>
    <row r="10088" spans="6:9" x14ac:dyDescent="0.3">
      <c r="F10088"/>
      <c r="G10088"/>
      <c r="H10088"/>
      <c r="I10088"/>
    </row>
    <row r="10089" spans="6:9" x14ac:dyDescent="0.3">
      <c r="F10089"/>
      <c r="G10089"/>
      <c r="H10089"/>
      <c r="I10089"/>
    </row>
    <row r="10090" spans="6:9" x14ac:dyDescent="0.3">
      <c r="F10090"/>
      <c r="G10090"/>
      <c r="H10090"/>
      <c r="I10090"/>
    </row>
    <row r="10091" spans="6:9" x14ac:dyDescent="0.3">
      <c r="F10091"/>
      <c r="G10091"/>
      <c r="H10091"/>
      <c r="I10091"/>
    </row>
    <row r="10092" spans="6:9" x14ac:dyDescent="0.3">
      <c r="F10092"/>
      <c r="G10092"/>
      <c r="H10092"/>
      <c r="I10092"/>
    </row>
    <row r="10093" spans="6:9" x14ac:dyDescent="0.3">
      <c r="F10093"/>
      <c r="G10093"/>
      <c r="H10093"/>
      <c r="I10093"/>
    </row>
    <row r="10094" spans="6:9" x14ac:dyDescent="0.3">
      <c r="F10094"/>
      <c r="G10094"/>
      <c r="H10094"/>
      <c r="I10094"/>
    </row>
    <row r="10095" spans="6:9" x14ac:dyDescent="0.3">
      <c r="F10095"/>
      <c r="G10095"/>
      <c r="H10095"/>
      <c r="I10095"/>
    </row>
    <row r="10096" spans="6:9" x14ac:dyDescent="0.3">
      <c r="F10096"/>
      <c r="G10096"/>
      <c r="H10096"/>
      <c r="I10096"/>
    </row>
    <row r="10097" spans="6:9" x14ac:dyDescent="0.3">
      <c r="F10097"/>
      <c r="G10097"/>
      <c r="H10097"/>
      <c r="I10097"/>
    </row>
    <row r="10098" spans="6:9" x14ac:dyDescent="0.3">
      <c r="F10098"/>
      <c r="G10098"/>
      <c r="H10098"/>
      <c r="I10098"/>
    </row>
    <row r="10099" spans="6:9" x14ac:dyDescent="0.3">
      <c r="F10099"/>
      <c r="G10099"/>
      <c r="H10099"/>
      <c r="I10099"/>
    </row>
    <row r="10100" spans="6:9" x14ac:dyDescent="0.3">
      <c r="F10100"/>
      <c r="G10100"/>
      <c r="H10100"/>
      <c r="I10100"/>
    </row>
    <row r="10101" spans="6:9" x14ac:dyDescent="0.3">
      <c r="F10101"/>
      <c r="G10101"/>
      <c r="H10101"/>
      <c r="I10101"/>
    </row>
    <row r="10102" spans="6:9" x14ac:dyDescent="0.3">
      <c r="F10102"/>
      <c r="G10102"/>
      <c r="H10102"/>
      <c r="I10102"/>
    </row>
    <row r="10103" spans="6:9" x14ac:dyDescent="0.3">
      <c r="F10103"/>
      <c r="G10103"/>
      <c r="H10103"/>
      <c r="I10103"/>
    </row>
    <row r="10104" spans="6:9" x14ac:dyDescent="0.3">
      <c r="F10104"/>
      <c r="G10104"/>
      <c r="H10104"/>
      <c r="I10104"/>
    </row>
    <row r="10105" spans="6:9" x14ac:dyDescent="0.3">
      <c r="F10105"/>
      <c r="G10105"/>
      <c r="H10105"/>
      <c r="I10105"/>
    </row>
    <row r="10106" spans="6:9" x14ac:dyDescent="0.3">
      <c r="F10106"/>
      <c r="G10106"/>
      <c r="H10106"/>
      <c r="I10106"/>
    </row>
    <row r="10107" spans="6:9" x14ac:dyDescent="0.3">
      <c r="F10107"/>
      <c r="G10107"/>
      <c r="H10107"/>
      <c r="I10107"/>
    </row>
    <row r="10108" spans="6:9" x14ac:dyDescent="0.3">
      <c r="F10108"/>
      <c r="G10108"/>
      <c r="H10108"/>
      <c r="I10108"/>
    </row>
    <row r="10109" spans="6:9" x14ac:dyDescent="0.3">
      <c r="F10109"/>
      <c r="G10109"/>
      <c r="H10109"/>
      <c r="I10109"/>
    </row>
    <row r="10110" spans="6:9" x14ac:dyDescent="0.3">
      <c r="F10110"/>
      <c r="G10110"/>
      <c r="H10110"/>
      <c r="I10110"/>
    </row>
    <row r="10111" spans="6:9" x14ac:dyDescent="0.3">
      <c r="F10111"/>
      <c r="G10111"/>
      <c r="H10111"/>
      <c r="I10111"/>
    </row>
    <row r="10112" spans="6:9" x14ac:dyDescent="0.3">
      <c r="F10112"/>
      <c r="G10112"/>
      <c r="H10112"/>
      <c r="I10112"/>
    </row>
    <row r="10113" spans="6:9" x14ac:dyDescent="0.3">
      <c r="F10113"/>
      <c r="G10113"/>
      <c r="H10113"/>
      <c r="I10113"/>
    </row>
    <row r="10114" spans="6:9" x14ac:dyDescent="0.3">
      <c r="F10114"/>
      <c r="G10114"/>
      <c r="H10114"/>
      <c r="I10114"/>
    </row>
    <row r="10115" spans="6:9" x14ac:dyDescent="0.3">
      <c r="F10115"/>
      <c r="G10115"/>
      <c r="H10115"/>
      <c r="I10115"/>
    </row>
    <row r="10116" spans="6:9" x14ac:dyDescent="0.3">
      <c r="F10116"/>
      <c r="G10116"/>
      <c r="H10116"/>
      <c r="I10116"/>
    </row>
    <row r="10117" spans="6:9" x14ac:dyDescent="0.3">
      <c r="F10117"/>
      <c r="G10117"/>
      <c r="H10117"/>
      <c r="I10117"/>
    </row>
    <row r="10118" spans="6:9" x14ac:dyDescent="0.3">
      <c r="F10118"/>
      <c r="G10118"/>
      <c r="H10118"/>
      <c r="I10118"/>
    </row>
    <row r="10119" spans="6:9" x14ac:dyDescent="0.3">
      <c r="F10119"/>
      <c r="G10119"/>
      <c r="H10119"/>
      <c r="I10119"/>
    </row>
    <row r="10120" spans="6:9" x14ac:dyDescent="0.3">
      <c r="F10120"/>
      <c r="G10120"/>
      <c r="H10120"/>
      <c r="I10120"/>
    </row>
    <row r="10121" spans="6:9" x14ac:dyDescent="0.3">
      <c r="F10121"/>
      <c r="G10121"/>
      <c r="H10121"/>
      <c r="I10121"/>
    </row>
    <row r="10122" spans="6:9" x14ac:dyDescent="0.3">
      <c r="F10122"/>
      <c r="G10122"/>
      <c r="H10122"/>
      <c r="I10122"/>
    </row>
    <row r="10123" spans="6:9" x14ac:dyDescent="0.3">
      <c r="F10123"/>
      <c r="G10123"/>
      <c r="H10123"/>
      <c r="I10123"/>
    </row>
    <row r="10124" spans="6:9" x14ac:dyDescent="0.3">
      <c r="F10124"/>
      <c r="G10124"/>
      <c r="H10124"/>
      <c r="I10124"/>
    </row>
    <row r="10125" spans="6:9" x14ac:dyDescent="0.3">
      <c r="F10125"/>
      <c r="G10125"/>
      <c r="H10125"/>
      <c r="I10125"/>
    </row>
    <row r="10126" spans="6:9" x14ac:dyDescent="0.3">
      <c r="F10126"/>
      <c r="G10126"/>
      <c r="H10126"/>
      <c r="I10126"/>
    </row>
    <row r="10127" spans="6:9" x14ac:dyDescent="0.3">
      <c r="F10127"/>
      <c r="G10127"/>
      <c r="H10127"/>
      <c r="I10127"/>
    </row>
    <row r="10128" spans="6:9" x14ac:dyDescent="0.3">
      <c r="F10128"/>
      <c r="G10128"/>
      <c r="H10128"/>
      <c r="I10128"/>
    </row>
    <row r="10129" spans="6:9" x14ac:dyDescent="0.3">
      <c r="F10129"/>
      <c r="G10129"/>
      <c r="H10129"/>
      <c r="I10129"/>
    </row>
    <row r="10130" spans="6:9" x14ac:dyDescent="0.3">
      <c r="F10130"/>
      <c r="G10130"/>
      <c r="H10130"/>
      <c r="I10130"/>
    </row>
    <row r="10131" spans="6:9" x14ac:dyDescent="0.3">
      <c r="F10131"/>
      <c r="G10131"/>
      <c r="H10131"/>
      <c r="I10131"/>
    </row>
    <row r="10132" spans="6:9" x14ac:dyDescent="0.3">
      <c r="F10132"/>
      <c r="G10132"/>
      <c r="H10132"/>
      <c r="I10132"/>
    </row>
    <row r="10133" spans="6:9" x14ac:dyDescent="0.3">
      <c r="F10133"/>
      <c r="G10133"/>
      <c r="H10133"/>
      <c r="I10133"/>
    </row>
    <row r="10134" spans="6:9" x14ac:dyDescent="0.3">
      <c r="F10134"/>
      <c r="G10134"/>
      <c r="H10134"/>
      <c r="I10134"/>
    </row>
    <row r="10135" spans="6:9" x14ac:dyDescent="0.3">
      <c r="F10135"/>
      <c r="G10135"/>
      <c r="H10135"/>
      <c r="I10135"/>
    </row>
    <row r="10136" spans="6:9" x14ac:dyDescent="0.3">
      <c r="F10136"/>
      <c r="G10136"/>
      <c r="H10136"/>
      <c r="I10136"/>
    </row>
    <row r="10137" spans="6:9" x14ac:dyDescent="0.3">
      <c r="F10137"/>
      <c r="G10137"/>
      <c r="H10137"/>
      <c r="I10137"/>
    </row>
    <row r="10138" spans="6:9" x14ac:dyDescent="0.3">
      <c r="F10138"/>
      <c r="G10138"/>
      <c r="H10138"/>
      <c r="I10138"/>
    </row>
    <row r="10139" spans="6:9" x14ac:dyDescent="0.3">
      <c r="F10139"/>
      <c r="G10139"/>
      <c r="H10139"/>
      <c r="I10139"/>
    </row>
    <row r="10140" spans="6:9" x14ac:dyDescent="0.3">
      <c r="F10140"/>
      <c r="G10140"/>
      <c r="H10140"/>
      <c r="I10140"/>
    </row>
    <row r="10141" spans="6:9" x14ac:dyDescent="0.3">
      <c r="F10141"/>
      <c r="G10141"/>
      <c r="H10141"/>
      <c r="I10141"/>
    </row>
    <row r="10142" spans="6:9" x14ac:dyDescent="0.3">
      <c r="F10142"/>
      <c r="G10142"/>
      <c r="H10142"/>
      <c r="I10142"/>
    </row>
    <row r="10143" spans="6:9" x14ac:dyDescent="0.3">
      <c r="F10143"/>
      <c r="G10143"/>
      <c r="H10143"/>
      <c r="I10143"/>
    </row>
    <row r="10144" spans="6:9" x14ac:dyDescent="0.3">
      <c r="F10144"/>
      <c r="G10144"/>
      <c r="H10144"/>
      <c r="I10144"/>
    </row>
    <row r="10145" spans="6:9" x14ac:dyDescent="0.3">
      <c r="F10145"/>
      <c r="G10145"/>
      <c r="H10145"/>
      <c r="I10145"/>
    </row>
    <row r="10146" spans="6:9" x14ac:dyDescent="0.3">
      <c r="F10146"/>
      <c r="G10146"/>
      <c r="H10146"/>
      <c r="I10146"/>
    </row>
    <row r="10147" spans="6:9" x14ac:dyDescent="0.3">
      <c r="F10147"/>
      <c r="G10147"/>
      <c r="H10147"/>
      <c r="I10147"/>
    </row>
    <row r="10148" spans="6:9" x14ac:dyDescent="0.3">
      <c r="F10148"/>
      <c r="G10148"/>
      <c r="H10148"/>
      <c r="I10148"/>
    </row>
    <row r="10149" spans="6:9" x14ac:dyDescent="0.3">
      <c r="F10149"/>
      <c r="G10149"/>
      <c r="H10149"/>
      <c r="I10149"/>
    </row>
    <row r="10150" spans="6:9" x14ac:dyDescent="0.3">
      <c r="F10150"/>
      <c r="G10150"/>
      <c r="H10150"/>
      <c r="I10150"/>
    </row>
    <row r="10151" spans="6:9" x14ac:dyDescent="0.3">
      <c r="F10151"/>
      <c r="G10151"/>
      <c r="H10151"/>
      <c r="I10151"/>
    </row>
    <row r="10152" spans="6:9" x14ac:dyDescent="0.3">
      <c r="F10152"/>
      <c r="G10152"/>
      <c r="H10152"/>
      <c r="I10152"/>
    </row>
    <row r="10153" spans="6:9" x14ac:dyDescent="0.3">
      <c r="F10153"/>
      <c r="G10153"/>
      <c r="H10153"/>
      <c r="I10153"/>
    </row>
    <row r="10154" spans="6:9" x14ac:dyDescent="0.3">
      <c r="F10154"/>
      <c r="G10154"/>
      <c r="H10154"/>
      <c r="I10154"/>
    </row>
    <row r="10155" spans="6:9" x14ac:dyDescent="0.3">
      <c r="F10155"/>
      <c r="G10155"/>
      <c r="H10155"/>
      <c r="I10155"/>
    </row>
    <row r="10156" spans="6:9" x14ac:dyDescent="0.3">
      <c r="F10156"/>
      <c r="G10156"/>
      <c r="H10156"/>
      <c r="I10156"/>
    </row>
    <row r="10157" spans="6:9" x14ac:dyDescent="0.3">
      <c r="F10157"/>
      <c r="G10157"/>
      <c r="H10157"/>
      <c r="I10157"/>
    </row>
    <row r="10158" spans="6:9" x14ac:dyDescent="0.3">
      <c r="F10158"/>
      <c r="G10158"/>
      <c r="H10158"/>
      <c r="I10158"/>
    </row>
    <row r="10159" spans="6:9" x14ac:dyDescent="0.3">
      <c r="F10159"/>
      <c r="G10159"/>
      <c r="H10159"/>
      <c r="I10159"/>
    </row>
    <row r="10160" spans="6:9" x14ac:dyDescent="0.3">
      <c r="F10160"/>
      <c r="G10160"/>
      <c r="H10160"/>
      <c r="I10160"/>
    </row>
    <row r="10161" spans="6:9" x14ac:dyDescent="0.3">
      <c r="F10161"/>
      <c r="G10161"/>
      <c r="H10161"/>
      <c r="I10161"/>
    </row>
    <row r="10162" spans="6:9" x14ac:dyDescent="0.3">
      <c r="F10162"/>
      <c r="G10162"/>
      <c r="H10162"/>
      <c r="I10162"/>
    </row>
    <row r="10163" spans="6:9" x14ac:dyDescent="0.3">
      <c r="F10163"/>
      <c r="G10163"/>
      <c r="H10163"/>
      <c r="I10163"/>
    </row>
    <row r="10164" spans="6:9" x14ac:dyDescent="0.3">
      <c r="F10164"/>
      <c r="G10164"/>
      <c r="H10164"/>
      <c r="I10164"/>
    </row>
    <row r="10165" spans="6:9" x14ac:dyDescent="0.3">
      <c r="F10165"/>
      <c r="G10165"/>
      <c r="H10165"/>
      <c r="I10165"/>
    </row>
    <row r="10166" spans="6:9" x14ac:dyDescent="0.3">
      <c r="F10166"/>
      <c r="G10166"/>
      <c r="H10166"/>
      <c r="I10166"/>
    </row>
    <row r="10167" spans="6:9" x14ac:dyDescent="0.3">
      <c r="F10167"/>
      <c r="G10167"/>
      <c r="H10167"/>
      <c r="I10167"/>
    </row>
    <row r="10168" spans="6:9" x14ac:dyDescent="0.3">
      <c r="F10168"/>
      <c r="G10168"/>
      <c r="H10168"/>
      <c r="I10168"/>
    </row>
    <row r="10169" spans="6:9" x14ac:dyDescent="0.3">
      <c r="F10169"/>
      <c r="G10169"/>
      <c r="H10169"/>
      <c r="I10169"/>
    </row>
    <row r="10170" spans="6:9" x14ac:dyDescent="0.3">
      <c r="F10170"/>
      <c r="G10170"/>
      <c r="H10170"/>
      <c r="I10170"/>
    </row>
    <row r="10171" spans="6:9" x14ac:dyDescent="0.3">
      <c r="F10171"/>
      <c r="G10171"/>
      <c r="H10171"/>
      <c r="I10171"/>
    </row>
    <row r="10172" spans="6:9" x14ac:dyDescent="0.3">
      <c r="F10172"/>
      <c r="G10172"/>
      <c r="H10172"/>
      <c r="I10172"/>
    </row>
    <row r="10173" spans="6:9" x14ac:dyDescent="0.3">
      <c r="F10173"/>
      <c r="G10173"/>
      <c r="H10173"/>
      <c r="I10173"/>
    </row>
    <row r="10174" spans="6:9" x14ac:dyDescent="0.3">
      <c r="F10174"/>
      <c r="G10174"/>
      <c r="H10174"/>
      <c r="I10174"/>
    </row>
    <row r="10175" spans="6:9" x14ac:dyDescent="0.3">
      <c r="F10175"/>
      <c r="G10175"/>
      <c r="H10175"/>
      <c r="I10175"/>
    </row>
    <row r="10176" spans="6:9" x14ac:dyDescent="0.3">
      <c r="F10176"/>
      <c r="G10176"/>
      <c r="H10176"/>
      <c r="I10176"/>
    </row>
    <row r="10177" spans="6:9" x14ac:dyDescent="0.3">
      <c r="F10177"/>
      <c r="G10177"/>
      <c r="H10177"/>
      <c r="I10177"/>
    </row>
    <row r="10178" spans="6:9" x14ac:dyDescent="0.3">
      <c r="F10178"/>
      <c r="G10178"/>
      <c r="H10178"/>
      <c r="I10178"/>
    </row>
    <row r="10179" spans="6:9" x14ac:dyDescent="0.3">
      <c r="F10179"/>
      <c r="G10179"/>
      <c r="H10179"/>
      <c r="I10179"/>
    </row>
    <row r="10180" spans="6:9" x14ac:dyDescent="0.3">
      <c r="F10180"/>
      <c r="G10180"/>
      <c r="H10180"/>
      <c r="I10180"/>
    </row>
    <row r="10181" spans="6:9" x14ac:dyDescent="0.3">
      <c r="F10181"/>
      <c r="G10181"/>
      <c r="H10181"/>
      <c r="I10181"/>
    </row>
    <row r="10182" spans="6:9" x14ac:dyDescent="0.3">
      <c r="F10182"/>
      <c r="G10182"/>
      <c r="H10182"/>
      <c r="I10182"/>
    </row>
    <row r="10183" spans="6:9" x14ac:dyDescent="0.3">
      <c r="F10183"/>
      <c r="G10183"/>
      <c r="H10183"/>
      <c r="I10183"/>
    </row>
    <row r="10184" spans="6:9" x14ac:dyDescent="0.3">
      <c r="F10184"/>
      <c r="G10184"/>
      <c r="H10184"/>
      <c r="I10184"/>
    </row>
    <row r="10185" spans="6:9" x14ac:dyDescent="0.3">
      <c r="F10185"/>
      <c r="G10185"/>
      <c r="H10185"/>
      <c r="I10185"/>
    </row>
    <row r="10186" spans="6:9" x14ac:dyDescent="0.3">
      <c r="F10186"/>
      <c r="G10186"/>
      <c r="H10186"/>
      <c r="I10186"/>
    </row>
    <row r="10187" spans="6:9" x14ac:dyDescent="0.3">
      <c r="F10187"/>
      <c r="G10187"/>
      <c r="H10187"/>
      <c r="I10187"/>
    </row>
    <row r="10188" spans="6:9" x14ac:dyDescent="0.3">
      <c r="F10188"/>
      <c r="G10188"/>
      <c r="H10188"/>
      <c r="I10188"/>
    </row>
    <row r="10189" spans="6:9" x14ac:dyDescent="0.3">
      <c r="F10189"/>
      <c r="G10189"/>
      <c r="H10189"/>
      <c r="I10189"/>
    </row>
    <row r="10190" spans="6:9" x14ac:dyDescent="0.3">
      <c r="F10190"/>
      <c r="G10190"/>
      <c r="H10190"/>
      <c r="I10190"/>
    </row>
    <row r="10191" spans="6:9" x14ac:dyDescent="0.3">
      <c r="F10191"/>
      <c r="G10191"/>
      <c r="H10191"/>
      <c r="I10191"/>
    </row>
    <row r="10192" spans="6:9" x14ac:dyDescent="0.3">
      <c r="F10192"/>
      <c r="G10192"/>
      <c r="H10192"/>
      <c r="I10192"/>
    </row>
    <row r="10193" spans="6:9" x14ac:dyDescent="0.3">
      <c r="F10193"/>
      <c r="G10193"/>
      <c r="H10193"/>
      <c r="I10193"/>
    </row>
    <row r="10194" spans="6:9" x14ac:dyDescent="0.3">
      <c r="F10194"/>
      <c r="G10194"/>
      <c r="H10194"/>
      <c r="I10194"/>
    </row>
    <row r="10195" spans="6:9" x14ac:dyDescent="0.3">
      <c r="F10195"/>
      <c r="G10195"/>
      <c r="H10195"/>
      <c r="I10195"/>
    </row>
    <row r="10196" spans="6:9" x14ac:dyDescent="0.3">
      <c r="F10196"/>
      <c r="G10196"/>
      <c r="H10196"/>
      <c r="I10196"/>
    </row>
    <row r="10197" spans="6:9" x14ac:dyDescent="0.3">
      <c r="F10197"/>
      <c r="G10197"/>
      <c r="H10197"/>
      <c r="I10197"/>
    </row>
    <row r="10198" spans="6:9" x14ac:dyDescent="0.3">
      <c r="F10198"/>
      <c r="G10198"/>
      <c r="H10198"/>
      <c r="I10198"/>
    </row>
    <row r="10199" spans="6:9" x14ac:dyDescent="0.3">
      <c r="F10199"/>
      <c r="G10199"/>
      <c r="H10199"/>
      <c r="I10199"/>
    </row>
    <row r="10200" spans="6:9" x14ac:dyDescent="0.3">
      <c r="F10200"/>
      <c r="G10200"/>
      <c r="H10200"/>
      <c r="I10200"/>
    </row>
    <row r="10201" spans="6:9" x14ac:dyDescent="0.3">
      <c r="F10201"/>
      <c r="G10201"/>
      <c r="H10201"/>
      <c r="I10201"/>
    </row>
    <row r="10202" spans="6:9" x14ac:dyDescent="0.3">
      <c r="F10202"/>
      <c r="G10202"/>
      <c r="H10202"/>
      <c r="I10202"/>
    </row>
    <row r="10203" spans="6:9" x14ac:dyDescent="0.3">
      <c r="F10203"/>
      <c r="G10203"/>
      <c r="H10203"/>
      <c r="I10203"/>
    </row>
    <row r="10204" spans="6:9" x14ac:dyDescent="0.3">
      <c r="F10204"/>
      <c r="G10204"/>
      <c r="H10204"/>
      <c r="I10204"/>
    </row>
    <row r="10205" spans="6:9" x14ac:dyDescent="0.3">
      <c r="F10205"/>
      <c r="G10205"/>
      <c r="H10205"/>
      <c r="I10205"/>
    </row>
    <row r="10206" spans="6:9" x14ac:dyDescent="0.3">
      <c r="F10206"/>
      <c r="G10206"/>
      <c r="H10206"/>
      <c r="I10206"/>
    </row>
    <row r="10207" spans="6:9" x14ac:dyDescent="0.3">
      <c r="F10207"/>
      <c r="G10207"/>
      <c r="H10207"/>
      <c r="I10207"/>
    </row>
    <row r="10208" spans="6:9" x14ac:dyDescent="0.3">
      <c r="F10208"/>
      <c r="G10208"/>
      <c r="H10208"/>
      <c r="I10208"/>
    </row>
    <row r="10209" spans="6:9" x14ac:dyDescent="0.3">
      <c r="F10209"/>
      <c r="G10209"/>
      <c r="H10209"/>
      <c r="I10209"/>
    </row>
    <row r="10210" spans="6:9" x14ac:dyDescent="0.3">
      <c r="F10210"/>
      <c r="G10210"/>
      <c r="H10210"/>
      <c r="I10210"/>
    </row>
    <row r="10211" spans="6:9" x14ac:dyDescent="0.3">
      <c r="F10211"/>
      <c r="G10211"/>
      <c r="H10211"/>
      <c r="I10211"/>
    </row>
    <row r="10212" spans="6:9" x14ac:dyDescent="0.3">
      <c r="F10212"/>
      <c r="G10212"/>
      <c r="H10212"/>
      <c r="I10212"/>
    </row>
    <row r="10213" spans="6:9" x14ac:dyDescent="0.3">
      <c r="F10213"/>
      <c r="G10213"/>
      <c r="H10213"/>
      <c r="I10213"/>
    </row>
    <row r="10214" spans="6:9" x14ac:dyDescent="0.3">
      <c r="F10214"/>
      <c r="G10214"/>
      <c r="H10214"/>
      <c r="I10214"/>
    </row>
    <row r="10215" spans="6:9" x14ac:dyDescent="0.3">
      <c r="F10215"/>
      <c r="G10215"/>
      <c r="H10215"/>
      <c r="I10215"/>
    </row>
    <row r="10216" spans="6:9" x14ac:dyDescent="0.3">
      <c r="F10216"/>
      <c r="G10216"/>
      <c r="H10216"/>
      <c r="I10216"/>
    </row>
    <row r="10217" spans="6:9" x14ac:dyDescent="0.3">
      <c r="F10217"/>
      <c r="G10217"/>
      <c r="H10217"/>
      <c r="I10217"/>
    </row>
    <row r="10218" spans="6:9" x14ac:dyDescent="0.3">
      <c r="F10218"/>
      <c r="G10218"/>
      <c r="H10218"/>
      <c r="I10218"/>
    </row>
    <row r="10219" spans="6:9" x14ac:dyDescent="0.3">
      <c r="F10219"/>
      <c r="G10219"/>
      <c r="H10219"/>
      <c r="I10219"/>
    </row>
    <row r="10220" spans="6:9" x14ac:dyDescent="0.3">
      <c r="F10220"/>
      <c r="G10220"/>
      <c r="H10220"/>
      <c r="I10220"/>
    </row>
    <row r="10221" spans="6:9" x14ac:dyDescent="0.3">
      <c r="F10221"/>
      <c r="G10221"/>
      <c r="H10221"/>
      <c r="I10221"/>
    </row>
    <row r="10222" spans="6:9" x14ac:dyDescent="0.3">
      <c r="F10222"/>
      <c r="G10222"/>
      <c r="H10222"/>
      <c r="I10222"/>
    </row>
    <row r="10223" spans="6:9" x14ac:dyDescent="0.3">
      <c r="F10223"/>
      <c r="G10223"/>
      <c r="H10223"/>
      <c r="I10223"/>
    </row>
    <row r="10224" spans="6:9" x14ac:dyDescent="0.3">
      <c r="F10224"/>
      <c r="G10224"/>
      <c r="H10224"/>
      <c r="I10224"/>
    </row>
    <row r="10225" spans="6:9" x14ac:dyDescent="0.3">
      <c r="F10225"/>
      <c r="G10225"/>
      <c r="H10225"/>
      <c r="I10225"/>
    </row>
    <row r="10226" spans="6:9" x14ac:dyDescent="0.3">
      <c r="F10226"/>
      <c r="G10226"/>
      <c r="H10226"/>
      <c r="I10226"/>
    </row>
    <row r="10227" spans="6:9" x14ac:dyDescent="0.3">
      <c r="F10227"/>
      <c r="G10227"/>
      <c r="H10227"/>
      <c r="I10227"/>
    </row>
    <row r="10228" spans="6:9" x14ac:dyDescent="0.3">
      <c r="F10228"/>
      <c r="G10228"/>
      <c r="H10228"/>
      <c r="I10228"/>
    </row>
    <row r="10229" spans="6:9" x14ac:dyDescent="0.3">
      <c r="F10229"/>
      <c r="G10229"/>
      <c r="H10229"/>
      <c r="I10229"/>
    </row>
    <row r="10230" spans="6:9" x14ac:dyDescent="0.3">
      <c r="F10230"/>
      <c r="G10230"/>
      <c r="H10230"/>
      <c r="I10230"/>
    </row>
    <row r="10231" spans="6:9" x14ac:dyDescent="0.3">
      <c r="F10231"/>
      <c r="G10231"/>
      <c r="H10231"/>
      <c r="I10231"/>
    </row>
    <row r="10232" spans="6:9" x14ac:dyDescent="0.3">
      <c r="F10232"/>
      <c r="G10232"/>
      <c r="H10232"/>
      <c r="I10232"/>
    </row>
    <row r="10233" spans="6:9" x14ac:dyDescent="0.3">
      <c r="F10233"/>
      <c r="G10233"/>
      <c r="H10233"/>
      <c r="I10233"/>
    </row>
    <row r="10234" spans="6:9" x14ac:dyDescent="0.3">
      <c r="F10234"/>
      <c r="G10234"/>
      <c r="H10234"/>
      <c r="I10234"/>
    </row>
    <row r="10235" spans="6:9" x14ac:dyDescent="0.3">
      <c r="F10235"/>
      <c r="G10235"/>
      <c r="H10235"/>
      <c r="I10235"/>
    </row>
    <row r="10236" spans="6:9" x14ac:dyDescent="0.3">
      <c r="F10236"/>
      <c r="G10236"/>
      <c r="H10236"/>
      <c r="I10236"/>
    </row>
    <row r="10237" spans="6:9" x14ac:dyDescent="0.3">
      <c r="F10237"/>
      <c r="G10237"/>
      <c r="H10237"/>
      <c r="I10237"/>
    </row>
    <row r="10238" spans="6:9" x14ac:dyDescent="0.3">
      <c r="F10238"/>
      <c r="G10238"/>
      <c r="H10238"/>
      <c r="I10238"/>
    </row>
    <row r="10239" spans="6:9" x14ac:dyDescent="0.3">
      <c r="F10239"/>
      <c r="G10239"/>
      <c r="H10239"/>
      <c r="I10239"/>
    </row>
    <row r="10240" spans="6:9" x14ac:dyDescent="0.3">
      <c r="F10240"/>
      <c r="G10240"/>
      <c r="H10240"/>
      <c r="I10240"/>
    </row>
    <row r="10241" spans="6:9" x14ac:dyDescent="0.3">
      <c r="F10241"/>
      <c r="G10241"/>
      <c r="H10241"/>
      <c r="I10241"/>
    </row>
    <row r="10242" spans="6:9" x14ac:dyDescent="0.3">
      <c r="F10242"/>
      <c r="G10242"/>
      <c r="H10242"/>
      <c r="I10242"/>
    </row>
    <row r="10243" spans="6:9" x14ac:dyDescent="0.3">
      <c r="F10243"/>
      <c r="G10243"/>
      <c r="H10243"/>
      <c r="I10243"/>
    </row>
    <row r="10244" spans="6:9" x14ac:dyDescent="0.3">
      <c r="F10244"/>
      <c r="G10244"/>
      <c r="H10244"/>
      <c r="I10244"/>
    </row>
    <row r="10245" spans="6:9" x14ac:dyDescent="0.3">
      <c r="F10245"/>
      <c r="G10245"/>
      <c r="H10245"/>
      <c r="I10245"/>
    </row>
    <row r="10246" spans="6:9" x14ac:dyDescent="0.3">
      <c r="F10246"/>
      <c r="G10246"/>
      <c r="H10246"/>
      <c r="I10246"/>
    </row>
    <row r="10247" spans="6:9" x14ac:dyDescent="0.3">
      <c r="F10247"/>
      <c r="G10247"/>
      <c r="H10247"/>
      <c r="I10247"/>
    </row>
    <row r="10248" spans="6:9" x14ac:dyDescent="0.3">
      <c r="F10248"/>
      <c r="G10248"/>
      <c r="H10248"/>
      <c r="I10248"/>
    </row>
    <row r="10249" spans="6:9" x14ac:dyDescent="0.3">
      <c r="F10249"/>
      <c r="G10249"/>
      <c r="H10249"/>
      <c r="I10249"/>
    </row>
    <row r="10250" spans="6:9" x14ac:dyDescent="0.3">
      <c r="F10250"/>
      <c r="G10250"/>
      <c r="H10250"/>
      <c r="I10250"/>
    </row>
    <row r="10251" spans="6:9" x14ac:dyDescent="0.3">
      <c r="F10251"/>
      <c r="G10251"/>
      <c r="H10251"/>
      <c r="I10251"/>
    </row>
    <row r="10252" spans="6:9" x14ac:dyDescent="0.3">
      <c r="F10252"/>
      <c r="G10252"/>
      <c r="H10252"/>
      <c r="I10252"/>
    </row>
    <row r="10253" spans="6:9" x14ac:dyDescent="0.3">
      <c r="F10253"/>
      <c r="G10253"/>
      <c r="H10253"/>
      <c r="I10253"/>
    </row>
    <row r="10254" spans="6:9" x14ac:dyDescent="0.3">
      <c r="F10254"/>
      <c r="G10254"/>
      <c r="H10254"/>
      <c r="I10254"/>
    </row>
    <row r="10255" spans="6:9" x14ac:dyDescent="0.3">
      <c r="F10255"/>
      <c r="G10255"/>
      <c r="H10255"/>
      <c r="I10255"/>
    </row>
    <row r="10256" spans="6:9" x14ac:dyDescent="0.3">
      <c r="F10256"/>
      <c r="G10256"/>
      <c r="H10256"/>
      <c r="I10256"/>
    </row>
    <row r="10257" spans="6:9" x14ac:dyDescent="0.3">
      <c r="F10257"/>
      <c r="G10257"/>
      <c r="H10257"/>
      <c r="I10257"/>
    </row>
    <row r="10258" spans="6:9" x14ac:dyDescent="0.3">
      <c r="F10258"/>
      <c r="G10258"/>
      <c r="H10258"/>
      <c r="I10258"/>
    </row>
    <row r="10259" spans="6:9" x14ac:dyDescent="0.3">
      <c r="F10259"/>
      <c r="G10259"/>
      <c r="H10259"/>
      <c r="I10259"/>
    </row>
    <row r="10260" spans="6:9" x14ac:dyDescent="0.3">
      <c r="F10260"/>
      <c r="G10260"/>
      <c r="H10260"/>
      <c r="I10260"/>
    </row>
    <row r="10261" spans="6:9" x14ac:dyDescent="0.3">
      <c r="F10261"/>
      <c r="G10261"/>
      <c r="H10261"/>
      <c r="I10261"/>
    </row>
    <row r="10262" spans="6:9" x14ac:dyDescent="0.3">
      <c r="F10262"/>
      <c r="G10262"/>
      <c r="H10262"/>
      <c r="I10262"/>
    </row>
    <row r="10263" spans="6:9" x14ac:dyDescent="0.3">
      <c r="F10263"/>
      <c r="G10263"/>
      <c r="H10263"/>
      <c r="I10263"/>
    </row>
    <row r="10264" spans="6:9" x14ac:dyDescent="0.3">
      <c r="F10264"/>
      <c r="G10264"/>
      <c r="H10264"/>
      <c r="I10264"/>
    </row>
    <row r="10265" spans="6:9" x14ac:dyDescent="0.3">
      <c r="F10265"/>
      <c r="G10265"/>
      <c r="H10265"/>
      <c r="I10265"/>
    </row>
    <row r="10266" spans="6:9" x14ac:dyDescent="0.3">
      <c r="F10266"/>
      <c r="G10266"/>
      <c r="H10266"/>
      <c r="I10266"/>
    </row>
    <row r="10267" spans="6:9" x14ac:dyDescent="0.3">
      <c r="F10267"/>
      <c r="G10267"/>
      <c r="H10267"/>
      <c r="I10267"/>
    </row>
    <row r="10268" spans="6:9" x14ac:dyDescent="0.3">
      <c r="F10268"/>
      <c r="G10268"/>
      <c r="H10268"/>
      <c r="I10268"/>
    </row>
    <row r="10269" spans="6:9" x14ac:dyDescent="0.3">
      <c r="F10269"/>
      <c r="G10269"/>
      <c r="H10269"/>
      <c r="I10269"/>
    </row>
    <row r="10270" spans="6:9" x14ac:dyDescent="0.3">
      <c r="F10270"/>
      <c r="G10270"/>
      <c r="H10270"/>
      <c r="I10270"/>
    </row>
    <row r="10271" spans="6:9" x14ac:dyDescent="0.3">
      <c r="F10271"/>
      <c r="G10271"/>
      <c r="H10271"/>
      <c r="I10271"/>
    </row>
    <row r="10272" spans="6:9" x14ac:dyDescent="0.3">
      <c r="F10272"/>
      <c r="G10272"/>
      <c r="H10272"/>
      <c r="I10272"/>
    </row>
    <row r="10273" spans="6:9" x14ac:dyDescent="0.3">
      <c r="F10273"/>
      <c r="G10273"/>
      <c r="H10273"/>
      <c r="I10273"/>
    </row>
    <row r="10274" spans="6:9" x14ac:dyDescent="0.3">
      <c r="F10274"/>
      <c r="G10274"/>
      <c r="H10274"/>
      <c r="I10274"/>
    </row>
    <row r="10275" spans="6:9" x14ac:dyDescent="0.3">
      <c r="F10275"/>
      <c r="G10275"/>
      <c r="H10275"/>
      <c r="I10275"/>
    </row>
    <row r="10276" spans="6:9" x14ac:dyDescent="0.3">
      <c r="F10276"/>
      <c r="G10276"/>
      <c r="H10276"/>
      <c r="I10276"/>
    </row>
    <row r="10277" spans="6:9" x14ac:dyDescent="0.3">
      <c r="F10277"/>
      <c r="G10277"/>
      <c r="H10277"/>
      <c r="I10277"/>
    </row>
    <row r="10278" spans="6:9" x14ac:dyDescent="0.3">
      <c r="F10278"/>
      <c r="G10278"/>
      <c r="H10278"/>
      <c r="I10278"/>
    </row>
    <row r="10279" spans="6:9" x14ac:dyDescent="0.3">
      <c r="F10279"/>
      <c r="G10279"/>
      <c r="H10279"/>
      <c r="I10279"/>
    </row>
    <row r="10280" spans="6:9" x14ac:dyDescent="0.3">
      <c r="F10280"/>
      <c r="G10280"/>
      <c r="H10280"/>
      <c r="I10280"/>
    </row>
    <row r="10281" spans="6:9" x14ac:dyDescent="0.3">
      <c r="F10281"/>
      <c r="G10281"/>
      <c r="H10281"/>
      <c r="I10281"/>
    </row>
    <row r="10282" spans="6:9" x14ac:dyDescent="0.3">
      <c r="F10282"/>
      <c r="G10282"/>
      <c r="H10282"/>
      <c r="I10282"/>
    </row>
    <row r="10283" spans="6:9" x14ac:dyDescent="0.3">
      <c r="F10283"/>
      <c r="G10283"/>
      <c r="H10283"/>
      <c r="I10283"/>
    </row>
    <row r="10284" spans="6:9" x14ac:dyDescent="0.3">
      <c r="F10284"/>
      <c r="G10284"/>
      <c r="H10284"/>
      <c r="I10284"/>
    </row>
    <row r="10285" spans="6:9" x14ac:dyDescent="0.3">
      <c r="F10285"/>
      <c r="G10285"/>
      <c r="H10285"/>
      <c r="I10285"/>
    </row>
    <row r="10286" spans="6:9" x14ac:dyDescent="0.3">
      <c r="F10286"/>
      <c r="G10286"/>
      <c r="H10286"/>
      <c r="I10286"/>
    </row>
    <row r="10287" spans="6:9" x14ac:dyDescent="0.3">
      <c r="F10287"/>
      <c r="G10287"/>
      <c r="H10287"/>
      <c r="I10287"/>
    </row>
    <row r="10288" spans="6:9" x14ac:dyDescent="0.3">
      <c r="F10288"/>
      <c r="G10288"/>
      <c r="H10288"/>
      <c r="I10288"/>
    </row>
    <row r="10289" spans="6:9" x14ac:dyDescent="0.3">
      <c r="F10289"/>
      <c r="G10289"/>
      <c r="H10289"/>
      <c r="I10289"/>
    </row>
    <row r="10290" spans="6:9" x14ac:dyDescent="0.3">
      <c r="F10290"/>
      <c r="G10290"/>
      <c r="H10290"/>
      <c r="I10290"/>
    </row>
    <row r="10291" spans="6:9" x14ac:dyDescent="0.3">
      <c r="F10291"/>
      <c r="G10291"/>
      <c r="H10291"/>
      <c r="I10291"/>
    </row>
    <row r="10292" spans="6:9" x14ac:dyDescent="0.3">
      <c r="F10292"/>
      <c r="G10292"/>
      <c r="H10292"/>
      <c r="I10292"/>
    </row>
    <row r="10293" spans="6:9" x14ac:dyDescent="0.3">
      <c r="F10293"/>
      <c r="G10293"/>
      <c r="H10293"/>
      <c r="I10293"/>
    </row>
    <row r="10294" spans="6:9" x14ac:dyDescent="0.3">
      <c r="F10294"/>
      <c r="G10294"/>
      <c r="H10294"/>
      <c r="I10294"/>
    </row>
    <row r="10295" spans="6:9" x14ac:dyDescent="0.3">
      <c r="F10295"/>
      <c r="G10295"/>
      <c r="H10295"/>
      <c r="I10295"/>
    </row>
    <row r="10296" spans="6:9" x14ac:dyDescent="0.3">
      <c r="F10296"/>
      <c r="G10296"/>
      <c r="H10296"/>
      <c r="I10296"/>
    </row>
    <row r="10297" spans="6:9" x14ac:dyDescent="0.3">
      <c r="F10297"/>
      <c r="G10297"/>
      <c r="H10297"/>
      <c r="I10297"/>
    </row>
    <row r="10298" spans="6:9" x14ac:dyDescent="0.3">
      <c r="F10298"/>
      <c r="G10298"/>
      <c r="H10298"/>
      <c r="I10298"/>
    </row>
    <row r="10299" spans="6:9" x14ac:dyDescent="0.3">
      <c r="F10299"/>
      <c r="G10299"/>
      <c r="H10299"/>
      <c r="I10299"/>
    </row>
    <row r="10300" spans="6:9" x14ac:dyDescent="0.3">
      <c r="F10300"/>
      <c r="G10300"/>
      <c r="H10300"/>
      <c r="I10300"/>
    </row>
    <row r="10301" spans="6:9" x14ac:dyDescent="0.3">
      <c r="F10301"/>
      <c r="G10301"/>
      <c r="H10301"/>
      <c r="I10301"/>
    </row>
    <row r="10302" spans="6:9" x14ac:dyDescent="0.3">
      <c r="F10302"/>
      <c r="G10302"/>
      <c r="H10302"/>
      <c r="I10302"/>
    </row>
    <row r="10303" spans="6:9" x14ac:dyDescent="0.3">
      <c r="F10303"/>
      <c r="G10303"/>
      <c r="H10303"/>
      <c r="I10303"/>
    </row>
    <row r="10304" spans="6:9" x14ac:dyDescent="0.3">
      <c r="F10304"/>
      <c r="G10304"/>
      <c r="H10304"/>
      <c r="I10304"/>
    </row>
    <row r="10305" spans="6:9" x14ac:dyDescent="0.3">
      <c r="F10305"/>
      <c r="G10305"/>
      <c r="H10305"/>
      <c r="I10305"/>
    </row>
    <row r="10306" spans="6:9" x14ac:dyDescent="0.3">
      <c r="F10306"/>
      <c r="G10306"/>
      <c r="H10306"/>
      <c r="I10306"/>
    </row>
    <row r="10307" spans="6:9" x14ac:dyDescent="0.3">
      <c r="F10307"/>
      <c r="G10307"/>
      <c r="H10307"/>
      <c r="I10307"/>
    </row>
    <row r="10308" spans="6:9" x14ac:dyDescent="0.3">
      <c r="F10308"/>
      <c r="G10308"/>
      <c r="H10308"/>
      <c r="I10308"/>
    </row>
    <row r="10309" spans="6:9" x14ac:dyDescent="0.3">
      <c r="F10309"/>
      <c r="G10309"/>
      <c r="H10309"/>
      <c r="I10309"/>
    </row>
    <row r="10310" spans="6:9" x14ac:dyDescent="0.3">
      <c r="F10310"/>
      <c r="G10310"/>
      <c r="H10310"/>
      <c r="I10310"/>
    </row>
    <row r="10311" spans="6:9" x14ac:dyDescent="0.3">
      <c r="F10311"/>
      <c r="G10311"/>
      <c r="H10311"/>
      <c r="I10311"/>
    </row>
    <row r="10312" spans="6:9" x14ac:dyDescent="0.3">
      <c r="F10312"/>
      <c r="G10312"/>
      <c r="H10312"/>
      <c r="I10312"/>
    </row>
    <row r="10313" spans="6:9" x14ac:dyDescent="0.3">
      <c r="F10313"/>
      <c r="G10313"/>
      <c r="H10313"/>
      <c r="I10313"/>
    </row>
    <row r="10314" spans="6:9" x14ac:dyDescent="0.3">
      <c r="F10314"/>
      <c r="G10314"/>
      <c r="H10314"/>
      <c r="I10314"/>
    </row>
    <row r="10315" spans="6:9" x14ac:dyDescent="0.3">
      <c r="F10315"/>
      <c r="G10315"/>
      <c r="H10315"/>
      <c r="I10315"/>
    </row>
    <row r="10316" spans="6:9" x14ac:dyDescent="0.3">
      <c r="F10316"/>
      <c r="G10316"/>
      <c r="H10316"/>
      <c r="I10316"/>
    </row>
    <row r="10317" spans="6:9" x14ac:dyDescent="0.3">
      <c r="F10317"/>
      <c r="G10317"/>
      <c r="H10317"/>
      <c r="I10317"/>
    </row>
    <row r="10318" spans="6:9" x14ac:dyDescent="0.3">
      <c r="F10318"/>
      <c r="G10318"/>
      <c r="H10318"/>
      <c r="I10318"/>
    </row>
    <row r="10319" spans="6:9" x14ac:dyDescent="0.3">
      <c r="F10319"/>
      <c r="G10319"/>
      <c r="H10319"/>
      <c r="I10319"/>
    </row>
    <row r="10320" spans="6:9" x14ac:dyDescent="0.3">
      <c r="F10320"/>
      <c r="G10320"/>
      <c r="H10320"/>
      <c r="I10320"/>
    </row>
    <row r="10321" spans="6:9" x14ac:dyDescent="0.3">
      <c r="F10321"/>
      <c r="G10321"/>
      <c r="H10321"/>
      <c r="I10321"/>
    </row>
    <row r="10322" spans="6:9" x14ac:dyDescent="0.3">
      <c r="F10322"/>
      <c r="G10322"/>
      <c r="H10322"/>
      <c r="I10322"/>
    </row>
    <row r="10323" spans="6:9" x14ac:dyDescent="0.3">
      <c r="F10323"/>
      <c r="G10323"/>
      <c r="H10323"/>
      <c r="I10323"/>
    </row>
    <row r="10324" spans="6:9" x14ac:dyDescent="0.3">
      <c r="F10324"/>
      <c r="G10324"/>
      <c r="H10324"/>
      <c r="I10324"/>
    </row>
    <row r="10325" spans="6:9" x14ac:dyDescent="0.3">
      <c r="F10325"/>
      <c r="G10325"/>
      <c r="H10325"/>
      <c r="I10325"/>
    </row>
    <row r="10326" spans="6:9" x14ac:dyDescent="0.3">
      <c r="F10326"/>
      <c r="G10326"/>
      <c r="H10326"/>
      <c r="I10326"/>
    </row>
    <row r="10327" spans="6:9" x14ac:dyDescent="0.3">
      <c r="F10327"/>
      <c r="G10327"/>
      <c r="H10327"/>
      <c r="I10327"/>
    </row>
    <row r="10328" spans="6:9" x14ac:dyDescent="0.3">
      <c r="F10328"/>
      <c r="G10328"/>
      <c r="H10328"/>
      <c r="I10328"/>
    </row>
    <row r="10329" spans="6:9" x14ac:dyDescent="0.3">
      <c r="F10329"/>
      <c r="G10329"/>
      <c r="H10329"/>
      <c r="I10329"/>
    </row>
    <row r="10330" spans="6:9" x14ac:dyDescent="0.3">
      <c r="F10330"/>
      <c r="G10330"/>
      <c r="H10330"/>
      <c r="I10330"/>
    </row>
    <row r="10331" spans="6:9" x14ac:dyDescent="0.3">
      <c r="F10331"/>
      <c r="G10331"/>
      <c r="H10331"/>
      <c r="I10331"/>
    </row>
    <row r="10332" spans="6:9" x14ac:dyDescent="0.3">
      <c r="F10332"/>
      <c r="G10332"/>
      <c r="H10332"/>
      <c r="I10332"/>
    </row>
    <row r="10333" spans="6:9" x14ac:dyDescent="0.3">
      <c r="F10333"/>
      <c r="G10333"/>
      <c r="H10333"/>
      <c r="I10333"/>
    </row>
    <row r="10334" spans="6:9" x14ac:dyDescent="0.3">
      <c r="F10334"/>
      <c r="G10334"/>
      <c r="H10334"/>
      <c r="I10334"/>
    </row>
    <row r="10335" spans="6:9" x14ac:dyDescent="0.3">
      <c r="F10335"/>
      <c r="G10335"/>
      <c r="H10335"/>
      <c r="I10335"/>
    </row>
    <row r="10336" spans="6:9" x14ac:dyDescent="0.3">
      <c r="F10336"/>
      <c r="G10336"/>
      <c r="H10336"/>
      <c r="I10336"/>
    </row>
    <row r="10337" spans="6:9" x14ac:dyDescent="0.3">
      <c r="F10337"/>
      <c r="G10337"/>
      <c r="H10337"/>
      <c r="I10337"/>
    </row>
    <row r="10338" spans="6:9" x14ac:dyDescent="0.3">
      <c r="F10338"/>
      <c r="G10338"/>
      <c r="H10338"/>
      <c r="I10338"/>
    </row>
    <row r="10339" spans="6:9" x14ac:dyDescent="0.3">
      <c r="F10339"/>
      <c r="G10339"/>
      <c r="H10339"/>
      <c r="I10339"/>
    </row>
    <row r="10340" spans="6:9" x14ac:dyDescent="0.3">
      <c r="F10340"/>
      <c r="G10340"/>
      <c r="H10340"/>
      <c r="I10340"/>
    </row>
    <row r="10341" spans="6:9" x14ac:dyDescent="0.3">
      <c r="F10341"/>
      <c r="G10341"/>
      <c r="H10341"/>
      <c r="I10341"/>
    </row>
    <row r="10342" spans="6:9" x14ac:dyDescent="0.3">
      <c r="F10342"/>
      <c r="G10342"/>
      <c r="H10342"/>
      <c r="I10342"/>
    </row>
    <row r="10343" spans="6:9" x14ac:dyDescent="0.3">
      <c r="F10343"/>
      <c r="G10343"/>
      <c r="H10343"/>
      <c r="I10343"/>
    </row>
    <row r="10344" spans="6:9" x14ac:dyDescent="0.3">
      <c r="F10344"/>
      <c r="G10344"/>
      <c r="H10344"/>
      <c r="I10344"/>
    </row>
    <row r="10345" spans="6:9" x14ac:dyDescent="0.3">
      <c r="F10345"/>
      <c r="G10345"/>
      <c r="H10345"/>
      <c r="I10345"/>
    </row>
    <row r="10346" spans="6:9" x14ac:dyDescent="0.3">
      <c r="F10346"/>
      <c r="G10346"/>
      <c r="H10346"/>
      <c r="I10346"/>
    </row>
    <row r="10347" spans="6:9" x14ac:dyDescent="0.3">
      <c r="F10347"/>
      <c r="G10347"/>
      <c r="H10347"/>
      <c r="I10347"/>
    </row>
    <row r="10348" spans="6:9" x14ac:dyDescent="0.3">
      <c r="F10348"/>
      <c r="G10348"/>
      <c r="H10348"/>
      <c r="I10348"/>
    </row>
    <row r="10349" spans="6:9" x14ac:dyDescent="0.3">
      <c r="F10349"/>
      <c r="G10349"/>
      <c r="H10349"/>
      <c r="I10349"/>
    </row>
    <row r="10350" spans="6:9" x14ac:dyDescent="0.3">
      <c r="F10350"/>
      <c r="G10350"/>
      <c r="H10350"/>
      <c r="I10350"/>
    </row>
    <row r="10351" spans="6:9" x14ac:dyDescent="0.3">
      <c r="F10351"/>
      <c r="G10351"/>
      <c r="H10351"/>
      <c r="I10351"/>
    </row>
    <row r="10352" spans="6:9" x14ac:dyDescent="0.3">
      <c r="F10352"/>
      <c r="G10352"/>
      <c r="H10352"/>
      <c r="I10352"/>
    </row>
    <row r="10353" spans="6:9" x14ac:dyDescent="0.3">
      <c r="F10353"/>
      <c r="G10353"/>
      <c r="H10353"/>
      <c r="I10353"/>
    </row>
    <row r="10354" spans="6:9" x14ac:dyDescent="0.3">
      <c r="F10354"/>
      <c r="G10354"/>
      <c r="H10354"/>
      <c r="I10354"/>
    </row>
    <row r="10355" spans="6:9" x14ac:dyDescent="0.3">
      <c r="F10355"/>
      <c r="G10355"/>
      <c r="H10355"/>
      <c r="I10355"/>
    </row>
    <row r="10356" spans="6:9" x14ac:dyDescent="0.3">
      <c r="F10356"/>
      <c r="G10356"/>
      <c r="H10356"/>
      <c r="I10356"/>
    </row>
    <row r="10357" spans="6:9" x14ac:dyDescent="0.3">
      <c r="F10357"/>
      <c r="G10357"/>
      <c r="H10357"/>
      <c r="I10357"/>
    </row>
    <row r="10358" spans="6:9" x14ac:dyDescent="0.3">
      <c r="F10358"/>
      <c r="G10358"/>
      <c r="H10358"/>
      <c r="I10358"/>
    </row>
    <row r="10359" spans="6:9" x14ac:dyDescent="0.3">
      <c r="F10359"/>
      <c r="G10359"/>
      <c r="H10359"/>
      <c r="I10359"/>
    </row>
    <row r="10360" spans="6:9" x14ac:dyDescent="0.3">
      <c r="F10360"/>
      <c r="G10360"/>
      <c r="H10360"/>
      <c r="I10360"/>
    </row>
    <row r="10361" spans="6:9" x14ac:dyDescent="0.3">
      <c r="F10361"/>
      <c r="G10361"/>
      <c r="H10361"/>
      <c r="I10361"/>
    </row>
    <row r="10362" spans="6:9" x14ac:dyDescent="0.3">
      <c r="F10362"/>
      <c r="G10362"/>
      <c r="H10362"/>
      <c r="I10362"/>
    </row>
    <row r="10363" spans="6:9" x14ac:dyDescent="0.3">
      <c r="F10363"/>
      <c r="G10363"/>
      <c r="H10363"/>
      <c r="I10363"/>
    </row>
    <row r="10364" spans="6:9" x14ac:dyDescent="0.3">
      <c r="F10364"/>
      <c r="G10364"/>
      <c r="H10364"/>
      <c r="I10364"/>
    </row>
    <row r="10365" spans="6:9" x14ac:dyDescent="0.3">
      <c r="F10365"/>
      <c r="G10365"/>
      <c r="H10365"/>
      <c r="I10365"/>
    </row>
    <row r="10366" spans="6:9" x14ac:dyDescent="0.3">
      <c r="F10366"/>
      <c r="G10366"/>
      <c r="H10366"/>
      <c r="I10366"/>
    </row>
    <row r="10367" spans="6:9" x14ac:dyDescent="0.3">
      <c r="F10367"/>
      <c r="G10367"/>
      <c r="H10367"/>
      <c r="I10367"/>
    </row>
    <row r="10368" spans="6:9" x14ac:dyDescent="0.3">
      <c r="F10368"/>
      <c r="G10368"/>
      <c r="H10368"/>
      <c r="I10368"/>
    </row>
    <row r="10369" spans="6:9" x14ac:dyDescent="0.3">
      <c r="F10369"/>
      <c r="G10369"/>
      <c r="H10369"/>
      <c r="I10369"/>
    </row>
    <row r="10370" spans="6:9" x14ac:dyDescent="0.3">
      <c r="F10370"/>
      <c r="G10370"/>
      <c r="H10370"/>
      <c r="I10370"/>
    </row>
    <row r="10371" spans="6:9" x14ac:dyDescent="0.3">
      <c r="F10371"/>
      <c r="G10371"/>
      <c r="H10371"/>
      <c r="I10371"/>
    </row>
    <row r="10372" spans="6:9" x14ac:dyDescent="0.3">
      <c r="F10372"/>
      <c r="G10372"/>
      <c r="H10372"/>
      <c r="I10372"/>
    </row>
    <row r="10373" spans="6:9" x14ac:dyDescent="0.3">
      <c r="F10373"/>
      <c r="G10373"/>
      <c r="H10373"/>
      <c r="I10373"/>
    </row>
    <row r="10374" spans="6:9" x14ac:dyDescent="0.3">
      <c r="F10374"/>
      <c r="G10374"/>
      <c r="H10374"/>
      <c r="I10374"/>
    </row>
    <row r="10375" spans="6:9" x14ac:dyDescent="0.3">
      <c r="F10375"/>
      <c r="G10375"/>
      <c r="H10375"/>
      <c r="I10375"/>
    </row>
    <row r="10376" spans="6:9" x14ac:dyDescent="0.3">
      <c r="F10376"/>
      <c r="G10376"/>
      <c r="H10376"/>
      <c r="I10376"/>
    </row>
    <row r="10377" spans="6:9" x14ac:dyDescent="0.3">
      <c r="F10377"/>
      <c r="G10377"/>
      <c r="H10377"/>
      <c r="I10377"/>
    </row>
    <row r="10378" spans="6:9" x14ac:dyDescent="0.3">
      <c r="F10378"/>
      <c r="G10378"/>
      <c r="H10378"/>
      <c r="I10378"/>
    </row>
    <row r="10379" spans="6:9" x14ac:dyDescent="0.3">
      <c r="F10379"/>
      <c r="G10379"/>
      <c r="H10379"/>
      <c r="I10379"/>
    </row>
    <row r="10380" spans="6:9" x14ac:dyDescent="0.3">
      <c r="F10380"/>
      <c r="G10380"/>
      <c r="H10380"/>
      <c r="I10380"/>
    </row>
    <row r="10381" spans="6:9" x14ac:dyDescent="0.3">
      <c r="F10381"/>
      <c r="G10381"/>
      <c r="H10381"/>
      <c r="I10381"/>
    </row>
    <row r="10382" spans="6:9" x14ac:dyDescent="0.3">
      <c r="F10382"/>
      <c r="G10382"/>
      <c r="H10382"/>
      <c r="I10382"/>
    </row>
    <row r="10383" spans="6:9" x14ac:dyDescent="0.3">
      <c r="F10383"/>
      <c r="G10383"/>
      <c r="H10383"/>
      <c r="I10383"/>
    </row>
    <row r="10384" spans="6:9" x14ac:dyDescent="0.3">
      <c r="F10384"/>
      <c r="G10384"/>
      <c r="H10384"/>
      <c r="I10384"/>
    </row>
    <row r="10385" spans="6:9" x14ac:dyDescent="0.3">
      <c r="F10385"/>
      <c r="G10385"/>
      <c r="H10385"/>
      <c r="I10385"/>
    </row>
    <row r="10386" spans="6:9" x14ac:dyDescent="0.3">
      <c r="F10386"/>
      <c r="G10386"/>
      <c r="H10386"/>
      <c r="I10386"/>
    </row>
    <row r="10387" spans="6:9" x14ac:dyDescent="0.3">
      <c r="F10387"/>
      <c r="G10387"/>
      <c r="H10387"/>
      <c r="I10387"/>
    </row>
    <row r="10388" spans="6:9" x14ac:dyDescent="0.3">
      <c r="F10388"/>
      <c r="G10388"/>
      <c r="H10388"/>
      <c r="I10388"/>
    </row>
    <row r="10389" spans="6:9" x14ac:dyDescent="0.3">
      <c r="F10389"/>
      <c r="G10389"/>
      <c r="H10389"/>
      <c r="I10389"/>
    </row>
    <row r="10390" spans="6:9" x14ac:dyDescent="0.3">
      <c r="F10390"/>
      <c r="G10390"/>
      <c r="H10390"/>
      <c r="I10390"/>
    </row>
    <row r="10391" spans="6:9" x14ac:dyDescent="0.3">
      <c r="F10391"/>
      <c r="G10391"/>
      <c r="H10391"/>
      <c r="I10391"/>
    </row>
    <row r="10392" spans="6:9" x14ac:dyDescent="0.3">
      <c r="F10392"/>
      <c r="G10392"/>
      <c r="H10392"/>
      <c r="I10392"/>
    </row>
    <row r="10393" spans="6:9" x14ac:dyDescent="0.3">
      <c r="F10393"/>
      <c r="G10393"/>
      <c r="H10393"/>
      <c r="I10393"/>
    </row>
    <row r="10394" spans="6:9" x14ac:dyDescent="0.3">
      <c r="F10394"/>
      <c r="G10394"/>
      <c r="H10394"/>
      <c r="I10394"/>
    </row>
    <row r="10395" spans="6:9" x14ac:dyDescent="0.3">
      <c r="F10395"/>
      <c r="G10395"/>
      <c r="H10395"/>
      <c r="I10395"/>
    </row>
    <row r="10396" spans="6:9" x14ac:dyDescent="0.3">
      <c r="F10396"/>
      <c r="G10396"/>
      <c r="H10396"/>
      <c r="I10396"/>
    </row>
    <row r="10397" spans="6:9" x14ac:dyDescent="0.3">
      <c r="F10397"/>
      <c r="G10397"/>
      <c r="H10397"/>
      <c r="I10397"/>
    </row>
    <row r="10398" spans="6:9" x14ac:dyDescent="0.3">
      <c r="F10398"/>
      <c r="G10398"/>
      <c r="H10398"/>
      <c r="I10398"/>
    </row>
    <row r="10399" spans="6:9" x14ac:dyDescent="0.3">
      <c r="F10399"/>
      <c r="G10399"/>
      <c r="H10399"/>
      <c r="I10399"/>
    </row>
    <row r="10400" spans="6:9" x14ac:dyDescent="0.3">
      <c r="F10400"/>
      <c r="G10400"/>
      <c r="H10400"/>
      <c r="I10400"/>
    </row>
    <row r="10401" spans="6:9" x14ac:dyDescent="0.3">
      <c r="F10401"/>
      <c r="G10401"/>
      <c r="H10401"/>
      <c r="I10401"/>
    </row>
    <row r="10402" spans="6:9" x14ac:dyDescent="0.3">
      <c r="F10402"/>
      <c r="G10402"/>
      <c r="H10402"/>
      <c r="I10402"/>
    </row>
    <row r="10403" spans="6:9" x14ac:dyDescent="0.3">
      <c r="F10403"/>
      <c r="G10403"/>
      <c r="H10403"/>
      <c r="I10403"/>
    </row>
    <row r="10404" spans="6:9" x14ac:dyDescent="0.3">
      <c r="F10404"/>
      <c r="G10404"/>
      <c r="H10404"/>
      <c r="I10404"/>
    </row>
    <row r="10405" spans="6:9" x14ac:dyDescent="0.3">
      <c r="F10405"/>
      <c r="G10405"/>
      <c r="H10405"/>
      <c r="I10405"/>
    </row>
    <row r="10406" spans="6:9" x14ac:dyDescent="0.3">
      <c r="F10406"/>
      <c r="G10406"/>
      <c r="H10406"/>
      <c r="I10406"/>
    </row>
    <row r="10407" spans="6:9" x14ac:dyDescent="0.3">
      <c r="F10407"/>
      <c r="G10407"/>
      <c r="H10407"/>
      <c r="I10407"/>
    </row>
    <row r="10408" spans="6:9" x14ac:dyDescent="0.3">
      <c r="F10408"/>
      <c r="G10408"/>
      <c r="H10408"/>
      <c r="I10408"/>
    </row>
    <row r="10409" spans="6:9" x14ac:dyDescent="0.3">
      <c r="F10409"/>
      <c r="G10409"/>
      <c r="H10409"/>
      <c r="I10409"/>
    </row>
    <row r="10410" spans="6:9" x14ac:dyDescent="0.3">
      <c r="F10410"/>
      <c r="G10410"/>
      <c r="H10410"/>
      <c r="I10410"/>
    </row>
    <row r="10411" spans="6:9" x14ac:dyDescent="0.3">
      <c r="F10411"/>
      <c r="G10411"/>
      <c r="H10411"/>
      <c r="I10411"/>
    </row>
    <row r="10412" spans="6:9" x14ac:dyDescent="0.3">
      <c r="F10412"/>
      <c r="G10412"/>
      <c r="H10412"/>
      <c r="I10412"/>
    </row>
    <row r="10413" spans="6:9" x14ac:dyDescent="0.3">
      <c r="F10413"/>
      <c r="G10413"/>
      <c r="H10413"/>
      <c r="I10413"/>
    </row>
    <row r="10414" spans="6:9" x14ac:dyDescent="0.3">
      <c r="F10414"/>
      <c r="G10414"/>
      <c r="H10414"/>
      <c r="I10414"/>
    </row>
    <row r="10415" spans="6:9" x14ac:dyDescent="0.3">
      <c r="F10415"/>
      <c r="G10415"/>
      <c r="H10415"/>
      <c r="I10415"/>
    </row>
    <row r="10416" spans="6:9" x14ac:dyDescent="0.3">
      <c r="F10416"/>
      <c r="G10416"/>
      <c r="H10416"/>
      <c r="I10416"/>
    </row>
    <row r="10417" spans="6:9" x14ac:dyDescent="0.3">
      <c r="F10417"/>
      <c r="G10417"/>
      <c r="H10417"/>
      <c r="I10417"/>
    </row>
    <row r="10418" spans="6:9" x14ac:dyDescent="0.3">
      <c r="F10418"/>
      <c r="G10418"/>
      <c r="H10418"/>
      <c r="I10418"/>
    </row>
    <row r="10419" spans="6:9" x14ac:dyDescent="0.3">
      <c r="F10419"/>
      <c r="G10419"/>
      <c r="H10419"/>
      <c r="I10419"/>
    </row>
    <row r="10420" spans="6:9" x14ac:dyDescent="0.3">
      <c r="F10420"/>
      <c r="G10420"/>
      <c r="H10420"/>
      <c r="I10420"/>
    </row>
    <row r="10421" spans="6:9" x14ac:dyDescent="0.3">
      <c r="F10421"/>
      <c r="G10421"/>
      <c r="H10421"/>
      <c r="I10421"/>
    </row>
    <row r="10422" spans="6:9" x14ac:dyDescent="0.3">
      <c r="F10422"/>
      <c r="G10422"/>
      <c r="H10422"/>
      <c r="I10422"/>
    </row>
    <row r="10423" spans="6:9" x14ac:dyDescent="0.3">
      <c r="F10423"/>
      <c r="G10423"/>
      <c r="H10423"/>
      <c r="I10423"/>
    </row>
    <row r="10424" spans="6:9" x14ac:dyDescent="0.3">
      <c r="F10424"/>
      <c r="G10424"/>
      <c r="H10424"/>
      <c r="I10424"/>
    </row>
    <row r="10425" spans="6:9" x14ac:dyDescent="0.3">
      <c r="F10425"/>
      <c r="G10425"/>
      <c r="H10425"/>
      <c r="I10425"/>
    </row>
    <row r="10426" spans="6:9" x14ac:dyDescent="0.3">
      <c r="F10426"/>
      <c r="G10426"/>
      <c r="H10426"/>
      <c r="I10426"/>
    </row>
    <row r="10427" spans="6:9" x14ac:dyDescent="0.3">
      <c r="F10427"/>
      <c r="G10427"/>
      <c r="H10427"/>
      <c r="I10427"/>
    </row>
    <row r="10428" spans="6:9" x14ac:dyDescent="0.3">
      <c r="F10428"/>
      <c r="G10428"/>
      <c r="H10428"/>
      <c r="I10428"/>
    </row>
    <row r="10429" spans="6:9" x14ac:dyDescent="0.3">
      <c r="F10429"/>
      <c r="G10429"/>
      <c r="H10429"/>
      <c r="I10429"/>
    </row>
    <row r="10430" spans="6:9" x14ac:dyDescent="0.3">
      <c r="F10430"/>
      <c r="G10430"/>
      <c r="H10430"/>
      <c r="I10430"/>
    </row>
    <row r="10431" spans="6:9" x14ac:dyDescent="0.3">
      <c r="F10431"/>
      <c r="G10431"/>
      <c r="H10431"/>
      <c r="I10431"/>
    </row>
    <row r="10432" spans="6:9" x14ac:dyDescent="0.3">
      <c r="F10432"/>
      <c r="G10432"/>
      <c r="H10432"/>
      <c r="I10432"/>
    </row>
    <row r="10433" spans="6:9" x14ac:dyDescent="0.3">
      <c r="F10433"/>
      <c r="G10433"/>
      <c r="H10433"/>
      <c r="I10433"/>
    </row>
    <row r="10434" spans="6:9" x14ac:dyDescent="0.3">
      <c r="F10434"/>
      <c r="G10434"/>
      <c r="H10434"/>
      <c r="I10434"/>
    </row>
    <row r="10435" spans="6:9" x14ac:dyDescent="0.3">
      <c r="F10435"/>
      <c r="G10435"/>
      <c r="H10435"/>
      <c r="I10435"/>
    </row>
    <row r="10436" spans="6:9" x14ac:dyDescent="0.3">
      <c r="F10436"/>
      <c r="G10436"/>
      <c r="H10436"/>
      <c r="I10436"/>
    </row>
    <row r="10437" spans="6:9" x14ac:dyDescent="0.3">
      <c r="F10437"/>
      <c r="G10437"/>
      <c r="H10437"/>
      <c r="I10437"/>
    </row>
    <row r="10438" spans="6:9" x14ac:dyDescent="0.3">
      <c r="F10438"/>
      <c r="G10438"/>
      <c r="H10438"/>
      <c r="I10438"/>
    </row>
    <row r="10439" spans="6:9" x14ac:dyDescent="0.3">
      <c r="F10439"/>
      <c r="G10439"/>
      <c r="H10439"/>
      <c r="I10439"/>
    </row>
    <row r="10440" spans="6:9" x14ac:dyDescent="0.3">
      <c r="F10440"/>
      <c r="G10440"/>
      <c r="H10440"/>
      <c r="I10440"/>
    </row>
    <row r="10441" spans="6:9" x14ac:dyDescent="0.3">
      <c r="F10441"/>
      <c r="G10441"/>
      <c r="H10441"/>
      <c r="I10441"/>
    </row>
    <row r="10442" spans="6:9" x14ac:dyDescent="0.3">
      <c r="F10442"/>
      <c r="G10442"/>
      <c r="H10442"/>
      <c r="I10442"/>
    </row>
    <row r="10443" spans="6:9" x14ac:dyDescent="0.3">
      <c r="F10443"/>
      <c r="G10443"/>
      <c r="H10443"/>
      <c r="I10443"/>
    </row>
    <row r="10444" spans="6:9" x14ac:dyDescent="0.3">
      <c r="F10444"/>
      <c r="G10444"/>
      <c r="H10444"/>
      <c r="I10444"/>
    </row>
    <row r="10445" spans="6:9" x14ac:dyDescent="0.3">
      <c r="F10445"/>
      <c r="G10445"/>
      <c r="H10445"/>
      <c r="I10445"/>
    </row>
    <row r="10446" spans="6:9" x14ac:dyDescent="0.3">
      <c r="F10446"/>
      <c r="G10446"/>
      <c r="H10446"/>
      <c r="I10446"/>
    </row>
    <row r="10447" spans="6:9" x14ac:dyDescent="0.3">
      <c r="F10447"/>
      <c r="G10447"/>
      <c r="H10447"/>
      <c r="I10447"/>
    </row>
    <row r="10448" spans="6:9" x14ac:dyDescent="0.3">
      <c r="F10448"/>
      <c r="G10448"/>
      <c r="H10448"/>
      <c r="I10448"/>
    </row>
    <row r="10449" spans="6:9" x14ac:dyDescent="0.3">
      <c r="F10449"/>
      <c r="G10449"/>
      <c r="H10449"/>
      <c r="I10449"/>
    </row>
    <row r="10450" spans="6:9" x14ac:dyDescent="0.3">
      <c r="F10450"/>
      <c r="G10450"/>
      <c r="H10450"/>
      <c r="I10450"/>
    </row>
    <row r="10451" spans="6:9" x14ac:dyDescent="0.3">
      <c r="F10451"/>
      <c r="G10451"/>
      <c r="H10451"/>
      <c r="I10451"/>
    </row>
    <row r="10452" spans="6:9" x14ac:dyDescent="0.3">
      <c r="F10452"/>
      <c r="G10452"/>
      <c r="H10452"/>
      <c r="I10452"/>
    </row>
    <row r="10453" spans="6:9" x14ac:dyDescent="0.3">
      <c r="F10453"/>
      <c r="G10453"/>
      <c r="H10453"/>
      <c r="I10453"/>
    </row>
    <row r="10454" spans="6:9" x14ac:dyDescent="0.3">
      <c r="F10454"/>
      <c r="G10454"/>
      <c r="H10454"/>
      <c r="I10454"/>
    </row>
    <row r="10455" spans="6:9" x14ac:dyDescent="0.3">
      <c r="F10455"/>
      <c r="G10455"/>
      <c r="H10455"/>
      <c r="I10455"/>
    </row>
    <row r="10456" spans="6:9" x14ac:dyDescent="0.3">
      <c r="F10456"/>
      <c r="G10456"/>
      <c r="H10456"/>
      <c r="I10456"/>
    </row>
    <row r="10457" spans="6:9" x14ac:dyDescent="0.3">
      <c r="F10457"/>
      <c r="G10457"/>
      <c r="H10457"/>
      <c r="I10457"/>
    </row>
    <row r="10458" spans="6:9" x14ac:dyDescent="0.3">
      <c r="F10458"/>
      <c r="G10458"/>
      <c r="H10458"/>
      <c r="I10458"/>
    </row>
    <row r="10459" spans="6:9" x14ac:dyDescent="0.3">
      <c r="F10459"/>
      <c r="G10459"/>
      <c r="H10459"/>
      <c r="I10459"/>
    </row>
    <row r="10460" spans="6:9" x14ac:dyDescent="0.3">
      <c r="F10460"/>
      <c r="G10460"/>
      <c r="H10460"/>
      <c r="I10460"/>
    </row>
    <row r="10461" spans="6:9" x14ac:dyDescent="0.3">
      <c r="F10461"/>
      <c r="G10461"/>
      <c r="H10461"/>
      <c r="I10461"/>
    </row>
    <row r="10462" spans="6:9" x14ac:dyDescent="0.3">
      <c r="F10462"/>
      <c r="G10462"/>
      <c r="H10462"/>
      <c r="I10462"/>
    </row>
    <row r="10463" spans="6:9" x14ac:dyDescent="0.3">
      <c r="F10463"/>
      <c r="G10463"/>
      <c r="H10463"/>
      <c r="I10463"/>
    </row>
    <row r="10464" spans="6:9" x14ac:dyDescent="0.3">
      <c r="F10464"/>
      <c r="G10464"/>
      <c r="H10464"/>
      <c r="I10464"/>
    </row>
    <row r="10465" spans="6:9" x14ac:dyDescent="0.3">
      <c r="F10465"/>
      <c r="G10465"/>
      <c r="H10465"/>
      <c r="I10465"/>
    </row>
    <row r="10466" spans="6:9" x14ac:dyDescent="0.3">
      <c r="F10466"/>
      <c r="G10466"/>
      <c r="H10466"/>
      <c r="I10466"/>
    </row>
    <row r="10467" spans="6:9" x14ac:dyDescent="0.3">
      <c r="F10467"/>
      <c r="G10467"/>
      <c r="H10467"/>
      <c r="I10467"/>
    </row>
    <row r="10468" spans="6:9" x14ac:dyDescent="0.3">
      <c r="F10468"/>
      <c r="G10468"/>
      <c r="H10468"/>
      <c r="I10468"/>
    </row>
    <row r="10469" spans="6:9" x14ac:dyDescent="0.3">
      <c r="F10469"/>
      <c r="G10469"/>
      <c r="H10469"/>
      <c r="I10469"/>
    </row>
    <row r="10470" spans="6:9" x14ac:dyDescent="0.3">
      <c r="F10470"/>
      <c r="G10470"/>
      <c r="H10470"/>
      <c r="I10470"/>
    </row>
    <row r="10471" spans="6:9" x14ac:dyDescent="0.3">
      <c r="F10471"/>
      <c r="G10471"/>
      <c r="H10471"/>
      <c r="I10471"/>
    </row>
    <row r="10472" spans="6:9" x14ac:dyDescent="0.3">
      <c r="F10472"/>
      <c r="G10472"/>
      <c r="H10472"/>
      <c r="I10472"/>
    </row>
    <row r="10473" spans="6:9" x14ac:dyDescent="0.3">
      <c r="F10473"/>
      <c r="G10473"/>
      <c r="H10473"/>
      <c r="I10473"/>
    </row>
    <row r="10474" spans="6:9" x14ac:dyDescent="0.3">
      <c r="F10474"/>
      <c r="G10474"/>
      <c r="H10474"/>
      <c r="I10474"/>
    </row>
    <row r="10475" spans="6:9" x14ac:dyDescent="0.3">
      <c r="F10475"/>
      <c r="G10475"/>
      <c r="H10475"/>
      <c r="I10475"/>
    </row>
    <row r="10476" spans="6:9" x14ac:dyDescent="0.3">
      <c r="F10476"/>
      <c r="G10476"/>
      <c r="H10476"/>
      <c r="I10476"/>
    </row>
    <row r="10477" spans="6:9" x14ac:dyDescent="0.3">
      <c r="F10477"/>
      <c r="G10477"/>
      <c r="H10477"/>
      <c r="I10477"/>
    </row>
    <row r="10478" spans="6:9" x14ac:dyDescent="0.3">
      <c r="F10478"/>
      <c r="G10478"/>
      <c r="H10478"/>
      <c r="I10478"/>
    </row>
    <row r="10479" spans="6:9" x14ac:dyDescent="0.3">
      <c r="F10479"/>
      <c r="G10479"/>
      <c r="H10479"/>
      <c r="I10479"/>
    </row>
    <row r="10480" spans="6:9" x14ac:dyDescent="0.3">
      <c r="F10480"/>
      <c r="G10480"/>
      <c r="H10480"/>
      <c r="I10480"/>
    </row>
    <row r="10481" spans="6:9" x14ac:dyDescent="0.3">
      <c r="F10481"/>
      <c r="G10481"/>
      <c r="H10481"/>
      <c r="I10481"/>
    </row>
    <row r="10482" spans="6:9" x14ac:dyDescent="0.3">
      <c r="F10482"/>
      <c r="G10482"/>
      <c r="H10482"/>
      <c r="I10482"/>
    </row>
    <row r="10483" spans="6:9" x14ac:dyDescent="0.3">
      <c r="F10483"/>
      <c r="G10483"/>
      <c r="H10483"/>
      <c r="I10483"/>
    </row>
    <row r="10484" spans="6:9" x14ac:dyDescent="0.3">
      <c r="F10484"/>
      <c r="G10484"/>
      <c r="H10484"/>
      <c r="I10484"/>
    </row>
    <row r="10485" spans="6:9" x14ac:dyDescent="0.3">
      <c r="F10485"/>
      <c r="G10485"/>
      <c r="H10485"/>
      <c r="I10485"/>
    </row>
    <row r="10486" spans="6:9" x14ac:dyDescent="0.3">
      <c r="F10486"/>
      <c r="G10486"/>
      <c r="H10486"/>
      <c r="I10486"/>
    </row>
    <row r="10487" spans="6:9" x14ac:dyDescent="0.3">
      <c r="F10487"/>
      <c r="G10487"/>
      <c r="H10487"/>
      <c r="I10487"/>
    </row>
    <row r="10488" spans="6:9" x14ac:dyDescent="0.3">
      <c r="F10488"/>
      <c r="G10488"/>
      <c r="H10488"/>
      <c r="I10488"/>
    </row>
    <row r="10489" spans="6:9" x14ac:dyDescent="0.3">
      <c r="F10489"/>
      <c r="G10489"/>
      <c r="H10489"/>
      <c r="I10489"/>
    </row>
    <row r="10490" spans="6:9" x14ac:dyDescent="0.3">
      <c r="F10490"/>
      <c r="G10490"/>
      <c r="H10490"/>
      <c r="I10490"/>
    </row>
    <row r="10491" spans="6:9" x14ac:dyDescent="0.3">
      <c r="F10491"/>
      <c r="G10491"/>
      <c r="H10491"/>
      <c r="I10491"/>
    </row>
    <row r="10492" spans="6:9" x14ac:dyDescent="0.3">
      <c r="F10492"/>
      <c r="G10492"/>
      <c r="H10492"/>
      <c r="I10492"/>
    </row>
    <row r="10493" spans="6:9" x14ac:dyDescent="0.3">
      <c r="F10493"/>
      <c r="G10493"/>
      <c r="H10493"/>
      <c r="I10493"/>
    </row>
    <row r="10494" spans="6:9" x14ac:dyDescent="0.3">
      <c r="F10494"/>
      <c r="G10494"/>
      <c r="H10494"/>
      <c r="I10494"/>
    </row>
    <row r="10495" spans="6:9" x14ac:dyDescent="0.3">
      <c r="F10495"/>
      <c r="G10495"/>
      <c r="H10495"/>
      <c r="I10495"/>
    </row>
    <row r="10496" spans="6:9" x14ac:dyDescent="0.3">
      <c r="F10496"/>
      <c r="G10496"/>
      <c r="H10496"/>
      <c r="I10496"/>
    </row>
    <row r="10497" spans="6:9" x14ac:dyDescent="0.3">
      <c r="F10497"/>
      <c r="G10497"/>
      <c r="H10497"/>
      <c r="I10497"/>
    </row>
    <row r="10498" spans="6:9" x14ac:dyDescent="0.3">
      <c r="F10498"/>
      <c r="G10498"/>
      <c r="H10498"/>
      <c r="I10498"/>
    </row>
    <row r="10499" spans="6:9" x14ac:dyDescent="0.3">
      <c r="F10499"/>
      <c r="G10499"/>
      <c r="H10499"/>
      <c r="I10499"/>
    </row>
    <row r="10500" spans="6:9" x14ac:dyDescent="0.3">
      <c r="F10500"/>
      <c r="G10500"/>
      <c r="H10500"/>
      <c r="I10500"/>
    </row>
    <row r="10501" spans="6:9" x14ac:dyDescent="0.3">
      <c r="F10501"/>
      <c r="G10501"/>
      <c r="H10501"/>
      <c r="I10501"/>
    </row>
    <row r="10502" spans="6:9" x14ac:dyDescent="0.3">
      <c r="F10502"/>
      <c r="G10502"/>
      <c r="H10502"/>
      <c r="I10502"/>
    </row>
    <row r="10503" spans="6:9" x14ac:dyDescent="0.3">
      <c r="F10503"/>
      <c r="G10503"/>
      <c r="H10503"/>
      <c r="I10503"/>
    </row>
    <row r="10504" spans="6:9" x14ac:dyDescent="0.3">
      <c r="F10504"/>
      <c r="G10504"/>
      <c r="H10504"/>
      <c r="I10504"/>
    </row>
    <row r="10505" spans="6:9" x14ac:dyDescent="0.3">
      <c r="F10505"/>
      <c r="G10505"/>
      <c r="H10505"/>
      <c r="I10505"/>
    </row>
    <row r="10506" spans="6:9" x14ac:dyDescent="0.3">
      <c r="F10506"/>
      <c r="G10506"/>
      <c r="H10506"/>
      <c r="I10506"/>
    </row>
    <row r="10507" spans="6:9" x14ac:dyDescent="0.3">
      <c r="F10507"/>
      <c r="G10507"/>
      <c r="H10507"/>
      <c r="I10507"/>
    </row>
    <row r="10508" spans="6:9" x14ac:dyDescent="0.3">
      <c r="F10508"/>
      <c r="G10508"/>
      <c r="H10508"/>
      <c r="I10508"/>
    </row>
    <row r="10509" spans="6:9" x14ac:dyDescent="0.3">
      <c r="F10509"/>
      <c r="G10509"/>
      <c r="H10509"/>
      <c r="I10509"/>
    </row>
    <row r="10510" spans="6:9" x14ac:dyDescent="0.3">
      <c r="F10510"/>
      <c r="G10510"/>
      <c r="H10510"/>
      <c r="I10510"/>
    </row>
    <row r="10511" spans="6:9" x14ac:dyDescent="0.3">
      <c r="F10511"/>
      <c r="G10511"/>
      <c r="H10511"/>
      <c r="I10511"/>
    </row>
    <row r="10512" spans="6:9" x14ac:dyDescent="0.3">
      <c r="F10512"/>
      <c r="G10512"/>
      <c r="H10512"/>
      <c r="I10512"/>
    </row>
    <row r="10513" spans="6:9" x14ac:dyDescent="0.3">
      <c r="F10513"/>
      <c r="G10513"/>
      <c r="H10513"/>
      <c r="I10513"/>
    </row>
    <row r="10514" spans="6:9" x14ac:dyDescent="0.3">
      <c r="F10514"/>
      <c r="G10514"/>
      <c r="H10514"/>
      <c r="I10514"/>
    </row>
    <row r="10515" spans="6:9" x14ac:dyDescent="0.3">
      <c r="F10515"/>
      <c r="G10515"/>
      <c r="H10515"/>
      <c r="I10515"/>
    </row>
    <row r="10516" spans="6:9" x14ac:dyDescent="0.3">
      <c r="F10516"/>
      <c r="G10516"/>
      <c r="H10516"/>
      <c r="I10516"/>
    </row>
    <row r="10517" spans="6:9" x14ac:dyDescent="0.3">
      <c r="F10517"/>
      <c r="G10517"/>
      <c r="H10517"/>
      <c r="I10517"/>
    </row>
    <row r="10518" spans="6:9" x14ac:dyDescent="0.3">
      <c r="F10518"/>
      <c r="G10518"/>
      <c r="H10518"/>
      <c r="I10518"/>
    </row>
    <row r="10519" spans="6:9" x14ac:dyDescent="0.3">
      <c r="F10519"/>
      <c r="G10519"/>
      <c r="H10519"/>
      <c r="I10519"/>
    </row>
    <row r="10520" spans="6:9" x14ac:dyDescent="0.3">
      <c r="F10520"/>
      <c r="G10520"/>
      <c r="H10520"/>
      <c r="I10520"/>
    </row>
    <row r="10521" spans="6:9" x14ac:dyDescent="0.3">
      <c r="F10521"/>
      <c r="G10521"/>
      <c r="H10521"/>
      <c r="I10521"/>
    </row>
    <row r="10522" spans="6:9" x14ac:dyDescent="0.3">
      <c r="F10522"/>
      <c r="G10522"/>
      <c r="H10522"/>
      <c r="I10522"/>
    </row>
    <row r="10523" spans="6:9" x14ac:dyDescent="0.3">
      <c r="F10523"/>
      <c r="G10523"/>
      <c r="H10523"/>
      <c r="I10523"/>
    </row>
    <row r="10524" spans="6:9" x14ac:dyDescent="0.3">
      <c r="F10524"/>
      <c r="G10524"/>
      <c r="H10524"/>
      <c r="I10524"/>
    </row>
    <row r="10525" spans="6:9" x14ac:dyDescent="0.3">
      <c r="F10525"/>
      <c r="G10525"/>
      <c r="H10525"/>
      <c r="I10525"/>
    </row>
    <row r="10526" spans="6:9" x14ac:dyDescent="0.3">
      <c r="F10526"/>
      <c r="G10526"/>
      <c r="H10526"/>
      <c r="I10526"/>
    </row>
    <row r="10527" spans="6:9" x14ac:dyDescent="0.3">
      <c r="F10527"/>
      <c r="G10527"/>
      <c r="H10527"/>
      <c r="I10527"/>
    </row>
    <row r="10528" spans="6:9" x14ac:dyDescent="0.3">
      <c r="F10528"/>
      <c r="G10528"/>
      <c r="H10528"/>
      <c r="I10528"/>
    </row>
    <row r="10529" spans="6:9" x14ac:dyDescent="0.3">
      <c r="F10529"/>
      <c r="G10529"/>
      <c r="H10529"/>
      <c r="I10529"/>
    </row>
    <row r="10530" spans="6:9" x14ac:dyDescent="0.3">
      <c r="F10530"/>
      <c r="G10530"/>
      <c r="H10530"/>
      <c r="I10530"/>
    </row>
    <row r="10531" spans="6:9" x14ac:dyDescent="0.3">
      <c r="F10531"/>
      <c r="G10531"/>
      <c r="H10531"/>
      <c r="I10531"/>
    </row>
    <row r="10532" spans="6:9" x14ac:dyDescent="0.3">
      <c r="F10532"/>
      <c r="G10532"/>
      <c r="H10532"/>
      <c r="I10532"/>
    </row>
    <row r="10533" spans="6:9" x14ac:dyDescent="0.3">
      <c r="F10533"/>
      <c r="G10533"/>
      <c r="H10533"/>
      <c r="I10533"/>
    </row>
    <row r="10534" spans="6:9" x14ac:dyDescent="0.3">
      <c r="F10534"/>
      <c r="G10534"/>
      <c r="H10534"/>
      <c r="I10534"/>
    </row>
    <row r="10535" spans="6:9" x14ac:dyDescent="0.3">
      <c r="F10535"/>
      <c r="G10535"/>
      <c r="H10535"/>
      <c r="I10535"/>
    </row>
    <row r="10536" spans="6:9" x14ac:dyDescent="0.3">
      <c r="F10536"/>
      <c r="G10536"/>
      <c r="H10536"/>
      <c r="I10536"/>
    </row>
    <row r="10537" spans="6:9" x14ac:dyDescent="0.3">
      <c r="F10537"/>
      <c r="G10537"/>
      <c r="H10537"/>
      <c r="I10537"/>
    </row>
    <row r="10538" spans="6:9" x14ac:dyDescent="0.3">
      <c r="F10538"/>
      <c r="G10538"/>
      <c r="H10538"/>
      <c r="I10538"/>
    </row>
    <row r="10539" spans="6:9" x14ac:dyDescent="0.3">
      <c r="F10539"/>
      <c r="G10539"/>
      <c r="H10539"/>
      <c r="I10539"/>
    </row>
    <row r="10540" spans="6:9" x14ac:dyDescent="0.3">
      <c r="F10540"/>
      <c r="G10540"/>
      <c r="H10540"/>
      <c r="I10540"/>
    </row>
    <row r="10541" spans="6:9" x14ac:dyDescent="0.3">
      <c r="F10541"/>
      <c r="G10541"/>
      <c r="H10541"/>
      <c r="I10541"/>
    </row>
    <row r="10542" spans="6:9" x14ac:dyDescent="0.3">
      <c r="F10542"/>
      <c r="G10542"/>
      <c r="H10542"/>
      <c r="I10542"/>
    </row>
    <row r="10543" spans="6:9" x14ac:dyDescent="0.3">
      <c r="F10543"/>
      <c r="G10543"/>
      <c r="H10543"/>
      <c r="I10543"/>
    </row>
    <row r="10544" spans="6:9" x14ac:dyDescent="0.3">
      <c r="F10544"/>
      <c r="G10544"/>
      <c r="H10544"/>
      <c r="I10544"/>
    </row>
    <row r="10545" spans="6:9" x14ac:dyDescent="0.3">
      <c r="F10545"/>
      <c r="G10545"/>
      <c r="H10545"/>
      <c r="I10545"/>
    </row>
    <row r="10546" spans="6:9" x14ac:dyDescent="0.3">
      <c r="F10546"/>
      <c r="G10546"/>
      <c r="H10546"/>
      <c r="I10546"/>
    </row>
    <row r="10547" spans="6:9" x14ac:dyDescent="0.3">
      <c r="F10547"/>
      <c r="G10547"/>
      <c r="H10547"/>
      <c r="I10547"/>
    </row>
    <row r="10548" spans="6:9" x14ac:dyDescent="0.3">
      <c r="F10548"/>
      <c r="G10548"/>
      <c r="H10548"/>
      <c r="I10548"/>
    </row>
    <row r="10549" spans="6:9" x14ac:dyDescent="0.3">
      <c r="F10549"/>
      <c r="G10549"/>
      <c r="H10549"/>
      <c r="I10549"/>
    </row>
    <row r="10550" spans="6:9" x14ac:dyDescent="0.3">
      <c r="F10550"/>
      <c r="G10550"/>
      <c r="H10550"/>
      <c r="I10550"/>
    </row>
    <row r="10551" spans="6:9" x14ac:dyDescent="0.3">
      <c r="F10551"/>
      <c r="G10551"/>
      <c r="H10551"/>
      <c r="I10551"/>
    </row>
    <row r="10552" spans="6:9" x14ac:dyDescent="0.3">
      <c r="F10552"/>
      <c r="G10552"/>
      <c r="H10552"/>
      <c r="I10552"/>
    </row>
    <row r="10553" spans="6:9" x14ac:dyDescent="0.3">
      <c r="F10553"/>
      <c r="G10553"/>
      <c r="H10553"/>
      <c r="I10553"/>
    </row>
    <row r="10554" spans="6:9" x14ac:dyDescent="0.3">
      <c r="F10554"/>
      <c r="G10554"/>
      <c r="H10554"/>
      <c r="I10554"/>
    </row>
    <row r="10555" spans="6:9" x14ac:dyDescent="0.3">
      <c r="F10555"/>
      <c r="G10555"/>
      <c r="H10555"/>
      <c r="I10555"/>
    </row>
    <row r="10556" spans="6:9" x14ac:dyDescent="0.3">
      <c r="F10556"/>
      <c r="G10556"/>
      <c r="H10556"/>
      <c r="I10556"/>
    </row>
    <row r="10557" spans="6:9" x14ac:dyDescent="0.3">
      <c r="F10557"/>
      <c r="G10557"/>
      <c r="H10557"/>
      <c r="I10557"/>
    </row>
    <row r="10558" spans="6:9" x14ac:dyDescent="0.3">
      <c r="F10558"/>
      <c r="G10558"/>
      <c r="H10558"/>
      <c r="I10558"/>
    </row>
    <row r="10559" spans="6:9" x14ac:dyDescent="0.3">
      <c r="F10559"/>
      <c r="G10559"/>
      <c r="H10559"/>
      <c r="I10559"/>
    </row>
    <row r="10560" spans="6:9" x14ac:dyDescent="0.3">
      <c r="F10560"/>
      <c r="G10560"/>
      <c r="H10560"/>
      <c r="I10560"/>
    </row>
    <row r="10561" spans="6:9" x14ac:dyDescent="0.3">
      <c r="F10561"/>
      <c r="G10561"/>
      <c r="H10561"/>
      <c r="I10561"/>
    </row>
    <row r="10562" spans="6:9" x14ac:dyDescent="0.3">
      <c r="F10562"/>
      <c r="G10562"/>
      <c r="H10562"/>
      <c r="I10562"/>
    </row>
    <row r="10563" spans="6:9" x14ac:dyDescent="0.3">
      <c r="F10563"/>
      <c r="G10563"/>
      <c r="H10563"/>
      <c r="I10563"/>
    </row>
    <row r="10564" spans="6:9" x14ac:dyDescent="0.3">
      <c r="F10564"/>
      <c r="G10564"/>
      <c r="H10564"/>
      <c r="I10564"/>
    </row>
    <row r="10565" spans="6:9" x14ac:dyDescent="0.3">
      <c r="F10565"/>
      <c r="G10565"/>
      <c r="H10565"/>
      <c r="I10565"/>
    </row>
    <row r="10566" spans="6:9" x14ac:dyDescent="0.3">
      <c r="F10566"/>
      <c r="G10566"/>
      <c r="H10566"/>
      <c r="I10566"/>
    </row>
    <row r="10567" spans="6:9" x14ac:dyDescent="0.3">
      <c r="F10567"/>
      <c r="G10567"/>
      <c r="H10567"/>
      <c r="I10567"/>
    </row>
    <row r="10568" spans="6:9" x14ac:dyDescent="0.3">
      <c r="F10568"/>
      <c r="G10568"/>
      <c r="H10568"/>
      <c r="I10568"/>
    </row>
    <row r="10569" spans="6:9" x14ac:dyDescent="0.3">
      <c r="F10569"/>
      <c r="G10569"/>
      <c r="H10569"/>
      <c r="I10569"/>
    </row>
    <row r="10570" spans="6:9" x14ac:dyDescent="0.3">
      <c r="F10570"/>
      <c r="G10570"/>
      <c r="H10570"/>
      <c r="I10570"/>
    </row>
    <row r="10571" spans="6:9" x14ac:dyDescent="0.3">
      <c r="F10571"/>
      <c r="G10571"/>
      <c r="H10571"/>
      <c r="I10571"/>
    </row>
    <row r="10572" spans="6:9" x14ac:dyDescent="0.3">
      <c r="F10572"/>
      <c r="G10572"/>
      <c r="H10572"/>
      <c r="I10572"/>
    </row>
    <row r="10573" spans="6:9" x14ac:dyDescent="0.3">
      <c r="F10573"/>
      <c r="G10573"/>
      <c r="H10573"/>
      <c r="I10573"/>
    </row>
    <row r="10574" spans="6:9" x14ac:dyDescent="0.3">
      <c r="F10574"/>
      <c r="G10574"/>
      <c r="H10574"/>
      <c r="I10574"/>
    </row>
    <row r="10575" spans="6:9" x14ac:dyDescent="0.3">
      <c r="F10575"/>
      <c r="G10575"/>
      <c r="H10575"/>
      <c r="I10575"/>
    </row>
    <row r="10576" spans="6:9" x14ac:dyDescent="0.3">
      <c r="F10576"/>
      <c r="G10576"/>
      <c r="H10576"/>
      <c r="I10576"/>
    </row>
    <row r="10577" spans="6:9" x14ac:dyDescent="0.3">
      <c r="F10577"/>
      <c r="G10577"/>
      <c r="H10577"/>
      <c r="I10577"/>
    </row>
    <row r="10578" spans="6:9" x14ac:dyDescent="0.3">
      <c r="F10578"/>
      <c r="G10578"/>
      <c r="H10578"/>
      <c r="I10578"/>
    </row>
    <row r="10579" spans="6:9" x14ac:dyDescent="0.3">
      <c r="F10579"/>
      <c r="G10579"/>
      <c r="H10579"/>
      <c r="I10579"/>
    </row>
    <row r="10580" spans="6:9" x14ac:dyDescent="0.3">
      <c r="F10580"/>
      <c r="G10580"/>
      <c r="H10580"/>
      <c r="I10580"/>
    </row>
    <row r="10581" spans="6:9" x14ac:dyDescent="0.3">
      <c r="F10581"/>
      <c r="G10581"/>
      <c r="H10581"/>
      <c r="I10581"/>
    </row>
    <row r="10582" spans="6:9" x14ac:dyDescent="0.3">
      <c r="F10582"/>
      <c r="G10582"/>
      <c r="H10582"/>
      <c r="I10582"/>
    </row>
    <row r="10583" spans="6:9" x14ac:dyDescent="0.3">
      <c r="F10583"/>
      <c r="G10583"/>
      <c r="H10583"/>
      <c r="I10583"/>
    </row>
    <row r="10584" spans="6:9" x14ac:dyDescent="0.3">
      <c r="F10584"/>
      <c r="G10584"/>
      <c r="H10584"/>
      <c r="I10584"/>
    </row>
    <row r="10585" spans="6:9" x14ac:dyDescent="0.3">
      <c r="F10585"/>
      <c r="G10585"/>
      <c r="H10585"/>
      <c r="I10585"/>
    </row>
    <row r="10586" spans="6:9" x14ac:dyDescent="0.3">
      <c r="F10586"/>
      <c r="G10586"/>
      <c r="H10586"/>
      <c r="I10586"/>
    </row>
    <row r="10587" spans="6:9" x14ac:dyDescent="0.3">
      <c r="F10587"/>
      <c r="G10587"/>
      <c r="H10587"/>
      <c r="I10587"/>
    </row>
    <row r="10588" spans="6:9" x14ac:dyDescent="0.3">
      <c r="F10588"/>
      <c r="G10588"/>
      <c r="H10588"/>
      <c r="I10588"/>
    </row>
    <row r="10589" spans="6:9" x14ac:dyDescent="0.3">
      <c r="F10589"/>
      <c r="G10589"/>
      <c r="H10589"/>
      <c r="I10589"/>
    </row>
    <row r="10590" spans="6:9" x14ac:dyDescent="0.3">
      <c r="F10590"/>
      <c r="G10590"/>
      <c r="H10590"/>
      <c r="I10590"/>
    </row>
    <row r="10591" spans="6:9" x14ac:dyDescent="0.3">
      <c r="F10591"/>
      <c r="G10591"/>
      <c r="H10591"/>
      <c r="I10591"/>
    </row>
    <row r="10592" spans="6:9" x14ac:dyDescent="0.3">
      <c r="F10592"/>
      <c r="G10592"/>
      <c r="H10592"/>
      <c r="I10592"/>
    </row>
    <row r="10593" spans="6:9" x14ac:dyDescent="0.3">
      <c r="F10593"/>
      <c r="G10593"/>
      <c r="H10593"/>
      <c r="I10593"/>
    </row>
    <row r="10594" spans="6:9" x14ac:dyDescent="0.3">
      <c r="F10594"/>
      <c r="G10594"/>
      <c r="H10594"/>
      <c r="I10594"/>
    </row>
    <row r="10595" spans="6:9" x14ac:dyDescent="0.3">
      <c r="F10595"/>
      <c r="G10595"/>
      <c r="H10595"/>
      <c r="I10595"/>
    </row>
    <row r="10596" spans="6:9" x14ac:dyDescent="0.3">
      <c r="F10596"/>
      <c r="G10596"/>
      <c r="H10596"/>
      <c r="I10596"/>
    </row>
    <row r="10597" spans="6:9" x14ac:dyDescent="0.3">
      <c r="F10597"/>
      <c r="G10597"/>
      <c r="H10597"/>
      <c r="I10597"/>
    </row>
    <row r="10598" spans="6:9" x14ac:dyDescent="0.3">
      <c r="F10598"/>
      <c r="G10598"/>
      <c r="H10598"/>
      <c r="I10598"/>
    </row>
    <row r="10599" spans="6:9" x14ac:dyDescent="0.3">
      <c r="F10599"/>
      <c r="G10599"/>
      <c r="H10599"/>
      <c r="I10599"/>
    </row>
    <row r="10600" spans="6:9" x14ac:dyDescent="0.3">
      <c r="F10600"/>
      <c r="G10600"/>
      <c r="H10600"/>
      <c r="I10600"/>
    </row>
    <row r="10601" spans="6:9" x14ac:dyDescent="0.3">
      <c r="F10601"/>
      <c r="G10601"/>
      <c r="H10601"/>
      <c r="I10601"/>
    </row>
    <row r="10602" spans="6:9" x14ac:dyDescent="0.3">
      <c r="F10602"/>
      <c r="G10602"/>
      <c r="H10602"/>
      <c r="I10602"/>
    </row>
    <row r="10603" spans="6:9" x14ac:dyDescent="0.3">
      <c r="F10603"/>
      <c r="G10603"/>
      <c r="H10603"/>
      <c r="I10603"/>
    </row>
    <row r="10604" spans="6:9" x14ac:dyDescent="0.3">
      <c r="F10604"/>
      <c r="G10604"/>
      <c r="H10604"/>
      <c r="I10604"/>
    </row>
    <row r="10605" spans="6:9" x14ac:dyDescent="0.3">
      <c r="F10605"/>
      <c r="G10605"/>
      <c r="H10605"/>
      <c r="I10605"/>
    </row>
    <row r="10606" spans="6:9" x14ac:dyDescent="0.3">
      <c r="F10606"/>
      <c r="G10606"/>
      <c r="H10606"/>
      <c r="I10606"/>
    </row>
    <row r="10607" spans="6:9" x14ac:dyDescent="0.3">
      <c r="F10607"/>
      <c r="G10607"/>
      <c r="H10607"/>
      <c r="I10607"/>
    </row>
    <row r="10608" spans="6:9" x14ac:dyDescent="0.3">
      <c r="F10608"/>
      <c r="G10608"/>
      <c r="H10608"/>
      <c r="I10608"/>
    </row>
    <row r="10609" spans="6:9" x14ac:dyDescent="0.3">
      <c r="F10609"/>
      <c r="G10609"/>
      <c r="H10609"/>
      <c r="I10609"/>
    </row>
    <row r="10610" spans="6:9" x14ac:dyDescent="0.3">
      <c r="F10610"/>
      <c r="G10610"/>
      <c r="H10610"/>
      <c r="I10610"/>
    </row>
    <row r="10611" spans="6:9" x14ac:dyDescent="0.3">
      <c r="F10611"/>
      <c r="G10611"/>
      <c r="H10611"/>
      <c r="I10611"/>
    </row>
    <row r="10612" spans="6:9" x14ac:dyDescent="0.3">
      <c r="F10612"/>
      <c r="G10612"/>
      <c r="H10612"/>
      <c r="I10612"/>
    </row>
    <row r="10613" spans="6:9" x14ac:dyDescent="0.3">
      <c r="F10613"/>
      <c r="G10613"/>
      <c r="H10613"/>
      <c r="I10613"/>
    </row>
    <row r="10614" spans="6:9" x14ac:dyDescent="0.3">
      <c r="F10614"/>
      <c r="G10614"/>
      <c r="H10614"/>
      <c r="I10614"/>
    </row>
    <row r="10615" spans="6:9" x14ac:dyDescent="0.3">
      <c r="F10615"/>
      <c r="G10615"/>
      <c r="H10615"/>
      <c r="I10615"/>
    </row>
    <row r="10616" spans="6:9" x14ac:dyDescent="0.3">
      <c r="F10616"/>
      <c r="G10616"/>
      <c r="H10616"/>
      <c r="I10616"/>
    </row>
    <row r="10617" spans="6:9" x14ac:dyDescent="0.3">
      <c r="F10617"/>
      <c r="G10617"/>
      <c r="H10617"/>
      <c r="I10617"/>
    </row>
    <row r="10618" spans="6:9" x14ac:dyDescent="0.3">
      <c r="F10618"/>
      <c r="G10618"/>
      <c r="H10618"/>
      <c r="I10618"/>
    </row>
    <row r="10619" spans="6:9" x14ac:dyDescent="0.3">
      <c r="F10619"/>
      <c r="G10619"/>
      <c r="H10619"/>
      <c r="I10619"/>
    </row>
    <row r="10620" spans="6:9" x14ac:dyDescent="0.3">
      <c r="F10620"/>
      <c r="G10620"/>
      <c r="H10620"/>
      <c r="I10620"/>
    </row>
    <row r="10621" spans="6:9" x14ac:dyDescent="0.3">
      <c r="F10621"/>
      <c r="G10621"/>
      <c r="H10621"/>
      <c r="I10621"/>
    </row>
    <row r="10622" spans="6:9" x14ac:dyDescent="0.3">
      <c r="F10622"/>
      <c r="G10622"/>
      <c r="H10622"/>
      <c r="I10622"/>
    </row>
    <row r="10623" spans="6:9" x14ac:dyDescent="0.3">
      <c r="F10623"/>
      <c r="G10623"/>
      <c r="H10623"/>
      <c r="I10623"/>
    </row>
    <row r="10624" spans="6:9" x14ac:dyDescent="0.3">
      <c r="F10624"/>
      <c r="G10624"/>
      <c r="H10624"/>
      <c r="I10624"/>
    </row>
    <row r="10625" spans="6:9" x14ac:dyDescent="0.3">
      <c r="F10625"/>
      <c r="G10625"/>
      <c r="H10625"/>
      <c r="I10625"/>
    </row>
    <row r="10626" spans="6:9" x14ac:dyDescent="0.3">
      <c r="F10626"/>
      <c r="G10626"/>
      <c r="H10626"/>
      <c r="I10626"/>
    </row>
    <row r="10627" spans="6:9" x14ac:dyDescent="0.3">
      <c r="F10627"/>
      <c r="G10627"/>
      <c r="H10627"/>
      <c r="I10627"/>
    </row>
    <row r="10628" spans="6:9" x14ac:dyDescent="0.3">
      <c r="F10628"/>
      <c r="G10628"/>
      <c r="H10628"/>
      <c r="I10628"/>
    </row>
    <row r="10629" spans="6:9" x14ac:dyDescent="0.3">
      <c r="F10629"/>
      <c r="G10629"/>
      <c r="H10629"/>
      <c r="I10629"/>
    </row>
    <row r="10630" spans="6:9" x14ac:dyDescent="0.3">
      <c r="F10630"/>
      <c r="G10630"/>
      <c r="H10630"/>
      <c r="I10630"/>
    </row>
    <row r="10631" spans="6:9" x14ac:dyDescent="0.3">
      <c r="F10631"/>
      <c r="G10631"/>
      <c r="H10631"/>
      <c r="I10631"/>
    </row>
    <row r="10632" spans="6:9" x14ac:dyDescent="0.3">
      <c r="F10632"/>
      <c r="G10632"/>
      <c r="H10632"/>
      <c r="I10632"/>
    </row>
    <row r="10633" spans="6:9" x14ac:dyDescent="0.3">
      <c r="F10633"/>
      <c r="G10633"/>
      <c r="H10633"/>
      <c r="I10633"/>
    </row>
    <row r="10634" spans="6:9" x14ac:dyDescent="0.3">
      <c r="F10634"/>
      <c r="G10634"/>
      <c r="H10634"/>
      <c r="I10634"/>
    </row>
    <row r="10635" spans="6:9" x14ac:dyDescent="0.3">
      <c r="F10635"/>
      <c r="G10635"/>
      <c r="H10635"/>
      <c r="I10635"/>
    </row>
    <row r="10636" spans="6:9" x14ac:dyDescent="0.3">
      <c r="F10636"/>
      <c r="G10636"/>
      <c r="H10636"/>
      <c r="I10636"/>
    </row>
    <row r="10637" spans="6:9" x14ac:dyDescent="0.3">
      <c r="F10637"/>
      <c r="G10637"/>
      <c r="H10637"/>
      <c r="I10637"/>
    </row>
    <row r="10638" spans="6:9" x14ac:dyDescent="0.3">
      <c r="F10638"/>
      <c r="G10638"/>
      <c r="H10638"/>
      <c r="I10638"/>
    </row>
    <row r="10639" spans="6:9" x14ac:dyDescent="0.3">
      <c r="F10639"/>
      <c r="G10639"/>
      <c r="H10639"/>
      <c r="I10639"/>
    </row>
    <row r="10640" spans="6:9" x14ac:dyDescent="0.3">
      <c r="F10640"/>
      <c r="G10640"/>
      <c r="H10640"/>
      <c r="I10640"/>
    </row>
    <row r="10641" spans="6:9" x14ac:dyDescent="0.3">
      <c r="F10641"/>
      <c r="G10641"/>
      <c r="H10641"/>
      <c r="I10641"/>
    </row>
    <row r="10642" spans="6:9" x14ac:dyDescent="0.3">
      <c r="F10642"/>
      <c r="G10642"/>
      <c r="H10642"/>
      <c r="I10642"/>
    </row>
    <row r="10643" spans="6:9" x14ac:dyDescent="0.3">
      <c r="F10643"/>
      <c r="G10643"/>
      <c r="H10643"/>
      <c r="I10643"/>
    </row>
    <row r="10644" spans="6:9" x14ac:dyDescent="0.3">
      <c r="F10644"/>
      <c r="G10644"/>
      <c r="H10644"/>
      <c r="I10644"/>
    </row>
    <row r="10645" spans="6:9" x14ac:dyDescent="0.3">
      <c r="F10645"/>
      <c r="G10645"/>
      <c r="H10645"/>
      <c r="I10645"/>
    </row>
    <row r="10646" spans="6:9" x14ac:dyDescent="0.3">
      <c r="F10646"/>
      <c r="G10646"/>
      <c r="H10646"/>
      <c r="I10646"/>
    </row>
    <row r="10647" spans="6:9" x14ac:dyDescent="0.3">
      <c r="F10647"/>
      <c r="G10647"/>
      <c r="H10647"/>
      <c r="I10647"/>
    </row>
    <row r="10648" spans="6:9" x14ac:dyDescent="0.3">
      <c r="F10648"/>
      <c r="G10648"/>
      <c r="H10648"/>
      <c r="I10648"/>
    </row>
    <row r="10649" spans="6:9" x14ac:dyDescent="0.3">
      <c r="F10649"/>
      <c r="G10649"/>
      <c r="H10649"/>
      <c r="I10649"/>
    </row>
    <row r="10650" spans="6:9" x14ac:dyDescent="0.3">
      <c r="F10650"/>
      <c r="G10650"/>
      <c r="H10650"/>
      <c r="I10650"/>
    </row>
    <row r="10651" spans="6:9" x14ac:dyDescent="0.3">
      <c r="F10651"/>
      <c r="G10651"/>
      <c r="H10651"/>
      <c r="I10651"/>
    </row>
    <row r="10652" spans="6:9" x14ac:dyDescent="0.3">
      <c r="F10652"/>
      <c r="G10652"/>
      <c r="H10652"/>
      <c r="I10652"/>
    </row>
    <row r="10653" spans="6:9" x14ac:dyDescent="0.3">
      <c r="F10653"/>
      <c r="G10653"/>
      <c r="H10653"/>
      <c r="I10653"/>
    </row>
    <row r="10654" spans="6:9" x14ac:dyDescent="0.3">
      <c r="F10654"/>
      <c r="G10654"/>
      <c r="H10654"/>
      <c r="I10654"/>
    </row>
    <row r="10655" spans="6:9" x14ac:dyDescent="0.3">
      <c r="F10655"/>
      <c r="G10655"/>
      <c r="H10655"/>
      <c r="I10655"/>
    </row>
    <row r="10656" spans="6:9" x14ac:dyDescent="0.3">
      <c r="F10656"/>
      <c r="G10656"/>
      <c r="H10656"/>
      <c r="I10656"/>
    </row>
    <row r="10657" spans="6:9" x14ac:dyDescent="0.3">
      <c r="F10657"/>
      <c r="G10657"/>
      <c r="H10657"/>
      <c r="I10657"/>
    </row>
    <row r="10658" spans="6:9" x14ac:dyDescent="0.3">
      <c r="F10658"/>
      <c r="G10658"/>
      <c r="H10658"/>
      <c r="I10658"/>
    </row>
    <row r="10659" spans="6:9" x14ac:dyDescent="0.3">
      <c r="F10659"/>
      <c r="G10659"/>
      <c r="H10659"/>
      <c r="I10659"/>
    </row>
    <row r="10660" spans="6:9" x14ac:dyDescent="0.3">
      <c r="F10660"/>
      <c r="G10660"/>
      <c r="H10660"/>
      <c r="I10660"/>
    </row>
    <row r="10661" spans="6:9" x14ac:dyDescent="0.3">
      <c r="F10661"/>
      <c r="G10661"/>
      <c r="H10661"/>
      <c r="I10661"/>
    </row>
    <row r="10662" spans="6:9" x14ac:dyDescent="0.3">
      <c r="F10662"/>
      <c r="G10662"/>
      <c r="H10662"/>
      <c r="I10662"/>
    </row>
    <row r="10663" spans="6:9" x14ac:dyDescent="0.3">
      <c r="F10663"/>
      <c r="G10663"/>
      <c r="H10663"/>
      <c r="I10663"/>
    </row>
    <row r="10664" spans="6:9" x14ac:dyDescent="0.3">
      <c r="F10664"/>
      <c r="G10664"/>
      <c r="H10664"/>
      <c r="I10664"/>
    </row>
    <row r="10665" spans="6:9" x14ac:dyDescent="0.3">
      <c r="F10665"/>
      <c r="G10665"/>
      <c r="H10665"/>
      <c r="I10665"/>
    </row>
    <row r="10666" spans="6:9" x14ac:dyDescent="0.3">
      <c r="F10666"/>
      <c r="G10666"/>
      <c r="H10666"/>
      <c r="I10666"/>
    </row>
    <row r="10667" spans="6:9" x14ac:dyDescent="0.3">
      <c r="F10667"/>
      <c r="G10667"/>
      <c r="H10667"/>
      <c r="I10667"/>
    </row>
    <row r="10668" spans="6:9" x14ac:dyDescent="0.3">
      <c r="F10668"/>
      <c r="G10668"/>
      <c r="H10668"/>
      <c r="I10668"/>
    </row>
    <row r="10669" spans="6:9" x14ac:dyDescent="0.3">
      <c r="F10669"/>
      <c r="G10669"/>
      <c r="H10669"/>
      <c r="I10669"/>
    </row>
    <row r="10670" spans="6:9" x14ac:dyDescent="0.3">
      <c r="F10670"/>
      <c r="G10670"/>
      <c r="H10670"/>
      <c r="I10670"/>
    </row>
    <row r="10671" spans="6:9" x14ac:dyDescent="0.3">
      <c r="F10671"/>
      <c r="G10671"/>
      <c r="H10671"/>
      <c r="I10671"/>
    </row>
    <row r="10672" spans="6:9" x14ac:dyDescent="0.3">
      <c r="F10672"/>
      <c r="G10672"/>
      <c r="H10672"/>
      <c r="I10672"/>
    </row>
    <row r="10673" spans="6:9" x14ac:dyDescent="0.3">
      <c r="F10673"/>
      <c r="G10673"/>
      <c r="H10673"/>
      <c r="I10673"/>
    </row>
    <row r="10674" spans="6:9" x14ac:dyDescent="0.3">
      <c r="F10674"/>
      <c r="G10674"/>
      <c r="H10674"/>
      <c r="I10674"/>
    </row>
    <row r="10675" spans="6:9" x14ac:dyDescent="0.3">
      <c r="F10675"/>
      <c r="G10675"/>
      <c r="H10675"/>
      <c r="I10675"/>
    </row>
    <row r="10676" spans="6:9" x14ac:dyDescent="0.3">
      <c r="F10676"/>
      <c r="G10676"/>
      <c r="H10676"/>
      <c r="I10676"/>
    </row>
    <row r="10677" spans="6:9" x14ac:dyDescent="0.3">
      <c r="F10677"/>
      <c r="G10677"/>
      <c r="H10677"/>
      <c r="I10677"/>
    </row>
    <row r="10678" spans="6:9" x14ac:dyDescent="0.3">
      <c r="F10678"/>
      <c r="G10678"/>
      <c r="H10678"/>
      <c r="I10678"/>
    </row>
    <row r="10679" spans="6:9" x14ac:dyDescent="0.3">
      <c r="F10679"/>
      <c r="G10679"/>
      <c r="H10679"/>
      <c r="I10679"/>
    </row>
    <row r="10680" spans="6:9" x14ac:dyDescent="0.3">
      <c r="F10680"/>
      <c r="G10680"/>
      <c r="H10680"/>
      <c r="I10680"/>
    </row>
    <row r="10681" spans="6:9" x14ac:dyDescent="0.3">
      <c r="F10681"/>
      <c r="G10681"/>
      <c r="H10681"/>
      <c r="I10681"/>
    </row>
    <row r="10682" spans="6:9" x14ac:dyDescent="0.3">
      <c r="F10682"/>
      <c r="G10682"/>
      <c r="H10682"/>
      <c r="I10682"/>
    </row>
    <row r="10683" spans="6:9" x14ac:dyDescent="0.3">
      <c r="F10683"/>
      <c r="G10683"/>
      <c r="H10683"/>
      <c r="I10683"/>
    </row>
    <row r="10684" spans="6:9" x14ac:dyDescent="0.3">
      <c r="F10684"/>
      <c r="G10684"/>
      <c r="H10684"/>
      <c r="I10684"/>
    </row>
    <row r="10685" spans="6:9" x14ac:dyDescent="0.3">
      <c r="F10685"/>
      <c r="G10685"/>
      <c r="H10685"/>
      <c r="I10685"/>
    </row>
    <row r="10686" spans="6:9" x14ac:dyDescent="0.3">
      <c r="F10686"/>
      <c r="G10686"/>
      <c r="H10686"/>
      <c r="I10686"/>
    </row>
    <row r="10687" spans="6:9" x14ac:dyDescent="0.3">
      <c r="F10687"/>
      <c r="G10687"/>
      <c r="H10687"/>
      <c r="I10687"/>
    </row>
    <row r="10688" spans="6:9" x14ac:dyDescent="0.3">
      <c r="F10688"/>
      <c r="G10688"/>
      <c r="H10688"/>
      <c r="I10688"/>
    </row>
    <row r="10689" spans="6:9" x14ac:dyDescent="0.3">
      <c r="F10689"/>
      <c r="G10689"/>
      <c r="H10689"/>
      <c r="I10689"/>
    </row>
    <row r="10690" spans="6:9" x14ac:dyDescent="0.3">
      <c r="F10690"/>
      <c r="G10690"/>
      <c r="H10690"/>
      <c r="I10690"/>
    </row>
    <row r="10691" spans="6:9" x14ac:dyDescent="0.3">
      <c r="F10691"/>
      <c r="G10691"/>
      <c r="H10691"/>
      <c r="I10691"/>
    </row>
    <row r="10692" spans="6:9" x14ac:dyDescent="0.3">
      <c r="F10692"/>
      <c r="G10692"/>
      <c r="H10692"/>
      <c r="I10692"/>
    </row>
    <row r="10693" spans="6:9" x14ac:dyDescent="0.3">
      <c r="F10693"/>
      <c r="G10693"/>
      <c r="H10693"/>
      <c r="I10693"/>
    </row>
    <row r="10694" spans="6:9" x14ac:dyDescent="0.3">
      <c r="F10694"/>
      <c r="G10694"/>
      <c r="H10694"/>
      <c r="I10694"/>
    </row>
    <row r="10695" spans="6:9" x14ac:dyDescent="0.3">
      <c r="F10695"/>
      <c r="G10695"/>
      <c r="H10695"/>
      <c r="I10695"/>
    </row>
    <row r="10696" spans="6:9" x14ac:dyDescent="0.3">
      <c r="F10696"/>
      <c r="G10696"/>
      <c r="H10696"/>
      <c r="I10696"/>
    </row>
    <row r="10697" spans="6:9" x14ac:dyDescent="0.3">
      <c r="F10697"/>
      <c r="G10697"/>
      <c r="H10697"/>
      <c r="I10697"/>
    </row>
    <row r="10698" spans="6:9" x14ac:dyDescent="0.3">
      <c r="F10698"/>
      <c r="G10698"/>
      <c r="H10698"/>
      <c r="I10698"/>
    </row>
    <row r="10699" spans="6:9" x14ac:dyDescent="0.3">
      <c r="F10699"/>
      <c r="G10699"/>
      <c r="H10699"/>
      <c r="I10699"/>
    </row>
    <row r="10700" spans="6:9" x14ac:dyDescent="0.3">
      <c r="F10700"/>
      <c r="G10700"/>
      <c r="H10700"/>
      <c r="I10700"/>
    </row>
    <row r="10701" spans="6:9" x14ac:dyDescent="0.3">
      <c r="F10701"/>
      <c r="G10701"/>
      <c r="H10701"/>
      <c r="I10701"/>
    </row>
    <row r="10702" spans="6:9" x14ac:dyDescent="0.3">
      <c r="F10702"/>
      <c r="G10702"/>
      <c r="H10702"/>
      <c r="I10702"/>
    </row>
    <row r="10703" spans="6:9" x14ac:dyDescent="0.3">
      <c r="F10703"/>
      <c r="G10703"/>
      <c r="H10703"/>
      <c r="I10703"/>
    </row>
    <row r="10704" spans="6:9" x14ac:dyDescent="0.3">
      <c r="F10704"/>
      <c r="G10704"/>
      <c r="H10704"/>
      <c r="I10704"/>
    </row>
    <row r="10705" spans="6:9" x14ac:dyDescent="0.3">
      <c r="F10705"/>
      <c r="G10705"/>
      <c r="H10705"/>
      <c r="I10705"/>
    </row>
    <row r="10706" spans="6:9" x14ac:dyDescent="0.3">
      <c r="F10706"/>
      <c r="G10706"/>
      <c r="H10706"/>
      <c r="I10706"/>
    </row>
    <row r="10707" spans="6:9" x14ac:dyDescent="0.3">
      <c r="F10707"/>
      <c r="G10707"/>
      <c r="H10707"/>
      <c r="I10707"/>
    </row>
    <row r="10708" spans="6:9" x14ac:dyDescent="0.3">
      <c r="F10708"/>
      <c r="G10708"/>
      <c r="H10708"/>
      <c r="I10708"/>
    </row>
    <row r="10709" spans="6:9" x14ac:dyDescent="0.3">
      <c r="F10709"/>
      <c r="G10709"/>
      <c r="H10709"/>
      <c r="I10709"/>
    </row>
    <row r="10710" spans="6:9" x14ac:dyDescent="0.3">
      <c r="F10710"/>
      <c r="G10710"/>
      <c r="H10710"/>
      <c r="I10710"/>
    </row>
    <row r="10711" spans="6:9" x14ac:dyDescent="0.3">
      <c r="F10711"/>
      <c r="G10711"/>
      <c r="H10711"/>
      <c r="I10711"/>
    </row>
    <row r="10712" spans="6:9" x14ac:dyDescent="0.3">
      <c r="F10712"/>
      <c r="G10712"/>
      <c r="H10712"/>
      <c r="I10712"/>
    </row>
    <row r="10713" spans="6:9" x14ac:dyDescent="0.3">
      <c r="F10713"/>
      <c r="G10713"/>
      <c r="H10713"/>
      <c r="I10713"/>
    </row>
    <row r="10714" spans="6:9" x14ac:dyDescent="0.3">
      <c r="F10714"/>
      <c r="G10714"/>
      <c r="H10714"/>
      <c r="I10714"/>
    </row>
    <row r="10715" spans="6:9" x14ac:dyDescent="0.3">
      <c r="F10715"/>
      <c r="G10715"/>
      <c r="H10715"/>
      <c r="I10715"/>
    </row>
    <row r="10716" spans="6:9" x14ac:dyDescent="0.3">
      <c r="F10716"/>
      <c r="G10716"/>
      <c r="H10716"/>
      <c r="I10716"/>
    </row>
    <row r="10717" spans="6:9" x14ac:dyDescent="0.3">
      <c r="F10717"/>
      <c r="G10717"/>
      <c r="H10717"/>
      <c r="I10717"/>
    </row>
    <row r="10718" spans="6:9" x14ac:dyDescent="0.3">
      <c r="F10718"/>
      <c r="G10718"/>
      <c r="H10718"/>
      <c r="I10718"/>
    </row>
    <row r="10719" spans="6:9" x14ac:dyDescent="0.3">
      <c r="F10719"/>
      <c r="G10719"/>
      <c r="H10719"/>
      <c r="I10719"/>
    </row>
    <row r="10720" spans="6:9" x14ac:dyDescent="0.3">
      <c r="F10720"/>
      <c r="G10720"/>
      <c r="H10720"/>
      <c r="I10720"/>
    </row>
    <row r="10721" spans="6:9" x14ac:dyDescent="0.3">
      <c r="F10721"/>
      <c r="G10721"/>
      <c r="H10721"/>
      <c r="I10721"/>
    </row>
    <row r="10722" spans="6:9" x14ac:dyDescent="0.3">
      <c r="F10722"/>
      <c r="G10722"/>
      <c r="H10722"/>
      <c r="I10722"/>
    </row>
    <row r="10723" spans="6:9" x14ac:dyDescent="0.3">
      <c r="F10723"/>
      <c r="G10723"/>
      <c r="H10723"/>
      <c r="I10723"/>
    </row>
    <row r="10724" spans="6:9" x14ac:dyDescent="0.3">
      <c r="F10724"/>
      <c r="G10724"/>
      <c r="H10724"/>
      <c r="I10724"/>
    </row>
    <row r="10725" spans="6:9" x14ac:dyDescent="0.3">
      <c r="F10725"/>
      <c r="G10725"/>
      <c r="H10725"/>
      <c r="I10725"/>
    </row>
    <row r="10726" spans="6:9" x14ac:dyDescent="0.3">
      <c r="F10726"/>
      <c r="G10726"/>
      <c r="H10726"/>
      <c r="I10726"/>
    </row>
    <row r="10727" spans="6:9" x14ac:dyDescent="0.3">
      <c r="F10727"/>
      <c r="G10727"/>
      <c r="H10727"/>
      <c r="I10727"/>
    </row>
    <row r="10728" spans="6:9" x14ac:dyDescent="0.3">
      <c r="F10728"/>
      <c r="G10728"/>
      <c r="H10728"/>
      <c r="I10728"/>
    </row>
    <row r="10729" spans="6:9" x14ac:dyDescent="0.3">
      <c r="F10729"/>
      <c r="G10729"/>
      <c r="H10729"/>
      <c r="I10729"/>
    </row>
    <row r="10730" spans="6:9" x14ac:dyDescent="0.3">
      <c r="F10730"/>
      <c r="G10730"/>
      <c r="H10730"/>
      <c r="I10730"/>
    </row>
    <row r="10731" spans="6:9" x14ac:dyDescent="0.3">
      <c r="F10731"/>
      <c r="G10731"/>
      <c r="H10731"/>
      <c r="I10731"/>
    </row>
    <row r="10732" spans="6:9" x14ac:dyDescent="0.3">
      <c r="F10732"/>
      <c r="G10732"/>
      <c r="H10732"/>
      <c r="I10732"/>
    </row>
    <row r="10733" spans="6:9" x14ac:dyDescent="0.3">
      <c r="F10733"/>
      <c r="G10733"/>
      <c r="H10733"/>
      <c r="I10733"/>
    </row>
    <row r="10734" spans="6:9" x14ac:dyDescent="0.3">
      <c r="F10734"/>
      <c r="G10734"/>
      <c r="H10734"/>
      <c r="I10734"/>
    </row>
    <row r="10735" spans="6:9" x14ac:dyDescent="0.3">
      <c r="F10735"/>
      <c r="G10735"/>
      <c r="H10735"/>
      <c r="I10735"/>
    </row>
    <row r="10736" spans="6:9" x14ac:dyDescent="0.3">
      <c r="F10736"/>
      <c r="G10736"/>
      <c r="H10736"/>
      <c r="I10736"/>
    </row>
    <row r="10737" spans="6:9" x14ac:dyDescent="0.3">
      <c r="F10737"/>
      <c r="G10737"/>
      <c r="H10737"/>
      <c r="I10737"/>
    </row>
    <row r="10738" spans="6:9" x14ac:dyDescent="0.3">
      <c r="F10738"/>
      <c r="G10738"/>
      <c r="H10738"/>
      <c r="I10738"/>
    </row>
    <row r="10739" spans="6:9" x14ac:dyDescent="0.3">
      <c r="F10739"/>
      <c r="G10739"/>
      <c r="H10739"/>
      <c r="I10739"/>
    </row>
    <row r="10740" spans="6:9" x14ac:dyDescent="0.3">
      <c r="F10740"/>
      <c r="G10740"/>
      <c r="H10740"/>
      <c r="I10740"/>
    </row>
    <row r="10741" spans="6:9" x14ac:dyDescent="0.3">
      <c r="F10741"/>
      <c r="G10741"/>
      <c r="H10741"/>
      <c r="I10741"/>
    </row>
    <row r="10742" spans="6:9" x14ac:dyDescent="0.3">
      <c r="F10742"/>
      <c r="G10742"/>
      <c r="H10742"/>
      <c r="I10742"/>
    </row>
    <row r="10743" spans="6:9" x14ac:dyDescent="0.3">
      <c r="F10743"/>
      <c r="G10743"/>
      <c r="H10743"/>
      <c r="I10743"/>
    </row>
    <row r="10744" spans="6:9" x14ac:dyDescent="0.3">
      <c r="F10744"/>
      <c r="G10744"/>
      <c r="H10744"/>
      <c r="I10744"/>
    </row>
    <row r="10745" spans="6:9" x14ac:dyDescent="0.3">
      <c r="F10745"/>
      <c r="G10745"/>
      <c r="H10745"/>
      <c r="I10745"/>
    </row>
    <row r="10746" spans="6:9" x14ac:dyDescent="0.3">
      <c r="F10746"/>
      <c r="G10746"/>
      <c r="H10746"/>
      <c r="I10746"/>
    </row>
    <row r="10747" spans="6:9" x14ac:dyDescent="0.3">
      <c r="F10747"/>
      <c r="G10747"/>
      <c r="H10747"/>
      <c r="I10747"/>
    </row>
    <row r="10748" spans="6:9" x14ac:dyDescent="0.3">
      <c r="F10748"/>
      <c r="G10748"/>
      <c r="H10748"/>
      <c r="I10748"/>
    </row>
    <row r="10749" spans="6:9" x14ac:dyDescent="0.3">
      <c r="F10749"/>
      <c r="G10749"/>
      <c r="H10749"/>
      <c r="I10749"/>
    </row>
    <row r="10750" spans="6:9" x14ac:dyDescent="0.3">
      <c r="F10750"/>
      <c r="G10750"/>
      <c r="H10750"/>
      <c r="I10750"/>
    </row>
    <row r="10751" spans="6:9" x14ac:dyDescent="0.3">
      <c r="F10751"/>
      <c r="G10751"/>
      <c r="H10751"/>
      <c r="I10751"/>
    </row>
    <row r="10752" spans="6:9" x14ac:dyDescent="0.3">
      <c r="F10752"/>
      <c r="G10752"/>
      <c r="H10752"/>
      <c r="I10752"/>
    </row>
    <row r="10753" spans="6:9" x14ac:dyDescent="0.3">
      <c r="F10753"/>
      <c r="G10753"/>
      <c r="H10753"/>
      <c r="I10753"/>
    </row>
    <row r="10754" spans="6:9" x14ac:dyDescent="0.3">
      <c r="F10754"/>
      <c r="G10754"/>
      <c r="H10754"/>
      <c r="I10754"/>
    </row>
    <row r="10755" spans="6:9" x14ac:dyDescent="0.3">
      <c r="F10755"/>
      <c r="G10755"/>
      <c r="H10755"/>
      <c r="I10755"/>
    </row>
    <row r="10756" spans="6:9" x14ac:dyDescent="0.3">
      <c r="F10756"/>
      <c r="G10756"/>
      <c r="H10756"/>
      <c r="I10756"/>
    </row>
    <row r="10757" spans="6:9" x14ac:dyDescent="0.3">
      <c r="F10757"/>
      <c r="G10757"/>
      <c r="H10757"/>
      <c r="I10757"/>
    </row>
    <row r="10758" spans="6:9" x14ac:dyDescent="0.3">
      <c r="F10758"/>
      <c r="G10758"/>
      <c r="H10758"/>
      <c r="I10758"/>
    </row>
    <row r="10759" spans="6:9" x14ac:dyDescent="0.3">
      <c r="F10759"/>
      <c r="G10759"/>
      <c r="H10759"/>
      <c r="I10759"/>
    </row>
    <row r="10760" spans="6:9" x14ac:dyDescent="0.3">
      <c r="F10760"/>
      <c r="G10760"/>
      <c r="H10760"/>
      <c r="I10760"/>
    </row>
    <row r="10761" spans="6:9" x14ac:dyDescent="0.3">
      <c r="F10761"/>
      <c r="G10761"/>
      <c r="H10761"/>
      <c r="I10761"/>
    </row>
    <row r="10762" spans="6:9" x14ac:dyDescent="0.3">
      <c r="F10762"/>
      <c r="G10762"/>
      <c r="H10762"/>
      <c r="I10762"/>
    </row>
    <row r="10763" spans="6:9" x14ac:dyDescent="0.3">
      <c r="F10763"/>
      <c r="G10763"/>
      <c r="H10763"/>
      <c r="I10763"/>
    </row>
    <row r="10764" spans="6:9" x14ac:dyDescent="0.3">
      <c r="F10764"/>
      <c r="G10764"/>
      <c r="H10764"/>
      <c r="I10764"/>
    </row>
    <row r="10765" spans="6:9" x14ac:dyDescent="0.3">
      <c r="F10765"/>
      <c r="G10765"/>
      <c r="H10765"/>
      <c r="I10765"/>
    </row>
    <row r="10766" spans="6:9" x14ac:dyDescent="0.3">
      <c r="F10766"/>
      <c r="G10766"/>
      <c r="H10766"/>
      <c r="I10766"/>
    </row>
    <row r="10767" spans="6:9" x14ac:dyDescent="0.3">
      <c r="F10767"/>
      <c r="G10767"/>
      <c r="H10767"/>
      <c r="I10767"/>
    </row>
    <row r="10768" spans="6:9" x14ac:dyDescent="0.3">
      <c r="F10768"/>
      <c r="G10768"/>
      <c r="H10768"/>
      <c r="I10768"/>
    </row>
    <row r="10769" spans="6:9" x14ac:dyDescent="0.3">
      <c r="F10769"/>
      <c r="G10769"/>
      <c r="H10769"/>
      <c r="I10769"/>
    </row>
    <row r="10770" spans="6:9" x14ac:dyDescent="0.3">
      <c r="F10770"/>
      <c r="G10770"/>
      <c r="H10770"/>
      <c r="I10770"/>
    </row>
    <row r="10771" spans="6:9" x14ac:dyDescent="0.3">
      <c r="F10771"/>
      <c r="G10771"/>
      <c r="H10771"/>
      <c r="I10771"/>
    </row>
    <row r="10772" spans="6:9" x14ac:dyDescent="0.3">
      <c r="F10772"/>
      <c r="G10772"/>
      <c r="H10772"/>
      <c r="I10772"/>
    </row>
    <row r="10773" spans="6:9" x14ac:dyDescent="0.3">
      <c r="F10773"/>
      <c r="G10773"/>
      <c r="H10773"/>
      <c r="I10773"/>
    </row>
    <row r="10774" spans="6:9" x14ac:dyDescent="0.3">
      <c r="F10774"/>
      <c r="G10774"/>
      <c r="H10774"/>
      <c r="I10774"/>
    </row>
    <row r="10775" spans="6:9" x14ac:dyDescent="0.3">
      <c r="F10775"/>
      <c r="G10775"/>
      <c r="H10775"/>
      <c r="I10775"/>
    </row>
    <row r="10776" spans="6:9" x14ac:dyDescent="0.3">
      <c r="F10776"/>
      <c r="G10776"/>
      <c r="H10776"/>
      <c r="I10776"/>
    </row>
    <row r="10777" spans="6:9" x14ac:dyDescent="0.3">
      <c r="F10777"/>
      <c r="G10777"/>
      <c r="H10777"/>
      <c r="I10777"/>
    </row>
    <row r="10778" spans="6:9" x14ac:dyDescent="0.3">
      <c r="F10778"/>
      <c r="G10778"/>
      <c r="H10778"/>
      <c r="I10778"/>
    </row>
    <row r="10779" spans="6:9" x14ac:dyDescent="0.3">
      <c r="F10779"/>
      <c r="G10779"/>
      <c r="H10779"/>
      <c r="I10779"/>
    </row>
    <row r="10780" spans="6:9" x14ac:dyDescent="0.3">
      <c r="F10780"/>
      <c r="G10780"/>
      <c r="H10780"/>
      <c r="I10780"/>
    </row>
    <row r="10781" spans="6:9" x14ac:dyDescent="0.3">
      <c r="F10781"/>
      <c r="G10781"/>
      <c r="H10781"/>
      <c r="I10781"/>
    </row>
    <row r="10782" spans="6:9" x14ac:dyDescent="0.3">
      <c r="F10782"/>
      <c r="G10782"/>
      <c r="H10782"/>
      <c r="I10782"/>
    </row>
    <row r="10783" spans="6:9" x14ac:dyDescent="0.3">
      <c r="F10783"/>
      <c r="G10783"/>
      <c r="H10783"/>
      <c r="I10783"/>
    </row>
    <row r="10784" spans="6:9" x14ac:dyDescent="0.3">
      <c r="F10784"/>
      <c r="G10784"/>
      <c r="H10784"/>
      <c r="I10784"/>
    </row>
    <row r="10785" spans="6:9" x14ac:dyDescent="0.3">
      <c r="F10785"/>
      <c r="G10785"/>
      <c r="H10785"/>
      <c r="I10785"/>
    </row>
    <row r="10786" spans="6:9" x14ac:dyDescent="0.3">
      <c r="F10786"/>
      <c r="G10786"/>
      <c r="H10786"/>
      <c r="I10786"/>
    </row>
    <row r="10787" spans="6:9" x14ac:dyDescent="0.3">
      <c r="F10787"/>
      <c r="G10787"/>
      <c r="H10787"/>
      <c r="I10787"/>
    </row>
    <row r="10788" spans="6:9" x14ac:dyDescent="0.3">
      <c r="F10788"/>
      <c r="G10788"/>
      <c r="H10788"/>
      <c r="I10788"/>
    </row>
    <row r="10789" spans="6:9" x14ac:dyDescent="0.3">
      <c r="F10789"/>
      <c r="G10789"/>
      <c r="H10789"/>
      <c r="I10789"/>
    </row>
    <row r="10790" spans="6:9" x14ac:dyDescent="0.3">
      <c r="F10790"/>
      <c r="G10790"/>
      <c r="H10790"/>
      <c r="I10790"/>
    </row>
    <row r="10791" spans="6:9" x14ac:dyDescent="0.3">
      <c r="F10791"/>
      <c r="G10791"/>
      <c r="H10791"/>
      <c r="I10791"/>
    </row>
    <row r="10792" spans="6:9" x14ac:dyDescent="0.3">
      <c r="F10792"/>
      <c r="G10792"/>
      <c r="H10792"/>
      <c r="I10792"/>
    </row>
    <row r="10793" spans="6:9" x14ac:dyDescent="0.3">
      <c r="F10793"/>
      <c r="G10793"/>
      <c r="H10793"/>
      <c r="I10793"/>
    </row>
    <row r="10794" spans="6:9" x14ac:dyDescent="0.3">
      <c r="F10794"/>
      <c r="G10794"/>
      <c r="H10794"/>
      <c r="I10794"/>
    </row>
    <row r="10795" spans="6:9" x14ac:dyDescent="0.3">
      <c r="F10795"/>
      <c r="G10795"/>
      <c r="H10795"/>
      <c r="I10795"/>
    </row>
    <row r="10796" spans="6:9" x14ac:dyDescent="0.3">
      <c r="F10796"/>
      <c r="G10796"/>
      <c r="H10796"/>
      <c r="I10796"/>
    </row>
    <row r="10797" spans="6:9" x14ac:dyDescent="0.3">
      <c r="F10797"/>
      <c r="G10797"/>
      <c r="H10797"/>
      <c r="I10797"/>
    </row>
    <row r="10798" spans="6:9" x14ac:dyDescent="0.3">
      <c r="F10798"/>
      <c r="G10798"/>
      <c r="H10798"/>
      <c r="I10798"/>
    </row>
    <row r="10799" spans="6:9" x14ac:dyDescent="0.3">
      <c r="F10799"/>
      <c r="G10799"/>
      <c r="H10799"/>
      <c r="I10799"/>
    </row>
    <row r="10800" spans="6:9" x14ac:dyDescent="0.3">
      <c r="F10800"/>
      <c r="G10800"/>
      <c r="H10800"/>
      <c r="I10800"/>
    </row>
    <row r="10801" spans="6:9" x14ac:dyDescent="0.3">
      <c r="F10801"/>
      <c r="G10801"/>
      <c r="H10801"/>
      <c r="I10801"/>
    </row>
    <row r="10802" spans="6:9" x14ac:dyDescent="0.3">
      <c r="F10802"/>
      <c r="G10802"/>
      <c r="H10802"/>
      <c r="I10802"/>
    </row>
    <row r="10803" spans="6:9" x14ac:dyDescent="0.3">
      <c r="F10803"/>
      <c r="G10803"/>
      <c r="H10803"/>
      <c r="I10803"/>
    </row>
    <row r="10804" spans="6:9" x14ac:dyDescent="0.3">
      <c r="F10804"/>
      <c r="G10804"/>
      <c r="H10804"/>
      <c r="I10804"/>
    </row>
    <row r="10805" spans="6:9" x14ac:dyDescent="0.3">
      <c r="F10805"/>
      <c r="G10805"/>
      <c r="H10805"/>
      <c r="I10805"/>
    </row>
    <row r="10806" spans="6:9" x14ac:dyDescent="0.3">
      <c r="F10806"/>
      <c r="G10806"/>
      <c r="H10806"/>
      <c r="I10806"/>
    </row>
    <row r="10807" spans="6:9" x14ac:dyDescent="0.3">
      <c r="F10807"/>
      <c r="G10807"/>
      <c r="H10807"/>
      <c r="I10807"/>
    </row>
    <row r="10808" spans="6:9" x14ac:dyDescent="0.3">
      <c r="F10808"/>
      <c r="G10808"/>
      <c r="H10808"/>
      <c r="I10808"/>
    </row>
    <row r="10809" spans="6:9" x14ac:dyDescent="0.3">
      <c r="F10809"/>
      <c r="G10809"/>
      <c r="H10809"/>
      <c r="I10809"/>
    </row>
    <row r="10810" spans="6:9" x14ac:dyDescent="0.3">
      <c r="F10810"/>
      <c r="G10810"/>
      <c r="H10810"/>
      <c r="I10810"/>
    </row>
    <row r="10811" spans="6:9" x14ac:dyDescent="0.3">
      <c r="F10811"/>
      <c r="G10811"/>
      <c r="H10811"/>
      <c r="I10811"/>
    </row>
    <row r="10812" spans="6:9" x14ac:dyDescent="0.3">
      <c r="F10812"/>
      <c r="G10812"/>
      <c r="H10812"/>
      <c r="I10812"/>
    </row>
    <row r="10813" spans="6:9" x14ac:dyDescent="0.3">
      <c r="F10813"/>
      <c r="G10813"/>
      <c r="H10813"/>
      <c r="I10813"/>
    </row>
    <row r="10814" spans="6:9" x14ac:dyDescent="0.3">
      <c r="F10814"/>
      <c r="G10814"/>
      <c r="H10814"/>
      <c r="I10814"/>
    </row>
    <row r="10815" spans="6:9" x14ac:dyDescent="0.3">
      <c r="F10815"/>
      <c r="G10815"/>
      <c r="H10815"/>
      <c r="I10815"/>
    </row>
    <row r="10816" spans="6:9" x14ac:dyDescent="0.3">
      <c r="F10816"/>
      <c r="G10816"/>
      <c r="H10816"/>
      <c r="I10816"/>
    </row>
    <row r="10817" spans="6:9" x14ac:dyDescent="0.3">
      <c r="F10817"/>
      <c r="G10817"/>
      <c r="H10817"/>
      <c r="I10817"/>
    </row>
    <row r="10818" spans="6:9" x14ac:dyDescent="0.3">
      <c r="F10818"/>
      <c r="G10818"/>
      <c r="H10818"/>
      <c r="I10818"/>
    </row>
    <row r="10819" spans="6:9" x14ac:dyDescent="0.3">
      <c r="F10819"/>
      <c r="G10819"/>
      <c r="H10819"/>
      <c r="I10819"/>
    </row>
    <row r="10820" spans="6:9" x14ac:dyDescent="0.3">
      <c r="F10820"/>
      <c r="G10820"/>
      <c r="H10820"/>
      <c r="I10820"/>
    </row>
    <row r="10821" spans="6:9" x14ac:dyDescent="0.3">
      <c r="F10821"/>
      <c r="G10821"/>
      <c r="H10821"/>
      <c r="I10821"/>
    </row>
    <row r="10822" spans="6:9" x14ac:dyDescent="0.3">
      <c r="F10822"/>
      <c r="G10822"/>
      <c r="H10822"/>
      <c r="I10822"/>
    </row>
    <row r="10823" spans="6:9" x14ac:dyDescent="0.3">
      <c r="F10823"/>
      <c r="G10823"/>
      <c r="H10823"/>
      <c r="I10823"/>
    </row>
    <row r="10824" spans="6:9" x14ac:dyDescent="0.3">
      <c r="F10824"/>
      <c r="G10824"/>
      <c r="H10824"/>
      <c r="I10824"/>
    </row>
    <row r="10825" spans="6:9" x14ac:dyDescent="0.3">
      <c r="F10825"/>
      <c r="G10825"/>
      <c r="H10825"/>
      <c r="I10825"/>
    </row>
    <row r="10826" spans="6:9" x14ac:dyDescent="0.3">
      <c r="F10826"/>
      <c r="G10826"/>
      <c r="H10826"/>
      <c r="I10826"/>
    </row>
    <row r="10827" spans="6:9" x14ac:dyDescent="0.3">
      <c r="F10827"/>
      <c r="G10827"/>
      <c r="H10827"/>
      <c r="I10827"/>
    </row>
    <row r="10828" spans="6:9" x14ac:dyDescent="0.3">
      <c r="F10828"/>
      <c r="G10828"/>
      <c r="H10828"/>
      <c r="I10828"/>
    </row>
    <row r="10829" spans="6:9" x14ac:dyDescent="0.3">
      <c r="F10829"/>
      <c r="G10829"/>
      <c r="H10829"/>
      <c r="I10829"/>
    </row>
    <row r="10830" spans="6:9" x14ac:dyDescent="0.3">
      <c r="F10830"/>
      <c r="G10830"/>
      <c r="H10830"/>
      <c r="I10830"/>
    </row>
    <row r="10831" spans="6:9" x14ac:dyDescent="0.3">
      <c r="F10831"/>
      <c r="G10831"/>
      <c r="H10831"/>
      <c r="I10831"/>
    </row>
    <row r="10832" spans="6:9" x14ac:dyDescent="0.3">
      <c r="F10832"/>
      <c r="G10832"/>
      <c r="H10832"/>
      <c r="I10832"/>
    </row>
    <row r="10833" spans="6:9" x14ac:dyDescent="0.3">
      <c r="F10833"/>
      <c r="G10833"/>
      <c r="H10833"/>
      <c r="I10833"/>
    </row>
    <row r="10834" spans="6:9" x14ac:dyDescent="0.3">
      <c r="F10834"/>
      <c r="G10834"/>
      <c r="H10834"/>
      <c r="I10834"/>
    </row>
    <row r="10835" spans="6:9" x14ac:dyDescent="0.3">
      <c r="F10835"/>
      <c r="G10835"/>
      <c r="H10835"/>
      <c r="I10835"/>
    </row>
    <row r="10836" spans="6:9" x14ac:dyDescent="0.3">
      <c r="F10836"/>
      <c r="G10836"/>
      <c r="H10836"/>
      <c r="I10836"/>
    </row>
    <row r="10837" spans="6:9" x14ac:dyDescent="0.3">
      <c r="F10837"/>
      <c r="G10837"/>
      <c r="H10837"/>
      <c r="I10837"/>
    </row>
    <row r="10838" spans="6:9" x14ac:dyDescent="0.3">
      <c r="F10838"/>
      <c r="G10838"/>
      <c r="H10838"/>
      <c r="I10838"/>
    </row>
    <row r="10839" spans="6:9" x14ac:dyDescent="0.3">
      <c r="F10839"/>
      <c r="G10839"/>
      <c r="H10839"/>
      <c r="I10839"/>
    </row>
    <row r="10840" spans="6:9" x14ac:dyDescent="0.3">
      <c r="F10840"/>
      <c r="G10840"/>
      <c r="H10840"/>
      <c r="I10840"/>
    </row>
    <row r="10841" spans="6:9" x14ac:dyDescent="0.3">
      <c r="F10841"/>
      <c r="G10841"/>
      <c r="H10841"/>
      <c r="I10841"/>
    </row>
    <row r="10842" spans="6:9" x14ac:dyDescent="0.3">
      <c r="F10842"/>
      <c r="G10842"/>
      <c r="H10842"/>
      <c r="I10842"/>
    </row>
    <row r="10843" spans="6:9" x14ac:dyDescent="0.3">
      <c r="F10843"/>
      <c r="G10843"/>
      <c r="H10843"/>
      <c r="I10843"/>
    </row>
    <row r="10844" spans="6:9" x14ac:dyDescent="0.3">
      <c r="F10844"/>
      <c r="G10844"/>
      <c r="H10844"/>
      <c r="I10844"/>
    </row>
    <row r="10845" spans="6:9" x14ac:dyDescent="0.3">
      <c r="F10845"/>
      <c r="G10845"/>
      <c r="H10845"/>
      <c r="I10845"/>
    </row>
    <row r="10846" spans="6:9" x14ac:dyDescent="0.3">
      <c r="F10846"/>
      <c r="G10846"/>
      <c r="H10846"/>
      <c r="I10846"/>
    </row>
    <row r="10847" spans="6:9" x14ac:dyDescent="0.3">
      <c r="F10847"/>
      <c r="G10847"/>
      <c r="H10847"/>
      <c r="I10847"/>
    </row>
    <row r="10848" spans="6:9" x14ac:dyDescent="0.3">
      <c r="F10848"/>
      <c r="G10848"/>
      <c r="H10848"/>
      <c r="I10848"/>
    </row>
    <row r="10849" spans="6:9" x14ac:dyDescent="0.3">
      <c r="F10849"/>
      <c r="G10849"/>
      <c r="H10849"/>
      <c r="I10849"/>
    </row>
    <row r="10850" spans="6:9" x14ac:dyDescent="0.3">
      <c r="F10850"/>
      <c r="G10850"/>
      <c r="H10850"/>
      <c r="I10850"/>
    </row>
    <row r="10851" spans="6:9" x14ac:dyDescent="0.3">
      <c r="F10851"/>
      <c r="G10851"/>
      <c r="H10851"/>
      <c r="I10851"/>
    </row>
    <row r="10852" spans="6:9" x14ac:dyDescent="0.3">
      <c r="F10852"/>
      <c r="G10852"/>
      <c r="H10852"/>
      <c r="I10852"/>
    </row>
    <row r="10853" spans="6:9" x14ac:dyDescent="0.3">
      <c r="F10853"/>
      <c r="G10853"/>
      <c r="H10853"/>
      <c r="I10853"/>
    </row>
    <row r="10854" spans="6:9" x14ac:dyDescent="0.3">
      <c r="F10854"/>
      <c r="G10854"/>
      <c r="H10854"/>
      <c r="I10854"/>
    </row>
    <row r="10855" spans="6:9" x14ac:dyDescent="0.3">
      <c r="F10855"/>
      <c r="G10855"/>
      <c r="H10855"/>
      <c r="I10855"/>
    </row>
    <row r="10856" spans="6:9" x14ac:dyDescent="0.3">
      <c r="F10856"/>
      <c r="G10856"/>
      <c r="H10856"/>
      <c r="I10856"/>
    </row>
    <row r="10857" spans="6:9" x14ac:dyDescent="0.3">
      <c r="F10857"/>
      <c r="G10857"/>
      <c r="H10857"/>
      <c r="I10857"/>
    </row>
    <row r="10858" spans="6:9" x14ac:dyDescent="0.3">
      <c r="F10858"/>
      <c r="G10858"/>
      <c r="H10858"/>
      <c r="I10858"/>
    </row>
    <row r="10859" spans="6:9" x14ac:dyDescent="0.3">
      <c r="F10859"/>
      <c r="G10859"/>
      <c r="H10859"/>
      <c r="I10859"/>
    </row>
    <row r="10860" spans="6:9" x14ac:dyDescent="0.3">
      <c r="F10860"/>
      <c r="G10860"/>
      <c r="H10860"/>
      <c r="I10860"/>
    </row>
    <row r="10861" spans="6:9" x14ac:dyDescent="0.3">
      <c r="F10861"/>
      <c r="G10861"/>
      <c r="H10861"/>
      <c r="I10861"/>
    </row>
    <row r="10862" spans="6:9" x14ac:dyDescent="0.3">
      <c r="F10862"/>
      <c r="G10862"/>
      <c r="H10862"/>
      <c r="I10862"/>
    </row>
    <row r="10863" spans="6:9" x14ac:dyDescent="0.3">
      <c r="F10863"/>
      <c r="G10863"/>
      <c r="H10863"/>
      <c r="I10863"/>
    </row>
    <row r="10864" spans="6:9" x14ac:dyDescent="0.3">
      <c r="F10864"/>
      <c r="G10864"/>
      <c r="H10864"/>
      <c r="I10864"/>
    </row>
    <row r="10865" spans="6:9" x14ac:dyDescent="0.3">
      <c r="F10865"/>
      <c r="G10865"/>
      <c r="H10865"/>
      <c r="I10865"/>
    </row>
    <row r="10866" spans="6:9" x14ac:dyDescent="0.3">
      <c r="F10866"/>
      <c r="G10866"/>
      <c r="H10866"/>
      <c r="I10866"/>
    </row>
    <row r="10867" spans="6:9" x14ac:dyDescent="0.3">
      <c r="F10867"/>
      <c r="G10867"/>
      <c r="H10867"/>
      <c r="I10867"/>
    </row>
    <row r="10868" spans="6:9" x14ac:dyDescent="0.3">
      <c r="F10868"/>
      <c r="G10868"/>
      <c r="H10868"/>
      <c r="I10868"/>
    </row>
    <row r="10869" spans="6:9" x14ac:dyDescent="0.3">
      <c r="F10869"/>
      <c r="G10869"/>
      <c r="H10869"/>
      <c r="I10869"/>
    </row>
    <row r="10870" spans="6:9" x14ac:dyDescent="0.3">
      <c r="F10870"/>
      <c r="G10870"/>
      <c r="H10870"/>
      <c r="I10870"/>
    </row>
    <row r="10871" spans="6:9" x14ac:dyDescent="0.3">
      <c r="F10871"/>
      <c r="G10871"/>
      <c r="H10871"/>
      <c r="I10871"/>
    </row>
    <row r="10872" spans="6:9" x14ac:dyDescent="0.3">
      <c r="F10872"/>
      <c r="G10872"/>
      <c r="H10872"/>
      <c r="I10872"/>
    </row>
    <row r="10873" spans="6:9" x14ac:dyDescent="0.3">
      <c r="F10873"/>
      <c r="G10873"/>
      <c r="H10873"/>
      <c r="I10873"/>
    </row>
    <row r="10874" spans="6:9" x14ac:dyDescent="0.3">
      <c r="F10874"/>
      <c r="G10874"/>
      <c r="H10874"/>
      <c r="I10874"/>
    </row>
    <row r="10875" spans="6:9" x14ac:dyDescent="0.3">
      <c r="F10875"/>
      <c r="G10875"/>
      <c r="H10875"/>
      <c r="I10875"/>
    </row>
    <row r="10876" spans="6:9" x14ac:dyDescent="0.3">
      <c r="F10876"/>
      <c r="G10876"/>
      <c r="H10876"/>
      <c r="I10876"/>
    </row>
    <row r="10877" spans="6:9" x14ac:dyDescent="0.3">
      <c r="F10877"/>
      <c r="G10877"/>
      <c r="H10877"/>
      <c r="I10877"/>
    </row>
    <row r="10878" spans="6:9" x14ac:dyDescent="0.3">
      <c r="F10878"/>
      <c r="G10878"/>
      <c r="H10878"/>
      <c r="I10878"/>
    </row>
    <row r="10879" spans="6:9" x14ac:dyDescent="0.3">
      <c r="F10879"/>
      <c r="G10879"/>
      <c r="H10879"/>
      <c r="I10879"/>
    </row>
    <row r="10880" spans="6:9" x14ac:dyDescent="0.3">
      <c r="F10880"/>
      <c r="G10880"/>
      <c r="H10880"/>
      <c r="I10880"/>
    </row>
    <row r="10881" spans="6:9" x14ac:dyDescent="0.3">
      <c r="F10881"/>
      <c r="G10881"/>
      <c r="H10881"/>
      <c r="I10881"/>
    </row>
    <row r="10882" spans="6:9" x14ac:dyDescent="0.3">
      <c r="F10882"/>
      <c r="G10882"/>
      <c r="H10882"/>
      <c r="I10882"/>
    </row>
    <row r="10883" spans="6:9" x14ac:dyDescent="0.3">
      <c r="F10883"/>
      <c r="G10883"/>
      <c r="H10883"/>
      <c r="I10883"/>
    </row>
    <row r="10884" spans="6:9" x14ac:dyDescent="0.3">
      <c r="F10884"/>
      <c r="G10884"/>
      <c r="H10884"/>
      <c r="I10884"/>
    </row>
    <row r="10885" spans="6:9" x14ac:dyDescent="0.3">
      <c r="F10885"/>
      <c r="G10885"/>
      <c r="H10885"/>
      <c r="I10885"/>
    </row>
    <row r="10886" spans="6:9" x14ac:dyDescent="0.3">
      <c r="F10886"/>
      <c r="G10886"/>
      <c r="H10886"/>
      <c r="I10886"/>
    </row>
    <row r="10887" spans="6:9" x14ac:dyDescent="0.3">
      <c r="F10887"/>
      <c r="G10887"/>
      <c r="H10887"/>
      <c r="I10887"/>
    </row>
    <row r="10888" spans="6:9" x14ac:dyDescent="0.3">
      <c r="F10888"/>
      <c r="G10888"/>
      <c r="H10888"/>
      <c r="I10888"/>
    </row>
    <row r="10889" spans="6:9" x14ac:dyDescent="0.3">
      <c r="F10889"/>
      <c r="G10889"/>
      <c r="H10889"/>
      <c r="I10889"/>
    </row>
    <row r="10890" spans="6:9" x14ac:dyDescent="0.3">
      <c r="F10890"/>
      <c r="G10890"/>
      <c r="H10890"/>
      <c r="I10890"/>
    </row>
    <row r="10891" spans="6:9" x14ac:dyDescent="0.3">
      <c r="F10891"/>
      <c r="G10891"/>
      <c r="H10891"/>
      <c r="I10891"/>
    </row>
    <row r="10892" spans="6:9" x14ac:dyDescent="0.3">
      <c r="F10892"/>
      <c r="G10892"/>
      <c r="H10892"/>
      <c r="I10892"/>
    </row>
    <row r="10893" spans="6:9" x14ac:dyDescent="0.3">
      <c r="F10893"/>
      <c r="G10893"/>
      <c r="H10893"/>
      <c r="I10893"/>
    </row>
    <row r="10894" spans="6:9" x14ac:dyDescent="0.3">
      <c r="F10894"/>
      <c r="G10894"/>
      <c r="H10894"/>
      <c r="I10894"/>
    </row>
    <row r="10895" spans="6:9" x14ac:dyDescent="0.3">
      <c r="F10895"/>
      <c r="G10895"/>
      <c r="H10895"/>
      <c r="I10895"/>
    </row>
    <row r="10896" spans="6:9" x14ac:dyDescent="0.3">
      <c r="F10896"/>
      <c r="G10896"/>
      <c r="H10896"/>
      <c r="I10896"/>
    </row>
    <row r="10897" spans="6:9" x14ac:dyDescent="0.3">
      <c r="F10897"/>
      <c r="G10897"/>
      <c r="H10897"/>
      <c r="I10897"/>
    </row>
    <row r="10898" spans="6:9" x14ac:dyDescent="0.3">
      <c r="F10898"/>
      <c r="G10898"/>
      <c r="H10898"/>
      <c r="I10898"/>
    </row>
    <row r="10899" spans="6:9" x14ac:dyDescent="0.3">
      <c r="F10899"/>
      <c r="G10899"/>
      <c r="H10899"/>
      <c r="I10899"/>
    </row>
    <row r="10900" spans="6:9" x14ac:dyDescent="0.3">
      <c r="F10900"/>
      <c r="G10900"/>
      <c r="H10900"/>
      <c r="I10900"/>
    </row>
    <row r="10901" spans="6:9" x14ac:dyDescent="0.3">
      <c r="F10901"/>
      <c r="G10901"/>
      <c r="H10901"/>
      <c r="I10901"/>
    </row>
    <row r="10902" spans="6:9" x14ac:dyDescent="0.3">
      <c r="F10902"/>
      <c r="G10902"/>
      <c r="H10902"/>
      <c r="I10902"/>
    </row>
    <row r="10903" spans="6:9" x14ac:dyDescent="0.3">
      <c r="F10903"/>
      <c r="G10903"/>
      <c r="H10903"/>
      <c r="I10903"/>
    </row>
    <row r="10904" spans="6:9" x14ac:dyDescent="0.3">
      <c r="F10904"/>
      <c r="G10904"/>
      <c r="H10904"/>
      <c r="I10904"/>
    </row>
    <row r="10905" spans="6:9" x14ac:dyDescent="0.3">
      <c r="F10905"/>
      <c r="G10905"/>
      <c r="H10905"/>
      <c r="I10905"/>
    </row>
    <row r="10906" spans="6:9" x14ac:dyDescent="0.3">
      <c r="F10906"/>
      <c r="G10906"/>
      <c r="H10906"/>
      <c r="I10906"/>
    </row>
    <row r="10907" spans="6:9" x14ac:dyDescent="0.3">
      <c r="F10907"/>
      <c r="G10907"/>
      <c r="H10907"/>
      <c r="I10907"/>
    </row>
    <row r="10908" spans="6:9" x14ac:dyDescent="0.3">
      <c r="F10908"/>
      <c r="G10908"/>
      <c r="H10908"/>
      <c r="I10908"/>
    </row>
    <row r="10909" spans="6:9" x14ac:dyDescent="0.3">
      <c r="F10909"/>
      <c r="G10909"/>
      <c r="H10909"/>
      <c r="I10909"/>
    </row>
    <row r="10910" spans="6:9" x14ac:dyDescent="0.3">
      <c r="F10910"/>
      <c r="G10910"/>
      <c r="H10910"/>
      <c r="I10910"/>
    </row>
    <row r="10911" spans="6:9" x14ac:dyDescent="0.3">
      <c r="F10911"/>
      <c r="G10911"/>
      <c r="H10911"/>
      <c r="I10911"/>
    </row>
    <row r="10912" spans="6:9" x14ac:dyDescent="0.3">
      <c r="F10912"/>
      <c r="G10912"/>
      <c r="H10912"/>
      <c r="I10912"/>
    </row>
    <row r="10913" spans="6:9" x14ac:dyDescent="0.3">
      <c r="F10913"/>
      <c r="G10913"/>
      <c r="H10913"/>
      <c r="I10913"/>
    </row>
    <row r="10914" spans="6:9" x14ac:dyDescent="0.3">
      <c r="F10914"/>
      <c r="G10914"/>
      <c r="H10914"/>
      <c r="I10914"/>
    </row>
    <row r="10915" spans="6:9" x14ac:dyDescent="0.3">
      <c r="F10915"/>
      <c r="G10915"/>
      <c r="H10915"/>
      <c r="I10915"/>
    </row>
    <row r="10916" spans="6:9" x14ac:dyDescent="0.3">
      <c r="F10916"/>
      <c r="G10916"/>
      <c r="H10916"/>
      <c r="I10916"/>
    </row>
    <row r="10917" spans="6:9" x14ac:dyDescent="0.3">
      <c r="F10917"/>
      <c r="G10917"/>
      <c r="H10917"/>
      <c r="I10917"/>
    </row>
    <row r="10918" spans="6:9" x14ac:dyDescent="0.3">
      <c r="F10918"/>
      <c r="G10918"/>
      <c r="H10918"/>
      <c r="I10918"/>
    </row>
    <row r="10919" spans="6:9" x14ac:dyDescent="0.3">
      <c r="F10919"/>
      <c r="G10919"/>
      <c r="H10919"/>
      <c r="I10919"/>
    </row>
    <row r="10920" spans="6:9" x14ac:dyDescent="0.3">
      <c r="F10920"/>
      <c r="G10920"/>
      <c r="H10920"/>
      <c r="I10920"/>
    </row>
    <row r="10921" spans="6:9" x14ac:dyDescent="0.3">
      <c r="F10921"/>
      <c r="G10921"/>
      <c r="H10921"/>
      <c r="I10921"/>
    </row>
    <row r="10922" spans="6:9" x14ac:dyDescent="0.3">
      <c r="F10922"/>
      <c r="G10922"/>
      <c r="H10922"/>
      <c r="I10922"/>
    </row>
    <row r="10923" spans="6:9" x14ac:dyDescent="0.3">
      <c r="F10923"/>
      <c r="G10923"/>
      <c r="H10923"/>
      <c r="I10923"/>
    </row>
    <row r="10924" spans="6:9" x14ac:dyDescent="0.3">
      <c r="F10924"/>
      <c r="G10924"/>
      <c r="H10924"/>
      <c r="I10924"/>
    </row>
    <row r="10925" spans="6:9" x14ac:dyDescent="0.3">
      <c r="F10925"/>
      <c r="G10925"/>
      <c r="H10925"/>
      <c r="I10925"/>
    </row>
    <row r="10926" spans="6:9" x14ac:dyDescent="0.3">
      <c r="F10926"/>
      <c r="G10926"/>
      <c r="H10926"/>
      <c r="I10926"/>
    </row>
    <row r="10927" spans="6:9" x14ac:dyDescent="0.3">
      <c r="F10927"/>
      <c r="G10927"/>
      <c r="H10927"/>
      <c r="I10927"/>
    </row>
    <row r="10928" spans="6:9" x14ac:dyDescent="0.3">
      <c r="F10928"/>
      <c r="G10928"/>
      <c r="H10928"/>
      <c r="I10928"/>
    </row>
    <row r="10929" spans="6:9" x14ac:dyDescent="0.3">
      <c r="F10929"/>
      <c r="G10929"/>
      <c r="H10929"/>
      <c r="I10929"/>
    </row>
    <row r="10930" spans="6:9" x14ac:dyDescent="0.3">
      <c r="F10930"/>
      <c r="G10930"/>
      <c r="H10930"/>
      <c r="I10930"/>
    </row>
    <row r="10931" spans="6:9" x14ac:dyDescent="0.3">
      <c r="F10931"/>
      <c r="G10931"/>
      <c r="H10931"/>
      <c r="I10931"/>
    </row>
    <row r="10932" spans="6:9" x14ac:dyDescent="0.3">
      <c r="F10932"/>
      <c r="G10932"/>
      <c r="H10932"/>
      <c r="I10932"/>
    </row>
    <row r="10933" spans="6:9" x14ac:dyDescent="0.3">
      <c r="F10933"/>
      <c r="G10933"/>
      <c r="H10933"/>
      <c r="I10933"/>
    </row>
    <row r="10934" spans="6:9" x14ac:dyDescent="0.3">
      <c r="F10934"/>
      <c r="G10934"/>
      <c r="H10934"/>
      <c r="I10934"/>
    </row>
    <row r="10935" spans="6:9" x14ac:dyDescent="0.3">
      <c r="F10935"/>
      <c r="G10935"/>
      <c r="H10935"/>
      <c r="I10935"/>
    </row>
    <row r="10936" spans="6:9" x14ac:dyDescent="0.3">
      <c r="F10936"/>
      <c r="G10936"/>
      <c r="H10936"/>
      <c r="I10936"/>
    </row>
    <row r="10937" spans="6:9" x14ac:dyDescent="0.3">
      <c r="F10937"/>
      <c r="G10937"/>
      <c r="H10937"/>
      <c r="I10937"/>
    </row>
    <row r="10938" spans="6:9" x14ac:dyDescent="0.3">
      <c r="F10938"/>
      <c r="G10938"/>
      <c r="H10938"/>
      <c r="I10938"/>
    </row>
    <row r="10939" spans="6:9" x14ac:dyDescent="0.3">
      <c r="F10939"/>
      <c r="G10939"/>
      <c r="H10939"/>
      <c r="I10939"/>
    </row>
    <row r="10940" spans="6:9" x14ac:dyDescent="0.3">
      <c r="F10940"/>
      <c r="G10940"/>
      <c r="H10940"/>
      <c r="I10940"/>
    </row>
    <row r="10941" spans="6:9" x14ac:dyDescent="0.3">
      <c r="F10941"/>
      <c r="G10941"/>
      <c r="H10941"/>
      <c r="I10941"/>
    </row>
    <row r="10942" spans="6:9" x14ac:dyDescent="0.3">
      <c r="F10942"/>
      <c r="G10942"/>
      <c r="H10942"/>
      <c r="I10942"/>
    </row>
    <row r="10943" spans="6:9" x14ac:dyDescent="0.3">
      <c r="F10943"/>
      <c r="G10943"/>
      <c r="H10943"/>
      <c r="I10943"/>
    </row>
    <row r="10944" spans="6:9" x14ac:dyDescent="0.3">
      <c r="F10944"/>
      <c r="G10944"/>
      <c r="H10944"/>
      <c r="I10944"/>
    </row>
    <row r="10945" spans="6:9" x14ac:dyDescent="0.3">
      <c r="F10945"/>
      <c r="G10945"/>
      <c r="H10945"/>
      <c r="I10945"/>
    </row>
    <row r="10946" spans="6:9" x14ac:dyDescent="0.3">
      <c r="F10946"/>
      <c r="G10946"/>
      <c r="H10946"/>
      <c r="I10946"/>
    </row>
    <row r="10947" spans="6:9" x14ac:dyDescent="0.3">
      <c r="F10947"/>
      <c r="G10947"/>
      <c r="H10947"/>
      <c r="I10947"/>
    </row>
    <row r="10948" spans="6:9" x14ac:dyDescent="0.3">
      <c r="F10948"/>
      <c r="G10948"/>
      <c r="H10948"/>
      <c r="I10948"/>
    </row>
    <row r="10949" spans="6:9" x14ac:dyDescent="0.3">
      <c r="F10949"/>
      <c r="G10949"/>
      <c r="H10949"/>
      <c r="I10949"/>
    </row>
    <row r="10950" spans="6:9" x14ac:dyDescent="0.3">
      <c r="F10950"/>
      <c r="G10950"/>
      <c r="H10950"/>
      <c r="I10950"/>
    </row>
    <row r="10951" spans="6:9" x14ac:dyDescent="0.3">
      <c r="F10951"/>
      <c r="G10951"/>
      <c r="H10951"/>
      <c r="I10951"/>
    </row>
    <row r="10952" spans="6:9" x14ac:dyDescent="0.3">
      <c r="F10952"/>
      <c r="G10952"/>
      <c r="H10952"/>
      <c r="I10952"/>
    </row>
    <row r="10953" spans="6:9" x14ac:dyDescent="0.3">
      <c r="F10953"/>
      <c r="G10953"/>
      <c r="H10953"/>
      <c r="I10953"/>
    </row>
    <row r="10954" spans="6:9" x14ac:dyDescent="0.3">
      <c r="F10954"/>
      <c r="G10954"/>
      <c r="H10954"/>
      <c r="I10954"/>
    </row>
    <row r="10955" spans="6:9" x14ac:dyDescent="0.3">
      <c r="F10955"/>
      <c r="G10955"/>
      <c r="H10955"/>
      <c r="I10955"/>
    </row>
    <row r="10956" spans="6:9" x14ac:dyDescent="0.3">
      <c r="F10956"/>
      <c r="G10956"/>
      <c r="H10956"/>
      <c r="I10956"/>
    </row>
    <row r="10957" spans="6:9" x14ac:dyDescent="0.3">
      <c r="F10957"/>
      <c r="G10957"/>
      <c r="H10957"/>
      <c r="I10957"/>
    </row>
    <row r="10958" spans="6:9" x14ac:dyDescent="0.3">
      <c r="F10958"/>
      <c r="G10958"/>
      <c r="H10958"/>
      <c r="I10958"/>
    </row>
    <row r="10959" spans="6:9" x14ac:dyDescent="0.3">
      <c r="F10959"/>
      <c r="G10959"/>
      <c r="H10959"/>
      <c r="I10959"/>
    </row>
    <row r="10960" spans="6:9" x14ac:dyDescent="0.3">
      <c r="F10960"/>
      <c r="G10960"/>
      <c r="H10960"/>
      <c r="I10960"/>
    </row>
    <row r="10961" spans="6:9" x14ac:dyDescent="0.3">
      <c r="F10961"/>
      <c r="G10961"/>
      <c r="H10961"/>
      <c r="I10961"/>
    </row>
    <row r="10962" spans="6:9" x14ac:dyDescent="0.3">
      <c r="F10962"/>
      <c r="G10962"/>
      <c r="H10962"/>
      <c r="I10962"/>
    </row>
    <row r="10963" spans="6:9" x14ac:dyDescent="0.3">
      <c r="F10963"/>
      <c r="G10963"/>
      <c r="H10963"/>
      <c r="I10963"/>
    </row>
    <row r="10964" spans="6:9" x14ac:dyDescent="0.3">
      <c r="F10964"/>
      <c r="G10964"/>
      <c r="H10964"/>
      <c r="I10964"/>
    </row>
    <row r="10965" spans="6:9" x14ac:dyDescent="0.3">
      <c r="F10965"/>
      <c r="G10965"/>
      <c r="H10965"/>
      <c r="I10965"/>
    </row>
    <row r="10966" spans="6:9" x14ac:dyDescent="0.3">
      <c r="F10966"/>
      <c r="G10966"/>
      <c r="H10966"/>
      <c r="I10966"/>
    </row>
    <row r="10967" spans="6:9" x14ac:dyDescent="0.3">
      <c r="F10967"/>
      <c r="G10967"/>
      <c r="H10967"/>
      <c r="I10967"/>
    </row>
    <row r="10968" spans="6:9" x14ac:dyDescent="0.3">
      <c r="F10968"/>
      <c r="G10968"/>
      <c r="H10968"/>
      <c r="I10968"/>
    </row>
    <row r="10969" spans="6:9" x14ac:dyDescent="0.3">
      <c r="F10969"/>
      <c r="G10969"/>
      <c r="H10969"/>
      <c r="I10969"/>
    </row>
    <row r="10970" spans="6:9" x14ac:dyDescent="0.3">
      <c r="F10970"/>
      <c r="G10970"/>
      <c r="H10970"/>
      <c r="I10970"/>
    </row>
    <row r="10971" spans="6:9" x14ac:dyDescent="0.3">
      <c r="F10971"/>
      <c r="G10971"/>
      <c r="H10971"/>
      <c r="I10971"/>
    </row>
    <row r="10972" spans="6:9" x14ac:dyDescent="0.3">
      <c r="F10972"/>
      <c r="G10972"/>
      <c r="H10972"/>
      <c r="I10972"/>
    </row>
    <row r="10973" spans="6:9" x14ac:dyDescent="0.3">
      <c r="F10973"/>
      <c r="G10973"/>
      <c r="H10973"/>
      <c r="I10973"/>
    </row>
    <row r="10974" spans="6:9" x14ac:dyDescent="0.3">
      <c r="F10974"/>
      <c r="G10974"/>
      <c r="H10974"/>
      <c r="I10974"/>
    </row>
    <row r="10975" spans="6:9" x14ac:dyDescent="0.3">
      <c r="F10975"/>
      <c r="G10975"/>
      <c r="H10975"/>
      <c r="I10975"/>
    </row>
    <row r="10976" spans="6:9" x14ac:dyDescent="0.3">
      <c r="F10976"/>
      <c r="G10976"/>
      <c r="H10976"/>
      <c r="I10976"/>
    </row>
    <row r="10977" spans="6:9" x14ac:dyDescent="0.3">
      <c r="F10977"/>
      <c r="G10977"/>
      <c r="H10977"/>
      <c r="I10977"/>
    </row>
    <row r="10978" spans="6:9" x14ac:dyDescent="0.3">
      <c r="F10978"/>
      <c r="G10978"/>
      <c r="H10978"/>
      <c r="I10978"/>
    </row>
    <row r="10979" spans="6:9" x14ac:dyDescent="0.3">
      <c r="F10979"/>
      <c r="G10979"/>
      <c r="H10979"/>
      <c r="I10979"/>
    </row>
    <row r="10980" spans="6:9" x14ac:dyDescent="0.3">
      <c r="F10980"/>
      <c r="G10980"/>
      <c r="H10980"/>
      <c r="I10980"/>
    </row>
    <row r="10981" spans="6:9" x14ac:dyDescent="0.3">
      <c r="F10981"/>
      <c r="G10981"/>
      <c r="H10981"/>
      <c r="I10981"/>
    </row>
    <row r="10982" spans="6:9" x14ac:dyDescent="0.3">
      <c r="F10982"/>
      <c r="G10982"/>
      <c r="H10982"/>
      <c r="I10982"/>
    </row>
    <row r="10983" spans="6:9" x14ac:dyDescent="0.3">
      <c r="F10983"/>
      <c r="G10983"/>
      <c r="H10983"/>
      <c r="I10983"/>
    </row>
    <row r="10984" spans="6:9" x14ac:dyDescent="0.3">
      <c r="F10984"/>
      <c r="G10984"/>
      <c r="H10984"/>
      <c r="I10984"/>
    </row>
    <row r="10985" spans="6:9" x14ac:dyDescent="0.3">
      <c r="F10985"/>
      <c r="G10985"/>
      <c r="H10985"/>
      <c r="I10985"/>
    </row>
    <row r="10986" spans="6:9" x14ac:dyDescent="0.3">
      <c r="F10986"/>
      <c r="G10986"/>
      <c r="H10986"/>
      <c r="I10986"/>
    </row>
    <row r="10987" spans="6:9" x14ac:dyDescent="0.3">
      <c r="F10987"/>
      <c r="G10987"/>
      <c r="H10987"/>
      <c r="I10987"/>
    </row>
    <row r="10988" spans="6:9" x14ac:dyDescent="0.3">
      <c r="F10988"/>
      <c r="G10988"/>
      <c r="H10988"/>
      <c r="I10988"/>
    </row>
    <row r="10989" spans="6:9" x14ac:dyDescent="0.3">
      <c r="F10989"/>
      <c r="G10989"/>
      <c r="H10989"/>
      <c r="I10989"/>
    </row>
    <row r="10990" spans="6:9" x14ac:dyDescent="0.3">
      <c r="F10990"/>
      <c r="G10990"/>
      <c r="H10990"/>
      <c r="I10990"/>
    </row>
    <row r="10991" spans="6:9" x14ac:dyDescent="0.3">
      <c r="F10991"/>
      <c r="G10991"/>
      <c r="H10991"/>
      <c r="I10991"/>
    </row>
    <row r="10992" spans="6:9" x14ac:dyDescent="0.3">
      <c r="F10992"/>
      <c r="G10992"/>
      <c r="H10992"/>
      <c r="I10992"/>
    </row>
    <row r="10993" spans="6:9" x14ac:dyDescent="0.3">
      <c r="F10993"/>
      <c r="G10993"/>
      <c r="H10993"/>
      <c r="I10993"/>
    </row>
    <row r="10994" spans="6:9" x14ac:dyDescent="0.3">
      <c r="F10994"/>
      <c r="G10994"/>
      <c r="H10994"/>
      <c r="I10994"/>
    </row>
    <row r="10995" spans="6:9" x14ac:dyDescent="0.3">
      <c r="F10995"/>
      <c r="G10995"/>
      <c r="H10995"/>
      <c r="I10995"/>
    </row>
    <row r="10996" spans="6:9" x14ac:dyDescent="0.3">
      <c r="F10996"/>
      <c r="G10996"/>
      <c r="H10996"/>
      <c r="I10996"/>
    </row>
    <row r="10997" spans="6:9" x14ac:dyDescent="0.3">
      <c r="F10997"/>
      <c r="G10997"/>
      <c r="H10997"/>
      <c r="I10997"/>
    </row>
    <row r="10998" spans="6:9" x14ac:dyDescent="0.3">
      <c r="F10998"/>
      <c r="G10998"/>
      <c r="H10998"/>
      <c r="I10998"/>
    </row>
    <row r="10999" spans="6:9" x14ac:dyDescent="0.3">
      <c r="F10999"/>
      <c r="G10999"/>
      <c r="H10999"/>
      <c r="I10999"/>
    </row>
    <row r="11000" spans="6:9" x14ac:dyDescent="0.3">
      <c r="F11000"/>
      <c r="G11000"/>
      <c r="H11000"/>
      <c r="I11000"/>
    </row>
    <row r="11001" spans="6:9" x14ac:dyDescent="0.3">
      <c r="F11001"/>
      <c r="G11001"/>
      <c r="H11001"/>
      <c r="I11001"/>
    </row>
    <row r="11002" spans="6:9" x14ac:dyDescent="0.3">
      <c r="F11002"/>
      <c r="G11002"/>
      <c r="H11002"/>
      <c r="I11002"/>
    </row>
    <row r="11003" spans="6:9" x14ac:dyDescent="0.3">
      <c r="F11003"/>
      <c r="G11003"/>
      <c r="H11003"/>
      <c r="I11003"/>
    </row>
    <row r="11004" spans="6:9" x14ac:dyDescent="0.3">
      <c r="F11004"/>
      <c r="G11004"/>
      <c r="H11004"/>
      <c r="I11004"/>
    </row>
    <row r="11005" spans="6:9" x14ac:dyDescent="0.3">
      <c r="F11005"/>
      <c r="G11005"/>
      <c r="H11005"/>
      <c r="I11005"/>
    </row>
    <row r="11006" spans="6:9" x14ac:dyDescent="0.3">
      <c r="F11006"/>
      <c r="G11006"/>
      <c r="H11006"/>
      <c r="I11006"/>
    </row>
    <row r="11007" spans="6:9" x14ac:dyDescent="0.3">
      <c r="F11007"/>
      <c r="G11007"/>
      <c r="H11007"/>
      <c r="I11007"/>
    </row>
    <row r="11008" spans="6:9" x14ac:dyDescent="0.3">
      <c r="F11008"/>
      <c r="G11008"/>
      <c r="H11008"/>
      <c r="I11008"/>
    </row>
    <row r="11009" spans="6:9" x14ac:dyDescent="0.3">
      <c r="F11009"/>
      <c r="G11009"/>
      <c r="H11009"/>
      <c r="I11009"/>
    </row>
    <row r="11010" spans="6:9" x14ac:dyDescent="0.3">
      <c r="F11010"/>
      <c r="G11010"/>
      <c r="H11010"/>
      <c r="I11010"/>
    </row>
    <row r="11011" spans="6:9" x14ac:dyDescent="0.3">
      <c r="F11011"/>
      <c r="G11011"/>
      <c r="H11011"/>
      <c r="I11011"/>
    </row>
    <row r="11012" spans="6:9" x14ac:dyDescent="0.3">
      <c r="F11012"/>
      <c r="G11012"/>
      <c r="H11012"/>
      <c r="I11012"/>
    </row>
    <row r="11013" spans="6:9" x14ac:dyDescent="0.3">
      <c r="F11013"/>
      <c r="G11013"/>
      <c r="H11013"/>
      <c r="I11013"/>
    </row>
    <row r="11014" spans="6:9" x14ac:dyDescent="0.3">
      <c r="F11014"/>
      <c r="G11014"/>
      <c r="H11014"/>
      <c r="I11014"/>
    </row>
    <row r="11015" spans="6:9" x14ac:dyDescent="0.3">
      <c r="F11015"/>
      <c r="G11015"/>
      <c r="H11015"/>
      <c r="I11015"/>
    </row>
    <row r="11016" spans="6:9" x14ac:dyDescent="0.3">
      <c r="F11016"/>
      <c r="G11016"/>
      <c r="H11016"/>
      <c r="I11016"/>
    </row>
    <row r="11017" spans="6:9" x14ac:dyDescent="0.3">
      <c r="F11017"/>
      <c r="G11017"/>
      <c r="H11017"/>
      <c r="I11017"/>
    </row>
    <row r="11018" spans="6:9" x14ac:dyDescent="0.3">
      <c r="F11018"/>
      <c r="G11018"/>
      <c r="H11018"/>
      <c r="I11018"/>
    </row>
    <row r="11019" spans="6:9" x14ac:dyDescent="0.3">
      <c r="F11019"/>
      <c r="G11019"/>
      <c r="H11019"/>
      <c r="I11019"/>
    </row>
    <row r="11020" spans="6:9" x14ac:dyDescent="0.3">
      <c r="F11020"/>
      <c r="G11020"/>
      <c r="H11020"/>
      <c r="I11020"/>
    </row>
    <row r="11021" spans="6:9" x14ac:dyDescent="0.3">
      <c r="F11021"/>
      <c r="G11021"/>
      <c r="H11021"/>
      <c r="I11021"/>
    </row>
    <row r="11022" spans="6:9" x14ac:dyDescent="0.3">
      <c r="F11022"/>
      <c r="G11022"/>
      <c r="H11022"/>
      <c r="I11022"/>
    </row>
    <row r="11023" spans="6:9" x14ac:dyDescent="0.3">
      <c r="F11023"/>
      <c r="G11023"/>
      <c r="H11023"/>
      <c r="I11023"/>
    </row>
    <row r="11024" spans="6:9" x14ac:dyDescent="0.3">
      <c r="F11024"/>
      <c r="G11024"/>
      <c r="H11024"/>
      <c r="I11024"/>
    </row>
    <row r="11025" spans="6:9" x14ac:dyDescent="0.3">
      <c r="F11025"/>
      <c r="G11025"/>
      <c r="H11025"/>
      <c r="I11025"/>
    </row>
    <row r="11026" spans="6:9" x14ac:dyDescent="0.3">
      <c r="F11026"/>
      <c r="G11026"/>
      <c r="H11026"/>
      <c r="I11026"/>
    </row>
    <row r="11027" spans="6:9" x14ac:dyDescent="0.3">
      <c r="F11027"/>
      <c r="G11027"/>
      <c r="H11027"/>
      <c r="I11027"/>
    </row>
    <row r="11028" spans="6:9" x14ac:dyDescent="0.3">
      <c r="F11028"/>
      <c r="G11028"/>
      <c r="H11028"/>
      <c r="I11028"/>
    </row>
    <row r="11029" spans="6:9" x14ac:dyDescent="0.3">
      <c r="F11029"/>
      <c r="G11029"/>
      <c r="H11029"/>
      <c r="I11029"/>
    </row>
    <row r="11030" spans="6:9" x14ac:dyDescent="0.3">
      <c r="F11030"/>
      <c r="G11030"/>
      <c r="H11030"/>
      <c r="I11030"/>
    </row>
    <row r="11031" spans="6:9" x14ac:dyDescent="0.3">
      <c r="F11031"/>
      <c r="G11031"/>
      <c r="H11031"/>
      <c r="I11031"/>
    </row>
    <row r="11032" spans="6:9" x14ac:dyDescent="0.3">
      <c r="F11032"/>
      <c r="G11032"/>
      <c r="H11032"/>
      <c r="I11032"/>
    </row>
    <row r="11033" spans="6:9" x14ac:dyDescent="0.3">
      <c r="F11033"/>
      <c r="G11033"/>
      <c r="H11033"/>
      <c r="I11033"/>
    </row>
    <row r="11034" spans="6:9" x14ac:dyDescent="0.3">
      <c r="F11034"/>
      <c r="G11034"/>
      <c r="H11034"/>
      <c r="I11034"/>
    </row>
    <row r="11035" spans="6:9" x14ac:dyDescent="0.3">
      <c r="F11035"/>
      <c r="G11035"/>
      <c r="H11035"/>
      <c r="I11035"/>
    </row>
    <row r="11036" spans="6:9" x14ac:dyDescent="0.3">
      <c r="F11036"/>
      <c r="G11036"/>
      <c r="H11036"/>
      <c r="I11036"/>
    </row>
    <row r="11037" spans="6:9" x14ac:dyDescent="0.3">
      <c r="F11037"/>
      <c r="G11037"/>
      <c r="H11037"/>
      <c r="I11037"/>
    </row>
    <row r="11038" spans="6:9" x14ac:dyDescent="0.3">
      <c r="F11038"/>
      <c r="G11038"/>
      <c r="H11038"/>
      <c r="I11038"/>
    </row>
    <row r="11039" spans="6:9" x14ac:dyDescent="0.3">
      <c r="F11039"/>
      <c r="G11039"/>
      <c r="H11039"/>
      <c r="I11039"/>
    </row>
    <row r="11040" spans="6:9" x14ac:dyDescent="0.3">
      <c r="F11040"/>
      <c r="G11040"/>
      <c r="H11040"/>
      <c r="I11040"/>
    </row>
    <row r="11041" spans="6:9" x14ac:dyDescent="0.3">
      <c r="F11041"/>
      <c r="G11041"/>
      <c r="H11041"/>
      <c r="I11041"/>
    </row>
    <row r="11042" spans="6:9" x14ac:dyDescent="0.3">
      <c r="F11042"/>
      <c r="G11042"/>
      <c r="H11042"/>
      <c r="I11042"/>
    </row>
    <row r="11043" spans="6:9" x14ac:dyDescent="0.3">
      <c r="F11043"/>
      <c r="G11043"/>
      <c r="H11043"/>
      <c r="I11043"/>
    </row>
    <row r="11044" spans="6:9" x14ac:dyDescent="0.3">
      <c r="F11044"/>
      <c r="G11044"/>
      <c r="H11044"/>
      <c r="I11044"/>
    </row>
    <row r="11045" spans="6:9" x14ac:dyDescent="0.3">
      <c r="F11045"/>
      <c r="G11045"/>
      <c r="H11045"/>
      <c r="I11045"/>
    </row>
    <row r="11046" spans="6:9" x14ac:dyDescent="0.3">
      <c r="F11046"/>
      <c r="G11046"/>
      <c r="H11046"/>
      <c r="I11046"/>
    </row>
    <row r="11047" spans="6:9" x14ac:dyDescent="0.3">
      <c r="F11047"/>
      <c r="G11047"/>
      <c r="H11047"/>
      <c r="I11047"/>
    </row>
    <row r="11048" spans="6:9" x14ac:dyDescent="0.3">
      <c r="F11048"/>
      <c r="G11048"/>
      <c r="H11048"/>
      <c r="I11048"/>
    </row>
    <row r="11049" spans="6:9" x14ac:dyDescent="0.3">
      <c r="F11049"/>
      <c r="G11049"/>
      <c r="H11049"/>
      <c r="I11049"/>
    </row>
    <row r="11050" spans="6:9" x14ac:dyDescent="0.3">
      <c r="F11050"/>
      <c r="G11050"/>
      <c r="H11050"/>
      <c r="I11050"/>
    </row>
    <row r="11051" spans="6:9" x14ac:dyDescent="0.3">
      <c r="F11051"/>
      <c r="G11051"/>
      <c r="H11051"/>
      <c r="I11051"/>
    </row>
    <row r="11052" spans="6:9" x14ac:dyDescent="0.3">
      <c r="F11052"/>
      <c r="G11052"/>
      <c r="H11052"/>
      <c r="I11052"/>
    </row>
    <row r="11053" spans="6:9" x14ac:dyDescent="0.3">
      <c r="F11053"/>
      <c r="G11053"/>
      <c r="H11053"/>
      <c r="I11053"/>
    </row>
    <row r="11054" spans="6:9" x14ac:dyDescent="0.3">
      <c r="F11054"/>
      <c r="G11054"/>
      <c r="H11054"/>
      <c r="I11054"/>
    </row>
    <row r="11055" spans="6:9" x14ac:dyDescent="0.3">
      <c r="F11055"/>
      <c r="G11055"/>
      <c r="H11055"/>
      <c r="I11055"/>
    </row>
    <row r="11056" spans="6:9" x14ac:dyDescent="0.3">
      <c r="F11056"/>
      <c r="G11056"/>
      <c r="H11056"/>
      <c r="I11056"/>
    </row>
    <row r="11057" spans="6:9" x14ac:dyDescent="0.3">
      <c r="F11057"/>
      <c r="G11057"/>
      <c r="H11057"/>
      <c r="I11057"/>
    </row>
    <row r="11058" spans="6:9" x14ac:dyDescent="0.3">
      <c r="F11058"/>
      <c r="G11058"/>
      <c r="H11058"/>
      <c r="I11058"/>
    </row>
    <row r="11059" spans="6:9" x14ac:dyDescent="0.3">
      <c r="F11059"/>
      <c r="G11059"/>
      <c r="H11059"/>
      <c r="I11059"/>
    </row>
    <row r="11060" spans="6:9" x14ac:dyDescent="0.3">
      <c r="F11060"/>
      <c r="G11060"/>
      <c r="H11060"/>
      <c r="I11060"/>
    </row>
    <row r="11061" spans="6:9" x14ac:dyDescent="0.3">
      <c r="F11061"/>
      <c r="G11061"/>
      <c r="H11061"/>
      <c r="I11061"/>
    </row>
    <row r="11062" spans="6:9" x14ac:dyDescent="0.3">
      <c r="F11062"/>
      <c r="G11062"/>
      <c r="H11062"/>
      <c r="I11062"/>
    </row>
    <row r="11063" spans="6:9" x14ac:dyDescent="0.3">
      <c r="F11063"/>
      <c r="G11063"/>
      <c r="H11063"/>
      <c r="I11063"/>
    </row>
    <row r="11064" spans="6:9" x14ac:dyDescent="0.3">
      <c r="F11064"/>
      <c r="G11064"/>
      <c r="H11064"/>
      <c r="I11064"/>
    </row>
    <row r="11065" spans="6:9" x14ac:dyDescent="0.3">
      <c r="F11065"/>
      <c r="G11065"/>
      <c r="H11065"/>
      <c r="I11065"/>
    </row>
    <row r="11066" spans="6:9" x14ac:dyDescent="0.3">
      <c r="F11066"/>
      <c r="G11066"/>
      <c r="H11066"/>
      <c r="I11066"/>
    </row>
    <row r="11067" spans="6:9" x14ac:dyDescent="0.3">
      <c r="F11067"/>
      <c r="G11067"/>
      <c r="H11067"/>
      <c r="I11067"/>
    </row>
    <row r="11068" spans="6:9" x14ac:dyDescent="0.3">
      <c r="F11068"/>
      <c r="G11068"/>
      <c r="H11068"/>
      <c r="I11068"/>
    </row>
    <row r="11069" spans="6:9" x14ac:dyDescent="0.3">
      <c r="F11069"/>
      <c r="G11069"/>
      <c r="H11069"/>
      <c r="I11069"/>
    </row>
    <row r="11070" spans="6:9" x14ac:dyDescent="0.3">
      <c r="F11070"/>
      <c r="G11070"/>
      <c r="H11070"/>
      <c r="I11070"/>
    </row>
    <row r="11071" spans="6:9" x14ac:dyDescent="0.3">
      <c r="F11071"/>
      <c r="G11071"/>
      <c r="H11071"/>
      <c r="I11071"/>
    </row>
    <row r="11072" spans="6:9" x14ac:dyDescent="0.3">
      <c r="F11072"/>
      <c r="G11072"/>
      <c r="H11072"/>
      <c r="I11072"/>
    </row>
    <row r="11073" spans="6:9" x14ac:dyDescent="0.3">
      <c r="F11073"/>
      <c r="G11073"/>
      <c r="H11073"/>
      <c r="I11073"/>
    </row>
    <row r="11074" spans="6:9" x14ac:dyDescent="0.3">
      <c r="F11074"/>
      <c r="G11074"/>
      <c r="H11074"/>
      <c r="I11074"/>
    </row>
    <row r="11075" spans="6:9" x14ac:dyDescent="0.3">
      <c r="F11075"/>
      <c r="G11075"/>
      <c r="H11075"/>
      <c r="I11075"/>
    </row>
    <row r="11076" spans="6:9" x14ac:dyDescent="0.3">
      <c r="F11076"/>
      <c r="G11076"/>
      <c r="H11076"/>
      <c r="I11076"/>
    </row>
    <row r="11077" spans="6:9" x14ac:dyDescent="0.3">
      <c r="F11077"/>
      <c r="G11077"/>
      <c r="H11077"/>
      <c r="I11077"/>
    </row>
    <row r="11078" spans="6:9" x14ac:dyDescent="0.3">
      <c r="F11078"/>
      <c r="G11078"/>
      <c r="H11078"/>
      <c r="I11078"/>
    </row>
    <row r="11079" spans="6:9" x14ac:dyDescent="0.3">
      <c r="F11079"/>
      <c r="G11079"/>
      <c r="H11079"/>
      <c r="I11079"/>
    </row>
    <row r="11080" spans="6:9" x14ac:dyDescent="0.3">
      <c r="F11080"/>
      <c r="G11080"/>
      <c r="H11080"/>
      <c r="I11080"/>
    </row>
    <row r="11081" spans="6:9" x14ac:dyDescent="0.3">
      <c r="F11081"/>
      <c r="G11081"/>
      <c r="H11081"/>
      <c r="I11081"/>
    </row>
    <row r="11082" spans="6:9" x14ac:dyDescent="0.3">
      <c r="F11082"/>
      <c r="G11082"/>
      <c r="H11082"/>
      <c r="I11082"/>
    </row>
    <row r="11083" spans="6:9" x14ac:dyDescent="0.3">
      <c r="F11083"/>
      <c r="G11083"/>
      <c r="H11083"/>
      <c r="I11083"/>
    </row>
    <row r="11084" spans="6:9" x14ac:dyDescent="0.3">
      <c r="F11084"/>
      <c r="G11084"/>
      <c r="H11084"/>
      <c r="I11084"/>
    </row>
    <row r="11085" spans="6:9" x14ac:dyDescent="0.3">
      <c r="F11085"/>
      <c r="G11085"/>
      <c r="H11085"/>
      <c r="I11085"/>
    </row>
    <row r="11086" spans="6:9" x14ac:dyDescent="0.3">
      <c r="F11086"/>
      <c r="G11086"/>
      <c r="H11086"/>
      <c r="I11086"/>
    </row>
    <row r="11087" spans="6:9" x14ac:dyDescent="0.3">
      <c r="F11087"/>
      <c r="G11087"/>
      <c r="H11087"/>
      <c r="I11087"/>
    </row>
    <row r="11088" spans="6:9" x14ac:dyDescent="0.3">
      <c r="F11088"/>
      <c r="G11088"/>
      <c r="H11088"/>
      <c r="I11088"/>
    </row>
    <row r="11089" spans="6:9" x14ac:dyDescent="0.3">
      <c r="F11089"/>
      <c r="G11089"/>
      <c r="H11089"/>
      <c r="I11089"/>
    </row>
    <row r="11090" spans="6:9" x14ac:dyDescent="0.3">
      <c r="F11090"/>
      <c r="G11090"/>
      <c r="H11090"/>
      <c r="I11090"/>
    </row>
    <row r="11091" spans="6:9" x14ac:dyDescent="0.3">
      <c r="F11091"/>
      <c r="G11091"/>
      <c r="H11091"/>
      <c r="I11091"/>
    </row>
    <row r="11092" spans="6:9" x14ac:dyDescent="0.3">
      <c r="F11092"/>
      <c r="G11092"/>
      <c r="H11092"/>
      <c r="I11092"/>
    </row>
    <row r="11093" spans="6:9" x14ac:dyDescent="0.3">
      <c r="F11093"/>
      <c r="G11093"/>
      <c r="H11093"/>
      <c r="I11093"/>
    </row>
    <row r="11094" spans="6:9" x14ac:dyDescent="0.3">
      <c r="F11094"/>
      <c r="G11094"/>
      <c r="H11094"/>
      <c r="I11094"/>
    </row>
    <row r="11095" spans="6:9" x14ac:dyDescent="0.3">
      <c r="F11095"/>
      <c r="G11095"/>
      <c r="H11095"/>
      <c r="I11095"/>
    </row>
    <row r="11096" spans="6:9" x14ac:dyDescent="0.3">
      <c r="F11096"/>
      <c r="G11096"/>
      <c r="H11096"/>
      <c r="I11096"/>
    </row>
    <row r="11097" spans="6:9" x14ac:dyDescent="0.3">
      <c r="F11097"/>
      <c r="G11097"/>
      <c r="H11097"/>
      <c r="I11097"/>
    </row>
    <row r="11098" spans="6:9" x14ac:dyDescent="0.3">
      <c r="F11098"/>
      <c r="G11098"/>
      <c r="H11098"/>
      <c r="I11098"/>
    </row>
    <row r="11099" spans="6:9" x14ac:dyDescent="0.3">
      <c r="F11099"/>
      <c r="G11099"/>
      <c r="H11099"/>
      <c r="I11099"/>
    </row>
    <row r="11100" spans="6:9" x14ac:dyDescent="0.3">
      <c r="F11100"/>
      <c r="G11100"/>
      <c r="H11100"/>
      <c r="I11100"/>
    </row>
    <row r="11101" spans="6:9" x14ac:dyDescent="0.3">
      <c r="F11101"/>
      <c r="G11101"/>
      <c r="H11101"/>
      <c r="I11101"/>
    </row>
    <row r="11102" spans="6:9" x14ac:dyDescent="0.3">
      <c r="F11102"/>
      <c r="G11102"/>
      <c r="H11102"/>
      <c r="I11102"/>
    </row>
    <row r="11103" spans="6:9" x14ac:dyDescent="0.3">
      <c r="F11103"/>
      <c r="G11103"/>
      <c r="H11103"/>
      <c r="I11103"/>
    </row>
    <row r="11104" spans="6:9" x14ac:dyDescent="0.3">
      <c r="F11104"/>
      <c r="G11104"/>
      <c r="H11104"/>
      <c r="I11104"/>
    </row>
    <row r="11105" spans="6:9" x14ac:dyDescent="0.3">
      <c r="F11105"/>
      <c r="G11105"/>
      <c r="H11105"/>
      <c r="I11105"/>
    </row>
    <row r="11106" spans="6:9" x14ac:dyDescent="0.3">
      <c r="F11106"/>
      <c r="G11106"/>
      <c r="H11106"/>
      <c r="I11106"/>
    </row>
    <row r="11107" spans="6:9" x14ac:dyDescent="0.3">
      <c r="F11107"/>
      <c r="G11107"/>
      <c r="H11107"/>
      <c r="I11107"/>
    </row>
    <row r="11108" spans="6:9" x14ac:dyDescent="0.3">
      <c r="F11108"/>
      <c r="G11108"/>
      <c r="H11108"/>
      <c r="I11108"/>
    </row>
    <row r="11109" spans="6:9" x14ac:dyDescent="0.3">
      <c r="F11109"/>
      <c r="G11109"/>
      <c r="H11109"/>
      <c r="I11109"/>
    </row>
    <row r="11110" spans="6:9" x14ac:dyDescent="0.3">
      <c r="F11110"/>
      <c r="G11110"/>
      <c r="H11110"/>
      <c r="I11110"/>
    </row>
    <row r="11111" spans="6:9" x14ac:dyDescent="0.3">
      <c r="F11111"/>
      <c r="G11111"/>
      <c r="H11111"/>
      <c r="I11111"/>
    </row>
    <row r="11112" spans="6:9" x14ac:dyDescent="0.3">
      <c r="F11112"/>
      <c r="G11112"/>
      <c r="H11112"/>
      <c r="I11112"/>
    </row>
    <row r="11113" spans="6:9" x14ac:dyDescent="0.3">
      <c r="F11113"/>
      <c r="G11113"/>
      <c r="H11113"/>
      <c r="I11113"/>
    </row>
    <row r="11114" spans="6:9" x14ac:dyDescent="0.3">
      <c r="F11114"/>
      <c r="G11114"/>
      <c r="H11114"/>
      <c r="I11114"/>
    </row>
    <row r="11115" spans="6:9" x14ac:dyDescent="0.3">
      <c r="F11115"/>
      <c r="G11115"/>
      <c r="H11115"/>
      <c r="I11115"/>
    </row>
    <row r="11116" spans="6:9" x14ac:dyDescent="0.3">
      <c r="F11116"/>
      <c r="G11116"/>
      <c r="H11116"/>
      <c r="I11116"/>
    </row>
    <row r="11117" spans="6:9" x14ac:dyDescent="0.3">
      <c r="F11117"/>
      <c r="G11117"/>
      <c r="H11117"/>
      <c r="I11117"/>
    </row>
    <row r="11118" spans="6:9" x14ac:dyDescent="0.3">
      <c r="F11118"/>
      <c r="G11118"/>
      <c r="H11118"/>
      <c r="I11118"/>
    </row>
    <row r="11119" spans="6:9" x14ac:dyDescent="0.3">
      <c r="F11119"/>
      <c r="G11119"/>
      <c r="H11119"/>
      <c r="I11119"/>
    </row>
    <row r="11120" spans="6:9" x14ac:dyDescent="0.3">
      <c r="F11120"/>
      <c r="G11120"/>
      <c r="H11120"/>
      <c r="I11120"/>
    </row>
    <row r="11121" spans="6:9" x14ac:dyDescent="0.3">
      <c r="F11121"/>
      <c r="G11121"/>
      <c r="H11121"/>
      <c r="I11121"/>
    </row>
    <row r="11122" spans="6:9" x14ac:dyDescent="0.3">
      <c r="F11122"/>
      <c r="G11122"/>
      <c r="H11122"/>
      <c r="I11122"/>
    </row>
    <row r="11123" spans="6:9" x14ac:dyDescent="0.3">
      <c r="F11123"/>
      <c r="G11123"/>
      <c r="H11123"/>
      <c r="I11123"/>
    </row>
    <row r="11124" spans="6:9" x14ac:dyDescent="0.3">
      <c r="F11124"/>
      <c r="G11124"/>
      <c r="H11124"/>
      <c r="I11124"/>
    </row>
    <row r="11125" spans="6:9" x14ac:dyDescent="0.3">
      <c r="F11125"/>
      <c r="G11125"/>
      <c r="H11125"/>
      <c r="I11125"/>
    </row>
    <row r="11126" spans="6:9" x14ac:dyDescent="0.3">
      <c r="F11126"/>
      <c r="G11126"/>
      <c r="H11126"/>
      <c r="I11126"/>
    </row>
    <row r="11127" spans="6:9" x14ac:dyDescent="0.3">
      <c r="F11127"/>
      <c r="G11127"/>
      <c r="H11127"/>
      <c r="I11127"/>
    </row>
    <row r="11128" spans="6:9" x14ac:dyDescent="0.3">
      <c r="F11128"/>
      <c r="G11128"/>
      <c r="H11128"/>
      <c r="I11128"/>
    </row>
    <row r="11129" spans="6:9" x14ac:dyDescent="0.3">
      <c r="F11129"/>
      <c r="G11129"/>
      <c r="H11129"/>
      <c r="I11129"/>
    </row>
    <row r="11130" spans="6:9" x14ac:dyDescent="0.3">
      <c r="F11130"/>
      <c r="G11130"/>
      <c r="H11130"/>
      <c r="I11130"/>
    </row>
    <row r="11131" spans="6:9" x14ac:dyDescent="0.3">
      <c r="F11131"/>
      <c r="G11131"/>
      <c r="H11131"/>
      <c r="I11131"/>
    </row>
    <row r="11132" spans="6:9" x14ac:dyDescent="0.3">
      <c r="F11132"/>
      <c r="G11132"/>
      <c r="H11132"/>
      <c r="I11132"/>
    </row>
    <row r="11133" spans="6:9" x14ac:dyDescent="0.3">
      <c r="F11133"/>
      <c r="G11133"/>
      <c r="H11133"/>
      <c r="I11133"/>
    </row>
    <row r="11134" spans="6:9" x14ac:dyDescent="0.3">
      <c r="F11134"/>
      <c r="G11134"/>
      <c r="H11134"/>
      <c r="I11134"/>
    </row>
    <row r="11135" spans="6:9" x14ac:dyDescent="0.3">
      <c r="F11135"/>
      <c r="G11135"/>
      <c r="H11135"/>
      <c r="I11135"/>
    </row>
    <row r="11136" spans="6:9" x14ac:dyDescent="0.3">
      <c r="F11136"/>
      <c r="G11136"/>
      <c r="H11136"/>
      <c r="I11136"/>
    </row>
    <row r="11137" spans="6:9" x14ac:dyDescent="0.3">
      <c r="F11137"/>
      <c r="G11137"/>
      <c r="H11137"/>
      <c r="I11137"/>
    </row>
    <row r="11138" spans="6:9" x14ac:dyDescent="0.3">
      <c r="F11138"/>
      <c r="G11138"/>
      <c r="H11138"/>
      <c r="I11138"/>
    </row>
    <row r="11139" spans="6:9" x14ac:dyDescent="0.3">
      <c r="F11139"/>
      <c r="G11139"/>
      <c r="H11139"/>
      <c r="I11139"/>
    </row>
    <row r="11140" spans="6:9" x14ac:dyDescent="0.3">
      <c r="F11140"/>
      <c r="G11140"/>
      <c r="H11140"/>
      <c r="I11140"/>
    </row>
    <row r="11141" spans="6:9" x14ac:dyDescent="0.3">
      <c r="F11141"/>
      <c r="G11141"/>
      <c r="H11141"/>
      <c r="I11141"/>
    </row>
    <row r="11142" spans="6:9" x14ac:dyDescent="0.3">
      <c r="F11142"/>
      <c r="G11142"/>
      <c r="H11142"/>
      <c r="I11142"/>
    </row>
    <row r="11143" spans="6:9" x14ac:dyDescent="0.3">
      <c r="F11143"/>
      <c r="G11143"/>
      <c r="H11143"/>
      <c r="I11143"/>
    </row>
    <row r="11144" spans="6:9" x14ac:dyDescent="0.3">
      <c r="F11144"/>
      <c r="G11144"/>
      <c r="H11144"/>
      <c r="I11144"/>
    </row>
    <row r="11145" spans="6:9" x14ac:dyDescent="0.3">
      <c r="F11145"/>
      <c r="G11145"/>
      <c r="H11145"/>
      <c r="I11145"/>
    </row>
    <row r="11146" spans="6:9" x14ac:dyDescent="0.3">
      <c r="F11146"/>
      <c r="G11146"/>
      <c r="H11146"/>
      <c r="I11146"/>
    </row>
    <row r="11147" spans="6:9" x14ac:dyDescent="0.3">
      <c r="F11147"/>
      <c r="G11147"/>
      <c r="H11147"/>
      <c r="I11147"/>
    </row>
    <row r="11148" spans="6:9" x14ac:dyDescent="0.3">
      <c r="F11148"/>
      <c r="G11148"/>
      <c r="H11148"/>
      <c r="I11148"/>
    </row>
    <row r="11149" spans="6:9" x14ac:dyDescent="0.3">
      <c r="F11149"/>
      <c r="G11149"/>
      <c r="H11149"/>
      <c r="I11149"/>
    </row>
    <row r="11150" spans="6:9" x14ac:dyDescent="0.3">
      <c r="F11150"/>
      <c r="G11150"/>
      <c r="H11150"/>
      <c r="I11150"/>
    </row>
    <row r="11151" spans="6:9" x14ac:dyDescent="0.3">
      <c r="F11151"/>
      <c r="G11151"/>
      <c r="H11151"/>
      <c r="I11151"/>
    </row>
    <row r="11152" spans="6:9" x14ac:dyDescent="0.3">
      <c r="F11152"/>
      <c r="G11152"/>
      <c r="H11152"/>
      <c r="I11152"/>
    </row>
    <row r="11153" spans="6:9" x14ac:dyDescent="0.3">
      <c r="F11153"/>
      <c r="G11153"/>
      <c r="H11153"/>
      <c r="I11153"/>
    </row>
    <row r="11154" spans="6:9" x14ac:dyDescent="0.3">
      <c r="F11154"/>
      <c r="G11154"/>
      <c r="H11154"/>
      <c r="I11154"/>
    </row>
    <row r="11155" spans="6:9" x14ac:dyDescent="0.3">
      <c r="F11155"/>
      <c r="G11155"/>
      <c r="H11155"/>
      <c r="I11155"/>
    </row>
    <row r="11156" spans="6:9" x14ac:dyDescent="0.3">
      <c r="F11156"/>
      <c r="G11156"/>
      <c r="H11156"/>
      <c r="I11156"/>
    </row>
    <row r="11157" spans="6:9" x14ac:dyDescent="0.3">
      <c r="F11157"/>
      <c r="G11157"/>
      <c r="H11157"/>
      <c r="I11157"/>
    </row>
    <row r="11158" spans="6:9" x14ac:dyDescent="0.3">
      <c r="F11158"/>
      <c r="G11158"/>
      <c r="H11158"/>
      <c r="I11158"/>
    </row>
    <row r="11159" spans="6:9" x14ac:dyDescent="0.3">
      <c r="F11159"/>
      <c r="G11159"/>
      <c r="H11159"/>
      <c r="I11159"/>
    </row>
    <row r="11160" spans="6:9" x14ac:dyDescent="0.3">
      <c r="F11160"/>
      <c r="G11160"/>
      <c r="H11160"/>
      <c r="I11160"/>
    </row>
    <row r="11161" spans="6:9" x14ac:dyDescent="0.3">
      <c r="F11161"/>
      <c r="G11161"/>
      <c r="H11161"/>
      <c r="I11161"/>
    </row>
    <row r="11162" spans="6:9" x14ac:dyDescent="0.3">
      <c r="F11162"/>
      <c r="G11162"/>
      <c r="H11162"/>
      <c r="I11162"/>
    </row>
    <row r="11163" spans="6:9" x14ac:dyDescent="0.3">
      <c r="F11163"/>
      <c r="G11163"/>
      <c r="H11163"/>
      <c r="I11163"/>
    </row>
    <row r="11164" spans="6:9" x14ac:dyDescent="0.3">
      <c r="F11164"/>
      <c r="G11164"/>
      <c r="H11164"/>
      <c r="I11164"/>
    </row>
    <row r="11165" spans="6:9" x14ac:dyDescent="0.3">
      <c r="F11165"/>
      <c r="G11165"/>
      <c r="H11165"/>
      <c r="I11165"/>
    </row>
    <row r="11166" spans="6:9" x14ac:dyDescent="0.3">
      <c r="F11166"/>
      <c r="G11166"/>
      <c r="H11166"/>
      <c r="I11166"/>
    </row>
    <row r="11167" spans="6:9" x14ac:dyDescent="0.3">
      <c r="F11167"/>
      <c r="G11167"/>
      <c r="H11167"/>
      <c r="I11167"/>
    </row>
    <row r="11168" spans="6:9" x14ac:dyDescent="0.3">
      <c r="F11168"/>
      <c r="G11168"/>
      <c r="H11168"/>
      <c r="I11168"/>
    </row>
    <row r="11169" spans="6:9" x14ac:dyDescent="0.3">
      <c r="F11169"/>
      <c r="G11169"/>
      <c r="H11169"/>
      <c r="I11169"/>
    </row>
    <row r="11170" spans="6:9" x14ac:dyDescent="0.3">
      <c r="F11170"/>
      <c r="G11170"/>
      <c r="H11170"/>
      <c r="I11170"/>
    </row>
    <row r="11171" spans="6:9" x14ac:dyDescent="0.3">
      <c r="F11171"/>
      <c r="G11171"/>
      <c r="H11171"/>
      <c r="I11171"/>
    </row>
    <row r="11172" spans="6:9" x14ac:dyDescent="0.3">
      <c r="F11172"/>
      <c r="G11172"/>
      <c r="H11172"/>
      <c r="I11172"/>
    </row>
    <row r="11173" spans="6:9" x14ac:dyDescent="0.3">
      <c r="F11173"/>
      <c r="G11173"/>
      <c r="H11173"/>
      <c r="I11173"/>
    </row>
    <row r="11174" spans="6:9" x14ac:dyDescent="0.3">
      <c r="F11174"/>
      <c r="G11174"/>
      <c r="H11174"/>
      <c r="I11174"/>
    </row>
    <row r="11175" spans="6:9" x14ac:dyDescent="0.3">
      <c r="F11175"/>
      <c r="G11175"/>
      <c r="H11175"/>
      <c r="I11175"/>
    </row>
    <row r="11176" spans="6:9" x14ac:dyDescent="0.3">
      <c r="F11176"/>
      <c r="G11176"/>
      <c r="H11176"/>
      <c r="I11176"/>
    </row>
    <row r="11177" spans="6:9" x14ac:dyDescent="0.3">
      <c r="F11177"/>
      <c r="G11177"/>
      <c r="H11177"/>
      <c r="I11177"/>
    </row>
    <row r="11178" spans="6:9" x14ac:dyDescent="0.3">
      <c r="F11178"/>
      <c r="G11178"/>
      <c r="H11178"/>
      <c r="I11178"/>
    </row>
    <row r="11179" spans="6:9" x14ac:dyDescent="0.3">
      <c r="F11179"/>
      <c r="G11179"/>
      <c r="H11179"/>
      <c r="I11179"/>
    </row>
    <row r="11180" spans="6:9" x14ac:dyDescent="0.3">
      <c r="F11180"/>
      <c r="G11180"/>
      <c r="H11180"/>
      <c r="I11180"/>
    </row>
    <row r="11181" spans="6:9" x14ac:dyDescent="0.3">
      <c r="F11181"/>
      <c r="G11181"/>
      <c r="H11181"/>
      <c r="I11181"/>
    </row>
    <row r="11182" spans="6:9" x14ac:dyDescent="0.3">
      <c r="F11182"/>
      <c r="G11182"/>
      <c r="H11182"/>
      <c r="I11182"/>
    </row>
    <row r="11183" spans="6:9" x14ac:dyDescent="0.3">
      <c r="F11183"/>
      <c r="G11183"/>
      <c r="H11183"/>
      <c r="I11183"/>
    </row>
    <row r="11184" spans="6:9" x14ac:dyDescent="0.3">
      <c r="F11184"/>
      <c r="G11184"/>
      <c r="H11184"/>
      <c r="I11184"/>
    </row>
    <row r="11185" spans="6:9" x14ac:dyDescent="0.3">
      <c r="F11185"/>
      <c r="G11185"/>
      <c r="H11185"/>
      <c r="I11185"/>
    </row>
    <row r="11186" spans="6:9" x14ac:dyDescent="0.3">
      <c r="F11186"/>
      <c r="G11186"/>
      <c r="H11186"/>
      <c r="I11186"/>
    </row>
    <row r="11187" spans="6:9" x14ac:dyDescent="0.3">
      <c r="F11187"/>
      <c r="G11187"/>
      <c r="H11187"/>
      <c r="I11187"/>
    </row>
    <row r="11188" spans="6:9" x14ac:dyDescent="0.3">
      <c r="F11188"/>
      <c r="G11188"/>
      <c r="H11188"/>
      <c r="I11188"/>
    </row>
    <row r="11189" spans="6:9" x14ac:dyDescent="0.3">
      <c r="F11189"/>
      <c r="G11189"/>
      <c r="H11189"/>
      <c r="I11189"/>
    </row>
    <row r="11190" spans="6:9" x14ac:dyDescent="0.3">
      <c r="F11190"/>
      <c r="G11190"/>
      <c r="H11190"/>
      <c r="I11190"/>
    </row>
    <row r="11191" spans="6:9" x14ac:dyDescent="0.3">
      <c r="F11191"/>
      <c r="G11191"/>
      <c r="H11191"/>
      <c r="I11191"/>
    </row>
    <row r="11192" spans="6:9" x14ac:dyDescent="0.3">
      <c r="F11192"/>
      <c r="G11192"/>
      <c r="H11192"/>
      <c r="I11192"/>
    </row>
    <row r="11193" spans="6:9" x14ac:dyDescent="0.3">
      <c r="F11193"/>
      <c r="G11193"/>
      <c r="H11193"/>
      <c r="I11193"/>
    </row>
    <row r="11194" spans="6:9" x14ac:dyDescent="0.3">
      <c r="F11194"/>
      <c r="G11194"/>
      <c r="H11194"/>
      <c r="I11194"/>
    </row>
    <row r="11195" spans="6:9" x14ac:dyDescent="0.3">
      <c r="F11195"/>
      <c r="G11195"/>
      <c r="H11195"/>
      <c r="I11195"/>
    </row>
    <row r="11196" spans="6:9" x14ac:dyDescent="0.3">
      <c r="F11196"/>
      <c r="G11196"/>
      <c r="H11196"/>
      <c r="I11196"/>
    </row>
    <row r="11197" spans="6:9" x14ac:dyDescent="0.3">
      <c r="F11197"/>
      <c r="G11197"/>
      <c r="H11197"/>
      <c r="I11197"/>
    </row>
    <row r="11198" spans="6:9" x14ac:dyDescent="0.3">
      <c r="F11198"/>
      <c r="G11198"/>
      <c r="H11198"/>
      <c r="I11198"/>
    </row>
    <row r="11199" spans="6:9" x14ac:dyDescent="0.3">
      <c r="F11199"/>
      <c r="G11199"/>
      <c r="H11199"/>
      <c r="I11199"/>
    </row>
    <row r="11200" spans="6:9" x14ac:dyDescent="0.3">
      <c r="F11200"/>
      <c r="G11200"/>
      <c r="H11200"/>
      <c r="I11200"/>
    </row>
    <row r="11201" spans="6:9" x14ac:dyDescent="0.3">
      <c r="F11201"/>
      <c r="G11201"/>
      <c r="H11201"/>
      <c r="I11201"/>
    </row>
    <row r="11202" spans="6:9" x14ac:dyDescent="0.3">
      <c r="F11202"/>
      <c r="G11202"/>
      <c r="H11202"/>
      <c r="I11202"/>
    </row>
    <row r="11203" spans="6:9" x14ac:dyDescent="0.3">
      <c r="F11203"/>
      <c r="G11203"/>
      <c r="H11203"/>
      <c r="I11203"/>
    </row>
    <row r="11204" spans="6:9" x14ac:dyDescent="0.3">
      <c r="F11204"/>
      <c r="G11204"/>
      <c r="H11204"/>
      <c r="I11204"/>
    </row>
    <row r="11205" spans="6:9" x14ac:dyDescent="0.3">
      <c r="F11205"/>
      <c r="G11205"/>
      <c r="H11205"/>
      <c r="I11205"/>
    </row>
    <row r="11206" spans="6:9" x14ac:dyDescent="0.3">
      <c r="F11206"/>
      <c r="G11206"/>
      <c r="H11206"/>
      <c r="I11206"/>
    </row>
    <row r="11207" spans="6:9" x14ac:dyDescent="0.3">
      <c r="F11207"/>
      <c r="G11207"/>
      <c r="H11207"/>
      <c r="I11207"/>
    </row>
    <row r="11208" spans="6:9" x14ac:dyDescent="0.3">
      <c r="F11208"/>
      <c r="G11208"/>
      <c r="H11208"/>
      <c r="I11208"/>
    </row>
    <row r="11209" spans="6:9" x14ac:dyDescent="0.3">
      <c r="F11209"/>
      <c r="G11209"/>
      <c r="H11209"/>
      <c r="I11209"/>
    </row>
    <row r="11210" spans="6:9" x14ac:dyDescent="0.3">
      <c r="F11210"/>
      <c r="G11210"/>
      <c r="H11210"/>
      <c r="I11210"/>
    </row>
    <row r="11211" spans="6:9" x14ac:dyDescent="0.3">
      <c r="F11211"/>
      <c r="G11211"/>
      <c r="H11211"/>
      <c r="I11211"/>
    </row>
    <row r="11212" spans="6:9" x14ac:dyDescent="0.3">
      <c r="F11212"/>
      <c r="G11212"/>
      <c r="H11212"/>
      <c r="I11212"/>
    </row>
    <row r="11213" spans="6:9" x14ac:dyDescent="0.3">
      <c r="F11213"/>
      <c r="G11213"/>
      <c r="H11213"/>
      <c r="I11213"/>
    </row>
    <row r="11214" spans="6:9" x14ac:dyDescent="0.3">
      <c r="F11214"/>
      <c r="G11214"/>
      <c r="H11214"/>
      <c r="I11214"/>
    </row>
    <row r="11215" spans="6:9" x14ac:dyDescent="0.3">
      <c r="F11215"/>
      <c r="G11215"/>
      <c r="H11215"/>
      <c r="I11215"/>
    </row>
    <row r="11216" spans="6:9" x14ac:dyDescent="0.3">
      <c r="F11216"/>
      <c r="G11216"/>
      <c r="H11216"/>
      <c r="I11216"/>
    </row>
    <row r="11217" spans="6:9" x14ac:dyDescent="0.3">
      <c r="F11217"/>
      <c r="G11217"/>
      <c r="H11217"/>
      <c r="I11217"/>
    </row>
    <row r="11218" spans="6:9" x14ac:dyDescent="0.3">
      <c r="F11218"/>
      <c r="G11218"/>
      <c r="H11218"/>
      <c r="I11218"/>
    </row>
    <row r="11219" spans="6:9" x14ac:dyDescent="0.3">
      <c r="F11219"/>
      <c r="G11219"/>
      <c r="H11219"/>
      <c r="I11219"/>
    </row>
    <row r="11220" spans="6:9" x14ac:dyDescent="0.3">
      <c r="F11220"/>
      <c r="G11220"/>
      <c r="H11220"/>
      <c r="I11220"/>
    </row>
    <row r="11221" spans="6:9" x14ac:dyDescent="0.3">
      <c r="F11221"/>
      <c r="G11221"/>
      <c r="H11221"/>
      <c r="I11221"/>
    </row>
    <row r="11222" spans="6:9" x14ac:dyDescent="0.3">
      <c r="F11222"/>
      <c r="G11222"/>
      <c r="H11222"/>
      <c r="I11222"/>
    </row>
    <row r="11223" spans="6:9" x14ac:dyDescent="0.3">
      <c r="F11223"/>
      <c r="G11223"/>
      <c r="H11223"/>
      <c r="I11223"/>
    </row>
    <row r="11224" spans="6:9" x14ac:dyDescent="0.3">
      <c r="F11224"/>
      <c r="G11224"/>
      <c r="H11224"/>
      <c r="I11224"/>
    </row>
    <row r="11225" spans="6:9" x14ac:dyDescent="0.3">
      <c r="F11225"/>
      <c r="G11225"/>
      <c r="H11225"/>
      <c r="I11225"/>
    </row>
    <row r="11226" spans="6:9" x14ac:dyDescent="0.3">
      <c r="F11226"/>
      <c r="G11226"/>
      <c r="H11226"/>
      <c r="I11226"/>
    </row>
    <row r="11227" spans="6:9" x14ac:dyDescent="0.3">
      <c r="F11227"/>
      <c r="G11227"/>
      <c r="H11227"/>
      <c r="I11227"/>
    </row>
    <row r="11228" spans="6:9" x14ac:dyDescent="0.3">
      <c r="F11228"/>
      <c r="G11228"/>
      <c r="H11228"/>
      <c r="I11228"/>
    </row>
    <row r="11229" spans="6:9" x14ac:dyDescent="0.3">
      <c r="F11229"/>
      <c r="G11229"/>
      <c r="H11229"/>
      <c r="I11229"/>
    </row>
    <row r="11230" spans="6:9" x14ac:dyDescent="0.3">
      <c r="F11230"/>
      <c r="G11230"/>
      <c r="H11230"/>
      <c r="I11230"/>
    </row>
    <row r="11231" spans="6:9" x14ac:dyDescent="0.3">
      <c r="F11231"/>
      <c r="G11231"/>
      <c r="H11231"/>
      <c r="I11231"/>
    </row>
    <row r="11232" spans="6:9" x14ac:dyDescent="0.3">
      <c r="F11232"/>
      <c r="G11232"/>
      <c r="H11232"/>
      <c r="I11232"/>
    </row>
    <row r="11233" spans="6:9" x14ac:dyDescent="0.3">
      <c r="F11233"/>
      <c r="G11233"/>
      <c r="H11233"/>
      <c r="I11233"/>
    </row>
    <row r="11234" spans="6:9" x14ac:dyDescent="0.3">
      <c r="F11234"/>
      <c r="G11234"/>
      <c r="H11234"/>
      <c r="I11234"/>
    </row>
    <row r="11235" spans="6:9" x14ac:dyDescent="0.3">
      <c r="F11235"/>
      <c r="G11235"/>
      <c r="H11235"/>
      <c r="I11235"/>
    </row>
    <row r="11236" spans="6:9" x14ac:dyDescent="0.3">
      <c r="F11236"/>
      <c r="G11236"/>
      <c r="H11236"/>
      <c r="I11236"/>
    </row>
    <row r="11237" spans="6:9" x14ac:dyDescent="0.3">
      <c r="F11237"/>
      <c r="G11237"/>
      <c r="H11237"/>
      <c r="I11237"/>
    </row>
    <row r="11238" spans="6:9" x14ac:dyDescent="0.3">
      <c r="F11238"/>
      <c r="G11238"/>
      <c r="H11238"/>
      <c r="I11238"/>
    </row>
    <row r="11239" spans="6:9" x14ac:dyDescent="0.3">
      <c r="F11239"/>
      <c r="G11239"/>
      <c r="H11239"/>
      <c r="I11239"/>
    </row>
    <row r="11240" spans="6:9" x14ac:dyDescent="0.3">
      <c r="F11240"/>
      <c r="G11240"/>
      <c r="H11240"/>
      <c r="I11240"/>
    </row>
    <row r="11241" spans="6:9" x14ac:dyDescent="0.3">
      <c r="F11241"/>
      <c r="G11241"/>
      <c r="H11241"/>
      <c r="I11241"/>
    </row>
    <row r="11242" spans="6:9" x14ac:dyDescent="0.3">
      <c r="F11242"/>
      <c r="G11242"/>
      <c r="H11242"/>
      <c r="I11242"/>
    </row>
    <row r="11243" spans="6:9" x14ac:dyDescent="0.3">
      <c r="F11243"/>
      <c r="G11243"/>
      <c r="H11243"/>
      <c r="I11243"/>
    </row>
    <row r="11244" spans="6:9" x14ac:dyDescent="0.3">
      <c r="F11244"/>
      <c r="G11244"/>
      <c r="H11244"/>
      <c r="I11244"/>
    </row>
    <row r="11245" spans="6:9" x14ac:dyDescent="0.3">
      <c r="F11245"/>
      <c r="G11245"/>
      <c r="H11245"/>
      <c r="I11245"/>
    </row>
    <row r="11246" spans="6:9" x14ac:dyDescent="0.3">
      <c r="F11246"/>
      <c r="G11246"/>
      <c r="H11246"/>
      <c r="I11246"/>
    </row>
    <row r="11247" spans="6:9" x14ac:dyDescent="0.3">
      <c r="F11247"/>
      <c r="G11247"/>
      <c r="H11247"/>
      <c r="I11247"/>
    </row>
    <row r="11248" spans="6:9" x14ac:dyDescent="0.3">
      <c r="F11248"/>
      <c r="G11248"/>
      <c r="H11248"/>
      <c r="I11248"/>
    </row>
    <row r="11249" spans="6:9" x14ac:dyDescent="0.3">
      <c r="F11249"/>
      <c r="G11249"/>
      <c r="H11249"/>
      <c r="I11249"/>
    </row>
    <row r="11250" spans="6:9" x14ac:dyDescent="0.3">
      <c r="F11250"/>
      <c r="G11250"/>
      <c r="H11250"/>
      <c r="I11250"/>
    </row>
    <row r="11251" spans="6:9" x14ac:dyDescent="0.3">
      <c r="F11251"/>
      <c r="G11251"/>
      <c r="H11251"/>
      <c r="I11251"/>
    </row>
    <row r="11252" spans="6:9" x14ac:dyDescent="0.3">
      <c r="F11252"/>
      <c r="G11252"/>
      <c r="H11252"/>
      <c r="I11252"/>
    </row>
    <row r="11253" spans="6:9" x14ac:dyDescent="0.3">
      <c r="F11253"/>
      <c r="G11253"/>
      <c r="H11253"/>
      <c r="I11253"/>
    </row>
    <row r="11254" spans="6:9" x14ac:dyDescent="0.3">
      <c r="F11254"/>
      <c r="G11254"/>
      <c r="H11254"/>
      <c r="I11254"/>
    </row>
    <row r="11255" spans="6:9" x14ac:dyDescent="0.3">
      <c r="F11255"/>
      <c r="G11255"/>
      <c r="H11255"/>
      <c r="I11255"/>
    </row>
    <row r="11256" spans="6:9" x14ac:dyDescent="0.3">
      <c r="F11256"/>
      <c r="G11256"/>
      <c r="H11256"/>
      <c r="I11256"/>
    </row>
    <row r="11257" spans="6:9" x14ac:dyDescent="0.3">
      <c r="F11257"/>
      <c r="G11257"/>
      <c r="H11257"/>
      <c r="I11257"/>
    </row>
    <row r="11258" spans="6:9" x14ac:dyDescent="0.3">
      <c r="F11258"/>
      <c r="G11258"/>
      <c r="H11258"/>
      <c r="I11258"/>
    </row>
    <row r="11259" spans="6:9" x14ac:dyDescent="0.3">
      <c r="F11259"/>
      <c r="G11259"/>
      <c r="H11259"/>
      <c r="I11259"/>
    </row>
    <row r="11260" spans="6:9" x14ac:dyDescent="0.3">
      <c r="F11260"/>
      <c r="G11260"/>
      <c r="H11260"/>
      <c r="I11260"/>
    </row>
    <row r="11261" spans="6:9" x14ac:dyDescent="0.3">
      <c r="F11261"/>
      <c r="G11261"/>
      <c r="H11261"/>
      <c r="I11261"/>
    </row>
    <row r="11262" spans="6:9" x14ac:dyDescent="0.3">
      <c r="F11262"/>
      <c r="G11262"/>
      <c r="H11262"/>
      <c r="I11262"/>
    </row>
    <row r="11263" spans="6:9" x14ac:dyDescent="0.3">
      <c r="F11263"/>
      <c r="G11263"/>
      <c r="H11263"/>
      <c r="I11263"/>
    </row>
    <row r="11264" spans="6:9" x14ac:dyDescent="0.3">
      <c r="F11264"/>
      <c r="G11264"/>
      <c r="H11264"/>
      <c r="I11264"/>
    </row>
    <row r="11265" spans="6:9" x14ac:dyDescent="0.3">
      <c r="F11265"/>
      <c r="G11265"/>
      <c r="H11265"/>
      <c r="I11265"/>
    </row>
    <row r="11266" spans="6:9" x14ac:dyDescent="0.3">
      <c r="F11266"/>
      <c r="G11266"/>
      <c r="H11266"/>
      <c r="I11266"/>
    </row>
    <row r="11267" spans="6:9" x14ac:dyDescent="0.3">
      <c r="F11267"/>
      <c r="G11267"/>
      <c r="H11267"/>
      <c r="I11267"/>
    </row>
    <row r="11268" spans="6:9" x14ac:dyDescent="0.3">
      <c r="F11268"/>
      <c r="G11268"/>
      <c r="H11268"/>
      <c r="I11268"/>
    </row>
    <row r="11269" spans="6:9" x14ac:dyDescent="0.3">
      <c r="F11269"/>
      <c r="G11269"/>
      <c r="H11269"/>
      <c r="I11269"/>
    </row>
    <row r="11270" spans="6:9" x14ac:dyDescent="0.3">
      <c r="F11270"/>
      <c r="G11270"/>
      <c r="H11270"/>
      <c r="I11270"/>
    </row>
    <row r="11271" spans="6:9" x14ac:dyDescent="0.3">
      <c r="F11271"/>
      <c r="G11271"/>
      <c r="H11271"/>
      <c r="I11271"/>
    </row>
    <row r="11272" spans="6:9" x14ac:dyDescent="0.3">
      <c r="F11272"/>
      <c r="G11272"/>
      <c r="H11272"/>
      <c r="I11272"/>
    </row>
    <row r="11273" spans="6:9" x14ac:dyDescent="0.3">
      <c r="F11273"/>
      <c r="G11273"/>
      <c r="H11273"/>
      <c r="I11273"/>
    </row>
    <row r="11274" spans="6:9" x14ac:dyDescent="0.3">
      <c r="F11274"/>
      <c r="G11274"/>
      <c r="H11274"/>
      <c r="I11274"/>
    </row>
    <row r="11275" spans="6:9" x14ac:dyDescent="0.3">
      <c r="F11275"/>
      <c r="G11275"/>
      <c r="H11275"/>
      <c r="I11275"/>
    </row>
    <row r="11276" spans="6:9" x14ac:dyDescent="0.3">
      <c r="F11276"/>
      <c r="G11276"/>
      <c r="H11276"/>
      <c r="I11276"/>
    </row>
    <row r="11277" spans="6:9" x14ac:dyDescent="0.3">
      <c r="F11277"/>
      <c r="G11277"/>
      <c r="H11277"/>
      <c r="I11277"/>
    </row>
    <row r="11278" spans="6:9" x14ac:dyDescent="0.3">
      <c r="F11278"/>
      <c r="G11278"/>
      <c r="H11278"/>
      <c r="I11278"/>
    </row>
    <row r="11279" spans="6:9" x14ac:dyDescent="0.3">
      <c r="F11279"/>
      <c r="G11279"/>
      <c r="H11279"/>
      <c r="I11279"/>
    </row>
    <row r="11280" spans="6:9" x14ac:dyDescent="0.3">
      <c r="F11280"/>
      <c r="G11280"/>
      <c r="H11280"/>
      <c r="I11280"/>
    </row>
    <row r="11281" spans="6:9" x14ac:dyDescent="0.3">
      <c r="F11281"/>
      <c r="G11281"/>
      <c r="H11281"/>
      <c r="I11281"/>
    </row>
    <row r="11282" spans="6:9" x14ac:dyDescent="0.3">
      <c r="F11282"/>
      <c r="G11282"/>
      <c r="H11282"/>
      <c r="I11282"/>
    </row>
    <row r="11283" spans="6:9" x14ac:dyDescent="0.3">
      <c r="F11283"/>
      <c r="G11283"/>
      <c r="H11283"/>
      <c r="I11283"/>
    </row>
    <row r="11284" spans="6:9" x14ac:dyDescent="0.3">
      <c r="F11284"/>
      <c r="G11284"/>
      <c r="H11284"/>
      <c r="I11284"/>
    </row>
    <row r="11285" spans="6:9" x14ac:dyDescent="0.3">
      <c r="F11285"/>
      <c r="G11285"/>
      <c r="H11285"/>
      <c r="I11285"/>
    </row>
    <row r="11286" spans="6:9" x14ac:dyDescent="0.3">
      <c r="F11286"/>
      <c r="G11286"/>
      <c r="H11286"/>
      <c r="I11286"/>
    </row>
    <row r="11287" spans="6:9" x14ac:dyDescent="0.3">
      <c r="F11287"/>
      <c r="G11287"/>
      <c r="H11287"/>
      <c r="I11287"/>
    </row>
    <row r="11288" spans="6:9" x14ac:dyDescent="0.3">
      <c r="F11288"/>
      <c r="G11288"/>
      <c r="H11288"/>
      <c r="I11288"/>
    </row>
    <row r="11289" spans="6:9" x14ac:dyDescent="0.3">
      <c r="F11289"/>
      <c r="G11289"/>
      <c r="H11289"/>
      <c r="I11289"/>
    </row>
    <row r="11290" spans="6:9" x14ac:dyDescent="0.3">
      <c r="F11290"/>
      <c r="G11290"/>
      <c r="H11290"/>
      <c r="I11290"/>
    </row>
    <row r="11291" spans="6:9" x14ac:dyDescent="0.3">
      <c r="F11291"/>
      <c r="G11291"/>
      <c r="H11291"/>
      <c r="I11291"/>
    </row>
    <row r="11292" spans="6:9" x14ac:dyDescent="0.3">
      <c r="F11292"/>
      <c r="G11292"/>
      <c r="H11292"/>
      <c r="I11292"/>
    </row>
    <row r="11293" spans="6:9" x14ac:dyDescent="0.3">
      <c r="F11293"/>
      <c r="G11293"/>
      <c r="H11293"/>
      <c r="I11293"/>
    </row>
    <row r="11294" spans="6:9" x14ac:dyDescent="0.3">
      <c r="F11294"/>
      <c r="G11294"/>
      <c r="H11294"/>
      <c r="I11294"/>
    </row>
    <row r="11295" spans="6:9" x14ac:dyDescent="0.3">
      <c r="F11295"/>
      <c r="G11295"/>
      <c r="H11295"/>
      <c r="I11295"/>
    </row>
    <row r="11296" spans="6:9" x14ac:dyDescent="0.3">
      <c r="F11296"/>
      <c r="G11296"/>
      <c r="H11296"/>
      <c r="I11296"/>
    </row>
    <row r="11297" spans="6:9" x14ac:dyDescent="0.3">
      <c r="F11297"/>
      <c r="G11297"/>
      <c r="H11297"/>
      <c r="I11297"/>
    </row>
    <row r="11298" spans="6:9" x14ac:dyDescent="0.3">
      <c r="F11298"/>
      <c r="G11298"/>
      <c r="H11298"/>
      <c r="I11298"/>
    </row>
    <row r="11299" spans="6:9" x14ac:dyDescent="0.3">
      <c r="F11299"/>
      <c r="G11299"/>
      <c r="H11299"/>
      <c r="I11299"/>
    </row>
    <row r="11300" spans="6:9" x14ac:dyDescent="0.3">
      <c r="F11300"/>
      <c r="G11300"/>
      <c r="H11300"/>
      <c r="I11300"/>
    </row>
    <row r="11301" spans="6:9" x14ac:dyDescent="0.3">
      <c r="F11301"/>
      <c r="G11301"/>
      <c r="H11301"/>
      <c r="I11301"/>
    </row>
    <row r="11302" spans="6:9" x14ac:dyDescent="0.3">
      <c r="F11302"/>
      <c r="G11302"/>
      <c r="H11302"/>
      <c r="I11302"/>
    </row>
    <row r="11303" spans="6:9" x14ac:dyDescent="0.3">
      <c r="F11303"/>
      <c r="G11303"/>
      <c r="H11303"/>
      <c r="I11303"/>
    </row>
    <row r="11304" spans="6:9" x14ac:dyDescent="0.3">
      <c r="F11304"/>
      <c r="G11304"/>
      <c r="H11304"/>
      <c r="I11304"/>
    </row>
    <row r="11305" spans="6:9" x14ac:dyDescent="0.3">
      <c r="F11305"/>
      <c r="G11305"/>
      <c r="H11305"/>
      <c r="I11305"/>
    </row>
    <row r="11306" spans="6:9" x14ac:dyDescent="0.3">
      <c r="F11306"/>
      <c r="G11306"/>
      <c r="H11306"/>
      <c r="I11306"/>
    </row>
    <row r="11307" spans="6:9" x14ac:dyDescent="0.3">
      <c r="F11307"/>
      <c r="G11307"/>
      <c r="H11307"/>
      <c r="I11307"/>
    </row>
    <row r="11308" spans="6:9" x14ac:dyDescent="0.3">
      <c r="F11308"/>
      <c r="G11308"/>
      <c r="H11308"/>
      <c r="I11308"/>
    </row>
    <row r="11309" spans="6:9" x14ac:dyDescent="0.3">
      <c r="F11309"/>
      <c r="G11309"/>
      <c r="H11309"/>
      <c r="I11309"/>
    </row>
    <row r="11310" spans="6:9" x14ac:dyDescent="0.3">
      <c r="F11310"/>
      <c r="G11310"/>
      <c r="H11310"/>
      <c r="I11310"/>
    </row>
    <row r="11311" spans="6:9" x14ac:dyDescent="0.3">
      <c r="F11311"/>
      <c r="G11311"/>
      <c r="H11311"/>
      <c r="I11311"/>
    </row>
    <row r="11312" spans="6:9" x14ac:dyDescent="0.3">
      <c r="F11312"/>
      <c r="G11312"/>
      <c r="H11312"/>
      <c r="I11312"/>
    </row>
    <row r="11313" spans="6:9" x14ac:dyDescent="0.3">
      <c r="F11313"/>
      <c r="G11313"/>
      <c r="H11313"/>
      <c r="I11313"/>
    </row>
    <row r="11314" spans="6:9" x14ac:dyDescent="0.3">
      <c r="F11314"/>
      <c r="G11314"/>
      <c r="H11314"/>
      <c r="I11314"/>
    </row>
    <row r="11315" spans="6:9" x14ac:dyDescent="0.3">
      <c r="F11315"/>
      <c r="G11315"/>
      <c r="H11315"/>
      <c r="I11315"/>
    </row>
    <row r="11316" spans="6:9" x14ac:dyDescent="0.3">
      <c r="F11316"/>
      <c r="G11316"/>
      <c r="H11316"/>
      <c r="I11316"/>
    </row>
    <row r="11317" spans="6:9" x14ac:dyDescent="0.3">
      <c r="F11317"/>
      <c r="G11317"/>
      <c r="H11317"/>
      <c r="I11317"/>
    </row>
    <row r="11318" spans="6:9" x14ac:dyDescent="0.3">
      <c r="F11318"/>
      <c r="G11318"/>
      <c r="H11318"/>
      <c r="I11318"/>
    </row>
    <row r="11319" spans="6:9" x14ac:dyDescent="0.3">
      <c r="F11319"/>
      <c r="G11319"/>
      <c r="H11319"/>
      <c r="I11319"/>
    </row>
    <row r="11320" spans="6:9" x14ac:dyDescent="0.3">
      <c r="F11320"/>
      <c r="G11320"/>
      <c r="H11320"/>
      <c r="I11320"/>
    </row>
    <row r="11321" spans="6:9" x14ac:dyDescent="0.3">
      <c r="F11321"/>
      <c r="G11321"/>
      <c r="H11321"/>
      <c r="I11321"/>
    </row>
    <row r="11322" spans="6:9" x14ac:dyDescent="0.3">
      <c r="F11322"/>
      <c r="G11322"/>
      <c r="H11322"/>
      <c r="I11322"/>
    </row>
    <row r="11323" spans="6:9" x14ac:dyDescent="0.3">
      <c r="F11323"/>
      <c r="G11323"/>
      <c r="H11323"/>
      <c r="I11323"/>
    </row>
    <row r="11324" spans="6:9" x14ac:dyDescent="0.3">
      <c r="F11324"/>
      <c r="G11324"/>
      <c r="H11324"/>
      <c r="I11324"/>
    </row>
    <row r="11325" spans="6:9" x14ac:dyDescent="0.3">
      <c r="F11325"/>
      <c r="G11325"/>
      <c r="H11325"/>
      <c r="I11325"/>
    </row>
    <row r="11326" spans="6:9" x14ac:dyDescent="0.3">
      <c r="F11326"/>
      <c r="G11326"/>
      <c r="H11326"/>
      <c r="I11326"/>
    </row>
    <row r="11327" spans="6:9" x14ac:dyDescent="0.3">
      <c r="F11327"/>
      <c r="G11327"/>
      <c r="H11327"/>
      <c r="I11327"/>
    </row>
    <row r="11328" spans="6:9" x14ac:dyDescent="0.3">
      <c r="F11328"/>
      <c r="G11328"/>
      <c r="H11328"/>
      <c r="I11328"/>
    </row>
    <row r="11329" spans="6:9" x14ac:dyDescent="0.3">
      <c r="F11329"/>
      <c r="G11329"/>
      <c r="H11329"/>
      <c r="I11329"/>
    </row>
    <row r="11330" spans="6:9" x14ac:dyDescent="0.3">
      <c r="F11330"/>
      <c r="G11330"/>
      <c r="H11330"/>
      <c r="I11330"/>
    </row>
    <row r="11331" spans="6:9" x14ac:dyDescent="0.3">
      <c r="F11331"/>
      <c r="G11331"/>
      <c r="H11331"/>
      <c r="I11331"/>
    </row>
    <row r="11332" spans="6:9" x14ac:dyDescent="0.3">
      <c r="F11332"/>
      <c r="G11332"/>
      <c r="H11332"/>
      <c r="I11332"/>
    </row>
    <row r="11333" spans="6:9" x14ac:dyDescent="0.3">
      <c r="F11333"/>
      <c r="G11333"/>
      <c r="H11333"/>
      <c r="I11333"/>
    </row>
    <row r="11334" spans="6:9" x14ac:dyDescent="0.3">
      <c r="F11334"/>
      <c r="G11334"/>
      <c r="H11334"/>
      <c r="I11334"/>
    </row>
    <row r="11335" spans="6:9" x14ac:dyDescent="0.3">
      <c r="F11335"/>
      <c r="G11335"/>
      <c r="H11335"/>
      <c r="I11335"/>
    </row>
    <row r="11336" spans="6:9" x14ac:dyDescent="0.3">
      <c r="F11336"/>
      <c r="G11336"/>
      <c r="H11336"/>
      <c r="I11336"/>
    </row>
    <row r="11337" spans="6:9" x14ac:dyDescent="0.3">
      <c r="F11337"/>
      <c r="G11337"/>
      <c r="H11337"/>
      <c r="I11337"/>
    </row>
    <row r="11338" spans="6:9" x14ac:dyDescent="0.3">
      <c r="F11338"/>
      <c r="G11338"/>
      <c r="H11338"/>
      <c r="I11338"/>
    </row>
    <row r="11339" spans="6:9" x14ac:dyDescent="0.3">
      <c r="F11339"/>
      <c r="G11339"/>
      <c r="H11339"/>
      <c r="I11339"/>
    </row>
    <row r="11340" spans="6:9" x14ac:dyDescent="0.3">
      <c r="F11340"/>
      <c r="G11340"/>
      <c r="H11340"/>
      <c r="I11340"/>
    </row>
    <row r="11341" spans="6:9" x14ac:dyDescent="0.3">
      <c r="F11341"/>
      <c r="G11341"/>
      <c r="H11341"/>
      <c r="I11341"/>
    </row>
    <row r="11342" spans="6:9" x14ac:dyDescent="0.3">
      <c r="F11342"/>
      <c r="G11342"/>
      <c r="H11342"/>
      <c r="I11342"/>
    </row>
    <row r="11343" spans="6:9" x14ac:dyDescent="0.3">
      <c r="F11343"/>
      <c r="G11343"/>
      <c r="H11343"/>
      <c r="I11343"/>
    </row>
    <row r="11344" spans="6:9" x14ac:dyDescent="0.3">
      <c r="F11344"/>
      <c r="G11344"/>
      <c r="H11344"/>
      <c r="I11344"/>
    </row>
    <row r="11345" spans="6:9" x14ac:dyDescent="0.3">
      <c r="F11345"/>
      <c r="G11345"/>
      <c r="H11345"/>
      <c r="I11345"/>
    </row>
    <row r="11346" spans="6:9" x14ac:dyDescent="0.3">
      <c r="F11346"/>
      <c r="G11346"/>
      <c r="H11346"/>
      <c r="I11346"/>
    </row>
    <row r="11347" spans="6:9" x14ac:dyDescent="0.3">
      <c r="F11347"/>
      <c r="G11347"/>
      <c r="H11347"/>
      <c r="I11347"/>
    </row>
    <row r="11348" spans="6:9" x14ac:dyDescent="0.3">
      <c r="F11348"/>
      <c r="G11348"/>
      <c r="H11348"/>
      <c r="I11348"/>
    </row>
    <row r="11349" spans="6:9" x14ac:dyDescent="0.3">
      <c r="F11349"/>
      <c r="G11349"/>
      <c r="H11349"/>
      <c r="I11349"/>
    </row>
    <row r="11350" spans="6:9" x14ac:dyDescent="0.3">
      <c r="F11350"/>
      <c r="G11350"/>
      <c r="H11350"/>
      <c r="I11350"/>
    </row>
    <row r="11351" spans="6:9" x14ac:dyDescent="0.3">
      <c r="F11351"/>
      <c r="G11351"/>
      <c r="H11351"/>
      <c r="I11351"/>
    </row>
    <row r="11352" spans="6:9" x14ac:dyDescent="0.3">
      <c r="F11352"/>
      <c r="G11352"/>
      <c r="H11352"/>
      <c r="I11352"/>
    </row>
    <row r="11353" spans="6:9" x14ac:dyDescent="0.3">
      <c r="F11353"/>
      <c r="G11353"/>
      <c r="H11353"/>
      <c r="I11353"/>
    </row>
    <row r="11354" spans="6:9" x14ac:dyDescent="0.3">
      <c r="F11354"/>
      <c r="G11354"/>
      <c r="H11354"/>
      <c r="I11354"/>
    </row>
    <row r="11355" spans="6:9" x14ac:dyDescent="0.3">
      <c r="F11355"/>
      <c r="G11355"/>
      <c r="H11355"/>
      <c r="I11355"/>
    </row>
    <row r="11356" spans="6:9" x14ac:dyDescent="0.3">
      <c r="F11356"/>
      <c r="G11356"/>
      <c r="H11356"/>
      <c r="I11356"/>
    </row>
    <row r="11357" spans="6:9" x14ac:dyDescent="0.3">
      <c r="F11357"/>
      <c r="G11357"/>
      <c r="H11357"/>
      <c r="I11357"/>
    </row>
    <row r="11358" spans="6:9" x14ac:dyDescent="0.3">
      <c r="F11358"/>
      <c r="G11358"/>
      <c r="H11358"/>
      <c r="I11358"/>
    </row>
    <row r="11359" spans="6:9" x14ac:dyDescent="0.3">
      <c r="F11359"/>
      <c r="G11359"/>
      <c r="H11359"/>
      <c r="I11359"/>
    </row>
    <row r="11360" spans="6:9" x14ac:dyDescent="0.3">
      <c r="F11360"/>
      <c r="G11360"/>
      <c r="H11360"/>
      <c r="I11360"/>
    </row>
    <row r="11361" spans="6:9" x14ac:dyDescent="0.3">
      <c r="F11361"/>
      <c r="G11361"/>
      <c r="H11361"/>
      <c r="I11361"/>
    </row>
    <row r="11362" spans="6:9" x14ac:dyDescent="0.3">
      <c r="F11362"/>
      <c r="G11362"/>
      <c r="H11362"/>
      <c r="I11362"/>
    </row>
    <row r="11363" spans="6:9" x14ac:dyDescent="0.3">
      <c r="F11363"/>
      <c r="G11363"/>
      <c r="H11363"/>
      <c r="I11363"/>
    </row>
    <row r="11364" spans="6:9" x14ac:dyDescent="0.3">
      <c r="F11364"/>
      <c r="G11364"/>
      <c r="H11364"/>
      <c r="I11364"/>
    </row>
    <row r="11365" spans="6:9" x14ac:dyDescent="0.3">
      <c r="F11365"/>
      <c r="G11365"/>
      <c r="H11365"/>
      <c r="I11365"/>
    </row>
    <row r="11366" spans="6:9" x14ac:dyDescent="0.3">
      <c r="F11366"/>
      <c r="G11366"/>
      <c r="H11366"/>
      <c r="I11366"/>
    </row>
    <row r="11367" spans="6:9" x14ac:dyDescent="0.3">
      <c r="F11367"/>
      <c r="G11367"/>
      <c r="H11367"/>
      <c r="I11367"/>
    </row>
    <row r="11368" spans="6:9" x14ac:dyDescent="0.3">
      <c r="F11368"/>
      <c r="G11368"/>
      <c r="H11368"/>
      <c r="I11368"/>
    </row>
    <row r="11369" spans="6:9" x14ac:dyDescent="0.3">
      <c r="F11369"/>
      <c r="G11369"/>
      <c r="H11369"/>
      <c r="I11369"/>
    </row>
    <row r="11370" spans="6:9" x14ac:dyDescent="0.3">
      <c r="F11370"/>
      <c r="G11370"/>
      <c r="H11370"/>
      <c r="I11370"/>
    </row>
    <row r="11371" spans="6:9" x14ac:dyDescent="0.3">
      <c r="F11371"/>
      <c r="G11371"/>
      <c r="H11371"/>
      <c r="I11371"/>
    </row>
    <row r="11372" spans="6:9" x14ac:dyDescent="0.3">
      <c r="F11372"/>
      <c r="G11372"/>
      <c r="H11372"/>
      <c r="I11372"/>
    </row>
    <row r="11373" spans="6:9" x14ac:dyDescent="0.3">
      <c r="F11373"/>
      <c r="G11373"/>
      <c r="H11373"/>
      <c r="I11373"/>
    </row>
    <row r="11374" spans="6:9" x14ac:dyDescent="0.3">
      <c r="F11374"/>
      <c r="G11374"/>
      <c r="H11374"/>
      <c r="I11374"/>
    </row>
    <row r="11375" spans="6:9" x14ac:dyDescent="0.3">
      <c r="F11375"/>
      <c r="G11375"/>
      <c r="H11375"/>
      <c r="I11375"/>
    </row>
    <row r="11376" spans="6:9" x14ac:dyDescent="0.3">
      <c r="F11376"/>
      <c r="G11376"/>
      <c r="H11376"/>
      <c r="I11376"/>
    </row>
    <row r="11377" spans="6:9" x14ac:dyDescent="0.3">
      <c r="F11377"/>
      <c r="G11377"/>
      <c r="H11377"/>
      <c r="I11377"/>
    </row>
    <row r="11378" spans="6:9" x14ac:dyDescent="0.3">
      <c r="F11378"/>
      <c r="G11378"/>
      <c r="H11378"/>
      <c r="I11378"/>
    </row>
    <row r="11379" spans="6:9" x14ac:dyDescent="0.3">
      <c r="F11379"/>
      <c r="G11379"/>
      <c r="H11379"/>
      <c r="I11379"/>
    </row>
    <row r="11380" spans="6:9" x14ac:dyDescent="0.3">
      <c r="F11380"/>
      <c r="G11380"/>
      <c r="H11380"/>
      <c r="I11380"/>
    </row>
    <row r="11381" spans="6:9" x14ac:dyDescent="0.3">
      <c r="F11381"/>
      <c r="G11381"/>
      <c r="H11381"/>
      <c r="I11381"/>
    </row>
    <row r="11382" spans="6:9" x14ac:dyDescent="0.3">
      <c r="F11382"/>
      <c r="G11382"/>
      <c r="H11382"/>
      <c r="I11382"/>
    </row>
    <row r="11383" spans="6:9" x14ac:dyDescent="0.3">
      <c r="F11383"/>
      <c r="G11383"/>
      <c r="H11383"/>
      <c r="I11383"/>
    </row>
    <row r="11384" spans="6:9" x14ac:dyDescent="0.3">
      <c r="F11384"/>
      <c r="G11384"/>
      <c r="H11384"/>
      <c r="I11384"/>
    </row>
    <row r="11385" spans="6:9" x14ac:dyDescent="0.3">
      <c r="F11385"/>
      <c r="G11385"/>
      <c r="H11385"/>
      <c r="I11385"/>
    </row>
    <row r="11386" spans="6:9" x14ac:dyDescent="0.3">
      <c r="F11386"/>
      <c r="G11386"/>
      <c r="H11386"/>
      <c r="I11386"/>
    </row>
    <row r="11387" spans="6:9" x14ac:dyDescent="0.3">
      <c r="F11387"/>
      <c r="G11387"/>
      <c r="H11387"/>
      <c r="I11387"/>
    </row>
    <row r="11388" spans="6:9" x14ac:dyDescent="0.3">
      <c r="F11388"/>
      <c r="G11388"/>
      <c r="H11388"/>
      <c r="I11388"/>
    </row>
    <row r="11389" spans="6:9" x14ac:dyDescent="0.3">
      <c r="F11389"/>
      <c r="G11389"/>
      <c r="H11389"/>
      <c r="I11389"/>
    </row>
    <row r="11390" spans="6:9" x14ac:dyDescent="0.3">
      <c r="F11390"/>
      <c r="G11390"/>
      <c r="H11390"/>
      <c r="I11390"/>
    </row>
    <row r="11391" spans="6:9" x14ac:dyDescent="0.3">
      <c r="F11391"/>
      <c r="G11391"/>
      <c r="H11391"/>
      <c r="I11391"/>
    </row>
    <row r="11392" spans="6:9" x14ac:dyDescent="0.3">
      <c r="F11392"/>
      <c r="G11392"/>
      <c r="H11392"/>
      <c r="I11392"/>
    </row>
    <row r="11393" spans="6:9" x14ac:dyDescent="0.3">
      <c r="F11393"/>
      <c r="G11393"/>
      <c r="H11393"/>
      <c r="I11393"/>
    </row>
    <row r="11394" spans="6:9" x14ac:dyDescent="0.3">
      <c r="F11394"/>
      <c r="G11394"/>
      <c r="H11394"/>
      <c r="I11394"/>
    </row>
    <row r="11395" spans="6:9" x14ac:dyDescent="0.3">
      <c r="F11395"/>
      <c r="G11395"/>
      <c r="H11395"/>
      <c r="I11395"/>
    </row>
    <row r="11396" spans="6:9" x14ac:dyDescent="0.3">
      <c r="F11396"/>
      <c r="G11396"/>
      <c r="H11396"/>
      <c r="I11396"/>
    </row>
    <row r="11397" spans="6:9" x14ac:dyDescent="0.3">
      <c r="F11397"/>
      <c r="G11397"/>
      <c r="H11397"/>
      <c r="I11397"/>
    </row>
    <row r="11398" spans="6:9" x14ac:dyDescent="0.3">
      <c r="F11398"/>
      <c r="G11398"/>
      <c r="H11398"/>
      <c r="I11398"/>
    </row>
    <row r="11399" spans="6:9" x14ac:dyDescent="0.3">
      <c r="F11399"/>
      <c r="G11399"/>
      <c r="H11399"/>
      <c r="I11399"/>
    </row>
    <row r="11400" spans="6:9" x14ac:dyDescent="0.3">
      <c r="F11400"/>
      <c r="G11400"/>
      <c r="H11400"/>
      <c r="I11400"/>
    </row>
    <row r="11401" spans="6:9" x14ac:dyDescent="0.3">
      <c r="F11401"/>
      <c r="G11401"/>
      <c r="H11401"/>
      <c r="I11401"/>
    </row>
    <row r="11402" spans="6:9" x14ac:dyDescent="0.3">
      <c r="F11402"/>
      <c r="G11402"/>
      <c r="H11402"/>
      <c r="I11402"/>
    </row>
    <row r="11403" spans="6:9" x14ac:dyDescent="0.3">
      <c r="F11403"/>
      <c r="G11403"/>
      <c r="H11403"/>
      <c r="I11403"/>
    </row>
    <row r="11404" spans="6:9" x14ac:dyDescent="0.3">
      <c r="F11404"/>
      <c r="G11404"/>
      <c r="H11404"/>
      <c r="I11404"/>
    </row>
    <row r="11405" spans="6:9" x14ac:dyDescent="0.3">
      <c r="F11405"/>
      <c r="G11405"/>
      <c r="H11405"/>
      <c r="I11405"/>
    </row>
    <row r="11406" spans="6:9" x14ac:dyDescent="0.3">
      <c r="F11406"/>
      <c r="G11406"/>
      <c r="H11406"/>
      <c r="I11406"/>
    </row>
    <row r="11407" spans="6:9" x14ac:dyDescent="0.3">
      <c r="F11407"/>
      <c r="G11407"/>
      <c r="H11407"/>
      <c r="I11407"/>
    </row>
    <row r="11408" spans="6:9" x14ac:dyDescent="0.3">
      <c r="F11408"/>
      <c r="G11408"/>
      <c r="H11408"/>
      <c r="I11408"/>
    </row>
    <row r="11409" spans="6:9" x14ac:dyDescent="0.3">
      <c r="F11409"/>
      <c r="G11409"/>
      <c r="H11409"/>
      <c r="I11409"/>
    </row>
    <row r="11410" spans="6:9" x14ac:dyDescent="0.3">
      <c r="F11410"/>
      <c r="G11410"/>
      <c r="H11410"/>
      <c r="I11410"/>
    </row>
    <row r="11411" spans="6:9" x14ac:dyDescent="0.3">
      <c r="F11411"/>
      <c r="G11411"/>
      <c r="H11411"/>
      <c r="I11411"/>
    </row>
    <row r="11412" spans="6:9" x14ac:dyDescent="0.3">
      <c r="F11412"/>
      <c r="G11412"/>
      <c r="H11412"/>
      <c r="I11412"/>
    </row>
    <row r="11413" spans="6:9" x14ac:dyDescent="0.3">
      <c r="F11413"/>
      <c r="G11413"/>
      <c r="H11413"/>
      <c r="I11413"/>
    </row>
    <row r="11414" spans="6:9" x14ac:dyDescent="0.3">
      <c r="F11414"/>
      <c r="G11414"/>
      <c r="H11414"/>
      <c r="I11414"/>
    </row>
    <row r="11415" spans="6:9" x14ac:dyDescent="0.3">
      <c r="F11415"/>
      <c r="G11415"/>
      <c r="H11415"/>
      <c r="I11415"/>
    </row>
    <row r="11416" spans="6:9" x14ac:dyDescent="0.3">
      <c r="F11416"/>
      <c r="G11416"/>
      <c r="H11416"/>
      <c r="I11416"/>
    </row>
    <row r="11417" spans="6:9" x14ac:dyDescent="0.3">
      <c r="F11417"/>
      <c r="G11417"/>
      <c r="H11417"/>
      <c r="I11417"/>
    </row>
    <row r="11418" spans="6:9" x14ac:dyDescent="0.3">
      <c r="F11418"/>
      <c r="G11418"/>
      <c r="H11418"/>
      <c r="I11418"/>
    </row>
    <row r="11419" spans="6:9" x14ac:dyDescent="0.3">
      <c r="F11419"/>
      <c r="G11419"/>
      <c r="H11419"/>
      <c r="I11419"/>
    </row>
    <row r="11420" spans="6:9" x14ac:dyDescent="0.3">
      <c r="F11420"/>
      <c r="G11420"/>
      <c r="H11420"/>
      <c r="I11420"/>
    </row>
    <row r="11421" spans="6:9" x14ac:dyDescent="0.3">
      <c r="F11421"/>
      <c r="G11421"/>
      <c r="H11421"/>
      <c r="I11421"/>
    </row>
    <row r="11422" spans="6:9" x14ac:dyDescent="0.3">
      <c r="F11422"/>
      <c r="G11422"/>
      <c r="H11422"/>
      <c r="I11422"/>
    </row>
    <row r="11423" spans="6:9" x14ac:dyDescent="0.3">
      <c r="F11423"/>
      <c r="G11423"/>
      <c r="H11423"/>
      <c r="I11423"/>
    </row>
    <row r="11424" spans="6:9" x14ac:dyDescent="0.3">
      <c r="F11424"/>
      <c r="G11424"/>
      <c r="H11424"/>
      <c r="I11424"/>
    </row>
    <row r="11425" spans="6:9" x14ac:dyDescent="0.3">
      <c r="F11425"/>
      <c r="G11425"/>
      <c r="H11425"/>
      <c r="I11425"/>
    </row>
    <row r="11426" spans="6:9" x14ac:dyDescent="0.3">
      <c r="F11426"/>
      <c r="G11426"/>
      <c r="H11426"/>
      <c r="I11426"/>
    </row>
    <row r="11427" spans="6:9" x14ac:dyDescent="0.3">
      <c r="F11427"/>
      <c r="G11427"/>
      <c r="H11427"/>
      <c r="I11427"/>
    </row>
    <row r="11428" spans="6:9" x14ac:dyDescent="0.3">
      <c r="F11428"/>
      <c r="G11428"/>
      <c r="H11428"/>
      <c r="I11428"/>
    </row>
    <row r="11429" spans="6:9" x14ac:dyDescent="0.3">
      <c r="F11429"/>
      <c r="G11429"/>
      <c r="H11429"/>
      <c r="I11429"/>
    </row>
    <row r="11430" spans="6:9" x14ac:dyDescent="0.3">
      <c r="F11430"/>
      <c r="G11430"/>
      <c r="H11430"/>
      <c r="I11430"/>
    </row>
    <row r="11431" spans="6:9" x14ac:dyDescent="0.3">
      <c r="F11431"/>
      <c r="G11431"/>
      <c r="H11431"/>
      <c r="I11431"/>
    </row>
    <row r="11432" spans="6:9" x14ac:dyDescent="0.3">
      <c r="F11432"/>
      <c r="G11432"/>
      <c r="H11432"/>
      <c r="I11432"/>
    </row>
    <row r="11433" spans="6:9" x14ac:dyDescent="0.3">
      <c r="F11433"/>
      <c r="G11433"/>
      <c r="H11433"/>
      <c r="I11433"/>
    </row>
    <row r="11434" spans="6:9" x14ac:dyDescent="0.3">
      <c r="F11434"/>
      <c r="G11434"/>
      <c r="H11434"/>
      <c r="I11434"/>
    </row>
    <row r="11435" spans="6:9" x14ac:dyDescent="0.3">
      <c r="F11435"/>
      <c r="G11435"/>
      <c r="H11435"/>
      <c r="I11435"/>
    </row>
    <row r="11436" spans="6:9" x14ac:dyDescent="0.3">
      <c r="F11436"/>
      <c r="G11436"/>
      <c r="H11436"/>
      <c r="I11436"/>
    </row>
    <row r="11437" spans="6:9" x14ac:dyDescent="0.3">
      <c r="F11437"/>
      <c r="G11437"/>
      <c r="H11437"/>
      <c r="I11437"/>
    </row>
    <row r="11438" spans="6:9" x14ac:dyDescent="0.3">
      <c r="F11438"/>
      <c r="G11438"/>
      <c r="H11438"/>
      <c r="I11438"/>
    </row>
    <row r="11439" spans="6:9" x14ac:dyDescent="0.3">
      <c r="F11439"/>
      <c r="G11439"/>
      <c r="H11439"/>
      <c r="I11439"/>
    </row>
    <row r="11440" spans="6:9" x14ac:dyDescent="0.3">
      <c r="F11440"/>
      <c r="G11440"/>
      <c r="H11440"/>
      <c r="I11440"/>
    </row>
    <row r="11441" spans="6:9" x14ac:dyDescent="0.3">
      <c r="F11441"/>
      <c r="G11441"/>
      <c r="H11441"/>
      <c r="I11441"/>
    </row>
    <row r="11442" spans="6:9" x14ac:dyDescent="0.3">
      <c r="F11442"/>
      <c r="G11442"/>
      <c r="H11442"/>
      <c r="I11442"/>
    </row>
    <row r="11443" spans="6:9" x14ac:dyDescent="0.3">
      <c r="F11443"/>
      <c r="G11443"/>
      <c r="H11443"/>
      <c r="I11443"/>
    </row>
    <row r="11444" spans="6:9" x14ac:dyDescent="0.3">
      <c r="F11444"/>
      <c r="G11444"/>
      <c r="H11444"/>
      <c r="I11444"/>
    </row>
    <row r="11445" spans="6:9" x14ac:dyDescent="0.3">
      <c r="F11445"/>
      <c r="G11445"/>
      <c r="H11445"/>
      <c r="I11445"/>
    </row>
    <row r="11446" spans="6:9" x14ac:dyDescent="0.3">
      <c r="F11446"/>
      <c r="G11446"/>
      <c r="H11446"/>
      <c r="I11446"/>
    </row>
    <row r="11447" spans="6:9" x14ac:dyDescent="0.3">
      <c r="F11447"/>
      <c r="G11447"/>
      <c r="H11447"/>
      <c r="I11447"/>
    </row>
    <row r="11448" spans="6:9" x14ac:dyDescent="0.3">
      <c r="F11448"/>
      <c r="G11448"/>
      <c r="H11448"/>
      <c r="I11448"/>
    </row>
    <row r="11449" spans="6:9" x14ac:dyDescent="0.3">
      <c r="F11449"/>
      <c r="G11449"/>
      <c r="H11449"/>
      <c r="I11449"/>
    </row>
    <row r="11450" spans="6:9" x14ac:dyDescent="0.3">
      <c r="F11450"/>
      <c r="G11450"/>
      <c r="H11450"/>
      <c r="I11450"/>
    </row>
    <row r="11451" spans="6:9" x14ac:dyDescent="0.3">
      <c r="F11451"/>
      <c r="G11451"/>
      <c r="H11451"/>
      <c r="I11451"/>
    </row>
    <row r="11452" spans="6:9" x14ac:dyDescent="0.3">
      <c r="F11452"/>
      <c r="G11452"/>
      <c r="H11452"/>
      <c r="I11452"/>
    </row>
    <row r="11453" spans="6:9" x14ac:dyDescent="0.3">
      <c r="F11453"/>
      <c r="G11453"/>
      <c r="H11453"/>
      <c r="I11453"/>
    </row>
    <row r="11454" spans="6:9" x14ac:dyDescent="0.3">
      <c r="F11454"/>
      <c r="G11454"/>
      <c r="H11454"/>
      <c r="I11454"/>
    </row>
    <row r="11455" spans="6:9" x14ac:dyDescent="0.3">
      <c r="F11455"/>
      <c r="G11455"/>
      <c r="H11455"/>
      <c r="I11455"/>
    </row>
    <row r="11456" spans="6:9" x14ac:dyDescent="0.3">
      <c r="F11456"/>
      <c r="G11456"/>
      <c r="H11456"/>
      <c r="I11456"/>
    </row>
    <row r="11457" spans="6:9" x14ac:dyDescent="0.3">
      <c r="F11457"/>
      <c r="G11457"/>
      <c r="H11457"/>
      <c r="I11457"/>
    </row>
    <row r="11458" spans="6:9" x14ac:dyDescent="0.3">
      <c r="F11458"/>
      <c r="G11458"/>
      <c r="H11458"/>
      <c r="I11458"/>
    </row>
    <row r="11459" spans="6:9" x14ac:dyDescent="0.3">
      <c r="F11459"/>
      <c r="G11459"/>
      <c r="H11459"/>
      <c r="I11459"/>
    </row>
    <row r="11460" spans="6:9" x14ac:dyDescent="0.3">
      <c r="F11460"/>
      <c r="G11460"/>
      <c r="H11460"/>
      <c r="I11460"/>
    </row>
    <row r="11461" spans="6:9" x14ac:dyDescent="0.3">
      <c r="F11461"/>
      <c r="G11461"/>
      <c r="H11461"/>
      <c r="I11461"/>
    </row>
    <row r="11462" spans="6:9" x14ac:dyDescent="0.3">
      <c r="F11462"/>
      <c r="G11462"/>
      <c r="H11462"/>
      <c r="I11462"/>
    </row>
    <row r="11463" spans="6:9" x14ac:dyDescent="0.3">
      <c r="F11463"/>
      <c r="G11463"/>
      <c r="H11463"/>
      <c r="I11463"/>
    </row>
    <row r="11464" spans="6:9" x14ac:dyDescent="0.3">
      <c r="F11464"/>
      <c r="G11464"/>
      <c r="H11464"/>
      <c r="I11464"/>
    </row>
    <row r="11465" spans="6:9" x14ac:dyDescent="0.3">
      <c r="F11465"/>
      <c r="G11465"/>
      <c r="H11465"/>
      <c r="I11465"/>
    </row>
    <row r="11466" spans="6:9" x14ac:dyDescent="0.3">
      <c r="F11466"/>
      <c r="G11466"/>
      <c r="H11466"/>
      <c r="I11466"/>
    </row>
    <row r="11467" spans="6:9" x14ac:dyDescent="0.3">
      <c r="F11467"/>
      <c r="G11467"/>
      <c r="H11467"/>
      <c r="I11467"/>
    </row>
    <row r="11468" spans="6:9" x14ac:dyDescent="0.3">
      <c r="F11468"/>
      <c r="G11468"/>
      <c r="H11468"/>
      <c r="I11468"/>
    </row>
    <row r="11469" spans="6:9" x14ac:dyDescent="0.3">
      <c r="F11469"/>
      <c r="G11469"/>
      <c r="H11469"/>
      <c r="I11469"/>
    </row>
    <row r="11470" spans="6:9" x14ac:dyDescent="0.3">
      <c r="F11470"/>
      <c r="G11470"/>
      <c r="H11470"/>
      <c r="I11470"/>
    </row>
    <row r="11471" spans="6:9" x14ac:dyDescent="0.3">
      <c r="F11471"/>
      <c r="G11471"/>
      <c r="H11471"/>
      <c r="I11471"/>
    </row>
    <row r="11472" spans="6:9" x14ac:dyDescent="0.3">
      <c r="F11472"/>
      <c r="G11472"/>
      <c r="H11472"/>
      <c r="I11472"/>
    </row>
    <row r="11473" spans="6:9" x14ac:dyDescent="0.3">
      <c r="F11473"/>
      <c r="G11473"/>
      <c r="H11473"/>
      <c r="I11473"/>
    </row>
    <row r="11474" spans="6:9" x14ac:dyDescent="0.3">
      <c r="F11474"/>
      <c r="G11474"/>
      <c r="H11474"/>
      <c r="I11474"/>
    </row>
    <row r="11475" spans="6:9" x14ac:dyDescent="0.3">
      <c r="F11475"/>
      <c r="G11475"/>
      <c r="H11475"/>
      <c r="I11475"/>
    </row>
    <row r="11476" spans="6:9" x14ac:dyDescent="0.3">
      <c r="F11476"/>
      <c r="G11476"/>
      <c r="H11476"/>
      <c r="I11476"/>
    </row>
    <row r="11477" spans="6:9" x14ac:dyDescent="0.3">
      <c r="F11477"/>
      <c r="G11477"/>
      <c r="H11477"/>
      <c r="I11477"/>
    </row>
    <row r="11478" spans="6:9" x14ac:dyDescent="0.3">
      <c r="F11478"/>
      <c r="G11478"/>
      <c r="H11478"/>
      <c r="I11478"/>
    </row>
    <row r="11479" spans="6:9" x14ac:dyDescent="0.3">
      <c r="F11479"/>
      <c r="G11479"/>
      <c r="H11479"/>
      <c r="I11479"/>
    </row>
    <row r="11480" spans="6:9" x14ac:dyDescent="0.3">
      <c r="F11480"/>
      <c r="G11480"/>
      <c r="H11480"/>
      <c r="I11480"/>
    </row>
    <row r="11481" spans="6:9" x14ac:dyDescent="0.3">
      <c r="F11481"/>
      <c r="G11481"/>
      <c r="H11481"/>
      <c r="I11481"/>
    </row>
    <row r="11482" spans="6:9" x14ac:dyDescent="0.3">
      <c r="F11482"/>
      <c r="G11482"/>
      <c r="H11482"/>
      <c r="I11482"/>
    </row>
    <row r="11483" spans="6:9" x14ac:dyDescent="0.3">
      <c r="F11483"/>
      <c r="G11483"/>
      <c r="H11483"/>
      <c r="I11483"/>
    </row>
    <row r="11484" spans="6:9" x14ac:dyDescent="0.3">
      <c r="F11484"/>
      <c r="G11484"/>
      <c r="H11484"/>
      <c r="I11484"/>
    </row>
    <row r="11485" spans="6:9" x14ac:dyDescent="0.3">
      <c r="F11485"/>
      <c r="G11485"/>
      <c r="H11485"/>
      <c r="I11485"/>
    </row>
    <row r="11486" spans="6:9" x14ac:dyDescent="0.3">
      <c r="F11486"/>
      <c r="G11486"/>
      <c r="H11486"/>
      <c r="I11486"/>
    </row>
    <row r="11487" spans="6:9" x14ac:dyDescent="0.3">
      <c r="F11487"/>
      <c r="G11487"/>
      <c r="H11487"/>
      <c r="I11487"/>
    </row>
    <row r="11488" spans="6:9" x14ac:dyDescent="0.3">
      <c r="F11488"/>
      <c r="G11488"/>
      <c r="H11488"/>
      <c r="I11488"/>
    </row>
    <row r="11489" spans="6:9" x14ac:dyDescent="0.3">
      <c r="F11489"/>
      <c r="G11489"/>
      <c r="H11489"/>
      <c r="I11489"/>
    </row>
    <row r="11490" spans="6:9" x14ac:dyDescent="0.3">
      <c r="F11490"/>
      <c r="G11490"/>
      <c r="H11490"/>
      <c r="I11490"/>
    </row>
    <row r="11491" spans="6:9" x14ac:dyDescent="0.3">
      <c r="F11491"/>
      <c r="G11491"/>
      <c r="H11491"/>
      <c r="I11491"/>
    </row>
    <row r="11492" spans="6:9" x14ac:dyDescent="0.3">
      <c r="F11492"/>
      <c r="G11492"/>
      <c r="H11492"/>
      <c r="I11492"/>
    </row>
    <row r="11493" spans="6:9" x14ac:dyDescent="0.3">
      <c r="F11493"/>
      <c r="G11493"/>
      <c r="H11493"/>
      <c r="I11493"/>
    </row>
    <row r="11494" spans="6:9" x14ac:dyDescent="0.3">
      <c r="F11494"/>
      <c r="G11494"/>
      <c r="H11494"/>
      <c r="I11494"/>
    </row>
    <row r="11495" spans="6:9" x14ac:dyDescent="0.3">
      <c r="F11495"/>
      <c r="G11495"/>
      <c r="H11495"/>
      <c r="I11495"/>
    </row>
    <row r="11496" spans="6:9" x14ac:dyDescent="0.3">
      <c r="F11496"/>
      <c r="G11496"/>
      <c r="H11496"/>
      <c r="I11496"/>
    </row>
    <row r="11497" spans="6:9" x14ac:dyDescent="0.3">
      <c r="F11497"/>
      <c r="G11497"/>
      <c r="H11497"/>
      <c r="I11497"/>
    </row>
    <row r="11498" spans="6:9" x14ac:dyDescent="0.3">
      <c r="F11498"/>
      <c r="G11498"/>
      <c r="H11498"/>
      <c r="I11498"/>
    </row>
    <row r="11499" spans="6:9" x14ac:dyDescent="0.3">
      <c r="F11499"/>
      <c r="G11499"/>
      <c r="H11499"/>
      <c r="I11499"/>
    </row>
    <row r="11500" spans="6:9" x14ac:dyDescent="0.3">
      <c r="F11500"/>
      <c r="G11500"/>
      <c r="H11500"/>
      <c r="I11500"/>
    </row>
    <row r="11501" spans="6:9" x14ac:dyDescent="0.3">
      <c r="F11501"/>
      <c r="G11501"/>
      <c r="H11501"/>
      <c r="I11501"/>
    </row>
    <row r="11502" spans="6:9" x14ac:dyDescent="0.3">
      <c r="F11502"/>
      <c r="G11502"/>
      <c r="H11502"/>
      <c r="I11502"/>
    </row>
    <row r="11503" spans="6:9" x14ac:dyDescent="0.3">
      <c r="F11503"/>
      <c r="G11503"/>
      <c r="H11503"/>
      <c r="I11503"/>
    </row>
    <row r="11504" spans="6:9" x14ac:dyDescent="0.3">
      <c r="F11504"/>
      <c r="G11504"/>
      <c r="H11504"/>
      <c r="I11504"/>
    </row>
    <row r="11505" spans="6:9" x14ac:dyDescent="0.3">
      <c r="F11505"/>
      <c r="G11505"/>
      <c r="H11505"/>
      <c r="I11505"/>
    </row>
    <row r="11506" spans="6:9" x14ac:dyDescent="0.3">
      <c r="F11506"/>
      <c r="G11506"/>
      <c r="H11506"/>
      <c r="I11506"/>
    </row>
    <row r="11507" spans="6:9" x14ac:dyDescent="0.3">
      <c r="F11507"/>
      <c r="G11507"/>
      <c r="H11507"/>
      <c r="I11507"/>
    </row>
    <row r="11508" spans="6:9" x14ac:dyDescent="0.3">
      <c r="F11508"/>
      <c r="G11508"/>
      <c r="H11508"/>
      <c r="I11508"/>
    </row>
    <row r="11509" spans="6:9" x14ac:dyDescent="0.3">
      <c r="F11509"/>
      <c r="G11509"/>
      <c r="H11509"/>
      <c r="I11509"/>
    </row>
    <row r="11510" spans="6:9" x14ac:dyDescent="0.3">
      <c r="F11510"/>
      <c r="G11510"/>
      <c r="H11510"/>
      <c r="I11510"/>
    </row>
    <row r="11511" spans="6:9" x14ac:dyDescent="0.3">
      <c r="F11511"/>
      <c r="G11511"/>
      <c r="H11511"/>
      <c r="I11511"/>
    </row>
    <row r="11512" spans="6:9" x14ac:dyDescent="0.3">
      <c r="F11512"/>
      <c r="G11512"/>
      <c r="H11512"/>
      <c r="I11512"/>
    </row>
    <row r="11513" spans="6:9" x14ac:dyDescent="0.3">
      <c r="F11513"/>
      <c r="G11513"/>
      <c r="H11513"/>
      <c r="I11513"/>
    </row>
    <row r="11514" spans="6:9" x14ac:dyDescent="0.3">
      <c r="F11514"/>
      <c r="G11514"/>
      <c r="H11514"/>
      <c r="I11514"/>
    </row>
    <row r="11515" spans="6:9" x14ac:dyDescent="0.3">
      <c r="F11515"/>
      <c r="G11515"/>
      <c r="H11515"/>
      <c r="I11515"/>
    </row>
    <row r="11516" spans="6:9" x14ac:dyDescent="0.3">
      <c r="F11516"/>
      <c r="G11516"/>
      <c r="H11516"/>
      <c r="I11516"/>
    </row>
    <row r="11517" spans="6:9" x14ac:dyDescent="0.3">
      <c r="F11517"/>
      <c r="G11517"/>
      <c r="H11517"/>
      <c r="I11517"/>
    </row>
    <row r="11518" spans="6:9" x14ac:dyDescent="0.3">
      <c r="F11518"/>
      <c r="G11518"/>
      <c r="H11518"/>
      <c r="I11518"/>
    </row>
    <row r="11519" spans="6:9" x14ac:dyDescent="0.3">
      <c r="F11519"/>
      <c r="G11519"/>
      <c r="H11519"/>
      <c r="I11519"/>
    </row>
    <row r="11520" spans="6:9" x14ac:dyDescent="0.3">
      <c r="F11520"/>
      <c r="G11520"/>
      <c r="H11520"/>
      <c r="I11520"/>
    </row>
    <row r="11521" spans="6:9" x14ac:dyDescent="0.3">
      <c r="F11521"/>
      <c r="G11521"/>
      <c r="H11521"/>
      <c r="I11521"/>
    </row>
    <row r="11522" spans="6:9" x14ac:dyDescent="0.3">
      <c r="F11522"/>
      <c r="G11522"/>
      <c r="H11522"/>
      <c r="I11522"/>
    </row>
    <row r="11523" spans="6:9" x14ac:dyDescent="0.3">
      <c r="F11523"/>
      <c r="G11523"/>
      <c r="H11523"/>
      <c r="I11523"/>
    </row>
    <row r="11524" spans="6:9" x14ac:dyDescent="0.3">
      <c r="F11524"/>
      <c r="G11524"/>
      <c r="H11524"/>
      <c r="I11524"/>
    </row>
    <row r="11525" spans="6:9" x14ac:dyDescent="0.3">
      <c r="F11525"/>
      <c r="G11525"/>
      <c r="H11525"/>
      <c r="I11525"/>
    </row>
    <row r="11526" spans="6:9" x14ac:dyDescent="0.3">
      <c r="F11526"/>
      <c r="G11526"/>
      <c r="H11526"/>
      <c r="I11526"/>
    </row>
    <row r="11527" spans="6:9" x14ac:dyDescent="0.3">
      <c r="F11527"/>
      <c r="G11527"/>
      <c r="H11527"/>
      <c r="I11527"/>
    </row>
    <row r="11528" spans="6:9" x14ac:dyDescent="0.3">
      <c r="F11528"/>
      <c r="G11528"/>
      <c r="H11528"/>
      <c r="I11528"/>
    </row>
    <row r="11529" spans="6:9" x14ac:dyDescent="0.3">
      <c r="F11529"/>
      <c r="G11529"/>
      <c r="H11529"/>
      <c r="I11529"/>
    </row>
    <row r="11530" spans="6:9" x14ac:dyDescent="0.3">
      <c r="F11530"/>
      <c r="G11530"/>
      <c r="H11530"/>
      <c r="I11530"/>
    </row>
    <row r="11531" spans="6:9" x14ac:dyDescent="0.3">
      <c r="F11531"/>
      <c r="G11531"/>
      <c r="H11531"/>
      <c r="I11531"/>
    </row>
    <row r="11532" spans="6:9" x14ac:dyDescent="0.3">
      <c r="F11532"/>
      <c r="G11532"/>
      <c r="H11532"/>
      <c r="I11532"/>
    </row>
    <row r="11533" spans="6:9" x14ac:dyDescent="0.3">
      <c r="F11533"/>
      <c r="G11533"/>
      <c r="H11533"/>
      <c r="I11533"/>
    </row>
    <row r="11534" spans="6:9" x14ac:dyDescent="0.3">
      <c r="F11534"/>
      <c r="G11534"/>
      <c r="H11534"/>
      <c r="I11534"/>
    </row>
    <row r="11535" spans="6:9" x14ac:dyDescent="0.3">
      <c r="F11535"/>
      <c r="G11535"/>
      <c r="H11535"/>
      <c r="I11535"/>
    </row>
    <row r="11536" spans="6:9" x14ac:dyDescent="0.3">
      <c r="F11536"/>
      <c r="G11536"/>
      <c r="H11536"/>
      <c r="I11536"/>
    </row>
    <row r="11537" spans="6:9" x14ac:dyDescent="0.3">
      <c r="F11537"/>
      <c r="G11537"/>
      <c r="H11537"/>
      <c r="I11537"/>
    </row>
    <row r="11538" spans="6:9" x14ac:dyDescent="0.3">
      <c r="F11538"/>
      <c r="G11538"/>
      <c r="H11538"/>
      <c r="I11538"/>
    </row>
    <row r="11539" spans="6:9" x14ac:dyDescent="0.3">
      <c r="F11539"/>
      <c r="G11539"/>
      <c r="H11539"/>
      <c r="I11539"/>
    </row>
    <row r="11540" spans="6:9" x14ac:dyDescent="0.3">
      <c r="F11540"/>
      <c r="G11540"/>
      <c r="H11540"/>
      <c r="I11540"/>
    </row>
    <row r="11541" spans="6:9" x14ac:dyDescent="0.3">
      <c r="F11541"/>
      <c r="G11541"/>
      <c r="H11541"/>
      <c r="I11541"/>
    </row>
    <row r="11542" spans="6:9" x14ac:dyDescent="0.3">
      <c r="F11542"/>
      <c r="G11542"/>
      <c r="H11542"/>
      <c r="I11542"/>
    </row>
    <row r="11543" spans="6:9" x14ac:dyDescent="0.3">
      <c r="F11543"/>
      <c r="G11543"/>
      <c r="H11543"/>
      <c r="I11543"/>
    </row>
    <row r="11544" spans="6:9" x14ac:dyDescent="0.3">
      <c r="F11544"/>
      <c r="G11544"/>
      <c r="H11544"/>
      <c r="I11544"/>
    </row>
    <row r="11545" spans="6:9" x14ac:dyDescent="0.3">
      <c r="F11545"/>
      <c r="G11545"/>
      <c r="H11545"/>
      <c r="I11545"/>
    </row>
    <row r="11546" spans="6:9" x14ac:dyDescent="0.3">
      <c r="F11546"/>
      <c r="G11546"/>
      <c r="H11546"/>
      <c r="I11546"/>
    </row>
    <row r="11547" spans="6:9" x14ac:dyDescent="0.3">
      <c r="F11547"/>
      <c r="G11547"/>
      <c r="H11547"/>
      <c r="I11547"/>
    </row>
    <row r="11548" spans="6:9" x14ac:dyDescent="0.3">
      <c r="F11548"/>
      <c r="G11548"/>
      <c r="H11548"/>
      <c r="I11548"/>
    </row>
    <row r="11549" spans="6:9" x14ac:dyDescent="0.3">
      <c r="F11549"/>
      <c r="G11549"/>
      <c r="H11549"/>
      <c r="I11549"/>
    </row>
    <row r="11550" spans="6:9" x14ac:dyDescent="0.3">
      <c r="F11550"/>
      <c r="G11550"/>
      <c r="H11550"/>
      <c r="I11550"/>
    </row>
    <row r="11551" spans="6:9" x14ac:dyDescent="0.3">
      <c r="F11551"/>
      <c r="G11551"/>
      <c r="H11551"/>
      <c r="I11551"/>
    </row>
    <row r="11552" spans="6:9" x14ac:dyDescent="0.3">
      <c r="F11552"/>
      <c r="G11552"/>
      <c r="H11552"/>
      <c r="I11552"/>
    </row>
    <row r="11553" spans="6:9" x14ac:dyDescent="0.3">
      <c r="F11553"/>
      <c r="G11553"/>
      <c r="H11553"/>
      <c r="I11553"/>
    </row>
    <row r="11554" spans="6:9" x14ac:dyDescent="0.3">
      <c r="F11554"/>
      <c r="G11554"/>
      <c r="H11554"/>
      <c r="I11554"/>
    </row>
    <row r="11555" spans="6:9" x14ac:dyDescent="0.3">
      <c r="F11555"/>
      <c r="G11555"/>
      <c r="H11555"/>
      <c r="I11555"/>
    </row>
    <row r="11556" spans="6:9" x14ac:dyDescent="0.3">
      <c r="F11556"/>
      <c r="G11556"/>
      <c r="H11556"/>
      <c r="I11556"/>
    </row>
    <row r="11557" spans="6:9" x14ac:dyDescent="0.3">
      <c r="F11557"/>
      <c r="G11557"/>
      <c r="H11557"/>
      <c r="I11557"/>
    </row>
    <row r="11558" spans="6:9" x14ac:dyDescent="0.3">
      <c r="F11558"/>
      <c r="G11558"/>
      <c r="H11558"/>
      <c r="I11558"/>
    </row>
    <row r="11559" spans="6:9" x14ac:dyDescent="0.3">
      <c r="F11559"/>
      <c r="G11559"/>
      <c r="H11559"/>
      <c r="I11559"/>
    </row>
    <row r="11560" spans="6:9" x14ac:dyDescent="0.3">
      <c r="F11560"/>
      <c r="G11560"/>
      <c r="H11560"/>
      <c r="I11560"/>
    </row>
    <row r="11561" spans="6:9" x14ac:dyDescent="0.3">
      <c r="F11561"/>
      <c r="G11561"/>
      <c r="H11561"/>
      <c r="I11561"/>
    </row>
    <row r="11562" spans="6:9" x14ac:dyDescent="0.3">
      <c r="F11562"/>
      <c r="G11562"/>
      <c r="H11562"/>
      <c r="I11562"/>
    </row>
    <row r="11563" spans="6:9" x14ac:dyDescent="0.3">
      <c r="F11563"/>
      <c r="G11563"/>
      <c r="H11563"/>
      <c r="I11563"/>
    </row>
    <row r="11564" spans="6:9" x14ac:dyDescent="0.3">
      <c r="F11564"/>
      <c r="G11564"/>
      <c r="H11564"/>
      <c r="I11564"/>
    </row>
    <row r="11565" spans="6:9" x14ac:dyDescent="0.3">
      <c r="F11565"/>
      <c r="G11565"/>
      <c r="H11565"/>
      <c r="I11565"/>
    </row>
    <row r="11566" spans="6:9" x14ac:dyDescent="0.3">
      <c r="F11566"/>
      <c r="G11566"/>
      <c r="H11566"/>
      <c r="I11566"/>
    </row>
    <row r="11567" spans="6:9" x14ac:dyDescent="0.3">
      <c r="F11567"/>
      <c r="G11567"/>
      <c r="H11567"/>
      <c r="I11567"/>
    </row>
    <row r="11568" spans="6:9" x14ac:dyDescent="0.3">
      <c r="F11568"/>
      <c r="G11568"/>
      <c r="H11568"/>
      <c r="I11568"/>
    </row>
    <row r="11569" spans="6:9" x14ac:dyDescent="0.3">
      <c r="F11569"/>
      <c r="G11569"/>
      <c r="H11569"/>
      <c r="I11569"/>
    </row>
    <row r="11570" spans="6:9" x14ac:dyDescent="0.3">
      <c r="F11570"/>
      <c r="G11570"/>
      <c r="H11570"/>
      <c r="I11570"/>
    </row>
    <row r="11571" spans="6:9" x14ac:dyDescent="0.3">
      <c r="F11571"/>
      <c r="G11571"/>
      <c r="H11571"/>
      <c r="I11571"/>
    </row>
    <row r="11572" spans="6:9" x14ac:dyDescent="0.3">
      <c r="F11572"/>
      <c r="G11572"/>
      <c r="H11572"/>
      <c r="I11572"/>
    </row>
    <row r="11573" spans="6:9" x14ac:dyDescent="0.3">
      <c r="F11573"/>
      <c r="G11573"/>
      <c r="H11573"/>
      <c r="I11573"/>
    </row>
    <row r="11574" spans="6:9" x14ac:dyDescent="0.3">
      <c r="F11574"/>
      <c r="G11574"/>
      <c r="H11574"/>
      <c r="I11574"/>
    </row>
    <row r="11575" spans="6:9" x14ac:dyDescent="0.3">
      <c r="F11575"/>
      <c r="G11575"/>
      <c r="H11575"/>
      <c r="I11575"/>
    </row>
    <row r="11576" spans="6:9" x14ac:dyDescent="0.3">
      <c r="F11576"/>
      <c r="G11576"/>
      <c r="H11576"/>
      <c r="I11576"/>
    </row>
    <row r="11577" spans="6:9" x14ac:dyDescent="0.3">
      <c r="F11577"/>
      <c r="G11577"/>
      <c r="H11577"/>
      <c r="I11577"/>
    </row>
    <row r="11578" spans="6:9" x14ac:dyDescent="0.3">
      <c r="F11578"/>
      <c r="G11578"/>
      <c r="H11578"/>
      <c r="I11578"/>
    </row>
    <row r="11579" spans="6:9" x14ac:dyDescent="0.3">
      <c r="F11579"/>
      <c r="G11579"/>
      <c r="H11579"/>
      <c r="I11579"/>
    </row>
    <row r="11580" spans="6:9" x14ac:dyDescent="0.3">
      <c r="F11580"/>
      <c r="G11580"/>
      <c r="H11580"/>
      <c r="I11580"/>
    </row>
    <row r="11581" spans="6:9" x14ac:dyDescent="0.3">
      <c r="F11581"/>
      <c r="G11581"/>
      <c r="H11581"/>
      <c r="I11581"/>
    </row>
    <row r="11582" spans="6:9" x14ac:dyDescent="0.3">
      <c r="F11582"/>
      <c r="G11582"/>
      <c r="H11582"/>
      <c r="I11582"/>
    </row>
    <row r="11583" spans="6:9" x14ac:dyDescent="0.3">
      <c r="F11583"/>
      <c r="G11583"/>
      <c r="H11583"/>
      <c r="I11583"/>
    </row>
    <row r="11584" spans="6:9" x14ac:dyDescent="0.3">
      <c r="F11584"/>
      <c r="G11584"/>
      <c r="H11584"/>
      <c r="I11584"/>
    </row>
    <row r="11585" spans="6:9" x14ac:dyDescent="0.3">
      <c r="F11585"/>
      <c r="G11585"/>
      <c r="H11585"/>
      <c r="I11585"/>
    </row>
    <row r="11586" spans="6:9" x14ac:dyDescent="0.3">
      <c r="F11586"/>
      <c r="G11586"/>
      <c r="H11586"/>
      <c r="I11586"/>
    </row>
    <row r="11587" spans="6:9" x14ac:dyDescent="0.3">
      <c r="F11587"/>
      <c r="G11587"/>
      <c r="H11587"/>
      <c r="I11587"/>
    </row>
    <row r="11588" spans="6:9" x14ac:dyDescent="0.3">
      <c r="F11588"/>
      <c r="G11588"/>
      <c r="H11588"/>
      <c r="I11588"/>
    </row>
    <row r="11589" spans="6:9" x14ac:dyDescent="0.3">
      <c r="F11589"/>
      <c r="G11589"/>
      <c r="H11589"/>
      <c r="I11589"/>
    </row>
    <row r="11590" spans="6:9" x14ac:dyDescent="0.3">
      <c r="F11590"/>
      <c r="G11590"/>
      <c r="H11590"/>
      <c r="I11590"/>
    </row>
    <row r="11591" spans="6:9" x14ac:dyDescent="0.3">
      <c r="F11591"/>
      <c r="G11591"/>
      <c r="H11591"/>
      <c r="I11591"/>
    </row>
    <row r="11592" spans="6:9" x14ac:dyDescent="0.3">
      <c r="F11592"/>
      <c r="G11592"/>
      <c r="H11592"/>
      <c r="I11592"/>
    </row>
    <row r="11593" spans="6:9" x14ac:dyDescent="0.3">
      <c r="F11593"/>
      <c r="G11593"/>
      <c r="H11593"/>
      <c r="I11593"/>
    </row>
    <row r="11594" spans="6:9" x14ac:dyDescent="0.3">
      <c r="F11594"/>
      <c r="G11594"/>
      <c r="H11594"/>
      <c r="I11594"/>
    </row>
    <row r="11595" spans="6:9" x14ac:dyDescent="0.3">
      <c r="F11595"/>
      <c r="G11595"/>
      <c r="H11595"/>
      <c r="I11595"/>
    </row>
    <row r="11596" spans="6:9" x14ac:dyDescent="0.3">
      <c r="F11596"/>
      <c r="G11596"/>
      <c r="H11596"/>
      <c r="I11596"/>
    </row>
    <row r="11597" spans="6:9" x14ac:dyDescent="0.3">
      <c r="F11597"/>
      <c r="G11597"/>
      <c r="H11597"/>
      <c r="I11597"/>
    </row>
    <row r="11598" spans="6:9" x14ac:dyDescent="0.3">
      <c r="F11598"/>
      <c r="G11598"/>
      <c r="H11598"/>
      <c r="I11598"/>
    </row>
    <row r="11599" spans="6:9" x14ac:dyDescent="0.3">
      <c r="F11599"/>
      <c r="G11599"/>
      <c r="H11599"/>
      <c r="I11599"/>
    </row>
    <row r="11600" spans="6:9" x14ac:dyDescent="0.3">
      <c r="F11600"/>
      <c r="G11600"/>
      <c r="H11600"/>
      <c r="I11600"/>
    </row>
    <row r="11601" spans="6:9" x14ac:dyDescent="0.3">
      <c r="F11601"/>
      <c r="G11601"/>
      <c r="H11601"/>
      <c r="I11601"/>
    </row>
    <row r="11602" spans="6:9" x14ac:dyDescent="0.3">
      <c r="F11602"/>
      <c r="G11602"/>
      <c r="H11602"/>
      <c r="I11602"/>
    </row>
    <row r="11603" spans="6:9" x14ac:dyDescent="0.3">
      <c r="F11603"/>
      <c r="G11603"/>
      <c r="H11603"/>
      <c r="I11603"/>
    </row>
    <row r="11604" spans="6:9" x14ac:dyDescent="0.3">
      <c r="F11604"/>
      <c r="G11604"/>
      <c r="H11604"/>
      <c r="I11604"/>
    </row>
    <row r="11605" spans="6:9" x14ac:dyDescent="0.3">
      <c r="F11605"/>
      <c r="G11605"/>
      <c r="H11605"/>
      <c r="I11605"/>
    </row>
    <row r="11606" spans="6:9" x14ac:dyDescent="0.3">
      <c r="F11606"/>
      <c r="G11606"/>
      <c r="H11606"/>
      <c r="I11606"/>
    </row>
    <row r="11607" spans="6:9" x14ac:dyDescent="0.3">
      <c r="F11607"/>
      <c r="G11607"/>
      <c r="H11607"/>
      <c r="I11607"/>
    </row>
    <row r="11608" spans="6:9" x14ac:dyDescent="0.3">
      <c r="F11608"/>
      <c r="G11608"/>
      <c r="H11608"/>
      <c r="I11608"/>
    </row>
    <row r="11609" spans="6:9" x14ac:dyDescent="0.3">
      <c r="F11609"/>
      <c r="G11609"/>
      <c r="H11609"/>
      <c r="I11609"/>
    </row>
    <row r="11610" spans="6:9" x14ac:dyDescent="0.3">
      <c r="F11610"/>
      <c r="G11610"/>
      <c r="H11610"/>
      <c r="I11610"/>
    </row>
    <row r="11611" spans="6:9" x14ac:dyDescent="0.3">
      <c r="F11611"/>
      <c r="G11611"/>
      <c r="H11611"/>
      <c r="I11611"/>
    </row>
    <row r="11612" spans="6:9" x14ac:dyDescent="0.3">
      <c r="F11612"/>
      <c r="G11612"/>
      <c r="H11612"/>
      <c r="I11612"/>
    </row>
    <row r="11613" spans="6:9" x14ac:dyDescent="0.3">
      <c r="F11613"/>
      <c r="G11613"/>
      <c r="H11613"/>
      <c r="I11613"/>
    </row>
    <row r="11614" spans="6:9" x14ac:dyDescent="0.3">
      <c r="F11614"/>
      <c r="G11614"/>
      <c r="H11614"/>
      <c r="I11614"/>
    </row>
    <row r="11615" spans="6:9" x14ac:dyDescent="0.3">
      <c r="F11615"/>
      <c r="G11615"/>
      <c r="H11615"/>
      <c r="I11615"/>
    </row>
    <row r="11616" spans="6:9" x14ac:dyDescent="0.3">
      <c r="F11616"/>
      <c r="G11616"/>
      <c r="H11616"/>
      <c r="I11616"/>
    </row>
    <row r="11617" spans="6:9" x14ac:dyDescent="0.3">
      <c r="F11617"/>
      <c r="G11617"/>
      <c r="H11617"/>
      <c r="I11617"/>
    </row>
    <row r="11618" spans="6:9" x14ac:dyDescent="0.3">
      <c r="F11618"/>
      <c r="G11618"/>
      <c r="H11618"/>
      <c r="I11618"/>
    </row>
    <row r="11619" spans="6:9" x14ac:dyDescent="0.3">
      <c r="F11619"/>
      <c r="G11619"/>
      <c r="H11619"/>
      <c r="I11619"/>
    </row>
    <row r="11620" spans="6:9" x14ac:dyDescent="0.3">
      <c r="F11620"/>
      <c r="G11620"/>
      <c r="H11620"/>
      <c r="I11620"/>
    </row>
    <row r="11621" spans="6:9" x14ac:dyDescent="0.3">
      <c r="F11621"/>
      <c r="G11621"/>
      <c r="H11621"/>
      <c r="I11621"/>
    </row>
    <row r="11622" spans="6:9" x14ac:dyDescent="0.3">
      <c r="F11622"/>
      <c r="G11622"/>
      <c r="H11622"/>
      <c r="I11622"/>
    </row>
    <row r="11623" spans="6:9" x14ac:dyDescent="0.3">
      <c r="F11623"/>
      <c r="G11623"/>
      <c r="H11623"/>
      <c r="I11623"/>
    </row>
    <row r="11624" spans="6:9" x14ac:dyDescent="0.3">
      <c r="F11624"/>
      <c r="G11624"/>
      <c r="H11624"/>
      <c r="I11624"/>
    </row>
    <row r="11625" spans="6:9" x14ac:dyDescent="0.3">
      <c r="F11625"/>
      <c r="G11625"/>
      <c r="H11625"/>
      <c r="I11625"/>
    </row>
    <row r="11626" spans="6:9" x14ac:dyDescent="0.3">
      <c r="F11626"/>
      <c r="G11626"/>
      <c r="H11626"/>
      <c r="I11626"/>
    </row>
    <row r="11627" spans="6:9" x14ac:dyDescent="0.3">
      <c r="F11627"/>
      <c r="G11627"/>
      <c r="H11627"/>
      <c r="I11627"/>
    </row>
    <row r="11628" spans="6:9" x14ac:dyDescent="0.3">
      <c r="F11628"/>
      <c r="G11628"/>
      <c r="H11628"/>
      <c r="I11628"/>
    </row>
    <row r="11629" spans="6:9" x14ac:dyDescent="0.3">
      <c r="F11629"/>
      <c r="G11629"/>
      <c r="H11629"/>
      <c r="I11629"/>
    </row>
    <row r="11630" spans="6:9" x14ac:dyDescent="0.3">
      <c r="F11630"/>
      <c r="G11630"/>
      <c r="H11630"/>
      <c r="I11630"/>
    </row>
    <row r="11631" spans="6:9" x14ac:dyDescent="0.3">
      <c r="F11631"/>
      <c r="G11631"/>
      <c r="H11631"/>
      <c r="I11631"/>
    </row>
    <row r="11632" spans="6:9" x14ac:dyDescent="0.3">
      <c r="F11632"/>
      <c r="G11632"/>
      <c r="H11632"/>
      <c r="I11632"/>
    </row>
    <row r="11633" spans="6:9" x14ac:dyDescent="0.3">
      <c r="F11633"/>
      <c r="G11633"/>
      <c r="H11633"/>
      <c r="I11633"/>
    </row>
    <row r="11634" spans="6:9" x14ac:dyDescent="0.3">
      <c r="F11634"/>
      <c r="G11634"/>
      <c r="H11634"/>
      <c r="I11634"/>
    </row>
    <row r="11635" spans="6:9" x14ac:dyDescent="0.3">
      <c r="F11635"/>
      <c r="G11635"/>
      <c r="H11635"/>
      <c r="I11635"/>
    </row>
    <row r="11636" spans="6:9" x14ac:dyDescent="0.3">
      <c r="F11636"/>
      <c r="G11636"/>
      <c r="H11636"/>
      <c r="I11636"/>
    </row>
    <row r="11637" spans="6:9" x14ac:dyDescent="0.3">
      <c r="F11637"/>
      <c r="G11637"/>
      <c r="H11637"/>
      <c r="I11637"/>
    </row>
    <row r="11638" spans="6:9" x14ac:dyDescent="0.3">
      <c r="F11638"/>
      <c r="G11638"/>
      <c r="H11638"/>
      <c r="I11638"/>
    </row>
    <row r="11639" spans="6:9" x14ac:dyDescent="0.3">
      <c r="F11639"/>
      <c r="G11639"/>
      <c r="H11639"/>
      <c r="I11639"/>
    </row>
    <row r="11640" spans="6:9" x14ac:dyDescent="0.3">
      <c r="F11640"/>
      <c r="G11640"/>
      <c r="H11640"/>
      <c r="I11640"/>
    </row>
    <row r="11641" spans="6:9" x14ac:dyDescent="0.3">
      <c r="F11641"/>
      <c r="G11641"/>
      <c r="H11641"/>
      <c r="I11641"/>
    </row>
    <row r="11642" spans="6:9" x14ac:dyDescent="0.3">
      <c r="F11642"/>
      <c r="G11642"/>
      <c r="H11642"/>
      <c r="I11642"/>
    </row>
    <row r="11643" spans="6:9" x14ac:dyDescent="0.3">
      <c r="F11643"/>
      <c r="G11643"/>
      <c r="H11643"/>
      <c r="I11643"/>
    </row>
    <row r="11644" spans="6:9" x14ac:dyDescent="0.3">
      <c r="F11644"/>
      <c r="G11644"/>
      <c r="H11644"/>
      <c r="I11644"/>
    </row>
    <row r="11645" spans="6:9" x14ac:dyDescent="0.3">
      <c r="F11645"/>
      <c r="G11645"/>
      <c r="H11645"/>
      <c r="I11645"/>
    </row>
    <row r="11646" spans="6:9" x14ac:dyDescent="0.3">
      <c r="F11646"/>
      <c r="G11646"/>
      <c r="H11646"/>
      <c r="I11646"/>
    </row>
    <row r="11647" spans="6:9" x14ac:dyDescent="0.3">
      <c r="F11647"/>
      <c r="G11647"/>
      <c r="H11647"/>
      <c r="I11647"/>
    </row>
    <row r="11648" spans="6:9" x14ac:dyDescent="0.3">
      <c r="F11648"/>
      <c r="G11648"/>
      <c r="H11648"/>
      <c r="I11648"/>
    </row>
    <row r="11649" spans="6:9" x14ac:dyDescent="0.3">
      <c r="F11649"/>
      <c r="G11649"/>
      <c r="H11649"/>
      <c r="I11649"/>
    </row>
    <row r="11650" spans="6:9" x14ac:dyDescent="0.3">
      <c r="F11650"/>
      <c r="G11650"/>
      <c r="H11650"/>
      <c r="I11650"/>
    </row>
    <row r="11651" spans="6:9" x14ac:dyDescent="0.3">
      <c r="F11651"/>
      <c r="G11651"/>
      <c r="H11651"/>
      <c r="I11651"/>
    </row>
    <row r="11652" spans="6:9" x14ac:dyDescent="0.3">
      <c r="F11652"/>
      <c r="G11652"/>
      <c r="H11652"/>
      <c r="I11652"/>
    </row>
    <row r="11653" spans="6:9" x14ac:dyDescent="0.3">
      <c r="F11653"/>
      <c r="G11653"/>
      <c r="H11653"/>
      <c r="I11653"/>
    </row>
    <row r="11654" spans="6:9" x14ac:dyDescent="0.3">
      <c r="F11654"/>
      <c r="G11654"/>
      <c r="H11654"/>
      <c r="I11654"/>
    </row>
    <row r="11655" spans="6:9" x14ac:dyDescent="0.3">
      <c r="F11655"/>
      <c r="G11655"/>
      <c r="H11655"/>
      <c r="I11655"/>
    </row>
    <row r="11656" spans="6:9" x14ac:dyDescent="0.3">
      <c r="F11656"/>
      <c r="G11656"/>
      <c r="H11656"/>
      <c r="I11656"/>
    </row>
    <row r="11657" spans="6:9" x14ac:dyDescent="0.3">
      <c r="F11657"/>
      <c r="G11657"/>
      <c r="H11657"/>
      <c r="I11657"/>
    </row>
    <row r="11658" spans="6:9" x14ac:dyDescent="0.3">
      <c r="F11658"/>
      <c r="G11658"/>
      <c r="H11658"/>
      <c r="I11658"/>
    </row>
    <row r="11659" spans="6:9" x14ac:dyDescent="0.3">
      <c r="F11659"/>
      <c r="G11659"/>
      <c r="H11659"/>
      <c r="I11659"/>
    </row>
    <row r="11660" spans="6:9" x14ac:dyDescent="0.3">
      <c r="F11660"/>
      <c r="G11660"/>
      <c r="H11660"/>
      <c r="I11660"/>
    </row>
    <row r="11661" spans="6:9" x14ac:dyDescent="0.3">
      <c r="F11661"/>
      <c r="G11661"/>
      <c r="H11661"/>
      <c r="I11661"/>
    </row>
    <row r="11662" spans="6:9" x14ac:dyDescent="0.3">
      <c r="F11662"/>
      <c r="G11662"/>
      <c r="H11662"/>
      <c r="I11662"/>
    </row>
    <row r="11663" spans="6:9" x14ac:dyDescent="0.3">
      <c r="F11663"/>
      <c r="G11663"/>
      <c r="H11663"/>
      <c r="I11663"/>
    </row>
    <row r="11664" spans="6:9" x14ac:dyDescent="0.3">
      <c r="F11664"/>
      <c r="G11664"/>
      <c r="H11664"/>
      <c r="I11664"/>
    </row>
    <row r="11665" spans="6:9" x14ac:dyDescent="0.3">
      <c r="F11665"/>
      <c r="G11665"/>
      <c r="H11665"/>
      <c r="I11665"/>
    </row>
    <row r="11666" spans="6:9" x14ac:dyDescent="0.3">
      <c r="F11666"/>
      <c r="G11666"/>
      <c r="H11666"/>
      <c r="I11666"/>
    </row>
    <row r="11667" spans="6:9" x14ac:dyDescent="0.3">
      <c r="F11667"/>
      <c r="G11667"/>
      <c r="H11667"/>
      <c r="I11667"/>
    </row>
    <row r="11668" spans="6:9" x14ac:dyDescent="0.3">
      <c r="F11668"/>
      <c r="G11668"/>
      <c r="H11668"/>
      <c r="I11668"/>
    </row>
    <row r="11669" spans="6:9" x14ac:dyDescent="0.3">
      <c r="F11669"/>
      <c r="G11669"/>
      <c r="H11669"/>
      <c r="I11669"/>
    </row>
    <row r="11670" spans="6:9" x14ac:dyDescent="0.3">
      <c r="F11670"/>
      <c r="G11670"/>
      <c r="H11670"/>
      <c r="I11670"/>
    </row>
    <row r="11671" spans="6:9" x14ac:dyDescent="0.3">
      <c r="F11671"/>
      <c r="G11671"/>
      <c r="H11671"/>
      <c r="I11671"/>
    </row>
    <row r="11672" spans="6:9" x14ac:dyDescent="0.3">
      <c r="F11672"/>
      <c r="G11672"/>
      <c r="H11672"/>
      <c r="I11672"/>
    </row>
    <row r="11673" spans="6:9" x14ac:dyDescent="0.3">
      <c r="F11673"/>
      <c r="G11673"/>
      <c r="H11673"/>
      <c r="I11673"/>
    </row>
    <row r="11674" spans="6:9" x14ac:dyDescent="0.3">
      <c r="F11674"/>
      <c r="G11674"/>
      <c r="H11674"/>
      <c r="I11674"/>
    </row>
    <row r="11675" spans="6:9" x14ac:dyDescent="0.3">
      <c r="F11675"/>
      <c r="G11675"/>
      <c r="H11675"/>
      <c r="I11675"/>
    </row>
    <row r="11676" spans="6:9" x14ac:dyDescent="0.3">
      <c r="F11676"/>
      <c r="G11676"/>
      <c r="H11676"/>
      <c r="I11676"/>
    </row>
    <row r="11677" spans="6:9" x14ac:dyDescent="0.3">
      <c r="F11677"/>
      <c r="G11677"/>
      <c r="H11677"/>
      <c r="I11677"/>
    </row>
    <row r="11678" spans="6:9" x14ac:dyDescent="0.3">
      <c r="F11678"/>
      <c r="G11678"/>
      <c r="H11678"/>
      <c r="I11678"/>
    </row>
    <row r="11679" spans="6:9" x14ac:dyDescent="0.3">
      <c r="F11679"/>
      <c r="G11679"/>
      <c r="H11679"/>
      <c r="I11679"/>
    </row>
    <row r="11680" spans="6:9" x14ac:dyDescent="0.3">
      <c r="F11680"/>
      <c r="G11680"/>
      <c r="H11680"/>
      <c r="I11680"/>
    </row>
    <row r="11681" spans="6:9" x14ac:dyDescent="0.3">
      <c r="F11681"/>
      <c r="G11681"/>
      <c r="H11681"/>
      <c r="I11681"/>
    </row>
    <row r="11682" spans="6:9" x14ac:dyDescent="0.3">
      <c r="F11682"/>
      <c r="G11682"/>
      <c r="H11682"/>
      <c r="I11682"/>
    </row>
    <row r="11683" spans="6:9" x14ac:dyDescent="0.3">
      <c r="F11683"/>
      <c r="G11683"/>
      <c r="H11683"/>
      <c r="I11683"/>
    </row>
    <row r="11684" spans="6:9" x14ac:dyDescent="0.3">
      <c r="F11684"/>
      <c r="G11684"/>
      <c r="H11684"/>
      <c r="I11684"/>
    </row>
    <row r="11685" spans="6:9" x14ac:dyDescent="0.3">
      <c r="F11685"/>
      <c r="G11685"/>
      <c r="H11685"/>
      <c r="I11685"/>
    </row>
    <row r="11686" spans="6:9" x14ac:dyDescent="0.3">
      <c r="F11686"/>
      <c r="G11686"/>
      <c r="H11686"/>
      <c r="I11686"/>
    </row>
    <row r="11687" spans="6:9" x14ac:dyDescent="0.3">
      <c r="F11687"/>
      <c r="G11687"/>
      <c r="H11687"/>
      <c r="I11687"/>
    </row>
    <row r="11688" spans="6:9" x14ac:dyDescent="0.3">
      <c r="F11688"/>
      <c r="G11688"/>
      <c r="H11688"/>
      <c r="I11688"/>
    </row>
    <row r="11689" spans="6:9" x14ac:dyDescent="0.3">
      <c r="F11689"/>
      <c r="G11689"/>
      <c r="H11689"/>
      <c r="I11689"/>
    </row>
    <row r="11690" spans="6:9" x14ac:dyDescent="0.3">
      <c r="F11690"/>
      <c r="G11690"/>
      <c r="H11690"/>
      <c r="I11690"/>
    </row>
    <row r="11691" spans="6:9" x14ac:dyDescent="0.3">
      <c r="F11691"/>
      <c r="G11691"/>
      <c r="H11691"/>
      <c r="I11691"/>
    </row>
    <row r="11692" spans="6:9" x14ac:dyDescent="0.3">
      <c r="F11692"/>
      <c r="G11692"/>
      <c r="H11692"/>
      <c r="I11692"/>
    </row>
    <row r="11693" spans="6:9" x14ac:dyDescent="0.3">
      <c r="F11693"/>
      <c r="G11693"/>
      <c r="H11693"/>
      <c r="I11693"/>
    </row>
    <row r="11694" spans="6:9" x14ac:dyDescent="0.3">
      <c r="F11694"/>
      <c r="G11694"/>
      <c r="H11694"/>
      <c r="I11694"/>
    </row>
    <row r="11695" spans="6:9" x14ac:dyDescent="0.3">
      <c r="F11695"/>
      <c r="G11695"/>
      <c r="H11695"/>
      <c r="I11695"/>
    </row>
    <row r="11696" spans="6:9" x14ac:dyDescent="0.3">
      <c r="F11696"/>
      <c r="G11696"/>
      <c r="H11696"/>
      <c r="I11696"/>
    </row>
    <row r="11697" spans="6:9" x14ac:dyDescent="0.3">
      <c r="F11697"/>
      <c r="G11697"/>
      <c r="H11697"/>
      <c r="I11697"/>
    </row>
    <row r="11698" spans="6:9" x14ac:dyDescent="0.3">
      <c r="F11698"/>
      <c r="G11698"/>
      <c r="H11698"/>
      <c r="I11698"/>
    </row>
    <row r="11699" spans="6:9" x14ac:dyDescent="0.3">
      <c r="F11699"/>
      <c r="G11699"/>
      <c r="H11699"/>
      <c r="I11699"/>
    </row>
    <row r="11700" spans="6:9" x14ac:dyDescent="0.3">
      <c r="F11700"/>
      <c r="G11700"/>
      <c r="H11700"/>
      <c r="I11700"/>
    </row>
    <row r="11701" spans="6:9" x14ac:dyDescent="0.3">
      <c r="F11701"/>
      <c r="G11701"/>
      <c r="H11701"/>
      <c r="I11701"/>
    </row>
    <row r="11702" spans="6:9" x14ac:dyDescent="0.3">
      <c r="F11702"/>
      <c r="G11702"/>
      <c r="H11702"/>
      <c r="I11702"/>
    </row>
    <row r="11703" spans="6:9" x14ac:dyDescent="0.3">
      <c r="F11703"/>
      <c r="G11703"/>
      <c r="H11703"/>
      <c r="I11703"/>
    </row>
    <row r="11704" spans="6:9" x14ac:dyDescent="0.3">
      <c r="F11704"/>
      <c r="G11704"/>
      <c r="H11704"/>
      <c r="I11704"/>
    </row>
    <row r="11705" spans="6:9" x14ac:dyDescent="0.3">
      <c r="F11705"/>
      <c r="G11705"/>
      <c r="H11705"/>
      <c r="I11705"/>
    </row>
    <row r="11706" spans="6:9" x14ac:dyDescent="0.3">
      <c r="F11706"/>
      <c r="G11706"/>
      <c r="H11706"/>
      <c r="I11706"/>
    </row>
    <row r="11707" spans="6:9" x14ac:dyDescent="0.3">
      <c r="F11707"/>
      <c r="G11707"/>
      <c r="H11707"/>
      <c r="I11707"/>
    </row>
    <row r="11708" spans="6:9" x14ac:dyDescent="0.3">
      <c r="F11708"/>
      <c r="G11708"/>
      <c r="H11708"/>
      <c r="I11708"/>
    </row>
    <row r="11709" spans="6:9" x14ac:dyDescent="0.3">
      <c r="F11709"/>
      <c r="G11709"/>
      <c r="H11709"/>
      <c r="I11709"/>
    </row>
    <row r="11710" spans="6:9" x14ac:dyDescent="0.3">
      <c r="F11710"/>
      <c r="G11710"/>
      <c r="H11710"/>
      <c r="I11710"/>
    </row>
    <row r="11711" spans="6:9" x14ac:dyDescent="0.3">
      <c r="F11711"/>
      <c r="G11711"/>
      <c r="H11711"/>
      <c r="I11711"/>
    </row>
    <row r="11712" spans="6:9" x14ac:dyDescent="0.3">
      <c r="F11712"/>
      <c r="G11712"/>
      <c r="H11712"/>
      <c r="I11712"/>
    </row>
    <row r="11713" spans="6:9" x14ac:dyDescent="0.3">
      <c r="F11713"/>
      <c r="G11713"/>
      <c r="H11713"/>
      <c r="I11713"/>
    </row>
    <row r="11714" spans="6:9" x14ac:dyDescent="0.3">
      <c r="F11714"/>
      <c r="G11714"/>
      <c r="H11714"/>
      <c r="I11714"/>
    </row>
    <row r="11715" spans="6:9" x14ac:dyDescent="0.3">
      <c r="F11715"/>
      <c r="G11715"/>
      <c r="H11715"/>
      <c r="I11715"/>
    </row>
    <row r="11716" spans="6:9" x14ac:dyDescent="0.3">
      <c r="F11716"/>
      <c r="G11716"/>
      <c r="H11716"/>
      <c r="I11716"/>
    </row>
    <row r="11717" spans="6:9" x14ac:dyDescent="0.3">
      <c r="F11717"/>
      <c r="G11717"/>
      <c r="H11717"/>
      <c r="I11717"/>
    </row>
    <row r="11718" spans="6:9" x14ac:dyDescent="0.3">
      <c r="F11718"/>
      <c r="G11718"/>
      <c r="H11718"/>
      <c r="I11718"/>
    </row>
    <row r="11719" spans="6:9" x14ac:dyDescent="0.3">
      <c r="F11719"/>
      <c r="G11719"/>
      <c r="H11719"/>
      <c r="I11719"/>
    </row>
    <row r="11720" spans="6:9" x14ac:dyDescent="0.3">
      <c r="F11720"/>
      <c r="G11720"/>
      <c r="H11720"/>
      <c r="I11720"/>
    </row>
    <row r="11721" spans="6:9" x14ac:dyDescent="0.3">
      <c r="F11721"/>
      <c r="G11721"/>
      <c r="H11721"/>
      <c r="I11721"/>
    </row>
    <row r="11722" spans="6:9" x14ac:dyDescent="0.3">
      <c r="F11722"/>
      <c r="G11722"/>
      <c r="H11722"/>
      <c r="I11722"/>
    </row>
    <row r="11723" spans="6:9" x14ac:dyDescent="0.3">
      <c r="F11723"/>
      <c r="G11723"/>
      <c r="H11723"/>
      <c r="I11723"/>
    </row>
    <row r="11724" spans="6:9" x14ac:dyDescent="0.3">
      <c r="F11724"/>
      <c r="G11724"/>
      <c r="H11724"/>
      <c r="I11724"/>
    </row>
    <row r="11725" spans="6:9" x14ac:dyDescent="0.3">
      <c r="F11725"/>
      <c r="G11725"/>
      <c r="H11725"/>
      <c r="I11725"/>
    </row>
    <row r="11726" spans="6:9" x14ac:dyDescent="0.3">
      <c r="F11726"/>
      <c r="G11726"/>
      <c r="H11726"/>
      <c r="I11726"/>
    </row>
    <row r="11727" spans="6:9" x14ac:dyDescent="0.3">
      <c r="F11727"/>
      <c r="G11727"/>
      <c r="H11727"/>
      <c r="I11727"/>
    </row>
    <row r="11728" spans="6:9" x14ac:dyDescent="0.3">
      <c r="F11728"/>
      <c r="G11728"/>
      <c r="H11728"/>
      <c r="I11728"/>
    </row>
    <row r="11729" spans="6:9" x14ac:dyDescent="0.3">
      <c r="F11729"/>
      <c r="G11729"/>
      <c r="H11729"/>
      <c r="I11729"/>
    </row>
    <row r="11730" spans="6:9" x14ac:dyDescent="0.3">
      <c r="F11730"/>
      <c r="G11730"/>
      <c r="H11730"/>
      <c r="I11730"/>
    </row>
    <row r="11731" spans="6:9" x14ac:dyDescent="0.3">
      <c r="F11731"/>
      <c r="G11731"/>
      <c r="H11731"/>
      <c r="I11731"/>
    </row>
    <row r="11732" spans="6:9" x14ac:dyDescent="0.3">
      <c r="F11732"/>
      <c r="G11732"/>
      <c r="H11732"/>
      <c r="I11732"/>
    </row>
    <row r="11733" spans="6:9" x14ac:dyDescent="0.3">
      <c r="F11733"/>
      <c r="G11733"/>
      <c r="H11733"/>
      <c r="I11733"/>
    </row>
    <row r="11734" spans="6:9" x14ac:dyDescent="0.3">
      <c r="F11734"/>
      <c r="G11734"/>
      <c r="H11734"/>
      <c r="I11734"/>
    </row>
    <row r="11735" spans="6:9" x14ac:dyDescent="0.3">
      <c r="F11735"/>
      <c r="G11735"/>
      <c r="H11735"/>
      <c r="I11735"/>
    </row>
    <row r="11736" spans="6:9" x14ac:dyDescent="0.3">
      <c r="F11736"/>
      <c r="G11736"/>
      <c r="H11736"/>
      <c r="I11736"/>
    </row>
    <row r="11737" spans="6:9" x14ac:dyDescent="0.3">
      <c r="F11737"/>
      <c r="G11737"/>
      <c r="H11737"/>
      <c r="I11737"/>
    </row>
    <row r="11738" spans="6:9" x14ac:dyDescent="0.3">
      <c r="F11738"/>
      <c r="G11738"/>
      <c r="H11738"/>
      <c r="I11738"/>
    </row>
    <row r="11739" spans="6:9" x14ac:dyDescent="0.3">
      <c r="F11739"/>
      <c r="G11739"/>
      <c r="H11739"/>
      <c r="I11739"/>
    </row>
    <row r="11740" spans="6:9" x14ac:dyDescent="0.3">
      <c r="F11740"/>
      <c r="G11740"/>
      <c r="H11740"/>
      <c r="I11740"/>
    </row>
    <row r="11741" spans="6:9" x14ac:dyDescent="0.3">
      <c r="F11741"/>
      <c r="G11741"/>
      <c r="H11741"/>
      <c r="I11741"/>
    </row>
    <row r="11742" spans="6:9" x14ac:dyDescent="0.3">
      <c r="F11742"/>
      <c r="G11742"/>
      <c r="H11742"/>
      <c r="I11742"/>
    </row>
    <row r="11743" spans="6:9" x14ac:dyDescent="0.3">
      <c r="F11743"/>
      <c r="G11743"/>
      <c r="H11743"/>
      <c r="I11743"/>
    </row>
    <row r="11744" spans="6:9" x14ac:dyDescent="0.3">
      <c r="F11744"/>
      <c r="G11744"/>
      <c r="H11744"/>
      <c r="I11744"/>
    </row>
    <row r="11745" spans="6:9" x14ac:dyDescent="0.3">
      <c r="F11745"/>
      <c r="G11745"/>
      <c r="H11745"/>
      <c r="I11745"/>
    </row>
    <row r="11746" spans="6:9" x14ac:dyDescent="0.3">
      <c r="F11746"/>
      <c r="G11746"/>
      <c r="H11746"/>
      <c r="I11746"/>
    </row>
    <row r="11747" spans="6:9" x14ac:dyDescent="0.3">
      <c r="F11747"/>
      <c r="G11747"/>
      <c r="H11747"/>
      <c r="I11747"/>
    </row>
    <row r="11748" spans="6:9" x14ac:dyDescent="0.3">
      <c r="F11748"/>
      <c r="G11748"/>
      <c r="H11748"/>
      <c r="I11748"/>
    </row>
    <row r="11749" spans="6:9" x14ac:dyDescent="0.3">
      <c r="F11749"/>
      <c r="G11749"/>
      <c r="H11749"/>
      <c r="I11749"/>
    </row>
    <row r="11750" spans="6:9" x14ac:dyDescent="0.3">
      <c r="F11750"/>
      <c r="G11750"/>
      <c r="H11750"/>
      <c r="I11750"/>
    </row>
    <row r="11751" spans="6:9" x14ac:dyDescent="0.3">
      <c r="F11751"/>
      <c r="G11751"/>
      <c r="H11751"/>
      <c r="I11751"/>
    </row>
    <row r="11752" spans="6:9" x14ac:dyDescent="0.3">
      <c r="F11752"/>
      <c r="G11752"/>
      <c r="H11752"/>
      <c r="I11752"/>
    </row>
    <row r="11753" spans="6:9" x14ac:dyDescent="0.3">
      <c r="F11753"/>
      <c r="G11753"/>
      <c r="H11753"/>
      <c r="I11753"/>
    </row>
    <row r="11754" spans="6:9" x14ac:dyDescent="0.3">
      <c r="F11754"/>
      <c r="G11754"/>
      <c r="H11754"/>
      <c r="I11754"/>
    </row>
    <row r="11755" spans="6:9" x14ac:dyDescent="0.3">
      <c r="F11755"/>
      <c r="G11755"/>
      <c r="H11755"/>
      <c r="I11755"/>
    </row>
    <row r="11756" spans="6:9" x14ac:dyDescent="0.3">
      <c r="F11756"/>
      <c r="G11756"/>
      <c r="H11756"/>
      <c r="I11756"/>
    </row>
    <row r="11757" spans="6:9" x14ac:dyDescent="0.3">
      <c r="F11757"/>
      <c r="G11757"/>
      <c r="H11757"/>
      <c r="I11757"/>
    </row>
    <row r="11758" spans="6:9" x14ac:dyDescent="0.3">
      <c r="F11758"/>
      <c r="G11758"/>
      <c r="H11758"/>
      <c r="I11758"/>
    </row>
    <row r="11759" spans="6:9" x14ac:dyDescent="0.3">
      <c r="F11759"/>
      <c r="G11759"/>
      <c r="H11759"/>
      <c r="I11759"/>
    </row>
    <row r="11760" spans="6:9" x14ac:dyDescent="0.3">
      <c r="F11760"/>
      <c r="G11760"/>
      <c r="H11760"/>
      <c r="I11760"/>
    </row>
    <row r="11761" spans="6:9" x14ac:dyDescent="0.3">
      <c r="F11761"/>
      <c r="G11761"/>
      <c r="H11761"/>
      <c r="I11761"/>
    </row>
    <row r="11762" spans="6:9" x14ac:dyDescent="0.3">
      <c r="F11762"/>
      <c r="G11762"/>
      <c r="H11762"/>
      <c r="I11762"/>
    </row>
    <row r="11763" spans="6:9" x14ac:dyDescent="0.3">
      <c r="F11763"/>
      <c r="G11763"/>
      <c r="H11763"/>
      <c r="I11763"/>
    </row>
    <row r="11764" spans="6:9" x14ac:dyDescent="0.3">
      <c r="F11764"/>
      <c r="G11764"/>
      <c r="H11764"/>
      <c r="I11764"/>
    </row>
    <row r="11765" spans="6:9" x14ac:dyDescent="0.3">
      <c r="F11765"/>
      <c r="G11765"/>
      <c r="H11765"/>
      <c r="I11765"/>
    </row>
    <row r="11766" spans="6:9" x14ac:dyDescent="0.3">
      <c r="F11766"/>
      <c r="G11766"/>
      <c r="H11766"/>
      <c r="I11766"/>
    </row>
    <row r="11767" spans="6:9" x14ac:dyDescent="0.3">
      <c r="F11767"/>
      <c r="G11767"/>
      <c r="H11767"/>
      <c r="I11767"/>
    </row>
    <row r="11768" spans="6:9" x14ac:dyDescent="0.3">
      <c r="F11768"/>
      <c r="G11768"/>
      <c r="H11768"/>
      <c r="I11768"/>
    </row>
    <row r="11769" spans="6:9" x14ac:dyDescent="0.3">
      <c r="F11769"/>
      <c r="G11769"/>
      <c r="H11769"/>
      <c r="I11769"/>
    </row>
    <row r="11770" spans="6:9" x14ac:dyDescent="0.3">
      <c r="F11770"/>
      <c r="G11770"/>
      <c r="H11770"/>
      <c r="I11770"/>
    </row>
    <row r="11771" spans="6:9" x14ac:dyDescent="0.3">
      <c r="F11771"/>
      <c r="G11771"/>
      <c r="H11771"/>
      <c r="I11771"/>
    </row>
    <row r="11772" spans="6:9" x14ac:dyDescent="0.3">
      <c r="F11772"/>
      <c r="G11772"/>
      <c r="H11772"/>
      <c r="I11772"/>
    </row>
    <row r="11773" spans="6:9" x14ac:dyDescent="0.3">
      <c r="F11773"/>
      <c r="G11773"/>
      <c r="H11773"/>
      <c r="I11773"/>
    </row>
    <row r="11774" spans="6:9" x14ac:dyDescent="0.3">
      <c r="F11774"/>
      <c r="G11774"/>
      <c r="H11774"/>
      <c r="I11774"/>
    </row>
    <row r="11775" spans="6:9" x14ac:dyDescent="0.3">
      <c r="F11775"/>
      <c r="G11775"/>
      <c r="H11775"/>
      <c r="I11775"/>
    </row>
    <row r="11776" spans="6:9" x14ac:dyDescent="0.3">
      <c r="F11776"/>
      <c r="G11776"/>
      <c r="H11776"/>
      <c r="I11776"/>
    </row>
    <row r="11777" spans="6:9" x14ac:dyDescent="0.3">
      <c r="F11777"/>
      <c r="G11777"/>
      <c r="H11777"/>
      <c r="I11777"/>
    </row>
    <row r="11778" spans="6:9" x14ac:dyDescent="0.3">
      <c r="F11778"/>
      <c r="G11778"/>
      <c r="H11778"/>
      <c r="I11778"/>
    </row>
    <row r="11779" spans="6:9" x14ac:dyDescent="0.3">
      <c r="F11779"/>
      <c r="G11779"/>
      <c r="H11779"/>
      <c r="I11779"/>
    </row>
    <row r="11780" spans="6:9" x14ac:dyDescent="0.3">
      <c r="F11780"/>
      <c r="G11780"/>
      <c r="H11780"/>
      <c r="I11780"/>
    </row>
    <row r="11781" spans="6:9" x14ac:dyDescent="0.3">
      <c r="F11781"/>
      <c r="G11781"/>
      <c r="H11781"/>
      <c r="I11781"/>
    </row>
    <row r="11782" spans="6:9" x14ac:dyDescent="0.3">
      <c r="F11782"/>
      <c r="G11782"/>
      <c r="H11782"/>
      <c r="I11782"/>
    </row>
    <row r="11783" spans="6:9" x14ac:dyDescent="0.3">
      <c r="F11783"/>
      <c r="G11783"/>
      <c r="H11783"/>
      <c r="I11783"/>
    </row>
    <row r="11784" spans="6:9" x14ac:dyDescent="0.3">
      <c r="F11784"/>
      <c r="G11784"/>
      <c r="H11784"/>
      <c r="I11784"/>
    </row>
    <row r="11785" spans="6:9" x14ac:dyDescent="0.3">
      <c r="F11785"/>
      <c r="G11785"/>
      <c r="H11785"/>
      <c r="I11785"/>
    </row>
    <row r="11786" spans="6:9" x14ac:dyDescent="0.3">
      <c r="F11786"/>
      <c r="G11786"/>
      <c r="H11786"/>
      <c r="I11786"/>
    </row>
    <row r="11787" spans="6:9" x14ac:dyDescent="0.3">
      <c r="F11787"/>
      <c r="G11787"/>
      <c r="H11787"/>
      <c r="I11787"/>
    </row>
    <row r="11788" spans="6:9" x14ac:dyDescent="0.3">
      <c r="F11788"/>
      <c r="G11788"/>
      <c r="H11788"/>
      <c r="I11788"/>
    </row>
    <row r="11789" spans="6:9" x14ac:dyDescent="0.3">
      <c r="F11789"/>
      <c r="G11789"/>
      <c r="H11789"/>
      <c r="I11789"/>
    </row>
    <row r="11790" spans="6:9" x14ac:dyDescent="0.3">
      <c r="F11790"/>
      <c r="G11790"/>
      <c r="H11790"/>
      <c r="I11790"/>
    </row>
    <row r="11791" spans="6:9" x14ac:dyDescent="0.3">
      <c r="F11791"/>
      <c r="G11791"/>
      <c r="H11791"/>
      <c r="I11791"/>
    </row>
    <row r="11792" spans="6:9" x14ac:dyDescent="0.3">
      <c r="F11792"/>
      <c r="G11792"/>
      <c r="H11792"/>
      <c r="I11792"/>
    </row>
    <row r="11793" spans="6:9" x14ac:dyDescent="0.3">
      <c r="F11793"/>
      <c r="G11793"/>
      <c r="H11793"/>
      <c r="I11793"/>
    </row>
    <row r="11794" spans="6:9" x14ac:dyDescent="0.3">
      <c r="F11794"/>
      <c r="G11794"/>
      <c r="H11794"/>
      <c r="I11794"/>
    </row>
    <row r="11795" spans="6:9" x14ac:dyDescent="0.3">
      <c r="F11795"/>
      <c r="G11795"/>
      <c r="H11795"/>
      <c r="I11795"/>
    </row>
    <row r="11796" spans="6:9" x14ac:dyDescent="0.3">
      <c r="F11796"/>
      <c r="G11796"/>
      <c r="H11796"/>
      <c r="I11796"/>
    </row>
    <row r="11797" spans="6:9" x14ac:dyDescent="0.3">
      <c r="F11797"/>
      <c r="G11797"/>
      <c r="H11797"/>
      <c r="I11797"/>
    </row>
    <row r="11798" spans="6:9" x14ac:dyDescent="0.3">
      <c r="F11798"/>
      <c r="G11798"/>
      <c r="H11798"/>
      <c r="I11798"/>
    </row>
    <row r="11799" spans="6:9" x14ac:dyDescent="0.3">
      <c r="F11799"/>
      <c r="G11799"/>
      <c r="H11799"/>
      <c r="I11799"/>
    </row>
    <row r="11800" spans="6:9" x14ac:dyDescent="0.3">
      <c r="F11800"/>
      <c r="G11800"/>
      <c r="H11800"/>
      <c r="I11800"/>
    </row>
    <row r="11801" spans="6:9" x14ac:dyDescent="0.3">
      <c r="F11801"/>
      <c r="G11801"/>
      <c r="H11801"/>
      <c r="I11801"/>
    </row>
    <row r="11802" spans="6:9" x14ac:dyDescent="0.3">
      <c r="F11802"/>
      <c r="G11802"/>
      <c r="H11802"/>
      <c r="I11802"/>
    </row>
    <row r="11803" spans="6:9" x14ac:dyDescent="0.3">
      <c r="F11803"/>
      <c r="G11803"/>
      <c r="H11803"/>
      <c r="I11803"/>
    </row>
    <row r="11804" spans="6:9" x14ac:dyDescent="0.3">
      <c r="F11804"/>
      <c r="G11804"/>
      <c r="H11804"/>
      <c r="I11804"/>
    </row>
    <row r="11805" spans="6:9" x14ac:dyDescent="0.3">
      <c r="F11805"/>
      <c r="G11805"/>
      <c r="H11805"/>
      <c r="I11805"/>
    </row>
    <row r="11806" spans="6:9" x14ac:dyDescent="0.3">
      <c r="F11806"/>
      <c r="G11806"/>
      <c r="H11806"/>
      <c r="I11806"/>
    </row>
    <row r="11807" spans="6:9" x14ac:dyDescent="0.3">
      <c r="F11807"/>
      <c r="G11807"/>
      <c r="H11807"/>
      <c r="I11807"/>
    </row>
    <row r="11808" spans="6:9" x14ac:dyDescent="0.3">
      <c r="F11808"/>
      <c r="G11808"/>
      <c r="H11808"/>
      <c r="I11808"/>
    </row>
    <row r="11809" spans="6:9" x14ac:dyDescent="0.3">
      <c r="F11809"/>
      <c r="G11809"/>
      <c r="H11809"/>
      <c r="I11809"/>
    </row>
    <row r="11810" spans="6:9" x14ac:dyDescent="0.3">
      <c r="F11810"/>
      <c r="G11810"/>
      <c r="H11810"/>
      <c r="I11810"/>
    </row>
    <row r="11811" spans="6:9" x14ac:dyDescent="0.3">
      <c r="F11811"/>
      <c r="G11811"/>
      <c r="H11811"/>
      <c r="I11811"/>
    </row>
    <row r="11812" spans="6:9" x14ac:dyDescent="0.3">
      <c r="F11812"/>
      <c r="G11812"/>
      <c r="H11812"/>
      <c r="I11812"/>
    </row>
    <row r="11813" spans="6:9" x14ac:dyDescent="0.3">
      <c r="F11813"/>
      <c r="G11813"/>
      <c r="H11813"/>
      <c r="I11813"/>
    </row>
    <row r="11814" spans="6:9" x14ac:dyDescent="0.3">
      <c r="F11814"/>
      <c r="G11814"/>
      <c r="H11814"/>
      <c r="I11814"/>
    </row>
    <row r="11815" spans="6:9" x14ac:dyDescent="0.3">
      <c r="F11815"/>
      <c r="G11815"/>
      <c r="H11815"/>
      <c r="I11815"/>
    </row>
    <row r="11816" spans="6:9" x14ac:dyDescent="0.3">
      <c r="F11816"/>
      <c r="G11816"/>
      <c r="H11816"/>
      <c r="I11816"/>
    </row>
    <row r="11817" spans="6:9" x14ac:dyDescent="0.3">
      <c r="F11817"/>
      <c r="G11817"/>
      <c r="H11817"/>
      <c r="I11817"/>
    </row>
    <row r="11818" spans="6:9" x14ac:dyDescent="0.3">
      <c r="F11818"/>
      <c r="G11818"/>
      <c r="H11818"/>
      <c r="I11818"/>
    </row>
    <row r="11819" spans="6:9" x14ac:dyDescent="0.3">
      <c r="F11819"/>
      <c r="G11819"/>
      <c r="H11819"/>
      <c r="I11819"/>
    </row>
    <row r="11820" spans="6:9" x14ac:dyDescent="0.3">
      <c r="F11820"/>
      <c r="G11820"/>
      <c r="H11820"/>
      <c r="I11820"/>
    </row>
    <row r="11821" spans="6:9" x14ac:dyDescent="0.3">
      <c r="F11821"/>
      <c r="G11821"/>
      <c r="H11821"/>
      <c r="I11821"/>
    </row>
    <row r="11822" spans="6:9" x14ac:dyDescent="0.3">
      <c r="F11822"/>
      <c r="G11822"/>
      <c r="H11822"/>
      <c r="I11822"/>
    </row>
    <row r="11823" spans="6:9" x14ac:dyDescent="0.3">
      <c r="F11823"/>
      <c r="G11823"/>
      <c r="H11823"/>
      <c r="I11823"/>
    </row>
    <row r="11824" spans="6:9" x14ac:dyDescent="0.3">
      <c r="F11824"/>
      <c r="G11824"/>
      <c r="H11824"/>
      <c r="I11824"/>
    </row>
    <row r="11825" spans="6:9" x14ac:dyDescent="0.3">
      <c r="F11825"/>
      <c r="G11825"/>
      <c r="H11825"/>
      <c r="I11825"/>
    </row>
    <row r="11826" spans="6:9" x14ac:dyDescent="0.3">
      <c r="F11826"/>
      <c r="G11826"/>
      <c r="H11826"/>
      <c r="I11826"/>
    </row>
    <row r="11827" spans="6:9" x14ac:dyDescent="0.3">
      <c r="F11827"/>
      <c r="G11827"/>
      <c r="H11827"/>
      <c r="I11827"/>
    </row>
    <row r="11828" spans="6:9" x14ac:dyDescent="0.3">
      <c r="F11828"/>
      <c r="G11828"/>
      <c r="H11828"/>
      <c r="I11828"/>
    </row>
    <row r="11829" spans="6:9" x14ac:dyDescent="0.3">
      <c r="F11829"/>
      <c r="G11829"/>
      <c r="H11829"/>
      <c r="I11829"/>
    </row>
    <row r="11830" spans="6:9" x14ac:dyDescent="0.3">
      <c r="F11830"/>
      <c r="G11830"/>
      <c r="H11830"/>
      <c r="I11830"/>
    </row>
    <row r="11831" spans="6:9" x14ac:dyDescent="0.3">
      <c r="F11831"/>
      <c r="G11831"/>
      <c r="H11831"/>
      <c r="I11831"/>
    </row>
    <row r="11832" spans="6:9" x14ac:dyDescent="0.3">
      <c r="F11832"/>
      <c r="G11832"/>
      <c r="H11832"/>
      <c r="I11832"/>
    </row>
    <row r="11833" spans="6:9" x14ac:dyDescent="0.3">
      <c r="F11833"/>
      <c r="G11833"/>
      <c r="H11833"/>
      <c r="I11833"/>
    </row>
    <row r="11834" spans="6:9" x14ac:dyDescent="0.3">
      <c r="F11834"/>
      <c r="G11834"/>
      <c r="H11834"/>
      <c r="I11834"/>
    </row>
    <row r="11835" spans="6:9" x14ac:dyDescent="0.3">
      <c r="F11835"/>
      <c r="G11835"/>
      <c r="H11835"/>
      <c r="I11835"/>
    </row>
    <row r="11836" spans="6:9" x14ac:dyDescent="0.3">
      <c r="F11836"/>
      <c r="G11836"/>
      <c r="H11836"/>
      <c r="I11836"/>
    </row>
    <row r="11837" spans="6:9" x14ac:dyDescent="0.3">
      <c r="F11837"/>
      <c r="G11837"/>
      <c r="H11837"/>
      <c r="I11837"/>
    </row>
    <row r="11838" spans="6:9" x14ac:dyDescent="0.3">
      <c r="F11838"/>
      <c r="G11838"/>
      <c r="H11838"/>
      <c r="I11838"/>
    </row>
    <row r="11839" spans="6:9" x14ac:dyDescent="0.3">
      <c r="F11839"/>
      <c r="G11839"/>
      <c r="H11839"/>
      <c r="I11839"/>
    </row>
    <row r="11840" spans="6:9" x14ac:dyDescent="0.3">
      <c r="F11840"/>
      <c r="G11840"/>
      <c r="H11840"/>
      <c r="I11840"/>
    </row>
    <row r="11841" spans="6:9" x14ac:dyDescent="0.3">
      <c r="F11841"/>
      <c r="G11841"/>
      <c r="H11841"/>
      <c r="I11841"/>
    </row>
    <row r="11842" spans="6:9" x14ac:dyDescent="0.3">
      <c r="F11842"/>
      <c r="G11842"/>
      <c r="H11842"/>
      <c r="I11842"/>
    </row>
    <row r="11843" spans="6:9" x14ac:dyDescent="0.3">
      <c r="F11843"/>
      <c r="G11843"/>
      <c r="H11843"/>
      <c r="I11843"/>
    </row>
    <row r="11844" spans="6:9" x14ac:dyDescent="0.3">
      <c r="F11844"/>
      <c r="G11844"/>
      <c r="H11844"/>
      <c r="I11844"/>
    </row>
    <row r="11845" spans="6:9" x14ac:dyDescent="0.3">
      <c r="F11845"/>
      <c r="G11845"/>
      <c r="H11845"/>
      <c r="I11845"/>
    </row>
    <row r="11846" spans="6:9" x14ac:dyDescent="0.3">
      <c r="F11846"/>
      <c r="G11846"/>
      <c r="H11846"/>
      <c r="I11846"/>
    </row>
    <row r="11847" spans="6:9" x14ac:dyDescent="0.3">
      <c r="F11847"/>
      <c r="G11847"/>
      <c r="H11847"/>
      <c r="I11847"/>
    </row>
    <row r="11848" spans="6:9" x14ac:dyDescent="0.3">
      <c r="F11848"/>
      <c r="G11848"/>
      <c r="H11848"/>
      <c r="I11848"/>
    </row>
    <row r="11849" spans="6:9" x14ac:dyDescent="0.3">
      <c r="F11849"/>
      <c r="G11849"/>
      <c r="H11849"/>
      <c r="I11849"/>
    </row>
    <row r="11850" spans="6:9" x14ac:dyDescent="0.3">
      <c r="F11850"/>
      <c r="G11850"/>
      <c r="H11850"/>
      <c r="I11850"/>
    </row>
    <row r="11851" spans="6:9" x14ac:dyDescent="0.3">
      <c r="F11851"/>
      <c r="G11851"/>
      <c r="H11851"/>
      <c r="I11851"/>
    </row>
    <row r="11852" spans="6:9" x14ac:dyDescent="0.3">
      <c r="F11852"/>
      <c r="G11852"/>
      <c r="H11852"/>
      <c r="I11852"/>
    </row>
    <row r="11853" spans="6:9" x14ac:dyDescent="0.3">
      <c r="F11853"/>
      <c r="G11853"/>
      <c r="H11853"/>
      <c r="I11853"/>
    </row>
    <row r="11854" spans="6:9" x14ac:dyDescent="0.3">
      <c r="F11854"/>
      <c r="G11854"/>
      <c r="H11854"/>
      <c r="I11854"/>
    </row>
    <row r="11855" spans="6:9" x14ac:dyDescent="0.3">
      <c r="F11855"/>
      <c r="G11855"/>
      <c r="H11855"/>
      <c r="I11855"/>
    </row>
    <row r="11856" spans="6:9" x14ac:dyDescent="0.3">
      <c r="F11856"/>
      <c r="G11856"/>
      <c r="H11856"/>
      <c r="I11856"/>
    </row>
    <row r="11857" spans="6:9" x14ac:dyDescent="0.3">
      <c r="F11857"/>
      <c r="G11857"/>
      <c r="H11857"/>
      <c r="I11857"/>
    </row>
    <row r="11858" spans="6:9" x14ac:dyDescent="0.3">
      <c r="F11858"/>
      <c r="G11858"/>
      <c r="H11858"/>
      <c r="I11858"/>
    </row>
    <row r="11859" spans="6:9" x14ac:dyDescent="0.3">
      <c r="F11859"/>
      <c r="G11859"/>
      <c r="H11859"/>
      <c r="I11859"/>
    </row>
    <row r="11860" spans="6:9" x14ac:dyDescent="0.3">
      <c r="F11860"/>
      <c r="G11860"/>
      <c r="H11860"/>
      <c r="I11860"/>
    </row>
    <row r="11861" spans="6:9" x14ac:dyDescent="0.3">
      <c r="F11861"/>
      <c r="G11861"/>
      <c r="H11861"/>
      <c r="I11861"/>
    </row>
    <row r="11862" spans="6:9" x14ac:dyDescent="0.3">
      <c r="F11862"/>
      <c r="G11862"/>
      <c r="H11862"/>
      <c r="I11862"/>
    </row>
    <row r="11863" spans="6:9" x14ac:dyDescent="0.3">
      <c r="F11863"/>
      <c r="G11863"/>
      <c r="H11863"/>
      <c r="I11863"/>
    </row>
    <row r="11864" spans="6:9" x14ac:dyDescent="0.3">
      <c r="F11864"/>
      <c r="G11864"/>
      <c r="H11864"/>
      <c r="I11864"/>
    </row>
    <row r="11865" spans="6:9" x14ac:dyDescent="0.3">
      <c r="F11865"/>
      <c r="G11865"/>
      <c r="H11865"/>
      <c r="I11865"/>
    </row>
    <row r="11866" spans="6:9" x14ac:dyDescent="0.3">
      <c r="F11866"/>
      <c r="G11866"/>
      <c r="H11866"/>
      <c r="I11866"/>
    </row>
    <row r="11867" spans="6:9" x14ac:dyDescent="0.3">
      <c r="F11867"/>
      <c r="G11867"/>
      <c r="H11867"/>
      <c r="I11867"/>
    </row>
    <row r="11868" spans="6:9" x14ac:dyDescent="0.3">
      <c r="F11868"/>
      <c r="G11868"/>
      <c r="H11868"/>
      <c r="I11868"/>
    </row>
    <row r="11869" spans="6:9" x14ac:dyDescent="0.3">
      <c r="F11869"/>
      <c r="G11869"/>
      <c r="H11869"/>
      <c r="I11869"/>
    </row>
    <row r="11870" spans="6:9" x14ac:dyDescent="0.3">
      <c r="F11870"/>
      <c r="G11870"/>
      <c r="H11870"/>
      <c r="I11870"/>
    </row>
    <row r="11871" spans="6:9" x14ac:dyDescent="0.3">
      <c r="F11871"/>
      <c r="G11871"/>
      <c r="H11871"/>
      <c r="I11871"/>
    </row>
    <row r="11872" spans="6:9" x14ac:dyDescent="0.3">
      <c r="F11872"/>
      <c r="G11872"/>
      <c r="H11872"/>
      <c r="I11872"/>
    </row>
    <row r="11873" spans="6:9" x14ac:dyDescent="0.3">
      <c r="F11873"/>
      <c r="G11873"/>
      <c r="H11873"/>
      <c r="I11873"/>
    </row>
    <row r="11874" spans="6:9" x14ac:dyDescent="0.3">
      <c r="F11874"/>
      <c r="G11874"/>
      <c r="H11874"/>
      <c r="I11874"/>
    </row>
    <row r="11875" spans="6:9" x14ac:dyDescent="0.3">
      <c r="F11875"/>
      <c r="G11875"/>
      <c r="H11875"/>
      <c r="I11875"/>
    </row>
    <row r="11876" spans="6:9" x14ac:dyDescent="0.3">
      <c r="F11876"/>
      <c r="G11876"/>
      <c r="H11876"/>
      <c r="I11876"/>
    </row>
    <row r="11877" spans="6:9" x14ac:dyDescent="0.3">
      <c r="F11877"/>
      <c r="G11877"/>
      <c r="H11877"/>
      <c r="I11877"/>
    </row>
    <row r="11878" spans="6:9" x14ac:dyDescent="0.3">
      <c r="F11878"/>
      <c r="G11878"/>
      <c r="H11878"/>
      <c r="I11878"/>
    </row>
    <row r="11879" spans="6:9" x14ac:dyDescent="0.3">
      <c r="F11879"/>
      <c r="G11879"/>
      <c r="H11879"/>
      <c r="I11879"/>
    </row>
    <row r="11880" spans="6:9" x14ac:dyDescent="0.3">
      <c r="F11880"/>
      <c r="G11880"/>
      <c r="H11880"/>
      <c r="I11880"/>
    </row>
    <row r="11881" spans="6:9" x14ac:dyDescent="0.3">
      <c r="F11881"/>
      <c r="G11881"/>
      <c r="H11881"/>
      <c r="I11881"/>
    </row>
    <row r="11882" spans="6:9" x14ac:dyDescent="0.3">
      <c r="F11882"/>
      <c r="G11882"/>
      <c r="H11882"/>
      <c r="I11882"/>
    </row>
    <row r="11883" spans="6:9" x14ac:dyDescent="0.3">
      <c r="F11883"/>
      <c r="G11883"/>
      <c r="H11883"/>
      <c r="I11883"/>
    </row>
    <row r="11884" spans="6:9" x14ac:dyDescent="0.3">
      <c r="F11884"/>
      <c r="G11884"/>
      <c r="H11884"/>
      <c r="I11884"/>
    </row>
    <row r="11885" spans="6:9" x14ac:dyDescent="0.3">
      <c r="F11885"/>
      <c r="G11885"/>
      <c r="H11885"/>
      <c r="I11885"/>
    </row>
    <row r="11886" spans="6:9" x14ac:dyDescent="0.3">
      <c r="F11886"/>
      <c r="G11886"/>
      <c r="H11886"/>
      <c r="I11886"/>
    </row>
    <row r="11887" spans="6:9" x14ac:dyDescent="0.3">
      <c r="F11887"/>
      <c r="G11887"/>
      <c r="H11887"/>
      <c r="I11887"/>
    </row>
    <row r="11888" spans="6:9" x14ac:dyDescent="0.3">
      <c r="F11888"/>
      <c r="G11888"/>
      <c r="H11888"/>
      <c r="I11888"/>
    </row>
    <row r="11889" spans="6:9" x14ac:dyDescent="0.3">
      <c r="F11889"/>
      <c r="G11889"/>
      <c r="H11889"/>
      <c r="I11889"/>
    </row>
    <row r="11890" spans="6:9" x14ac:dyDescent="0.3">
      <c r="F11890"/>
      <c r="G11890"/>
      <c r="H11890"/>
      <c r="I11890"/>
    </row>
    <row r="11891" spans="6:9" x14ac:dyDescent="0.3">
      <c r="F11891"/>
      <c r="G11891"/>
      <c r="H11891"/>
      <c r="I11891"/>
    </row>
    <row r="11892" spans="6:9" x14ac:dyDescent="0.3">
      <c r="F11892"/>
      <c r="G11892"/>
      <c r="H11892"/>
      <c r="I11892"/>
    </row>
    <row r="11893" spans="6:9" x14ac:dyDescent="0.3">
      <c r="F11893"/>
      <c r="G11893"/>
      <c r="H11893"/>
      <c r="I11893"/>
    </row>
    <row r="11894" spans="6:9" x14ac:dyDescent="0.3">
      <c r="F11894"/>
      <c r="G11894"/>
      <c r="H11894"/>
      <c r="I11894"/>
    </row>
    <row r="11895" spans="6:9" x14ac:dyDescent="0.3">
      <c r="F11895"/>
      <c r="G11895"/>
      <c r="H11895"/>
      <c r="I11895"/>
    </row>
    <row r="11896" spans="6:9" x14ac:dyDescent="0.3">
      <c r="F11896"/>
      <c r="G11896"/>
      <c r="H11896"/>
      <c r="I11896"/>
    </row>
    <row r="11897" spans="6:9" x14ac:dyDescent="0.3">
      <c r="F11897"/>
      <c r="G11897"/>
      <c r="H11897"/>
      <c r="I11897"/>
    </row>
    <row r="11898" spans="6:9" x14ac:dyDescent="0.3">
      <c r="F11898"/>
      <c r="G11898"/>
      <c r="H11898"/>
      <c r="I11898"/>
    </row>
    <row r="11899" spans="6:9" x14ac:dyDescent="0.3">
      <c r="F11899"/>
      <c r="G11899"/>
      <c r="H11899"/>
      <c r="I11899"/>
    </row>
    <row r="11900" spans="6:9" x14ac:dyDescent="0.3">
      <c r="F11900"/>
      <c r="G11900"/>
      <c r="H11900"/>
      <c r="I11900"/>
    </row>
    <row r="11901" spans="6:9" x14ac:dyDescent="0.3">
      <c r="F11901"/>
      <c r="G11901"/>
      <c r="H11901"/>
      <c r="I11901"/>
    </row>
    <row r="11902" spans="6:9" x14ac:dyDescent="0.3">
      <c r="F11902"/>
      <c r="G11902"/>
      <c r="H11902"/>
      <c r="I11902"/>
    </row>
    <row r="11903" spans="6:9" x14ac:dyDescent="0.3">
      <c r="F11903"/>
      <c r="G11903"/>
      <c r="H11903"/>
      <c r="I11903"/>
    </row>
    <row r="11904" spans="6:9" x14ac:dyDescent="0.3">
      <c r="F11904"/>
      <c r="G11904"/>
      <c r="H11904"/>
      <c r="I11904"/>
    </row>
    <row r="11905" spans="6:9" x14ac:dyDescent="0.3">
      <c r="F11905"/>
      <c r="G11905"/>
      <c r="H11905"/>
      <c r="I11905"/>
    </row>
    <row r="11906" spans="6:9" x14ac:dyDescent="0.3">
      <c r="F11906"/>
      <c r="G11906"/>
      <c r="H11906"/>
      <c r="I11906"/>
    </row>
    <row r="11907" spans="6:9" x14ac:dyDescent="0.3">
      <c r="F11907"/>
      <c r="G11907"/>
      <c r="H11907"/>
      <c r="I11907"/>
    </row>
    <row r="11908" spans="6:9" x14ac:dyDescent="0.3">
      <c r="F11908"/>
      <c r="G11908"/>
      <c r="H11908"/>
      <c r="I11908"/>
    </row>
    <row r="11909" spans="6:9" x14ac:dyDescent="0.3">
      <c r="F11909"/>
      <c r="G11909"/>
      <c r="H11909"/>
      <c r="I11909"/>
    </row>
    <row r="11910" spans="6:9" x14ac:dyDescent="0.3">
      <c r="F11910"/>
      <c r="G11910"/>
      <c r="H11910"/>
      <c r="I11910"/>
    </row>
    <row r="11911" spans="6:9" x14ac:dyDescent="0.3">
      <c r="F11911"/>
      <c r="G11911"/>
      <c r="H11911"/>
      <c r="I11911"/>
    </row>
    <row r="11912" spans="6:9" x14ac:dyDescent="0.3">
      <c r="F11912"/>
      <c r="G11912"/>
      <c r="H11912"/>
      <c r="I11912"/>
    </row>
    <row r="11913" spans="6:9" x14ac:dyDescent="0.3">
      <c r="F11913"/>
      <c r="G11913"/>
      <c r="H11913"/>
      <c r="I11913"/>
    </row>
    <row r="11914" spans="6:9" x14ac:dyDescent="0.3">
      <c r="F11914"/>
      <c r="G11914"/>
      <c r="H11914"/>
      <c r="I11914"/>
    </row>
    <row r="11915" spans="6:9" x14ac:dyDescent="0.3">
      <c r="F11915"/>
      <c r="G11915"/>
      <c r="H11915"/>
      <c r="I11915"/>
    </row>
    <row r="11916" spans="6:9" x14ac:dyDescent="0.3">
      <c r="F11916"/>
      <c r="G11916"/>
      <c r="H11916"/>
      <c r="I11916"/>
    </row>
    <row r="11917" spans="6:9" x14ac:dyDescent="0.3">
      <c r="F11917"/>
      <c r="G11917"/>
      <c r="H11917"/>
      <c r="I11917"/>
    </row>
    <row r="11918" spans="6:9" x14ac:dyDescent="0.3">
      <c r="F11918"/>
      <c r="G11918"/>
      <c r="H11918"/>
      <c r="I11918"/>
    </row>
    <row r="11919" spans="6:9" x14ac:dyDescent="0.3">
      <c r="F11919"/>
      <c r="G11919"/>
      <c r="H11919"/>
      <c r="I11919"/>
    </row>
    <row r="11920" spans="6:9" x14ac:dyDescent="0.3">
      <c r="F11920"/>
      <c r="G11920"/>
      <c r="H11920"/>
      <c r="I11920"/>
    </row>
    <row r="11921" spans="6:9" x14ac:dyDescent="0.3">
      <c r="F11921"/>
      <c r="G11921"/>
      <c r="H11921"/>
      <c r="I11921"/>
    </row>
    <row r="11922" spans="6:9" x14ac:dyDescent="0.3">
      <c r="F11922"/>
      <c r="G11922"/>
      <c r="H11922"/>
      <c r="I11922"/>
    </row>
    <row r="11923" spans="6:9" x14ac:dyDescent="0.3">
      <c r="F11923"/>
      <c r="G11923"/>
      <c r="H11923"/>
      <c r="I11923"/>
    </row>
    <row r="11924" spans="6:9" x14ac:dyDescent="0.3">
      <c r="F11924"/>
      <c r="G11924"/>
      <c r="H11924"/>
      <c r="I11924"/>
    </row>
    <row r="11925" spans="6:9" x14ac:dyDescent="0.3">
      <c r="F11925"/>
      <c r="G11925"/>
      <c r="H11925"/>
      <c r="I11925"/>
    </row>
    <row r="11926" spans="6:9" x14ac:dyDescent="0.3">
      <c r="F11926"/>
      <c r="G11926"/>
      <c r="H11926"/>
      <c r="I11926"/>
    </row>
    <row r="11927" spans="6:9" x14ac:dyDescent="0.3">
      <c r="F11927"/>
      <c r="G11927"/>
      <c r="H11927"/>
      <c r="I11927"/>
    </row>
    <row r="11928" spans="6:9" x14ac:dyDescent="0.3">
      <c r="F11928"/>
      <c r="G11928"/>
      <c r="H11928"/>
      <c r="I11928"/>
    </row>
    <row r="11929" spans="6:9" x14ac:dyDescent="0.3">
      <c r="F11929"/>
      <c r="G11929"/>
      <c r="H11929"/>
      <c r="I11929"/>
    </row>
    <row r="11930" spans="6:9" x14ac:dyDescent="0.3">
      <c r="F11930"/>
      <c r="G11930"/>
      <c r="H11930"/>
      <c r="I11930"/>
    </row>
    <row r="11931" spans="6:9" x14ac:dyDescent="0.3">
      <c r="F11931"/>
      <c r="G11931"/>
      <c r="H11931"/>
      <c r="I11931"/>
    </row>
    <row r="11932" spans="6:9" x14ac:dyDescent="0.3">
      <c r="F11932"/>
      <c r="G11932"/>
      <c r="H11932"/>
      <c r="I11932"/>
    </row>
    <row r="11933" spans="6:9" x14ac:dyDescent="0.3">
      <c r="F11933"/>
      <c r="G11933"/>
      <c r="H11933"/>
      <c r="I11933"/>
    </row>
    <row r="11934" spans="6:9" x14ac:dyDescent="0.3">
      <c r="F11934"/>
      <c r="G11934"/>
      <c r="H11934"/>
      <c r="I11934"/>
    </row>
    <row r="11935" spans="6:9" x14ac:dyDescent="0.3">
      <c r="F11935"/>
      <c r="G11935"/>
      <c r="H11935"/>
      <c r="I11935"/>
    </row>
    <row r="11936" spans="6:9" x14ac:dyDescent="0.3">
      <c r="F11936"/>
      <c r="G11936"/>
      <c r="H11936"/>
      <c r="I11936"/>
    </row>
    <row r="11937" spans="6:9" x14ac:dyDescent="0.3">
      <c r="F11937"/>
      <c r="G11937"/>
      <c r="H11937"/>
      <c r="I11937"/>
    </row>
    <row r="11938" spans="6:9" x14ac:dyDescent="0.3">
      <c r="F11938"/>
      <c r="G11938"/>
      <c r="H11938"/>
      <c r="I11938"/>
    </row>
    <row r="11939" spans="6:9" x14ac:dyDescent="0.3">
      <c r="F11939"/>
      <c r="G11939"/>
      <c r="H11939"/>
      <c r="I11939"/>
    </row>
    <row r="11940" spans="6:9" x14ac:dyDescent="0.3">
      <c r="F11940"/>
      <c r="G11940"/>
      <c r="H11940"/>
      <c r="I11940"/>
    </row>
    <row r="11941" spans="6:9" x14ac:dyDescent="0.3">
      <c r="F11941"/>
      <c r="G11941"/>
      <c r="H11941"/>
      <c r="I11941"/>
    </row>
    <row r="11942" spans="6:9" x14ac:dyDescent="0.3">
      <c r="F11942"/>
      <c r="G11942"/>
      <c r="H11942"/>
      <c r="I11942"/>
    </row>
    <row r="11943" spans="6:9" x14ac:dyDescent="0.3">
      <c r="F11943"/>
      <c r="G11943"/>
      <c r="H11943"/>
      <c r="I11943"/>
    </row>
    <row r="11944" spans="6:9" x14ac:dyDescent="0.3">
      <c r="F11944"/>
      <c r="G11944"/>
      <c r="H11944"/>
      <c r="I11944"/>
    </row>
    <row r="11945" spans="6:9" x14ac:dyDescent="0.3">
      <c r="F11945"/>
      <c r="G11945"/>
      <c r="H11945"/>
      <c r="I11945"/>
    </row>
    <row r="11946" spans="6:9" x14ac:dyDescent="0.3">
      <c r="F11946"/>
      <c r="G11946"/>
      <c r="H11946"/>
      <c r="I11946"/>
    </row>
    <row r="11947" spans="6:9" x14ac:dyDescent="0.3">
      <c r="F11947"/>
      <c r="G11947"/>
      <c r="H11947"/>
      <c r="I11947"/>
    </row>
    <row r="11948" spans="6:9" x14ac:dyDescent="0.3">
      <c r="F11948"/>
      <c r="G11948"/>
      <c r="H11948"/>
      <c r="I11948"/>
    </row>
    <row r="11949" spans="6:9" x14ac:dyDescent="0.3">
      <c r="F11949"/>
      <c r="G11949"/>
      <c r="H11949"/>
      <c r="I11949"/>
    </row>
    <row r="11950" spans="6:9" x14ac:dyDescent="0.3">
      <c r="F11950"/>
      <c r="G11950"/>
      <c r="H11950"/>
      <c r="I11950"/>
    </row>
    <row r="11951" spans="6:9" x14ac:dyDescent="0.3">
      <c r="F11951"/>
      <c r="G11951"/>
      <c r="H11951"/>
      <c r="I11951"/>
    </row>
    <row r="11952" spans="6:9" x14ac:dyDescent="0.3">
      <c r="F11952"/>
      <c r="G11952"/>
      <c r="H11952"/>
      <c r="I11952"/>
    </row>
    <row r="11953" spans="6:9" x14ac:dyDescent="0.3">
      <c r="F11953"/>
      <c r="G11953"/>
      <c r="H11953"/>
      <c r="I11953"/>
    </row>
    <row r="11954" spans="6:9" x14ac:dyDescent="0.3">
      <c r="F11954"/>
      <c r="G11954"/>
      <c r="H11954"/>
      <c r="I11954"/>
    </row>
    <row r="11955" spans="6:9" x14ac:dyDescent="0.3">
      <c r="F11955"/>
      <c r="G11955"/>
      <c r="H11955"/>
      <c r="I11955"/>
    </row>
    <row r="11956" spans="6:9" x14ac:dyDescent="0.3">
      <c r="F11956"/>
      <c r="G11956"/>
      <c r="H11956"/>
      <c r="I11956"/>
    </row>
    <row r="11957" spans="6:9" x14ac:dyDescent="0.3">
      <c r="F11957"/>
      <c r="G11957"/>
      <c r="H11957"/>
      <c r="I11957"/>
    </row>
    <row r="11958" spans="6:9" x14ac:dyDescent="0.3">
      <c r="F11958"/>
      <c r="G11958"/>
      <c r="H11958"/>
      <c r="I11958"/>
    </row>
    <row r="11959" spans="6:9" x14ac:dyDescent="0.3">
      <c r="F11959"/>
      <c r="G11959"/>
      <c r="H11959"/>
      <c r="I11959"/>
    </row>
    <row r="11960" spans="6:9" x14ac:dyDescent="0.3">
      <c r="F11960"/>
      <c r="G11960"/>
      <c r="H11960"/>
      <c r="I11960"/>
    </row>
    <row r="11961" spans="6:9" x14ac:dyDescent="0.3">
      <c r="F11961"/>
      <c r="G11961"/>
      <c r="H11961"/>
      <c r="I11961"/>
    </row>
    <row r="11962" spans="6:9" x14ac:dyDescent="0.3">
      <c r="F11962"/>
      <c r="G11962"/>
      <c r="H11962"/>
      <c r="I11962"/>
    </row>
    <row r="11963" spans="6:9" x14ac:dyDescent="0.3">
      <c r="F11963"/>
      <c r="G11963"/>
      <c r="H11963"/>
      <c r="I11963"/>
    </row>
    <row r="11964" spans="6:9" x14ac:dyDescent="0.3">
      <c r="F11964"/>
      <c r="G11964"/>
      <c r="H11964"/>
      <c r="I11964"/>
    </row>
    <row r="11965" spans="6:9" x14ac:dyDescent="0.3">
      <c r="F11965"/>
      <c r="G11965"/>
      <c r="H11965"/>
      <c r="I11965"/>
    </row>
    <row r="11966" spans="6:9" x14ac:dyDescent="0.3">
      <c r="F11966"/>
      <c r="G11966"/>
      <c r="H11966"/>
      <c r="I11966"/>
    </row>
    <row r="11967" spans="6:9" x14ac:dyDescent="0.3">
      <c r="F11967"/>
      <c r="G11967"/>
      <c r="H11967"/>
      <c r="I11967"/>
    </row>
    <row r="11968" spans="6:9" x14ac:dyDescent="0.3">
      <c r="F11968"/>
      <c r="G11968"/>
      <c r="H11968"/>
      <c r="I11968"/>
    </row>
    <row r="11969" spans="6:9" x14ac:dyDescent="0.3">
      <c r="F11969"/>
      <c r="G11969"/>
      <c r="H11969"/>
      <c r="I11969"/>
    </row>
    <row r="11970" spans="6:9" x14ac:dyDescent="0.3">
      <c r="F11970"/>
      <c r="G11970"/>
      <c r="H11970"/>
      <c r="I11970"/>
    </row>
    <row r="11971" spans="6:9" x14ac:dyDescent="0.3">
      <c r="F11971"/>
      <c r="G11971"/>
      <c r="H11971"/>
      <c r="I11971"/>
    </row>
    <row r="11972" spans="6:9" x14ac:dyDescent="0.3">
      <c r="F11972"/>
      <c r="G11972"/>
      <c r="H11972"/>
      <c r="I11972"/>
    </row>
    <row r="11973" spans="6:9" x14ac:dyDescent="0.3">
      <c r="F11973"/>
      <c r="G11973"/>
      <c r="H11973"/>
      <c r="I11973"/>
    </row>
    <row r="11974" spans="6:9" x14ac:dyDescent="0.3">
      <c r="F11974"/>
      <c r="G11974"/>
      <c r="H11974"/>
      <c r="I11974"/>
    </row>
    <row r="11975" spans="6:9" x14ac:dyDescent="0.3">
      <c r="F11975"/>
      <c r="G11975"/>
      <c r="H11975"/>
      <c r="I11975"/>
    </row>
    <row r="11976" spans="6:9" x14ac:dyDescent="0.3">
      <c r="F11976"/>
      <c r="G11976"/>
      <c r="H11976"/>
      <c r="I11976"/>
    </row>
    <row r="11977" spans="6:9" x14ac:dyDescent="0.3">
      <c r="F11977"/>
      <c r="G11977"/>
      <c r="H11977"/>
      <c r="I11977"/>
    </row>
    <row r="11978" spans="6:9" x14ac:dyDescent="0.3">
      <c r="F11978"/>
      <c r="G11978"/>
      <c r="H11978"/>
      <c r="I11978"/>
    </row>
    <row r="11979" spans="6:9" x14ac:dyDescent="0.3">
      <c r="F11979"/>
      <c r="G11979"/>
      <c r="H11979"/>
      <c r="I11979"/>
    </row>
    <row r="11980" spans="6:9" x14ac:dyDescent="0.3">
      <c r="F11980"/>
      <c r="G11980"/>
      <c r="H11980"/>
      <c r="I11980"/>
    </row>
    <row r="11981" spans="6:9" x14ac:dyDescent="0.3">
      <c r="F11981"/>
      <c r="G11981"/>
      <c r="H11981"/>
      <c r="I11981"/>
    </row>
    <row r="11982" spans="6:9" x14ac:dyDescent="0.3">
      <c r="F11982"/>
      <c r="G11982"/>
      <c r="H11982"/>
      <c r="I11982"/>
    </row>
    <row r="11983" spans="6:9" x14ac:dyDescent="0.3">
      <c r="F11983"/>
      <c r="G11983"/>
      <c r="H11983"/>
      <c r="I11983"/>
    </row>
    <row r="11984" spans="6:9" x14ac:dyDescent="0.3">
      <c r="F11984"/>
      <c r="G11984"/>
      <c r="H11984"/>
      <c r="I11984"/>
    </row>
    <row r="11985" spans="6:9" x14ac:dyDescent="0.3">
      <c r="F11985"/>
      <c r="G11985"/>
      <c r="H11985"/>
      <c r="I11985"/>
    </row>
    <row r="11986" spans="6:9" x14ac:dyDescent="0.3">
      <c r="F11986"/>
      <c r="G11986"/>
      <c r="H11986"/>
      <c r="I11986"/>
    </row>
    <row r="11987" spans="6:9" x14ac:dyDescent="0.3">
      <c r="F11987"/>
      <c r="G11987"/>
      <c r="H11987"/>
      <c r="I11987"/>
    </row>
    <row r="11988" spans="6:9" x14ac:dyDescent="0.3">
      <c r="F11988"/>
      <c r="G11988"/>
      <c r="H11988"/>
      <c r="I11988"/>
    </row>
    <row r="11989" spans="6:9" x14ac:dyDescent="0.3">
      <c r="F11989"/>
      <c r="G11989"/>
      <c r="H11989"/>
      <c r="I11989"/>
    </row>
    <row r="11990" spans="6:9" x14ac:dyDescent="0.3">
      <c r="F11990"/>
      <c r="G11990"/>
      <c r="H11990"/>
      <c r="I11990"/>
    </row>
    <row r="11991" spans="6:9" x14ac:dyDescent="0.3">
      <c r="F11991"/>
      <c r="G11991"/>
      <c r="H11991"/>
      <c r="I11991"/>
    </row>
    <row r="11992" spans="6:9" x14ac:dyDescent="0.3">
      <c r="F11992"/>
      <c r="G11992"/>
      <c r="H11992"/>
      <c r="I11992"/>
    </row>
    <row r="11993" spans="6:9" x14ac:dyDescent="0.3">
      <c r="F11993"/>
      <c r="G11993"/>
      <c r="H11993"/>
      <c r="I11993"/>
    </row>
    <row r="11994" spans="6:9" x14ac:dyDescent="0.3">
      <c r="F11994"/>
      <c r="G11994"/>
      <c r="H11994"/>
      <c r="I11994"/>
    </row>
    <row r="11995" spans="6:9" x14ac:dyDescent="0.3">
      <c r="F11995"/>
      <c r="G11995"/>
      <c r="H11995"/>
      <c r="I11995"/>
    </row>
    <row r="11996" spans="6:9" x14ac:dyDescent="0.3">
      <c r="F11996"/>
      <c r="G11996"/>
      <c r="H11996"/>
      <c r="I11996"/>
    </row>
    <row r="11997" spans="6:9" x14ac:dyDescent="0.3">
      <c r="F11997"/>
      <c r="G11997"/>
      <c r="H11997"/>
      <c r="I11997"/>
    </row>
    <row r="11998" spans="6:9" x14ac:dyDescent="0.3">
      <c r="F11998"/>
      <c r="G11998"/>
      <c r="H11998"/>
      <c r="I11998"/>
    </row>
    <row r="11999" spans="6:9" x14ac:dyDescent="0.3">
      <c r="F11999"/>
      <c r="G11999"/>
      <c r="H11999"/>
      <c r="I11999"/>
    </row>
    <row r="12000" spans="6:9" x14ac:dyDescent="0.3">
      <c r="F12000"/>
      <c r="G12000"/>
      <c r="H12000"/>
      <c r="I12000"/>
    </row>
    <row r="12001" spans="6:9" x14ac:dyDescent="0.3">
      <c r="F12001"/>
      <c r="G12001"/>
      <c r="H12001"/>
      <c r="I12001"/>
    </row>
    <row r="12002" spans="6:9" x14ac:dyDescent="0.3">
      <c r="F12002"/>
      <c r="G12002"/>
      <c r="H12002"/>
      <c r="I12002"/>
    </row>
    <row r="12003" spans="6:9" x14ac:dyDescent="0.3">
      <c r="F12003"/>
      <c r="G12003"/>
      <c r="H12003"/>
      <c r="I12003"/>
    </row>
    <row r="12004" spans="6:9" x14ac:dyDescent="0.3">
      <c r="F12004"/>
      <c r="G12004"/>
      <c r="H12004"/>
      <c r="I12004"/>
    </row>
    <row r="12005" spans="6:9" x14ac:dyDescent="0.3">
      <c r="F12005"/>
      <c r="G12005"/>
      <c r="H12005"/>
      <c r="I12005"/>
    </row>
    <row r="12006" spans="6:9" x14ac:dyDescent="0.3">
      <c r="F12006"/>
      <c r="G12006"/>
      <c r="H12006"/>
      <c r="I12006"/>
    </row>
    <row r="12007" spans="6:9" x14ac:dyDescent="0.3">
      <c r="F12007"/>
      <c r="G12007"/>
      <c r="H12007"/>
      <c r="I12007"/>
    </row>
    <row r="12008" spans="6:9" x14ac:dyDescent="0.3">
      <c r="F12008"/>
      <c r="G12008"/>
      <c r="H12008"/>
      <c r="I12008"/>
    </row>
    <row r="12009" spans="6:9" x14ac:dyDescent="0.3">
      <c r="F12009"/>
      <c r="G12009"/>
      <c r="H12009"/>
      <c r="I12009"/>
    </row>
    <row r="12010" spans="6:9" x14ac:dyDescent="0.3">
      <c r="F12010"/>
      <c r="G12010"/>
      <c r="H12010"/>
      <c r="I12010"/>
    </row>
    <row r="12011" spans="6:9" x14ac:dyDescent="0.3">
      <c r="F12011"/>
      <c r="G12011"/>
      <c r="H12011"/>
      <c r="I12011"/>
    </row>
    <row r="12012" spans="6:9" x14ac:dyDescent="0.3">
      <c r="F12012"/>
      <c r="G12012"/>
      <c r="H12012"/>
      <c r="I12012"/>
    </row>
    <row r="12013" spans="6:9" x14ac:dyDescent="0.3">
      <c r="F12013"/>
      <c r="G12013"/>
      <c r="H12013"/>
      <c r="I12013"/>
    </row>
    <row r="12014" spans="6:9" x14ac:dyDescent="0.3">
      <c r="F12014"/>
      <c r="G12014"/>
      <c r="H12014"/>
      <c r="I12014"/>
    </row>
    <row r="12015" spans="6:9" x14ac:dyDescent="0.3">
      <c r="F12015"/>
      <c r="G12015"/>
      <c r="H12015"/>
      <c r="I12015"/>
    </row>
    <row r="12016" spans="6:9" x14ac:dyDescent="0.3">
      <c r="F12016"/>
      <c r="G12016"/>
      <c r="H12016"/>
      <c r="I12016"/>
    </row>
    <row r="12017" spans="6:9" x14ac:dyDescent="0.3">
      <c r="F12017"/>
      <c r="G12017"/>
      <c r="H12017"/>
      <c r="I12017"/>
    </row>
    <row r="12018" spans="6:9" x14ac:dyDescent="0.3">
      <c r="F12018"/>
      <c r="G12018"/>
      <c r="H12018"/>
      <c r="I12018"/>
    </row>
    <row r="12019" spans="6:9" x14ac:dyDescent="0.3">
      <c r="F12019"/>
      <c r="G12019"/>
      <c r="H12019"/>
      <c r="I12019"/>
    </row>
    <row r="12020" spans="6:9" x14ac:dyDescent="0.3">
      <c r="F12020"/>
      <c r="G12020"/>
      <c r="H12020"/>
      <c r="I12020"/>
    </row>
    <row r="12021" spans="6:9" x14ac:dyDescent="0.3">
      <c r="F12021"/>
      <c r="G12021"/>
      <c r="H12021"/>
      <c r="I12021"/>
    </row>
    <row r="12022" spans="6:9" x14ac:dyDescent="0.3">
      <c r="F12022"/>
      <c r="G12022"/>
      <c r="H12022"/>
      <c r="I12022"/>
    </row>
    <row r="12023" spans="6:9" x14ac:dyDescent="0.3">
      <c r="F12023"/>
      <c r="G12023"/>
      <c r="H12023"/>
      <c r="I12023"/>
    </row>
    <row r="12024" spans="6:9" x14ac:dyDescent="0.3">
      <c r="F12024"/>
      <c r="G12024"/>
      <c r="H12024"/>
      <c r="I12024"/>
    </row>
    <row r="12025" spans="6:9" x14ac:dyDescent="0.3">
      <c r="F12025"/>
      <c r="G12025"/>
      <c r="H12025"/>
      <c r="I12025"/>
    </row>
    <row r="12026" spans="6:9" x14ac:dyDescent="0.3">
      <c r="F12026"/>
      <c r="G12026"/>
      <c r="H12026"/>
      <c r="I12026"/>
    </row>
    <row r="12027" spans="6:9" x14ac:dyDescent="0.3">
      <c r="F12027"/>
      <c r="G12027"/>
      <c r="H12027"/>
      <c r="I12027"/>
    </row>
    <row r="12028" spans="6:9" x14ac:dyDescent="0.3">
      <c r="F12028"/>
      <c r="G12028"/>
      <c r="H12028"/>
      <c r="I12028"/>
    </row>
    <row r="12029" spans="6:9" x14ac:dyDescent="0.3">
      <c r="F12029"/>
      <c r="G12029"/>
      <c r="H12029"/>
      <c r="I12029"/>
    </row>
    <row r="12030" spans="6:9" x14ac:dyDescent="0.3">
      <c r="F12030"/>
      <c r="G12030"/>
      <c r="H12030"/>
      <c r="I12030"/>
    </row>
    <row r="12031" spans="6:9" x14ac:dyDescent="0.3">
      <c r="F12031"/>
      <c r="G12031"/>
      <c r="H12031"/>
      <c r="I12031"/>
    </row>
    <row r="12032" spans="6:9" x14ac:dyDescent="0.3">
      <c r="F12032"/>
      <c r="G12032"/>
      <c r="H12032"/>
      <c r="I12032"/>
    </row>
    <row r="12033" spans="6:9" x14ac:dyDescent="0.3">
      <c r="F12033"/>
      <c r="G12033"/>
      <c r="H12033"/>
      <c r="I12033"/>
    </row>
    <row r="12034" spans="6:9" x14ac:dyDescent="0.3">
      <c r="F12034"/>
      <c r="G12034"/>
      <c r="H12034"/>
      <c r="I12034"/>
    </row>
    <row r="12035" spans="6:9" x14ac:dyDescent="0.3">
      <c r="F12035"/>
      <c r="G12035"/>
      <c r="H12035"/>
      <c r="I12035"/>
    </row>
    <row r="12036" spans="6:9" x14ac:dyDescent="0.3">
      <c r="F12036"/>
      <c r="G12036"/>
      <c r="H12036"/>
      <c r="I12036"/>
    </row>
    <row r="12037" spans="6:9" x14ac:dyDescent="0.3">
      <c r="F12037"/>
      <c r="G12037"/>
      <c r="H12037"/>
      <c r="I12037"/>
    </row>
    <row r="12038" spans="6:9" x14ac:dyDescent="0.3">
      <c r="F12038"/>
      <c r="G12038"/>
      <c r="H12038"/>
      <c r="I12038"/>
    </row>
    <row r="12039" spans="6:9" x14ac:dyDescent="0.3">
      <c r="F12039"/>
      <c r="G12039"/>
      <c r="H12039"/>
      <c r="I12039"/>
    </row>
    <row r="12040" spans="6:9" x14ac:dyDescent="0.3">
      <c r="F12040"/>
      <c r="G12040"/>
      <c r="H12040"/>
      <c r="I12040"/>
    </row>
    <row r="12041" spans="6:9" x14ac:dyDescent="0.3">
      <c r="F12041"/>
      <c r="G12041"/>
      <c r="H12041"/>
      <c r="I12041"/>
    </row>
    <row r="12042" spans="6:9" x14ac:dyDescent="0.3">
      <c r="F12042"/>
      <c r="G12042"/>
      <c r="H12042"/>
      <c r="I12042"/>
    </row>
    <row r="12043" spans="6:9" x14ac:dyDescent="0.3">
      <c r="F12043"/>
      <c r="G12043"/>
      <c r="H12043"/>
      <c r="I12043"/>
    </row>
    <row r="12044" spans="6:9" x14ac:dyDescent="0.3">
      <c r="F12044"/>
      <c r="G12044"/>
      <c r="H12044"/>
      <c r="I12044"/>
    </row>
    <row r="12045" spans="6:9" x14ac:dyDescent="0.3">
      <c r="F12045"/>
      <c r="G12045"/>
      <c r="H12045"/>
      <c r="I12045"/>
    </row>
    <row r="12046" spans="6:9" x14ac:dyDescent="0.3">
      <c r="F12046"/>
      <c r="G12046"/>
      <c r="H12046"/>
      <c r="I12046"/>
    </row>
    <row r="12047" spans="6:9" x14ac:dyDescent="0.3">
      <c r="F12047"/>
      <c r="G12047"/>
      <c r="H12047"/>
      <c r="I12047"/>
    </row>
    <row r="12048" spans="6:9" x14ac:dyDescent="0.3">
      <c r="F12048"/>
      <c r="G12048"/>
      <c r="H12048"/>
      <c r="I12048"/>
    </row>
    <row r="12049" spans="6:9" x14ac:dyDescent="0.3">
      <c r="F12049"/>
      <c r="G12049"/>
      <c r="H12049"/>
      <c r="I12049"/>
    </row>
    <row r="12050" spans="6:9" x14ac:dyDescent="0.3">
      <c r="F12050"/>
      <c r="G12050"/>
      <c r="H12050"/>
      <c r="I12050"/>
    </row>
    <row r="12051" spans="6:9" x14ac:dyDescent="0.3">
      <c r="F12051"/>
      <c r="G12051"/>
      <c r="H12051"/>
      <c r="I12051"/>
    </row>
    <row r="12052" spans="6:9" x14ac:dyDescent="0.3">
      <c r="F12052"/>
      <c r="G12052"/>
      <c r="H12052"/>
      <c r="I12052"/>
    </row>
    <row r="12053" spans="6:9" x14ac:dyDescent="0.3">
      <c r="F12053"/>
      <c r="G12053"/>
      <c r="H12053"/>
      <c r="I12053"/>
    </row>
    <row r="12054" spans="6:9" x14ac:dyDescent="0.3">
      <c r="F12054"/>
      <c r="G12054"/>
      <c r="H12054"/>
      <c r="I12054"/>
    </row>
    <row r="12055" spans="6:9" x14ac:dyDescent="0.3">
      <c r="F12055"/>
      <c r="G12055"/>
      <c r="H12055"/>
      <c r="I12055"/>
    </row>
    <row r="12056" spans="6:9" x14ac:dyDescent="0.3">
      <c r="F12056"/>
      <c r="G12056"/>
      <c r="H12056"/>
      <c r="I12056"/>
    </row>
    <row r="12057" spans="6:9" x14ac:dyDescent="0.3">
      <c r="F12057"/>
      <c r="G12057"/>
      <c r="H12057"/>
      <c r="I12057"/>
    </row>
    <row r="12058" spans="6:9" x14ac:dyDescent="0.3">
      <c r="F12058"/>
      <c r="G12058"/>
      <c r="H12058"/>
      <c r="I12058"/>
    </row>
    <row r="12059" spans="6:9" x14ac:dyDescent="0.3">
      <c r="F12059"/>
      <c r="G12059"/>
      <c r="H12059"/>
      <c r="I12059"/>
    </row>
    <row r="12060" spans="6:9" x14ac:dyDescent="0.3">
      <c r="F12060"/>
      <c r="G12060"/>
      <c r="H12060"/>
      <c r="I12060"/>
    </row>
    <row r="12061" spans="6:9" x14ac:dyDescent="0.3">
      <c r="F12061"/>
      <c r="G12061"/>
      <c r="H12061"/>
      <c r="I12061"/>
    </row>
    <row r="12062" spans="6:9" x14ac:dyDescent="0.3">
      <c r="F12062"/>
      <c r="G12062"/>
      <c r="H12062"/>
      <c r="I12062"/>
    </row>
    <row r="12063" spans="6:9" x14ac:dyDescent="0.3">
      <c r="F12063"/>
      <c r="G12063"/>
      <c r="H12063"/>
      <c r="I12063"/>
    </row>
    <row r="12064" spans="6:9" x14ac:dyDescent="0.3">
      <c r="F12064"/>
      <c r="G12064"/>
      <c r="H12064"/>
      <c r="I12064"/>
    </row>
    <row r="12065" spans="6:9" x14ac:dyDescent="0.3">
      <c r="F12065"/>
      <c r="G12065"/>
      <c r="H12065"/>
      <c r="I12065"/>
    </row>
    <row r="12066" spans="6:9" x14ac:dyDescent="0.3">
      <c r="F12066"/>
      <c r="G12066"/>
      <c r="H12066"/>
      <c r="I12066"/>
    </row>
    <row r="12067" spans="6:9" x14ac:dyDescent="0.3">
      <c r="F12067"/>
      <c r="G12067"/>
      <c r="H12067"/>
      <c r="I12067"/>
    </row>
    <row r="12068" spans="6:9" x14ac:dyDescent="0.3">
      <c r="F12068"/>
      <c r="G12068"/>
      <c r="H12068"/>
      <c r="I12068"/>
    </row>
    <row r="12069" spans="6:9" x14ac:dyDescent="0.3">
      <c r="F12069"/>
      <c r="G12069"/>
      <c r="H12069"/>
      <c r="I12069"/>
    </row>
    <row r="12070" spans="6:9" x14ac:dyDescent="0.3">
      <c r="F12070"/>
      <c r="G12070"/>
      <c r="H12070"/>
      <c r="I12070"/>
    </row>
    <row r="12071" spans="6:9" x14ac:dyDescent="0.3">
      <c r="F12071"/>
      <c r="G12071"/>
      <c r="H12071"/>
      <c r="I12071"/>
    </row>
    <row r="12072" spans="6:9" x14ac:dyDescent="0.3">
      <c r="F12072"/>
      <c r="G12072"/>
      <c r="H12072"/>
      <c r="I12072"/>
    </row>
    <row r="12073" spans="6:9" x14ac:dyDescent="0.3">
      <c r="F12073"/>
      <c r="G12073"/>
      <c r="H12073"/>
      <c r="I12073"/>
    </row>
    <row r="12074" spans="6:9" x14ac:dyDescent="0.3">
      <c r="F12074"/>
      <c r="G12074"/>
      <c r="H12074"/>
      <c r="I12074"/>
    </row>
    <row r="12075" spans="6:9" x14ac:dyDescent="0.3">
      <c r="F12075"/>
      <c r="G12075"/>
      <c r="H12075"/>
      <c r="I12075"/>
    </row>
    <row r="12076" spans="6:9" x14ac:dyDescent="0.3">
      <c r="F12076"/>
      <c r="G12076"/>
      <c r="H12076"/>
      <c r="I12076"/>
    </row>
    <row r="12077" spans="6:9" x14ac:dyDescent="0.3">
      <c r="F12077"/>
      <c r="G12077"/>
      <c r="H12077"/>
      <c r="I12077"/>
    </row>
    <row r="12078" spans="6:9" x14ac:dyDescent="0.3">
      <c r="F12078"/>
      <c r="G12078"/>
      <c r="H12078"/>
      <c r="I12078"/>
    </row>
    <row r="12079" spans="6:9" x14ac:dyDescent="0.3">
      <c r="F12079"/>
      <c r="G12079"/>
      <c r="H12079"/>
      <c r="I12079"/>
    </row>
    <row r="12080" spans="6:9" x14ac:dyDescent="0.3">
      <c r="F12080"/>
      <c r="G12080"/>
      <c r="H12080"/>
      <c r="I12080"/>
    </row>
    <row r="12081" spans="6:9" x14ac:dyDescent="0.3">
      <c r="F12081"/>
      <c r="G12081"/>
      <c r="H12081"/>
      <c r="I12081"/>
    </row>
    <row r="12082" spans="6:9" x14ac:dyDescent="0.3">
      <c r="F12082"/>
      <c r="G12082"/>
      <c r="H12082"/>
      <c r="I12082"/>
    </row>
    <row r="12083" spans="6:9" x14ac:dyDescent="0.3">
      <c r="F12083"/>
      <c r="G12083"/>
      <c r="H12083"/>
      <c r="I12083"/>
    </row>
    <row r="12084" spans="6:9" x14ac:dyDescent="0.3">
      <c r="F12084"/>
      <c r="G12084"/>
      <c r="H12084"/>
      <c r="I12084"/>
    </row>
    <row r="12085" spans="6:9" x14ac:dyDescent="0.3">
      <c r="F12085"/>
      <c r="G12085"/>
      <c r="H12085"/>
      <c r="I12085"/>
    </row>
    <row r="12086" spans="6:9" x14ac:dyDescent="0.3">
      <c r="F12086"/>
      <c r="G12086"/>
      <c r="H12086"/>
      <c r="I12086"/>
    </row>
    <row r="12087" spans="6:9" x14ac:dyDescent="0.3">
      <c r="F12087"/>
      <c r="G12087"/>
      <c r="H12087"/>
      <c r="I12087"/>
    </row>
    <row r="12088" spans="6:9" x14ac:dyDescent="0.3">
      <c r="F12088"/>
      <c r="G12088"/>
      <c r="H12088"/>
      <c r="I12088"/>
    </row>
    <row r="12089" spans="6:9" x14ac:dyDescent="0.3">
      <c r="F12089"/>
      <c r="G12089"/>
      <c r="H12089"/>
      <c r="I12089"/>
    </row>
    <row r="12090" spans="6:9" x14ac:dyDescent="0.3">
      <c r="F12090"/>
      <c r="G12090"/>
      <c r="H12090"/>
      <c r="I12090"/>
    </row>
    <row r="12091" spans="6:9" x14ac:dyDescent="0.3">
      <c r="F12091"/>
      <c r="G12091"/>
      <c r="H12091"/>
      <c r="I12091"/>
    </row>
    <row r="12092" spans="6:9" x14ac:dyDescent="0.3">
      <c r="F12092"/>
      <c r="G12092"/>
      <c r="H12092"/>
      <c r="I12092"/>
    </row>
    <row r="12093" spans="6:9" x14ac:dyDescent="0.3">
      <c r="F12093"/>
      <c r="G12093"/>
      <c r="H12093"/>
      <c r="I12093"/>
    </row>
    <row r="12094" spans="6:9" x14ac:dyDescent="0.3">
      <c r="F12094"/>
      <c r="G12094"/>
      <c r="H12094"/>
      <c r="I12094"/>
    </row>
    <row r="12095" spans="6:9" x14ac:dyDescent="0.3">
      <c r="F12095"/>
      <c r="G12095"/>
      <c r="H12095"/>
      <c r="I12095"/>
    </row>
    <row r="12096" spans="6:9" x14ac:dyDescent="0.3">
      <c r="F12096"/>
      <c r="G12096"/>
      <c r="H12096"/>
      <c r="I12096"/>
    </row>
    <row r="12097" spans="6:9" x14ac:dyDescent="0.3">
      <c r="F12097"/>
      <c r="G12097"/>
      <c r="H12097"/>
      <c r="I12097"/>
    </row>
    <row r="12098" spans="6:9" x14ac:dyDescent="0.3">
      <c r="F12098"/>
      <c r="G12098"/>
      <c r="H12098"/>
      <c r="I12098"/>
    </row>
    <row r="12099" spans="6:9" x14ac:dyDescent="0.3">
      <c r="F12099"/>
      <c r="G12099"/>
      <c r="H12099"/>
      <c r="I12099"/>
    </row>
    <row r="12100" spans="6:9" x14ac:dyDescent="0.3">
      <c r="F12100"/>
      <c r="G12100"/>
      <c r="H12100"/>
      <c r="I12100"/>
    </row>
    <row r="12101" spans="6:9" x14ac:dyDescent="0.3">
      <c r="F12101"/>
      <c r="G12101"/>
      <c r="H12101"/>
      <c r="I12101"/>
    </row>
    <row r="12102" spans="6:9" x14ac:dyDescent="0.3">
      <c r="F12102"/>
      <c r="G12102"/>
      <c r="H12102"/>
      <c r="I12102"/>
    </row>
    <row r="12103" spans="6:9" x14ac:dyDescent="0.3">
      <c r="F12103"/>
      <c r="G12103"/>
      <c r="H12103"/>
      <c r="I12103"/>
    </row>
    <row r="12104" spans="6:9" x14ac:dyDescent="0.3">
      <c r="F12104"/>
      <c r="G12104"/>
      <c r="H12104"/>
      <c r="I12104"/>
    </row>
    <row r="12105" spans="6:9" x14ac:dyDescent="0.3">
      <c r="F12105"/>
      <c r="G12105"/>
      <c r="H12105"/>
      <c r="I12105"/>
    </row>
    <row r="12106" spans="6:9" x14ac:dyDescent="0.3">
      <c r="F12106"/>
      <c r="G12106"/>
      <c r="H12106"/>
      <c r="I12106"/>
    </row>
    <row r="12107" spans="6:9" x14ac:dyDescent="0.3">
      <c r="F12107"/>
      <c r="G12107"/>
      <c r="H12107"/>
      <c r="I12107"/>
    </row>
    <row r="12108" spans="6:9" x14ac:dyDescent="0.3">
      <c r="F12108"/>
      <c r="G12108"/>
      <c r="H12108"/>
      <c r="I12108"/>
    </row>
    <row r="12109" spans="6:9" x14ac:dyDescent="0.3">
      <c r="F12109"/>
      <c r="G12109"/>
      <c r="H12109"/>
      <c r="I12109"/>
    </row>
    <row r="12110" spans="6:9" x14ac:dyDescent="0.3">
      <c r="F12110"/>
      <c r="G12110"/>
      <c r="H12110"/>
      <c r="I12110"/>
    </row>
    <row r="12111" spans="6:9" x14ac:dyDescent="0.3">
      <c r="F12111"/>
      <c r="G12111"/>
      <c r="H12111"/>
      <c r="I12111"/>
    </row>
    <row r="12112" spans="6:9" x14ac:dyDescent="0.3">
      <c r="F12112"/>
      <c r="G12112"/>
      <c r="H12112"/>
      <c r="I12112"/>
    </row>
    <row r="12113" spans="6:9" x14ac:dyDescent="0.3">
      <c r="F12113"/>
      <c r="G12113"/>
      <c r="H12113"/>
      <c r="I12113"/>
    </row>
    <row r="12114" spans="6:9" x14ac:dyDescent="0.3">
      <c r="F12114"/>
      <c r="G12114"/>
      <c r="H12114"/>
      <c r="I12114"/>
    </row>
    <row r="12115" spans="6:9" x14ac:dyDescent="0.3">
      <c r="F12115"/>
      <c r="G12115"/>
      <c r="H12115"/>
      <c r="I12115"/>
    </row>
    <row r="12116" spans="6:9" x14ac:dyDescent="0.3">
      <c r="F12116"/>
      <c r="G12116"/>
      <c r="H12116"/>
      <c r="I12116"/>
    </row>
    <row r="12117" spans="6:9" x14ac:dyDescent="0.3">
      <c r="F12117"/>
      <c r="G12117"/>
      <c r="H12117"/>
      <c r="I12117"/>
    </row>
    <row r="12118" spans="6:9" x14ac:dyDescent="0.3">
      <c r="F12118"/>
      <c r="G12118"/>
      <c r="H12118"/>
      <c r="I12118"/>
    </row>
    <row r="12119" spans="6:9" x14ac:dyDescent="0.3">
      <c r="F12119"/>
      <c r="G12119"/>
      <c r="H12119"/>
      <c r="I12119"/>
    </row>
    <row r="12120" spans="6:9" x14ac:dyDescent="0.3">
      <c r="F12120"/>
      <c r="G12120"/>
      <c r="H12120"/>
      <c r="I12120"/>
    </row>
    <row r="12121" spans="6:9" x14ac:dyDescent="0.3">
      <c r="F12121"/>
      <c r="G12121"/>
      <c r="H12121"/>
      <c r="I12121"/>
    </row>
    <row r="12122" spans="6:9" x14ac:dyDescent="0.3">
      <c r="F12122"/>
      <c r="G12122"/>
      <c r="H12122"/>
      <c r="I12122"/>
    </row>
    <row r="12123" spans="6:9" x14ac:dyDescent="0.3">
      <c r="F12123"/>
      <c r="G12123"/>
      <c r="H12123"/>
      <c r="I12123"/>
    </row>
    <row r="12124" spans="6:9" x14ac:dyDescent="0.3">
      <c r="F12124"/>
      <c r="G12124"/>
      <c r="H12124"/>
      <c r="I12124"/>
    </row>
    <row r="12125" spans="6:9" x14ac:dyDescent="0.3">
      <c r="F12125"/>
      <c r="G12125"/>
      <c r="H12125"/>
      <c r="I12125"/>
    </row>
    <row r="12126" spans="6:9" x14ac:dyDescent="0.3">
      <c r="F12126"/>
      <c r="G12126"/>
      <c r="H12126"/>
      <c r="I12126"/>
    </row>
    <row r="12127" spans="6:9" x14ac:dyDescent="0.3">
      <c r="F12127"/>
      <c r="G12127"/>
      <c r="H12127"/>
      <c r="I12127"/>
    </row>
    <row r="12128" spans="6:9" x14ac:dyDescent="0.3">
      <c r="F12128"/>
      <c r="G12128"/>
      <c r="H12128"/>
      <c r="I12128"/>
    </row>
    <row r="12129" spans="6:9" x14ac:dyDescent="0.3">
      <c r="F12129"/>
      <c r="G12129"/>
      <c r="H12129"/>
      <c r="I12129"/>
    </row>
    <row r="12130" spans="6:9" x14ac:dyDescent="0.3">
      <c r="F12130"/>
      <c r="G12130"/>
      <c r="H12130"/>
      <c r="I12130"/>
    </row>
    <row r="12131" spans="6:9" x14ac:dyDescent="0.3">
      <c r="F12131"/>
      <c r="G12131"/>
      <c r="H12131"/>
      <c r="I12131"/>
    </row>
    <row r="12132" spans="6:9" x14ac:dyDescent="0.3">
      <c r="F12132"/>
      <c r="G12132"/>
      <c r="H12132"/>
      <c r="I12132"/>
    </row>
    <row r="12133" spans="6:9" x14ac:dyDescent="0.3">
      <c r="F12133"/>
      <c r="G12133"/>
      <c r="H12133"/>
      <c r="I12133"/>
    </row>
    <row r="12134" spans="6:9" x14ac:dyDescent="0.3">
      <c r="F12134"/>
      <c r="G12134"/>
      <c r="H12134"/>
      <c r="I12134"/>
    </row>
    <row r="12135" spans="6:9" x14ac:dyDescent="0.3">
      <c r="F12135"/>
      <c r="G12135"/>
      <c r="H12135"/>
      <c r="I12135"/>
    </row>
    <row r="12136" spans="6:9" x14ac:dyDescent="0.3">
      <c r="F12136"/>
      <c r="G12136"/>
      <c r="H12136"/>
      <c r="I12136"/>
    </row>
    <row r="12137" spans="6:9" x14ac:dyDescent="0.3">
      <c r="F12137"/>
      <c r="G12137"/>
      <c r="H12137"/>
      <c r="I12137"/>
    </row>
    <row r="12138" spans="6:9" x14ac:dyDescent="0.3">
      <c r="F12138"/>
      <c r="G12138"/>
      <c r="H12138"/>
      <c r="I12138"/>
    </row>
    <row r="12139" spans="6:9" x14ac:dyDescent="0.3">
      <c r="F12139"/>
      <c r="G12139"/>
      <c r="H12139"/>
      <c r="I12139"/>
    </row>
    <row r="12140" spans="6:9" x14ac:dyDescent="0.3">
      <c r="F12140"/>
      <c r="G12140"/>
      <c r="H12140"/>
      <c r="I12140"/>
    </row>
    <row r="12141" spans="6:9" x14ac:dyDescent="0.3">
      <c r="F12141"/>
      <c r="G12141"/>
      <c r="H12141"/>
      <c r="I12141"/>
    </row>
    <row r="12142" spans="6:9" x14ac:dyDescent="0.3">
      <c r="F12142"/>
      <c r="G12142"/>
      <c r="H12142"/>
      <c r="I12142"/>
    </row>
    <row r="12143" spans="6:9" x14ac:dyDescent="0.3">
      <c r="F12143"/>
      <c r="G12143"/>
      <c r="H12143"/>
      <c r="I12143"/>
    </row>
    <row r="12144" spans="6:9" x14ac:dyDescent="0.3">
      <c r="F12144"/>
      <c r="G12144"/>
      <c r="H12144"/>
      <c r="I12144"/>
    </row>
    <row r="12145" spans="6:9" x14ac:dyDescent="0.3">
      <c r="F12145"/>
      <c r="G12145"/>
      <c r="H12145"/>
      <c r="I12145"/>
    </row>
    <row r="12146" spans="6:9" x14ac:dyDescent="0.3">
      <c r="F12146"/>
      <c r="G12146"/>
      <c r="H12146"/>
      <c r="I12146"/>
    </row>
    <row r="12147" spans="6:9" x14ac:dyDescent="0.3">
      <c r="F12147"/>
      <c r="G12147"/>
      <c r="H12147"/>
      <c r="I12147"/>
    </row>
    <row r="12148" spans="6:9" x14ac:dyDescent="0.3">
      <c r="F12148"/>
      <c r="G12148"/>
      <c r="H12148"/>
      <c r="I12148"/>
    </row>
    <row r="12149" spans="6:9" x14ac:dyDescent="0.3">
      <c r="F12149"/>
      <c r="G12149"/>
      <c r="H12149"/>
      <c r="I12149"/>
    </row>
    <row r="12150" spans="6:9" x14ac:dyDescent="0.3">
      <c r="F12150"/>
      <c r="G12150"/>
      <c r="H12150"/>
      <c r="I12150"/>
    </row>
    <row r="12151" spans="6:9" x14ac:dyDescent="0.3">
      <c r="F12151"/>
      <c r="G12151"/>
      <c r="H12151"/>
      <c r="I12151"/>
    </row>
    <row r="12152" spans="6:9" x14ac:dyDescent="0.3">
      <c r="F12152"/>
      <c r="G12152"/>
      <c r="H12152"/>
      <c r="I12152"/>
    </row>
    <row r="12153" spans="6:9" x14ac:dyDescent="0.3">
      <c r="F12153"/>
      <c r="G12153"/>
      <c r="H12153"/>
      <c r="I12153"/>
    </row>
    <row r="12154" spans="6:9" x14ac:dyDescent="0.3">
      <c r="F12154"/>
      <c r="G12154"/>
      <c r="H12154"/>
      <c r="I12154"/>
    </row>
    <row r="12155" spans="6:9" x14ac:dyDescent="0.3">
      <c r="F12155"/>
      <c r="G12155"/>
      <c r="H12155"/>
      <c r="I12155"/>
    </row>
    <row r="12156" spans="6:9" x14ac:dyDescent="0.3">
      <c r="F12156"/>
      <c r="G12156"/>
      <c r="H12156"/>
      <c r="I12156"/>
    </row>
    <row r="12157" spans="6:9" x14ac:dyDescent="0.3">
      <c r="F12157"/>
      <c r="G12157"/>
      <c r="H12157"/>
      <c r="I12157"/>
    </row>
    <row r="12158" spans="6:9" x14ac:dyDescent="0.3">
      <c r="F12158"/>
      <c r="G12158"/>
      <c r="H12158"/>
      <c r="I12158"/>
    </row>
    <row r="12159" spans="6:9" x14ac:dyDescent="0.3">
      <c r="F12159"/>
      <c r="G12159"/>
      <c r="H12159"/>
      <c r="I12159"/>
    </row>
    <row r="12160" spans="6:9" x14ac:dyDescent="0.3">
      <c r="F12160"/>
      <c r="G12160"/>
      <c r="H12160"/>
      <c r="I12160"/>
    </row>
    <row r="12161" spans="6:9" x14ac:dyDescent="0.3">
      <c r="F12161"/>
      <c r="G12161"/>
      <c r="H12161"/>
      <c r="I12161"/>
    </row>
    <row r="12162" spans="6:9" x14ac:dyDescent="0.3">
      <c r="F12162"/>
      <c r="G12162"/>
      <c r="H12162"/>
      <c r="I12162"/>
    </row>
    <row r="12163" spans="6:9" x14ac:dyDescent="0.3">
      <c r="F12163"/>
      <c r="G12163"/>
      <c r="H12163"/>
      <c r="I12163"/>
    </row>
    <row r="12164" spans="6:9" x14ac:dyDescent="0.3">
      <c r="F12164"/>
      <c r="G12164"/>
      <c r="H12164"/>
      <c r="I12164"/>
    </row>
    <row r="12165" spans="6:9" x14ac:dyDescent="0.3">
      <c r="F12165"/>
      <c r="G12165"/>
      <c r="H12165"/>
      <c r="I12165"/>
    </row>
    <row r="12166" spans="6:9" x14ac:dyDescent="0.3">
      <c r="F12166"/>
      <c r="G12166"/>
      <c r="H12166"/>
      <c r="I12166"/>
    </row>
    <row r="12167" spans="6:9" x14ac:dyDescent="0.3">
      <c r="F12167"/>
      <c r="G12167"/>
      <c r="H12167"/>
      <c r="I12167"/>
    </row>
    <row r="12168" spans="6:9" x14ac:dyDescent="0.3">
      <c r="F12168"/>
      <c r="G12168"/>
      <c r="H12168"/>
      <c r="I12168"/>
    </row>
    <row r="12169" spans="6:9" x14ac:dyDescent="0.3">
      <c r="F12169"/>
      <c r="G12169"/>
      <c r="H12169"/>
      <c r="I12169"/>
    </row>
    <row r="12170" spans="6:9" x14ac:dyDescent="0.3">
      <c r="F12170"/>
      <c r="G12170"/>
      <c r="H12170"/>
      <c r="I12170"/>
    </row>
    <row r="12171" spans="6:9" x14ac:dyDescent="0.3">
      <c r="F12171"/>
      <c r="G12171"/>
      <c r="H12171"/>
      <c r="I12171"/>
    </row>
    <row r="12172" spans="6:9" x14ac:dyDescent="0.3">
      <c r="F12172"/>
      <c r="G12172"/>
      <c r="H12172"/>
      <c r="I12172"/>
    </row>
    <row r="12173" spans="6:9" x14ac:dyDescent="0.3">
      <c r="F12173"/>
      <c r="G12173"/>
      <c r="H12173"/>
      <c r="I12173"/>
    </row>
    <row r="12174" spans="6:9" x14ac:dyDescent="0.3">
      <c r="F12174"/>
      <c r="G12174"/>
      <c r="H12174"/>
      <c r="I12174"/>
    </row>
    <row r="12175" spans="6:9" x14ac:dyDescent="0.3">
      <c r="F12175"/>
      <c r="G12175"/>
      <c r="H12175"/>
      <c r="I12175"/>
    </row>
    <row r="12176" spans="6:9" x14ac:dyDescent="0.3">
      <c r="F12176"/>
      <c r="G12176"/>
      <c r="H12176"/>
      <c r="I12176"/>
    </row>
    <row r="12177" spans="6:9" x14ac:dyDescent="0.3">
      <c r="F12177"/>
      <c r="G12177"/>
      <c r="H12177"/>
      <c r="I12177"/>
    </row>
    <row r="12178" spans="6:9" x14ac:dyDescent="0.3">
      <c r="F12178"/>
      <c r="G12178"/>
      <c r="H12178"/>
      <c r="I12178"/>
    </row>
    <row r="12179" spans="6:9" x14ac:dyDescent="0.3">
      <c r="F12179"/>
      <c r="G12179"/>
      <c r="H12179"/>
      <c r="I12179"/>
    </row>
    <row r="12180" spans="6:9" x14ac:dyDescent="0.3">
      <c r="F12180"/>
      <c r="G12180"/>
      <c r="H12180"/>
      <c r="I12180"/>
    </row>
    <row r="12181" spans="6:9" x14ac:dyDescent="0.3">
      <c r="F12181"/>
      <c r="G12181"/>
      <c r="H12181"/>
      <c r="I12181"/>
    </row>
    <row r="12182" spans="6:9" x14ac:dyDescent="0.3">
      <c r="F12182"/>
      <c r="G12182"/>
      <c r="H12182"/>
      <c r="I12182"/>
    </row>
    <row r="12183" spans="6:9" x14ac:dyDescent="0.3">
      <c r="F12183"/>
      <c r="G12183"/>
      <c r="H12183"/>
      <c r="I12183"/>
    </row>
    <row r="12184" spans="6:9" x14ac:dyDescent="0.3">
      <c r="F12184"/>
      <c r="G12184"/>
      <c r="H12184"/>
      <c r="I12184"/>
    </row>
    <row r="12185" spans="6:9" x14ac:dyDescent="0.3">
      <c r="F12185"/>
      <c r="G12185"/>
      <c r="H12185"/>
      <c r="I12185"/>
    </row>
    <row r="12186" spans="6:9" x14ac:dyDescent="0.3">
      <c r="F12186"/>
      <c r="G12186"/>
      <c r="H12186"/>
      <c r="I12186"/>
    </row>
    <row r="12187" spans="6:9" x14ac:dyDescent="0.3">
      <c r="F12187"/>
      <c r="G12187"/>
      <c r="H12187"/>
      <c r="I12187"/>
    </row>
    <row r="12188" spans="6:9" x14ac:dyDescent="0.3">
      <c r="F12188"/>
      <c r="G12188"/>
      <c r="H12188"/>
      <c r="I12188"/>
    </row>
    <row r="12189" spans="6:9" x14ac:dyDescent="0.3">
      <c r="F12189"/>
      <c r="G12189"/>
      <c r="H12189"/>
      <c r="I12189"/>
    </row>
    <row r="12190" spans="6:9" x14ac:dyDescent="0.3">
      <c r="F12190"/>
      <c r="G12190"/>
      <c r="H12190"/>
      <c r="I12190"/>
    </row>
    <row r="12191" spans="6:9" x14ac:dyDescent="0.3">
      <c r="F12191"/>
      <c r="G12191"/>
      <c r="H12191"/>
      <c r="I12191"/>
    </row>
    <row r="12192" spans="6:9" x14ac:dyDescent="0.3">
      <c r="F12192"/>
      <c r="G12192"/>
      <c r="H12192"/>
      <c r="I12192"/>
    </row>
    <row r="12193" spans="6:9" x14ac:dyDescent="0.3">
      <c r="F12193"/>
      <c r="G12193"/>
      <c r="H12193"/>
      <c r="I12193"/>
    </row>
    <row r="12194" spans="6:9" x14ac:dyDescent="0.3">
      <c r="F12194"/>
      <c r="G12194"/>
      <c r="H12194"/>
      <c r="I12194"/>
    </row>
    <row r="12195" spans="6:9" x14ac:dyDescent="0.3">
      <c r="F12195"/>
      <c r="G12195"/>
      <c r="H12195"/>
      <c r="I12195"/>
    </row>
    <row r="12196" spans="6:9" x14ac:dyDescent="0.3">
      <c r="F12196"/>
      <c r="G12196"/>
      <c r="H12196"/>
      <c r="I12196"/>
    </row>
    <row r="12197" spans="6:9" x14ac:dyDescent="0.3">
      <c r="F12197"/>
      <c r="G12197"/>
      <c r="H12197"/>
      <c r="I12197"/>
    </row>
    <row r="12198" spans="6:9" x14ac:dyDescent="0.3">
      <c r="F12198"/>
      <c r="G12198"/>
      <c r="H12198"/>
      <c r="I12198"/>
    </row>
    <row r="12199" spans="6:9" x14ac:dyDescent="0.3">
      <c r="F12199"/>
      <c r="G12199"/>
      <c r="H12199"/>
      <c r="I12199"/>
    </row>
    <row r="12200" spans="6:9" x14ac:dyDescent="0.3">
      <c r="F12200"/>
      <c r="G12200"/>
      <c r="H12200"/>
      <c r="I12200"/>
    </row>
    <row r="12201" spans="6:9" x14ac:dyDescent="0.3">
      <c r="F12201"/>
      <c r="G12201"/>
      <c r="H12201"/>
      <c r="I12201"/>
    </row>
    <row r="12202" spans="6:9" x14ac:dyDescent="0.3">
      <c r="F12202"/>
      <c r="G12202"/>
      <c r="H12202"/>
      <c r="I12202"/>
    </row>
    <row r="12203" spans="6:9" x14ac:dyDescent="0.3">
      <c r="F12203"/>
      <c r="G12203"/>
      <c r="H12203"/>
      <c r="I12203"/>
    </row>
    <row r="12204" spans="6:9" x14ac:dyDescent="0.3">
      <c r="F12204"/>
      <c r="G12204"/>
      <c r="H12204"/>
      <c r="I12204"/>
    </row>
    <row r="12205" spans="6:9" x14ac:dyDescent="0.3">
      <c r="F12205"/>
      <c r="G12205"/>
      <c r="H12205"/>
      <c r="I12205"/>
    </row>
    <row r="12206" spans="6:9" x14ac:dyDescent="0.3">
      <c r="F12206"/>
      <c r="G12206"/>
      <c r="H12206"/>
      <c r="I12206"/>
    </row>
    <row r="12207" spans="6:9" x14ac:dyDescent="0.3">
      <c r="F12207"/>
      <c r="G12207"/>
      <c r="H12207"/>
      <c r="I12207"/>
    </row>
    <row r="12208" spans="6:9" x14ac:dyDescent="0.3">
      <c r="F12208"/>
      <c r="G12208"/>
      <c r="H12208"/>
      <c r="I12208"/>
    </row>
    <row r="12209" spans="6:9" x14ac:dyDescent="0.3">
      <c r="F12209"/>
      <c r="G12209"/>
      <c r="H12209"/>
      <c r="I12209"/>
    </row>
    <row r="12210" spans="6:9" x14ac:dyDescent="0.3">
      <c r="F12210"/>
      <c r="G12210"/>
      <c r="H12210"/>
      <c r="I12210"/>
    </row>
    <row r="12211" spans="6:9" x14ac:dyDescent="0.3">
      <c r="F12211"/>
      <c r="G12211"/>
      <c r="H12211"/>
      <c r="I12211"/>
    </row>
    <row r="12212" spans="6:9" x14ac:dyDescent="0.3">
      <c r="F12212"/>
      <c r="G12212"/>
      <c r="H12212"/>
      <c r="I12212"/>
    </row>
    <row r="12213" spans="6:9" x14ac:dyDescent="0.3">
      <c r="F12213"/>
      <c r="G12213"/>
      <c r="H12213"/>
      <c r="I12213"/>
    </row>
    <row r="12214" spans="6:9" x14ac:dyDescent="0.3">
      <c r="F12214"/>
      <c r="G12214"/>
      <c r="H12214"/>
      <c r="I12214"/>
    </row>
    <row r="12215" spans="6:9" x14ac:dyDescent="0.3">
      <c r="F12215"/>
      <c r="G12215"/>
      <c r="H12215"/>
      <c r="I12215"/>
    </row>
    <row r="12216" spans="6:9" x14ac:dyDescent="0.3">
      <c r="F12216"/>
      <c r="G12216"/>
      <c r="H12216"/>
      <c r="I12216"/>
    </row>
    <row r="12217" spans="6:9" x14ac:dyDescent="0.3">
      <c r="F12217"/>
      <c r="G12217"/>
      <c r="H12217"/>
      <c r="I12217"/>
    </row>
    <row r="12218" spans="6:9" x14ac:dyDescent="0.3">
      <c r="F12218"/>
      <c r="G12218"/>
      <c r="H12218"/>
      <c r="I12218"/>
    </row>
    <row r="12219" spans="6:9" x14ac:dyDescent="0.3">
      <c r="F12219"/>
      <c r="G12219"/>
      <c r="H12219"/>
      <c r="I12219"/>
    </row>
    <row r="12220" spans="6:9" x14ac:dyDescent="0.3">
      <c r="F12220"/>
      <c r="G12220"/>
      <c r="H12220"/>
      <c r="I12220"/>
    </row>
    <row r="12221" spans="6:9" x14ac:dyDescent="0.3">
      <c r="F12221"/>
      <c r="G12221"/>
      <c r="H12221"/>
      <c r="I12221"/>
    </row>
    <row r="12222" spans="6:9" x14ac:dyDescent="0.3">
      <c r="F12222"/>
      <c r="G12222"/>
      <c r="H12222"/>
      <c r="I12222"/>
    </row>
    <row r="12223" spans="6:9" x14ac:dyDescent="0.3">
      <c r="F12223"/>
      <c r="G12223"/>
      <c r="H12223"/>
      <c r="I12223"/>
    </row>
    <row r="12224" spans="6:9" x14ac:dyDescent="0.3">
      <c r="F12224"/>
      <c r="G12224"/>
      <c r="H12224"/>
      <c r="I12224"/>
    </row>
    <row r="12225" spans="6:9" x14ac:dyDescent="0.3">
      <c r="F12225"/>
      <c r="G12225"/>
      <c r="H12225"/>
      <c r="I12225"/>
    </row>
    <row r="12226" spans="6:9" x14ac:dyDescent="0.3">
      <c r="F12226"/>
      <c r="G12226"/>
      <c r="H12226"/>
      <c r="I12226"/>
    </row>
    <row r="12227" spans="6:9" x14ac:dyDescent="0.3">
      <c r="F12227"/>
      <c r="G12227"/>
      <c r="H12227"/>
      <c r="I12227"/>
    </row>
    <row r="12228" spans="6:9" x14ac:dyDescent="0.3">
      <c r="F12228"/>
      <c r="G12228"/>
      <c r="H12228"/>
      <c r="I12228"/>
    </row>
    <row r="12229" spans="6:9" x14ac:dyDescent="0.3">
      <c r="F12229"/>
      <c r="G12229"/>
      <c r="H12229"/>
      <c r="I12229"/>
    </row>
    <row r="12230" spans="6:9" x14ac:dyDescent="0.3">
      <c r="F12230"/>
      <c r="G12230"/>
      <c r="H12230"/>
      <c r="I12230"/>
    </row>
    <row r="12231" spans="6:9" x14ac:dyDescent="0.3">
      <c r="F12231"/>
      <c r="G12231"/>
      <c r="H12231"/>
      <c r="I12231"/>
    </row>
    <row r="12232" spans="6:9" x14ac:dyDescent="0.3">
      <c r="F12232"/>
      <c r="G12232"/>
      <c r="H12232"/>
      <c r="I12232"/>
    </row>
    <row r="12233" spans="6:9" x14ac:dyDescent="0.3">
      <c r="F12233"/>
      <c r="G12233"/>
      <c r="H12233"/>
      <c r="I12233"/>
    </row>
    <row r="12234" spans="6:9" x14ac:dyDescent="0.3">
      <c r="F12234"/>
      <c r="G12234"/>
      <c r="H12234"/>
      <c r="I12234"/>
    </row>
    <row r="12235" spans="6:9" x14ac:dyDescent="0.3">
      <c r="F12235"/>
      <c r="G12235"/>
      <c r="H12235"/>
      <c r="I12235"/>
    </row>
    <row r="12236" spans="6:9" x14ac:dyDescent="0.3">
      <c r="F12236"/>
      <c r="G12236"/>
      <c r="H12236"/>
      <c r="I12236"/>
    </row>
    <row r="12237" spans="6:9" x14ac:dyDescent="0.3">
      <c r="F12237"/>
      <c r="G12237"/>
      <c r="H12237"/>
      <c r="I12237"/>
    </row>
    <row r="12238" spans="6:9" x14ac:dyDescent="0.3">
      <c r="F12238"/>
      <c r="G12238"/>
      <c r="H12238"/>
      <c r="I12238"/>
    </row>
    <row r="12239" spans="6:9" x14ac:dyDescent="0.3">
      <c r="F12239"/>
      <c r="G12239"/>
      <c r="H12239"/>
      <c r="I12239"/>
    </row>
    <row r="12240" spans="6:9" x14ac:dyDescent="0.3">
      <c r="F12240"/>
      <c r="G12240"/>
      <c r="H12240"/>
      <c r="I12240"/>
    </row>
    <row r="12241" spans="6:9" x14ac:dyDescent="0.3">
      <c r="F12241"/>
      <c r="G12241"/>
      <c r="H12241"/>
      <c r="I12241"/>
    </row>
    <row r="12242" spans="6:9" x14ac:dyDescent="0.3">
      <c r="F12242"/>
      <c r="G12242"/>
      <c r="H12242"/>
      <c r="I12242"/>
    </row>
    <row r="12243" spans="6:9" x14ac:dyDescent="0.3">
      <c r="F12243"/>
      <c r="G12243"/>
      <c r="H12243"/>
      <c r="I12243"/>
    </row>
    <row r="12244" spans="6:9" x14ac:dyDescent="0.3">
      <c r="F12244"/>
      <c r="G12244"/>
      <c r="H12244"/>
      <c r="I12244"/>
    </row>
    <row r="12245" spans="6:9" x14ac:dyDescent="0.3">
      <c r="F12245"/>
      <c r="G12245"/>
      <c r="H12245"/>
      <c r="I12245"/>
    </row>
    <row r="12246" spans="6:9" x14ac:dyDescent="0.3">
      <c r="F12246"/>
      <c r="G12246"/>
      <c r="H12246"/>
      <c r="I12246"/>
    </row>
    <row r="12247" spans="6:9" x14ac:dyDescent="0.3">
      <c r="F12247"/>
      <c r="G12247"/>
      <c r="H12247"/>
      <c r="I12247"/>
    </row>
    <row r="12248" spans="6:9" x14ac:dyDescent="0.3">
      <c r="F12248"/>
      <c r="G12248"/>
      <c r="H12248"/>
      <c r="I12248"/>
    </row>
    <row r="12249" spans="6:9" x14ac:dyDescent="0.3">
      <c r="F12249"/>
      <c r="G12249"/>
      <c r="H12249"/>
      <c r="I12249"/>
    </row>
    <row r="12250" spans="6:9" x14ac:dyDescent="0.3">
      <c r="F12250"/>
      <c r="G12250"/>
      <c r="H12250"/>
      <c r="I12250"/>
    </row>
    <row r="12251" spans="6:9" x14ac:dyDescent="0.3">
      <c r="F12251"/>
      <c r="G12251"/>
      <c r="H12251"/>
      <c r="I12251"/>
    </row>
    <row r="12252" spans="6:9" x14ac:dyDescent="0.3">
      <c r="F12252"/>
      <c r="G12252"/>
      <c r="H12252"/>
      <c r="I12252"/>
    </row>
    <row r="12253" spans="6:9" x14ac:dyDescent="0.3">
      <c r="F12253"/>
      <c r="G12253"/>
      <c r="H12253"/>
      <c r="I12253"/>
    </row>
    <row r="12254" spans="6:9" x14ac:dyDescent="0.3">
      <c r="F12254"/>
      <c r="G12254"/>
      <c r="H12254"/>
      <c r="I12254"/>
    </row>
    <row r="12255" spans="6:9" x14ac:dyDescent="0.3">
      <c r="F12255"/>
      <c r="G12255"/>
      <c r="H12255"/>
      <c r="I12255"/>
    </row>
    <row r="12256" spans="6:9" x14ac:dyDescent="0.3">
      <c r="F12256"/>
      <c r="G12256"/>
      <c r="H12256"/>
      <c r="I12256"/>
    </row>
    <row r="12257" spans="6:9" x14ac:dyDescent="0.3">
      <c r="F12257"/>
      <c r="G12257"/>
      <c r="H12257"/>
      <c r="I12257"/>
    </row>
    <row r="12258" spans="6:9" x14ac:dyDescent="0.3">
      <c r="F12258"/>
      <c r="G12258"/>
      <c r="H12258"/>
      <c r="I12258"/>
    </row>
    <row r="12259" spans="6:9" x14ac:dyDescent="0.3">
      <c r="F12259"/>
      <c r="G12259"/>
      <c r="H12259"/>
      <c r="I12259"/>
    </row>
    <row r="12260" spans="6:9" x14ac:dyDescent="0.3">
      <c r="F12260"/>
      <c r="G12260"/>
      <c r="H12260"/>
      <c r="I12260"/>
    </row>
    <row r="12261" spans="6:9" x14ac:dyDescent="0.3">
      <c r="F12261"/>
      <c r="G12261"/>
      <c r="H12261"/>
      <c r="I12261"/>
    </row>
    <row r="12262" spans="6:9" x14ac:dyDescent="0.3">
      <c r="F12262"/>
      <c r="G12262"/>
      <c r="H12262"/>
      <c r="I12262"/>
    </row>
    <row r="12263" spans="6:9" x14ac:dyDescent="0.3">
      <c r="F12263"/>
      <c r="G12263"/>
      <c r="H12263"/>
      <c r="I12263"/>
    </row>
    <row r="12264" spans="6:9" x14ac:dyDescent="0.3">
      <c r="F12264"/>
      <c r="G12264"/>
      <c r="H12264"/>
      <c r="I12264"/>
    </row>
    <row r="12265" spans="6:9" x14ac:dyDescent="0.3">
      <c r="F12265"/>
      <c r="G12265"/>
      <c r="H12265"/>
      <c r="I12265"/>
    </row>
    <row r="12266" spans="6:9" x14ac:dyDescent="0.3">
      <c r="F12266"/>
      <c r="G12266"/>
      <c r="H12266"/>
      <c r="I12266"/>
    </row>
    <row r="12267" spans="6:9" x14ac:dyDescent="0.3">
      <c r="F12267"/>
      <c r="G12267"/>
      <c r="H12267"/>
      <c r="I12267"/>
    </row>
    <row r="12268" spans="6:9" x14ac:dyDescent="0.3">
      <c r="F12268"/>
      <c r="G12268"/>
      <c r="H12268"/>
      <c r="I12268"/>
    </row>
    <row r="12269" spans="6:9" x14ac:dyDescent="0.3">
      <c r="F12269"/>
      <c r="G12269"/>
      <c r="H12269"/>
      <c r="I12269"/>
    </row>
    <row r="12270" spans="6:9" x14ac:dyDescent="0.3">
      <c r="F12270"/>
      <c r="G12270"/>
      <c r="H12270"/>
      <c r="I12270"/>
    </row>
    <row r="12271" spans="6:9" x14ac:dyDescent="0.3">
      <c r="F12271"/>
      <c r="G12271"/>
      <c r="H12271"/>
      <c r="I12271"/>
    </row>
    <row r="12272" spans="6:9" x14ac:dyDescent="0.3">
      <c r="F12272"/>
      <c r="G12272"/>
      <c r="H12272"/>
      <c r="I12272"/>
    </row>
    <row r="12273" spans="6:9" x14ac:dyDescent="0.3">
      <c r="F12273"/>
      <c r="G12273"/>
      <c r="H12273"/>
      <c r="I12273"/>
    </row>
    <row r="12274" spans="6:9" x14ac:dyDescent="0.3">
      <c r="F12274"/>
      <c r="G12274"/>
      <c r="H12274"/>
      <c r="I12274"/>
    </row>
    <row r="12275" spans="6:9" x14ac:dyDescent="0.3">
      <c r="F12275"/>
      <c r="G12275"/>
      <c r="H12275"/>
      <c r="I12275"/>
    </row>
    <row r="12276" spans="6:9" x14ac:dyDescent="0.3">
      <c r="F12276"/>
      <c r="G12276"/>
      <c r="H12276"/>
      <c r="I12276"/>
    </row>
    <row r="12277" spans="6:9" x14ac:dyDescent="0.3">
      <c r="F12277"/>
      <c r="G12277"/>
      <c r="H12277"/>
      <c r="I12277"/>
    </row>
    <row r="12278" spans="6:9" x14ac:dyDescent="0.3">
      <c r="F12278"/>
      <c r="G12278"/>
      <c r="H12278"/>
      <c r="I12278"/>
    </row>
    <row r="12279" spans="6:9" x14ac:dyDescent="0.3">
      <c r="F12279"/>
      <c r="G12279"/>
      <c r="H12279"/>
      <c r="I12279"/>
    </row>
    <row r="12280" spans="6:9" x14ac:dyDescent="0.3">
      <c r="F12280"/>
      <c r="G12280"/>
      <c r="H12280"/>
      <c r="I12280"/>
    </row>
    <row r="12281" spans="6:9" x14ac:dyDescent="0.3">
      <c r="F12281"/>
      <c r="G12281"/>
      <c r="H12281"/>
      <c r="I12281"/>
    </row>
    <row r="12282" spans="6:9" x14ac:dyDescent="0.3">
      <c r="F12282"/>
      <c r="G12282"/>
      <c r="H12282"/>
      <c r="I12282"/>
    </row>
    <row r="12283" spans="6:9" x14ac:dyDescent="0.3">
      <c r="F12283"/>
      <c r="G12283"/>
      <c r="H12283"/>
      <c r="I12283"/>
    </row>
    <row r="12284" spans="6:9" x14ac:dyDescent="0.3">
      <c r="F12284"/>
      <c r="G12284"/>
      <c r="H12284"/>
      <c r="I12284"/>
    </row>
    <row r="12285" spans="6:9" x14ac:dyDescent="0.3">
      <c r="F12285"/>
      <c r="G12285"/>
      <c r="H12285"/>
      <c r="I12285"/>
    </row>
    <row r="12286" spans="6:9" x14ac:dyDescent="0.3">
      <c r="F12286"/>
      <c r="G12286"/>
      <c r="H12286"/>
      <c r="I12286"/>
    </row>
    <row r="12287" spans="6:9" x14ac:dyDescent="0.3">
      <c r="F12287"/>
      <c r="G12287"/>
      <c r="H12287"/>
      <c r="I12287"/>
    </row>
    <row r="12288" spans="6:9" x14ac:dyDescent="0.3">
      <c r="F12288"/>
      <c r="G12288"/>
      <c r="H12288"/>
      <c r="I12288"/>
    </row>
    <row r="12289" spans="6:9" x14ac:dyDescent="0.3">
      <c r="F12289"/>
      <c r="G12289"/>
      <c r="H12289"/>
      <c r="I12289"/>
    </row>
    <row r="12290" spans="6:9" x14ac:dyDescent="0.3">
      <c r="F12290"/>
      <c r="G12290"/>
      <c r="H12290"/>
      <c r="I12290"/>
    </row>
    <row r="12291" spans="6:9" x14ac:dyDescent="0.3">
      <c r="F12291"/>
      <c r="G12291"/>
      <c r="H12291"/>
      <c r="I12291"/>
    </row>
    <row r="12292" spans="6:9" x14ac:dyDescent="0.3">
      <c r="F12292"/>
      <c r="G12292"/>
      <c r="H12292"/>
      <c r="I12292"/>
    </row>
    <row r="12293" spans="6:9" x14ac:dyDescent="0.3">
      <c r="F12293"/>
      <c r="G12293"/>
      <c r="H12293"/>
      <c r="I12293"/>
    </row>
    <row r="12294" spans="6:9" x14ac:dyDescent="0.3">
      <c r="F12294"/>
      <c r="G12294"/>
      <c r="H12294"/>
      <c r="I12294"/>
    </row>
    <row r="12295" spans="6:9" x14ac:dyDescent="0.3">
      <c r="F12295"/>
      <c r="G12295"/>
      <c r="H12295"/>
      <c r="I12295"/>
    </row>
    <row r="12296" spans="6:9" x14ac:dyDescent="0.3">
      <c r="F12296"/>
      <c r="G12296"/>
      <c r="H12296"/>
      <c r="I12296"/>
    </row>
    <row r="12297" spans="6:9" x14ac:dyDescent="0.3">
      <c r="F12297"/>
      <c r="G12297"/>
      <c r="H12297"/>
      <c r="I12297"/>
    </row>
    <row r="12298" spans="6:9" x14ac:dyDescent="0.3">
      <c r="F12298"/>
      <c r="G12298"/>
      <c r="H12298"/>
      <c r="I12298"/>
    </row>
    <row r="12299" spans="6:9" x14ac:dyDescent="0.3">
      <c r="F12299"/>
      <c r="G12299"/>
      <c r="H12299"/>
      <c r="I12299"/>
    </row>
    <row r="12300" spans="6:9" x14ac:dyDescent="0.3">
      <c r="F12300"/>
      <c r="G12300"/>
      <c r="H12300"/>
      <c r="I12300"/>
    </row>
    <row r="12301" spans="6:9" x14ac:dyDescent="0.3">
      <c r="F12301"/>
      <c r="G12301"/>
      <c r="H12301"/>
      <c r="I12301"/>
    </row>
    <row r="12302" spans="6:9" x14ac:dyDescent="0.3">
      <c r="F12302"/>
      <c r="G12302"/>
      <c r="H12302"/>
      <c r="I12302"/>
    </row>
    <row r="12303" spans="6:9" x14ac:dyDescent="0.3">
      <c r="F12303"/>
      <c r="G12303"/>
      <c r="H12303"/>
      <c r="I12303"/>
    </row>
    <row r="12304" spans="6:9" x14ac:dyDescent="0.3">
      <c r="F12304"/>
      <c r="G12304"/>
      <c r="H12304"/>
      <c r="I12304"/>
    </row>
    <row r="12305" spans="6:9" x14ac:dyDescent="0.3">
      <c r="F12305"/>
      <c r="G12305"/>
      <c r="H12305"/>
      <c r="I12305"/>
    </row>
    <row r="12306" spans="6:9" x14ac:dyDescent="0.3">
      <c r="F12306"/>
      <c r="G12306"/>
      <c r="H12306"/>
      <c r="I12306"/>
    </row>
    <row r="12307" spans="6:9" x14ac:dyDescent="0.3">
      <c r="F12307"/>
      <c r="G12307"/>
      <c r="H12307"/>
      <c r="I12307"/>
    </row>
    <row r="12308" spans="6:9" x14ac:dyDescent="0.3">
      <c r="F12308"/>
      <c r="G12308"/>
      <c r="H12308"/>
      <c r="I12308"/>
    </row>
    <row r="12309" spans="6:9" x14ac:dyDescent="0.3">
      <c r="F12309"/>
      <c r="G12309"/>
      <c r="H12309"/>
      <c r="I12309"/>
    </row>
    <row r="12310" spans="6:9" x14ac:dyDescent="0.3">
      <c r="F12310"/>
      <c r="G12310"/>
      <c r="H12310"/>
      <c r="I12310"/>
    </row>
    <row r="12311" spans="6:9" x14ac:dyDescent="0.3">
      <c r="F12311"/>
      <c r="G12311"/>
      <c r="H12311"/>
      <c r="I12311"/>
    </row>
    <row r="12312" spans="6:9" x14ac:dyDescent="0.3">
      <c r="F12312"/>
      <c r="G12312"/>
      <c r="H12312"/>
      <c r="I12312"/>
    </row>
    <row r="12313" spans="6:9" x14ac:dyDescent="0.3">
      <c r="F12313"/>
      <c r="G12313"/>
      <c r="H12313"/>
      <c r="I12313"/>
    </row>
    <row r="12314" spans="6:9" x14ac:dyDescent="0.3">
      <c r="F12314"/>
      <c r="G12314"/>
      <c r="H12314"/>
      <c r="I12314"/>
    </row>
    <row r="12315" spans="6:9" x14ac:dyDescent="0.3">
      <c r="F12315"/>
      <c r="G12315"/>
      <c r="H12315"/>
      <c r="I12315"/>
    </row>
    <row r="12316" spans="6:9" x14ac:dyDescent="0.3">
      <c r="F12316"/>
      <c r="G12316"/>
      <c r="H12316"/>
      <c r="I12316"/>
    </row>
    <row r="12317" spans="6:9" x14ac:dyDescent="0.3">
      <c r="F12317"/>
      <c r="G12317"/>
      <c r="H12317"/>
      <c r="I12317"/>
    </row>
    <row r="12318" spans="6:9" x14ac:dyDescent="0.3">
      <c r="F12318"/>
      <c r="G12318"/>
      <c r="H12318"/>
      <c r="I12318"/>
    </row>
    <row r="12319" spans="6:9" x14ac:dyDescent="0.3">
      <c r="F12319"/>
      <c r="G12319"/>
      <c r="H12319"/>
      <c r="I12319"/>
    </row>
    <row r="12320" spans="6:9" x14ac:dyDescent="0.3">
      <c r="F12320"/>
      <c r="G12320"/>
      <c r="H12320"/>
      <c r="I12320"/>
    </row>
    <row r="12321" spans="6:9" x14ac:dyDescent="0.3">
      <c r="F12321"/>
      <c r="G12321"/>
      <c r="H12321"/>
      <c r="I12321"/>
    </row>
    <row r="12322" spans="6:9" x14ac:dyDescent="0.3">
      <c r="F12322"/>
      <c r="G12322"/>
      <c r="H12322"/>
      <c r="I12322"/>
    </row>
    <row r="12323" spans="6:9" x14ac:dyDescent="0.3">
      <c r="F12323"/>
      <c r="G12323"/>
      <c r="H12323"/>
      <c r="I12323"/>
    </row>
    <row r="12324" spans="6:9" x14ac:dyDescent="0.3">
      <c r="F12324"/>
      <c r="G12324"/>
      <c r="H12324"/>
      <c r="I12324"/>
    </row>
    <row r="12325" spans="6:9" x14ac:dyDescent="0.3">
      <c r="F12325"/>
      <c r="G12325"/>
      <c r="H12325"/>
      <c r="I12325"/>
    </row>
    <row r="12326" spans="6:9" x14ac:dyDescent="0.3">
      <c r="F12326"/>
      <c r="G12326"/>
      <c r="H12326"/>
      <c r="I12326"/>
    </row>
    <row r="12327" spans="6:9" x14ac:dyDescent="0.3">
      <c r="F12327"/>
      <c r="G12327"/>
      <c r="H12327"/>
      <c r="I12327"/>
    </row>
    <row r="12328" spans="6:9" x14ac:dyDescent="0.3">
      <c r="F12328"/>
      <c r="G12328"/>
      <c r="H12328"/>
      <c r="I12328"/>
    </row>
    <row r="12329" spans="6:9" x14ac:dyDescent="0.3">
      <c r="F12329"/>
      <c r="G12329"/>
      <c r="H12329"/>
      <c r="I12329"/>
    </row>
    <row r="12330" spans="6:9" x14ac:dyDescent="0.3">
      <c r="F12330"/>
      <c r="G12330"/>
      <c r="H12330"/>
      <c r="I12330"/>
    </row>
    <row r="12331" spans="6:9" x14ac:dyDescent="0.3">
      <c r="F12331"/>
      <c r="G12331"/>
      <c r="H12331"/>
      <c r="I12331"/>
    </row>
    <row r="12332" spans="6:9" x14ac:dyDescent="0.3">
      <c r="F12332"/>
      <c r="G12332"/>
      <c r="H12332"/>
      <c r="I12332"/>
    </row>
    <row r="12333" spans="6:9" x14ac:dyDescent="0.3">
      <c r="F12333"/>
      <c r="G12333"/>
      <c r="H12333"/>
      <c r="I12333"/>
    </row>
    <row r="12334" spans="6:9" x14ac:dyDescent="0.3">
      <c r="F12334"/>
      <c r="G12334"/>
      <c r="H12334"/>
      <c r="I12334"/>
    </row>
    <row r="12335" spans="6:9" x14ac:dyDescent="0.3">
      <c r="F12335"/>
      <c r="G12335"/>
      <c r="H12335"/>
      <c r="I12335"/>
    </row>
    <row r="12336" spans="6:9" x14ac:dyDescent="0.3">
      <c r="F12336"/>
      <c r="G12336"/>
      <c r="H12336"/>
      <c r="I12336"/>
    </row>
    <row r="12337" spans="6:9" x14ac:dyDescent="0.3">
      <c r="F12337"/>
      <c r="G12337"/>
      <c r="H12337"/>
      <c r="I12337"/>
    </row>
    <row r="12338" spans="6:9" x14ac:dyDescent="0.3">
      <c r="F12338"/>
      <c r="G12338"/>
      <c r="H12338"/>
      <c r="I12338"/>
    </row>
    <row r="12339" spans="6:9" x14ac:dyDescent="0.3">
      <c r="F12339"/>
      <c r="G12339"/>
      <c r="H12339"/>
      <c r="I12339"/>
    </row>
    <row r="12340" spans="6:9" x14ac:dyDescent="0.3">
      <c r="F12340"/>
      <c r="G12340"/>
      <c r="H12340"/>
      <c r="I12340"/>
    </row>
    <row r="12341" spans="6:9" x14ac:dyDescent="0.3">
      <c r="F12341"/>
      <c r="G12341"/>
      <c r="H12341"/>
      <c r="I12341"/>
    </row>
    <row r="12342" spans="6:9" x14ac:dyDescent="0.3">
      <c r="F12342"/>
      <c r="G12342"/>
      <c r="H12342"/>
      <c r="I12342"/>
    </row>
    <row r="12343" spans="6:9" x14ac:dyDescent="0.3">
      <c r="F12343"/>
      <c r="G12343"/>
      <c r="H12343"/>
      <c r="I12343"/>
    </row>
    <row r="12344" spans="6:9" x14ac:dyDescent="0.3">
      <c r="F12344"/>
      <c r="G12344"/>
      <c r="H12344"/>
      <c r="I12344"/>
    </row>
    <row r="12345" spans="6:9" x14ac:dyDescent="0.3">
      <c r="F12345"/>
      <c r="G12345"/>
      <c r="H12345"/>
      <c r="I12345"/>
    </row>
    <row r="12346" spans="6:9" x14ac:dyDescent="0.3">
      <c r="F12346"/>
      <c r="G12346"/>
      <c r="H12346"/>
      <c r="I12346"/>
    </row>
    <row r="12347" spans="6:9" x14ac:dyDescent="0.3">
      <c r="F12347"/>
      <c r="G12347"/>
      <c r="H12347"/>
      <c r="I12347"/>
    </row>
    <row r="12348" spans="6:9" x14ac:dyDescent="0.3">
      <c r="F12348"/>
      <c r="G12348"/>
      <c r="H12348"/>
      <c r="I12348"/>
    </row>
    <row r="12349" spans="6:9" x14ac:dyDescent="0.3">
      <c r="F12349"/>
      <c r="G12349"/>
      <c r="H12349"/>
      <c r="I12349"/>
    </row>
    <row r="12350" spans="6:9" x14ac:dyDescent="0.3">
      <c r="F12350"/>
      <c r="G12350"/>
      <c r="H12350"/>
      <c r="I12350"/>
    </row>
    <row r="12351" spans="6:9" x14ac:dyDescent="0.3">
      <c r="F12351"/>
      <c r="G12351"/>
      <c r="H12351"/>
      <c r="I12351"/>
    </row>
    <row r="12352" spans="6:9" x14ac:dyDescent="0.3">
      <c r="F12352"/>
      <c r="G12352"/>
      <c r="H12352"/>
      <c r="I12352"/>
    </row>
    <row r="12353" spans="6:9" x14ac:dyDescent="0.3">
      <c r="F12353"/>
      <c r="G12353"/>
      <c r="H12353"/>
      <c r="I12353"/>
    </row>
    <row r="12354" spans="6:9" x14ac:dyDescent="0.3">
      <c r="F12354"/>
      <c r="G12354"/>
      <c r="H12354"/>
      <c r="I12354"/>
    </row>
    <row r="12355" spans="6:9" x14ac:dyDescent="0.3">
      <c r="F12355"/>
      <c r="G12355"/>
      <c r="H12355"/>
      <c r="I12355"/>
    </row>
    <row r="12356" spans="6:9" x14ac:dyDescent="0.3">
      <c r="F12356"/>
      <c r="G12356"/>
      <c r="H12356"/>
      <c r="I12356"/>
    </row>
    <row r="12357" spans="6:9" x14ac:dyDescent="0.3">
      <c r="F12357"/>
      <c r="G12357"/>
      <c r="H12357"/>
      <c r="I12357"/>
    </row>
    <row r="12358" spans="6:9" x14ac:dyDescent="0.3">
      <c r="F12358"/>
      <c r="G12358"/>
      <c r="H12358"/>
      <c r="I12358"/>
    </row>
    <row r="12359" spans="6:9" x14ac:dyDescent="0.3">
      <c r="F12359"/>
      <c r="G12359"/>
      <c r="H12359"/>
      <c r="I12359"/>
    </row>
    <row r="12360" spans="6:9" x14ac:dyDescent="0.3">
      <c r="F12360"/>
      <c r="G12360"/>
      <c r="H12360"/>
      <c r="I12360"/>
    </row>
    <row r="12361" spans="6:9" x14ac:dyDescent="0.3">
      <c r="F12361"/>
      <c r="G12361"/>
      <c r="H12361"/>
      <c r="I12361"/>
    </row>
    <row r="12362" spans="6:9" x14ac:dyDescent="0.3">
      <c r="F12362"/>
      <c r="G12362"/>
      <c r="H12362"/>
      <c r="I12362"/>
    </row>
    <row r="12363" spans="6:9" x14ac:dyDescent="0.3">
      <c r="F12363"/>
      <c r="G12363"/>
      <c r="H12363"/>
      <c r="I12363"/>
    </row>
    <row r="12364" spans="6:9" x14ac:dyDescent="0.3">
      <c r="F12364"/>
      <c r="G12364"/>
      <c r="H12364"/>
      <c r="I12364"/>
    </row>
    <row r="12365" spans="6:9" x14ac:dyDescent="0.3">
      <c r="F12365"/>
      <c r="G12365"/>
      <c r="H12365"/>
      <c r="I12365"/>
    </row>
    <row r="12366" spans="6:9" x14ac:dyDescent="0.3">
      <c r="F12366"/>
      <c r="G12366"/>
      <c r="H12366"/>
      <c r="I12366"/>
    </row>
    <row r="12367" spans="6:9" x14ac:dyDescent="0.3">
      <c r="F12367"/>
      <c r="G12367"/>
      <c r="H12367"/>
      <c r="I12367"/>
    </row>
    <row r="12368" spans="6:9" x14ac:dyDescent="0.3">
      <c r="F12368"/>
      <c r="G12368"/>
      <c r="H12368"/>
      <c r="I12368"/>
    </row>
    <row r="12369" spans="6:9" x14ac:dyDescent="0.3">
      <c r="F12369"/>
      <c r="G12369"/>
      <c r="H12369"/>
      <c r="I12369"/>
    </row>
    <row r="12370" spans="6:9" x14ac:dyDescent="0.3">
      <c r="F12370"/>
      <c r="G12370"/>
      <c r="H12370"/>
      <c r="I12370"/>
    </row>
    <row r="12371" spans="6:9" x14ac:dyDescent="0.3">
      <c r="F12371"/>
      <c r="G12371"/>
      <c r="H12371"/>
      <c r="I12371"/>
    </row>
    <row r="12372" spans="6:9" x14ac:dyDescent="0.3">
      <c r="F12372"/>
      <c r="G12372"/>
      <c r="H12372"/>
      <c r="I12372"/>
    </row>
    <row r="12373" spans="6:9" x14ac:dyDescent="0.3">
      <c r="F12373"/>
      <c r="G12373"/>
      <c r="H12373"/>
      <c r="I12373"/>
    </row>
    <row r="12374" spans="6:9" x14ac:dyDescent="0.3">
      <c r="F12374"/>
      <c r="G12374"/>
      <c r="H12374"/>
      <c r="I12374"/>
    </row>
    <row r="12375" spans="6:9" x14ac:dyDescent="0.3">
      <c r="F12375"/>
      <c r="G12375"/>
      <c r="H12375"/>
      <c r="I12375"/>
    </row>
    <row r="12376" spans="6:9" x14ac:dyDescent="0.3">
      <c r="F12376"/>
      <c r="G12376"/>
      <c r="H12376"/>
      <c r="I12376"/>
    </row>
    <row r="12377" spans="6:9" x14ac:dyDescent="0.3">
      <c r="F12377"/>
      <c r="G12377"/>
      <c r="H12377"/>
      <c r="I12377"/>
    </row>
    <row r="12378" spans="6:9" x14ac:dyDescent="0.3">
      <c r="F12378"/>
      <c r="G12378"/>
      <c r="H12378"/>
      <c r="I12378"/>
    </row>
    <row r="12379" spans="6:9" x14ac:dyDescent="0.3">
      <c r="F12379"/>
      <c r="G12379"/>
      <c r="H12379"/>
      <c r="I12379"/>
    </row>
    <row r="12380" spans="6:9" x14ac:dyDescent="0.3">
      <c r="F12380"/>
      <c r="G12380"/>
      <c r="H12380"/>
      <c r="I12380"/>
    </row>
    <row r="12381" spans="6:9" x14ac:dyDescent="0.3">
      <c r="F12381"/>
      <c r="G12381"/>
      <c r="H12381"/>
      <c r="I12381"/>
    </row>
    <row r="12382" spans="6:9" x14ac:dyDescent="0.3">
      <c r="F12382"/>
      <c r="G12382"/>
      <c r="H12382"/>
      <c r="I12382"/>
    </row>
    <row r="12383" spans="6:9" x14ac:dyDescent="0.3">
      <c r="F12383"/>
      <c r="G12383"/>
      <c r="H12383"/>
      <c r="I12383"/>
    </row>
    <row r="12384" spans="6:9" x14ac:dyDescent="0.3">
      <c r="F12384"/>
      <c r="G12384"/>
      <c r="H12384"/>
      <c r="I12384"/>
    </row>
    <row r="12385" spans="6:9" x14ac:dyDescent="0.3">
      <c r="F12385"/>
      <c r="G12385"/>
      <c r="H12385"/>
      <c r="I12385"/>
    </row>
    <row r="12386" spans="6:9" x14ac:dyDescent="0.3">
      <c r="F12386"/>
      <c r="G12386"/>
      <c r="H12386"/>
      <c r="I12386"/>
    </row>
    <row r="12387" spans="6:9" x14ac:dyDescent="0.3">
      <c r="F12387"/>
      <c r="G12387"/>
      <c r="H12387"/>
      <c r="I12387"/>
    </row>
    <row r="12388" spans="6:9" x14ac:dyDescent="0.3">
      <c r="F12388"/>
      <c r="G12388"/>
      <c r="H12388"/>
      <c r="I12388"/>
    </row>
    <row r="12389" spans="6:9" x14ac:dyDescent="0.3">
      <c r="F12389"/>
      <c r="G12389"/>
      <c r="H12389"/>
      <c r="I12389"/>
    </row>
    <row r="12390" spans="6:9" x14ac:dyDescent="0.3">
      <c r="F12390"/>
      <c r="G12390"/>
      <c r="H12390"/>
      <c r="I12390"/>
    </row>
    <row r="12391" spans="6:9" x14ac:dyDescent="0.3">
      <c r="F12391"/>
      <c r="G12391"/>
      <c r="H12391"/>
      <c r="I12391"/>
    </row>
    <row r="12392" spans="6:9" x14ac:dyDescent="0.3">
      <c r="F12392"/>
      <c r="G12392"/>
      <c r="H12392"/>
      <c r="I12392"/>
    </row>
    <row r="12393" spans="6:9" x14ac:dyDescent="0.3">
      <c r="F12393"/>
      <c r="G12393"/>
      <c r="H12393"/>
      <c r="I12393"/>
    </row>
    <row r="12394" spans="6:9" x14ac:dyDescent="0.3">
      <c r="F12394"/>
      <c r="G12394"/>
      <c r="H12394"/>
      <c r="I12394"/>
    </row>
    <row r="12395" spans="6:9" x14ac:dyDescent="0.3">
      <c r="F12395"/>
      <c r="G12395"/>
      <c r="H12395"/>
      <c r="I12395"/>
    </row>
    <row r="12396" spans="6:9" x14ac:dyDescent="0.3">
      <c r="F12396"/>
      <c r="G12396"/>
      <c r="H12396"/>
      <c r="I12396"/>
    </row>
    <row r="12397" spans="6:9" x14ac:dyDescent="0.3">
      <c r="F12397"/>
      <c r="G12397"/>
      <c r="H12397"/>
      <c r="I12397"/>
    </row>
    <row r="12398" spans="6:9" x14ac:dyDescent="0.3">
      <c r="F12398"/>
      <c r="G12398"/>
      <c r="H12398"/>
      <c r="I12398"/>
    </row>
    <row r="12399" spans="6:9" x14ac:dyDescent="0.3">
      <c r="F12399"/>
      <c r="G12399"/>
      <c r="H12399"/>
      <c r="I12399"/>
    </row>
    <row r="12400" spans="6:9" x14ac:dyDescent="0.3">
      <c r="F12400"/>
      <c r="G12400"/>
      <c r="H12400"/>
      <c r="I12400"/>
    </row>
    <row r="12401" spans="6:9" x14ac:dyDescent="0.3">
      <c r="F12401"/>
      <c r="G12401"/>
      <c r="H12401"/>
      <c r="I12401"/>
    </row>
    <row r="12402" spans="6:9" x14ac:dyDescent="0.3">
      <c r="F12402"/>
      <c r="G12402"/>
      <c r="H12402"/>
      <c r="I12402"/>
    </row>
    <row r="12403" spans="6:9" x14ac:dyDescent="0.3">
      <c r="F12403"/>
      <c r="G12403"/>
      <c r="H12403"/>
      <c r="I12403"/>
    </row>
    <row r="12404" spans="6:9" x14ac:dyDescent="0.3">
      <c r="F12404"/>
      <c r="G12404"/>
      <c r="H12404"/>
      <c r="I12404"/>
    </row>
    <row r="12405" spans="6:9" x14ac:dyDescent="0.3">
      <c r="F12405"/>
      <c r="G12405"/>
      <c r="H12405"/>
      <c r="I12405"/>
    </row>
    <row r="12406" spans="6:9" x14ac:dyDescent="0.3">
      <c r="F12406"/>
      <c r="G12406"/>
      <c r="H12406"/>
      <c r="I12406"/>
    </row>
    <row r="12407" spans="6:9" x14ac:dyDescent="0.3">
      <c r="F12407"/>
      <c r="G12407"/>
      <c r="H12407"/>
      <c r="I12407"/>
    </row>
    <row r="12408" spans="6:9" x14ac:dyDescent="0.3">
      <c r="F12408"/>
      <c r="G12408"/>
      <c r="H12408"/>
      <c r="I12408"/>
    </row>
    <row r="12409" spans="6:9" x14ac:dyDescent="0.3">
      <c r="F12409"/>
      <c r="G12409"/>
      <c r="H12409"/>
      <c r="I12409"/>
    </row>
    <row r="12410" spans="6:9" x14ac:dyDescent="0.3">
      <c r="F12410"/>
      <c r="G12410"/>
      <c r="H12410"/>
      <c r="I12410"/>
    </row>
    <row r="12411" spans="6:9" x14ac:dyDescent="0.3">
      <c r="F12411"/>
      <c r="G12411"/>
      <c r="H12411"/>
      <c r="I12411"/>
    </row>
    <row r="12412" spans="6:9" x14ac:dyDescent="0.3">
      <c r="F12412"/>
      <c r="G12412"/>
      <c r="H12412"/>
      <c r="I12412"/>
    </row>
    <row r="12413" spans="6:9" x14ac:dyDescent="0.3">
      <c r="F12413"/>
      <c r="G12413"/>
      <c r="H12413"/>
      <c r="I12413"/>
    </row>
    <row r="12414" spans="6:9" x14ac:dyDescent="0.3">
      <c r="F12414"/>
      <c r="G12414"/>
      <c r="H12414"/>
      <c r="I12414"/>
    </row>
    <row r="12415" spans="6:9" x14ac:dyDescent="0.3">
      <c r="F12415"/>
      <c r="G12415"/>
      <c r="H12415"/>
      <c r="I12415"/>
    </row>
    <row r="12416" spans="6:9" x14ac:dyDescent="0.3">
      <c r="F12416"/>
      <c r="G12416"/>
      <c r="H12416"/>
      <c r="I12416"/>
    </row>
    <row r="12417" spans="6:9" x14ac:dyDescent="0.3">
      <c r="F12417"/>
      <c r="G12417"/>
      <c r="H12417"/>
      <c r="I12417"/>
    </row>
    <row r="12418" spans="6:9" x14ac:dyDescent="0.3">
      <c r="F12418"/>
      <c r="G12418"/>
      <c r="H12418"/>
      <c r="I12418"/>
    </row>
    <row r="12419" spans="6:9" x14ac:dyDescent="0.3">
      <c r="F12419"/>
      <c r="G12419"/>
      <c r="H12419"/>
      <c r="I12419"/>
    </row>
    <row r="12420" spans="6:9" x14ac:dyDescent="0.3">
      <c r="F12420"/>
      <c r="G12420"/>
      <c r="H12420"/>
      <c r="I12420"/>
    </row>
    <row r="12421" spans="6:9" x14ac:dyDescent="0.3">
      <c r="F12421"/>
      <c r="G12421"/>
      <c r="H12421"/>
      <c r="I12421"/>
    </row>
    <row r="12422" spans="6:9" x14ac:dyDescent="0.3">
      <c r="F12422"/>
      <c r="G12422"/>
      <c r="H12422"/>
      <c r="I12422"/>
    </row>
    <row r="12423" spans="6:9" x14ac:dyDescent="0.3">
      <c r="F12423"/>
      <c r="G12423"/>
      <c r="H12423"/>
      <c r="I12423"/>
    </row>
    <row r="12424" spans="6:9" x14ac:dyDescent="0.3">
      <c r="F12424"/>
      <c r="G12424"/>
      <c r="H12424"/>
      <c r="I12424"/>
    </row>
    <row r="12425" spans="6:9" x14ac:dyDescent="0.3">
      <c r="F12425"/>
      <c r="G12425"/>
      <c r="H12425"/>
      <c r="I12425"/>
    </row>
    <row r="12426" spans="6:9" x14ac:dyDescent="0.3">
      <c r="F12426"/>
      <c r="G12426"/>
      <c r="H12426"/>
      <c r="I12426"/>
    </row>
    <row r="12427" spans="6:9" x14ac:dyDescent="0.3">
      <c r="F12427"/>
      <c r="G12427"/>
      <c r="H12427"/>
      <c r="I12427"/>
    </row>
    <row r="12428" spans="6:9" x14ac:dyDescent="0.3">
      <c r="F12428"/>
      <c r="G12428"/>
      <c r="H12428"/>
      <c r="I12428"/>
    </row>
    <row r="12429" spans="6:9" x14ac:dyDescent="0.3">
      <c r="F12429"/>
      <c r="G12429"/>
      <c r="H12429"/>
      <c r="I12429"/>
    </row>
    <row r="12430" spans="6:9" x14ac:dyDescent="0.3">
      <c r="F12430"/>
      <c r="G12430"/>
      <c r="H12430"/>
      <c r="I12430"/>
    </row>
    <row r="12431" spans="6:9" x14ac:dyDescent="0.3">
      <c r="F12431"/>
      <c r="G12431"/>
      <c r="H12431"/>
      <c r="I12431"/>
    </row>
    <row r="12432" spans="6:9" x14ac:dyDescent="0.3">
      <c r="F12432"/>
      <c r="G12432"/>
      <c r="H12432"/>
      <c r="I12432"/>
    </row>
    <row r="12433" spans="6:9" x14ac:dyDescent="0.3">
      <c r="F12433"/>
      <c r="G12433"/>
      <c r="H12433"/>
      <c r="I12433"/>
    </row>
    <row r="12434" spans="6:9" x14ac:dyDescent="0.3">
      <c r="F12434"/>
      <c r="G12434"/>
      <c r="H12434"/>
      <c r="I12434"/>
    </row>
    <row r="12435" spans="6:9" x14ac:dyDescent="0.3">
      <c r="F12435"/>
      <c r="G12435"/>
      <c r="H12435"/>
      <c r="I12435"/>
    </row>
    <row r="12436" spans="6:9" x14ac:dyDescent="0.3">
      <c r="F12436"/>
      <c r="G12436"/>
      <c r="H12436"/>
      <c r="I12436"/>
    </row>
    <row r="12437" spans="6:9" x14ac:dyDescent="0.3">
      <c r="F12437"/>
      <c r="G12437"/>
      <c r="H12437"/>
      <c r="I12437"/>
    </row>
    <row r="12438" spans="6:9" x14ac:dyDescent="0.3">
      <c r="F12438"/>
      <c r="G12438"/>
      <c r="H12438"/>
      <c r="I12438"/>
    </row>
    <row r="12439" spans="6:9" x14ac:dyDescent="0.3">
      <c r="F12439"/>
      <c r="G12439"/>
      <c r="H12439"/>
      <c r="I12439"/>
    </row>
    <row r="12440" spans="6:9" x14ac:dyDescent="0.3">
      <c r="F12440"/>
      <c r="G12440"/>
      <c r="H12440"/>
      <c r="I12440"/>
    </row>
    <row r="12441" spans="6:9" x14ac:dyDescent="0.3">
      <c r="F12441"/>
      <c r="G12441"/>
      <c r="H12441"/>
      <c r="I12441"/>
    </row>
    <row r="12442" spans="6:9" x14ac:dyDescent="0.3">
      <c r="F12442"/>
      <c r="G12442"/>
      <c r="H12442"/>
      <c r="I12442"/>
    </row>
    <row r="12443" spans="6:9" x14ac:dyDescent="0.3">
      <c r="F12443"/>
      <c r="G12443"/>
      <c r="H12443"/>
      <c r="I12443"/>
    </row>
    <row r="12444" spans="6:9" x14ac:dyDescent="0.3">
      <c r="F12444"/>
      <c r="G12444"/>
      <c r="H12444"/>
      <c r="I12444"/>
    </row>
    <row r="12445" spans="6:9" x14ac:dyDescent="0.3">
      <c r="F12445"/>
      <c r="G12445"/>
      <c r="H12445"/>
      <c r="I12445"/>
    </row>
    <row r="12446" spans="6:9" x14ac:dyDescent="0.3">
      <c r="F12446"/>
      <c r="G12446"/>
      <c r="H12446"/>
      <c r="I12446"/>
    </row>
    <row r="12447" spans="6:9" x14ac:dyDescent="0.3">
      <c r="F12447"/>
      <c r="G12447"/>
      <c r="H12447"/>
      <c r="I12447"/>
    </row>
    <row r="12448" spans="6:9" x14ac:dyDescent="0.3">
      <c r="F12448"/>
      <c r="G12448"/>
      <c r="H12448"/>
      <c r="I12448"/>
    </row>
    <row r="12449" spans="6:9" x14ac:dyDescent="0.3">
      <c r="F12449"/>
      <c r="G12449"/>
      <c r="H12449"/>
      <c r="I12449"/>
    </row>
    <row r="12450" spans="6:9" x14ac:dyDescent="0.3">
      <c r="F12450"/>
      <c r="G12450"/>
      <c r="H12450"/>
      <c r="I12450"/>
    </row>
    <row r="12451" spans="6:9" x14ac:dyDescent="0.3">
      <c r="F12451"/>
      <c r="G12451"/>
      <c r="H12451"/>
      <c r="I12451"/>
    </row>
    <row r="12452" spans="6:9" x14ac:dyDescent="0.3">
      <c r="F12452"/>
      <c r="G12452"/>
      <c r="H12452"/>
      <c r="I12452"/>
    </row>
    <row r="12453" spans="6:9" x14ac:dyDescent="0.3">
      <c r="F12453"/>
      <c r="G12453"/>
      <c r="H12453"/>
      <c r="I12453"/>
    </row>
    <row r="12454" spans="6:9" x14ac:dyDescent="0.3">
      <c r="F12454"/>
      <c r="G12454"/>
      <c r="H12454"/>
      <c r="I12454"/>
    </row>
    <row r="12455" spans="6:9" x14ac:dyDescent="0.3">
      <c r="F12455"/>
      <c r="G12455"/>
      <c r="H12455"/>
      <c r="I12455"/>
    </row>
    <row r="12456" spans="6:9" x14ac:dyDescent="0.3">
      <c r="F12456"/>
      <c r="G12456"/>
      <c r="H12456"/>
      <c r="I12456"/>
    </row>
    <row r="12457" spans="6:9" x14ac:dyDescent="0.3">
      <c r="F12457"/>
      <c r="G12457"/>
      <c r="H12457"/>
      <c r="I12457"/>
    </row>
    <row r="12458" spans="6:9" x14ac:dyDescent="0.3">
      <c r="F12458"/>
      <c r="G12458"/>
      <c r="H12458"/>
      <c r="I12458"/>
    </row>
    <row r="12459" spans="6:9" x14ac:dyDescent="0.3">
      <c r="F12459"/>
      <c r="G12459"/>
      <c r="H12459"/>
      <c r="I12459"/>
    </row>
    <row r="12460" spans="6:9" x14ac:dyDescent="0.3">
      <c r="F12460"/>
      <c r="G12460"/>
      <c r="H12460"/>
      <c r="I12460"/>
    </row>
    <row r="12461" spans="6:9" x14ac:dyDescent="0.3">
      <c r="F12461"/>
      <c r="G12461"/>
      <c r="H12461"/>
      <c r="I12461"/>
    </row>
    <row r="12462" spans="6:9" x14ac:dyDescent="0.3">
      <c r="F12462"/>
      <c r="G12462"/>
      <c r="H12462"/>
      <c r="I12462"/>
    </row>
    <row r="12463" spans="6:9" x14ac:dyDescent="0.3">
      <c r="F12463"/>
      <c r="G12463"/>
      <c r="H12463"/>
      <c r="I12463"/>
    </row>
    <row r="12464" spans="6:9" x14ac:dyDescent="0.3">
      <c r="F12464"/>
      <c r="G12464"/>
      <c r="H12464"/>
      <c r="I12464"/>
    </row>
    <row r="12465" spans="6:9" x14ac:dyDescent="0.3">
      <c r="F12465"/>
      <c r="G12465"/>
      <c r="H12465"/>
      <c r="I12465"/>
    </row>
    <row r="12466" spans="6:9" x14ac:dyDescent="0.3">
      <c r="F12466"/>
      <c r="G12466"/>
      <c r="H12466"/>
      <c r="I12466"/>
    </row>
    <row r="12467" spans="6:9" x14ac:dyDescent="0.3">
      <c r="F12467"/>
      <c r="G12467"/>
      <c r="H12467"/>
      <c r="I12467"/>
    </row>
    <row r="12468" spans="6:9" x14ac:dyDescent="0.3">
      <c r="F12468"/>
      <c r="G12468"/>
      <c r="H12468"/>
      <c r="I12468"/>
    </row>
    <row r="12469" spans="6:9" x14ac:dyDescent="0.3">
      <c r="F12469"/>
      <c r="G12469"/>
      <c r="H12469"/>
      <c r="I12469"/>
    </row>
    <row r="12470" spans="6:9" x14ac:dyDescent="0.3">
      <c r="F12470"/>
      <c r="G12470"/>
      <c r="H12470"/>
      <c r="I12470"/>
    </row>
    <row r="12471" spans="6:9" x14ac:dyDescent="0.3">
      <c r="F12471"/>
      <c r="G12471"/>
      <c r="H12471"/>
      <c r="I12471"/>
    </row>
    <row r="12472" spans="6:9" x14ac:dyDescent="0.3">
      <c r="F12472"/>
      <c r="G12472"/>
      <c r="H12472"/>
      <c r="I12472"/>
    </row>
    <row r="12473" spans="6:9" x14ac:dyDescent="0.3">
      <c r="F12473"/>
      <c r="G12473"/>
      <c r="H12473"/>
      <c r="I12473"/>
    </row>
    <row r="12474" spans="6:9" x14ac:dyDescent="0.3">
      <c r="F12474"/>
      <c r="G12474"/>
      <c r="H12474"/>
      <c r="I12474"/>
    </row>
    <row r="12475" spans="6:9" x14ac:dyDescent="0.3">
      <c r="F12475"/>
      <c r="G12475"/>
      <c r="H12475"/>
      <c r="I12475"/>
    </row>
    <row r="12476" spans="6:9" x14ac:dyDescent="0.3">
      <c r="F12476"/>
      <c r="G12476"/>
      <c r="H12476"/>
      <c r="I12476"/>
    </row>
    <row r="12477" spans="6:9" x14ac:dyDescent="0.3">
      <c r="F12477"/>
      <c r="G12477"/>
      <c r="H12477"/>
      <c r="I12477"/>
    </row>
    <row r="12478" spans="6:9" x14ac:dyDescent="0.3">
      <c r="F12478"/>
      <c r="G12478"/>
      <c r="H12478"/>
      <c r="I12478"/>
    </row>
    <row r="12479" spans="6:9" x14ac:dyDescent="0.3">
      <c r="F12479"/>
      <c r="G12479"/>
      <c r="H12479"/>
      <c r="I12479"/>
    </row>
    <row r="12480" spans="6:9" x14ac:dyDescent="0.3">
      <c r="F12480"/>
      <c r="G12480"/>
      <c r="H12480"/>
      <c r="I12480"/>
    </row>
    <row r="12481" spans="6:9" x14ac:dyDescent="0.3">
      <c r="F12481"/>
      <c r="G12481"/>
      <c r="H12481"/>
      <c r="I12481"/>
    </row>
    <row r="12482" spans="6:9" x14ac:dyDescent="0.3">
      <c r="F12482"/>
      <c r="G12482"/>
      <c r="H12482"/>
      <c r="I12482"/>
    </row>
    <row r="12483" spans="6:9" x14ac:dyDescent="0.3">
      <c r="F12483"/>
      <c r="G12483"/>
      <c r="H12483"/>
      <c r="I12483"/>
    </row>
    <row r="12484" spans="6:9" x14ac:dyDescent="0.3">
      <c r="F12484"/>
      <c r="G12484"/>
      <c r="H12484"/>
      <c r="I12484"/>
    </row>
    <row r="12485" spans="6:9" x14ac:dyDescent="0.3">
      <c r="F12485"/>
      <c r="G12485"/>
      <c r="H12485"/>
      <c r="I12485"/>
    </row>
    <row r="12486" spans="6:9" x14ac:dyDescent="0.3">
      <c r="F12486"/>
      <c r="G12486"/>
      <c r="H12486"/>
      <c r="I12486"/>
    </row>
    <row r="12487" spans="6:9" x14ac:dyDescent="0.3">
      <c r="F12487"/>
      <c r="G12487"/>
      <c r="H12487"/>
      <c r="I12487"/>
    </row>
    <row r="12488" spans="6:9" x14ac:dyDescent="0.3">
      <c r="F12488"/>
      <c r="G12488"/>
      <c r="H12488"/>
      <c r="I12488"/>
    </row>
    <row r="12489" spans="6:9" x14ac:dyDescent="0.3">
      <c r="F12489"/>
      <c r="G12489"/>
      <c r="H12489"/>
      <c r="I12489"/>
    </row>
    <row r="12490" spans="6:9" x14ac:dyDescent="0.3">
      <c r="F12490"/>
      <c r="G12490"/>
      <c r="H12490"/>
      <c r="I12490"/>
    </row>
    <row r="12491" spans="6:9" x14ac:dyDescent="0.3">
      <c r="F12491"/>
      <c r="G12491"/>
      <c r="H12491"/>
      <c r="I12491"/>
    </row>
    <row r="12492" spans="6:9" x14ac:dyDescent="0.3">
      <c r="F12492"/>
      <c r="G12492"/>
      <c r="H12492"/>
      <c r="I12492"/>
    </row>
    <row r="12493" spans="6:9" x14ac:dyDescent="0.3">
      <c r="F12493"/>
      <c r="G12493"/>
      <c r="H12493"/>
      <c r="I12493"/>
    </row>
    <row r="12494" spans="6:9" x14ac:dyDescent="0.3">
      <c r="F12494"/>
      <c r="G12494"/>
      <c r="H12494"/>
      <c r="I12494"/>
    </row>
    <row r="12495" spans="6:9" x14ac:dyDescent="0.3">
      <c r="F12495"/>
      <c r="G12495"/>
      <c r="H12495"/>
      <c r="I12495"/>
    </row>
    <row r="12496" spans="6:9" x14ac:dyDescent="0.3">
      <c r="F12496"/>
      <c r="G12496"/>
      <c r="H12496"/>
      <c r="I12496"/>
    </row>
    <row r="12497" spans="6:9" x14ac:dyDescent="0.3">
      <c r="F12497"/>
      <c r="G12497"/>
      <c r="H12497"/>
      <c r="I12497"/>
    </row>
    <row r="12498" spans="6:9" x14ac:dyDescent="0.3">
      <c r="F12498"/>
      <c r="G12498"/>
      <c r="H12498"/>
      <c r="I12498"/>
    </row>
    <row r="12499" spans="6:9" x14ac:dyDescent="0.3">
      <c r="F12499"/>
      <c r="G12499"/>
      <c r="H12499"/>
      <c r="I12499"/>
    </row>
    <row r="12500" spans="6:9" x14ac:dyDescent="0.3">
      <c r="F12500"/>
      <c r="G12500"/>
      <c r="H12500"/>
      <c r="I12500"/>
    </row>
    <row r="12501" spans="6:9" x14ac:dyDescent="0.3">
      <c r="F12501"/>
      <c r="G12501"/>
      <c r="H12501"/>
      <c r="I12501"/>
    </row>
    <row r="12502" spans="6:9" x14ac:dyDescent="0.3">
      <c r="F12502"/>
      <c r="G12502"/>
      <c r="H12502"/>
      <c r="I12502"/>
    </row>
    <row r="12503" spans="6:9" x14ac:dyDescent="0.3">
      <c r="F12503"/>
      <c r="G12503"/>
      <c r="H12503"/>
      <c r="I12503"/>
    </row>
    <row r="12504" spans="6:9" x14ac:dyDescent="0.3">
      <c r="F12504"/>
      <c r="G12504"/>
      <c r="H12504"/>
      <c r="I12504"/>
    </row>
    <row r="12505" spans="6:9" x14ac:dyDescent="0.3">
      <c r="F12505"/>
      <c r="G12505"/>
      <c r="H12505"/>
      <c r="I12505"/>
    </row>
    <row r="12506" spans="6:9" x14ac:dyDescent="0.3">
      <c r="F12506"/>
      <c r="G12506"/>
      <c r="H12506"/>
      <c r="I12506"/>
    </row>
    <row r="12507" spans="6:9" x14ac:dyDescent="0.3">
      <c r="F12507"/>
      <c r="G12507"/>
      <c r="H12507"/>
      <c r="I12507"/>
    </row>
    <row r="12508" spans="6:9" x14ac:dyDescent="0.3">
      <c r="F12508"/>
      <c r="G12508"/>
      <c r="H12508"/>
      <c r="I12508"/>
    </row>
    <row r="12509" spans="6:9" x14ac:dyDescent="0.3">
      <c r="F12509"/>
      <c r="G12509"/>
      <c r="H12509"/>
      <c r="I12509"/>
    </row>
    <row r="12510" spans="6:9" x14ac:dyDescent="0.3">
      <c r="F12510"/>
      <c r="G12510"/>
      <c r="H12510"/>
      <c r="I12510"/>
    </row>
    <row r="12511" spans="6:9" x14ac:dyDescent="0.3">
      <c r="F12511"/>
      <c r="G12511"/>
      <c r="H12511"/>
      <c r="I12511"/>
    </row>
    <row r="12512" spans="6:9" x14ac:dyDescent="0.3">
      <c r="F12512"/>
      <c r="G12512"/>
      <c r="H12512"/>
      <c r="I12512"/>
    </row>
    <row r="12513" spans="6:9" x14ac:dyDescent="0.3">
      <c r="F12513"/>
      <c r="G12513"/>
      <c r="H12513"/>
      <c r="I12513"/>
    </row>
    <row r="12514" spans="6:9" x14ac:dyDescent="0.3">
      <c r="F12514"/>
      <c r="G12514"/>
      <c r="H12514"/>
      <c r="I12514"/>
    </row>
    <row r="12515" spans="6:9" x14ac:dyDescent="0.3">
      <c r="F12515"/>
      <c r="G12515"/>
      <c r="H12515"/>
      <c r="I12515"/>
    </row>
    <row r="12516" spans="6:9" x14ac:dyDescent="0.3">
      <c r="F12516"/>
      <c r="G12516"/>
      <c r="H12516"/>
      <c r="I12516"/>
    </row>
    <row r="12517" spans="6:9" x14ac:dyDescent="0.3">
      <c r="F12517"/>
      <c r="G12517"/>
      <c r="H12517"/>
      <c r="I12517"/>
    </row>
    <row r="12518" spans="6:9" x14ac:dyDescent="0.3">
      <c r="F12518"/>
      <c r="G12518"/>
      <c r="H12518"/>
      <c r="I12518"/>
    </row>
    <row r="12519" spans="6:9" x14ac:dyDescent="0.3">
      <c r="F12519"/>
      <c r="G12519"/>
      <c r="H12519"/>
      <c r="I12519"/>
    </row>
    <row r="12520" spans="6:9" x14ac:dyDescent="0.3">
      <c r="F12520"/>
      <c r="G12520"/>
      <c r="H12520"/>
      <c r="I12520"/>
    </row>
    <row r="12521" spans="6:9" x14ac:dyDescent="0.3">
      <c r="F12521"/>
      <c r="G12521"/>
      <c r="H12521"/>
      <c r="I12521"/>
    </row>
    <row r="12522" spans="6:9" x14ac:dyDescent="0.3">
      <c r="F12522"/>
      <c r="G12522"/>
      <c r="H12522"/>
      <c r="I12522"/>
    </row>
    <row r="12523" spans="6:9" x14ac:dyDescent="0.3">
      <c r="F12523"/>
      <c r="G12523"/>
      <c r="H12523"/>
      <c r="I12523"/>
    </row>
    <row r="12524" spans="6:9" x14ac:dyDescent="0.3">
      <c r="F12524"/>
      <c r="G12524"/>
      <c r="H12524"/>
      <c r="I12524"/>
    </row>
    <row r="12525" spans="6:9" x14ac:dyDescent="0.3">
      <c r="F12525"/>
      <c r="G12525"/>
      <c r="H12525"/>
      <c r="I12525"/>
    </row>
    <row r="12526" spans="6:9" x14ac:dyDescent="0.3">
      <c r="F12526"/>
      <c r="G12526"/>
      <c r="H12526"/>
      <c r="I12526"/>
    </row>
    <row r="12527" spans="6:9" x14ac:dyDescent="0.3">
      <c r="F12527"/>
      <c r="G12527"/>
      <c r="H12527"/>
      <c r="I12527"/>
    </row>
    <row r="12528" spans="6:9" x14ac:dyDescent="0.3">
      <c r="F12528"/>
      <c r="G12528"/>
      <c r="H12528"/>
      <c r="I12528"/>
    </row>
    <row r="12529" spans="6:9" x14ac:dyDescent="0.3">
      <c r="F12529"/>
      <c r="G12529"/>
      <c r="H12529"/>
      <c r="I12529"/>
    </row>
    <row r="12530" spans="6:9" x14ac:dyDescent="0.3">
      <c r="F12530"/>
      <c r="G12530"/>
      <c r="H12530"/>
      <c r="I12530"/>
    </row>
    <row r="12531" spans="6:9" x14ac:dyDescent="0.3">
      <c r="F12531"/>
      <c r="G12531"/>
      <c r="H12531"/>
      <c r="I12531"/>
    </row>
    <row r="12532" spans="6:9" x14ac:dyDescent="0.3">
      <c r="F12532"/>
      <c r="G12532"/>
      <c r="H12532"/>
      <c r="I12532"/>
    </row>
    <row r="12533" spans="6:9" x14ac:dyDescent="0.3">
      <c r="F12533"/>
      <c r="G12533"/>
      <c r="H12533"/>
      <c r="I12533"/>
    </row>
    <row r="12534" spans="6:9" x14ac:dyDescent="0.3">
      <c r="F12534"/>
      <c r="G12534"/>
      <c r="H12534"/>
      <c r="I12534"/>
    </row>
    <row r="12535" spans="6:9" x14ac:dyDescent="0.3">
      <c r="F12535"/>
      <c r="G12535"/>
      <c r="H12535"/>
      <c r="I12535"/>
    </row>
    <row r="12536" spans="6:9" x14ac:dyDescent="0.3">
      <c r="F12536"/>
      <c r="G12536"/>
      <c r="H12536"/>
      <c r="I12536"/>
    </row>
    <row r="12537" spans="6:9" x14ac:dyDescent="0.3">
      <c r="F12537"/>
      <c r="G12537"/>
      <c r="H12537"/>
      <c r="I12537"/>
    </row>
    <row r="12538" spans="6:9" x14ac:dyDescent="0.3">
      <c r="F12538"/>
      <c r="G12538"/>
      <c r="H12538"/>
      <c r="I12538"/>
    </row>
    <row r="12539" spans="6:9" x14ac:dyDescent="0.3">
      <c r="F12539"/>
      <c r="G12539"/>
      <c r="H12539"/>
      <c r="I12539"/>
    </row>
    <row r="12540" spans="6:9" x14ac:dyDescent="0.3">
      <c r="F12540"/>
      <c r="G12540"/>
      <c r="H12540"/>
      <c r="I12540"/>
    </row>
    <row r="12541" spans="6:9" x14ac:dyDescent="0.3">
      <c r="F12541"/>
      <c r="G12541"/>
      <c r="H12541"/>
      <c r="I12541"/>
    </row>
    <row r="12542" spans="6:9" x14ac:dyDescent="0.3">
      <c r="F12542"/>
      <c r="G12542"/>
      <c r="H12542"/>
      <c r="I12542"/>
    </row>
    <row r="12543" spans="6:9" x14ac:dyDescent="0.3">
      <c r="F12543"/>
      <c r="G12543"/>
      <c r="H12543"/>
      <c r="I12543"/>
    </row>
    <row r="12544" spans="6:9" x14ac:dyDescent="0.3">
      <c r="F12544"/>
      <c r="G12544"/>
      <c r="H12544"/>
      <c r="I12544"/>
    </row>
    <row r="12545" spans="6:9" x14ac:dyDescent="0.3">
      <c r="F12545"/>
      <c r="G12545"/>
      <c r="H12545"/>
      <c r="I12545"/>
    </row>
    <row r="12546" spans="6:9" x14ac:dyDescent="0.3">
      <c r="F12546"/>
      <c r="G12546"/>
      <c r="H12546"/>
      <c r="I12546"/>
    </row>
    <row r="12547" spans="6:9" x14ac:dyDescent="0.3">
      <c r="F12547"/>
      <c r="G12547"/>
      <c r="H12547"/>
      <c r="I12547"/>
    </row>
    <row r="12548" spans="6:9" x14ac:dyDescent="0.3">
      <c r="F12548"/>
      <c r="G12548"/>
      <c r="H12548"/>
      <c r="I12548"/>
    </row>
    <row r="12549" spans="6:9" x14ac:dyDescent="0.3">
      <c r="F12549"/>
      <c r="G12549"/>
      <c r="H12549"/>
      <c r="I12549"/>
    </row>
    <row r="12550" spans="6:9" x14ac:dyDescent="0.3">
      <c r="F12550"/>
      <c r="G12550"/>
      <c r="H12550"/>
      <c r="I12550"/>
    </row>
    <row r="12551" spans="6:9" x14ac:dyDescent="0.3">
      <c r="F12551"/>
      <c r="G12551"/>
      <c r="H12551"/>
      <c r="I12551"/>
    </row>
    <row r="12552" spans="6:9" x14ac:dyDescent="0.3">
      <c r="F12552"/>
      <c r="G12552"/>
      <c r="H12552"/>
      <c r="I12552"/>
    </row>
    <row r="12553" spans="6:9" x14ac:dyDescent="0.3">
      <c r="F12553"/>
      <c r="G12553"/>
      <c r="H12553"/>
      <c r="I12553"/>
    </row>
    <row r="12554" spans="6:9" x14ac:dyDescent="0.3">
      <c r="F12554"/>
      <c r="G12554"/>
      <c r="H12554"/>
      <c r="I12554"/>
    </row>
    <row r="12555" spans="6:9" x14ac:dyDescent="0.3">
      <c r="F12555"/>
      <c r="G12555"/>
      <c r="H12555"/>
      <c r="I12555"/>
    </row>
    <row r="12556" spans="6:9" x14ac:dyDescent="0.3">
      <c r="F12556"/>
      <c r="G12556"/>
      <c r="H12556"/>
      <c r="I12556"/>
    </row>
    <row r="12557" spans="6:9" x14ac:dyDescent="0.3">
      <c r="F12557"/>
      <c r="G12557"/>
      <c r="H12557"/>
      <c r="I12557"/>
    </row>
    <row r="12558" spans="6:9" x14ac:dyDescent="0.3">
      <c r="F12558"/>
      <c r="G12558"/>
      <c r="H12558"/>
      <c r="I12558"/>
    </row>
    <row r="12559" spans="6:9" x14ac:dyDescent="0.3">
      <c r="F12559"/>
      <c r="G12559"/>
      <c r="H12559"/>
      <c r="I12559"/>
    </row>
    <row r="12560" spans="6:9" x14ac:dyDescent="0.3">
      <c r="F12560"/>
      <c r="G12560"/>
      <c r="H12560"/>
      <c r="I12560"/>
    </row>
    <row r="12561" spans="6:9" x14ac:dyDescent="0.3">
      <c r="F12561"/>
      <c r="G12561"/>
      <c r="H12561"/>
      <c r="I12561"/>
    </row>
    <row r="12562" spans="6:9" x14ac:dyDescent="0.3">
      <c r="F12562"/>
      <c r="G12562"/>
      <c r="H12562"/>
      <c r="I12562"/>
    </row>
    <row r="12563" spans="6:9" x14ac:dyDescent="0.3">
      <c r="F12563"/>
      <c r="G12563"/>
      <c r="H12563"/>
      <c r="I12563"/>
    </row>
    <row r="12564" spans="6:9" x14ac:dyDescent="0.3">
      <c r="F12564"/>
      <c r="G12564"/>
      <c r="H12564"/>
      <c r="I12564"/>
    </row>
    <row r="12565" spans="6:9" x14ac:dyDescent="0.3">
      <c r="F12565"/>
      <c r="G12565"/>
      <c r="H12565"/>
      <c r="I12565"/>
    </row>
    <row r="12566" spans="6:9" x14ac:dyDescent="0.3">
      <c r="F12566"/>
      <c r="G12566"/>
      <c r="H12566"/>
      <c r="I12566"/>
    </row>
    <row r="12567" spans="6:9" x14ac:dyDescent="0.3">
      <c r="F12567"/>
      <c r="G12567"/>
      <c r="H12567"/>
      <c r="I12567"/>
    </row>
    <row r="12568" spans="6:9" x14ac:dyDescent="0.3">
      <c r="F12568"/>
      <c r="G12568"/>
      <c r="H12568"/>
      <c r="I12568"/>
    </row>
    <row r="12569" spans="6:9" x14ac:dyDescent="0.3">
      <c r="F12569"/>
      <c r="G12569"/>
      <c r="H12569"/>
      <c r="I12569"/>
    </row>
    <row r="12570" spans="6:9" x14ac:dyDescent="0.3">
      <c r="F12570"/>
      <c r="G12570"/>
      <c r="H12570"/>
      <c r="I12570"/>
    </row>
    <row r="12571" spans="6:9" x14ac:dyDescent="0.3">
      <c r="F12571"/>
      <c r="G12571"/>
      <c r="H12571"/>
      <c r="I12571"/>
    </row>
    <row r="12572" spans="6:9" x14ac:dyDescent="0.3">
      <c r="F12572"/>
      <c r="G12572"/>
      <c r="H12572"/>
      <c r="I12572"/>
    </row>
    <row r="12573" spans="6:9" x14ac:dyDescent="0.3">
      <c r="F12573"/>
      <c r="G12573"/>
      <c r="H12573"/>
      <c r="I12573"/>
    </row>
    <row r="12574" spans="6:9" x14ac:dyDescent="0.3">
      <c r="F12574"/>
      <c r="G12574"/>
      <c r="H12574"/>
      <c r="I12574"/>
    </row>
    <row r="12575" spans="6:9" x14ac:dyDescent="0.3">
      <c r="F12575"/>
      <c r="G12575"/>
      <c r="H12575"/>
      <c r="I12575"/>
    </row>
    <row r="12576" spans="6:9" x14ac:dyDescent="0.3">
      <c r="F12576"/>
      <c r="G12576"/>
      <c r="H12576"/>
      <c r="I12576"/>
    </row>
    <row r="12577" spans="6:9" x14ac:dyDescent="0.3">
      <c r="F12577"/>
      <c r="G12577"/>
      <c r="H12577"/>
      <c r="I12577"/>
    </row>
    <row r="12578" spans="6:9" x14ac:dyDescent="0.3">
      <c r="F12578"/>
      <c r="G12578"/>
      <c r="H12578"/>
      <c r="I12578"/>
    </row>
    <row r="12579" spans="6:9" x14ac:dyDescent="0.3">
      <c r="F12579"/>
      <c r="G12579"/>
      <c r="H12579"/>
      <c r="I12579"/>
    </row>
    <row r="12580" spans="6:9" x14ac:dyDescent="0.3">
      <c r="F12580"/>
      <c r="G12580"/>
      <c r="H12580"/>
      <c r="I12580"/>
    </row>
    <row r="12581" spans="6:9" x14ac:dyDescent="0.3">
      <c r="F12581"/>
      <c r="G12581"/>
      <c r="H12581"/>
      <c r="I12581"/>
    </row>
    <row r="12582" spans="6:9" x14ac:dyDescent="0.3">
      <c r="F12582"/>
      <c r="G12582"/>
      <c r="H12582"/>
      <c r="I12582"/>
    </row>
    <row r="12583" spans="6:9" x14ac:dyDescent="0.3">
      <c r="F12583"/>
      <c r="G12583"/>
      <c r="H12583"/>
      <c r="I12583"/>
    </row>
    <row r="12584" spans="6:9" x14ac:dyDescent="0.3">
      <c r="F12584"/>
      <c r="G12584"/>
      <c r="H12584"/>
      <c r="I12584"/>
    </row>
    <row r="12585" spans="6:9" x14ac:dyDescent="0.3">
      <c r="F12585"/>
      <c r="G12585"/>
      <c r="H12585"/>
      <c r="I12585"/>
    </row>
    <row r="12586" spans="6:9" x14ac:dyDescent="0.3">
      <c r="F12586"/>
      <c r="G12586"/>
      <c r="H12586"/>
      <c r="I12586"/>
    </row>
    <row r="12587" spans="6:9" x14ac:dyDescent="0.3">
      <c r="F12587"/>
      <c r="G12587"/>
      <c r="H12587"/>
      <c r="I12587"/>
    </row>
    <row r="12588" spans="6:9" x14ac:dyDescent="0.3">
      <c r="F12588"/>
      <c r="G12588"/>
      <c r="H12588"/>
      <c r="I12588"/>
    </row>
    <row r="12589" spans="6:9" x14ac:dyDescent="0.3">
      <c r="F12589"/>
      <c r="G12589"/>
      <c r="H12589"/>
      <c r="I12589"/>
    </row>
    <row r="12590" spans="6:9" x14ac:dyDescent="0.3">
      <c r="F12590"/>
      <c r="G12590"/>
      <c r="H12590"/>
      <c r="I12590"/>
    </row>
    <row r="12591" spans="6:9" x14ac:dyDescent="0.3">
      <c r="F12591"/>
      <c r="G12591"/>
      <c r="H12591"/>
      <c r="I12591"/>
    </row>
    <row r="12592" spans="6:9" x14ac:dyDescent="0.3">
      <c r="F12592"/>
      <c r="G12592"/>
      <c r="H12592"/>
      <c r="I12592"/>
    </row>
    <row r="12593" spans="6:9" x14ac:dyDescent="0.3">
      <c r="F12593"/>
      <c r="G12593"/>
      <c r="H12593"/>
      <c r="I12593"/>
    </row>
    <row r="12594" spans="6:9" x14ac:dyDescent="0.3">
      <c r="F12594"/>
      <c r="G12594"/>
      <c r="H12594"/>
      <c r="I12594"/>
    </row>
    <row r="12595" spans="6:9" x14ac:dyDescent="0.3">
      <c r="F12595"/>
      <c r="G12595"/>
      <c r="H12595"/>
      <c r="I12595"/>
    </row>
    <row r="12596" spans="6:9" x14ac:dyDescent="0.3">
      <c r="F12596"/>
      <c r="G12596"/>
      <c r="H12596"/>
      <c r="I12596"/>
    </row>
    <row r="12597" spans="6:9" x14ac:dyDescent="0.3">
      <c r="F12597"/>
      <c r="G12597"/>
      <c r="H12597"/>
      <c r="I12597"/>
    </row>
    <row r="12598" spans="6:9" x14ac:dyDescent="0.3">
      <c r="F12598"/>
      <c r="G12598"/>
      <c r="H12598"/>
      <c r="I12598"/>
    </row>
    <row r="12599" spans="6:9" x14ac:dyDescent="0.3">
      <c r="F12599"/>
      <c r="G12599"/>
      <c r="H12599"/>
      <c r="I12599"/>
    </row>
    <row r="12600" spans="6:9" x14ac:dyDescent="0.3">
      <c r="F12600"/>
      <c r="G12600"/>
      <c r="H12600"/>
      <c r="I12600"/>
    </row>
    <row r="12601" spans="6:9" x14ac:dyDescent="0.3">
      <c r="F12601"/>
      <c r="G12601"/>
      <c r="H12601"/>
      <c r="I12601"/>
    </row>
    <row r="12602" spans="6:9" x14ac:dyDescent="0.3">
      <c r="F12602"/>
      <c r="G12602"/>
      <c r="H12602"/>
      <c r="I12602"/>
    </row>
    <row r="12603" spans="6:9" x14ac:dyDescent="0.3">
      <c r="F12603"/>
      <c r="G12603"/>
      <c r="H12603"/>
      <c r="I12603"/>
    </row>
    <row r="12604" spans="6:9" x14ac:dyDescent="0.3">
      <c r="F12604"/>
      <c r="G12604"/>
      <c r="H12604"/>
      <c r="I12604"/>
    </row>
    <row r="12605" spans="6:9" x14ac:dyDescent="0.3">
      <c r="F12605"/>
      <c r="G12605"/>
      <c r="H12605"/>
      <c r="I12605"/>
    </row>
    <row r="12606" spans="6:9" x14ac:dyDescent="0.3">
      <c r="F12606"/>
      <c r="G12606"/>
      <c r="H12606"/>
      <c r="I12606"/>
    </row>
    <row r="12607" spans="6:9" x14ac:dyDescent="0.3">
      <c r="F12607"/>
      <c r="G12607"/>
      <c r="H12607"/>
      <c r="I12607"/>
    </row>
    <row r="12608" spans="6:9" x14ac:dyDescent="0.3">
      <c r="F12608"/>
      <c r="G12608"/>
      <c r="H12608"/>
      <c r="I12608"/>
    </row>
    <row r="12609" spans="6:9" x14ac:dyDescent="0.3">
      <c r="F12609"/>
      <c r="G12609"/>
      <c r="H12609"/>
      <c r="I12609"/>
    </row>
    <row r="12610" spans="6:9" x14ac:dyDescent="0.3">
      <c r="F12610"/>
      <c r="G12610"/>
      <c r="H12610"/>
      <c r="I12610"/>
    </row>
    <row r="12611" spans="6:9" x14ac:dyDescent="0.3">
      <c r="F12611"/>
      <c r="G12611"/>
      <c r="H12611"/>
      <c r="I12611"/>
    </row>
    <row r="12612" spans="6:9" x14ac:dyDescent="0.3">
      <c r="F12612"/>
      <c r="G12612"/>
      <c r="H12612"/>
      <c r="I12612"/>
    </row>
    <row r="12613" spans="6:9" x14ac:dyDescent="0.3">
      <c r="F12613"/>
      <c r="G12613"/>
      <c r="H12613"/>
      <c r="I12613"/>
    </row>
    <row r="12614" spans="6:9" x14ac:dyDescent="0.3">
      <c r="F12614"/>
      <c r="G12614"/>
      <c r="H12614"/>
      <c r="I12614"/>
    </row>
    <row r="12615" spans="6:9" x14ac:dyDescent="0.3">
      <c r="F12615"/>
      <c r="G12615"/>
      <c r="H12615"/>
      <c r="I12615"/>
    </row>
    <row r="12616" spans="6:9" x14ac:dyDescent="0.3">
      <c r="F12616"/>
      <c r="G12616"/>
      <c r="H12616"/>
      <c r="I12616"/>
    </row>
    <row r="12617" spans="6:9" x14ac:dyDescent="0.3">
      <c r="F12617"/>
      <c r="G12617"/>
      <c r="H12617"/>
      <c r="I12617"/>
    </row>
    <row r="12618" spans="6:9" x14ac:dyDescent="0.3">
      <c r="F12618"/>
      <c r="G12618"/>
      <c r="H12618"/>
      <c r="I12618"/>
    </row>
    <row r="12619" spans="6:9" x14ac:dyDescent="0.3">
      <c r="F12619"/>
      <c r="G12619"/>
      <c r="H12619"/>
      <c r="I12619"/>
    </row>
    <row r="12620" spans="6:9" x14ac:dyDescent="0.3">
      <c r="F12620"/>
      <c r="G12620"/>
      <c r="H12620"/>
      <c r="I12620"/>
    </row>
    <row r="12621" spans="6:9" x14ac:dyDescent="0.3">
      <c r="F12621"/>
      <c r="G12621"/>
      <c r="H12621"/>
      <c r="I12621"/>
    </row>
    <row r="12622" spans="6:9" x14ac:dyDescent="0.3">
      <c r="F12622"/>
      <c r="G12622"/>
      <c r="H12622"/>
      <c r="I12622"/>
    </row>
    <row r="12623" spans="6:9" x14ac:dyDescent="0.3">
      <c r="F12623"/>
      <c r="G12623"/>
      <c r="H12623"/>
      <c r="I12623"/>
    </row>
    <row r="12624" spans="6:9" x14ac:dyDescent="0.3">
      <c r="F12624"/>
      <c r="G12624"/>
      <c r="H12624"/>
      <c r="I12624"/>
    </row>
    <row r="12625" spans="6:9" x14ac:dyDescent="0.3">
      <c r="F12625"/>
      <c r="G12625"/>
      <c r="H12625"/>
      <c r="I12625"/>
    </row>
    <row r="12626" spans="6:9" x14ac:dyDescent="0.3">
      <c r="F12626"/>
      <c r="G12626"/>
      <c r="H12626"/>
      <c r="I12626"/>
    </row>
    <row r="12627" spans="6:9" x14ac:dyDescent="0.3">
      <c r="F12627"/>
      <c r="G12627"/>
      <c r="H12627"/>
      <c r="I12627"/>
    </row>
    <row r="12628" spans="6:9" x14ac:dyDescent="0.3">
      <c r="F12628"/>
      <c r="G12628"/>
      <c r="H12628"/>
      <c r="I12628"/>
    </row>
    <row r="12629" spans="6:9" x14ac:dyDescent="0.3">
      <c r="F12629"/>
      <c r="G12629"/>
      <c r="H12629"/>
      <c r="I12629"/>
    </row>
    <row r="12630" spans="6:9" x14ac:dyDescent="0.3">
      <c r="F12630"/>
      <c r="G12630"/>
      <c r="H12630"/>
      <c r="I12630"/>
    </row>
    <row r="12631" spans="6:9" x14ac:dyDescent="0.3">
      <c r="F12631"/>
      <c r="G12631"/>
      <c r="H12631"/>
      <c r="I12631"/>
    </row>
    <row r="12632" spans="6:9" x14ac:dyDescent="0.3">
      <c r="F12632"/>
      <c r="G12632"/>
      <c r="H12632"/>
      <c r="I12632"/>
    </row>
    <row r="12633" spans="6:9" x14ac:dyDescent="0.3">
      <c r="F12633"/>
      <c r="G12633"/>
      <c r="H12633"/>
      <c r="I12633"/>
    </row>
    <row r="12634" spans="6:9" x14ac:dyDescent="0.3">
      <c r="F12634"/>
      <c r="G12634"/>
      <c r="H12634"/>
      <c r="I12634"/>
    </row>
    <row r="12635" spans="6:9" x14ac:dyDescent="0.3">
      <c r="F12635"/>
      <c r="G12635"/>
      <c r="H12635"/>
      <c r="I12635"/>
    </row>
    <row r="12636" spans="6:9" x14ac:dyDescent="0.3">
      <c r="F12636"/>
      <c r="G12636"/>
      <c r="H12636"/>
      <c r="I12636"/>
    </row>
    <row r="12637" spans="6:9" x14ac:dyDescent="0.3">
      <c r="F12637"/>
      <c r="G12637"/>
      <c r="H12637"/>
      <c r="I12637"/>
    </row>
    <row r="12638" spans="6:9" x14ac:dyDescent="0.3">
      <c r="F12638"/>
      <c r="G12638"/>
      <c r="H12638"/>
      <c r="I12638"/>
    </row>
    <row r="12639" spans="6:9" x14ac:dyDescent="0.3">
      <c r="F12639"/>
      <c r="G12639"/>
      <c r="H12639"/>
      <c r="I12639"/>
    </row>
    <row r="12640" spans="6:9" x14ac:dyDescent="0.3">
      <c r="F12640"/>
      <c r="G12640"/>
      <c r="H12640"/>
      <c r="I12640"/>
    </row>
    <row r="12641" spans="6:9" x14ac:dyDescent="0.3">
      <c r="F12641"/>
      <c r="G12641"/>
      <c r="H12641"/>
      <c r="I12641"/>
    </row>
    <row r="12642" spans="6:9" x14ac:dyDescent="0.3">
      <c r="F12642"/>
      <c r="G12642"/>
      <c r="H12642"/>
      <c r="I12642"/>
    </row>
    <row r="12643" spans="6:9" x14ac:dyDescent="0.3">
      <c r="F12643"/>
      <c r="G12643"/>
      <c r="H12643"/>
      <c r="I12643"/>
    </row>
    <row r="12644" spans="6:9" x14ac:dyDescent="0.3">
      <c r="F12644"/>
      <c r="G12644"/>
      <c r="H12644"/>
      <c r="I12644"/>
    </row>
    <row r="12645" spans="6:9" x14ac:dyDescent="0.3">
      <c r="F12645"/>
      <c r="G12645"/>
      <c r="H12645"/>
      <c r="I12645"/>
    </row>
    <row r="12646" spans="6:9" x14ac:dyDescent="0.3">
      <c r="F12646"/>
      <c r="G12646"/>
      <c r="H12646"/>
      <c r="I12646"/>
    </row>
    <row r="12647" spans="6:9" x14ac:dyDescent="0.3">
      <c r="F12647"/>
      <c r="G12647"/>
      <c r="H12647"/>
      <c r="I12647"/>
    </row>
    <row r="12648" spans="6:9" x14ac:dyDescent="0.3">
      <c r="F12648"/>
      <c r="G12648"/>
      <c r="H12648"/>
      <c r="I12648"/>
    </row>
    <row r="12649" spans="6:9" x14ac:dyDescent="0.3">
      <c r="F12649"/>
      <c r="G12649"/>
      <c r="H12649"/>
      <c r="I12649"/>
    </row>
    <row r="12650" spans="6:9" x14ac:dyDescent="0.3">
      <c r="F12650"/>
      <c r="G12650"/>
      <c r="H12650"/>
      <c r="I12650"/>
    </row>
    <row r="12651" spans="6:9" x14ac:dyDescent="0.3">
      <c r="F12651"/>
      <c r="G12651"/>
      <c r="H12651"/>
      <c r="I12651"/>
    </row>
    <row r="12652" spans="6:9" x14ac:dyDescent="0.3">
      <c r="F12652"/>
      <c r="G12652"/>
      <c r="H12652"/>
      <c r="I12652"/>
    </row>
    <row r="12653" spans="6:9" x14ac:dyDescent="0.3">
      <c r="F12653"/>
      <c r="G12653"/>
      <c r="H12653"/>
      <c r="I12653"/>
    </row>
    <row r="12654" spans="6:9" x14ac:dyDescent="0.3">
      <c r="F12654"/>
      <c r="G12654"/>
      <c r="H12654"/>
      <c r="I12654"/>
    </row>
    <row r="12655" spans="6:9" x14ac:dyDescent="0.3">
      <c r="F12655"/>
      <c r="G12655"/>
      <c r="H12655"/>
      <c r="I12655"/>
    </row>
    <row r="12656" spans="6:9" x14ac:dyDescent="0.3">
      <c r="F12656"/>
      <c r="G12656"/>
      <c r="H12656"/>
      <c r="I12656"/>
    </row>
    <row r="12657" spans="6:9" x14ac:dyDescent="0.3">
      <c r="F12657"/>
      <c r="G12657"/>
      <c r="H12657"/>
      <c r="I12657"/>
    </row>
    <row r="12658" spans="6:9" x14ac:dyDescent="0.3">
      <c r="F12658"/>
      <c r="G12658"/>
      <c r="H12658"/>
      <c r="I12658"/>
    </row>
    <row r="12659" spans="6:9" x14ac:dyDescent="0.3">
      <c r="F12659"/>
      <c r="G12659"/>
      <c r="H12659"/>
      <c r="I12659"/>
    </row>
    <row r="12660" spans="6:9" x14ac:dyDescent="0.3">
      <c r="F12660"/>
      <c r="G12660"/>
      <c r="H12660"/>
      <c r="I12660"/>
    </row>
    <row r="12661" spans="6:9" x14ac:dyDescent="0.3">
      <c r="F12661"/>
      <c r="G12661"/>
      <c r="H12661"/>
      <c r="I12661"/>
    </row>
    <row r="12662" spans="6:9" x14ac:dyDescent="0.3">
      <c r="F12662"/>
      <c r="G12662"/>
      <c r="H12662"/>
      <c r="I12662"/>
    </row>
    <row r="12663" spans="6:9" x14ac:dyDescent="0.3">
      <c r="F12663"/>
      <c r="G12663"/>
      <c r="H12663"/>
      <c r="I12663"/>
    </row>
    <row r="12664" spans="6:9" x14ac:dyDescent="0.3">
      <c r="F12664"/>
      <c r="G12664"/>
      <c r="H12664"/>
      <c r="I12664"/>
    </row>
    <row r="12665" spans="6:9" x14ac:dyDescent="0.3">
      <c r="F12665"/>
      <c r="G12665"/>
      <c r="H12665"/>
      <c r="I12665"/>
    </row>
    <row r="12666" spans="6:9" x14ac:dyDescent="0.3">
      <c r="F12666"/>
      <c r="G12666"/>
      <c r="H12666"/>
      <c r="I12666"/>
    </row>
    <row r="12667" spans="6:9" x14ac:dyDescent="0.3">
      <c r="F12667"/>
      <c r="G12667"/>
      <c r="H12667"/>
      <c r="I12667"/>
    </row>
    <row r="12668" spans="6:9" x14ac:dyDescent="0.3">
      <c r="F12668"/>
      <c r="G12668"/>
      <c r="H12668"/>
      <c r="I12668"/>
    </row>
    <row r="12669" spans="6:9" x14ac:dyDescent="0.3">
      <c r="F12669"/>
      <c r="G12669"/>
      <c r="H12669"/>
      <c r="I12669"/>
    </row>
    <row r="12670" spans="6:9" x14ac:dyDescent="0.3">
      <c r="F12670"/>
      <c r="G12670"/>
      <c r="H12670"/>
      <c r="I12670"/>
    </row>
    <row r="12671" spans="6:9" x14ac:dyDescent="0.3">
      <c r="F12671"/>
      <c r="G12671"/>
      <c r="H12671"/>
      <c r="I12671"/>
    </row>
    <row r="12672" spans="6:9" x14ac:dyDescent="0.3">
      <c r="F12672"/>
      <c r="G12672"/>
      <c r="H12672"/>
      <c r="I12672"/>
    </row>
    <row r="12673" spans="6:9" x14ac:dyDescent="0.3">
      <c r="F12673"/>
      <c r="G12673"/>
      <c r="H12673"/>
      <c r="I12673"/>
    </row>
    <row r="12674" spans="6:9" x14ac:dyDescent="0.3">
      <c r="F12674"/>
      <c r="G12674"/>
      <c r="H12674"/>
      <c r="I12674"/>
    </row>
    <row r="12675" spans="6:9" x14ac:dyDescent="0.3">
      <c r="F12675"/>
      <c r="G12675"/>
      <c r="H12675"/>
      <c r="I12675"/>
    </row>
    <row r="12676" spans="6:9" x14ac:dyDescent="0.3">
      <c r="F12676"/>
      <c r="G12676"/>
      <c r="H12676"/>
      <c r="I12676"/>
    </row>
    <row r="12677" spans="6:9" x14ac:dyDescent="0.3">
      <c r="F12677"/>
      <c r="G12677"/>
      <c r="H12677"/>
      <c r="I12677"/>
    </row>
    <row r="12678" spans="6:9" x14ac:dyDescent="0.3">
      <c r="F12678"/>
      <c r="G12678"/>
      <c r="H12678"/>
      <c r="I12678"/>
    </row>
    <row r="12679" spans="6:9" x14ac:dyDescent="0.3">
      <c r="F12679"/>
      <c r="G12679"/>
      <c r="H12679"/>
      <c r="I12679"/>
    </row>
    <row r="12680" spans="6:9" x14ac:dyDescent="0.3">
      <c r="F12680"/>
      <c r="G12680"/>
      <c r="H12680"/>
      <c r="I12680"/>
    </row>
    <row r="12681" spans="6:9" x14ac:dyDescent="0.3">
      <c r="F12681"/>
      <c r="G12681"/>
      <c r="H12681"/>
      <c r="I12681"/>
    </row>
    <row r="12682" spans="6:9" x14ac:dyDescent="0.3">
      <c r="F12682"/>
      <c r="G12682"/>
      <c r="H12682"/>
      <c r="I12682"/>
    </row>
    <row r="12683" spans="6:9" x14ac:dyDescent="0.3">
      <c r="F12683"/>
      <c r="G12683"/>
      <c r="H12683"/>
      <c r="I12683"/>
    </row>
    <row r="12684" spans="6:9" x14ac:dyDescent="0.3">
      <c r="F12684"/>
      <c r="G12684"/>
      <c r="H12684"/>
      <c r="I12684"/>
    </row>
    <row r="12685" spans="6:9" x14ac:dyDescent="0.3">
      <c r="F12685"/>
      <c r="G12685"/>
      <c r="H12685"/>
      <c r="I12685"/>
    </row>
    <row r="12686" spans="6:9" x14ac:dyDescent="0.3">
      <c r="F12686"/>
      <c r="G12686"/>
      <c r="H12686"/>
      <c r="I12686"/>
    </row>
    <row r="12687" spans="6:9" x14ac:dyDescent="0.3">
      <c r="F12687"/>
      <c r="G12687"/>
      <c r="H12687"/>
      <c r="I12687"/>
    </row>
    <row r="12688" spans="6:9" x14ac:dyDescent="0.3">
      <c r="F12688"/>
      <c r="G12688"/>
      <c r="H12688"/>
      <c r="I12688"/>
    </row>
    <row r="12689" spans="6:9" x14ac:dyDescent="0.3">
      <c r="F12689"/>
      <c r="G12689"/>
      <c r="H12689"/>
      <c r="I12689"/>
    </row>
    <row r="12690" spans="6:9" x14ac:dyDescent="0.3">
      <c r="F12690"/>
      <c r="G12690"/>
      <c r="H12690"/>
      <c r="I12690"/>
    </row>
    <row r="12691" spans="6:9" x14ac:dyDescent="0.3">
      <c r="F12691"/>
      <c r="G12691"/>
      <c r="H12691"/>
      <c r="I12691"/>
    </row>
    <row r="12692" spans="6:9" x14ac:dyDescent="0.3">
      <c r="F12692"/>
      <c r="G12692"/>
      <c r="H12692"/>
      <c r="I12692"/>
    </row>
    <row r="12693" spans="6:9" x14ac:dyDescent="0.3">
      <c r="F12693"/>
      <c r="G12693"/>
      <c r="H12693"/>
      <c r="I12693"/>
    </row>
    <row r="12694" spans="6:9" x14ac:dyDescent="0.3">
      <c r="F12694"/>
      <c r="G12694"/>
      <c r="H12694"/>
      <c r="I12694"/>
    </row>
    <row r="12695" spans="6:9" x14ac:dyDescent="0.3">
      <c r="F12695"/>
      <c r="G12695"/>
      <c r="H12695"/>
      <c r="I12695"/>
    </row>
    <row r="12696" spans="6:9" x14ac:dyDescent="0.3">
      <c r="F12696"/>
      <c r="G12696"/>
      <c r="H12696"/>
      <c r="I12696"/>
    </row>
    <row r="12697" spans="6:9" x14ac:dyDescent="0.3">
      <c r="F12697"/>
      <c r="G12697"/>
      <c r="H12697"/>
      <c r="I12697"/>
    </row>
    <row r="12698" spans="6:9" x14ac:dyDescent="0.3">
      <c r="F12698"/>
      <c r="G12698"/>
      <c r="H12698"/>
      <c r="I12698"/>
    </row>
    <row r="12699" spans="6:9" x14ac:dyDescent="0.3">
      <c r="F12699"/>
      <c r="G12699"/>
      <c r="H12699"/>
      <c r="I12699"/>
    </row>
    <row r="12700" spans="6:9" x14ac:dyDescent="0.3">
      <c r="F12700"/>
      <c r="G12700"/>
      <c r="H12700"/>
      <c r="I12700"/>
    </row>
    <row r="12701" spans="6:9" x14ac:dyDescent="0.3">
      <c r="F12701"/>
      <c r="G12701"/>
      <c r="H12701"/>
      <c r="I12701"/>
    </row>
    <row r="12702" spans="6:9" x14ac:dyDescent="0.3">
      <c r="F12702"/>
      <c r="G12702"/>
      <c r="H12702"/>
      <c r="I12702"/>
    </row>
    <row r="12703" spans="6:9" x14ac:dyDescent="0.3">
      <c r="F12703"/>
      <c r="G12703"/>
      <c r="H12703"/>
      <c r="I12703"/>
    </row>
    <row r="12704" spans="6:9" x14ac:dyDescent="0.3">
      <c r="F12704"/>
      <c r="G12704"/>
      <c r="H12704"/>
      <c r="I12704"/>
    </row>
    <row r="12705" spans="6:9" x14ac:dyDescent="0.3">
      <c r="F12705"/>
      <c r="G12705"/>
      <c r="H12705"/>
      <c r="I12705"/>
    </row>
    <row r="12706" spans="6:9" x14ac:dyDescent="0.3">
      <c r="F12706"/>
      <c r="G12706"/>
      <c r="H12706"/>
      <c r="I12706"/>
    </row>
    <row r="12707" spans="6:9" x14ac:dyDescent="0.3">
      <c r="F12707"/>
      <c r="G12707"/>
      <c r="H12707"/>
      <c r="I12707"/>
    </row>
    <row r="12708" spans="6:9" x14ac:dyDescent="0.3">
      <c r="F12708"/>
      <c r="G12708"/>
      <c r="H12708"/>
      <c r="I12708"/>
    </row>
    <row r="12709" spans="6:9" x14ac:dyDescent="0.3">
      <c r="F12709"/>
      <c r="G12709"/>
      <c r="H12709"/>
      <c r="I12709"/>
    </row>
    <row r="12710" spans="6:9" x14ac:dyDescent="0.3">
      <c r="F12710"/>
      <c r="G12710"/>
      <c r="H12710"/>
      <c r="I12710"/>
    </row>
    <row r="12711" spans="6:9" x14ac:dyDescent="0.3">
      <c r="F12711"/>
      <c r="G12711"/>
      <c r="H12711"/>
      <c r="I12711"/>
    </row>
    <row r="12712" spans="6:9" x14ac:dyDescent="0.3">
      <c r="F12712"/>
      <c r="G12712"/>
      <c r="H12712"/>
      <c r="I12712"/>
    </row>
    <row r="12713" spans="6:9" x14ac:dyDescent="0.3">
      <c r="F12713"/>
      <c r="G12713"/>
      <c r="H12713"/>
      <c r="I12713"/>
    </row>
    <row r="12714" spans="6:9" x14ac:dyDescent="0.3">
      <c r="F12714"/>
      <c r="G12714"/>
      <c r="H12714"/>
      <c r="I12714"/>
    </row>
    <row r="12715" spans="6:9" x14ac:dyDescent="0.3">
      <c r="F12715"/>
      <c r="G12715"/>
      <c r="H12715"/>
      <c r="I12715"/>
    </row>
    <row r="12716" spans="6:9" x14ac:dyDescent="0.3">
      <c r="F12716"/>
      <c r="G12716"/>
      <c r="H12716"/>
      <c r="I12716"/>
    </row>
    <row r="12717" spans="6:9" x14ac:dyDescent="0.3">
      <c r="F12717"/>
      <c r="G12717"/>
      <c r="H12717"/>
      <c r="I12717"/>
    </row>
    <row r="12718" spans="6:9" x14ac:dyDescent="0.3">
      <c r="F12718"/>
      <c r="G12718"/>
      <c r="H12718"/>
      <c r="I12718"/>
    </row>
    <row r="12719" spans="6:9" x14ac:dyDescent="0.3">
      <c r="F12719"/>
      <c r="G12719"/>
      <c r="H12719"/>
      <c r="I12719"/>
    </row>
    <row r="12720" spans="6:9" x14ac:dyDescent="0.3">
      <c r="F12720"/>
      <c r="G12720"/>
      <c r="H12720"/>
      <c r="I12720"/>
    </row>
    <row r="12721" spans="6:9" x14ac:dyDescent="0.3">
      <c r="F12721"/>
      <c r="G12721"/>
      <c r="H12721"/>
      <c r="I12721"/>
    </row>
    <row r="12722" spans="6:9" x14ac:dyDescent="0.3">
      <c r="F12722"/>
      <c r="G12722"/>
      <c r="H12722"/>
      <c r="I12722"/>
    </row>
    <row r="12723" spans="6:9" x14ac:dyDescent="0.3">
      <c r="F12723"/>
      <c r="G12723"/>
      <c r="H12723"/>
      <c r="I12723"/>
    </row>
    <row r="12724" spans="6:9" x14ac:dyDescent="0.3">
      <c r="F12724"/>
      <c r="G12724"/>
      <c r="H12724"/>
      <c r="I12724"/>
    </row>
    <row r="12725" spans="6:9" x14ac:dyDescent="0.3">
      <c r="F12725"/>
      <c r="G12725"/>
      <c r="H12725"/>
      <c r="I12725"/>
    </row>
    <row r="12726" spans="6:9" x14ac:dyDescent="0.3">
      <c r="F12726"/>
      <c r="G12726"/>
      <c r="H12726"/>
      <c r="I12726"/>
    </row>
    <row r="12727" spans="6:9" x14ac:dyDescent="0.3">
      <c r="F12727"/>
      <c r="G12727"/>
      <c r="H12727"/>
      <c r="I12727"/>
    </row>
    <row r="12728" spans="6:9" x14ac:dyDescent="0.3">
      <c r="F12728"/>
      <c r="G12728"/>
      <c r="H12728"/>
      <c r="I12728"/>
    </row>
    <row r="12729" spans="6:9" x14ac:dyDescent="0.3">
      <c r="F12729"/>
      <c r="G12729"/>
      <c r="H12729"/>
      <c r="I12729"/>
    </row>
    <row r="12730" spans="6:9" x14ac:dyDescent="0.3">
      <c r="F12730"/>
      <c r="G12730"/>
      <c r="H12730"/>
      <c r="I12730"/>
    </row>
    <row r="12731" spans="6:9" x14ac:dyDescent="0.3">
      <c r="F12731"/>
      <c r="G12731"/>
      <c r="H12731"/>
      <c r="I12731"/>
    </row>
    <row r="12732" spans="6:9" x14ac:dyDescent="0.3">
      <c r="F12732"/>
      <c r="G12732"/>
      <c r="H12732"/>
      <c r="I12732"/>
    </row>
    <row r="12733" spans="6:9" x14ac:dyDescent="0.3">
      <c r="F12733"/>
      <c r="G12733"/>
      <c r="H12733"/>
      <c r="I12733"/>
    </row>
    <row r="12734" spans="6:9" x14ac:dyDescent="0.3">
      <c r="F12734"/>
      <c r="G12734"/>
      <c r="H12734"/>
      <c r="I12734"/>
    </row>
    <row r="12735" spans="6:9" x14ac:dyDescent="0.3">
      <c r="F12735"/>
      <c r="G12735"/>
      <c r="H12735"/>
      <c r="I12735"/>
    </row>
    <row r="12736" spans="6:9" x14ac:dyDescent="0.3">
      <c r="F12736"/>
      <c r="G12736"/>
      <c r="H12736"/>
      <c r="I12736"/>
    </row>
    <row r="12737" spans="6:9" x14ac:dyDescent="0.3">
      <c r="F12737"/>
      <c r="G12737"/>
      <c r="H12737"/>
      <c r="I12737"/>
    </row>
    <row r="12738" spans="6:9" x14ac:dyDescent="0.3">
      <c r="F12738"/>
      <c r="G12738"/>
      <c r="H12738"/>
      <c r="I12738"/>
    </row>
    <row r="12739" spans="6:9" x14ac:dyDescent="0.3">
      <c r="F12739"/>
      <c r="G12739"/>
      <c r="H12739"/>
      <c r="I12739"/>
    </row>
    <row r="12740" spans="6:9" x14ac:dyDescent="0.3">
      <c r="F12740"/>
      <c r="G12740"/>
      <c r="H12740"/>
      <c r="I12740"/>
    </row>
    <row r="12741" spans="6:9" x14ac:dyDescent="0.3">
      <c r="F12741"/>
      <c r="G12741"/>
      <c r="H12741"/>
      <c r="I12741"/>
    </row>
    <row r="12742" spans="6:9" x14ac:dyDescent="0.3">
      <c r="F12742"/>
      <c r="G12742"/>
      <c r="H12742"/>
      <c r="I12742"/>
    </row>
    <row r="12743" spans="6:9" x14ac:dyDescent="0.3">
      <c r="F12743"/>
      <c r="G12743"/>
      <c r="H12743"/>
      <c r="I12743"/>
    </row>
    <row r="12744" spans="6:9" x14ac:dyDescent="0.3">
      <c r="F12744"/>
      <c r="G12744"/>
      <c r="H12744"/>
      <c r="I12744"/>
    </row>
    <row r="12745" spans="6:9" x14ac:dyDescent="0.3">
      <c r="F12745"/>
      <c r="G12745"/>
      <c r="H12745"/>
      <c r="I12745"/>
    </row>
    <row r="12746" spans="6:9" x14ac:dyDescent="0.3">
      <c r="F12746"/>
      <c r="G12746"/>
      <c r="H12746"/>
      <c r="I12746"/>
    </row>
    <row r="12747" spans="6:9" x14ac:dyDescent="0.3">
      <c r="F12747"/>
      <c r="G12747"/>
      <c r="H12747"/>
      <c r="I12747"/>
    </row>
    <row r="12748" spans="6:9" x14ac:dyDescent="0.3">
      <c r="F12748"/>
      <c r="G12748"/>
      <c r="H12748"/>
      <c r="I12748"/>
    </row>
    <row r="12749" spans="6:9" x14ac:dyDescent="0.3">
      <c r="F12749"/>
      <c r="G12749"/>
      <c r="H12749"/>
      <c r="I12749"/>
    </row>
    <row r="12750" spans="6:9" x14ac:dyDescent="0.3">
      <c r="F12750"/>
      <c r="G12750"/>
      <c r="H12750"/>
      <c r="I12750"/>
    </row>
    <row r="12751" spans="6:9" x14ac:dyDescent="0.3">
      <c r="F12751"/>
      <c r="G12751"/>
      <c r="H12751"/>
      <c r="I12751"/>
    </row>
    <row r="12752" spans="6:9" x14ac:dyDescent="0.3">
      <c r="F12752"/>
      <c r="G12752"/>
      <c r="H12752"/>
      <c r="I12752"/>
    </row>
    <row r="12753" spans="6:9" x14ac:dyDescent="0.3">
      <c r="F12753"/>
      <c r="G12753"/>
      <c r="H12753"/>
      <c r="I12753"/>
    </row>
    <row r="12754" spans="6:9" x14ac:dyDescent="0.3">
      <c r="F12754"/>
      <c r="G12754"/>
      <c r="H12754"/>
      <c r="I12754"/>
    </row>
    <row r="12755" spans="6:9" x14ac:dyDescent="0.3">
      <c r="F12755"/>
      <c r="G12755"/>
      <c r="H12755"/>
      <c r="I12755"/>
    </row>
    <row r="12756" spans="6:9" x14ac:dyDescent="0.3">
      <c r="F12756"/>
      <c r="G12756"/>
      <c r="H12756"/>
      <c r="I12756"/>
    </row>
    <row r="12757" spans="6:9" x14ac:dyDescent="0.3">
      <c r="F12757"/>
      <c r="G12757"/>
      <c r="H12757"/>
      <c r="I12757"/>
    </row>
    <row r="12758" spans="6:9" x14ac:dyDescent="0.3">
      <c r="F12758"/>
      <c r="G12758"/>
      <c r="H12758"/>
      <c r="I12758"/>
    </row>
    <row r="12759" spans="6:9" x14ac:dyDescent="0.3">
      <c r="F12759"/>
      <c r="G12759"/>
      <c r="H12759"/>
      <c r="I12759"/>
    </row>
    <row r="12760" spans="6:9" x14ac:dyDescent="0.3">
      <c r="F12760"/>
      <c r="G12760"/>
      <c r="H12760"/>
      <c r="I12760"/>
    </row>
    <row r="12761" spans="6:9" x14ac:dyDescent="0.3">
      <c r="F12761"/>
      <c r="G12761"/>
      <c r="H12761"/>
      <c r="I12761"/>
    </row>
    <row r="12762" spans="6:9" x14ac:dyDescent="0.3">
      <c r="F12762"/>
      <c r="G12762"/>
      <c r="H12762"/>
      <c r="I12762"/>
    </row>
    <row r="12763" spans="6:9" x14ac:dyDescent="0.3">
      <c r="F12763"/>
      <c r="G12763"/>
      <c r="H12763"/>
      <c r="I12763"/>
    </row>
    <row r="12764" spans="6:9" x14ac:dyDescent="0.3">
      <c r="F12764"/>
      <c r="G12764"/>
      <c r="H12764"/>
      <c r="I12764"/>
    </row>
    <row r="12765" spans="6:9" x14ac:dyDescent="0.3">
      <c r="F12765"/>
      <c r="G12765"/>
      <c r="H12765"/>
      <c r="I12765"/>
    </row>
    <row r="12766" spans="6:9" x14ac:dyDescent="0.3">
      <c r="F12766"/>
      <c r="G12766"/>
      <c r="H12766"/>
      <c r="I12766"/>
    </row>
    <row r="12767" spans="6:9" x14ac:dyDescent="0.3">
      <c r="F12767"/>
      <c r="G12767"/>
      <c r="H12767"/>
      <c r="I12767"/>
    </row>
    <row r="12768" spans="6:9" x14ac:dyDescent="0.3">
      <c r="F12768"/>
      <c r="G12768"/>
      <c r="H12768"/>
      <c r="I12768"/>
    </row>
    <row r="12769" spans="6:9" x14ac:dyDescent="0.3">
      <c r="F12769"/>
      <c r="G12769"/>
      <c r="H12769"/>
      <c r="I12769"/>
    </row>
    <row r="12770" spans="6:9" x14ac:dyDescent="0.3">
      <c r="F12770"/>
      <c r="G12770"/>
      <c r="H12770"/>
      <c r="I12770"/>
    </row>
    <row r="12771" spans="6:9" x14ac:dyDescent="0.3">
      <c r="F12771"/>
      <c r="G12771"/>
      <c r="H12771"/>
      <c r="I12771"/>
    </row>
    <row r="12772" spans="6:9" x14ac:dyDescent="0.3">
      <c r="F12772"/>
      <c r="G12772"/>
      <c r="H12772"/>
      <c r="I12772"/>
    </row>
    <row r="12773" spans="6:9" x14ac:dyDescent="0.3">
      <c r="F12773"/>
      <c r="G12773"/>
      <c r="H12773"/>
      <c r="I12773"/>
    </row>
    <row r="12774" spans="6:9" x14ac:dyDescent="0.3">
      <c r="F12774"/>
      <c r="G12774"/>
      <c r="H12774"/>
      <c r="I12774"/>
    </row>
    <row r="12775" spans="6:9" x14ac:dyDescent="0.3">
      <c r="F12775"/>
      <c r="G12775"/>
      <c r="H12775"/>
      <c r="I12775"/>
    </row>
    <row r="12776" spans="6:9" x14ac:dyDescent="0.3">
      <c r="F12776"/>
      <c r="G12776"/>
      <c r="H12776"/>
      <c r="I12776"/>
    </row>
    <row r="12777" spans="6:9" x14ac:dyDescent="0.3">
      <c r="F12777"/>
      <c r="G12777"/>
      <c r="H12777"/>
      <c r="I12777"/>
    </row>
    <row r="12778" spans="6:9" x14ac:dyDescent="0.3">
      <c r="F12778"/>
      <c r="G12778"/>
      <c r="H12778"/>
      <c r="I12778"/>
    </row>
    <row r="12779" spans="6:9" x14ac:dyDescent="0.3">
      <c r="F12779"/>
      <c r="G12779"/>
      <c r="H12779"/>
      <c r="I12779"/>
    </row>
    <row r="12780" spans="6:9" x14ac:dyDescent="0.3">
      <c r="F12780"/>
      <c r="G12780"/>
      <c r="H12780"/>
      <c r="I12780"/>
    </row>
    <row r="12781" spans="6:9" x14ac:dyDescent="0.3">
      <c r="F12781"/>
      <c r="G12781"/>
      <c r="H12781"/>
      <c r="I12781"/>
    </row>
    <row r="12782" spans="6:9" x14ac:dyDescent="0.3">
      <c r="F12782"/>
      <c r="G12782"/>
      <c r="H12782"/>
      <c r="I12782"/>
    </row>
    <row r="12783" spans="6:9" x14ac:dyDescent="0.3">
      <c r="F12783"/>
      <c r="G12783"/>
      <c r="H12783"/>
      <c r="I12783"/>
    </row>
    <row r="12784" spans="6:9" x14ac:dyDescent="0.3">
      <c r="F12784"/>
      <c r="G12784"/>
      <c r="H12784"/>
      <c r="I12784"/>
    </row>
    <row r="12785" spans="6:9" x14ac:dyDescent="0.3">
      <c r="F12785"/>
      <c r="G12785"/>
      <c r="H12785"/>
      <c r="I12785"/>
    </row>
    <row r="12786" spans="6:9" x14ac:dyDescent="0.3">
      <c r="F12786"/>
      <c r="G12786"/>
      <c r="H12786"/>
      <c r="I12786"/>
    </row>
    <row r="12787" spans="6:9" x14ac:dyDescent="0.3">
      <c r="F12787"/>
      <c r="G12787"/>
      <c r="H12787"/>
      <c r="I12787"/>
    </row>
    <row r="12788" spans="6:9" x14ac:dyDescent="0.3">
      <c r="F12788"/>
      <c r="G12788"/>
      <c r="H12788"/>
      <c r="I12788"/>
    </row>
    <row r="12789" spans="6:9" x14ac:dyDescent="0.3">
      <c r="F12789"/>
      <c r="G12789"/>
      <c r="H12789"/>
      <c r="I12789"/>
    </row>
    <row r="12790" spans="6:9" x14ac:dyDescent="0.3">
      <c r="F12790"/>
      <c r="G12790"/>
      <c r="H12790"/>
      <c r="I12790"/>
    </row>
    <row r="12791" spans="6:9" x14ac:dyDescent="0.3">
      <c r="F12791"/>
      <c r="G12791"/>
      <c r="H12791"/>
      <c r="I12791"/>
    </row>
    <row r="12792" spans="6:9" x14ac:dyDescent="0.3">
      <c r="F12792"/>
      <c r="G12792"/>
      <c r="H12792"/>
      <c r="I12792"/>
    </row>
    <row r="12793" spans="6:9" x14ac:dyDescent="0.3">
      <c r="F12793"/>
      <c r="G12793"/>
      <c r="H12793"/>
      <c r="I12793"/>
    </row>
    <row r="12794" spans="6:9" x14ac:dyDescent="0.3">
      <c r="F12794"/>
      <c r="G12794"/>
      <c r="H12794"/>
      <c r="I12794"/>
    </row>
    <row r="12795" spans="6:9" x14ac:dyDescent="0.3">
      <c r="F12795"/>
      <c r="G12795"/>
      <c r="H12795"/>
      <c r="I12795"/>
    </row>
    <row r="12796" spans="6:9" x14ac:dyDescent="0.3">
      <c r="F12796"/>
      <c r="G12796"/>
      <c r="H12796"/>
      <c r="I12796"/>
    </row>
    <row r="12797" spans="6:9" x14ac:dyDescent="0.3">
      <c r="F12797"/>
      <c r="G12797"/>
      <c r="H12797"/>
      <c r="I12797"/>
    </row>
    <row r="12798" spans="6:9" x14ac:dyDescent="0.3">
      <c r="F12798"/>
      <c r="G12798"/>
      <c r="H12798"/>
      <c r="I12798"/>
    </row>
    <row r="12799" spans="6:9" x14ac:dyDescent="0.3">
      <c r="F12799"/>
      <c r="G12799"/>
      <c r="H12799"/>
      <c r="I12799"/>
    </row>
    <row r="12800" spans="6:9" x14ac:dyDescent="0.3">
      <c r="F12800"/>
      <c r="G12800"/>
      <c r="H12800"/>
      <c r="I12800"/>
    </row>
    <row r="12801" spans="6:9" x14ac:dyDescent="0.3">
      <c r="F12801"/>
      <c r="G12801"/>
      <c r="H12801"/>
      <c r="I12801"/>
    </row>
    <row r="12802" spans="6:9" x14ac:dyDescent="0.3">
      <c r="F12802"/>
      <c r="G12802"/>
      <c r="H12802"/>
      <c r="I12802"/>
    </row>
    <row r="12803" spans="6:9" x14ac:dyDescent="0.3">
      <c r="F12803"/>
      <c r="G12803"/>
      <c r="H12803"/>
      <c r="I12803"/>
    </row>
    <row r="12804" spans="6:9" x14ac:dyDescent="0.3">
      <c r="F12804"/>
      <c r="G12804"/>
      <c r="H12804"/>
      <c r="I12804"/>
    </row>
    <row r="12805" spans="6:9" x14ac:dyDescent="0.3">
      <c r="F12805"/>
      <c r="G12805"/>
      <c r="H12805"/>
      <c r="I12805"/>
    </row>
    <row r="12806" spans="6:9" x14ac:dyDescent="0.3">
      <c r="F12806"/>
      <c r="G12806"/>
      <c r="H12806"/>
      <c r="I12806"/>
    </row>
    <row r="12807" spans="6:9" x14ac:dyDescent="0.3">
      <c r="F12807"/>
      <c r="G12807"/>
      <c r="H12807"/>
      <c r="I12807"/>
    </row>
    <row r="12808" spans="6:9" x14ac:dyDescent="0.3">
      <c r="F12808"/>
      <c r="G12808"/>
      <c r="H12808"/>
      <c r="I12808"/>
    </row>
    <row r="12809" spans="6:9" x14ac:dyDescent="0.3">
      <c r="F12809"/>
      <c r="G12809"/>
      <c r="H12809"/>
      <c r="I12809"/>
    </row>
    <row r="12810" spans="6:9" x14ac:dyDescent="0.3">
      <c r="F12810"/>
      <c r="G12810"/>
      <c r="H12810"/>
      <c r="I12810"/>
    </row>
    <row r="12811" spans="6:9" x14ac:dyDescent="0.3">
      <c r="F12811"/>
      <c r="G12811"/>
      <c r="H12811"/>
      <c r="I12811"/>
    </row>
    <row r="12812" spans="6:9" x14ac:dyDescent="0.3">
      <c r="F12812"/>
      <c r="G12812"/>
      <c r="H12812"/>
      <c r="I12812"/>
    </row>
    <row r="12813" spans="6:9" x14ac:dyDescent="0.3">
      <c r="F12813"/>
      <c r="G12813"/>
      <c r="H12813"/>
      <c r="I12813"/>
    </row>
    <row r="12814" spans="6:9" x14ac:dyDescent="0.3">
      <c r="F12814"/>
      <c r="G12814"/>
      <c r="H12814"/>
      <c r="I12814"/>
    </row>
    <row r="12815" spans="6:9" x14ac:dyDescent="0.3">
      <c r="F12815"/>
      <c r="G12815"/>
      <c r="H12815"/>
      <c r="I12815"/>
    </row>
    <row r="12816" spans="6:9" x14ac:dyDescent="0.3">
      <c r="F12816"/>
      <c r="G12816"/>
      <c r="H12816"/>
      <c r="I12816"/>
    </row>
    <row r="12817" spans="6:9" x14ac:dyDescent="0.3">
      <c r="F12817"/>
      <c r="G12817"/>
      <c r="H12817"/>
      <c r="I12817"/>
    </row>
    <row r="12818" spans="6:9" x14ac:dyDescent="0.3">
      <c r="F12818"/>
      <c r="G12818"/>
      <c r="H12818"/>
      <c r="I12818"/>
    </row>
    <row r="12819" spans="6:9" x14ac:dyDescent="0.3">
      <c r="F12819"/>
      <c r="G12819"/>
      <c r="H12819"/>
      <c r="I12819"/>
    </row>
    <row r="12820" spans="6:9" x14ac:dyDescent="0.3">
      <c r="F12820"/>
      <c r="G12820"/>
      <c r="H12820"/>
      <c r="I12820"/>
    </row>
    <row r="12821" spans="6:9" x14ac:dyDescent="0.3">
      <c r="F12821"/>
      <c r="G12821"/>
      <c r="H12821"/>
      <c r="I12821"/>
    </row>
    <row r="12822" spans="6:9" x14ac:dyDescent="0.3">
      <c r="F12822"/>
      <c r="G12822"/>
      <c r="H12822"/>
      <c r="I12822"/>
    </row>
    <row r="12823" spans="6:9" x14ac:dyDescent="0.3">
      <c r="F12823"/>
      <c r="G12823"/>
      <c r="H12823"/>
      <c r="I12823"/>
    </row>
    <row r="12824" spans="6:9" x14ac:dyDescent="0.3">
      <c r="F12824"/>
      <c r="G12824"/>
      <c r="H12824"/>
      <c r="I12824"/>
    </row>
    <row r="12825" spans="6:9" x14ac:dyDescent="0.3">
      <c r="F12825"/>
      <c r="G12825"/>
      <c r="H12825"/>
      <c r="I12825"/>
    </row>
    <row r="12826" spans="6:9" x14ac:dyDescent="0.3">
      <c r="F12826"/>
      <c r="G12826"/>
      <c r="H12826"/>
      <c r="I12826"/>
    </row>
    <row r="12827" spans="6:9" x14ac:dyDescent="0.3">
      <c r="F12827"/>
      <c r="G12827"/>
      <c r="H12827"/>
      <c r="I12827"/>
    </row>
    <row r="12828" spans="6:9" x14ac:dyDescent="0.3">
      <c r="F12828"/>
      <c r="G12828"/>
      <c r="H12828"/>
      <c r="I12828"/>
    </row>
    <row r="12829" spans="6:9" x14ac:dyDescent="0.3">
      <c r="F12829"/>
      <c r="G12829"/>
      <c r="H12829"/>
      <c r="I12829"/>
    </row>
    <row r="12830" spans="6:9" x14ac:dyDescent="0.3">
      <c r="F12830"/>
      <c r="G12830"/>
      <c r="H12830"/>
      <c r="I12830"/>
    </row>
    <row r="12831" spans="6:9" x14ac:dyDescent="0.3">
      <c r="F12831"/>
      <c r="G12831"/>
      <c r="H12831"/>
      <c r="I12831"/>
    </row>
    <row r="12832" spans="6:9" x14ac:dyDescent="0.3">
      <c r="F12832"/>
      <c r="G12832"/>
      <c r="H12832"/>
      <c r="I12832"/>
    </row>
    <row r="12833" spans="6:9" x14ac:dyDescent="0.3">
      <c r="F12833"/>
      <c r="G12833"/>
      <c r="H12833"/>
      <c r="I12833"/>
    </row>
    <row r="12834" spans="6:9" x14ac:dyDescent="0.3">
      <c r="F12834"/>
      <c r="G12834"/>
      <c r="H12834"/>
      <c r="I12834"/>
    </row>
    <row r="12835" spans="6:9" x14ac:dyDescent="0.3">
      <c r="F12835"/>
      <c r="G12835"/>
      <c r="H12835"/>
      <c r="I12835"/>
    </row>
    <row r="12836" spans="6:9" x14ac:dyDescent="0.3">
      <c r="F12836"/>
      <c r="G12836"/>
      <c r="H12836"/>
      <c r="I12836"/>
    </row>
    <row r="12837" spans="6:9" x14ac:dyDescent="0.3">
      <c r="F12837"/>
      <c r="G12837"/>
      <c r="H12837"/>
      <c r="I12837"/>
    </row>
    <row r="12838" spans="6:9" x14ac:dyDescent="0.3">
      <c r="F12838"/>
      <c r="G12838"/>
      <c r="H12838"/>
      <c r="I12838"/>
    </row>
    <row r="12839" spans="6:9" x14ac:dyDescent="0.3">
      <c r="F12839"/>
      <c r="G12839"/>
      <c r="H12839"/>
      <c r="I12839"/>
    </row>
    <row r="12840" spans="6:9" x14ac:dyDescent="0.3">
      <c r="F12840"/>
      <c r="G12840"/>
      <c r="H12840"/>
      <c r="I12840"/>
    </row>
    <row r="12841" spans="6:9" x14ac:dyDescent="0.3">
      <c r="F12841"/>
      <c r="G12841"/>
      <c r="H12841"/>
      <c r="I12841"/>
    </row>
    <row r="12842" spans="6:9" x14ac:dyDescent="0.3">
      <c r="F12842"/>
      <c r="G12842"/>
      <c r="H12842"/>
      <c r="I12842"/>
    </row>
    <row r="12843" spans="6:9" x14ac:dyDescent="0.3">
      <c r="F12843"/>
      <c r="G12843"/>
      <c r="H12843"/>
      <c r="I12843"/>
    </row>
    <row r="12844" spans="6:9" x14ac:dyDescent="0.3">
      <c r="F12844"/>
      <c r="G12844"/>
      <c r="H12844"/>
      <c r="I12844"/>
    </row>
    <row r="12845" spans="6:9" x14ac:dyDescent="0.3">
      <c r="F12845"/>
      <c r="G12845"/>
      <c r="H12845"/>
      <c r="I12845"/>
    </row>
    <row r="12846" spans="6:9" x14ac:dyDescent="0.3">
      <c r="F12846"/>
      <c r="G12846"/>
      <c r="H12846"/>
      <c r="I12846"/>
    </row>
    <row r="12847" spans="6:9" x14ac:dyDescent="0.3">
      <c r="F12847"/>
      <c r="G12847"/>
      <c r="H12847"/>
      <c r="I12847"/>
    </row>
    <row r="12848" spans="6:9" x14ac:dyDescent="0.3">
      <c r="F12848"/>
      <c r="G12848"/>
      <c r="H12848"/>
      <c r="I12848"/>
    </row>
    <row r="12849" spans="6:9" x14ac:dyDescent="0.3">
      <c r="F12849"/>
      <c r="G12849"/>
      <c r="H12849"/>
      <c r="I12849"/>
    </row>
    <row r="12850" spans="6:9" x14ac:dyDescent="0.3">
      <c r="F12850"/>
      <c r="G12850"/>
      <c r="H12850"/>
      <c r="I12850"/>
    </row>
    <row r="12851" spans="6:9" x14ac:dyDescent="0.3">
      <c r="F12851"/>
      <c r="G12851"/>
      <c r="H12851"/>
      <c r="I12851"/>
    </row>
    <row r="12852" spans="6:9" x14ac:dyDescent="0.3">
      <c r="F12852"/>
      <c r="G12852"/>
      <c r="H12852"/>
      <c r="I12852"/>
    </row>
    <row r="12853" spans="6:9" x14ac:dyDescent="0.3">
      <c r="F12853"/>
      <c r="G12853"/>
      <c r="H12853"/>
      <c r="I12853"/>
    </row>
    <row r="12854" spans="6:9" x14ac:dyDescent="0.3">
      <c r="F12854"/>
      <c r="G12854"/>
      <c r="H12854"/>
      <c r="I12854"/>
    </row>
    <row r="12855" spans="6:9" x14ac:dyDescent="0.3">
      <c r="F12855"/>
      <c r="G12855"/>
      <c r="H12855"/>
      <c r="I12855"/>
    </row>
    <row r="12856" spans="6:9" x14ac:dyDescent="0.3">
      <c r="F12856"/>
      <c r="G12856"/>
      <c r="H12856"/>
      <c r="I12856"/>
    </row>
    <row r="12857" spans="6:9" x14ac:dyDescent="0.3">
      <c r="F12857"/>
      <c r="G12857"/>
      <c r="H12857"/>
      <c r="I12857"/>
    </row>
    <row r="12858" spans="6:9" x14ac:dyDescent="0.3">
      <c r="F12858"/>
      <c r="G12858"/>
      <c r="H12858"/>
      <c r="I12858"/>
    </row>
    <row r="12859" spans="6:9" x14ac:dyDescent="0.3">
      <c r="F12859"/>
      <c r="G12859"/>
      <c r="H12859"/>
      <c r="I12859"/>
    </row>
    <row r="12860" spans="6:9" x14ac:dyDescent="0.3">
      <c r="F12860"/>
      <c r="G12860"/>
      <c r="H12860"/>
      <c r="I12860"/>
    </row>
    <row r="12861" spans="6:9" x14ac:dyDescent="0.3">
      <c r="F12861"/>
      <c r="G12861"/>
      <c r="H12861"/>
      <c r="I12861"/>
    </row>
    <row r="12862" spans="6:9" x14ac:dyDescent="0.3">
      <c r="F12862"/>
      <c r="G12862"/>
      <c r="H12862"/>
      <c r="I12862"/>
    </row>
    <row r="12863" spans="6:9" x14ac:dyDescent="0.3">
      <c r="F12863"/>
      <c r="G12863"/>
      <c r="H12863"/>
      <c r="I12863"/>
    </row>
    <row r="12864" spans="6:9" x14ac:dyDescent="0.3">
      <c r="F12864"/>
      <c r="G12864"/>
      <c r="H12864"/>
      <c r="I12864"/>
    </row>
    <row r="12865" spans="6:9" x14ac:dyDescent="0.3">
      <c r="F12865"/>
      <c r="G12865"/>
      <c r="H12865"/>
      <c r="I12865"/>
    </row>
    <row r="12866" spans="6:9" x14ac:dyDescent="0.3">
      <c r="F12866"/>
      <c r="G12866"/>
      <c r="H12866"/>
      <c r="I12866"/>
    </row>
    <row r="12867" spans="6:9" x14ac:dyDescent="0.3">
      <c r="F12867"/>
      <c r="G12867"/>
      <c r="H12867"/>
      <c r="I12867"/>
    </row>
    <row r="12868" spans="6:9" x14ac:dyDescent="0.3">
      <c r="F12868"/>
      <c r="G12868"/>
      <c r="H12868"/>
      <c r="I12868"/>
    </row>
    <row r="12869" spans="6:9" x14ac:dyDescent="0.3">
      <c r="F12869"/>
      <c r="G12869"/>
      <c r="H12869"/>
      <c r="I12869"/>
    </row>
    <row r="12870" spans="6:9" x14ac:dyDescent="0.3">
      <c r="F12870"/>
      <c r="G12870"/>
      <c r="H12870"/>
      <c r="I12870"/>
    </row>
    <row r="12871" spans="6:9" x14ac:dyDescent="0.3">
      <c r="F12871"/>
      <c r="G12871"/>
      <c r="H12871"/>
      <c r="I12871"/>
    </row>
    <row r="12872" spans="6:9" x14ac:dyDescent="0.3">
      <c r="F12872"/>
      <c r="G12872"/>
      <c r="H12872"/>
      <c r="I12872"/>
    </row>
    <row r="12873" spans="6:9" x14ac:dyDescent="0.3">
      <c r="F12873"/>
      <c r="G12873"/>
      <c r="H12873"/>
      <c r="I12873"/>
    </row>
    <row r="12874" spans="6:9" x14ac:dyDescent="0.3">
      <c r="F12874"/>
      <c r="G12874"/>
      <c r="H12874"/>
      <c r="I12874"/>
    </row>
    <row r="12875" spans="6:9" x14ac:dyDescent="0.3">
      <c r="F12875"/>
      <c r="G12875"/>
      <c r="H12875"/>
      <c r="I12875"/>
    </row>
    <row r="12876" spans="6:9" x14ac:dyDescent="0.3">
      <c r="F12876"/>
      <c r="G12876"/>
      <c r="H12876"/>
      <c r="I12876"/>
    </row>
    <row r="12877" spans="6:9" x14ac:dyDescent="0.3">
      <c r="F12877"/>
      <c r="G12877"/>
      <c r="H12877"/>
      <c r="I12877"/>
    </row>
    <row r="12878" spans="6:9" x14ac:dyDescent="0.3">
      <c r="F12878"/>
      <c r="G12878"/>
      <c r="H12878"/>
      <c r="I12878"/>
    </row>
    <row r="12879" spans="6:9" x14ac:dyDescent="0.3">
      <c r="F12879"/>
      <c r="G12879"/>
      <c r="H12879"/>
      <c r="I12879"/>
    </row>
    <row r="12880" spans="6:9" x14ac:dyDescent="0.3">
      <c r="F12880"/>
      <c r="G12880"/>
      <c r="H12880"/>
      <c r="I12880"/>
    </row>
    <row r="12881" spans="6:9" x14ac:dyDescent="0.3">
      <c r="F12881"/>
      <c r="G12881"/>
      <c r="H12881"/>
      <c r="I12881"/>
    </row>
    <row r="12882" spans="6:9" x14ac:dyDescent="0.3">
      <c r="F12882"/>
      <c r="G12882"/>
      <c r="H12882"/>
      <c r="I12882"/>
    </row>
    <row r="12883" spans="6:9" x14ac:dyDescent="0.3">
      <c r="F12883"/>
      <c r="G12883"/>
      <c r="H12883"/>
      <c r="I12883"/>
    </row>
    <row r="12884" spans="6:9" x14ac:dyDescent="0.3">
      <c r="F12884"/>
      <c r="G12884"/>
      <c r="H12884"/>
      <c r="I12884"/>
    </row>
    <row r="12885" spans="6:9" x14ac:dyDescent="0.3">
      <c r="F12885"/>
      <c r="G12885"/>
      <c r="H12885"/>
      <c r="I12885"/>
    </row>
    <row r="12886" spans="6:9" x14ac:dyDescent="0.3">
      <c r="F12886"/>
      <c r="G12886"/>
      <c r="H12886"/>
      <c r="I12886"/>
    </row>
    <row r="12887" spans="6:9" x14ac:dyDescent="0.3">
      <c r="F12887"/>
      <c r="G12887"/>
      <c r="H12887"/>
      <c r="I12887"/>
    </row>
    <row r="12888" spans="6:9" x14ac:dyDescent="0.3">
      <c r="F12888"/>
      <c r="G12888"/>
      <c r="H12888"/>
      <c r="I12888"/>
    </row>
    <row r="12889" spans="6:9" x14ac:dyDescent="0.3">
      <c r="F12889"/>
      <c r="G12889"/>
      <c r="H12889"/>
      <c r="I12889"/>
    </row>
    <row r="12890" spans="6:9" x14ac:dyDescent="0.3">
      <c r="F12890"/>
      <c r="G12890"/>
      <c r="H12890"/>
      <c r="I12890"/>
    </row>
    <row r="12891" spans="6:9" x14ac:dyDescent="0.3">
      <c r="F12891"/>
      <c r="G12891"/>
      <c r="H12891"/>
      <c r="I12891"/>
    </row>
    <row r="12892" spans="6:9" x14ac:dyDescent="0.3">
      <c r="F12892"/>
      <c r="G12892"/>
      <c r="H12892"/>
      <c r="I12892"/>
    </row>
    <row r="12893" spans="6:9" x14ac:dyDescent="0.3">
      <c r="F12893"/>
      <c r="G12893"/>
      <c r="H12893"/>
      <c r="I12893"/>
    </row>
    <row r="12894" spans="6:9" x14ac:dyDescent="0.3">
      <c r="F12894"/>
      <c r="G12894"/>
      <c r="H12894"/>
      <c r="I12894"/>
    </row>
    <row r="12895" spans="6:9" x14ac:dyDescent="0.3">
      <c r="F12895"/>
      <c r="G12895"/>
      <c r="H12895"/>
      <c r="I12895"/>
    </row>
    <row r="12896" spans="6:9" x14ac:dyDescent="0.3">
      <c r="F12896"/>
      <c r="G12896"/>
      <c r="H12896"/>
      <c r="I12896"/>
    </row>
    <row r="12897" spans="6:9" x14ac:dyDescent="0.3">
      <c r="F12897"/>
      <c r="G12897"/>
      <c r="H12897"/>
      <c r="I12897"/>
    </row>
    <row r="12898" spans="6:9" x14ac:dyDescent="0.3">
      <c r="F12898"/>
      <c r="G12898"/>
      <c r="H12898"/>
      <c r="I12898"/>
    </row>
    <row r="12899" spans="6:9" x14ac:dyDescent="0.3">
      <c r="F12899"/>
      <c r="G12899"/>
      <c r="H12899"/>
      <c r="I12899"/>
    </row>
    <row r="12900" spans="6:9" x14ac:dyDescent="0.3">
      <c r="F12900"/>
      <c r="G12900"/>
      <c r="H12900"/>
      <c r="I12900"/>
    </row>
    <row r="12901" spans="6:9" x14ac:dyDescent="0.3">
      <c r="F12901"/>
      <c r="G12901"/>
      <c r="H12901"/>
      <c r="I12901"/>
    </row>
    <row r="12902" spans="6:9" x14ac:dyDescent="0.3">
      <c r="F12902"/>
      <c r="G12902"/>
      <c r="H12902"/>
      <c r="I12902"/>
    </row>
    <row r="12903" spans="6:9" x14ac:dyDescent="0.3">
      <c r="F12903"/>
      <c r="G12903"/>
      <c r="H12903"/>
      <c r="I12903"/>
    </row>
    <row r="12904" spans="6:9" x14ac:dyDescent="0.3">
      <c r="F12904"/>
      <c r="G12904"/>
      <c r="H12904"/>
      <c r="I12904"/>
    </row>
    <row r="12905" spans="6:9" x14ac:dyDescent="0.3">
      <c r="F12905"/>
      <c r="G12905"/>
      <c r="H12905"/>
      <c r="I12905"/>
    </row>
    <row r="12906" spans="6:9" x14ac:dyDescent="0.3">
      <c r="F12906"/>
      <c r="G12906"/>
      <c r="H12906"/>
      <c r="I12906"/>
    </row>
    <row r="12907" spans="6:9" x14ac:dyDescent="0.3">
      <c r="F12907"/>
      <c r="G12907"/>
      <c r="H12907"/>
      <c r="I12907"/>
    </row>
    <row r="12908" spans="6:9" x14ac:dyDescent="0.3">
      <c r="F12908"/>
      <c r="G12908"/>
      <c r="H12908"/>
      <c r="I12908"/>
    </row>
    <row r="12909" spans="6:9" x14ac:dyDescent="0.3">
      <c r="F12909"/>
      <c r="G12909"/>
      <c r="H12909"/>
      <c r="I12909"/>
    </row>
    <row r="12910" spans="6:9" x14ac:dyDescent="0.3">
      <c r="F12910"/>
      <c r="G12910"/>
      <c r="H12910"/>
      <c r="I12910"/>
    </row>
    <row r="12911" spans="6:9" x14ac:dyDescent="0.3">
      <c r="F12911"/>
      <c r="G12911"/>
      <c r="H12911"/>
      <c r="I12911"/>
    </row>
    <row r="12912" spans="6:9" x14ac:dyDescent="0.3">
      <c r="F12912"/>
      <c r="G12912"/>
      <c r="H12912"/>
      <c r="I12912"/>
    </row>
    <row r="12913" spans="6:9" x14ac:dyDescent="0.3">
      <c r="F12913"/>
      <c r="G12913"/>
      <c r="H12913"/>
      <c r="I12913"/>
    </row>
    <row r="12914" spans="6:9" x14ac:dyDescent="0.3">
      <c r="F12914"/>
      <c r="G12914"/>
      <c r="H12914"/>
      <c r="I12914"/>
    </row>
    <row r="12915" spans="6:9" x14ac:dyDescent="0.3">
      <c r="F12915"/>
      <c r="G12915"/>
      <c r="H12915"/>
      <c r="I12915"/>
    </row>
    <row r="12916" spans="6:9" x14ac:dyDescent="0.3">
      <c r="F12916"/>
      <c r="G12916"/>
      <c r="H12916"/>
      <c r="I12916"/>
    </row>
    <row r="12917" spans="6:9" x14ac:dyDescent="0.3">
      <c r="F12917"/>
      <c r="G12917"/>
      <c r="H12917"/>
      <c r="I12917"/>
    </row>
    <row r="12918" spans="6:9" x14ac:dyDescent="0.3">
      <c r="F12918"/>
      <c r="G12918"/>
      <c r="H12918"/>
      <c r="I12918"/>
    </row>
    <row r="12919" spans="6:9" x14ac:dyDescent="0.3">
      <c r="F12919"/>
      <c r="G12919"/>
      <c r="H12919"/>
      <c r="I12919"/>
    </row>
    <row r="12920" spans="6:9" x14ac:dyDescent="0.3">
      <c r="F12920"/>
      <c r="G12920"/>
      <c r="H12920"/>
      <c r="I12920"/>
    </row>
    <row r="12921" spans="6:9" x14ac:dyDescent="0.3">
      <c r="F12921"/>
      <c r="G12921"/>
      <c r="H12921"/>
      <c r="I12921"/>
    </row>
    <row r="12922" spans="6:9" x14ac:dyDescent="0.3">
      <c r="F12922"/>
      <c r="G12922"/>
      <c r="H12922"/>
      <c r="I12922"/>
    </row>
    <row r="12923" spans="6:9" x14ac:dyDescent="0.3">
      <c r="F12923"/>
      <c r="G12923"/>
      <c r="H12923"/>
      <c r="I12923"/>
    </row>
    <row r="12924" spans="6:9" x14ac:dyDescent="0.3">
      <c r="F12924"/>
      <c r="G12924"/>
      <c r="H12924"/>
      <c r="I12924"/>
    </row>
    <row r="12925" spans="6:9" x14ac:dyDescent="0.3">
      <c r="F12925"/>
      <c r="G12925"/>
      <c r="H12925"/>
      <c r="I12925"/>
    </row>
    <row r="12926" spans="6:9" x14ac:dyDescent="0.3">
      <c r="F12926"/>
      <c r="G12926"/>
      <c r="H12926"/>
      <c r="I12926"/>
    </row>
    <row r="12927" spans="6:9" x14ac:dyDescent="0.3">
      <c r="F12927"/>
      <c r="G12927"/>
      <c r="H12927"/>
      <c r="I12927"/>
    </row>
    <row r="12928" spans="6:9" x14ac:dyDescent="0.3">
      <c r="F12928"/>
      <c r="G12928"/>
      <c r="H12928"/>
      <c r="I12928"/>
    </row>
    <row r="12929" spans="6:9" x14ac:dyDescent="0.3">
      <c r="F12929"/>
      <c r="G12929"/>
      <c r="H12929"/>
      <c r="I12929"/>
    </row>
    <row r="12930" spans="6:9" x14ac:dyDescent="0.3">
      <c r="F12930"/>
      <c r="G12930"/>
      <c r="H12930"/>
      <c r="I12930"/>
    </row>
    <row r="12931" spans="6:9" x14ac:dyDescent="0.3">
      <c r="F12931"/>
      <c r="G12931"/>
      <c r="H12931"/>
      <c r="I12931"/>
    </row>
    <row r="12932" spans="6:9" x14ac:dyDescent="0.3">
      <c r="F12932"/>
      <c r="G12932"/>
      <c r="H12932"/>
      <c r="I12932"/>
    </row>
    <row r="12933" spans="6:9" x14ac:dyDescent="0.3">
      <c r="F12933"/>
      <c r="G12933"/>
      <c r="H12933"/>
      <c r="I12933"/>
    </row>
    <row r="12934" spans="6:9" x14ac:dyDescent="0.3">
      <c r="F12934"/>
      <c r="G12934"/>
      <c r="H12934"/>
      <c r="I12934"/>
    </row>
    <row r="12935" spans="6:9" x14ac:dyDescent="0.3">
      <c r="F12935"/>
      <c r="G12935"/>
      <c r="H12935"/>
      <c r="I12935"/>
    </row>
    <row r="12936" spans="6:9" x14ac:dyDescent="0.3">
      <c r="F12936"/>
      <c r="G12936"/>
      <c r="H12936"/>
      <c r="I12936"/>
    </row>
    <row r="12937" spans="6:9" x14ac:dyDescent="0.3">
      <c r="F12937"/>
      <c r="G12937"/>
      <c r="H12937"/>
      <c r="I12937"/>
    </row>
    <row r="12938" spans="6:9" x14ac:dyDescent="0.3">
      <c r="F12938"/>
      <c r="G12938"/>
      <c r="H12938"/>
      <c r="I12938"/>
    </row>
    <row r="12939" spans="6:9" x14ac:dyDescent="0.3">
      <c r="F12939"/>
      <c r="G12939"/>
      <c r="H12939"/>
      <c r="I12939"/>
    </row>
    <row r="12940" spans="6:9" x14ac:dyDescent="0.3">
      <c r="F12940"/>
      <c r="G12940"/>
      <c r="H12940"/>
      <c r="I12940"/>
    </row>
    <row r="12941" spans="6:9" x14ac:dyDescent="0.3">
      <c r="F12941"/>
      <c r="G12941"/>
      <c r="H12941"/>
      <c r="I12941"/>
    </row>
    <row r="12942" spans="6:9" x14ac:dyDescent="0.3">
      <c r="F12942"/>
      <c r="G12942"/>
      <c r="H12942"/>
      <c r="I12942"/>
    </row>
    <row r="12943" spans="6:9" x14ac:dyDescent="0.3">
      <c r="F12943"/>
      <c r="G12943"/>
      <c r="H12943"/>
      <c r="I12943"/>
    </row>
    <row r="12944" spans="6:9" x14ac:dyDescent="0.3">
      <c r="F12944"/>
      <c r="G12944"/>
      <c r="H12944"/>
      <c r="I12944"/>
    </row>
    <row r="12945" spans="6:9" x14ac:dyDescent="0.3">
      <c r="F12945"/>
      <c r="G12945"/>
      <c r="H12945"/>
      <c r="I12945"/>
    </row>
    <row r="12946" spans="6:9" x14ac:dyDescent="0.3">
      <c r="F12946"/>
      <c r="G12946"/>
      <c r="H12946"/>
      <c r="I12946"/>
    </row>
    <row r="12947" spans="6:9" x14ac:dyDescent="0.3">
      <c r="F12947"/>
      <c r="G12947"/>
      <c r="H12947"/>
      <c r="I12947"/>
    </row>
    <row r="12948" spans="6:9" x14ac:dyDescent="0.3">
      <c r="F12948"/>
      <c r="G12948"/>
      <c r="H12948"/>
      <c r="I12948"/>
    </row>
    <row r="12949" spans="6:9" x14ac:dyDescent="0.3">
      <c r="F12949"/>
      <c r="G12949"/>
      <c r="H12949"/>
      <c r="I12949"/>
    </row>
    <row r="12950" spans="6:9" x14ac:dyDescent="0.3">
      <c r="F12950"/>
      <c r="G12950"/>
      <c r="H12950"/>
      <c r="I12950"/>
    </row>
    <row r="12951" spans="6:9" x14ac:dyDescent="0.3">
      <c r="F12951"/>
      <c r="G12951"/>
      <c r="H12951"/>
      <c r="I12951"/>
    </row>
    <row r="12952" spans="6:9" x14ac:dyDescent="0.3">
      <c r="F12952"/>
      <c r="G12952"/>
      <c r="H12952"/>
      <c r="I12952"/>
    </row>
    <row r="12953" spans="6:9" x14ac:dyDescent="0.3">
      <c r="F12953"/>
      <c r="G12953"/>
      <c r="H12953"/>
      <c r="I12953"/>
    </row>
    <row r="12954" spans="6:9" x14ac:dyDescent="0.3">
      <c r="F12954"/>
      <c r="G12954"/>
      <c r="H12954"/>
      <c r="I12954"/>
    </row>
    <row r="12955" spans="6:9" x14ac:dyDescent="0.3">
      <c r="F12955"/>
      <c r="G12955"/>
      <c r="H12955"/>
      <c r="I12955"/>
    </row>
    <row r="12956" spans="6:9" x14ac:dyDescent="0.3">
      <c r="F12956"/>
      <c r="G12956"/>
      <c r="H12956"/>
      <c r="I12956"/>
    </row>
    <row r="12957" spans="6:9" x14ac:dyDescent="0.3">
      <c r="F12957"/>
      <c r="G12957"/>
      <c r="H12957"/>
      <c r="I12957"/>
    </row>
    <row r="12958" spans="6:9" x14ac:dyDescent="0.3">
      <c r="F12958"/>
      <c r="G12958"/>
      <c r="H12958"/>
      <c r="I12958"/>
    </row>
    <row r="12959" spans="6:9" x14ac:dyDescent="0.3">
      <c r="F12959"/>
      <c r="G12959"/>
      <c r="H12959"/>
      <c r="I12959"/>
    </row>
    <row r="12960" spans="6:9" x14ac:dyDescent="0.3">
      <c r="F12960"/>
      <c r="G12960"/>
      <c r="H12960"/>
      <c r="I12960"/>
    </row>
    <row r="12961" spans="6:9" x14ac:dyDescent="0.3">
      <c r="F12961"/>
      <c r="G12961"/>
      <c r="H12961"/>
      <c r="I12961"/>
    </row>
    <row r="12962" spans="6:9" x14ac:dyDescent="0.3">
      <c r="F12962"/>
      <c r="G12962"/>
      <c r="H12962"/>
      <c r="I12962"/>
    </row>
    <row r="12963" spans="6:9" x14ac:dyDescent="0.3">
      <c r="F12963"/>
      <c r="G12963"/>
      <c r="H12963"/>
      <c r="I12963"/>
    </row>
    <row r="12964" spans="6:9" x14ac:dyDescent="0.3">
      <c r="F12964"/>
      <c r="G12964"/>
      <c r="H12964"/>
      <c r="I12964"/>
    </row>
    <row r="12965" spans="6:9" x14ac:dyDescent="0.3">
      <c r="F12965"/>
      <c r="G12965"/>
      <c r="H12965"/>
      <c r="I12965"/>
    </row>
    <row r="12966" spans="6:9" x14ac:dyDescent="0.3">
      <c r="F12966"/>
      <c r="G12966"/>
      <c r="H12966"/>
      <c r="I12966"/>
    </row>
    <row r="12967" spans="6:9" x14ac:dyDescent="0.3">
      <c r="F12967"/>
      <c r="G12967"/>
      <c r="H12967"/>
      <c r="I12967"/>
    </row>
    <row r="12968" spans="6:9" x14ac:dyDescent="0.3">
      <c r="F12968"/>
      <c r="G12968"/>
      <c r="H12968"/>
      <c r="I12968"/>
    </row>
    <row r="12969" spans="6:9" x14ac:dyDescent="0.3">
      <c r="F12969"/>
      <c r="G12969"/>
      <c r="H12969"/>
      <c r="I12969"/>
    </row>
    <row r="12970" spans="6:9" x14ac:dyDescent="0.3">
      <c r="F12970"/>
      <c r="G12970"/>
      <c r="H12970"/>
      <c r="I12970"/>
    </row>
    <row r="12971" spans="6:9" x14ac:dyDescent="0.3">
      <c r="F12971"/>
      <c r="G12971"/>
      <c r="H12971"/>
      <c r="I12971"/>
    </row>
    <row r="12972" spans="6:9" x14ac:dyDescent="0.3">
      <c r="F12972"/>
      <c r="G12972"/>
      <c r="H12972"/>
      <c r="I12972"/>
    </row>
    <row r="12973" spans="6:9" x14ac:dyDescent="0.3">
      <c r="F12973"/>
      <c r="G12973"/>
      <c r="H12973"/>
      <c r="I12973"/>
    </row>
    <row r="12974" spans="6:9" x14ac:dyDescent="0.3">
      <c r="F12974"/>
      <c r="G12974"/>
      <c r="H12974"/>
      <c r="I12974"/>
    </row>
    <row r="12975" spans="6:9" x14ac:dyDescent="0.3">
      <c r="F12975"/>
      <c r="G12975"/>
      <c r="H12975"/>
      <c r="I12975"/>
    </row>
    <row r="12976" spans="6:9" x14ac:dyDescent="0.3">
      <c r="F12976"/>
      <c r="G12976"/>
      <c r="H12976"/>
      <c r="I12976"/>
    </row>
    <row r="12977" spans="6:9" x14ac:dyDescent="0.3">
      <c r="F12977"/>
      <c r="G12977"/>
      <c r="H12977"/>
      <c r="I12977"/>
    </row>
    <row r="12978" spans="6:9" x14ac:dyDescent="0.3">
      <c r="F12978"/>
      <c r="G12978"/>
      <c r="H12978"/>
      <c r="I12978"/>
    </row>
    <row r="12979" spans="6:9" x14ac:dyDescent="0.3">
      <c r="F12979"/>
      <c r="G12979"/>
      <c r="H12979"/>
      <c r="I12979"/>
    </row>
    <row r="12980" spans="6:9" x14ac:dyDescent="0.3">
      <c r="F12980"/>
      <c r="G12980"/>
      <c r="H12980"/>
      <c r="I12980"/>
    </row>
    <row r="12981" spans="6:9" x14ac:dyDescent="0.3">
      <c r="F12981"/>
      <c r="G12981"/>
      <c r="H12981"/>
      <c r="I12981"/>
    </row>
    <row r="12982" spans="6:9" x14ac:dyDescent="0.3">
      <c r="F12982"/>
      <c r="G12982"/>
      <c r="H12982"/>
      <c r="I12982"/>
    </row>
    <row r="12983" spans="6:9" x14ac:dyDescent="0.3">
      <c r="F12983"/>
      <c r="G12983"/>
      <c r="H12983"/>
      <c r="I12983"/>
    </row>
    <row r="12984" spans="6:9" x14ac:dyDescent="0.3">
      <c r="F12984"/>
      <c r="G12984"/>
      <c r="H12984"/>
      <c r="I12984"/>
    </row>
    <row r="12985" spans="6:9" x14ac:dyDescent="0.3">
      <c r="F12985"/>
      <c r="G12985"/>
      <c r="H12985"/>
      <c r="I12985"/>
    </row>
    <row r="12986" spans="6:9" x14ac:dyDescent="0.3">
      <c r="F12986"/>
      <c r="G12986"/>
      <c r="H12986"/>
      <c r="I12986"/>
    </row>
    <row r="12987" spans="6:9" x14ac:dyDescent="0.3">
      <c r="F12987"/>
      <c r="G12987"/>
      <c r="H12987"/>
      <c r="I12987"/>
    </row>
    <row r="12988" spans="6:9" x14ac:dyDescent="0.3">
      <c r="F12988"/>
      <c r="G12988"/>
      <c r="H12988"/>
      <c r="I12988"/>
    </row>
    <row r="12989" spans="6:9" x14ac:dyDescent="0.3">
      <c r="F12989"/>
      <c r="G12989"/>
      <c r="H12989"/>
      <c r="I12989"/>
    </row>
    <row r="12990" spans="6:9" x14ac:dyDescent="0.3">
      <c r="F12990"/>
      <c r="G12990"/>
      <c r="H12990"/>
      <c r="I12990"/>
    </row>
    <row r="12991" spans="6:9" x14ac:dyDescent="0.3">
      <c r="F12991"/>
      <c r="G12991"/>
      <c r="H12991"/>
      <c r="I12991"/>
    </row>
    <row r="12992" spans="6:9" x14ac:dyDescent="0.3">
      <c r="F12992"/>
      <c r="G12992"/>
      <c r="H12992"/>
      <c r="I12992"/>
    </row>
    <row r="12993" spans="6:9" x14ac:dyDescent="0.3">
      <c r="F12993"/>
      <c r="G12993"/>
      <c r="H12993"/>
      <c r="I12993"/>
    </row>
    <row r="12994" spans="6:9" x14ac:dyDescent="0.3">
      <c r="F12994"/>
      <c r="G12994"/>
      <c r="H12994"/>
      <c r="I12994"/>
    </row>
    <row r="12995" spans="6:9" x14ac:dyDescent="0.3">
      <c r="F12995"/>
      <c r="G12995"/>
      <c r="H12995"/>
      <c r="I12995"/>
    </row>
    <row r="12996" spans="6:9" x14ac:dyDescent="0.3">
      <c r="F12996"/>
      <c r="G12996"/>
      <c r="H12996"/>
      <c r="I12996"/>
    </row>
    <row r="12997" spans="6:9" x14ac:dyDescent="0.3">
      <c r="F12997"/>
      <c r="G12997"/>
      <c r="H12997"/>
      <c r="I12997"/>
    </row>
    <row r="12998" spans="6:9" x14ac:dyDescent="0.3">
      <c r="F12998"/>
      <c r="G12998"/>
      <c r="H12998"/>
      <c r="I12998"/>
    </row>
    <row r="12999" spans="6:9" x14ac:dyDescent="0.3">
      <c r="F12999"/>
      <c r="G12999"/>
      <c r="H12999"/>
      <c r="I12999"/>
    </row>
    <row r="13000" spans="6:9" x14ac:dyDescent="0.3">
      <c r="F13000"/>
      <c r="G13000"/>
      <c r="H13000"/>
      <c r="I13000"/>
    </row>
    <row r="13001" spans="6:9" x14ac:dyDescent="0.3">
      <c r="F13001"/>
      <c r="G13001"/>
      <c r="H13001"/>
      <c r="I13001"/>
    </row>
    <row r="13002" spans="6:9" x14ac:dyDescent="0.3">
      <c r="F13002"/>
      <c r="G13002"/>
      <c r="H13002"/>
      <c r="I13002"/>
    </row>
    <row r="13003" spans="6:9" x14ac:dyDescent="0.3">
      <c r="F13003"/>
      <c r="G13003"/>
      <c r="H13003"/>
      <c r="I13003"/>
    </row>
    <row r="13004" spans="6:9" x14ac:dyDescent="0.3">
      <c r="F13004"/>
      <c r="G13004"/>
      <c r="H13004"/>
      <c r="I13004"/>
    </row>
    <row r="13005" spans="6:9" x14ac:dyDescent="0.3">
      <c r="F13005"/>
      <c r="G13005"/>
      <c r="H13005"/>
      <c r="I13005"/>
    </row>
    <row r="13006" spans="6:9" x14ac:dyDescent="0.3">
      <c r="F13006"/>
      <c r="G13006"/>
      <c r="H13006"/>
      <c r="I13006"/>
    </row>
    <row r="13007" spans="6:9" x14ac:dyDescent="0.3">
      <c r="F13007"/>
      <c r="G13007"/>
      <c r="H13007"/>
      <c r="I13007"/>
    </row>
    <row r="13008" spans="6:9" x14ac:dyDescent="0.3">
      <c r="F13008"/>
      <c r="G13008"/>
      <c r="H13008"/>
      <c r="I13008"/>
    </row>
    <row r="13009" spans="6:9" x14ac:dyDescent="0.3">
      <c r="F13009"/>
      <c r="G13009"/>
      <c r="H13009"/>
      <c r="I13009"/>
    </row>
    <row r="13010" spans="6:9" x14ac:dyDescent="0.3">
      <c r="F13010"/>
      <c r="G13010"/>
      <c r="H13010"/>
      <c r="I13010"/>
    </row>
    <row r="13011" spans="6:9" x14ac:dyDescent="0.3">
      <c r="F13011"/>
      <c r="G13011"/>
      <c r="H13011"/>
      <c r="I13011"/>
    </row>
    <row r="13012" spans="6:9" x14ac:dyDescent="0.3">
      <c r="F13012"/>
      <c r="G13012"/>
      <c r="H13012"/>
      <c r="I13012"/>
    </row>
    <row r="13013" spans="6:9" x14ac:dyDescent="0.3">
      <c r="F13013"/>
      <c r="G13013"/>
      <c r="H13013"/>
      <c r="I13013"/>
    </row>
    <row r="13014" spans="6:9" x14ac:dyDescent="0.3">
      <c r="F13014"/>
      <c r="G13014"/>
      <c r="H13014"/>
      <c r="I13014"/>
    </row>
    <row r="13015" spans="6:9" x14ac:dyDescent="0.3">
      <c r="F13015"/>
      <c r="G13015"/>
      <c r="H13015"/>
      <c r="I13015"/>
    </row>
    <row r="13016" spans="6:9" x14ac:dyDescent="0.3">
      <c r="F13016"/>
      <c r="G13016"/>
      <c r="H13016"/>
      <c r="I13016"/>
    </row>
    <row r="13017" spans="6:9" x14ac:dyDescent="0.3">
      <c r="F13017"/>
      <c r="G13017"/>
      <c r="H13017"/>
      <c r="I13017"/>
    </row>
    <row r="13018" spans="6:9" x14ac:dyDescent="0.3">
      <c r="F13018"/>
      <c r="G13018"/>
      <c r="H13018"/>
      <c r="I13018"/>
    </row>
    <row r="13019" spans="6:9" x14ac:dyDescent="0.3">
      <c r="F13019"/>
      <c r="G13019"/>
      <c r="H13019"/>
      <c r="I13019"/>
    </row>
    <row r="13020" spans="6:9" x14ac:dyDescent="0.3">
      <c r="F13020"/>
      <c r="G13020"/>
      <c r="H13020"/>
      <c r="I13020"/>
    </row>
    <row r="13021" spans="6:9" x14ac:dyDescent="0.3">
      <c r="F13021"/>
      <c r="G13021"/>
      <c r="H13021"/>
      <c r="I13021"/>
    </row>
    <row r="13022" spans="6:9" x14ac:dyDescent="0.3">
      <c r="F13022"/>
      <c r="G13022"/>
      <c r="H13022"/>
      <c r="I13022"/>
    </row>
    <row r="13023" spans="6:9" x14ac:dyDescent="0.3">
      <c r="F13023"/>
      <c r="G13023"/>
      <c r="H13023"/>
      <c r="I13023"/>
    </row>
    <row r="13024" spans="6:9" x14ac:dyDescent="0.3">
      <c r="F13024"/>
      <c r="G13024"/>
      <c r="H13024"/>
      <c r="I13024"/>
    </row>
    <row r="13025" spans="6:9" x14ac:dyDescent="0.3">
      <c r="F13025"/>
      <c r="G13025"/>
      <c r="H13025"/>
      <c r="I13025"/>
    </row>
    <row r="13026" spans="6:9" x14ac:dyDescent="0.3">
      <c r="F13026"/>
      <c r="G13026"/>
      <c r="H13026"/>
      <c r="I13026"/>
    </row>
    <row r="13027" spans="6:9" x14ac:dyDescent="0.3">
      <c r="F13027"/>
      <c r="G13027"/>
      <c r="H13027"/>
      <c r="I13027"/>
    </row>
    <row r="13028" spans="6:9" x14ac:dyDescent="0.3">
      <c r="F13028"/>
      <c r="G13028"/>
      <c r="H13028"/>
      <c r="I13028"/>
    </row>
    <row r="13029" spans="6:9" x14ac:dyDescent="0.3">
      <c r="F13029"/>
      <c r="G13029"/>
      <c r="H13029"/>
      <c r="I13029"/>
    </row>
    <row r="13030" spans="6:9" x14ac:dyDescent="0.3">
      <c r="F13030"/>
      <c r="G13030"/>
      <c r="H13030"/>
      <c r="I13030"/>
    </row>
    <row r="13031" spans="6:9" x14ac:dyDescent="0.3">
      <c r="F13031"/>
      <c r="G13031"/>
      <c r="H13031"/>
      <c r="I13031"/>
    </row>
    <row r="13032" spans="6:9" x14ac:dyDescent="0.3">
      <c r="F13032"/>
      <c r="G13032"/>
      <c r="H13032"/>
      <c r="I13032"/>
    </row>
    <row r="13033" spans="6:9" x14ac:dyDescent="0.3">
      <c r="F13033"/>
      <c r="G13033"/>
      <c r="H13033"/>
      <c r="I13033"/>
    </row>
    <row r="13034" spans="6:9" x14ac:dyDescent="0.3">
      <c r="F13034"/>
      <c r="G13034"/>
      <c r="H13034"/>
      <c r="I13034"/>
    </row>
    <row r="13035" spans="6:9" x14ac:dyDescent="0.3">
      <c r="F13035"/>
      <c r="G13035"/>
      <c r="H13035"/>
      <c r="I13035"/>
    </row>
    <row r="13036" spans="6:9" x14ac:dyDescent="0.3">
      <c r="F13036"/>
      <c r="G13036"/>
      <c r="H13036"/>
      <c r="I13036"/>
    </row>
    <row r="13037" spans="6:9" x14ac:dyDescent="0.3">
      <c r="F13037"/>
      <c r="G13037"/>
      <c r="H13037"/>
      <c r="I13037"/>
    </row>
    <row r="13038" spans="6:9" x14ac:dyDescent="0.3">
      <c r="F13038"/>
      <c r="G13038"/>
      <c r="H13038"/>
      <c r="I13038"/>
    </row>
    <row r="13039" spans="6:9" x14ac:dyDescent="0.3">
      <c r="F13039"/>
      <c r="G13039"/>
      <c r="H13039"/>
      <c r="I13039"/>
    </row>
    <row r="13040" spans="6:9" x14ac:dyDescent="0.3">
      <c r="F13040"/>
      <c r="G13040"/>
      <c r="H13040"/>
      <c r="I13040"/>
    </row>
    <row r="13041" spans="6:9" x14ac:dyDescent="0.3">
      <c r="F13041"/>
      <c r="G13041"/>
      <c r="H13041"/>
      <c r="I13041"/>
    </row>
    <row r="13042" spans="6:9" x14ac:dyDescent="0.3">
      <c r="F13042"/>
      <c r="G13042"/>
      <c r="H13042"/>
      <c r="I13042"/>
    </row>
    <row r="13043" spans="6:9" x14ac:dyDescent="0.3">
      <c r="F13043"/>
      <c r="G13043"/>
      <c r="H13043"/>
      <c r="I13043"/>
    </row>
    <row r="13044" spans="6:9" x14ac:dyDescent="0.3">
      <c r="F13044"/>
      <c r="G13044"/>
      <c r="H13044"/>
      <c r="I13044"/>
    </row>
    <row r="13045" spans="6:9" x14ac:dyDescent="0.3">
      <c r="F13045"/>
      <c r="G13045"/>
      <c r="H13045"/>
      <c r="I13045"/>
    </row>
    <row r="13046" spans="6:9" x14ac:dyDescent="0.3">
      <c r="F13046"/>
      <c r="G13046"/>
      <c r="H13046"/>
      <c r="I13046"/>
    </row>
    <row r="13047" spans="6:9" x14ac:dyDescent="0.3">
      <c r="F13047"/>
      <c r="G13047"/>
      <c r="H13047"/>
      <c r="I13047"/>
    </row>
    <row r="13048" spans="6:9" x14ac:dyDescent="0.3">
      <c r="F13048"/>
      <c r="G13048"/>
      <c r="H13048"/>
      <c r="I13048"/>
    </row>
    <row r="13049" spans="6:9" x14ac:dyDescent="0.3">
      <c r="F13049"/>
      <c r="G13049"/>
      <c r="H13049"/>
      <c r="I13049"/>
    </row>
    <row r="13050" spans="6:9" x14ac:dyDescent="0.3">
      <c r="F13050"/>
      <c r="G13050"/>
      <c r="H13050"/>
      <c r="I13050"/>
    </row>
    <row r="13051" spans="6:9" x14ac:dyDescent="0.3">
      <c r="F13051"/>
      <c r="G13051"/>
      <c r="H13051"/>
      <c r="I13051"/>
    </row>
    <row r="13052" spans="6:9" x14ac:dyDescent="0.3">
      <c r="F13052"/>
      <c r="G13052"/>
      <c r="H13052"/>
      <c r="I13052"/>
    </row>
    <row r="13053" spans="6:9" x14ac:dyDescent="0.3">
      <c r="F13053"/>
      <c r="G13053"/>
      <c r="H13053"/>
      <c r="I13053"/>
    </row>
    <row r="13054" spans="6:9" x14ac:dyDescent="0.3">
      <c r="F13054"/>
      <c r="G13054"/>
      <c r="H13054"/>
      <c r="I13054"/>
    </row>
    <row r="13055" spans="6:9" x14ac:dyDescent="0.3">
      <c r="F13055"/>
      <c r="G13055"/>
      <c r="H13055"/>
      <c r="I13055"/>
    </row>
    <row r="13056" spans="6:9" x14ac:dyDescent="0.3">
      <c r="F13056"/>
      <c r="G13056"/>
      <c r="H13056"/>
      <c r="I13056"/>
    </row>
    <row r="13057" spans="6:9" x14ac:dyDescent="0.3">
      <c r="F13057"/>
      <c r="G13057"/>
      <c r="H13057"/>
      <c r="I13057"/>
    </row>
    <row r="13058" spans="6:9" x14ac:dyDescent="0.3">
      <c r="F13058"/>
      <c r="G13058"/>
      <c r="H13058"/>
      <c r="I13058"/>
    </row>
    <row r="13059" spans="6:9" x14ac:dyDescent="0.3">
      <c r="F13059"/>
      <c r="G13059"/>
      <c r="H13059"/>
      <c r="I13059"/>
    </row>
    <row r="13060" spans="6:9" x14ac:dyDescent="0.3">
      <c r="F13060"/>
      <c r="G13060"/>
      <c r="H13060"/>
      <c r="I13060"/>
    </row>
    <row r="13061" spans="6:9" x14ac:dyDescent="0.3">
      <c r="F13061"/>
      <c r="G13061"/>
      <c r="H13061"/>
      <c r="I13061"/>
    </row>
    <row r="13062" spans="6:9" x14ac:dyDescent="0.3">
      <c r="F13062"/>
      <c r="G13062"/>
      <c r="H13062"/>
      <c r="I13062"/>
    </row>
    <row r="13063" spans="6:9" x14ac:dyDescent="0.3">
      <c r="F13063"/>
      <c r="G13063"/>
      <c r="H13063"/>
      <c r="I13063"/>
    </row>
    <row r="13064" spans="6:9" x14ac:dyDescent="0.3">
      <c r="F13064"/>
      <c r="G13064"/>
      <c r="H13064"/>
      <c r="I13064"/>
    </row>
    <row r="13065" spans="6:9" x14ac:dyDescent="0.3">
      <c r="F13065"/>
      <c r="G13065"/>
      <c r="H13065"/>
      <c r="I13065"/>
    </row>
    <row r="13066" spans="6:9" x14ac:dyDescent="0.3">
      <c r="F13066"/>
      <c r="G13066"/>
      <c r="H13066"/>
      <c r="I13066"/>
    </row>
    <row r="13067" spans="6:9" x14ac:dyDescent="0.3">
      <c r="F13067"/>
      <c r="G13067"/>
      <c r="H13067"/>
      <c r="I13067"/>
    </row>
    <row r="13068" spans="6:9" x14ac:dyDescent="0.3">
      <c r="F13068"/>
      <c r="G13068"/>
      <c r="H13068"/>
      <c r="I13068"/>
    </row>
    <row r="13069" spans="6:9" x14ac:dyDescent="0.3">
      <c r="F13069"/>
      <c r="G13069"/>
      <c r="H13069"/>
      <c r="I13069"/>
    </row>
    <row r="13070" spans="6:9" x14ac:dyDescent="0.3">
      <c r="F13070"/>
      <c r="G13070"/>
      <c r="H13070"/>
      <c r="I13070"/>
    </row>
    <row r="13071" spans="6:9" x14ac:dyDescent="0.3">
      <c r="F13071"/>
      <c r="G13071"/>
      <c r="H13071"/>
      <c r="I13071"/>
    </row>
    <row r="13072" spans="6:9" x14ac:dyDescent="0.3">
      <c r="F13072"/>
      <c r="G13072"/>
      <c r="H13072"/>
      <c r="I13072"/>
    </row>
    <row r="13073" spans="6:9" x14ac:dyDescent="0.3">
      <c r="F13073"/>
      <c r="G13073"/>
      <c r="H13073"/>
      <c r="I13073"/>
    </row>
    <row r="13074" spans="6:9" x14ac:dyDescent="0.3">
      <c r="F13074"/>
      <c r="G13074"/>
      <c r="H13074"/>
      <c r="I13074"/>
    </row>
    <row r="13075" spans="6:9" x14ac:dyDescent="0.3">
      <c r="F13075"/>
      <c r="G13075"/>
      <c r="H13075"/>
      <c r="I13075"/>
    </row>
    <row r="13076" spans="6:9" x14ac:dyDescent="0.3">
      <c r="F13076"/>
      <c r="G13076"/>
      <c r="H13076"/>
      <c r="I13076"/>
    </row>
    <row r="13077" spans="6:9" x14ac:dyDescent="0.3">
      <c r="F13077"/>
      <c r="G13077"/>
      <c r="H13077"/>
      <c r="I13077"/>
    </row>
    <row r="13078" spans="6:9" x14ac:dyDescent="0.3">
      <c r="F13078"/>
      <c r="G13078"/>
      <c r="H13078"/>
      <c r="I13078"/>
    </row>
    <row r="13079" spans="6:9" x14ac:dyDescent="0.3">
      <c r="F13079"/>
      <c r="G13079"/>
      <c r="H13079"/>
      <c r="I13079"/>
    </row>
    <row r="13080" spans="6:9" x14ac:dyDescent="0.3">
      <c r="F13080"/>
      <c r="G13080"/>
      <c r="H13080"/>
      <c r="I13080"/>
    </row>
    <row r="13081" spans="6:9" x14ac:dyDescent="0.3">
      <c r="F13081"/>
      <c r="G13081"/>
      <c r="H13081"/>
      <c r="I13081"/>
    </row>
    <row r="13082" spans="6:9" x14ac:dyDescent="0.3">
      <c r="F13082"/>
      <c r="G13082"/>
      <c r="H13082"/>
      <c r="I13082"/>
    </row>
    <row r="13083" spans="6:9" x14ac:dyDescent="0.3">
      <c r="F13083"/>
      <c r="G13083"/>
      <c r="H13083"/>
      <c r="I13083"/>
    </row>
    <row r="13084" spans="6:9" x14ac:dyDescent="0.3">
      <c r="F13084"/>
      <c r="G13084"/>
      <c r="H13084"/>
      <c r="I13084"/>
    </row>
    <row r="13085" spans="6:9" x14ac:dyDescent="0.3">
      <c r="F13085"/>
      <c r="G13085"/>
      <c r="H13085"/>
      <c r="I13085"/>
    </row>
    <row r="13086" spans="6:9" x14ac:dyDescent="0.3">
      <c r="F13086"/>
      <c r="G13086"/>
      <c r="H13086"/>
      <c r="I13086"/>
    </row>
    <row r="13087" spans="6:9" x14ac:dyDescent="0.3">
      <c r="F13087"/>
      <c r="G13087"/>
      <c r="H13087"/>
      <c r="I13087"/>
    </row>
    <row r="13088" spans="6:9" x14ac:dyDescent="0.3">
      <c r="F13088"/>
      <c r="G13088"/>
      <c r="H13088"/>
      <c r="I13088"/>
    </row>
    <row r="13089" spans="6:9" x14ac:dyDescent="0.3">
      <c r="F13089"/>
      <c r="G13089"/>
      <c r="H13089"/>
      <c r="I13089"/>
    </row>
    <row r="13090" spans="6:9" x14ac:dyDescent="0.3">
      <c r="F13090"/>
      <c r="G13090"/>
      <c r="H13090"/>
      <c r="I13090"/>
    </row>
    <row r="13091" spans="6:9" x14ac:dyDescent="0.3">
      <c r="F13091"/>
      <c r="G13091"/>
      <c r="H13091"/>
      <c r="I13091"/>
    </row>
    <row r="13092" spans="6:9" x14ac:dyDescent="0.3">
      <c r="F13092"/>
      <c r="G13092"/>
      <c r="H13092"/>
      <c r="I13092"/>
    </row>
    <row r="13093" spans="6:9" x14ac:dyDescent="0.3">
      <c r="F13093"/>
      <c r="G13093"/>
      <c r="H13093"/>
      <c r="I13093"/>
    </row>
    <row r="13094" spans="6:9" x14ac:dyDescent="0.3">
      <c r="F13094"/>
      <c r="G13094"/>
      <c r="H13094"/>
      <c r="I13094"/>
    </row>
    <row r="13095" spans="6:9" x14ac:dyDescent="0.3">
      <c r="F13095"/>
      <c r="G13095"/>
      <c r="H13095"/>
      <c r="I13095"/>
    </row>
    <row r="13096" spans="6:9" x14ac:dyDescent="0.3">
      <c r="F13096"/>
      <c r="G13096"/>
      <c r="H13096"/>
      <c r="I13096"/>
    </row>
    <row r="13097" spans="6:9" x14ac:dyDescent="0.3">
      <c r="F13097"/>
      <c r="G13097"/>
      <c r="H13097"/>
      <c r="I13097"/>
    </row>
    <row r="13098" spans="6:9" x14ac:dyDescent="0.3">
      <c r="F13098"/>
      <c r="G13098"/>
      <c r="H13098"/>
      <c r="I13098"/>
    </row>
    <row r="13099" spans="6:9" x14ac:dyDescent="0.3">
      <c r="F13099"/>
      <c r="G13099"/>
      <c r="H13099"/>
      <c r="I13099"/>
    </row>
    <row r="13100" spans="6:9" x14ac:dyDescent="0.3">
      <c r="F13100"/>
      <c r="G13100"/>
      <c r="H13100"/>
      <c r="I13100"/>
    </row>
    <row r="13101" spans="6:9" x14ac:dyDescent="0.3">
      <c r="F13101"/>
      <c r="G13101"/>
      <c r="H13101"/>
      <c r="I13101"/>
    </row>
    <row r="13102" spans="6:9" x14ac:dyDescent="0.3">
      <c r="F13102"/>
      <c r="G13102"/>
      <c r="H13102"/>
      <c r="I13102"/>
    </row>
    <row r="13103" spans="6:9" x14ac:dyDescent="0.3">
      <c r="F13103"/>
      <c r="G13103"/>
      <c r="H13103"/>
      <c r="I13103"/>
    </row>
    <row r="13104" spans="6:9" x14ac:dyDescent="0.3">
      <c r="F13104"/>
      <c r="G13104"/>
      <c r="H13104"/>
      <c r="I13104"/>
    </row>
    <row r="13105" spans="6:9" x14ac:dyDescent="0.3">
      <c r="F13105"/>
      <c r="G13105"/>
      <c r="H13105"/>
      <c r="I13105"/>
    </row>
    <row r="13106" spans="6:9" x14ac:dyDescent="0.3">
      <c r="F13106"/>
      <c r="G13106"/>
      <c r="H13106"/>
      <c r="I13106"/>
    </row>
    <row r="13107" spans="6:9" x14ac:dyDescent="0.3">
      <c r="F13107"/>
      <c r="G13107"/>
      <c r="H13107"/>
      <c r="I13107"/>
    </row>
    <row r="13108" spans="6:9" x14ac:dyDescent="0.3">
      <c r="F13108"/>
      <c r="G13108"/>
      <c r="H13108"/>
      <c r="I13108"/>
    </row>
    <row r="13109" spans="6:9" x14ac:dyDescent="0.3">
      <c r="F13109"/>
      <c r="G13109"/>
      <c r="H13109"/>
      <c r="I13109"/>
    </row>
    <row r="13110" spans="6:9" x14ac:dyDescent="0.3">
      <c r="F13110"/>
      <c r="G13110"/>
      <c r="H13110"/>
      <c r="I13110"/>
    </row>
    <row r="13111" spans="6:9" x14ac:dyDescent="0.3">
      <c r="F13111"/>
      <c r="G13111"/>
      <c r="H13111"/>
      <c r="I13111"/>
    </row>
    <row r="13112" spans="6:9" x14ac:dyDescent="0.3">
      <c r="F13112"/>
      <c r="G13112"/>
      <c r="H13112"/>
      <c r="I13112"/>
    </row>
    <row r="13113" spans="6:9" x14ac:dyDescent="0.3">
      <c r="F13113"/>
      <c r="G13113"/>
      <c r="H13113"/>
      <c r="I13113"/>
    </row>
    <row r="13114" spans="6:9" x14ac:dyDescent="0.3">
      <c r="F13114"/>
      <c r="G13114"/>
      <c r="H13114"/>
      <c r="I13114"/>
    </row>
    <row r="13115" spans="6:9" x14ac:dyDescent="0.3">
      <c r="F13115"/>
      <c r="G13115"/>
      <c r="H13115"/>
      <c r="I13115"/>
    </row>
    <row r="13116" spans="6:9" x14ac:dyDescent="0.3">
      <c r="F13116"/>
      <c r="G13116"/>
      <c r="H13116"/>
      <c r="I13116"/>
    </row>
    <row r="13117" spans="6:9" x14ac:dyDescent="0.3">
      <c r="F13117"/>
      <c r="G13117"/>
      <c r="H13117"/>
      <c r="I13117"/>
    </row>
    <row r="13118" spans="6:9" x14ac:dyDescent="0.3">
      <c r="F13118"/>
      <c r="G13118"/>
      <c r="H13118"/>
      <c r="I13118"/>
    </row>
    <row r="13119" spans="6:9" x14ac:dyDescent="0.3">
      <c r="F13119"/>
      <c r="G13119"/>
      <c r="H13119"/>
      <c r="I13119"/>
    </row>
    <row r="13120" spans="6:9" x14ac:dyDescent="0.3">
      <c r="F13120"/>
      <c r="G13120"/>
      <c r="H13120"/>
      <c r="I13120"/>
    </row>
    <row r="13121" spans="6:9" x14ac:dyDescent="0.3">
      <c r="F13121"/>
      <c r="G13121"/>
      <c r="H13121"/>
      <c r="I13121"/>
    </row>
    <row r="13122" spans="6:9" x14ac:dyDescent="0.3">
      <c r="F13122"/>
      <c r="G13122"/>
      <c r="H13122"/>
      <c r="I13122"/>
    </row>
    <row r="13123" spans="6:9" x14ac:dyDescent="0.3">
      <c r="F13123"/>
      <c r="G13123"/>
      <c r="H13123"/>
      <c r="I13123"/>
    </row>
    <row r="13124" spans="6:9" x14ac:dyDescent="0.3">
      <c r="F13124"/>
      <c r="G13124"/>
      <c r="H13124"/>
      <c r="I13124"/>
    </row>
    <row r="13125" spans="6:9" x14ac:dyDescent="0.3">
      <c r="F13125"/>
      <c r="G13125"/>
      <c r="H13125"/>
      <c r="I13125"/>
    </row>
    <row r="13126" spans="6:9" x14ac:dyDescent="0.3">
      <c r="F13126"/>
      <c r="G13126"/>
      <c r="H13126"/>
      <c r="I13126"/>
    </row>
    <row r="13127" spans="6:9" x14ac:dyDescent="0.3">
      <c r="F13127"/>
      <c r="G13127"/>
      <c r="H13127"/>
      <c r="I13127"/>
    </row>
    <row r="13128" spans="6:9" x14ac:dyDescent="0.3">
      <c r="F13128"/>
      <c r="G13128"/>
      <c r="H13128"/>
      <c r="I13128"/>
    </row>
    <row r="13129" spans="6:9" x14ac:dyDescent="0.3">
      <c r="F13129"/>
      <c r="G13129"/>
      <c r="H13129"/>
      <c r="I13129"/>
    </row>
    <row r="13130" spans="6:9" x14ac:dyDescent="0.3">
      <c r="F13130"/>
      <c r="G13130"/>
      <c r="H13130"/>
      <c r="I13130"/>
    </row>
    <row r="13131" spans="6:9" x14ac:dyDescent="0.3">
      <c r="F13131"/>
      <c r="G13131"/>
      <c r="H13131"/>
      <c r="I13131"/>
    </row>
    <row r="13132" spans="6:9" x14ac:dyDescent="0.3">
      <c r="F13132"/>
      <c r="G13132"/>
      <c r="H13132"/>
      <c r="I13132"/>
    </row>
    <row r="13133" spans="6:9" x14ac:dyDescent="0.3">
      <c r="F13133"/>
      <c r="G13133"/>
      <c r="H13133"/>
      <c r="I13133"/>
    </row>
    <row r="13134" spans="6:9" x14ac:dyDescent="0.3">
      <c r="F13134"/>
      <c r="G13134"/>
      <c r="H13134"/>
      <c r="I13134"/>
    </row>
    <row r="13135" spans="6:9" x14ac:dyDescent="0.3">
      <c r="F13135"/>
      <c r="G13135"/>
      <c r="H13135"/>
      <c r="I13135"/>
    </row>
    <row r="13136" spans="6:9" x14ac:dyDescent="0.3">
      <c r="F13136"/>
      <c r="G13136"/>
      <c r="H13136"/>
      <c r="I13136"/>
    </row>
    <row r="13137" spans="6:9" x14ac:dyDescent="0.3">
      <c r="F13137"/>
      <c r="G13137"/>
      <c r="H13137"/>
      <c r="I13137"/>
    </row>
    <row r="13138" spans="6:9" x14ac:dyDescent="0.3">
      <c r="F13138"/>
      <c r="G13138"/>
      <c r="H13138"/>
      <c r="I13138"/>
    </row>
    <row r="13139" spans="6:9" x14ac:dyDescent="0.3">
      <c r="F13139"/>
      <c r="G13139"/>
      <c r="H13139"/>
      <c r="I13139"/>
    </row>
    <row r="13140" spans="6:9" x14ac:dyDescent="0.3">
      <c r="F13140"/>
      <c r="G13140"/>
      <c r="H13140"/>
      <c r="I13140"/>
    </row>
    <row r="13141" spans="6:9" x14ac:dyDescent="0.3">
      <c r="F13141"/>
      <c r="G13141"/>
      <c r="H13141"/>
      <c r="I13141"/>
    </row>
    <row r="13142" spans="6:9" x14ac:dyDescent="0.3">
      <c r="F13142"/>
      <c r="G13142"/>
      <c r="H13142"/>
      <c r="I13142"/>
    </row>
    <row r="13143" spans="6:9" x14ac:dyDescent="0.3">
      <c r="F13143"/>
      <c r="G13143"/>
      <c r="H13143"/>
      <c r="I13143"/>
    </row>
    <row r="13144" spans="6:9" x14ac:dyDescent="0.3">
      <c r="F13144"/>
      <c r="G13144"/>
      <c r="H13144"/>
      <c r="I13144"/>
    </row>
    <row r="13145" spans="6:9" x14ac:dyDescent="0.3">
      <c r="F13145"/>
      <c r="G13145"/>
      <c r="H13145"/>
      <c r="I13145"/>
    </row>
    <row r="13146" spans="6:9" x14ac:dyDescent="0.3">
      <c r="F13146"/>
      <c r="G13146"/>
      <c r="H13146"/>
      <c r="I13146"/>
    </row>
    <row r="13147" spans="6:9" x14ac:dyDescent="0.3">
      <c r="F13147"/>
      <c r="G13147"/>
      <c r="H13147"/>
      <c r="I13147"/>
    </row>
    <row r="13148" spans="6:9" x14ac:dyDescent="0.3">
      <c r="F13148"/>
      <c r="G13148"/>
      <c r="H13148"/>
      <c r="I13148"/>
    </row>
    <row r="13149" spans="6:9" x14ac:dyDescent="0.3">
      <c r="F13149"/>
      <c r="G13149"/>
      <c r="H13149"/>
      <c r="I13149"/>
    </row>
    <row r="13150" spans="6:9" x14ac:dyDescent="0.3">
      <c r="F13150"/>
      <c r="G13150"/>
      <c r="H13150"/>
      <c r="I13150"/>
    </row>
    <row r="13151" spans="6:9" x14ac:dyDescent="0.3">
      <c r="F13151"/>
      <c r="G13151"/>
      <c r="H13151"/>
      <c r="I13151"/>
    </row>
    <row r="13152" spans="6:9" x14ac:dyDescent="0.3">
      <c r="F13152"/>
      <c r="G13152"/>
      <c r="H13152"/>
      <c r="I13152"/>
    </row>
    <row r="13153" spans="6:9" x14ac:dyDescent="0.3">
      <c r="F13153"/>
      <c r="G13153"/>
      <c r="H13153"/>
      <c r="I13153"/>
    </row>
    <row r="13154" spans="6:9" x14ac:dyDescent="0.3">
      <c r="F13154"/>
      <c r="G13154"/>
      <c r="H13154"/>
      <c r="I13154"/>
    </row>
    <row r="13155" spans="6:9" x14ac:dyDescent="0.3">
      <c r="F13155"/>
      <c r="G13155"/>
      <c r="H13155"/>
      <c r="I13155"/>
    </row>
    <row r="13156" spans="6:9" x14ac:dyDescent="0.3">
      <c r="F13156"/>
      <c r="G13156"/>
      <c r="H13156"/>
      <c r="I13156"/>
    </row>
    <row r="13157" spans="6:9" x14ac:dyDescent="0.3">
      <c r="F13157"/>
      <c r="G13157"/>
      <c r="H13157"/>
      <c r="I13157"/>
    </row>
    <row r="13158" spans="6:9" x14ac:dyDescent="0.3">
      <c r="F13158"/>
      <c r="G13158"/>
      <c r="H13158"/>
      <c r="I13158"/>
    </row>
    <row r="13159" spans="6:9" x14ac:dyDescent="0.3">
      <c r="F13159"/>
      <c r="G13159"/>
      <c r="H13159"/>
      <c r="I13159"/>
    </row>
    <row r="13160" spans="6:9" x14ac:dyDescent="0.3">
      <c r="F13160"/>
      <c r="G13160"/>
      <c r="H13160"/>
      <c r="I13160"/>
    </row>
    <row r="13161" spans="6:9" x14ac:dyDescent="0.3">
      <c r="F13161"/>
      <c r="G13161"/>
      <c r="H13161"/>
      <c r="I13161"/>
    </row>
    <row r="13162" spans="6:9" x14ac:dyDescent="0.3">
      <c r="F13162"/>
      <c r="G13162"/>
      <c r="H13162"/>
      <c r="I13162"/>
    </row>
    <row r="13163" spans="6:9" x14ac:dyDescent="0.3">
      <c r="F13163"/>
      <c r="G13163"/>
      <c r="H13163"/>
      <c r="I13163"/>
    </row>
    <row r="13164" spans="6:9" x14ac:dyDescent="0.3">
      <c r="F13164"/>
      <c r="G13164"/>
      <c r="H13164"/>
      <c r="I13164"/>
    </row>
    <row r="13165" spans="6:9" x14ac:dyDescent="0.3">
      <c r="F13165"/>
      <c r="G13165"/>
      <c r="H13165"/>
      <c r="I13165"/>
    </row>
    <row r="13166" spans="6:9" x14ac:dyDescent="0.3">
      <c r="F13166"/>
      <c r="G13166"/>
      <c r="H13166"/>
      <c r="I13166"/>
    </row>
    <row r="13167" spans="6:9" x14ac:dyDescent="0.3">
      <c r="F13167"/>
      <c r="G13167"/>
      <c r="H13167"/>
      <c r="I13167"/>
    </row>
    <row r="13168" spans="6:9" x14ac:dyDescent="0.3">
      <c r="F13168"/>
      <c r="G13168"/>
      <c r="H13168"/>
      <c r="I13168"/>
    </row>
    <row r="13169" spans="6:9" x14ac:dyDescent="0.3">
      <c r="F13169"/>
      <c r="G13169"/>
      <c r="H13169"/>
      <c r="I13169"/>
    </row>
    <row r="13170" spans="6:9" x14ac:dyDescent="0.3">
      <c r="F13170"/>
      <c r="G13170"/>
      <c r="H13170"/>
      <c r="I13170"/>
    </row>
    <row r="13171" spans="6:9" x14ac:dyDescent="0.3">
      <c r="F13171"/>
      <c r="G13171"/>
      <c r="H13171"/>
      <c r="I13171"/>
    </row>
    <row r="13172" spans="6:9" x14ac:dyDescent="0.3">
      <c r="F13172"/>
      <c r="G13172"/>
      <c r="H13172"/>
      <c r="I13172"/>
    </row>
    <row r="13173" spans="6:9" x14ac:dyDescent="0.3">
      <c r="F13173"/>
      <c r="G13173"/>
      <c r="H13173"/>
      <c r="I13173"/>
    </row>
    <row r="13174" spans="6:9" x14ac:dyDescent="0.3">
      <c r="F13174"/>
      <c r="G13174"/>
      <c r="H13174"/>
      <c r="I13174"/>
    </row>
    <row r="13175" spans="6:9" x14ac:dyDescent="0.3">
      <c r="F13175"/>
      <c r="G13175"/>
      <c r="H13175"/>
      <c r="I13175"/>
    </row>
    <row r="13176" spans="6:9" x14ac:dyDescent="0.3">
      <c r="F13176"/>
      <c r="G13176"/>
      <c r="H13176"/>
      <c r="I13176"/>
    </row>
    <row r="13177" spans="6:9" x14ac:dyDescent="0.3">
      <c r="F13177"/>
      <c r="G13177"/>
      <c r="H13177"/>
      <c r="I13177"/>
    </row>
    <row r="13178" spans="6:9" x14ac:dyDescent="0.3">
      <c r="F13178"/>
      <c r="G13178"/>
      <c r="H13178"/>
      <c r="I13178"/>
    </row>
    <row r="13179" spans="6:9" x14ac:dyDescent="0.3">
      <c r="F13179"/>
      <c r="G13179"/>
      <c r="H13179"/>
      <c r="I13179"/>
    </row>
    <row r="13180" spans="6:9" x14ac:dyDescent="0.3">
      <c r="F13180"/>
      <c r="G13180"/>
      <c r="H13180"/>
      <c r="I13180"/>
    </row>
    <row r="13181" spans="6:9" x14ac:dyDescent="0.3">
      <c r="F13181"/>
      <c r="G13181"/>
      <c r="H13181"/>
      <c r="I13181"/>
    </row>
    <row r="13182" spans="6:9" x14ac:dyDescent="0.3">
      <c r="F13182"/>
      <c r="G13182"/>
      <c r="H13182"/>
      <c r="I13182"/>
    </row>
    <row r="13183" spans="6:9" x14ac:dyDescent="0.3">
      <c r="F13183"/>
      <c r="G13183"/>
      <c r="H13183"/>
      <c r="I13183"/>
    </row>
    <row r="13184" spans="6:9" x14ac:dyDescent="0.3">
      <c r="F13184"/>
      <c r="G13184"/>
      <c r="H13184"/>
      <c r="I13184"/>
    </row>
    <row r="13185" spans="6:9" x14ac:dyDescent="0.3">
      <c r="F13185"/>
      <c r="G13185"/>
      <c r="H13185"/>
      <c r="I13185"/>
    </row>
    <row r="13186" spans="6:9" x14ac:dyDescent="0.3">
      <c r="F13186"/>
      <c r="G13186"/>
      <c r="H13186"/>
      <c r="I13186"/>
    </row>
    <row r="13187" spans="6:9" x14ac:dyDescent="0.3">
      <c r="F13187"/>
      <c r="G13187"/>
      <c r="H13187"/>
      <c r="I13187"/>
    </row>
    <row r="13188" spans="6:9" x14ac:dyDescent="0.3">
      <c r="F13188"/>
      <c r="G13188"/>
      <c r="H13188"/>
      <c r="I13188"/>
    </row>
    <row r="13189" spans="6:9" x14ac:dyDescent="0.3">
      <c r="F13189"/>
      <c r="G13189"/>
      <c r="H13189"/>
      <c r="I13189"/>
    </row>
    <row r="13190" spans="6:9" x14ac:dyDescent="0.3">
      <c r="F13190"/>
      <c r="G13190"/>
      <c r="H13190"/>
      <c r="I13190"/>
    </row>
    <row r="13191" spans="6:9" x14ac:dyDescent="0.3">
      <c r="F13191"/>
      <c r="G13191"/>
      <c r="H13191"/>
      <c r="I13191"/>
    </row>
    <row r="13192" spans="6:9" x14ac:dyDescent="0.3">
      <c r="F13192"/>
      <c r="G13192"/>
      <c r="H13192"/>
      <c r="I13192"/>
    </row>
    <row r="13193" spans="6:9" x14ac:dyDescent="0.3">
      <c r="F13193"/>
      <c r="G13193"/>
      <c r="H13193"/>
      <c r="I13193"/>
    </row>
    <row r="13194" spans="6:9" x14ac:dyDescent="0.3">
      <c r="F13194"/>
      <c r="G13194"/>
      <c r="H13194"/>
      <c r="I13194"/>
    </row>
    <row r="13195" spans="6:9" x14ac:dyDescent="0.3">
      <c r="F13195"/>
      <c r="G13195"/>
      <c r="H13195"/>
      <c r="I13195"/>
    </row>
    <row r="13196" spans="6:9" x14ac:dyDescent="0.3">
      <c r="F13196"/>
      <c r="G13196"/>
      <c r="H13196"/>
      <c r="I13196"/>
    </row>
    <row r="13197" spans="6:9" x14ac:dyDescent="0.3">
      <c r="F13197"/>
      <c r="G13197"/>
      <c r="H13197"/>
      <c r="I13197"/>
    </row>
    <row r="13198" spans="6:9" x14ac:dyDescent="0.3">
      <c r="F13198"/>
      <c r="G13198"/>
      <c r="H13198"/>
      <c r="I13198"/>
    </row>
    <row r="13199" spans="6:9" x14ac:dyDescent="0.3">
      <c r="F13199"/>
      <c r="G13199"/>
      <c r="H13199"/>
      <c r="I13199"/>
    </row>
    <row r="13200" spans="6:9" x14ac:dyDescent="0.3">
      <c r="F13200"/>
      <c r="G13200"/>
      <c r="H13200"/>
      <c r="I13200"/>
    </row>
    <row r="13201" spans="6:9" x14ac:dyDescent="0.3">
      <c r="F13201"/>
      <c r="G13201"/>
      <c r="H13201"/>
      <c r="I13201"/>
    </row>
    <row r="13202" spans="6:9" x14ac:dyDescent="0.3">
      <c r="F13202"/>
      <c r="G13202"/>
      <c r="H13202"/>
      <c r="I13202"/>
    </row>
    <row r="13203" spans="6:9" x14ac:dyDescent="0.3">
      <c r="F13203"/>
      <c r="G13203"/>
      <c r="H13203"/>
      <c r="I13203"/>
    </row>
    <row r="13204" spans="6:9" x14ac:dyDescent="0.3">
      <c r="F13204"/>
      <c r="G13204"/>
      <c r="H13204"/>
      <c r="I13204"/>
    </row>
    <row r="13205" spans="6:9" x14ac:dyDescent="0.3">
      <c r="F13205"/>
      <c r="G13205"/>
      <c r="H13205"/>
      <c r="I13205"/>
    </row>
    <row r="13206" spans="6:9" x14ac:dyDescent="0.3">
      <c r="F13206"/>
      <c r="G13206"/>
      <c r="H13206"/>
      <c r="I13206"/>
    </row>
    <row r="13207" spans="6:9" x14ac:dyDescent="0.3">
      <c r="F13207"/>
      <c r="G13207"/>
      <c r="H13207"/>
      <c r="I13207"/>
    </row>
    <row r="13208" spans="6:9" x14ac:dyDescent="0.3">
      <c r="F13208"/>
      <c r="G13208"/>
      <c r="H13208"/>
      <c r="I13208"/>
    </row>
    <row r="13209" spans="6:9" x14ac:dyDescent="0.3">
      <c r="F13209"/>
      <c r="G13209"/>
      <c r="H13209"/>
      <c r="I13209"/>
    </row>
    <row r="13210" spans="6:9" x14ac:dyDescent="0.3">
      <c r="F13210"/>
      <c r="G13210"/>
      <c r="H13210"/>
      <c r="I13210"/>
    </row>
    <row r="13211" spans="6:9" x14ac:dyDescent="0.3">
      <c r="F13211"/>
      <c r="G13211"/>
      <c r="H13211"/>
      <c r="I13211"/>
    </row>
    <row r="13212" spans="6:9" x14ac:dyDescent="0.3">
      <c r="F13212"/>
      <c r="G13212"/>
      <c r="H13212"/>
      <c r="I13212"/>
    </row>
    <row r="13213" spans="6:9" x14ac:dyDescent="0.3">
      <c r="F13213"/>
      <c r="G13213"/>
      <c r="H13213"/>
      <c r="I13213"/>
    </row>
    <row r="13214" spans="6:9" x14ac:dyDescent="0.3">
      <c r="F13214"/>
      <c r="G13214"/>
      <c r="H13214"/>
      <c r="I13214"/>
    </row>
    <row r="13215" spans="6:9" x14ac:dyDescent="0.3">
      <c r="F13215"/>
      <c r="G13215"/>
      <c r="H13215"/>
      <c r="I13215"/>
    </row>
    <row r="13216" spans="6:9" x14ac:dyDescent="0.3">
      <c r="F13216"/>
      <c r="G13216"/>
      <c r="H13216"/>
      <c r="I13216"/>
    </row>
    <row r="13217" spans="6:9" x14ac:dyDescent="0.3">
      <c r="F13217"/>
      <c r="G13217"/>
      <c r="H13217"/>
      <c r="I13217"/>
    </row>
    <row r="13218" spans="6:9" x14ac:dyDescent="0.3">
      <c r="F13218"/>
      <c r="G13218"/>
      <c r="H13218"/>
      <c r="I13218"/>
    </row>
    <row r="13219" spans="6:9" x14ac:dyDescent="0.3">
      <c r="F13219"/>
      <c r="G13219"/>
      <c r="H13219"/>
      <c r="I13219"/>
    </row>
    <row r="13220" spans="6:9" x14ac:dyDescent="0.3">
      <c r="F13220"/>
      <c r="G13220"/>
      <c r="H13220"/>
      <c r="I13220"/>
    </row>
    <row r="13221" spans="6:9" x14ac:dyDescent="0.3">
      <c r="F13221"/>
      <c r="G13221"/>
      <c r="H13221"/>
      <c r="I13221"/>
    </row>
    <row r="13222" spans="6:9" x14ac:dyDescent="0.3">
      <c r="F13222"/>
      <c r="G13222"/>
      <c r="H13222"/>
      <c r="I13222"/>
    </row>
    <row r="13223" spans="6:9" x14ac:dyDescent="0.3">
      <c r="F13223"/>
      <c r="G13223"/>
      <c r="H13223"/>
      <c r="I13223"/>
    </row>
    <row r="13224" spans="6:9" x14ac:dyDescent="0.3">
      <c r="F13224"/>
      <c r="G13224"/>
      <c r="H13224"/>
      <c r="I13224"/>
    </row>
    <row r="13225" spans="6:9" x14ac:dyDescent="0.3">
      <c r="F13225"/>
      <c r="G13225"/>
      <c r="H13225"/>
      <c r="I13225"/>
    </row>
    <row r="13226" spans="6:9" x14ac:dyDescent="0.3">
      <c r="F13226"/>
      <c r="G13226"/>
      <c r="H13226"/>
      <c r="I13226"/>
    </row>
    <row r="13227" spans="6:9" x14ac:dyDescent="0.3">
      <c r="F13227"/>
      <c r="G13227"/>
      <c r="H13227"/>
      <c r="I13227"/>
    </row>
    <row r="13228" spans="6:9" x14ac:dyDescent="0.3">
      <c r="F13228"/>
      <c r="G13228"/>
      <c r="H13228"/>
      <c r="I13228"/>
    </row>
    <row r="13229" spans="6:9" x14ac:dyDescent="0.3">
      <c r="F13229"/>
      <c r="G13229"/>
      <c r="H13229"/>
      <c r="I13229"/>
    </row>
    <row r="13230" spans="6:9" x14ac:dyDescent="0.3">
      <c r="F13230"/>
      <c r="G13230"/>
      <c r="H13230"/>
      <c r="I13230"/>
    </row>
    <row r="13231" spans="6:9" x14ac:dyDescent="0.3">
      <c r="F13231"/>
      <c r="G13231"/>
      <c r="H13231"/>
      <c r="I13231"/>
    </row>
    <row r="13232" spans="6:9" x14ac:dyDescent="0.3">
      <c r="F13232"/>
      <c r="G13232"/>
      <c r="H13232"/>
      <c r="I13232"/>
    </row>
    <row r="13233" spans="6:9" x14ac:dyDescent="0.3">
      <c r="F13233"/>
      <c r="G13233"/>
      <c r="H13233"/>
      <c r="I13233"/>
    </row>
    <row r="13234" spans="6:9" x14ac:dyDescent="0.3">
      <c r="F13234"/>
      <c r="G13234"/>
      <c r="H13234"/>
      <c r="I13234"/>
    </row>
    <row r="13235" spans="6:9" x14ac:dyDescent="0.3">
      <c r="F13235"/>
      <c r="G13235"/>
      <c r="H13235"/>
      <c r="I13235"/>
    </row>
    <row r="13236" spans="6:9" x14ac:dyDescent="0.3">
      <c r="F13236"/>
      <c r="G13236"/>
      <c r="H13236"/>
      <c r="I13236"/>
    </row>
    <row r="13237" spans="6:9" x14ac:dyDescent="0.3">
      <c r="F13237"/>
      <c r="G13237"/>
      <c r="H13237"/>
      <c r="I13237"/>
    </row>
    <row r="13238" spans="6:9" x14ac:dyDescent="0.3">
      <c r="F13238"/>
      <c r="G13238"/>
      <c r="H13238"/>
      <c r="I13238"/>
    </row>
    <row r="13239" spans="6:9" x14ac:dyDescent="0.3">
      <c r="F13239"/>
      <c r="G13239"/>
      <c r="H13239"/>
      <c r="I13239"/>
    </row>
    <row r="13240" spans="6:9" x14ac:dyDescent="0.3">
      <c r="F13240"/>
      <c r="G13240"/>
      <c r="H13240"/>
      <c r="I13240"/>
    </row>
    <row r="13241" spans="6:9" x14ac:dyDescent="0.3">
      <c r="F13241"/>
      <c r="G13241"/>
      <c r="H13241"/>
      <c r="I13241"/>
    </row>
    <row r="13242" spans="6:9" x14ac:dyDescent="0.3">
      <c r="F13242"/>
      <c r="G13242"/>
      <c r="H13242"/>
      <c r="I13242"/>
    </row>
    <row r="13243" spans="6:9" x14ac:dyDescent="0.3">
      <c r="F13243"/>
      <c r="G13243"/>
      <c r="H13243"/>
      <c r="I13243"/>
    </row>
    <row r="13244" spans="6:9" x14ac:dyDescent="0.3">
      <c r="F13244"/>
      <c r="G13244"/>
      <c r="H13244"/>
      <c r="I13244"/>
    </row>
    <row r="13245" spans="6:9" x14ac:dyDescent="0.3">
      <c r="F13245"/>
      <c r="G13245"/>
      <c r="H13245"/>
      <c r="I13245"/>
    </row>
    <row r="13246" spans="6:9" x14ac:dyDescent="0.3">
      <c r="F13246"/>
      <c r="G13246"/>
      <c r="H13246"/>
      <c r="I13246"/>
    </row>
    <row r="13247" spans="6:9" x14ac:dyDescent="0.3">
      <c r="F13247"/>
      <c r="G13247"/>
      <c r="H13247"/>
      <c r="I13247"/>
    </row>
    <row r="13248" spans="6:9" x14ac:dyDescent="0.3">
      <c r="F13248"/>
      <c r="G13248"/>
      <c r="H13248"/>
      <c r="I13248"/>
    </row>
    <row r="13249" spans="6:9" x14ac:dyDescent="0.3">
      <c r="F13249"/>
      <c r="G13249"/>
      <c r="H13249"/>
      <c r="I13249"/>
    </row>
    <row r="13250" spans="6:9" x14ac:dyDescent="0.3">
      <c r="F13250"/>
      <c r="G13250"/>
      <c r="H13250"/>
      <c r="I13250"/>
    </row>
    <row r="13251" spans="6:9" x14ac:dyDescent="0.3">
      <c r="F13251"/>
      <c r="G13251"/>
      <c r="H13251"/>
      <c r="I13251"/>
    </row>
    <row r="13252" spans="6:9" x14ac:dyDescent="0.3">
      <c r="F13252"/>
      <c r="G13252"/>
      <c r="H13252"/>
      <c r="I13252"/>
    </row>
    <row r="13253" spans="6:9" x14ac:dyDescent="0.3">
      <c r="F13253"/>
      <c r="G13253"/>
      <c r="H13253"/>
      <c r="I13253"/>
    </row>
    <row r="13254" spans="6:9" x14ac:dyDescent="0.3">
      <c r="F13254"/>
      <c r="G13254"/>
      <c r="H13254"/>
      <c r="I13254"/>
    </row>
    <row r="13255" spans="6:9" x14ac:dyDescent="0.3">
      <c r="F13255"/>
      <c r="G13255"/>
      <c r="H13255"/>
      <c r="I13255"/>
    </row>
    <row r="13256" spans="6:9" x14ac:dyDescent="0.3">
      <c r="F13256"/>
      <c r="G13256"/>
      <c r="H13256"/>
      <c r="I13256"/>
    </row>
    <row r="13257" spans="6:9" x14ac:dyDescent="0.3">
      <c r="F13257"/>
      <c r="G13257"/>
      <c r="H13257"/>
      <c r="I13257"/>
    </row>
    <row r="13258" spans="6:9" x14ac:dyDescent="0.3">
      <c r="F13258"/>
      <c r="G13258"/>
      <c r="H13258"/>
      <c r="I13258"/>
    </row>
    <row r="13259" spans="6:9" x14ac:dyDescent="0.3">
      <c r="F13259"/>
      <c r="G13259"/>
      <c r="H13259"/>
      <c r="I13259"/>
    </row>
    <row r="13260" spans="6:9" x14ac:dyDescent="0.3">
      <c r="F13260"/>
      <c r="G13260"/>
      <c r="H13260"/>
      <c r="I13260"/>
    </row>
    <row r="13261" spans="6:9" x14ac:dyDescent="0.3">
      <c r="F13261"/>
      <c r="G13261"/>
      <c r="H13261"/>
      <c r="I13261"/>
    </row>
    <row r="13262" spans="6:9" x14ac:dyDescent="0.3">
      <c r="F13262"/>
      <c r="G13262"/>
      <c r="H13262"/>
      <c r="I13262"/>
    </row>
    <row r="13263" spans="6:9" x14ac:dyDescent="0.3">
      <c r="F13263"/>
      <c r="G13263"/>
      <c r="H13263"/>
      <c r="I13263"/>
    </row>
    <row r="13264" spans="6:9" x14ac:dyDescent="0.3">
      <c r="F13264"/>
      <c r="G13264"/>
      <c r="H13264"/>
      <c r="I13264"/>
    </row>
    <row r="13265" spans="6:9" x14ac:dyDescent="0.3">
      <c r="F13265"/>
      <c r="G13265"/>
      <c r="H13265"/>
      <c r="I13265"/>
    </row>
    <row r="13266" spans="6:9" x14ac:dyDescent="0.3">
      <c r="F13266"/>
      <c r="G13266"/>
      <c r="H13266"/>
      <c r="I13266"/>
    </row>
    <row r="13267" spans="6:9" x14ac:dyDescent="0.3">
      <c r="F13267"/>
      <c r="G13267"/>
      <c r="H13267"/>
      <c r="I13267"/>
    </row>
    <row r="13268" spans="6:9" x14ac:dyDescent="0.3">
      <c r="F13268"/>
      <c r="G13268"/>
      <c r="H13268"/>
      <c r="I13268"/>
    </row>
    <row r="13269" spans="6:9" x14ac:dyDescent="0.3">
      <c r="F13269"/>
      <c r="G13269"/>
      <c r="H13269"/>
      <c r="I13269"/>
    </row>
    <row r="13270" spans="6:9" x14ac:dyDescent="0.3">
      <c r="F13270"/>
      <c r="G13270"/>
      <c r="H13270"/>
      <c r="I13270"/>
    </row>
    <row r="13271" spans="6:9" x14ac:dyDescent="0.3">
      <c r="F13271"/>
      <c r="G13271"/>
      <c r="H13271"/>
      <c r="I13271"/>
    </row>
    <row r="13272" spans="6:9" x14ac:dyDescent="0.3">
      <c r="F13272"/>
      <c r="G13272"/>
      <c r="H13272"/>
      <c r="I13272"/>
    </row>
    <row r="13273" spans="6:9" x14ac:dyDescent="0.3">
      <c r="F13273"/>
      <c r="G13273"/>
      <c r="H13273"/>
      <c r="I13273"/>
    </row>
    <row r="13274" spans="6:9" x14ac:dyDescent="0.3">
      <c r="F13274"/>
      <c r="G13274"/>
      <c r="H13274"/>
      <c r="I13274"/>
    </row>
    <row r="13275" spans="6:9" x14ac:dyDescent="0.3">
      <c r="F13275"/>
      <c r="G13275"/>
      <c r="H13275"/>
      <c r="I13275"/>
    </row>
    <row r="13276" spans="6:9" x14ac:dyDescent="0.3">
      <c r="F13276"/>
      <c r="G13276"/>
      <c r="H13276"/>
      <c r="I13276"/>
    </row>
    <row r="13277" spans="6:9" x14ac:dyDescent="0.3">
      <c r="F13277"/>
      <c r="G13277"/>
      <c r="H13277"/>
      <c r="I13277"/>
    </row>
    <row r="13278" spans="6:9" x14ac:dyDescent="0.3">
      <c r="F13278"/>
      <c r="G13278"/>
      <c r="H13278"/>
      <c r="I13278"/>
    </row>
    <row r="13279" spans="6:9" x14ac:dyDescent="0.3">
      <c r="F13279"/>
      <c r="G13279"/>
      <c r="H13279"/>
      <c r="I13279"/>
    </row>
    <row r="13280" spans="6:9" x14ac:dyDescent="0.3">
      <c r="F13280"/>
      <c r="G13280"/>
      <c r="H13280"/>
      <c r="I13280"/>
    </row>
    <row r="13281" spans="6:9" x14ac:dyDescent="0.3">
      <c r="F13281"/>
      <c r="G13281"/>
      <c r="H13281"/>
      <c r="I13281"/>
    </row>
    <row r="13282" spans="6:9" x14ac:dyDescent="0.3">
      <c r="F13282"/>
      <c r="G13282"/>
      <c r="H13282"/>
      <c r="I13282"/>
    </row>
    <row r="13283" spans="6:9" x14ac:dyDescent="0.3">
      <c r="F13283"/>
      <c r="G13283"/>
      <c r="H13283"/>
      <c r="I13283"/>
    </row>
    <row r="13284" spans="6:9" x14ac:dyDescent="0.3">
      <c r="F13284"/>
      <c r="G13284"/>
      <c r="H13284"/>
      <c r="I13284"/>
    </row>
    <row r="13285" spans="6:9" x14ac:dyDescent="0.3">
      <c r="F13285"/>
      <c r="G13285"/>
      <c r="H13285"/>
      <c r="I13285"/>
    </row>
    <row r="13286" spans="6:9" x14ac:dyDescent="0.3">
      <c r="F13286"/>
      <c r="G13286"/>
      <c r="H13286"/>
      <c r="I13286"/>
    </row>
    <row r="13287" spans="6:9" x14ac:dyDescent="0.3">
      <c r="F13287"/>
      <c r="G13287"/>
      <c r="H13287"/>
      <c r="I13287"/>
    </row>
    <row r="13288" spans="6:9" x14ac:dyDescent="0.3">
      <c r="F13288"/>
      <c r="G13288"/>
      <c r="H13288"/>
      <c r="I13288"/>
    </row>
    <row r="13289" spans="6:9" x14ac:dyDescent="0.3">
      <c r="F13289"/>
      <c r="G13289"/>
      <c r="H13289"/>
      <c r="I13289"/>
    </row>
    <row r="13290" spans="6:9" x14ac:dyDescent="0.3">
      <c r="F13290"/>
      <c r="G13290"/>
      <c r="H13290"/>
      <c r="I13290"/>
    </row>
    <row r="13291" spans="6:9" x14ac:dyDescent="0.3">
      <c r="F13291"/>
      <c r="G13291"/>
      <c r="H13291"/>
      <c r="I13291"/>
    </row>
    <row r="13292" spans="6:9" x14ac:dyDescent="0.3">
      <c r="F13292"/>
      <c r="G13292"/>
      <c r="H13292"/>
      <c r="I13292"/>
    </row>
    <row r="13293" spans="6:9" x14ac:dyDescent="0.3">
      <c r="F13293"/>
      <c r="G13293"/>
      <c r="H13293"/>
      <c r="I13293"/>
    </row>
    <row r="13294" spans="6:9" x14ac:dyDescent="0.3">
      <c r="F13294"/>
      <c r="G13294"/>
      <c r="H13294"/>
      <c r="I13294"/>
    </row>
    <row r="13295" spans="6:9" x14ac:dyDescent="0.3">
      <c r="F13295"/>
      <c r="G13295"/>
      <c r="H13295"/>
      <c r="I13295"/>
    </row>
    <row r="13296" spans="6:9" x14ac:dyDescent="0.3">
      <c r="F13296"/>
      <c r="G13296"/>
      <c r="H13296"/>
      <c r="I13296"/>
    </row>
    <row r="13297" spans="6:9" x14ac:dyDescent="0.3">
      <c r="F13297"/>
      <c r="G13297"/>
      <c r="H13297"/>
      <c r="I13297"/>
    </row>
    <row r="13298" spans="6:9" x14ac:dyDescent="0.3">
      <c r="F13298"/>
      <c r="G13298"/>
      <c r="H13298"/>
      <c r="I13298"/>
    </row>
    <row r="13299" spans="6:9" x14ac:dyDescent="0.3">
      <c r="F13299"/>
      <c r="G13299"/>
      <c r="H13299"/>
      <c r="I13299"/>
    </row>
    <row r="13300" spans="6:9" x14ac:dyDescent="0.3">
      <c r="F13300"/>
      <c r="G13300"/>
      <c r="H13300"/>
      <c r="I13300"/>
    </row>
    <row r="13301" spans="6:9" x14ac:dyDescent="0.3">
      <c r="F13301"/>
      <c r="G13301"/>
      <c r="H13301"/>
      <c r="I13301"/>
    </row>
    <row r="13302" spans="6:9" x14ac:dyDescent="0.3">
      <c r="F13302"/>
      <c r="G13302"/>
      <c r="H13302"/>
      <c r="I13302"/>
    </row>
    <row r="13303" spans="6:9" x14ac:dyDescent="0.3">
      <c r="F13303"/>
      <c r="G13303"/>
      <c r="H13303"/>
      <c r="I13303"/>
    </row>
    <row r="13304" spans="6:9" x14ac:dyDescent="0.3">
      <c r="F13304"/>
      <c r="G13304"/>
      <c r="H13304"/>
      <c r="I13304"/>
    </row>
    <row r="13305" spans="6:9" x14ac:dyDescent="0.3">
      <c r="F13305"/>
      <c r="G13305"/>
      <c r="H13305"/>
      <c r="I13305"/>
    </row>
    <row r="13306" spans="6:9" x14ac:dyDescent="0.3">
      <c r="F13306"/>
      <c r="G13306"/>
      <c r="H13306"/>
      <c r="I13306"/>
    </row>
    <row r="13307" spans="6:9" x14ac:dyDescent="0.3">
      <c r="F13307"/>
      <c r="G13307"/>
      <c r="H13307"/>
      <c r="I13307"/>
    </row>
    <row r="13308" spans="6:9" x14ac:dyDescent="0.3">
      <c r="F13308"/>
      <c r="G13308"/>
      <c r="H13308"/>
      <c r="I13308"/>
    </row>
    <row r="13309" spans="6:9" x14ac:dyDescent="0.3">
      <c r="F13309"/>
      <c r="G13309"/>
      <c r="H13309"/>
      <c r="I13309"/>
    </row>
    <row r="13310" spans="6:9" x14ac:dyDescent="0.3">
      <c r="F13310"/>
      <c r="G13310"/>
      <c r="H13310"/>
      <c r="I13310"/>
    </row>
    <row r="13311" spans="6:9" x14ac:dyDescent="0.3">
      <c r="F13311"/>
      <c r="G13311"/>
      <c r="H13311"/>
      <c r="I13311"/>
    </row>
    <row r="13312" spans="6:9" x14ac:dyDescent="0.3">
      <c r="F13312"/>
      <c r="G13312"/>
      <c r="H13312"/>
      <c r="I13312"/>
    </row>
    <row r="13313" spans="6:9" x14ac:dyDescent="0.3">
      <c r="F13313"/>
      <c r="G13313"/>
      <c r="H13313"/>
      <c r="I13313"/>
    </row>
    <row r="13314" spans="6:9" x14ac:dyDescent="0.3">
      <c r="F13314"/>
      <c r="G13314"/>
      <c r="H13314"/>
      <c r="I13314"/>
    </row>
    <row r="13315" spans="6:9" x14ac:dyDescent="0.3">
      <c r="F13315"/>
      <c r="G13315"/>
      <c r="H13315"/>
      <c r="I13315"/>
    </row>
    <row r="13316" spans="6:9" x14ac:dyDescent="0.3">
      <c r="F13316"/>
      <c r="G13316"/>
      <c r="H13316"/>
      <c r="I13316"/>
    </row>
    <row r="13317" spans="6:9" x14ac:dyDescent="0.3">
      <c r="F13317"/>
      <c r="G13317"/>
      <c r="H13317"/>
      <c r="I13317"/>
    </row>
    <row r="13318" spans="6:9" x14ac:dyDescent="0.3">
      <c r="F13318"/>
      <c r="G13318"/>
      <c r="H13318"/>
      <c r="I13318"/>
    </row>
    <row r="13319" spans="6:9" x14ac:dyDescent="0.3">
      <c r="F13319"/>
      <c r="G13319"/>
      <c r="H13319"/>
      <c r="I13319"/>
    </row>
    <row r="13320" spans="6:9" x14ac:dyDescent="0.3">
      <c r="F13320"/>
      <c r="G13320"/>
      <c r="H13320"/>
      <c r="I13320"/>
    </row>
    <row r="13321" spans="6:9" x14ac:dyDescent="0.3">
      <c r="F13321"/>
      <c r="G13321"/>
      <c r="H13321"/>
      <c r="I13321"/>
    </row>
    <row r="13322" spans="6:9" x14ac:dyDescent="0.3">
      <c r="F13322"/>
      <c r="G13322"/>
      <c r="H13322"/>
      <c r="I13322"/>
    </row>
    <row r="13323" spans="6:9" x14ac:dyDescent="0.3">
      <c r="F13323"/>
      <c r="G13323"/>
      <c r="H13323"/>
      <c r="I13323"/>
    </row>
    <row r="13324" spans="6:9" x14ac:dyDescent="0.3">
      <c r="F13324"/>
      <c r="G13324"/>
      <c r="H13324"/>
      <c r="I13324"/>
    </row>
    <row r="13325" spans="6:9" x14ac:dyDescent="0.3">
      <c r="F13325"/>
      <c r="G13325"/>
      <c r="H13325"/>
      <c r="I13325"/>
    </row>
    <row r="13326" spans="6:9" x14ac:dyDescent="0.3">
      <c r="F13326"/>
      <c r="G13326"/>
      <c r="H13326"/>
      <c r="I13326"/>
    </row>
    <row r="13327" spans="6:9" x14ac:dyDescent="0.3">
      <c r="F13327"/>
      <c r="G13327"/>
      <c r="H13327"/>
      <c r="I13327"/>
    </row>
    <row r="13328" spans="6:9" x14ac:dyDescent="0.3">
      <c r="F13328"/>
      <c r="G13328"/>
      <c r="H13328"/>
      <c r="I13328"/>
    </row>
    <row r="13329" spans="6:9" x14ac:dyDescent="0.3">
      <c r="F13329"/>
      <c r="G13329"/>
      <c r="H13329"/>
      <c r="I13329"/>
    </row>
    <row r="13330" spans="6:9" x14ac:dyDescent="0.3">
      <c r="F13330"/>
      <c r="G13330"/>
      <c r="H13330"/>
      <c r="I13330"/>
    </row>
    <row r="13331" spans="6:9" x14ac:dyDescent="0.3">
      <c r="F13331"/>
      <c r="G13331"/>
      <c r="H13331"/>
      <c r="I13331"/>
    </row>
    <row r="13332" spans="6:9" x14ac:dyDescent="0.3">
      <c r="F13332"/>
      <c r="G13332"/>
      <c r="H13332"/>
      <c r="I13332"/>
    </row>
    <row r="13333" spans="6:9" x14ac:dyDescent="0.3">
      <c r="F13333"/>
      <c r="G13333"/>
      <c r="H13333"/>
      <c r="I13333"/>
    </row>
    <row r="13334" spans="6:9" x14ac:dyDescent="0.3">
      <c r="F13334"/>
      <c r="G13334"/>
      <c r="H13334"/>
      <c r="I13334"/>
    </row>
    <row r="13335" spans="6:9" x14ac:dyDescent="0.3">
      <c r="F13335"/>
      <c r="G13335"/>
      <c r="H13335"/>
      <c r="I13335"/>
    </row>
    <row r="13336" spans="6:9" x14ac:dyDescent="0.3">
      <c r="F13336"/>
      <c r="G13336"/>
      <c r="H13336"/>
      <c r="I13336"/>
    </row>
    <row r="13337" spans="6:9" x14ac:dyDescent="0.3">
      <c r="F13337"/>
      <c r="G13337"/>
      <c r="H13337"/>
      <c r="I13337"/>
    </row>
    <row r="13338" spans="6:9" x14ac:dyDescent="0.3">
      <c r="F13338"/>
      <c r="G13338"/>
      <c r="H13338"/>
      <c r="I13338"/>
    </row>
    <row r="13339" spans="6:9" x14ac:dyDescent="0.3">
      <c r="F13339"/>
      <c r="G13339"/>
      <c r="H13339"/>
      <c r="I13339"/>
    </row>
    <row r="13340" spans="6:9" x14ac:dyDescent="0.3">
      <c r="F13340"/>
      <c r="G13340"/>
      <c r="H13340"/>
      <c r="I13340"/>
    </row>
    <row r="13341" spans="6:9" x14ac:dyDescent="0.3">
      <c r="F13341"/>
      <c r="G13341"/>
      <c r="H13341"/>
      <c r="I13341"/>
    </row>
    <row r="13342" spans="6:9" x14ac:dyDescent="0.3">
      <c r="F13342"/>
      <c r="G13342"/>
      <c r="H13342"/>
      <c r="I13342"/>
    </row>
    <row r="13343" spans="6:9" x14ac:dyDescent="0.3">
      <c r="F13343"/>
      <c r="G13343"/>
      <c r="H13343"/>
      <c r="I13343"/>
    </row>
    <row r="13344" spans="6:9" x14ac:dyDescent="0.3">
      <c r="F13344"/>
      <c r="G13344"/>
      <c r="H13344"/>
      <c r="I13344"/>
    </row>
    <row r="13345" spans="6:9" x14ac:dyDescent="0.3">
      <c r="F13345"/>
      <c r="G13345"/>
      <c r="H13345"/>
      <c r="I13345"/>
    </row>
    <row r="13346" spans="6:9" x14ac:dyDescent="0.3">
      <c r="F13346"/>
      <c r="G13346"/>
      <c r="H13346"/>
      <c r="I13346"/>
    </row>
    <row r="13347" spans="6:9" x14ac:dyDescent="0.3">
      <c r="F13347"/>
      <c r="G13347"/>
      <c r="H13347"/>
      <c r="I13347"/>
    </row>
    <row r="13348" spans="6:9" x14ac:dyDescent="0.3">
      <c r="F13348"/>
      <c r="G13348"/>
      <c r="H13348"/>
      <c r="I13348"/>
    </row>
    <row r="13349" spans="6:9" x14ac:dyDescent="0.3">
      <c r="F13349"/>
      <c r="G13349"/>
      <c r="H13349"/>
      <c r="I13349"/>
    </row>
    <row r="13350" spans="6:9" x14ac:dyDescent="0.3">
      <c r="F13350"/>
      <c r="G13350"/>
      <c r="H13350"/>
      <c r="I13350"/>
    </row>
    <row r="13351" spans="6:9" x14ac:dyDescent="0.3">
      <c r="F13351"/>
      <c r="G13351"/>
      <c r="H13351"/>
      <c r="I13351"/>
    </row>
    <row r="13352" spans="6:9" x14ac:dyDescent="0.3">
      <c r="F13352"/>
      <c r="G13352"/>
      <c r="H13352"/>
      <c r="I13352"/>
    </row>
    <row r="13353" spans="6:9" x14ac:dyDescent="0.3">
      <c r="F13353"/>
      <c r="G13353"/>
      <c r="H13353"/>
      <c r="I13353"/>
    </row>
    <row r="13354" spans="6:9" x14ac:dyDescent="0.3">
      <c r="F13354"/>
      <c r="G13354"/>
      <c r="H13354"/>
      <c r="I13354"/>
    </row>
    <row r="13355" spans="6:9" x14ac:dyDescent="0.3">
      <c r="F13355"/>
      <c r="G13355"/>
      <c r="H13355"/>
      <c r="I13355"/>
    </row>
    <row r="13356" spans="6:9" x14ac:dyDescent="0.3">
      <c r="F13356"/>
      <c r="G13356"/>
      <c r="H13356"/>
      <c r="I13356"/>
    </row>
    <row r="13357" spans="6:9" x14ac:dyDescent="0.3">
      <c r="F13357"/>
      <c r="G13357"/>
      <c r="H13357"/>
      <c r="I13357"/>
    </row>
    <row r="13358" spans="6:9" x14ac:dyDescent="0.3">
      <c r="F13358"/>
      <c r="G13358"/>
      <c r="H13358"/>
      <c r="I13358"/>
    </row>
    <row r="13359" spans="6:9" x14ac:dyDescent="0.3">
      <c r="F13359"/>
      <c r="G13359"/>
      <c r="H13359"/>
      <c r="I13359"/>
    </row>
    <row r="13360" spans="6:9" x14ac:dyDescent="0.3">
      <c r="F13360"/>
      <c r="G13360"/>
      <c r="H13360"/>
      <c r="I13360"/>
    </row>
    <row r="13361" spans="6:9" x14ac:dyDescent="0.3">
      <c r="F13361"/>
      <c r="G13361"/>
      <c r="H13361"/>
      <c r="I13361"/>
    </row>
    <row r="13362" spans="6:9" x14ac:dyDescent="0.3">
      <c r="F13362"/>
      <c r="G13362"/>
      <c r="H13362"/>
      <c r="I13362"/>
    </row>
    <row r="13363" spans="6:9" x14ac:dyDescent="0.3">
      <c r="F13363"/>
      <c r="G13363"/>
      <c r="H13363"/>
      <c r="I13363"/>
    </row>
    <row r="13364" spans="6:9" x14ac:dyDescent="0.3">
      <c r="F13364"/>
      <c r="G13364"/>
      <c r="H13364"/>
      <c r="I13364"/>
    </row>
    <row r="13365" spans="6:9" x14ac:dyDescent="0.3">
      <c r="F13365"/>
      <c r="G13365"/>
      <c r="H13365"/>
      <c r="I13365"/>
    </row>
    <row r="13366" spans="6:9" x14ac:dyDescent="0.3">
      <c r="F13366"/>
      <c r="G13366"/>
      <c r="H13366"/>
      <c r="I13366"/>
    </row>
    <row r="13367" spans="6:9" x14ac:dyDescent="0.3">
      <c r="F13367"/>
      <c r="G13367"/>
      <c r="H13367"/>
      <c r="I13367"/>
    </row>
    <row r="13368" spans="6:9" x14ac:dyDescent="0.3">
      <c r="F13368"/>
      <c r="G13368"/>
      <c r="H13368"/>
      <c r="I13368"/>
    </row>
    <row r="13369" spans="6:9" x14ac:dyDescent="0.3">
      <c r="F13369"/>
      <c r="G13369"/>
      <c r="H13369"/>
      <c r="I13369"/>
    </row>
    <row r="13370" spans="6:9" x14ac:dyDescent="0.3">
      <c r="F13370"/>
      <c r="G13370"/>
      <c r="H13370"/>
      <c r="I13370"/>
    </row>
    <row r="13371" spans="6:9" x14ac:dyDescent="0.3">
      <c r="F13371"/>
      <c r="G13371"/>
      <c r="H13371"/>
      <c r="I13371"/>
    </row>
    <row r="13372" spans="6:9" x14ac:dyDescent="0.3">
      <c r="F13372"/>
      <c r="G13372"/>
      <c r="H13372"/>
      <c r="I13372"/>
    </row>
    <row r="13373" spans="6:9" x14ac:dyDescent="0.3">
      <c r="F13373"/>
      <c r="G13373"/>
      <c r="H13373"/>
      <c r="I13373"/>
    </row>
    <row r="13374" spans="6:9" x14ac:dyDescent="0.3">
      <c r="F13374"/>
      <c r="G13374"/>
      <c r="H13374"/>
      <c r="I13374"/>
    </row>
    <row r="13375" spans="6:9" x14ac:dyDescent="0.3">
      <c r="F13375"/>
      <c r="G13375"/>
      <c r="H13375"/>
      <c r="I13375"/>
    </row>
    <row r="13376" spans="6:9" x14ac:dyDescent="0.3">
      <c r="F13376"/>
      <c r="G13376"/>
      <c r="H13376"/>
      <c r="I13376"/>
    </row>
    <row r="13377" spans="6:9" x14ac:dyDescent="0.3">
      <c r="F13377"/>
      <c r="G13377"/>
      <c r="H13377"/>
      <c r="I13377"/>
    </row>
    <row r="13378" spans="6:9" x14ac:dyDescent="0.3">
      <c r="F13378"/>
      <c r="G13378"/>
      <c r="H13378"/>
      <c r="I13378"/>
    </row>
    <row r="13379" spans="6:9" x14ac:dyDescent="0.3">
      <c r="F13379"/>
      <c r="G13379"/>
      <c r="H13379"/>
      <c r="I13379"/>
    </row>
    <row r="13380" spans="6:9" x14ac:dyDescent="0.3">
      <c r="F13380"/>
      <c r="G13380"/>
      <c r="H13380"/>
      <c r="I13380"/>
    </row>
    <row r="13381" spans="6:9" x14ac:dyDescent="0.3">
      <c r="F13381"/>
      <c r="G13381"/>
      <c r="H13381"/>
      <c r="I13381"/>
    </row>
    <row r="13382" spans="6:9" x14ac:dyDescent="0.3">
      <c r="F13382"/>
      <c r="G13382"/>
      <c r="H13382"/>
      <c r="I13382"/>
    </row>
    <row r="13383" spans="6:9" x14ac:dyDescent="0.3">
      <c r="F13383"/>
      <c r="G13383"/>
      <c r="H13383"/>
      <c r="I13383"/>
    </row>
    <row r="13384" spans="6:9" x14ac:dyDescent="0.3">
      <c r="F13384"/>
      <c r="G13384"/>
      <c r="H13384"/>
      <c r="I13384"/>
    </row>
    <row r="13385" spans="6:9" x14ac:dyDescent="0.3">
      <c r="F13385"/>
      <c r="G13385"/>
      <c r="H13385"/>
      <c r="I13385"/>
    </row>
    <row r="13386" spans="6:9" x14ac:dyDescent="0.3">
      <c r="F13386"/>
      <c r="G13386"/>
      <c r="H13386"/>
      <c r="I13386"/>
    </row>
    <row r="13387" spans="6:9" x14ac:dyDescent="0.3">
      <c r="F13387"/>
      <c r="G13387"/>
      <c r="H13387"/>
      <c r="I13387"/>
    </row>
    <row r="13388" spans="6:9" x14ac:dyDescent="0.3">
      <c r="F13388"/>
      <c r="G13388"/>
      <c r="H13388"/>
      <c r="I13388"/>
    </row>
    <row r="13389" spans="6:9" x14ac:dyDescent="0.3">
      <c r="F13389"/>
      <c r="G13389"/>
      <c r="H13389"/>
      <c r="I13389"/>
    </row>
    <row r="13390" spans="6:9" x14ac:dyDescent="0.3">
      <c r="F13390"/>
      <c r="G13390"/>
      <c r="H13390"/>
      <c r="I13390"/>
    </row>
    <row r="13391" spans="6:9" x14ac:dyDescent="0.3">
      <c r="F13391"/>
      <c r="G13391"/>
      <c r="H13391"/>
      <c r="I13391"/>
    </row>
    <row r="13392" spans="6:9" x14ac:dyDescent="0.3">
      <c r="F13392"/>
      <c r="G13392"/>
      <c r="H13392"/>
      <c r="I13392"/>
    </row>
    <row r="13393" spans="6:9" x14ac:dyDescent="0.3">
      <c r="F13393"/>
      <c r="G13393"/>
      <c r="H13393"/>
      <c r="I13393"/>
    </row>
    <row r="13394" spans="6:9" x14ac:dyDescent="0.3">
      <c r="F13394"/>
      <c r="G13394"/>
      <c r="H13394"/>
      <c r="I13394"/>
    </row>
    <row r="13395" spans="6:9" x14ac:dyDescent="0.3">
      <c r="F13395"/>
      <c r="G13395"/>
      <c r="H13395"/>
      <c r="I13395"/>
    </row>
    <row r="13396" spans="6:9" x14ac:dyDescent="0.3">
      <c r="F13396"/>
      <c r="G13396"/>
      <c r="H13396"/>
      <c r="I13396"/>
    </row>
    <row r="13397" spans="6:9" x14ac:dyDescent="0.3">
      <c r="F13397"/>
      <c r="G13397"/>
      <c r="H13397"/>
      <c r="I13397"/>
    </row>
    <row r="13398" spans="6:9" x14ac:dyDescent="0.3">
      <c r="F13398"/>
      <c r="G13398"/>
      <c r="H13398"/>
      <c r="I13398"/>
    </row>
    <row r="13399" spans="6:9" x14ac:dyDescent="0.3">
      <c r="F13399"/>
      <c r="G13399"/>
      <c r="H13399"/>
      <c r="I13399"/>
    </row>
    <row r="13400" spans="6:9" x14ac:dyDescent="0.3">
      <c r="F13400"/>
      <c r="G13400"/>
      <c r="H13400"/>
      <c r="I13400"/>
    </row>
    <row r="13401" spans="6:9" x14ac:dyDescent="0.3">
      <c r="F13401"/>
      <c r="G13401"/>
      <c r="H13401"/>
      <c r="I13401"/>
    </row>
    <row r="13402" spans="6:9" x14ac:dyDescent="0.3">
      <c r="F13402"/>
      <c r="G13402"/>
      <c r="H13402"/>
      <c r="I13402"/>
    </row>
    <row r="13403" spans="6:9" x14ac:dyDescent="0.3">
      <c r="F13403"/>
      <c r="G13403"/>
      <c r="H13403"/>
      <c r="I13403"/>
    </row>
    <row r="13404" spans="6:9" x14ac:dyDescent="0.3">
      <c r="F13404"/>
      <c r="G13404"/>
      <c r="H13404"/>
      <c r="I13404"/>
    </row>
    <row r="13405" spans="6:9" x14ac:dyDescent="0.3">
      <c r="F13405"/>
      <c r="G13405"/>
      <c r="H13405"/>
      <c r="I13405"/>
    </row>
    <row r="13406" spans="6:9" x14ac:dyDescent="0.3">
      <c r="F13406"/>
      <c r="G13406"/>
      <c r="H13406"/>
      <c r="I13406"/>
    </row>
    <row r="13407" spans="6:9" x14ac:dyDescent="0.3">
      <c r="F13407"/>
      <c r="G13407"/>
      <c r="H13407"/>
      <c r="I13407"/>
    </row>
    <row r="13408" spans="6:9" x14ac:dyDescent="0.3">
      <c r="F13408"/>
      <c r="G13408"/>
      <c r="H13408"/>
      <c r="I13408"/>
    </row>
    <row r="13409" spans="6:9" x14ac:dyDescent="0.3">
      <c r="F13409"/>
      <c r="G13409"/>
      <c r="H13409"/>
      <c r="I13409"/>
    </row>
    <row r="13410" spans="6:9" x14ac:dyDescent="0.3">
      <c r="F13410"/>
      <c r="G13410"/>
      <c r="H13410"/>
      <c r="I13410"/>
    </row>
    <row r="13411" spans="6:9" x14ac:dyDescent="0.3">
      <c r="F13411"/>
      <c r="G13411"/>
      <c r="H13411"/>
      <c r="I13411"/>
    </row>
    <row r="13412" spans="6:9" x14ac:dyDescent="0.3">
      <c r="F13412"/>
      <c r="G13412"/>
      <c r="H13412"/>
      <c r="I13412"/>
    </row>
    <row r="13413" spans="6:9" x14ac:dyDescent="0.3">
      <c r="F13413"/>
      <c r="G13413"/>
      <c r="H13413"/>
      <c r="I13413"/>
    </row>
    <row r="13414" spans="6:9" x14ac:dyDescent="0.3">
      <c r="F13414"/>
      <c r="G13414"/>
      <c r="H13414"/>
      <c r="I13414"/>
    </row>
    <row r="13415" spans="6:9" x14ac:dyDescent="0.3">
      <c r="F13415"/>
      <c r="G13415"/>
      <c r="H13415"/>
      <c r="I13415"/>
    </row>
    <row r="13416" spans="6:9" x14ac:dyDescent="0.3">
      <c r="F13416"/>
      <c r="G13416"/>
      <c r="H13416"/>
      <c r="I13416"/>
    </row>
    <row r="13417" spans="6:9" x14ac:dyDescent="0.3">
      <c r="F13417"/>
      <c r="G13417"/>
      <c r="H13417"/>
      <c r="I13417"/>
    </row>
    <row r="13418" spans="6:9" x14ac:dyDescent="0.3">
      <c r="F13418"/>
      <c r="G13418"/>
      <c r="H13418"/>
      <c r="I13418"/>
    </row>
    <row r="13419" spans="6:9" x14ac:dyDescent="0.3">
      <c r="F13419"/>
      <c r="G13419"/>
      <c r="H13419"/>
      <c r="I13419"/>
    </row>
    <row r="13420" spans="6:9" x14ac:dyDescent="0.3">
      <c r="F13420"/>
      <c r="G13420"/>
      <c r="H13420"/>
      <c r="I13420"/>
    </row>
    <row r="13421" spans="6:9" x14ac:dyDescent="0.3">
      <c r="F13421"/>
      <c r="G13421"/>
      <c r="H13421"/>
      <c r="I13421"/>
    </row>
    <row r="13422" spans="6:9" x14ac:dyDescent="0.3">
      <c r="F13422"/>
      <c r="G13422"/>
      <c r="H13422"/>
      <c r="I13422"/>
    </row>
    <row r="13423" spans="6:9" x14ac:dyDescent="0.3">
      <c r="F13423"/>
      <c r="G13423"/>
      <c r="H13423"/>
      <c r="I13423"/>
    </row>
    <row r="13424" spans="6:9" x14ac:dyDescent="0.3">
      <c r="F13424"/>
      <c r="G13424"/>
      <c r="H13424"/>
      <c r="I13424"/>
    </row>
    <row r="13425" spans="6:9" x14ac:dyDescent="0.3">
      <c r="F13425"/>
      <c r="G13425"/>
      <c r="H13425"/>
      <c r="I13425"/>
    </row>
    <row r="13426" spans="6:9" x14ac:dyDescent="0.3">
      <c r="F13426"/>
      <c r="G13426"/>
      <c r="H13426"/>
      <c r="I13426"/>
    </row>
    <row r="13427" spans="6:9" x14ac:dyDescent="0.3">
      <c r="F13427"/>
      <c r="G13427"/>
      <c r="H13427"/>
      <c r="I13427"/>
    </row>
    <row r="13428" spans="6:9" x14ac:dyDescent="0.3">
      <c r="F13428"/>
      <c r="G13428"/>
      <c r="H13428"/>
      <c r="I13428"/>
    </row>
    <row r="13429" spans="6:9" x14ac:dyDescent="0.3">
      <c r="F13429"/>
      <c r="G13429"/>
      <c r="H13429"/>
      <c r="I13429"/>
    </row>
    <row r="13430" spans="6:9" x14ac:dyDescent="0.3">
      <c r="F13430"/>
      <c r="G13430"/>
      <c r="H13430"/>
      <c r="I13430"/>
    </row>
    <row r="13431" spans="6:9" x14ac:dyDescent="0.3">
      <c r="F13431"/>
      <c r="G13431"/>
      <c r="H13431"/>
      <c r="I13431"/>
    </row>
    <row r="13432" spans="6:9" x14ac:dyDescent="0.3">
      <c r="F13432"/>
      <c r="G13432"/>
      <c r="H13432"/>
      <c r="I13432"/>
    </row>
    <row r="13433" spans="6:9" x14ac:dyDescent="0.3">
      <c r="F13433"/>
      <c r="G13433"/>
      <c r="H13433"/>
      <c r="I13433"/>
    </row>
    <row r="13434" spans="6:9" x14ac:dyDescent="0.3">
      <c r="F13434"/>
      <c r="G13434"/>
      <c r="H13434"/>
      <c r="I13434"/>
    </row>
    <row r="13435" spans="6:9" x14ac:dyDescent="0.3">
      <c r="F13435"/>
      <c r="G13435"/>
      <c r="H13435"/>
      <c r="I13435"/>
    </row>
    <row r="13436" spans="6:9" x14ac:dyDescent="0.3">
      <c r="F13436"/>
      <c r="G13436"/>
      <c r="H13436"/>
      <c r="I13436"/>
    </row>
    <row r="13437" spans="6:9" x14ac:dyDescent="0.3">
      <c r="F13437"/>
      <c r="G13437"/>
      <c r="H13437"/>
      <c r="I13437"/>
    </row>
    <row r="13438" spans="6:9" x14ac:dyDescent="0.3">
      <c r="F13438"/>
      <c r="G13438"/>
      <c r="H13438"/>
      <c r="I13438"/>
    </row>
    <row r="13439" spans="6:9" x14ac:dyDescent="0.3">
      <c r="F13439"/>
      <c r="G13439"/>
      <c r="H13439"/>
      <c r="I13439"/>
    </row>
    <row r="13440" spans="6:9" x14ac:dyDescent="0.3">
      <c r="F13440"/>
      <c r="G13440"/>
      <c r="H13440"/>
      <c r="I13440"/>
    </row>
    <row r="13441" spans="6:9" x14ac:dyDescent="0.3">
      <c r="F13441"/>
      <c r="G13441"/>
      <c r="H13441"/>
      <c r="I13441"/>
    </row>
    <row r="13442" spans="6:9" x14ac:dyDescent="0.3">
      <c r="F13442"/>
      <c r="G13442"/>
      <c r="H13442"/>
      <c r="I13442"/>
    </row>
    <row r="13443" spans="6:9" x14ac:dyDescent="0.3">
      <c r="F13443"/>
      <c r="G13443"/>
      <c r="H13443"/>
      <c r="I13443"/>
    </row>
    <row r="13444" spans="6:9" x14ac:dyDescent="0.3">
      <c r="F13444"/>
      <c r="G13444"/>
      <c r="H13444"/>
      <c r="I13444"/>
    </row>
    <row r="13445" spans="6:9" x14ac:dyDescent="0.3">
      <c r="F13445"/>
      <c r="G13445"/>
      <c r="H13445"/>
      <c r="I13445"/>
    </row>
    <row r="13446" spans="6:9" x14ac:dyDescent="0.3">
      <c r="F13446"/>
      <c r="G13446"/>
      <c r="H13446"/>
      <c r="I13446"/>
    </row>
    <row r="13447" spans="6:9" x14ac:dyDescent="0.3">
      <c r="F13447"/>
      <c r="G13447"/>
      <c r="H13447"/>
      <c r="I13447"/>
    </row>
    <row r="13448" spans="6:9" x14ac:dyDescent="0.3">
      <c r="F13448"/>
      <c r="G13448"/>
      <c r="H13448"/>
      <c r="I13448"/>
    </row>
    <row r="13449" spans="6:9" x14ac:dyDescent="0.3">
      <c r="F13449"/>
      <c r="G13449"/>
      <c r="H13449"/>
      <c r="I13449"/>
    </row>
    <row r="13450" spans="6:9" x14ac:dyDescent="0.3">
      <c r="F13450"/>
      <c r="G13450"/>
      <c r="H13450"/>
      <c r="I13450"/>
    </row>
    <row r="13451" spans="6:9" x14ac:dyDescent="0.3">
      <c r="F13451"/>
      <c r="G13451"/>
      <c r="H13451"/>
      <c r="I13451"/>
    </row>
    <row r="13452" spans="6:9" x14ac:dyDescent="0.3">
      <c r="F13452"/>
      <c r="G13452"/>
      <c r="H13452"/>
      <c r="I13452"/>
    </row>
    <row r="13453" spans="6:9" x14ac:dyDescent="0.3">
      <c r="F13453"/>
      <c r="G13453"/>
      <c r="H13453"/>
      <c r="I13453"/>
    </row>
    <row r="13454" spans="6:9" x14ac:dyDescent="0.3">
      <c r="F13454"/>
      <c r="G13454"/>
      <c r="H13454"/>
      <c r="I13454"/>
    </row>
    <row r="13455" spans="6:9" x14ac:dyDescent="0.3">
      <c r="F13455"/>
      <c r="G13455"/>
      <c r="H13455"/>
      <c r="I13455"/>
    </row>
    <row r="13456" spans="6:9" x14ac:dyDescent="0.3">
      <c r="F13456"/>
      <c r="G13456"/>
      <c r="H13456"/>
      <c r="I13456"/>
    </row>
    <row r="13457" spans="6:9" x14ac:dyDescent="0.3">
      <c r="F13457"/>
      <c r="G13457"/>
      <c r="H13457"/>
      <c r="I13457"/>
    </row>
    <row r="13458" spans="6:9" x14ac:dyDescent="0.3">
      <c r="F13458"/>
      <c r="G13458"/>
      <c r="H13458"/>
      <c r="I13458"/>
    </row>
    <row r="13459" spans="6:9" x14ac:dyDescent="0.3">
      <c r="F13459"/>
      <c r="G13459"/>
      <c r="H13459"/>
      <c r="I13459"/>
    </row>
    <row r="13460" spans="6:9" x14ac:dyDescent="0.3">
      <c r="F13460"/>
      <c r="G13460"/>
      <c r="H13460"/>
      <c r="I13460"/>
    </row>
    <row r="13461" spans="6:9" x14ac:dyDescent="0.3">
      <c r="F13461"/>
      <c r="G13461"/>
      <c r="H13461"/>
      <c r="I13461"/>
    </row>
    <row r="13462" spans="6:9" x14ac:dyDescent="0.3">
      <c r="F13462"/>
      <c r="G13462"/>
      <c r="H13462"/>
      <c r="I13462"/>
    </row>
    <row r="13463" spans="6:9" x14ac:dyDescent="0.3">
      <c r="F13463"/>
      <c r="G13463"/>
      <c r="H13463"/>
      <c r="I13463"/>
    </row>
    <row r="13464" spans="6:9" x14ac:dyDescent="0.3">
      <c r="F13464"/>
      <c r="G13464"/>
      <c r="H13464"/>
      <c r="I13464"/>
    </row>
    <row r="13465" spans="6:9" x14ac:dyDescent="0.3">
      <c r="F13465"/>
      <c r="G13465"/>
      <c r="H13465"/>
      <c r="I13465"/>
    </row>
    <row r="13466" spans="6:9" x14ac:dyDescent="0.3">
      <c r="F13466"/>
      <c r="G13466"/>
      <c r="H13466"/>
      <c r="I13466"/>
    </row>
    <row r="13467" spans="6:9" x14ac:dyDescent="0.3">
      <c r="F13467"/>
      <c r="G13467"/>
      <c r="H13467"/>
      <c r="I13467"/>
    </row>
    <row r="13468" spans="6:9" x14ac:dyDescent="0.3">
      <c r="F13468"/>
      <c r="G13468"/>
      <c r="H13468"/>
      <c r="I13468"/>
    </row>
    <row r="13469" spans="6:9" x14ac:dyDescent="0.3">
      <c r="F13469"/>
      <c r="G13469"/>
      <c r="H13469"/>
      <c r="I13469"/>
    </row>
    <row r="13470" spans="6:9" x14ac:dyDescent="0.3">
      <c r="F13470"/>
      <c r="G13470"/>
      <c r="H13470"/>
      <c r="I13470"/>
    </row>
    <row r="13471" spans="6:9" x14ac:dyDescent="0.3">
      <c r="F13471"/>
      <c r="G13471"/>
      <c r="H13471"/>
      <c r="I13471"/>
    </row>
    <row r="13472" spans="6:9" x14ac:dyDescent="0.3">
      <c r="F13472"/>
      <c r="G13472"/>
      <c r="H13472"/>
      <c r="I13472"/>
    </row>
    <row r="13473" spans="6:9" x14ac:dyDescent="0.3">
      <c r="F13473"/>
      <c r="G13473"/>
      <c r="H13473"/>
      <c r="I13473"/>
    </row>
    <row r="13474" spans="6:9" x14ac:dyDescent="0.3">
      <c r="F13474"/>
      <c r="G13474"/>
      <c r="H13474"/>
      <c r="I13474"/>
    </row>
    <row r="13475" spans="6:9" x14ac:dyDescent="0.3">
      <c r="F13475"/>
      <c r="G13475"/>
      <c r="H13475"/>
      <c r="I13475"/>
    </row>
    <row r="13476" spans="6:9" x14ac:dyDescent="0.3">
      <c r="F13476"/>
      <c r="G13476"/>
      <c r="H13476"/>
      <c r="I13476"/>
    </row>
    <row r="13477" spans="6:9" x14ac:dyDescent="0.3">
      <c r="F13477"/>
      <c r="G13477"/>
      <c r="H13477"/>
      <c r="I13477"/>
    </row>
    <row r="13478" spans="6:9" x14ac:dyDescent="0.3">
      <c r="F13478"/>
      <c r="G13478"/>
      <c r="H13478"/>
      <c r="I13478"/>
    </row>
    <row r="13479" spans="6:9" x14ac:dyDescent="0.3">
      <c r="F13479"/>
      <c r="G13479"/>
      <c r="H13479"/>
      <c r="I13479"/>
    </row>
    <row r="13480" spans="6:9" x14ac:dyDescent="0.3">
      <c r="F13480"/>
      <c r="G13480"/>
      <c r="H13480"/>
      <c r="I13480"/>
    </row>
    <row r="13481" spans="6:9" x14ac:dyDescent="0.3">
      <c r="F13481"/>
      <c r="G13481"/>
      <c r="H13481"/>
      <c r="I13481"/>
    </row>
    <row r="13482" spans="6:9" x14ac:dyDescent="0.3">
      <c r="F13482"/>
      <c r="G13482"/>
      <c r="H13482"/>
      <c r="I13482"/>
    </row>
    <row r="13483" spans="6:9" x14ac:dyDescent="0.3">
      <c r="F13483"/>
      <c r="G13483"/>
      <c r="H13483"/>
      <c r="I13483"/>
    </row>
    <row r="13484" spans="6:9" x14ac:dyDescent="0.3">
      <c r="F13484"/>
      <c r="G13484"/>
      <c r="H13484"/>
      <c r="I13484"/>
    </row>
    <row r="13485" spans="6:9" x14ac:dyDescent="0.3">
      <c r="F13485"/>
      <c r="G13485"/>
      <c r="H13485"/>
      <c r="I13485"/>
    </row>
    <row r="13486" spans="6:9" x14ac:dyDescent="0.3">
      <c r="F13486"/>
      <c r="G13486"/>
      <c r="H13486"/>
      <c r="I13486"/>
    </row>
    <row r="13487" spans="6:9" x14ac:dyDescent="0.3">
      <c r="F13487"/>
      <c r="G13487"/>
      <c r="H13487"/>
      <c r="I13487"/>
    </row>
    <row r="13488" spans="6:9" x14ac:dyDescent="0.3">
      <c r="F13488"/>
      <c r="G13488"/>
      <c r="H13488"/>
      <c r="I13488"/>
    </row>
    <row r="13489" spans="6:9" x14ac:dyDescent="0.3">
      <c r="F13489"/>
      <c r="G13489"/>
      <c r="H13489"/>
      <c r="I13489"/>
    </row>
    <row r="13490" spans="6:9" x14ac:dyDescent="0.3">
      <c r="F13490"/>
      <c r="G13490"/>
      <c r="H13490"/>
      <c r="I13490"/>
    </row>
    <row r="13491" spans="6:9" x14ac:dyDescent="0.3">
      <c r="F13491"/>
      <c r="G13491"/>
      <c r="H13491"/>
      <c r="I13491"/>
    </row>
    <row r="13492" spans="6:9" x14ac:dyDescent="0.3">
      <c r="F13492"/>
      <c r="G13492"/>
      <c r="H13492"/>
      <c r="I13492"/>
    </row>
    <row r="13493" spans="6:9" x14ac:dyDescent="0.3">
      <c r="F13493"/>
      <c r="G13493"/>
      <c r="H13493"/>
      <c r="I13493"/>
    </row>
    <row r="13494" spans="6:9" x14ac:dyDescent="0.3">
      <c r="F13494"/>
      <c r="G13494"/>
      <c r="H13494"/>
      <c r="I13494"/>
    </row>
    <row r="13495" spans="6:9" x14ac:dyDescent="0.3">
      <c r="F13495"/>
      <c r="G13495"/>
      <c r="H13495"/>
      <c r="I13495"/>
    </row>
    <row r="13496" spans="6:9" x14ac:dyDescent="0.3">
      <c r="F13496"/>
      <c r="G13496"/>
      <c r="H13496"/>
      <c r="I13496"/>
    </row>
    <row r="13497" spans="6:9" x14ac:dyDescent="0.3">
      <c r="F13497"/>
      <c r="G13497"/>
      <c r="H13497"/>
      <c r="I13497"/>
    </row>
    <row r="13498" spans="6:9" x14ac:dyDescent="0.3">
      <c r="F13498"/>
      <c r="G13498"/>
      <c r="H13498"/>
      <c r="I13498"/>
    </row>
    <row r="13499" spans="6:9" x14ac:dyDescent="0.3">
      <c r="F13499"/>
      <c r="G13499"/>
      <c r="H13499"/>
      <c r="I13499"/>
    </row>
    <row r="13500" spans="6:9" x14ac:dyDescent="0.3">
      <c r="F13500"/>
      <c r="G13500"/>
      <c r="H13500"/>
      <c r="I13500"/>
    </row>
    <row r="13501" spans="6:9" x14ac:dyDescent="0.3">
      <c r="F13501"/>
      <c r="G13501"/>
      <c r="H13501"/>
      <c r="I13501"/>
    </row>
    <row r="13502" spans="6:9" x14ac:dyDescent="0.3">
      <c r="F13502"/>
      <c r="G13502"/>
      <c r="H13502"/>
      <c r="I13502"/>
    </row>
    <row r="13503" spans="6:9" x14ac:dyDescent="0.3">
      <c r="F13503"/>
      <c r="G13503"/>
      <c r="H13503"/>
      <c r="I13503"/>
    </row>
    <row r="13504" spans="6:9" x14ac:dyDescent="0.3">
      <c r="F13504"/>
      <c r="G13504"/>
      <c r="H13504"/>
      <c r="I13504"/>
    </row>
    <row r="13505" spans="6:9" x14ac:dyDescent="0.3">
      <c r="F13505"/>
      <c r="G13505"/>
      <c r="H13505"/>
      <c r="I13505"/>
    </row>
    <row r="13506" spans="6:9" x14ac:dyDescent="0.3">
      <c r="F13506"/>
      <c r="G13506"/>
      <c r="H13506"/>
      <c r="I13506"/>
    </row>
    <row r="13507" spans="6:9" x14ac:dyDescent="0.3">
      <c r="F13507"/>
      <c r="G13507"/>
      <c r="H13507"/>
      <c r="I13507"/>
    </row>
    <row r="13508" spans="6:9" x14ac:dyDescent="0.3">
      <c r="F13508"/>
      <c r="G13508"/>
      <c r="H13508"/>
      <c r="I13508"/>
    </row>
    <row r="13509" spans="6:9" x14ac:dyDescent="0.3">
      <c r="F13509"/>
      <c r="G13509"/>
      <c r="H13509"/>
      <c r="I13509"/>
    </row>
    <row r="13510" spans="6:9" x14ac:dyDescent="0.3">
      <c r="F13510"/>
      <c r="G13510"/>
      <c r="H13510"/>
      <c r="I13510"/>
    </row>
    <row r="13511" spans="6:9" x14ac:dyDescent="0.3">
      <c r="F13511"/>
      <c r="G13511"/>
      <c r="H13511"/>
      <c r="I13511"/>
    </row>
    <row r="13512" spans="6:9" x14ac:dyDescent="0.3">
      <c r="F13512"/>
      <c r="G13512"/>
      <c r="H13512"/>
      <c r="I13512"/>
    </row>
    <row r="13513" spans="6:9" x14ac:dyDescent="0.3">
      <c r="F13513"/>
      <c r="G13513"/>
      <c r="H13513"/>
      <c r="I13513"/>
    </row>
    <row r="13514" spans="6:9" x14ac:dyDescent="0.3">
      <c r="F13514"/>
      <c r="G13514"/>
      <c r="H13514"/>
      <c r="I13514"/>
    </row>
    <row r="13515" spans="6:9" x14ac:dyDescent="0.3">
      <c r="F13515"/>
      <c r="G13515"/>
      <c r="H13515"/>
      <c r="I13515"/>
    </row>
    <row r="13516" spans="6:9" x14ac:dyDescent="0.3">
      <c r="F13516"/>
      <c r="G13516"/>
      <c r="H13516"/>
      <c r="I13516"/>
    </row>
    <row r="13517" spans="6:9" x14ac:dyDescent="0.3">
      <c r="F13517"/>
      <c r="G13517"/>
      <c r="H13517"/>
      <c r="I13517"/>
    </row>
    <row r="13518" spans="6:9" x14ac:dyDescent="0.3">
      <c r="F13518"/>
      <c r="G13518"/>
      <c r="H13518"/>
      <c r="I13518"/>
    </row>
    <row r="13519" spans="6:9" x14ac:dyDescent="0.3">
      <c r="F13519"/>
      <c r="G13519"/>
      <c r="H13519"/>
      <c r="I13519"/>
    </row>
    <row r="13520" spans="6:9" x14ac:dyDescent="0.3">
      <c r="F13520"/>
      <c r="G13520"/>
      <c r="H13520"/>
      <c r="I13520"/>
    </row>
    <row r="13521" spans="6:9" x14ac:dyDescent="0.3">
      <c r="F13521"/>
      <c r="G13521"/>
      <c r="H13521"/>
      <c r="I13521"/>
    </row>
    <row r="13522" spans="6:9" x14ac:dyDescent="0.3">
      <c r="F13522"/>
      <c r="G13522"/>
      <c r="H13522"/>
      <c r="I13522"/>
    </row>
    <row r="13523" spans="6:9" x14ac:dyDescent="0.3">
      <c r="F13523"/>
      <c r="G13523"/>
      <c r="H13523"/>
      <c r="I13523"/>
    </row>
    <row r="13524" spans="6:9" x14ac:dyDescent="0.3">
      <c r="F13524"/>
      <c r="G13524"/>
      <c r="H13524"/>
      <c r="I13524"/>
    </row>
    <row r="13525" spans="6:9" x14ac:dyDescent="0.3">
      <c r="F13525"/>
      <c r="G13525"/>
      <c r="H13525"/>
      <c r="I13525"/>
    </row>
    <row r="13526" spans="6:9" x14ac:dyDescent="0.3">
      <c r="F13526"/>
      <c r="G13526"/>
      <c r="H13526"/>
      <c r="I13526"/>
    </row>
    <row r="13527" spans="6:9" x14ac:dyDescent="0.3">
      <c r="F13527"/>
      <c r="G13527"/>
      <c r="H13527"/>
      <c r="I13527"/>
    </row>
    <row r="13528" spans="6:9" x14ac:dyDescent="0.3">
      <c r="F13528"/>
      <c r="G13528"/>
      <c r="H13528"/>
      <c r="I13528"/>
    </row>
    <row r="13529" spans="6:9" x14ac:dyDescent="0.3">
      <c r="F13529"/>
      <c r="G13529"/>
      <c r="H13529"/>
      <c r="I13529"/>
    </row>
    <row r="13530" spans="6:9" x14ac:dyDescent="0.3">
      <c r="F13530"/>
      <c r="G13530"/>
      <c r="H13530"/>
      <c r="I13530"/>
    </row>
    <row r="13531" spans="6:9" x14ac:dyDescent="0.3">
      <c r="F13531"/>
      <c r="G13531"/>
      <c r="H13531"/>
      <c r="I13531"/>
    </row>
    <row r="13532" spans="6:9" x14ac:dyDescent="0.3">
      <c r="F13532"/>
      <c r="G13532"/>
      <c r="H13532"/>
      <c r="I13532"/>
    </row>
    <row r="13533" spans="6:9" x14ac:dyDescent="0.3">
      <c r="F13533"/>
      <c r="G13533"/>
      <c r="H13533"/>
      <c r="I13533"/>
    </row>
    <row r="13534" spans="6:9" x14ac:dyDescent="0.3">
      <c r="F13534"/>
      <c r="G13534"/>
      <c r="H13534"/>
      <c r="I13534"/>
    </row>
    <row r="13535" spans="6:9" x14ac:dyDescent="0.3">
      <c r="F13535"/>
      <c r="G13535"/>
      <c r="H13535"/>
      <c r="I13535"/>
    </row>
    <row r="13536" spans="6:9" x14ac:dyDescent="0.3">
      <c r="F13536"/>
      <c r="G13536"/>
      <c r="H13536"/>
      <c r="I13536"/>
    </row>
    <row r="13537" spans="6:9" x14ac:dyDescent="0.3">
      <c r="F13537"/>
      <c r="G13537"/>
      <c r="H13537"/>
      <c r="I13537"/>
    </row>
    <row r="13538" spans="6:9" x14ac:dyDescent="0.3">
      <c r="F13538"/>
      <c r="G13538"/>
      <c r="H13538"/>
      <c r="I13538"/>
    </row>
    <row r="13539" spans="6:9" x14ac:dyDescent="0.3">
      <c r="F13539"/>
      <c r="G13539"/>
      <c r="H13539"/>
      <c r="I13539"/>
    </row>
    <row r="13540" spans="6:9" x14ac:dyDescent="0.3">
      <c r="F13540"/>
      <c r="G13540"/>
      <c r="H13540"/>
      <c r="I13540"/>
    </row>
    <row r="13541" spans="6:9" x14ac:dyDescent="0.3">
      <c r="F13541"/>
      <c r="G13541"/>
      <c r="H13541"/>
      <c r="I13541"/>
    </row>
    <row r="13542" spans="6:9" x14ac:dyDescent="0.3">
      <c r="F13542"/>
      <c r="G13542"/>
      <c r="H13542"/>
      <c r="I13542"/>
    </row>
    <row r="13543" spans="6:9" x14ac:dyDescent="0.3">
      <c r="F13543"/>
      <c r="G13543"/>
      <c r="H13543"/>
      <c r="I13543"/>
    </row>
    <row r="13544" spans="6:9" x14ac:dyDescent="0.3">
      <c r="F13544"/>
      <c r="G13544"/>
      <c r="H13544"/>
      <c r="I13544"/>
    </row>
    <row r="13545" spans="6:9" x14ac:dyDescent="0.3">
      <c r="F13545"/>
      <c r="G13545"/>
      <c r="H13545"/>
      <c r="I13545"/>
    </row>
    <row r="13546" spans="6:9" x14ac:dyDescent="0.3">
      <c r="F13546"/>
      <c r="G13546"/>
      <c r="H13546"/>
      <c r="I13546"/>
    </row>
    <row r="13547" spans="6:9" x14ac:dyDescent="0.3">
      <c r="F13547"/>
      <c r="G13547"/>
      <c r="H13547"/>
      <c r="I13547"/>
    </row>
    <row r="13548" spans="6:9" x14ac:dyDescent="0.3">
      <c r="F13548"/>
      <c r="G13548"/>
      <c r="H13548"/>
      <c r="I13548"/>
    </row>
    <row r="13549" spans="6:9" x14ac:dyDescent="0.3">
      <c r="F13549"/>
      <c r="G13549"/>
      <c r="H13549"/>
      <c r="I13549"/>
    </row>
    <row r="13550" spans="6:9" x14ac:dyDescent="0.3">
      <c r="F13550"/>
      <c r="G13550"/>
      <c r="H13550"/>
      <c r="I13550"/>
    </row>
    <row r="13551" spans="6:9" x14ac:dyDescent="0.3">
      <c r="F13551"/>
      <c r="G13551"/>
      <c r="H13551"/>
      <c r="I13551"/>
    </row>
    <row r="13552" spans="6:9" x14ac:dyDescent="0.3">
      <c r="F13552"/>
      <c r="G13552"/>
      <c r="H13552"/>
      <c r="I13552"/>
    </row>
    <row r="13553" spans="6:9" x14ac:dyDescent="0.3">
      <c r="F13553"/>
      <c r="G13553"/>
      <c r="H13553"/>
      <c r="I13553"/>
    </row>
    <row r="13554" spans="6:9" x14ac:dyDescent="0.3">
      <c r="F13554"/>
      <c r="G13554"/>
      <c r="H13554"/>
      <c r="I13554"/>
    </row>
    <row r="13555" spans="6:9" x14ac:dyDescent="0.3">
      <c r="F13555"/>
      <c r="G13555"/>
      <c r="H13555"/>
      <c r="I13555"/>
    </row>
    <row r="13556" spans="6:9" x14ac:dyDescent="0.3">
      <c r="F13556"/>
      <c r="G13556"/>
      <c r="H13556"/>
      <c r="I13556"/>
    </row>
    <row r="13557" spans="6:9" x14ac:dyDescent="0.3">
      <c r="F13557"/>
      <c r="G13557"/>
      <c r="H13557"/>
      <c r="I13557"/>
    </row>
    <row r="13558" spans="6:9" x14ac:dyDescent="0.3">
      <c r="F13558"/>
      <c r="G13558"/>
      <c r="H13558"/>
      <c r="I13558"/>
    </row>
    <row r="13559" spans="6:9" x14ac:dyDescent="0.3">
      <c r="F13559"/>
      <c r="G13559"/>
      <c r="H13559"/>
      <c r="I13559"/>
    </row>
    <row r="13560" spans="6:9" x14ac:dyDescent="0.3">
      <c r="F13560"/>
      <c r="G13560"/>
      <c r="H13560"/>
      <c r="I13560"/>
    </row>
    <row r="13561" spans="6:9" x14ac:dyDescent="0.3">
      <c r="F13561"/>
      <c r="G13561"/>
      <c r="H13561"/>
      <c r="I13561"/>
    </row>
    <row r="13562" spans="6:9" x14ac:dyDescent="0.3">
      <c r="F13562"/>
      <c r="G13562"/>
      <c r="H13562"/>
      <c r="I13562"/>
    </row>
    <row r="13563" spans="6:9" x14ac:dyDescent="0.3">
      <c r="F13563"/>
      <c r="G13563"/>
      <c r="H13563"/>
      <c r="I13563"/>
    </row>
    <row r="13564" spans="6:9" x14ac:dyDescent="0.3">
      <c r="F13564"/>
      <c r="G13564"/>
      <c r="H13564"/>
      <c r="I13564"/>
    </row>
    <row r="13565" spans="6:9" x14ac:dyDescent="0.3">
      <c r="F13565"/>
      <c r="G13565"/>
      <c r="H13565"/>
      <c r="I13565"/>
    </row>
    <row r="13566" spans="6:9" x14ac:dyDescent="0.3">
      <c r="F13566"/>
      <c r="G13566"/>
      <c r="H13566"/>
      <c r="I13566"/>
    </row>
    <row r="13567" spans="6:9" x14ac:dyDescent="0.3">
      <c r="F13567"/>
      <c r="G13567"/>
      <c r="H13567"/>
      <c r="I13567"/>
    </row>
    <row r="13568" spans="6:9" x14ac:dyDescent="0.3">
      <c r="F13568"/>
      <c r="G13568"/>
      <c r="H13568"/>
      <c r="I13568"/>
    </row>
    <row r="13569" spans="6:9" x14ac:dyDescent="0.3">
      <c r="F13569"/>
      <c r="G13569"/>
      <c r="H13569"/>
      <c r="I13569"/>
    </row>
    <row r="13570" spans="6:9" x14ac:dyDescent="0.3">
      <c r="F13570"/>
      <c r="G13570"/>
      <c r="H13570"/>
      <c r="I13570"/>
    </row>
    <row r="13571" spans="6:9" x14ac:dyDescent="0.3">
      <c r="F13571"/>
      <c r="G13571"/>
      <c r="H13571"/>
      <c r="I13571"/>
    </row>
    <row r="13572" spans="6:9" x14ac:dyDescent="0.3">
      <c r="F13572"/>
      <c r="G13572"/>
      <c r="H13572"/>
      <c r="I13572"/>
    </row>
    <row r="13573" spans="6:9" x14ac:dyDescent="0.3">
      <c r="F13573"/>
      <c r="G13573"/>
      <c r="H13573"/>
      <c r="I13573"/>
    </row>
    <row r="13574" spans="6:9" x14ac:dyDescent="0.3">
      <c r="F13574"/>
      <c r="G13574"/>
      <c r="H13574"/>
      <c r="I13574"/>
    </row>
    <row r="13575" spans="6:9" x14ac:dyDescent="0.3">
      <c r="F13575"/>
      <c r="G13575"/>
      <c r="H13575"/>
      <c r="I13575"/>
    </row>
    <row r="13576" spans="6:9" x14ac:dyDescent="0.3">
      <c r="F13576"/>
      <c r="G13576"/>
      <c r="H13576"/>
      <c r="I13576"/>
    </row>
    <row r="13577" spans="6:9" x14ac:dyDescent="0.3">
      <c r="F13577"/>
      <c r="G13577"/>
      <c r="H13577"/>
      <c r="I13577"/>
    </row>
    <row r="13578" spans="6:9" x14ac:dyDescent="0.3">
      <c r="F13578"/>
      <c r="G13578"/>
      <c r="H13578"/>
      <c r="I13578"/>
    </row>
    <row r="13579" spans="6:9" x14ac:dyDescent="0.3">
      <c r="F13579"/>
      <c r="G13579"/>
      <c r="H13579"/>
      <c r="I13579"/>
    </row>
    <row r="13580" spans="6:9" x14ac:dyDescent="0.3">
      <c r="F13580"/>
      <c r="G13580"/>
      <c r="H13580"/>
      <c r="I13580"/>
    </row>
    <row r="13581" spans="6:9" x14ac:dyDescent="0.3">
      <c r="F13581"/>
      <c r="G13581"/>
      <c r="H13581"/>
      <c r="I13581"/>
    </row>
    <row r="13582" spans="6:9" x14ac:dyDescent="0.3">
      <c r="F13582"/>
      <c r="G13582"/>
      <c r="H13582"/>
      <c r="I13582"/>
    </row>
    <row r="13583" spans="6:9" x14ac:dyDescent="0.3">
      <c r="F13583"/>
      <c r="G13583"/>
      <c r="H13583"/>
      <c r="I13583"/>
    </row>
    <row r="13584" spans="6:9" x14ac:dyDescent="0.3">
      <c r="F13584"/>
      <c r="G13584"/>
      <c r="H13584"/>
      <c r="I13584"/>
    </row>
    <row r="13585" spans="6:9" x14ac:dyDescent="0.3">
      <c r="F13585"/>
      <c r="G13585"/>
      <c r="H13585"/>
      <c r="I13585"/>
    </row>
    <row r="13586" spans="6:9" x14ac:dyDescent="0.3">
      <c r="F13586"/>
      <c r="G13586"/>
      <c r="H13586"/>
      <c r="I13586"/>
    </row>
    <row r="13587" spans="6:9" x14ac:dyDescent="0.3">
      <c r="F13587"/>
      <c r="G13587"/>
      <c r="H13587"/>
      <c r="I13587"/>
    </row>
    <row r="13588" spans="6:9" x14ac:dyDescent="0.3">
      <c r="F13588"/>
      <c r="G13588"/>
      <c r="H13588"/>
      <c r="I13588"/>
    </row>
    <row r="13589" spans="6:9" x14ac:dyDescent="0.3">
      <c r="F13589"/>
      <c r="G13589"/>
      <c r="H13589"/>
      <c r="I13589"/>
    </row>
    <row r="13590" spans="6:9" x14ac:dyDescent="0.3">
      <c r="F13590"/>
      <c r="G13590"/>
      <c r="H13590"/>
      <c r="I13590"/>
    </row>
    <row r="13591" spans="6:9" x14ac:dyDescent="0.3">
      <c r="F13591"/>
      <c r="G13591"/>
      <c r="H13591"/>
      <c r="I13591"/>
    </row>
    <row r="13592" spans="6:9" x14ac:dyDescent="0.3">
      <c r="F13592"/>
      <c r="G13592"/>
      <c r="H13592"/>
      <c r="I13592"/>
    </row>
    <row r="13593" spans="6:9" x14ac:dyDescent="0.3">
      <c r="F13593"/>
      <c r="G13593"/>
      <c r="H13593"/>
      <c r="I13593"/>
    </row>
    <row r="13594" spans="6:9" x14ac:dyDescent="0.3">
      <c r="F13594"/>
      <c r="G13594"/>
      <c r="H13594"/>
      <c r="I13594"/>
    </row>
    <row r="13595" spans="6:9" x14ac:dyDescent="0.3">
      <c r="F13595"/>
      <c r="G13595"/>
      <c r="H13595"/>
      <c r="I13595"/>
    </row>
    <row r="13596" spans="6:9" x14ac:dyDescent="0.3">
      <c r="F13596"/>
      <c r="G13596"/>
      <c r="H13596"/>
      <c r="I13596"/>
    </row>
    <row r="13597" spans="6:9" x14ac:dyDescent="0.3">
      <c r="F13597"/>
      <c r="G13597"/>
      <c r="H13597"/>
      <c r="I13597"/>
    </row>
    <row r="13598" spans="6:9" x14ac:dyDescent="0.3">
      <c r="F13598"/>
      <c r="G13598"/>
      <c r="H13598"/>
      <c r="I13598"/>
    </row>
    <row r="13599" spans="6:9" x14ac:dyDescent="0.3">
      <c r="F13599"/>
      <c r="G13599"/>
      <c r="H13599"/>
      <c r="I13599"/>
    </row>
    <row r="13600" spans="6:9" x14ac:dyDescent="0.3">
      <c r="F13600"/>
      <c r="G13600"/>
      <c r="H13600"/>
      <c r="I13600"/>
    </row>
    <row r="13601" spans="6:9" x14ac:dyDescent="0.3">
      <c r="F13601"/>
      <c r="G13601"/>
      <c r="H13601"/>
      <c r="I13601"/>
    </row>
    <row r="13602" spans="6:9" x14ac:dyDescent="0.3">
      <c r="F13602"/>
      <c r="G13602"/>
      <c r="H13602"/>
      <c r="I13602"/>
    </row>
    <row r="13603" spans="6:9" x14ac:dyDescent="0.3">
      <c r="F13603"/>
      <c r="G13603"/>
      <c r="H13603"/>
      <c r="I13603"/>
    </row>
    <row r="13604" spans="6:9" x14ac:dyDescent="0.3">
      <c r="F13604"/>
      <c r="G13604"/>
      <c r="H13604"/>
      <c r="I13604"/>
    </row>
    <row r="13605" spans="6:9" x14ac:dyDescent="0.3">
      <c r="F13605"/>
      <c r="G13605"/>
      <c r="H13605"/>
      <c r="I13605"/>
    </row>
    <row r="13606" spans="6:9" x14ac:dyDescent="0.3">
      <c r="F13606"/>
      <c r="G13606"/>
      <c r="H13606"/>
      <c r="I13606"/>
    </row>
    <row r="13607" spans="6:9" x14ac:dyDescent="0.3">
      <c r="F13607"/>
      <c r="G13607"/>
      <c r="H13607"/>
      <c r="I13607"/>
    </row>
    <row r="13608" spans="6:9" x14ac:dyDescent="0.3">
      <c r="F13608"/>
      <c r="G13608"/>
      <c r="H13608"/>
      <c r="I13608"/>
    </row>
    <row r="13609" spans="6:9" x14ac:dyDescent="0.3">
      <c r="F13609"/>
      <c r="G13609"/>
      <c r="H13609"/>
      <c r="I13609"/>
    </row>
    <row r="13610" spans="6:9" x14ac:dyDescent="0.3">
      <c r="F13610"/>
      <c r="G13610"/>
      <c r="H13610"/>
      <c r="I13610"/>
    </row>
    <row r="13611" spans="6:9" x14ac:dyDescent="0.3">
      <c r="F13611"/>
      <c r="G13611"/>
      <c r="H13611"/>
      <c r="I13611"/>
    </row>
    <row r="13612" spans="6:9" x14ac:dyDescent="0.3">
      <c r="F13612"/>
      <c r="G13612"/>
      <c r="H13612"/>
      <c r="I13612"/>
    </row>
    <row r="13613" spans="6:9" x14ac:dyDescent="0.3">
      <c r="F13613"/>
      <c r="G13613"/>
      <c r="H13613"/>
      <c r="I13613"/>
    </row>
    <row r="13614" spans="6:9" x14ac:dyDescent="0.3">
      <c r="F13614"/>
      <c r="G13614"/>
      <c r="H13614"/>
      <c r="I13614"/>
    </row>
    <row r="13615" spans="6:9" x14ac:dyDescent="0.3">
      <c r="F13615"/>
      <c r="G13615"/>
      <c r="H13615"/>
      <c r="I13615"/>
    </row>
    <row r="13616" spans="6:9" x14ac:dyDescent="0.3">
      <c r="F13616"/>
      <c r="G13616"/>
      <c r="H13616"/>
      <c r="I13616"/>
    </row>
    <row r="13617" spans="6:9" x14ac:dyDescent="0.3">
      <c r="F13617"/>
      <c r="G13617"/>
      <c r="H13617"/>
      <c r="I13617"/>
    </row>
    <row r="13618" spans="6:9" x14ac:dyDescent="0.3">
      <c r="F13618"/>
      <c r="G13618"/>
      <c r="H13618"/>
      <c r="I13618"/>
    </row>
    <row r="13619" spans="6:9" x14ac:dyDescent="0.3">
      <c r="F13619"/>
      <c r="G13619"/>
      <c r="H13619"/>
      <c r="I13619"/>
    </row>
    <row r="13620" spans="6:9" x14ac:dyDescent="0.3">
      <c r="F13620"/>
      <c r="G13620"/>
      <c r="H13620"/>
      <c r="I13620"/>
    </row>
    <row r="13621" spans="6:9" x14ac:dyDescent="0.3">
      <c r="F13621"/>
      <c r="G13621"/>
      <c r="H13621"/>
      <c r="I13621"/>
    </row>
    <row r="13622" spans="6:9" x14ac:dyDescent="0.3">
      <c r="F13622"/>
      <c r="G13622"/>
      <c r="H13622"/>
      <c r="I13622"/>
    </row>
    <row r="13623" spans="6:9" x14ac:dyDescent="0.3">
      <c r="F13623"/>
      <c r="G13623"/>
      <c r="H13623"/>
      <c r="I13623"/>
    </row>
    <row r="13624" spans="6:9" x14ac:dyDescent="0.3">
      <c r="F13624"/>
      <c r="G13624"/>
      <c r="H13624"/>
      <c r="I13624"/>
    </row>
    <row r="13625" spans="6:9" x14ac:dyDescent="0.3">
      <c r="F13625"/>
      <c r="G13625"/>
      <c r="H13625"/>
      <c r="I13625"/>
    </row>
    <row r="13626" spans="6:9" x14ac:dyDescent="0.3">
      <c r="F13626"/>
      <c r="G13626"/>
      <c r="H13626"/>
      <c r="I13626"/>
    </row>
    <row r="13627" spans="6:9" x14ac:dyDescent="0.3">
      <c r="F13627"/>
      <c r="G13627"/>
      <c r="H13627"/>
      <c r="I13627"/>
    </row>
    <row r="13628" spans="6:9" x14ac:dyDescent="0.3">
      <c r="F13628"/>
      <c r="G13628"/>
      <c r="H13628"/>
      <c r="I13628"/>
    </row>
    <row r="13629" spans="6:9" x14ac:dyDescent="0.3">
      <c r="F13629"/>
      <c r="G13629"/>
      <c r="H13629"/>
      <c r="I13629"/>
    </row>
    <row r="13630" spans="6:9" x14ac:dyDescent="0.3">
      <c r="F13630"/>
      <c r="G13630"/>
      <c r="H13630"/>
      <c r="I13630"/>
    </row>
    <row r="13631" spans="6:9" x14ac:dyDescent="0.3">
      <c r="F13631"/>
      <c r="G13631"/>
      <c r="H13631"/>
      <c r="I13631"/>
    </row>
    <row r="13632" spans="6:9" x14ac:dyDescent="0.3">
      <c r="F13632"/>
      <c r="G13632"/>
      <c r="H13632"/>
      <c r="I13632"/>
    </row>
    <row r="13633" spans="6:9" x14ac:dyDescent="0.3">
      <c r="F13633"/>
      <c r="G13633"/>
      <c r="H13633"/>
      <c r="I13633"/>
    </row>
    <row r="13634" spans="6:9" x14ac:dyDescent="0.3">
      <c r="F13634"/>
      <c r="G13634"/>
      <c r="H13634"/>
      <c r="I13634"/>
    </row>
    <row r="13635" spans="6:9" x14ac:dyDescent="0.3">
      <c r="F13635"/>
      <c r="G13635"/>
      <c r="H13635"/>
      <c r="I13635"/>
    </row>
    <row r="13636" spans="6:9" x14ac:dyDescent="0.3">
      <c r="F13636"/>
      <c r="G13636"/>
      <c r="H13636"/>
      <c r="I13636"/>
    </row>
    <row r="13637" spans="6:9" x14ac:dyDescent="0.3">
      <c r="F13637"/>
      <c r="G13637"/>
      <c r="H13637"/>
      <c r="I13637"/>
    </row>
    <row r="13638" spans="6:9" x14ac:dyDescent="0.3">
      <c r="F13638"/>
      <c r="G13638"/>
      <c r="H13638"/>
      <c r="I13638"/>
    </row>
    <row r="13639" spans="6:9" x14ac:dyDescent="0.3">
      <c r="F13639"/>
      <c r="G13639"/>
      <c r="H13639"/>
      <c r="I13639"/>
    </row>
    <row r="13640" spans="6:9" x14ac:dyDescent="0.3">
      <c r="F13640"/>
      <c r="G13640"/>
      <c r="H13640"/>
      <c r="I13640"/>
    </row>
    <row r="13641" spans="6:9" x14ac:dyDescent="0.3">
      <c r="F13641"/>
      <c r="G13641"/>
      <c r="H13641"/>
      <c r="I13641"/>
    </row>
    <row r="13642" spans="6:9" x14ac:dyDescent="0.3">
      <c r="F13642"/>
      <c r="G13642"/>
      <c r="H13642"/>
      <c r="I13642"/>
    </row>
    <row r="13643" spans="6:9" x14ac:dyDescent="0.3">
      <c r="F13643"/>
      <c r="G13643"/>
      <c r="H13643"/>
      <c r="I13643"/>
    </row>
    <row r="13644" spans="6:9" x14ac:dyDescent="0.3">
      <c r="F13644"/>
      <c r="G13644"/>
      <c r="H13644"/>
      <c r="I13644"/>
    </row>
    <row r="13645" spans="6:9" x14ac:dyDescent="0.3">
      <c r="F13645"/>
      <c r="G13645"/>
      <c r="H13645"/>
      <c r="I13645"/>
    </row>
    <row r="13646" spans="6:9" x14ac:dyDescent="0.3">
      <c r="F13646"/>
      <c r="G13646"/>
      <c r="H13646"/>
      <c r="I13646"/>
    </row>
    <row r="13647" spans="6:9" x14ac:dyDescent="0.3">
      <c r="F13647"/>
      <c r="G13647"/>
      <c r="H13647"/>
      <c r="I13647"/>
    </row>
    <row r="13648" spans="6:9" x14ac:dyDescent="0.3">
      <c r="F13648"/>
      <c r="G13648"/>
      <c r="H13648"/>
      <c r="I13648"/>
    </row>
    <row r="13649" spans="6:9" x14ac:dyDescent="0.3">
      <c r="F13649"/>
      <c r="G13649"/>
      <c r="H13649"/>
      <c r="I13649"/>
    </row>
    <row r="13650" spans="6:9" x14ac:dyDescent="0.3">
      <c r="F13650"/>
      <c r="G13650"/>
      <c r="H13650"/>
      <c r="I13650"/>
    </row>
    <row r="13651" spans="6:9" x14ac:dyDescent="0.3">
      <c r="F13651"/>
      <c r="G13651"/>
      <c r="H13651"/>
      <c r="I13651"/>
    </row>
    <row r="13652" spans="6:9" x14ac:dyDescent="0.3">
      <c r="F13652"/>
      <c r="G13652"/>
      <c r="H13652"/>
      <c r="I13652"/>
    </row>
    <row r="13653" spans="6:9" x14ac:dyDescent="0.3">
      <c r="F13653"/>
      <c r="G13653"/>
      <c r="H13653"/>
      <c r="I13653"/>
    </row>
    <row r="13654" spans="6:9" x14ac:dyDescent="0.3">
      <c r="F13654"/>
      <c r="G13654"/>
      <c r="H13654"/>
      <c r="I13654"/>
    </row>
    <row r="13655" spans="6:9" x14ac:dyDescent="0.3">
      <c r="F13655"/>
      <c r="G13655"/>
      <c r="H13655"/>
      <c r="I13655"/>
    </row>
    <row r="13656" spans="6:9" x14ac:dyDescent="0.3">
      <c r="F13656"/>
      <c r="G13656"/>
      <c r="H13656"/>
      <c r="I13656"/>
    </row>
    <row r="13657" spans="6:9" x14ac:dyDescent="0.3">
      <c r="F13657"/>
      <c r="G13657"/>
      <c r="H13657"/>
      <c r="I13657"/>
    </row>
    <row r="13658" spans="6:9" x14ac:dyDescent="0.3">
      <c r="F13658"/>
      <c r="G13658"/>
      <c r="H13658"/>
      <c r="I13658"/>
    </row>
    <row r="13659" spans="6:9" x14ac:dyDescent="0.3">
      <c r="F13659"/>
      <c r="G13659"/>
      <c r="H13659"/>
      <c r="I13659"/>
    </row>
    <row r="13660" spans="6:9" x14ac:dyDescent="0.3">
      <c r="F13660"/>
      <c r="G13660"/>
      <c r="H13660"/>
      <c r="I13660"/>
    </row>
    <row r="13661" spans="6:9" x14ac:dyDescent="0.3">
      <c r="F13661"/>
      <c r="G13661"/>
      <c r="H13661"/>
      <c r="I13661"/>
    </row>
    <row r="13662" spans="6:9" x14ac:dyDescent="0.3">
      <c r="F13662"/>
      <c r="G13662"/>
      <c r="H13662"/>
      <c r="I13662"/>
    </row>
    <row r="13663" spans="6:9" x14ac:dyDescent="0.3">
      <c r="F13663"/>
      <c r="G13663"/>
      <c r="H13663"/>
      <c r="I13663"/>
    </row>
    <row r="13664" spans="6:9" x14ac:dyDescent="0.3">
      <c r="F13664"/>
      <c r="G13664"/>
      <c r="H13664"/>
      <c r="I13664"/>
    </row>
    <row r="13665" spans="6:9" x14ac:dyDescent="0.3">
      <c r="F13665"/>
      <c r="G13665"/>
      <c r="H13665"/>
      <c r="I13665"/>
    </row>
    <row r="13666" spans="6:9" x14ac:dyDescent="0.3">
      <c r="F13666"/>
      <c r="G13666"/>
      <c r="H13666"/>
      <c r="I13666"/>
    </row>
    <row r="13667" spans="6:9" x14ac:dyDescent="0.3">
      <c r="F13667"/>
      <c r="G13667"/>
      <c r="H13667"/>
      <c r="I13667"/>
    </row>
    <row r="13668" spans="6:9" x14ac:dyDescent="0.3">
      <c r="F13668"/>
      <c r="G13668"/>
      <c r="H13668"/>
      <c r="I13668"/>
    </row>
    <row r="13669" spans="6:9" x14ac:dyDescent="0.3">
      <c r="F13669"/>
      <c r="G13669"/>
      <c r="H13669"/>
      <c r="I13669"/>
    </row>
    <row r="13670" spans="6:9" x14ac:dyDescent="0.3">
      <c r="F13670"/>
      <c r="G13670"/>
      <c r="H13670"/>
      <c r="I13670"/>
    </row>
    <row r="13671" spans="6:9" x14ac:dyDescent="0.3">
      <c r="F13671"/>
      <c r="G13671"/>
      <c r="H13671"/>
      <c r="I13671"/>
    </row>
    <row r="13672" spans="6:9" x14ac:dyDescent="0.3">
      <c r="F13672"/>
      <c r="G13672"/>
      <c r="H13672"/>
      <c r="I13672"/>
    </row>
    <row r="13673" spans="6:9" x14ac:dyDescent="0.3">
      <c r="F13673"/>
      <c r="G13673"/>
      <c r="H13673"/>
      <c r="I13673"/>
    </row>
    <row r="13674" spans="6:9" x14ac:dyDescent="0.3">
      <c r="F13674"/>
      <c r="G13674"/>
      <c r="H13674"/>
      <c r="I13674"/>
    </row>
    <row r="13675" spans="6:9" x14ac:dyDescent="0.3">
      <c r="F13675"/>
      <c r="G13675"/>
      <c r="H13675"/>
      <c r="I13675"/>
    </row>
    <row r="13676" spans="6:9" x14ac:dyDescent="0.3">
      <c r="F13676"/>
      <c r="G13676"/>
      <c r="H13676"/>
      <c r="I13676"/>
    </row>
    <row r="13677" spans="6:9" x14ac:dyDescent="0.3">
      <c r="F13677"/>
      <c r="G13677"/>
      <c r="H13677"/>
      <c r="I13677"/>
    </row>
    <row r="13678" spans="6:9" x14ac:dyDescent="0.3">
      <c r="F13678"/>
      <c r="G13678"/>
      <c r="H13678"/>
      <c r="I13678"/>
    </row>
    <row r="13679" spans="6:9" x14ac:dyDescent="0.3">
      <c r="F13679"/>
      <c r="G13679"/>
      <c r="H13679"/>
      <c r="I13679"/>
    </row>
    <row r="13680" spans="6:9" x14ac:dyDescent="0.3">
      <c r="F13680"/>
      <c r="G13680"/>
      <c r="H13680"/>
      <c r="I13680"/>
    </row>
    <row r="13681" spans="6:9" x14ac:dyDescent="0.3">
      <c r="F13681"/>
      <c r="G13681"/>
      <c r="H13681"/>
      <c r="I13681"/>
    </row>
    <row r="13682" spans="6:9" x14ac:dyDescent="0.3">
      <c r="F13682"/>
      <c r="G13682"/>
      <c r="H13682"/>
      <c r="I13682"/>
    </row>
    <row r="13683" spans="6:9" x14ac:dyDescent="0.3">
      <c r="F13683"/>
      <c r="G13683"/>
      <c r="H13683"/>
      <c r="I13683"/>
    </row>
    <row r="13684" spans="6:9" x14ac:dyDescent="0.3">
      <c r="F13684"/>
      <c r="G13684"/>
      <c r="H13684"/>
      <c r="I13684"/>
    </row>
    <row r="13685" spans="6:9" x14ac:dyDescent="0.3">
      <c r="F13685"/>
      <c r="G13685"/>
      <c r="H13685"/>
      <c r="I13685"/>
    </row>
    <row r="13686" spans="6:9" x14ac:dyDescent="0.3">
      <c r="F13686"/>
      <c r="G13686"/>
      <c r="H13686"/>
      <c r="I13686"/>
    </row>
    <row r="13687" spans="6:9" x14ac:dyDescent="0.3">
      <c r="F13687"/>
      <c r="G13687"/>
      <c r="H13687"/>
      <c r="I13687"/>
    </row>
    <row r="13688" spans="6:9" x14ac:dyDescent="0.3">
      <c r="F13688"/>
      <c r="G13688"/>
      <c r="H13688"/>
      <c r="I13688"/>
    </row>
    <row r="13689" spans="6:9" x14ac:dyDescent="0.3">
      <c r="F13689"/>
      <c r="G13689"/>
      <c r="H13689"/>
      <c r="I13689"/>
    </row>
    <row r="13690" spans="6:9" x14ac:dyDescent="0.3">
      <c r="F13690"/>
      <c r="G13690"/>
      <c r="H13690"/>
      <c r="I13690"/>
    </row>
    <row r="13691" spans="6:9" x14ac:dyDescent="0.3">
      <c r="F13691"/>
      <c r="G13691"/>
      <c r="H13691"/>
      <c r="I13691"/>
    </row>
    <row r="13692" spans="6:9" x14ac:dyDescent="0.3">
      <c r="F13692"/>
      <c r="G13692"/>
      <c r="H13692"/>
      <c r="I13692"/>
    </row>
    <row r="13693" spans="6:9" x14ac:dyDescent="0.3">
      <c r="F13693"/>
      <c r="G13693"/>
      <c r="H13693"/>
      <c r="I13693"/>
    </row>
    <row r="13694" spans="6:9" x14ac:dyDescent="0.3">
      <c r="F13694"/>
      <c r="G13694"/>
      <c r="H13694"/>
      <c r="I13694"/>
    </row>
    <row r="13695" spans="6:9" x14ac:dyDescent="0.3">
      <c r="F13695"/>
      <c r="G13695"/>
      <c r="H13695"/>
      <c r="I13695"/>
    </row>
    <row r="13696" spans="6:9" x14ac:dyDescent="0.3">
      <c r="F13696"/>
      <c r="G13696"/>
      <c r="H13696"/>
      <c r="I13696"/>
    </row>
    <row r="13697" spans="6:9" x14ac:dyDescent="0.3">
      <c r="F13697"/>
      <c r="G13697"/>
      <c r="H13697"/>
      <c r="I13697"/>
    </row>
    <row r="13698" spans="6:9" x14ac:dyDescent="0.3">
      <c r="F13698"/>
      <c r="G13698"/>
      <c r="H13698"/>
      <c r="I13698"/>
    </row>
    <row r="13699" spans="6:9" x14ac:dyDescent="0.3">
      <c r="F13699"/>
      <c r="G13699"/>
      <c r="H13699"/>
      <c r="I13699"/>
    </row>
    <row r="13700" spans="6:9" x14ac:dyDescent="0.3">
      <c r="F13700"/>
      <c r="G13700"/>
      <c r="H13700"/>
      <c r="I13700"/>
    </row>
    <row r="13701" spans="6:9" x14ac:dyDescent="0.3">
      <c r="F13701"/>
      <c r="G13701"/>
      <c r="H13701"/>
      <c r="I13701"/>
    </row>
    <row r="13702" spans="6:9" x14ac:dyDescent="0.3">
      <c r="F13702"/>
      <c r="G13702"/>
      <c r="H13702"/>
      <c r="I13702"/>
    </row>
    <row r="13703" spans="6:9" x14ac:dyDescent="0.3">
      <c r="F13703"/>
      <c r="G13703"/>
      <c r="H13703"/>
      <c r="I13703"/>
    </row>
    <row r="13704" spans="6:9" x14ac:dyDescent="0.3">
      <c r="F13704"/>
      <c r="G13704"/>
      <c r="H13704"/>
      <c r="I13704"/>
    </row>
    <row r="13705" spans="6:9" x14ac:dyDescent="0.3">
      <c r="F13705"/>
      <c r="G13705"/>
      <c r="H13705"/>
      <c r="I13705"/>
    </row>
    <row r="13706" spans="6:9" x14ac:dyDescent="0.3">
      <c r="F13706"/>
      <c r="G13706"/>
      <c r="H13706"/>
      <c r="I13706"/>
    </row>
    <row r="13707" spans="6:9" x14ac:dyDescent="0.3">
      <c r="F13707"/>
      <c r="G13707"/>
      <c r="H13707"/>
      <c r="I13707"/>
    </row>
    <row r="13708" spans="6:9" x14ac:dyDescent="0.3">
      <c r="F13708"/>
      <c r="G13708"/>
      <c r="H13708"/>
      <c r="I13708"/>
    </row>
    <row r="13709" spans="6:9" x14ac:dyDescent="0.3">
      <c r="F13709"/>
      <c r="G13709"/>
      <c r="H13709"/>
      <c r="I13709"/>
    </row>
    <row r="13710" spans="6:9" x14ac:dyDescent="0.3">
      <c r="F13710"/>
      <c r="G13710"/>
      <c r="H13710"/>
      <c r="I13710"/>
    </row>
    <row r="13711" spans="6:9" x14ac:dyDescent="0.3">
      <c r="F13711"/>
      <c r="G13711"/>
      <c r="H13711"/>
      <c r="I13711"/>
    </row>
    <row r="13712" spans="6:9" x14ac:dyDescent="0.3">
      <c r="F13712"/>
      <c r="G13712"/>
      <c r="H13712"/>
      <c r="I13712"/>
    </row>
    <row r="13713" spans="6:9" x14ac:dyDescent="0.3">
      <c r="F13713"/>
      <c r="G13713"/>
      <c r="H13713"/>
      <c r="I13713"/>
    </row>
    <row r="13714" spans="6:9" x14ac:dyDescent="0.3">
      <c r="F13714"/>
      <c r="G13714"/>
      <c r="H13714"/>
      <c r="I13714"/>
    </row>
    <row r="13715" spans="6:9" x14ac:dyDescent="0.3">
      <c r="F13715"/>
      <c r="G13715"/>
      <c r="H13715"/>
      <c r="I13715"/>
    </row>
    <row r="13716" spans="6:9" x14ac:dyDescent="0.3">
      <c r="F13716"/>
      <c r="G13716"/>
      <c r="H13716"/>
      <c r="I13716"/>
    </row>
    <row r="13717" spans="6:9" x14ac:dyDescent="0.3">
      <c r="F13717"/>
      <c r="G13717"/>
      <c r="H13717"/>
      <c r="I13717"/>
    </row>
    <row r="13718" spans="6:9" x14ac:dyDescent="0.3">
      <c r="F13718"/>
      <c r="G13718"/>
      <c r="H13718"/>
      <c r="I13718"/>
    </row>
    <row r="13719" spans="6:9" x14ac:dyDescent="0.3">
      <c r="F13719"/>
      <c r="G13719"/>
      <c r="H13719"/>
      <c r="I13719"/>
    </row>
    <row r="13720" spans="6:9" x14ac:dyDescent="0.3">
      <c r="F13720"/>
      <c r="G13720"/>
      <c r="H13720"/>
      <c r="I13720"/>
    </row>
    <row r="13721" spans="6:9" x14ac:dyDescent="0.3">
      <c r="F13721"/>
      <c r="G13721"/>
      <c r="H13721"/>
      <c r="I13721"/>
    </row>
    <row r="13722" spans="6:9" x14ac:dyDescent="0.3">
      <c r="F13722"/>
      <c r="G13722"/>
      <c r="H13722"/>
      <c r="I13722"/>
    </row>
    <row r="13723" spans="6:9" x14ac:dyDescent="0.3">
      <c r="F13723"/>
      <c r="G13723"/>
      <c r="H13723"/>
      <c r="I13723"/>
    </row>
    <row r="13724" spans="6:9" x14ac:dyDescent="0.3">
      <c r="F13724"/>
      <c r="G13724"/>
      <c r="H13724"/>
      <c r="I13724"/>
    </row>
    <row r="13725" spans="6:9" x14ac:dyDescent="0.3">
      <c r="F13725"/>
      <c r="G13725"/>
      <c r="H13725"/>
      <c r="I13725"/>
    </row>
    <row r="13726" spans="6:9" x14ac:dyDescent="0.3">
      <c r="F13726"/>
      <c r="G13726"/>
      <c r="H13726"/>
      <c r="I13726"/>
    </row>
    <row r="13727" spans="6:9" x14ac:dyDescent="0.3">
      <c r="F13727"/>
      <c r="G13727"/>
      <c r="H13727"/>
      <c r="I13727"/>
    </row>
    <row r="13728" spans="6:9" x14ac:dyDescent="0.3">
      <c r="F13728"/>
      <c r="G13728"/>
      <c r="H13728"/>
      <c r="I13728"/>
    </row>
    <row r="13729" spans="6:9" x14ac:dyDescent="0.3">
      <c r="F13729"/>
      <c r="G13729"/>
      <c r="H13729"/>
      <c r="I13729"/>
    </row>
    <row r="13730" spans="6:9" x14ac:dyDescent="0.3">
      <c r="F13730"/>
      <c r="G13730"/>
      <c r="H13730"/>
      <c r="I13730"/>
    </row>
    <row r="13731" spans="6:9" x14ac:dyDescent="0.3">
      <c r="F13731"/>
      <c r="G13731"/>
      <c r="H13731"/>
      <c r="I13731"/>
    </row>
    <row r="13732" spans="6:9" x14ac:dyDescent="0.3">
      <c r="F13732"/>
      <c r="G13732"/>
      <c r="H13732"/>
      <c r="I13732"/>
    </row>
    <row r="13733" spans="6:9" x14ac:dyDescent="0.3">
      <c r="F13733"/>
      <c r="G13733"/>
      <c r="H13733"/>
      <c r="I13733"/>
    </row>
    <row r="13734" spans="6:9" x14ac:dyDescent="0.3">
      <c r="F13734"/>
      <c r="G13734"/>
      <c r="H13734"/>
      <c r="I13734"/>
    </row>
    <row r="13735" spans="6:9" x14ac:dyDescent="0.3">
      <c r="F13735"/>
      <c r="G13735"/>
      <c r="H13735"/>
      <c r="I13735"/>
    </row>
    <row r="13736" spans="6:9" x14ac:dyDescent="0.3">
      <c r="F13736"/>
      <c r="G13736"/>
      <c r="H13736"/>
      <c r="I13736"/>
    </row>
    <row r="13737" spans="6:9" x14ac:dyDescent="0.3">
      <c r="F13737"/>
      <c r="G13737"/>
      <c r="H13737"/>
      <c r="I13737"/>
    </row>
    <row r="13738" spans="6:9" x14ac:dyDescent="0.3">
      <c r="F13738"/>
      <c r="G13738"/>
      <c r="H13738"/>
      <c r="I13738"/>
    </row>
    <row r="13739" spans="6:9" x14ac:dyDescent="0.3">
      <c r="F13739"/>
      <c r="G13739"/>
      <c r="H13739"/>
      <c r="I13739"/>
    </row>
    <row r="13740" spans="6:9" x14ac:dyDescent="0.3">
      <c r="F13740"/>
      <c r="G13740"/>
      <c r="H13740"/>
      <c r="I13740"/>
    </row>
    <row r="13741" spans="6:9" x14ac:dyDescent="0.3">
      <c r="F13741"/>
      <c r="G13741"/>
      <c r="H13741"/>
      <c r="I13741"/>
    </row>
    <row r="13742" spans="6:9" x14ac:dyDescent="0.3">
      <c r="F13742"/>
      <c r="G13742"/>
      <c r="H13742"/>
      <c r="I13742"/>
    </row>
    <row r="13743" spans="6:9" x14ac:dyDescent="0.3">
      <c r="F13743"/>
      <c r="G13743"/>
      <c r="H13743"/>
      <c r="I13743"/>
    </row>
    <row r="13744" spans="6:9" x14ac:dyDescent="0.3">
      <c r="F13744"/>
      <c r="G13744"/>
      <c r="H13744"/>
      <c r="I13744"/>
    </row>
    <row r="13745" spans="6:9" x14ac:dyDescent="0.3">
      <c r="F13745"/>
      <c r="G13745"/>
      <c r="H13745"/>
      <c r="I13745"/>
    </row>
    <row r="13746" spans="6:9" x14ac:dyDescent="0.3">
      <c r="F13746"/>
      <c r="G13746"/>
      <c r="H13746"/>
      <c r="I13746"/>
    </row>
    <row r="13747" spans="6:9" x14ac:dyDescent="0.3">
      <c r="F13747"/>
      <c r="G13747"/>
      <c r="H13747"/>
      <c r="I13747"/>
    </row>
    <row r="13748" spans="6:9" x14ac:dyDescent="0.3">
      <c r="F13748"/>
      <c r="G13748"/>
      <c r="H13748"/>
      <c r="I13748"/>
    </row>
    <row r="13749" spans="6:9" x14ac:dyDescent="0.3">
      <c r="F13749"/>
      <c r="G13749"/>
      <c r="H13749"/>
      <c r="I13749"/>
    </row>
    <row r="13750" spans="6:9" x14ac:dyDescent="0.3">
      <c r="F13750"/>
      <c r="G13750"/>
      <c r="H13750"/>
      <c r="I13750"/>
    </row>
    <row r="13751" spans="6:9" x14ac:dyDescent="0.3">
      <c r="F13751"/>
      <c r="G13751"/>
      <c r="H13751"/>
      <c r="I13751"/>
    </row>
    <row r="13752" spans="6:9" x14ac:dyDescent="0.3">
      <c r="F13752"/>
      <c r="G13752"/>
      <c r="H13752"/>
      <c r="I13752"/>
    </row>
    <row r="13753" spans="6:9" x14ac:dyDescent="0.3">
      <c r="F13753"/>
      <c r="G13753"/>
      <c r="H13753"/>
      <c r="I13753"/>
    </row>
    <row r="13754" spans="6:9" x14ac:dyDescent="0.3">
      <c r="F13754"/>
      <c r="G13754"/>
      <c r="H13754"/>
      <c r="I13754"/>
    </row>
    <row r="13755" spans="6:9" x14ac:dyDescent="0.3">
      <c r="F13755"/>
      <c r="G13755"/>
      <c r="H13755"/>
      <c r="I13755"/>
    </row>
    <row r="13756" spans="6:9" x14ac:dyDescent="0.3">
      <c r="F13756"/>
      <c r="G13756"/>
      <c r="H13756"/>
      <c r="I13756"/>
    </row>
    <row r="13757" spans="6:9" x14ac:dyDescent="0.3">
      <c r="F13757"/>
      <c r="G13757"/>
      <c r="H13757"/>
      <c r="I13757"/>
    </row>
    <row r="13758" spans="6:9" x14ac:dyDescent="0.3">
      <c r="F13758"/>
      <c r="G13758"/>
      <c r="H13758"/>
      <c r="I13758"/>
    </row>
    <row r="13759" spans="6:9" x14ac:dyDescent="0.3">
      <c r="F13759"/>
      <c r="G13759"/>
      <c r="H13759"/>
      <c r="I13759"/>
    </row>
    <row r="13760" spans="6:9" x14ac:dyDescent="0.3">
      <c r="F13760"/>
      <c r="G13760"/>
      <c r="H13760"/>
      <c r="I13760"/>
    </row>
    <row r="13761" spans="6:9" x14ac:dyDescent="0.3">
      <c r="F13761"/>
      <c r="G13761"/>
      <c r="H13761"/>
      <c r="I13761"/>
    </row>
    <row r="13762" spans="6:9" x14ac:dyDescent="0.3">
      <c r="F13762"/>
      <c r="G13762"/>
      <c r="H13762"/>
      <c r="I13762"/>
    </row>
    <row r="13763" spans="6:9" x14ac:dyDescent="0.3">
      <c r="F13763"/>
      <c r="G13763"/>
      <c r="H13763"/>
      <c r="I13763"/>
    </row>
    <row r="13764" spans="6:9" x14ac:dyDescent="0.3">
      <c r="F13764"/>
      <c r="G13764"/>
      <c r="H13764"/>
      <c r="I13764"/>
    </row>
    <row r="13765" spans="6:9" x14ac:dyDescent="0.3">
      <c r="F13765"/>
      <c r="G13765"/>
      <c r="H13765"/>
      <c r="I13765"/>
    </row>
    <row r="13766" spans="6:9" x14ac:dyDescent="0.3">
      <c r="F13766"/>
      <c r="G13766"/>
      <c r="H13766"/>
      <c r="I13766"/>
    </row>
    <row r="13767" spans="6:9" x14ac:dyDescent="0.3">
      <c r="F13767"/>
      <c r="G13767"/>
      <c r="H13767"/>
      <c r="I13767"/>
    </row>
    <row r="13768" spans="6:9" x14ac:dyDescent="0.3">
      <c r="F13768"/>
      <c r="G13768"/>
      <c r="H13768"/>
      <c r="I13768"/>
    </row>
    <row r="13769" spans="6:9" x14ac:dyDescent="0.3">
      <c r="F13769"/>
      <c r="G13769"/>
      <c r="H13769"/>
      <c r="I13769"/>
    </row>
    <row r="13770" spans="6:9" x14ac:dyDescent="0.3">
      <c r="F13770"/>
      <c r="G13770"/>
      <c r="H13770"/>
      <c r="I13770"/>
    </row>
    <row r="13771" spans="6:9" x14ac:dyDescent="0.3">
      <c r="F13771"/>
      <c r="G13771"/>
      <c r="H13771"/>
      <c r="I13771"/>
    </row>
    <row r="13772" spans="6:9" x14ac:dyDescent="0.3">
      <c r="F13772"/>
      <c r="G13772"/>
      <c r="H13772"/>
      <c r="I13772"/>
    </row>
    <row r="13773" spans="6:9" x14ac:dyDescent="0.3">
      <c r="F13773"/>
      <c r="G13773"/>
      <c r="H13773"/>
      <c r="I13773"/>
    </row>
    <row r="13774" spans="6:9" x14ac:dyDescent="0.3">
      <c r="F13774"/>
      <c r="G13774"/>
      <c r="H13774"/>
      <c r="I13774"/>
    </row>
    <row r="13775" spans="6:9" x14ac:dyDescent="0.3">
      <c r="F13775"/>
      <c r="G13775"/>
      <c r="H13775"/>
      <c r="I13775"/>
    </row>
    <row r="13776" spans="6:9" x14ac:dyDescent="0.3">
      <c r="F13776"/>
      <c r="G13776"/>
      <c r="H13776"/>
      <c r="I13776"/>
    </row>
    <row r="13777" spans="6:9" x14ac:dyDescent="0.3">
      <c r="F13777"/>
      <c r="G13777"/>
      <c r="H13777"/>
      <c r="I13777"/>
    </row>
    <row r="13778" spans="6:9" x14ac:dyDescent="0.3">
      <c r="F13778"/>
      <c r="G13778"/>
      <c r="H13778"/>
      <c r="I13778"/>
    </row>
    <row r="13779" spans="6:9" x14ac:dyDescent="0.3">
      <c r="F13779"/>
      <c r="G13779"/>
      <c r="H13779"/>
      <c r="I13779"/>
    </row>
    <row r="13780" spans="6:9" x14ac:dyDescent="0.3">
      <c r="F13780"/>
      <c r="G13780"/>
      <c r="H13780"/>
      <c r="I13780"/>
    </row>
    <row r="13781" spans="6:9" x14ac:dyDescent="0.3">
      <c r="F13781"/>
      <c r="G13781"/>
      <c r="H13781"/>
      <c r="I13781"/>
    </row>
    <row r="13782" spans="6:9" x14ac:dyDescent="0.3">
      <c r="F13782"/>
      <c r="G13782"/>
      <c r="H13782"/>
      <c r="I13782"/>
    </row>
    <row r="13783" spans="6:9" x14ac:dyDescent="0.3">
      <c r="F13783"/>
      <c r="G13783"/>
      <c r="H13783"/>
      <c r="I13783"/>
    </row>
    <row r="13784" spans="6:9" x14ac:dyDescent="0.3">
      <c r="F13784"/>
      <c r="G13784"/>
      <c r="H13784"/>
      <c r="I13784"/>
    </row>
    <row r="13785" spans="6:9" x14ac:dyDescent="0.3">
      <c r="F13785"/>
      <c r="G13785"/>
      <c r="H13785"/>
      <c r="I13785"/>
    </row>
    <row r="13786" spans="6:9" x14ac:dyDescent="0.3">
      <c r="F13786"/>
      <c r="G13786"/>
      <c r="H13786"/>
      <c r="I13786"/>
    </row>
    <row r="13787" spans="6:9" x14ac:dyDescent="0.3">
      <c r="F13787"/>
      <c r="G13787"/>
      <c r="H13787"/>
      <c r="I13787"/>
    </row>
    <row r="13788" spans="6:9" x14ac:dyDescent="0.3">
      <c r="F13788"/>
      <c r="G13788"/>
      <c r="H13788"/>
      <c r="I13788"/>
    </row>
    <row r="13789" spans="6:9" x14ac:dyDescent="0.3">
      <c r="F13789"/>
      <c r="G13789"/>
      <c r="H13789"/>
      <c r="I13789"/>
    </row>
    <row r="13790" spans="6:9" x14ac:dyDescent="0.3">
      <c r="F13790"/>
      <c r="G13790"/>
      <c r="H13790"/>
      <c r="I13790"/>
    </row>
    <row r="13791" spans="6:9" x14ac:dyDescent="0.3">
      <c r="F13791"/>
      <c r="G13791"/>
      <c r="H13791"/>
      <c r="I13791"/>
    </row>
    <row r="13792" spans="6:9" x14ac:dyDescent="0.3">
      <c r="F13792"/>
      <c r="G13792"/>
      <c r="H13792"/>
      <c r="I13792"/>
    </row>
    <row r="13793" spans="6:9" x14ac:dyDescent="0.3">
      <c r="F13793"/>
      <c r="G13793"/>
      <c r="H13793"/>
      <c r="I13793"/>
    </row>
    <row r="13794" spans="6:9" x14ac:dyDescent="0.3">
      <c r="F13794"/>
      <c r="G13794"/>
      <c r="H13794"/>
      <c r="I13794"/>
    </row>
    <row r="13795" spans="6:9" x14ac:dyDescent="0.3">
      <c r="F13795"/>
      <c r="G13795"/>
      <c r="H13795"/>
      <c r="I13795"/>
    </row>
    <row r="13796" spans="6:9" x14ac:dyDescent="0.3">
      <c r="F13796"/>
      <c r="G13796"/>
      <c r="H13796"/>
      <c r="I13796"/>
    </row>
    <row r="13797" spans="6:9" x14ac:dyDescent="0.3">
      <c r="F13797"/>
      <c r="G13797"/>
      <c r="H13797"/>
      <c r="I13797"/>
    </row>
    <row r="13798" spans="6:9" x14ac:dyDescent="0.3">
      <c r="F13798"/>
      <c r="G13798"/>
      <c r="H13798"/>
      <c r="I13798"/>
    </row>
    <row r="13799" spans="6:9" x14ac:dyDescent="0.3">
      <c r="F13799"/>
      <c r="G13799"/>
      <c r="H13799"/>
      <c r="I13799"/>
    </row>
    <row r="13800" spans="6:9" x14ac:dyDescent="0.3">
      <c r="F13800"/>
      <c r="G13800"/>
      <c r="H13800"/>
      <c r="I13800"/>
    </row>
    <row r="13801" spans="6:9" x14ac:dyDescent="0.3">
      <c r="F13801"/>
      <c r="G13801"/>
      <c r="H13801"/>
      <c r="I13801"/>
    </row>
    <row r="13802" spans="6:9" x14ac:dyDescent="0.3">
      <c r="F13802"/>
      <c r="G13802"/>
      <c r="H13802"/>
      <c r="I13802"/>
    </row>
    <row r="13803" spans="6:9" x14ac:dyDescent="0.3">
      <c r="F13803"/>
      <c r="G13803"/>
      <c r="H13803"/>
      <c r="I13803"/>
    </row>
    <row r="13804" spans="6:9" x14ac:dyDescent="0.3">
      <c r="F13804"/>
      <c r="G13804"/>
      <c r="H13804"/>
      <c r="I13804"/>
    </row>
    <row r="13805" spans="6:9" x14ac:dyDescent="0.3">
      <c r="F13805"/>
      <c r="G13805"/>
      <c r="H13805"/>
      <c r="I13805"/>
    </row>
    <row r="13806" spans="6:9" x14ac:dyDescent="0.3">
      <c r="F13806"/>
      <c r="G13806"/>
      <c r="H13806"/>
      <c r="I13806"/>
    </row>
    <row r="13807" spans="6:9" x14ac:dyDescent="0.3">
      <c r="F13807"/>
      <c r="G13807"/>
      <c r="H13807"/>
      <c r="I13807"/>
    </row>
    <row r="13808" spans="6:9" x14ac:dyDescent="0.3">
      <c r="F13808"/>
      <c r="G13808"/>
      <c r="H13808"/>
      <c r="I13808"/>
    </row>
    <row r="13809" spans="6:9" x14ac:dyDescent="0.3">
      <c r="F13809"/>
      <c r="G13809"/>
      <c r="H13809"/>
      <c r="I13809"/>
    </row>
    <row r="13810" spans="6:9" x14ac:dyDescent="0.3">
      <c r="F13810"/>
      <c r="G13810"/>
      <c r="H13810"/>
      <c r="I13810"/>
    </row>
    <row r="13811" spans="6:9" x14ac:dyDescent="0.3">
      <c r="F13811"/>
      <c r="G13811"/>
      <c r="H13811"/>
      <c r="I13811"/>
    </row>
    <row r="13812" spans="6:9" x14ac:dyDescent="0.3">
      <c r="F13812"/>
      <c r="G13812"/>
      <c r="H13812"/>
      <c r="I13812"/>
    </row>
    <row r="13813" spans="6:9" x14ac:dyDescent="0.3">
      <c r="F13813"/>
      <c r="G13813"/>
      <c r="H13813"/>
      <c r="I13813"/>
    </row>
    <row r="13814" spans="6:9" x14ac:dyDescent="0.3">
      <c r="F13814"/>
      <c r="G13814"/>
      <c r="H13814"/>
      <c r="I13814"/>
    </row>
    <row r="13815" spans="6:9" x14ac:dyDescent="0.3">
      <c r="F13815"/>
      <c r="G13815"/>
      <c r="H13815"/>
      <c r="I13815"/>
    </row>
    <row r="13816" spans="6:9" x14ac:dyDescent="0.3">
      <c r="F13816"/>
      <c r="G13816"/>
      <c r="H13816"/>
      <c r="I13816"/>
    </row>
    <row r="13817" spans="6:9" x14ac:dyDescent="0.3">
      <c r="F13817"/>
      <c r="G13817"/>
      <c r="H13817"/>
      <c r="I13817"/>
    </row>
    <row r="13818" spans="6:9" x14ac:dyDescent="0.3">
      <c r="F13818"/>
      <c r="G13818"/>
      <c r="H13818"/>
      <c r="I13818"/>
    </row>
    <row r="13819" spans="6:9" x14ac:dyDescent="0.3">
      <c r="F13819"/>
      <c r="G13819"/>
      <c r="H13819"/>
      <c r="I13819"/>
    </row>
    <row r="13820" spans="6:9" x14ac:dyDescent="0.3">
      <c r="F13820"/>
      <c r="G13820"/>
      <c r="H13820"/>
      <c r="I13820"/>
    </row>
    <row r="13821" spans="6:9" x14ac:dyDescent="0.3">
      <c r="F13821"/>
      <c r="G13821"/>
      <c r="H13821"/>
      <c r="I13821"/>
    </row>
    <row r="13822" spans="6:9" x14ac:dyDescent="0.3">
      <c r="F13822"/>
      <c r="G13822"/>
      <c r="H13822"/>
      <c r="I13822"/>
    </row>
    <row r="13823" spans="6:9" x14ac:dyDescent="0.3">
      <c r="F13823"/>
      <c r="G13823"/>
      <c r="H13823"/>
      <c r="I13823"/>
    </row>
    <row r="13824" spans="6:9" x14ac:dyDescent="0.3">
      <c r="F13824"/>
      <c r="G13824"/>
      <c r="H13824"/>
      <c r="I13824"/>
    </row>
    <row r="13825" spans="6:9" x14ac:dyDescent="0.3">
      <c r="F13825"/>
      <c r="G13825"/>
      <c r="H13825"/>
      <c r="I13825"/>
    </row>
    <row r="13826" spans="6:9" x14ac:dyDescent="0.3">
      <c r="F13826"/>
      <c r="G13826"/>
      <c r="H13826"/>
      <c r="I13826"/>
    </row>
    <row r="13827" spans="6:9" x14ac:dyDescent="0.3">
      <c r="F13827"/>
      <c r="G13827"/>
      <c r="H13827"/>
      <c r="I13827"/>
    </row>
    <row r="13828" spans="6:9" x14ac:dyDescent="0.3">
      <c r="F13828"/>
      <c r="G13828"/>
      <c r="H13828"/>
      <c r="I13828"/>
    </row>
    <row r="13829" spans="6:9" x14ac:dyDescent="0.3">
      <c r="F13829"/>
      <c r="G13829"/>
      <c r="H13829"/>
      <c r="I13829"/>
    </row>
    <row r="13830" spans="6:9" x14ac:dyDescent="0.3">
      <c r="F13830"/>
      <c r="G13830"/>
      <c r="H13830"/>
      <c r="I13830"/>
    </row>
    <row r="13831" spans="6:9" x14ac:dyDescent="0.3">
      <c r="F13831"/>
      <c r="G13831"/>
      <c r="H13831"/>
      <c r="I13831"/>
    </row>
    <row r="13832" spans="6:9" x14ac:dyDescent="0.3">
      <c r="F13832"/>
      <c r="G13832"/>
      <c r="H13832"/>
      <c r="I13832"/>
    </row>
    <row r="13833" spans="6:9" x14ac:dyDescent="0.3">
      <c r="F13833"/>
      <c r="G13833"/>
      <c r="H13833"/>
      <c r="I13833"/>
    </row>
    <row r="13834" spans="6:9" x14ac:dyDescent="0.3">
      <c r="F13834"/>
      <c r="G13834"/>
      <c r="H13834"/>
      <c r="I13834"/>
    </row>
    <row r="13835" spans="6:9" x14ac:dyDescent="0.3">
      <c r="F13835"/>
      <c r="G13835"/>
      <c r="H13835"/>
      <c r="I13835"/>
    </row>
    <row r="13836" spans="6:9" x14ac:dyDescent="0.3">
      <c r="F13836"/>
      <c r="G13836"/>
      <c r="H13836"/>
      <c r="I13836"/>
    </row>
    <row r="13837" spans="6:9" x14ac:dyDescent="0.3">
      <c r="F13837"/>
      <c r="G13837"/>
      <c r="H13837"/>
      <c r="I13837"/>
    </row>
    <row r="13838" spans="6:9" x14ac:dyDescent="0.3">
      <c r="F13838"/>
      <c r="G13838"/>
      <c r="H13838"/>
      <c r="I13838"/>
    </row>
    <row r="13839" spans="6:9" x14ac:dyDescent="0.3">
      <c r="F13839"/>
      <c r="G13839"/>
      <c r="H13839"/>
      <c r="I13839"/>
    </row>
    <row r="13840" spans="6:9" x14ac:dyDescent="0.3">
      <c r="F13840"/>
      <c r="G13840"/>
      <c r="H13840"/>
      <c r="I13840"/>
    </row>
    <row r="13841" spans="6:9" x14ac:dyDescent="0.3">
      <c r="F13841"/>
      <c r="G13841"/>
      <c r="H13841"/>
      <c r="I13841"/>
    </row>
    <row r="13842" spans="6:9" x14ac:dyDescent="0.3">
      <c r="F13842"/>
      <c r="G13842"/>
      <c r="H13842"/>
      <c r="I13842"/>
    </row>
    <row r="13843" spans="6:9" x14ac:dyDescent="0.3">
      <c r="F13843"/>
      <c r="G13843"/>
      <c r="H13843"/>
      <c r="I13843"/>
    </row>
    <row r="13844" spans="6:9" x14ac:dyDescent="0.3">
      <c r="F13844"/>
      <c r="G13844"/>
      <c r="H13844"/>
      <c r="I13844"/>
    </row>
    <row r="13845" spans="6:9" x14ac:dyDescent="0.3">
      <c r="F13845"/>
      <c r="G13845"/>
      <c r="H13845"/>
      <c r="I13845"/>
    </row>
    <row r="13846" spans="6:9" x14ac:dyDescent="0.3">
      <c r="F13846"/>
      <c r="G13846"/>
      <c r="H13846"/>
      <c r="I13846"/>
    </row>
    <row r="13847" spans="6:9" x14ac:dyDescent="0.3">
      <c r="F13847"/>
      <c r="G13847"/>
      <c r="H13847"/>
      <c r="I13847"/>
    </row>
    <row r="13848" spans="6:9" x14ac:dyDescent="0.3">
      <c r="F13848"/>
      <c r="G13848"/>
      <c r="H13848"/>
      <c r="I13848"/>
    </row>
    <row r="13849" spans="6:9" x14ac:dyDescent="0.3">
      <c r="F13849"/>
      <c r="G13849"/>
      <c r="H13849"/>
      <c r="I13849"/>
    </row>
    <row r="13850" spans="6:9" x14ac:dyDescent="0.3">
      <c r="F13850"/>
      <c r="G13850"/>
      <c r="H13850"/>
      <c r="I13850"/>
    </row>
    <row r="13851" spans="6:9" x14ac:dyDescent="0.3">
      <c r="F13851"/>
      <c r="G13851"/>
      <c r="H13851"/>
      <c r="I13851"/>
    </row>
    <row r="13852" spans="6:9" x14ac:dyDescent="0.3">
      <c r="F13852"/>
      <c r="G13852"/>
      <c r="H13852"/>
      <c r="I13852"/>
    </row>
    <row r="13853" spans="6:9" x14ac:dyDescent="0.3">
      <c r="F13853"/>
      <c r="G13853"/>
      <c r="H13853"/>
      <c r="I13853"/>
    </row>
    <row r="13854" spans="6:9" x14ac:dyDescent="0.3">
      <c r="F13854"/>
      <c r="G13854"/>
      <c r="H13854"/>
      <c r="I13854"/>
    </row>
    <row r="13855" spans="6:9" x14ac:dyDescent="0.3">
      <c r="F13855"/>
      <c r="G13855"/>
      <c r="H13855"/>
      <c r="I13855"/>
    </row>
    <row r="13856" spans="6:9" x14ac:dyDescent="0.3">
      <c r="F13856"/>
      <c r="G13856"/>
      <c r="H13856"/>
      <c r="I13856"/>
    </row>
    <row r="13857" spans="6:9" x14ac:dyDescent="0.3">
      <c r="F13857"/>
      <c r="G13857"/>
      <c r="H13857"/>
      <c r="I13857"/>
    </row>
    <row r="13858" spans="6:9" x14ac:dyDescent="0.3">
      <c r="F13858"/>
      <c r="G13858"/>
      <c r="H13858"/>
      <c r="I13858"/>
    </row>
    <row r="13859" spans="6:9" x14ac:dyDescent="0.3">
      <c r="F13859"/>
      <c r="G13859"/>
      <c r="H13859"/>
      <c r="I13859"/>
    </row>
    <row r="13860" spans="6:9" x14ac:dyDescent="0.3">
      <c r="F13860"/>
      <c r="G13860"/>
      <c r="H13860"/>
      <c r="I13860"/>
    </row>
    <row r="13861" spans="6:9" x14ac:dyDescent="0.3">
      <c r="F13861"/>
      <c r="G13861"/>
      <c r="H13861"/>
      <c r="I13861"/>
    </row>
    <row r="13862" spans="6:9" x14ac:dyDescent="0.3">
      <c r="F13862"/>
      <c r="G13862"/>
      <c r="H13862"/>
      <c r="I13862"/>
    </row>
    <row r="13863" spans="6:9" x14ac:dyDescent="0.3">
      <c r="F13863"/>
      <c r="G13863"/>
      <c r="H13863"/>
      <c r="I13863"/>
    </row>
    <row r="13864" spans="6:9" x14ac:dyDescent="0.3">
      <c r="F13864"/>
      <c r="G13864"/>
      <c r="H13864"/>
      <c r="I13864"/>
    </row>
    <row r="13865" spans="6:9" x14ac:dyDescent="0.3">
      <c r="F13865"/>
      <c r="G13865"/>
      <c r="H13865"/>
      <c r="I13865"/>
    </row>
    <row r="13866" spans="6:9" x14ac:dyDescent="0.3">
      <c r="F13866"/>
      <c r="G13866"/>
      <c r="H13866"/>
      <c r="I13866"/>
    </row>
    <row r="13867" spans="6:9" x14ac:dyDescent="0.3">
      <c r="F13867"/>
      <c r="G13867"/>
      <c r="H13867"/>
      <c r="I13867"/>
    </row>
    <row r="13868" spans="6:9" x14ac:dyDescent="0.3">
      <c r="F13868"/>
      <c r="G13868"/>
      <c r="H13868"/>
      <c r="I13868"/>
    </row>
    <row r="13869" spans="6:9" x14ac:dyDescent="0.3">
      <c r="F13869"/>
      <c r="G13869"/>
      <c r="H13869"/>
      <c r="I13869"/>
    </row>
    <row r="13870" spans="6:9" x14ac:dyDescent="0.3">
      <c r="F13870"/>
      <c r="G13870"/>
      <c r="H13870"/>
      <c r="I13870"/>
    </row>
    <row r="13871" spans="6:9" x14ac:dyDescent="0.3">
      <c r="F13871"/>
      <c r="G13871"/>
      <c r="H13871"/>
      <c r="I13871"/>
    </row>
    <row r="13872" spans="6:9" x14ac:dyDescent="0.3">
      <c r="F13872"/>
      <c r="G13872"/>
      <c r="H13872"/>
      <c r="I13872"/>
    </row>
    <row r="13873" spans="6:9" x14ac:dyDescent="0.3">
      <c r="F13873"/>
      <c r="G13873"/>
      <c r="H13873"/>
      <c r="I13873"/>
    </row>
    <row r="13874" spans="6:9" x14ac:dyDescent="0.3">
      <c r="F13874"/>
      <c r="G13874"/>
      <c r="H13874"/>
      <c r="I13874"/>
    </row>
    <row r="13875" spans="6:9" x14ac:dyDescent="0.3">
      <c r="F13875"/>
      <c r="G13875"/>
      <c r="H13875"/>
      <c r="I13875"/>
    </row>
    <row r="13876" spans="6:9" x14ac:dyDescent="0.3">
      <c r="F13876"/>
      <c r="G13876"/>
      <c r="H13876"/>
      <c r="I13876"/>
    </row>
    <row r="13877" spans="6:9" x14ac:dyDescent="0.3">
      <c r="F13877"/>
      <c r="G13877"/>
      <c r="H13877"/>
      <c r="I13877"/>
    </row>
    <row r="13878" spans="6:9" x14ac:dyDescent="0.3">
      <c r="F13878"/>
      <c r="G13878"/>
      <c r="H13878"/>
      <c r="I13878"/>
    </row>
    <row r="13879" spans="6:9" x14ac:dyDescent="0.3">
      <c r="F13879"/>
      <c r="G13879"/>
      <c r="H13879"/>
      <c r="I13879"/>
    </row>
    <row r="13880" spans="6:9" x14ac:dyDescent="0.3">
      <c r="F13880"/>
      <c r="G13880"/>
      <c r="H13880"/>
      <c r="I13880"/>
    </row>
    <row r="13881" spans="6:9" x14ac:dyDescent="0.3">
      <c r="F13881"/>
      <c r="G13881"/>
      <c r="H13881"/>
      <c r="I13881"/>
    </row>
    <row r="13882" spans="6:9" x14ac:dyDescent="0.3">
      <c r="F13882"/>
      <c r="G13882"/>
      <c r="H13882"/>
      <c r="I13882"/>
    </row>
    <row r="13883" spans="6:9" x14ac:dyDescent="0.3">
      <c r="F13883"/>
      <c r="G13883"/>
      <c r="H13883"/>
      <c r="I13883"/>
    </row>
    <row r="13884" spans="6:9" x14ac:dyDescent="0.3">
      <c r="F13884"/>
      <c r="G13884"/>
      <c r="H13884"/>
      <c r="I13884"/>
    </row>
    <row r="13885" spans="6:9" x14ac:dyDescent="0.3">
      <c r="F13885"/>
      <c r="G13885"/>
      <c r="H13885"/>
      <c r="I13885"/>
    </row>
    <row r="13886" spans="6:9" x14ac:dyDescent="0.3">
      <c r="F13886"/>
      <c r="G13886"/>
      <c r="H13886"/>
      <c r="I13886"/>
    </row>
    <row r="13887" spans="6:9" x14ac:dyDescent="0.3">
      <c r="F13887"/>
      <c r="G13887"/>
      <c r="H13887"/>
      <c r="I13887"/>
    </row>
    <row r="13888" spans="6:9" x14ac:dyDescent="0.3">
      <c r="F13888"/>
      <c r="G13888"/>
      <c r="H13888"/>
      <c r="I13888"/>
    </row>
    <row r="13889" spans="6:9" x14ac:dyDescent="0.3">
      <c r="F13889"/>
      <c r="G13889"/>
      <c r="H13889"/>
      <c r="I13889"/>
    </row>
    <row r="13890" spans="6:9" x14ac:dyDescent="0.3">
      <c r="F13890"/>
      <c r="G13890"/>
      <c r="H13890"/>
      <c r="I13890"/>
    </row>
    <row r="13891" spans="6:9" x14ac:dyDescent="0.3">
      <c r="F13891"/>
      <c r="G13891"/>
      <c r="H13891"/>
      <c r="I13891"/>
    </row>
    <row r="13892" spans="6:9" x14ac:dyDescent="0.3">
      <c r="F13892"/>
      <c r="G13892"/>
      <c r="H13892"/>
      <c r="I13892"/>
    </row>
    <row r="13893" spans="6:9" x14ac:dyDescent="0.3">
      <c r="F13893"/>
      <c r="G13893"/>
      <c r="H13893"/>
      <c r="I13893"/>
    </row>
    <row r="13894" spans="6:9" x14ac:dyDescent="0.3">
      <c r="F13894"/>
      <c r="G13894"/>
      <c r="H13894"/>
      <c r="I13894"/>
    </row>
    <row r="13895" spans="6:9" x14ac:dyDescent="0.3">
      <c r="F13895"/>
      <c r="G13895"/>
      <c r="H13895"/>
      <c r="I13895"/>
    </row>
    <row r="13896" spans="6:9" x14ac:dyDescent="0.3">
      <c r="F13896"/>
      <c r="G13896"/>
      <c r="H13896"/>
      <c r="I13896"/>
    </row>
    <row r="13897" spans="6:9" x14ac:dyDescent="0.3">
      <c r="F13897"/>
      <c r="G13897"/>
      <c r="H13897"/>
      <c r="I13897"/>
    </row>
    <row r="13898" spans="6:9" x14ac:dyDescent="0.3">
      <c r="F13898"/>
      <c r="G13898"/>
      <c r="H13898"/>
      <c r="I13898"/>
    </row>
    <row r="13899" spans="6:9" x14ac:dyDescent="0.3">
      <c r="F13899"/>
      <c r="G13899"/>
      <c r="H13899"/>
      <c r="I13899"/>
    </row>
    <row r="13900" spans="6:9" x14ac:dyDescent="0.3">
      <c r="F13900"/>
      <c r="G13900"/>
      <c r="H13900"/>
      <c r="I13900"/>
    </row>
    <row r="13901" spans="6:9" x14ac:dyDescent="0.3">
      <c r="F13901"/>
      <c r="G13901"/>
      <c r="H13901"/>
      <c r="I13901"/>
    </row>
    <row r="13902" spans="6:9" x14ac:dyDescent="0.3">
      <c r="F13902"/>
      <c r="G13902"/>
      <c r="H13902"/>
      <c r="I13902"/>
    </row>
    <row r="13903" spans="6:9" x14ac:dyDescent="0.3">
      <c r="F13903"/>
      <c r="G13903"/>
      <c r="H13903"/>
      <c r="I13903"/>
    </row>
    <row r="13904" spans="6:9" x14ac:dyDescent="0.3">
      <c r="F13904"/>
      <c r="G13904"/>
      <c r="H13904"/>
      <c r="I13904"/>
    </row>
    <row r="13905" spans="6:9" x14ac:dyDescent="0.3">
      <c r="F13905"/>
      <c r="G13905"/>
      <c r="H13905"/>
      <c r="I13905"/>
    </row>
    <row r="13906" spans="6:9" x14ac:dyDescent="0.3">
      <c r="F13906"/>
      <c r="G13906"/>
      <c r="H13906"/>
      <c r="I13906"/>
    </row>
    <row r="13907" spans="6:9" x14ac:dyDescent="0.3">
      <c r="F13907"/>
      <c r="G13907"/>
      <c r="H13907"/>
      <c r="I13907"/>
    </row>
    <row r="13908" spans="6:9" x14ac:dyDescent="0.3">
      <c r="F13908"/>
      <c r="G13908"/>
      <c r="H13908"/>
      <c r="I13908"/>
    </row>
    <row r="13909" spans="6:9" x14ac:dyDescent="0.3">
      <c r="F13909"/>
      <c r="G13909"/>
      <c r="H13909"/>
      <c r="I13909"/>
    </row>
    <row r="13910" spans="6:9" x14ac:dyDescent="0.3">
      <c r="F13910"/>
      <c r="G13910"/>
      <c r="H13910"/>
      <c r="I13910"/>
    </row>
    <row r="13911" spans="6:9" x14ac:dyDescent="0.3">
      <c r="F13911"/>
      <c r="G13911"/>
      <c r="H13911"/>
      <c r="I13911"/>
    </row>
    <row r="13912" spans="6:9" x14ac:dyDescent="0.3">
      <c r="F13912"/>
      <c r="G13912"/>
      <c r="H13912"/>
      <c r="I13912"/>
    </row>
    <row r="13913" spans="6:9" x14ac:dyDescent="0.3">
      <c r="F13913"/>
      <c r="G13913"/>
      <c r="H13913"/>
      <c r="I13913"/>
    </row>
    <row r="13914" spans="6:9" x14ac:dyDescent="0.3">
      <c r="F13914"/>
      <c r="G13914"/>
      <c r="H13914"/>
      <c r="I13914"/>
    </row>
    <row r="13915" spans="6:9" x14ac:dyDescent="0.3">
      <c r="F13915"/>
      <c r="G13915"/>
      <c r="H13915"/>
      <c r="I13915"/>
    </row>
    <row r="13916" spans="6:9" x14ac:dyDescent="0.3">
      <c r="F13916"/>
      <c r="G13916"/>
      <c r="H13916"/>
      <c r="I13916"/>
    </row>
    <row r="13917" spans="6:9" x14ac:dyDescent="0.3">
      <c r="F13917"/>
      <c r="G13917"/>
      <c r="H13917"/>
      <c r="I13917"/>
    </row>
    <row r="13918" spans="6:9" x14ac:dyDescent="0.3">
      <c r="F13918"/>
      <c r="G13918"/>
      <c r="H13918"/>
      <c r="I13918"/>
    </row>
    <row r="13919" spans="6:9" x14ac:dyDescent="0.3">
      <c r="F13919"/>
      <c r="G13919"/>
      <c r="H13919"/>
      <c r="I13919"/>
    </row>
    <row r="13920" spans="6:9" x14ac:dyDescent="0.3">
      <c r="F13920"/>
      <c r="G13920"/>
      <c r="H13920"/>
      <c r="I13920"/>
    </row>
    <row r="13921" spans="6:9" x14ac:dyDescent="0.3">
      <c r="F13921"/>
      <c r="G13921"/>
      <c r="H13921"/>
      <c r="I13921"/>
    </row>
    <row r="13922" spans="6:9" x14ac:dyDescent="0.3">
      <c r="F13922"/>
      <c r="G13922"/>
      <c r="H13922"/>
      <c r="I13922"/>
    </row>
    <row r="13923" spans="6:9" x14ac:dyDescent="0.3">
      <c r="F13923"/>
      <c r="G13923"/>
      <c r="H13923"/>
      <c r="I13923"/>
    </row>
    <row r="13924" spans="6:9" x14ac:dyDescent="0.3">
      <c r="F13924"/>
      <c r="G13924"/>
      <c r="H13924"/>
      <c r="I13924"/>
    </row>
    <row r="13925" spans="6:9" x14ac:dyDescent="0.3">
      <c r="F13925"/>
      <c r="G13925"/>
      <c r="H13925"/>
      <c r="I13925"/>
    </row>
    <row r="13926" spans="6:9" x14ac:dyDescent="0.3">
      <c r="F13926"/>
      <c r="G13926"/>
      <c r="H13926"/>
      <c r="I13926"/>
    </row>
    <row r="13927" spans="6:9" x14ac:dyDescent="0.3">
      <c r="F13927"/>
      <c r="G13927"/>
      <c r="H13927"/>
      <c r="I13927"/>
    </row>
    <row r="13928" spans="6:9" x14ac:dyDescent="0.3">
      <c r="F13928"/>
      <c r="G13928"/>
      <c r="H13928"/>
      <c r="I13928"/>
    </row>
    <row r="13929" spans="6:9" x14ac:dyDescent="0.3">
      <c r="F13929"/>
      <c r="G13929"/>
      <c r="H13929"/>
      <c r="I13929"/>
    </row>
    <row r="13930" spans="6:9" x14ac:dyDescent="0.3">
      <c r="F13930"/>
      <c r="G13930"/>
      <c r="H13930"/>
      <c r="I13930"/>
    </row>
    <row r="13931" spans="6:9" x14ac:dyDescent="0.3">
      <c r="F13931"/>
      <c r="G13931"/>
      <c r="H13931"/>
      <c r="I13931"/>
    </row>
    <row r="13932" spans="6:9" x14ac:dyDescent="0.3">
      <c r="F13932"/>
      <c r="G13932"/>
      <c r="H13932"/>
      <c r="I13932"/>
    </row>
    <row r="13933" spans="6:9" x14ac:dyDescent="0.3">
      <c r="F13933"/>
      <c r="G13933"/>
      <c r="H13933"/>
      <c r="I13933"/>
    </row>
    <row r="13934" spans="6:9" x14ac:dyDescent="0.3">
      <c r="F13934"/>
      <c r="G13934"/>
      <c r="H13934"/>
      <c r="I13934"/>
    </row>
    <row r="13935" spans="6:9" x14ac:dyDescent="0.3">
      <c r="F13935"/>
      <c r="G13935"/>
      <c r="H13935"/>
      <c r="I13935"/>
    </row>
    <row r="13936" spans="6:9" x14ac:dyDescent="0.3">
      <c r="F13936"/>
      <c r="G13936"/>
      <c r="H13936"/>
      <c r="I13936"/>
    </row>
    <row r="13937" spans="6:9" x14ac:dyDescent="0.3">
      <c r="F13937"/>
      <c r="G13937"/>
      <c r="H13937"/>
      <c r="I13937"/>
    </row>
    <row r="13938" spans="6:9" x14ac:dyDescent="0.3">
      <c r="F13938"/>
      <c r="G13938"/>
      <c r="H13938"/>
      <c r="I13938"/>
    </row>
    <row r="13939" spans="6:9" x14ac:dyDescent="0.3">
      <c r="F13939"/>
      <c r="G13939"/>
      <c r="H13939"/>
      <c r="I13939"/>
    </row>
    <row r="13940" spans="6:9" x14ac:dyDescent="0.3">
      <c r="F13940"/>
      <c r="G13940"/>
      <c r="H13940"/>
      <c r="I13940"/>
    </row>
    <row r="13941" spans="6:9" x14ac:dyDescent="0.3">
      <c r="F13941"/>
      <c r="G13941"/>
      <c r="H13941"/>
      <c r="I13941"/>
    </row>
    <row r="13942" spans="6:9" x14ac:dyDescent="0.3">
      <c r="F13942"/>
      <c r="G13942"/>
      <c r="H13942"/>
      <c r="I13942"/>
    </row>
    <row r="13943" spans="6:9" x14ac:dyDescent="0.3">
      <c r="F13943"/>
      <c r="G13943"/>
      <c r="H13943"/>
      <c r="I13943"/>
    </row>
    <row r="13944" spans="6:9" x14ac:dyDescent="0.3">
      <c r="F13944"/>
      <c r="G13944"/>
      <c r="H13944"/>
      <c r="I13944"/>
    </row>
    <row r="13945" spans="6:9" x14ac:dyDescent="0.3">
      <c r="F13945"/>
      <c r="G13945"/>
      <c r="H13945"/>
      <c r="I13945"/>
    </row>
    <row r="13946" spans="6:9" x14ac:dyDescent="0.3">
      <c r="F13946"/>
      <c r="G13946"/>
      <c r="H13946"/>
      <c r="I13946"/>
    </row>
    <row r="13947" spans="6:9" x14ac:dyDescent="0.3">
      <c r="F13947"/>
      <c r="G13947"/>
      <c r="H13947"/>
      <c r="I13947"/>
    </row>
    <row r="13948" spans="6:9" x14ac:dyDescent="0.3">
      <c r="F13948"/>
      <c r="G13948"/>
      <c r="H13948"/>
      <c r="I13948"/>
    </row>
    <row r="13949" spans="6:9" x14ac:dyDescent="0.3">
      <c r="F13949"/>
      <c r="G13949"/>
      <c r="H13949"/>
      <c r="I13949"/>
    </row>
    <row r="13950" spans="6:9" x14ac:dyDescent="0.3">
      <c r="F13950"/>
      <c r="G13950"/>
      <c r="H13950"/>
      <c r="I13950"/>
    </row>
    <row r="13951" spans="6:9" x14ac:dyDescent="0.3">
      <c r="F13951"/>
      <c r="G13951"/>
      <c r="H13951"/>
      <c r="I13951"/>
    </row>
    <row r="13952" spans="6:9" x14ac:dyDescent="0.3">
      <c r="F13952"/>
      <c r="G13952"/>
      <c r="H13952"/>
      <c r="I13952"/>
    </row>
    <row r="13953" spans="6:9" x14ac:dyDescent="0.3">
      <c r="F13953"/>
      <c r="G13953"/>
      <c r="H13953"/>
      <c r="I13953"/>
    </row>
    <row r="13954" spans="6:9" x14ac:dyDescent="0.3">
      <c r="F13954"/>
      <c r="G13954"/>
      <c r="H13954"/>
      <c r="I13954"/>
    </row>
    <row r="13955" spans="6:9" x14ac:dyDescent="0.3">
      <c r="F13955"/>
      <c r="G13955"/>
      <c r="H13955"/>
      <c r="I13955"/>
    </row>
    <row r="13956" spans="6:9" x14ac:dyDescent="0.3">
      <c r="F13956"/>
      <c r="G13956"/>
      <c r="H13956"/>
      <c r="I13956"/>
    </row>
    <row r="13957" spans="6:9" x14ac:dyDescent="0.3">
      <c r="F13957"/>
      <c r="G13957"/>
      <c r="H13957"/>
      <c r="I13957"/>
    </row>
    <row r="13958" spans="6:9" x14ac:dyDescent="0.3">
      <c r="F13958"/>
      <c r="G13958"/>
      <c r="H13958"/>
      <c r="I13958"/>
    </row>
    <row r="13959" spans="6:9" x14ac:dyDescent="0.3">
      <c r="F13959"/>
      <c r="G13959"/>
      <c r="H13959"/>
      <c r="I13959"/>
    </row>
    <row r="13960" spans="6:9" x14ac:dyDescent="0.3">
      <c r="F13960"/>
      <c r="G13960"/>
      <c r="H13960"/>
      <c r="I13960"/>
    </row>
    <row r="13961" spans="6:9" x14ac:dyDescent="0.3">
      <c r="F13961"/>
      <c r="G13961"/>
      <c r="H13961"/>
      <c r="I13961"/>
    </row>
    <row r="13962" spans="6:9" x14ac:dyDescent="0.3">
      <c r="F13962"/>
      <c r="G13962"/>
      <c r="H13962"/>
      <c r="I13962"/>
    </row>
    <row r="13963" spans="6:9" x14ac:dyDescent="0.3">
      <c r="F13963"/>
      <c r="G13963"/>
      <c r="H13963"/>
      <c r="I13963"/>
    </row>
    <row r="13964" spans="6:9" x14ac:dyDescent="0.3">
      <c r="F13964"/>
      <c r="G13964"/>
      <c r="H13964"/>
      <c r="I13964"/>
    </row>
    <row r="13965" spans="6:9" x14ac:dyDescent="0.3">
      <c r="F13965"/>
      <c r="G13965"/>
      <c r="H13965"/>
      <c r="I13965"/>
    </row>
    <row r="13966" spans="6:9" x14ac:dyDescent="0.3">
      <c r="F13966"/>
      <c r="G13966"/>
      <c r="H13966"/>
      <c r="I13966"/>
    </row>
    <row r="13967" spans="6:9" x14ac:dyDescent="0.3">
      <c r="F13967"/>
      <c r="G13967"/>
      <c r="H13967"/>
      <c r="I13967"/>
    </row>
    <row r="13968" spans="6:9" x14ac:dyDescent="0.3">
      <c r="F13968"/>
      <c r="G13968"/>
      <c r="H13968"/>
      <c r="I13968"/>
    </row>
    <row r="13969" spans="6:9" x14ac:dyDescent="0.3">
      <c r="F13969"/>
      <c r="G13969"/>
      <c r="H13969"/>
      <c r="I13969"/>
    </row>
    <row r="13970" spans="6:9" x14ac:dyDescent="0.3">
      <c r="F13970"/>
      <c r="G13970"/>
      <c r="H13970"/>
      <c r="I13970"/>
    </row>
    <row r="13971" spans="6:9" x14ac:dyDescent="0.3">
      <c r="F13971"/>
      <c r="G13971"/>
      <c r="H13971"/>
      <c r="I13971"/>
    </row>
    <row r="13972" spans="6:9" x14ac:dyDescent="0.3">
      <c r="F13972"/>
      <c r="G13972"/>
      <c r="H13972"/>
      <c r="I13972"/>
    </row>
    <row r="13973" spans="6:9" x14ac:dyDescent="0.3">
      <c r="F13973"/>
      <c r="G13973"/>
      <c r="H13973"/>
      <c r="I13973"/>
    </row>
    <row r="13974" spans="6:9" x14ac:dyDescent="0.3">
      <c r="F13974"/>
      <c r="G13974"/>
      <c r="H13974"/>
      <c r="I13974"/>
    </row>
    <row r="13975" spans="6:9" x14ac:dyDescent="0.3">
      <c r="F13975"/>
      <c r="G13975"/>
      <c r="H13975"/>
      <c r="I13975"/>
    </row>
    <row r="13976" spans="6:9" x14ac:dyDescent="0.3">
      <c r="F13976"/>
      <c r="G13976"/>
      <c r="H13976"/>
      <c r="I13976"/>
    </row>
    <row r="13977" spans="6:9" x14ac:dyDescent="0.3">
      <c r="F13977"/>
      <c r="G13977"/>
      <c r="H13977"/>
      <c r="I13977"/>
    </row>
    <row r="13978" spans="6:9" x14ac:dyDescent="0.3">
      <c r="F13978"/>
      <c r="G13978"/>
      <c r="H13978"/>
      <c r="I13978"/>
    </row>
    <row r="13979" spans="6:9" x14ac:dyDescent="0.3">
      <c r="F13979"/>
      <c r="G13979"/>
      <c r="H13979"/>
      <c r="I13979"/>
    </row>
    <row r="13980" spans="6:9" x14ac:dyDescent="0.3">
      <c r="F13980"/>
      <c r="G13980"/>
      <c r="H13980"/>
      <c r="I13980"/>
    </row>
    <row r="13981" spans="6:9" x14ac:dyDescent="0.3">
      <c r="F13981"/>
      <c r="G13981"/>
      <c r="H13981"/>
      <c r="I13981"/>
    </row>
    <row r="13982" spans="6:9" x14ac:dyDescent="0.3">
      <c r="F13982"/>
      <c r="G13982"/>
      <c r="H13982"/>
      <c r="I13982"/>
    </row>
    <row r="13983" spans="6:9" x14ac:dyDescent="0.3">
      <c r="F13983"/>
      <c r="G13983"/>
      <c r="H13983"/>
      <c r="I13983"/>
    </row>
    <row r="13984" spans="6:9" x14ac:dyDescent="0.3">
      <c r="F13984"/>
      <c r="G13984"/>
      <c r="H13984"/>
      <c r="I13984"/>
    </row>
    <row r="13985" spans="6:9" x14ac:dyDescent="0.3">
      <c r="F13985"/>
      <c r="G13985"/>
      <c r="H13985"/>
      <c r="I13985"/>
    </row>
    <row r="13986" spans="6:9" x14ac:dyDescent="0.3">
      <c r="F13986"/>
      <c r="G13986"/>
      <c r="H13986"/>
      <c r="I13986"/>
    </row>
    <row r="13987" spans="6:9" x14ac:dyDescent="0.3">
      <c r="F13987"/>
      <c r="G13987"/>
      <c r="H13987"/>
      <c r="I13987"/>
    </row>
    <row r="13988" spans="6:9" x14ac:dyDescent="0.3">
      <c r="F13988"/>
      <c r="G13988"/>
      <c r="H13988"/>
      <c r="I13988"/>
    </row>
    <row r="13989" spans="6:9" x14ac:dyDescent="0.3">
      <c r="F13989"/>
      <c r="G13989"/>
      <c r="H13989"/>
      <c r="I13989"/>
    </row>
    <row r="13990" spans="6:9" x14ac:dyDescent="0.3">
      <c r="F13990"/>
      <c r="G13990"/>
      <c r="H13990"/>
      <c r="I13990"/>
    </row>
    <row r="13991" spans="6:9" x14ac:dyDescent="0.3">
      <c r="F13991"/>
      <c r="G13991"/>
      <c r="H13991"/>
      <c r="I13991"/>
    </row>
    <row r="13992" spans="6:9" x14ac:dyDescent="0.3">
      <c r="F13992"/>
      <c r="G13992"/>
      <c r="H13992"/>
      <c r="I13992"/>
    </row>
    <row r="13993" spans="6:9" x14ac:dyDescent="0.3">
      <c r="F13993"/>
      <c r="G13993"/>
      <c r="H13993"/>
      <c r="I13993"/>
    </row>
    <row r="13994" spans="6:9" x14ac:dyDescent="0.3">
      <c r="F13994"/>
      <c r="G13994"/>
      <c r="H13994"/>
      <c r="I13994"/>
    </row>
    <row r="13995" spans="6:9" x14ac:dyDescent="0.3">
      <c r="F13995"/>
      <c r="G13995"/>
      <c r="H13995"/>
      <c r="I13995"/>
    </row>
    <row r="13996" spans="6:9" x14ac:dyDescent="0.3">
      <c r="F13996"/>
      <c r="G13996"/>
      <c r="H13996"/>
      <c r="I13996"/>
    </row>
    <row r="13997" spans="6:9" x14ac:dyDescent="0.3">
      <c r="F13997"/>
      <c r="G13997"/>
      <c r="H13997"/>
      <c r="I13997"/>
    </row>
    <row r="13998" spans="6:9" x14ac:dyDescent="0.3">
      <c r="F13998"/>
      <c r="G13998"/>
      <c r="H13998"/>
      <c r="I13998"/>
    </row>
    <row r="13999" spans="6:9" x14ac:dyDescent="0.3">
      <c r="F13999"/>
      <c r="G13999"/>
      <c r="H13999"/>
      <c r="I13999"/>
    </row>
    <row r="14000" spans="6:9" x14ac:dyDescent="0.3">
      <c r="F14000"/>
      <c r="G14000"/>
      <c r="H14000"/>
      <c r="I14000"/>
    </row>
    <row r="14001" spans="6:9" x14ac:dyDescent="0.3">
      <c r="F14001"/>
      <c r="G14001"/>
      <c r="H14001"/>
      <c r="I14001"/>
    </row>
    <row r="14002" spans="6:9" x14ac:dyDescent="0.3">
      <c r="F14002"/>
      <c r="G14002"/>
      <c r="H14002"/>
      <c r="I14002"/>
    </row>
    <row r="14003" spans="6:9" x14ac:dyDescent="0.3">
      <c r="F14003"/>
      <c r="G14003"/>
      <c r="H14003"/>
      <c r="I14003"/>
    </row>
    <row r="14004" spans="6:9" x14ac:dyDescent="0.3">
      <c r="F14004"/>
      <c r="G14004"/>
      <c r="H14004"/>
      <c r="I14004"/>
    </row>
    <row r="14005" spans="6:9" x14ac:dyDescent="0.3">
      <c r="F14005"/>
      <c r="G14005"/>
      <c r="H14005"/>
      <c r="I14005"/>
    </row>
    <row r="14006" spans="6:9" x14ac:dyDescent="0.3">
      <c r="F14006"/>
      <c r="G14006"/>
      <c r="H14006"/>
      <c r="I14006"/>
    </row>
    <row r="14007" spans="6:9" x14ac:dyDescent="0.3">
      <c r="F14007"/>
      <c r="G14007"/>
      <c r="H14007"/>
      <c r="I14007"/>
    </row>
    <row r="14008" spans="6:9" x14ac:dyDescent="0.3">
      <c r="F14008"/>
      <c r="G14008"/>
      <c r="H14008"/>
      <c r="I14008"/>
    </row>
    <row r="14009" spans="6:9" x14ac:dyDescent="0.3">
      <c r="F14009"/>
      <c r="G14009"/>
      <c r="H14009"/>
      <c r="I14009"/>
    </row>
    <row r="14010" spans="6:9" x14ac:dyDescent="0.3">
      <c r="F14010"/>
      <c r="G14010"/>
      <c r="H14010"/>
      <c r="I14010"/>
    </row>
    <row r="14011" spans="6:9" x14ac:dyDescent="0.3">
      <c r="F14011"/>
      <c r="G14011"/>
      <c r="H14011"/>
      <c r="I14011"/>
    </row>
    <row r="14012" spans="6:9" x14ac:dyDescent="0.3">
      <c r="F14012"/>
      <c r="G14012"/>
      <c r="H14012"/>
      <c r="I14012"/>
    </row>
    <row r="14013" spans="6:9" x14ac:dyDescent="0.3">
      <c r="F14013"/>
      <c r="G14013"/>
      <c r="H14013"/>
      <c r="I14013"/>
    </row>
    <row r="14014" spans="6:9" x14ac:dyDescent="0.3">
      <c r="F14014"/>
      <c r="G14014"/>
      <c r="H14014"/>
      <c r="I14014"/>
    </row>
    <row r="14015" spans="6:9" x14ac:dyDescent="0.3">
      <c r="F14015"/>
      <c r="G14015"/>
      <c r="H14015"/>
      <c r="I14015"/>
    </row>
    <row r="14016" spans="6:9" x14ac:dyDescent="0.3">
      <c r="F14016"/>
      <c r="G14016"/>
      <c r="H14016"/>
      <c r="I14016"/>
    </row>
    <row r="14017" spans="6:9" x14ac:dyDescent="0.3">
      <c r="F14017"/>
      <c r="G14017"/>
      <c r="H14017"/>
      <c r="I14017"/>
    </row>
    <row r="14018" spans="6:9" x14ac:dyDescent="0.3">
      <c r="F14018"/>
      <c r="G14018"/>
      <c r="H14018"/>
      <c r="I14018"/>
    </row>
    <row r="14019" spans="6:9" x14ac:dyDescent="0.3">
      <c r="F14019"/>
      <c r="G14019"/>
      <c r="H14019"/>
      <c r="I14019"/>
    </row>
    <row r="14020" spans="6:9" x14ac:dyDescent="0.3">
      <c r="F14020"/>
      <c r="G14020"/>
      <c r="H14020"/>
      <c r="I14020"/>
    </row>
    <row r="14021" spans="6:9" x14ac:dyDescent="0.3">
      <c r="F14021"/>
      <c r="G14021"/>
      <c r="H14021"/>
      <c r="I14021"/>
    </row>
    <row r="14022" spans="6:9" x14ac:dyDescent="0.3">
      <c r="F14022"/>
      <c r="G14022"/>
      <c r="H14022"/>
      <c r="I14022"/>
    </row>
    <row r="14023" spans="6:9" x14ac:dyDescent="0.3">
      <c r="F14023"/>
      <c r="G14023"/>
      <c r="H14023"/>
      <c r="I14023"/>
    </row>
    <row r="14024" spans="6:9" x14ac:dyDescent="0.3">
      <c r="F14024"/>
      <c r="G14024"/>
      <c r="H14024"/>
      <c r="I14024"/>
    </row>
    <row r="14025" spans="6:9" x14ac:dyDescent="0.3">
      <c r="F14025"/>
      <c r="G14025"/>
      <c r="H14025"/>
      <c r="I14025"/>
    </row>
    <row r="14026" spans="6:9" x14ac:dyDescent="0.3">
      <c r="F14026"/>
      <c r="G14026"/>
      <c r="H14026"/>
      <c r="I14026"/>
    </row>
    <row r="14027" spans="6:9" x14ac:dyDescent="0.3">
      <c r="F14027"/>
      <c r="G14027"/>
      <c r="H14027"/>
      <c r="I14027"/>
    </row>
    <row r="14028" spans="6:9" x14ac:dyDescent="0.3">
      <c r="F14028"/>
      <c r="G14028"/>
      <c r="H14028"/>
      <c r="I14028"/>
    </row>
    <row r="14029" spans="6:9" x14ac:dyDescent="0.3">
      <c r="F14029"/>
      <c r="G14029"/>
      <c r="H14029"/>
      <c r="I14029"/>
    </row>
    <row r="14030" spans="6:9" x14ac:dyDescent="0.3">
      <c r="F14030"/>
      <c r="G14030"/>
      <c r="H14030"/>
      <c r="I14030"/>
    </row>
    <row r="14031" spans="6:9" x14ac:dyDescent="0.3">
      <c r="F14031"/>
      <c r="G14031"/>
      <c r="H14031"/>
      <c r="I14031"/>
    </row>
    <row r="14032" spans="6:9" x14ac:dyDescent="0.3">
      <c r="F14032"/>
      <c r="G14032"/>
      <c r="H14032"/>
      <c r="I14032"/>
    </row>
    <row r="14033" spans="6:9" x14ac:dyDescent="0.3">
      <c r="F14033"/>
      <c r="G14033"/>
      <c r="H14033"/>
      <c r="I14033"/>
    </row>
    <row r="14034" spans="6:9" x14ac:dyDescent="0.3">
      <c r="F14034"/>
      <c r="G14034"/>
      <c r="H14034"/>
      <c r="I14034"/>
    </row>
    <row r="14035" spans="6:9" x14ac:dyDescent="0.3">
      <c r="F14035"/>
      <c r="G14035"/>
      <c r="H14035"/>
      <c r="I14035"/>
    </row>
    <row r="14036" spans="6:9" x14ac:dyDescent="0.3">
      <c r="F14036"/>
      <c r="G14036"/>
      <c r="H14036"/>
      <c r="I14036"/>
    </row>
    <row r="14037" spans="6:9" x14ac:dyDescent="0.3">
      <c r="F14037"/>
      <c r="G14037"/>
      <c r="H14037"/>
      <c r="I14037"/>
    </row>
    <row r="14038" spans="6:9" x14ac:dyDescent="0.3">
      <c r="F14038"/>
      <c r="G14038"/>
      <c r="H14038"/>
      <c r="I14038"/>
    </row>
    <row r="14039" spans="6:9" x14ac:dyDescent="0.3">
      <c r="F14039"/>
      <c r="G14039"/>
      <c r="H14039"/>
      <c r="I14039"/>
    </row>
    <row r="14040" spans="6:9" x14ac:dyDescent="0.3">
      <c r="F14040"/>
      <c r="G14040"/>
      <c r="H14040"/>
      <c r="I14040"/>
    </row>
    <row r="14041" spans="6:9" x14ac:dyDescent="0.3">
      <c r="F14041"/>
      <c r="G14041"/>
      <c r="H14041"/>
      <c r="I14041"/>
    </row>
    <row r="14042" spans="6:9" x14ac:dyDescent="0.3">
      <c r="F14042"/>
      <c r="G14042"/>
      <c r="H14042"/>
      <c r="I14042"/>
    </row>
    <row r="14043" spans="6:9" x14ac:dyDescent="0.3">
      <c r="F14043"/>
      <c r="G14043"/>
      <c r="H14043"/>
      <c r="I14043"/>
    </row>
    <row r="14044" spans="6:9" x14ac:dyDescent="0.3">
      <c r="F14044"/>
      <c r="G14044"/>
      <c r="H14044"/>
      <c r="I14044"/>
    </row>
    <row r="14045" spans="6:9" x14ac:dyDescent="0.3">
      <c r="F14045"/>
      <c r="G14045"/>
      <c r="H14045"/>
      <c r="I14045"/>
    </row>
    <row r="14046" spans="6:9" x14ac:dyDescent="0.3">
      <c r="F14046"/>
      <c r="G14046"/>
      <c r="H14046"/>
      <c r="I14046"/>
    </row>
    <row r="14047" spans="6:9" x14ac:dyDescent="0.3">
      <c r="F14047"/>
      <c r="G14047"/>
      <c r="H14047"/>
      <c r="I14047"/>
    </row>
    <row r="14048" spans="6:9" x14ac:dyDescent="0.3">
      <c r="F14048"/>
      <c r="G14048"/>
      <c r="H14048"/>
      <c r="I14048"/>
    </row>
    <row r="14049" spans="6:9" x14ac:dyDescent="0.3">
      <c r="F14049"/>
      <c r="G14049"/>
      <c r="H14049"/>
      <c r="I14049"/>
    </row>
    <row r="14050" spans="6:9" x14ac:dyDescent="0.3">
      <c r="F14050"/>
      <c r="G14050"/>
      <c r="H14050"/>
      <c r="I14050"/>
    </row>
    <row r="14051" spans="6:9" x14ac:dyDescent="0.3">
      <c r="F14051"/>
      <c r="G14051"/>
      <c r="H14051"/>
      <c r="I14051"/>
    </row>
    <row r="14052" spans="6:9" x14ac:dyDescent="0.3">
      <c r="F14052"/>
      <c r="G14052"/>
      <c r="H14052"/>
      <c r="I14052"/>
    </row>
    <row r="14053" spans="6:9" x14ac:dyDescent="0.3">
      <c r="F14053"/>
      <c r="G14053"/>
      <c r="H14053"/>
      <c r="I14053"/>
    </row>
    <row r="14054" spans="6:9" x14ac:dyDescent="0.3">
      <c r="F14054"/>
      <c r="G14054"/>
      <c r="H14054"/>
      <c r="I14054"/>
    </row>
    <row r="14055" spans="6:9" x14ac:dyDescent="0.3">
      <c r="F14055"/>
      <c r="G14055"/>
      <c r="H14055"/>
      <c r="I14055"/>
    </row>
    <row r="14056" spans="6:9" x14ac:dyDescent="0.3">
      <c r="F14056"/>
      <c r="G14056"/>
      <c r="H14056"/>
      <c r="I14056"/>
    </row>
    <row r="14057" spans="6:9" x14ac:dyDescent="0.3">
      <c r="F14057"/>
      <c r="G14057"/>
      <c r="H14057"/>
      <c r="I14057"/>
    </row>
    <row r="14058" spans="6:9" x14ac:dyDescent="0.3">
      <c r="F14058"/>
      <c r="G14058"/>
      <c r="H14058"/>
      <c r="I14058"/>
    </row>
    <row r="14059" spans="6:9" x14ac:dyDescent="0.3">
      <c r="F14059"/>
      <c r="G14059"/>
      <c r="H14059"/>
      <c r="I14059"/>
    </row>
    <row r="14060" spans="6:9" x14ac:dyDescent="0.3">
      <c r="F14060"/>
      <c r="G14060"/>
      <c r="H14060"/>
      <c r="I14060"/>
    </row>
    <row r="14061" spans="6:9" x14ac:dyDescent="0.3">
      <c r="F14061"/>
      <c r="G14061"/>
      <c r="H14061"/>
      <c r="I14061"/>
    </row>
    <row r="14062" spans="6:9" x14ac:dyDescent="0.3">
      <c r="F14062"/>
      <c r="G14062"/>
      <c r="H14062"/>
      <c r="I14062"/>
    </row>
    <row r="14063" spans="6:9" x14ac:dyDescent="0.3">
      <c r="F14063"/>
      <c r="G14063"/>
      <c r="H14063"/>
      <c r="I14063"/>
    </row>
    <row r="14064" spans="6:9" x14ac:dyDescent="0.3">
      <c r="F14064"/>
      <c r="G14064"/>
      <c r="H14064"/>
      <c r="I14064"/>
    </row>
    <row r="14065" spans="6:9" x14ac:dyDescent="0.3">
      <c r="F14065"/>
      <c r="G14065"/>
      <c r="H14065"/>
      <c r="I14065"/>
    </row>
    <row r="14066" spans="6:9" x14ac:dyDescent="0.3">
      <c r="F14066"/>
      <c r="G14066"/>
      <c r="H14066"/>
      <c r="I14066"/>
    </row>
    <row r="14067" spans="6:9" x14ac:dyDescent="0.3">
      <c r="F14067"/>
      <c r="G14067"/>
      <c r="H14067"/>
      <c r="I14067"/>
    </row>
    <row r="14068" spans="6:9" x14ac:dyDescent="0.3">
      <c r="F14068"/>
      <c r="G14068"/>
      <c r="H14068"/>
      <c r="I14068"/>
    </row>
    <row r="14069" spans="6:9" x14ac:dyDescent="0.3">
      <c r="F14069"/>
      <c r="G14069"/>
      <c r="H14069"/>
      <c r="I14069"/>
    </row>
    <row r="14070" spans="6:9" x14ac:dyDescent="0.3">
      <c r="F14070"/>
      <c r="G14070"/>
      <c r="H14070"/>
      <c r="I14070"/>
    </row>
    <row r="14071" spans="6:9" x14ac:dyDescent="0.3">
      <c r="F14071"/>
      <c r="G14071"/>
      <c r="H14071"/>
      <c r="I14071"/>
    </row>
    <row r="14072" spans="6:9" x14ac:dyDescent="0.3">
      <c r="F14072"/>
      <c r="G14072"/>
      <c r="H14072"/>
      <c r="I14072"/>
    </row>
    <row r="14073" spans="6:9" x14ac:dyDescent="0.3">
      <c r="F14073"/>
      <c r="G14073"/>
      <c r="H14073"/>
      <c r="I14073"/>
    </row>
    <row r="14074" spans="6:9" x14ac:dyDescent="0.3">
      <c r="F14074"/>
      <c r="G14074"/>
      <c r="H14074"/>
      <c r="I14074"/>
    </row>
    <row r="14075" spans="6:9" x14ac:dyDescent="0.3">
      <c r="F14075"/>
      <c r="G14075"/>
      <c r="H14075"/>
      <c r="I14075"/>
    </row>
    <row r="14076" spans="6:9" x14ac:dyDescent="0.3">
      <c r="F14076"/>
      <c r="G14076"/>
      <c r="H14076"/>
      <c r="I14076"/>
    </row>
    <row r="14077" spans="6:9" x14ac:dyDescent="0.3">
      <c r="F14077"/>
      <c r="G14077"/>
      <c r="H14077"/>
      <c r="I14077"/>
    </row>
    <row r="14078" spans="6:9" x14ac:dyDescent="0.3">
      <c r="F14078"/>
      <c r="G14078"/>
      <c r="H14078"/>
      <c r="I14078"/>
    </row>
    <row r="14079" spans="6:9" x14ac:dyDescent="0.3">
      <c r="F14079"/>
      <c r="G14079"/>
      <c r="H14079"/>
      <c r="I14079"/>
    </row>
    <row r="14080" spans="6:9" x14ac:dyDescent="0.3">
      <c r="F14080"/>
      <c r="G14080"/>
      <c r="H14080"/>
      <c r="I14080"/>
    </row>
    <row r="14081" spans="6:9" x14ac:dyDescent="0.3">
      <c r="F14081"/>
      <c r="G14081"/>
      <c r="H14081"/>
      <c r="I14081"/>
    </row>
    <row r="14082" spans="6:9" x14ac:dyDescent="0.3">
      <c r="F14082"/>
      <c r="G14082"/>
      <c r="H14082"/>
      <c r="I14082"/>
    </row>
    <row r="14083" spans="6:9" x14ac:dyDescent="0.3">
      <c r="F14083"/>
      <c r="G14083"/>
      <c r="H14083"/>
      <c r="I14083"/>
    </row>
    <row r="14084" spans="6:9" x14ac:dyDescent="0.3">
      <c r="F14084"/>
      <c r="G14084"/>
      <c r="H14084"/>
      <c r="I14084"/>
    </row>
    <row r="14085" spans="6:9" x14ac:dyDescent="0.3">
      <c r="F14085"/>
      <c r="G14085"/>
      <c r="H14085"/>
      <c r="I14085"/>
    </row>
    <row r="14086" spans="6:9" x14ac:dyDescent="0.3">
      <c r="F14086"/>
      <c r="G14086"/>
      <c r="H14086"/>
      <c r="I14086"/>
    </row>
    <row r="14087" spans="6:9" x14ac:dyDescent="0.3">
      <c r="F14087"/>
      <c r="G14087"/>
      <c r="H14087"/>
      <c r="I14087"/>
    </row>
    <row r="14088" spans="6:9" x14ac:dyDescent="0.3">
      <c r="F14088"/>
      <c r="G14088"/>
      <c r="H14088"/>
      <c r="I14088"/>
    </row>
    <row r="14089" spans="6:9" x14ac:dyDescent="0.3">
      <c r="F14089"/>
      <c r="G14089"/>
      <c r="H14089"/>
      <c r="I14089"/>
    </row>
    <row r="14090" spans="6:9" x14ac:dyDescent="0.3">
      <c r="F14090"/>
      <c r="G14090"/>
      <c r="H14090"/>
      <c r="I14090"/>
    </row>
    <row r="14091" spans="6:9" x14ac:dyDescent="0.3">
      <c r="F14091"/>
      <c r="G14091"/>
      <c r="H14091"/>
      <c r="I14091"/>
    </row>
    <row r="14092" spans="6:9" x14ac:dyDescent="0.3">
      <c r="F14092"/>
      <c r="G14092"/>
      <c r="H14092"/>
      <c r="I14092"/>
    </row>
    <row r="14093" spans="6:9" x14ac:dyDescent="0.3">
      <c r="F14093"/>
      <c r="G14093"/>
      <c r="H14093"/>
      <c r="I14093"/>
    </row>
    <row r="14094" spans="6:9" x14ac:dyDescent="0.3">
      <c r="F14094"/>
      <c r="G14094"/>
      <c r="H14094"/>
      <c r="I14094"/>
    </row>
    <row r="14095" spans="6:9" x14ac:dyDescent="0.3">
      <c r="F14095"/>
      <c r="G14095"/>
      <c r="H14095"/>
      <c r="I14095"/>
    </row>
    <row r="14096" spans="6:9" x14ac:dyDescent="0.3">
      <c r="F14096"/>
      <c r="G14096"/>
      <c r="H14096"/>
      <c r="I14096"/>
    </row>
    <row r="14097" spans="6:9" x14ac:dyDescent="0.3">
      <c r="F14097"/>
      <c r="G14097"/>
      <c r="H14097"/>
      <c r="I14097"/>
    </row>
    <row r="14098" spans="6:9" x14ac:dyDescent="0.3">
      <c r="F14098"/>
      <c r="G14098"/>
      <c r="H14098"/>
      <c r="I14098"/>
    </row>
    <row r="14099" spans="6:9" x14ac:dyDescent="0.3">
      <c r="F14099"/>
      <c r="G14099"/>
      <c r="H14099"/>
      <c r="I14099"/>
    </row>
    <row r="14100" spans="6:9" x14ac:dyDescent="0.3">
      <c r="F14100"/>
      <c r="G14100"/>
      <c r="H14100"/>
      <c r="I14100"/>
    </row>
    <row r="14101" spans="6:9" x14ac:dyDescent="0.3">
      <c r="F14101"/>
      <c r="G14101"/>
      <c r="H14101"/>
      <c r="I14101"/>
    </row>
    <row r="14102" spans="6:9" x14ac:dyDescent="0.3">
      <c r="F14102"/>
      <c r="G14102"/>
      <c r="H14102"/>
      <c r="I14102"/>
    </row>
    <row r="14103" spans="6:9" x14ac:dyDescent="0.3">
      <c r="F14103"/>
      <c r="G14103"/>
      <c r="H14103"/>
      <c r="I14103"/>
    </row>
    <row r="14104" spans="6:9" x14ac:dyDescent="0.3">
      <c r="F14104"/>
      <c r="G14104"/>
      <c r="H14104"/>
      <c r="I14104"/>
    </row>
    <row r="14105" spans="6:9" x14ac:dyDescent="0.3">
      <c r="F14105"/>
      <c r="G14105"/>
      <c r="H14105"/>
      <c r="I14105"/>
    </row>
    <row r="14106" spans="6:9" x14ac:dyDescent="0.3">
      <c r="F14106"/>
      <c r="G14106"/>
      <c r="H14106"/>
      <c r="I14106"/>
    </row>
    <row r="14107" spans="6:9" x14ac:dyDescent="0.3">
      <c r="F14107"/>
      <c r="G14107"/>
      <c r="H14107"/>
      <c r="I14107"/>
    </row>
    <row r="14108" spans="6:9" x14ac:dyDescent="0.3">
      <c r="F14108"/>
      <c r="G14108"/>
      <c r="H14108"/>
      <c r="I14108"/>
    </row>
    <row r="14109" spans="6:9" x14ac:dyDescent="0.3">
      <c r="F14109"/>
      <c r="G14109"/>
      <c r="H14109"/>
      <c r="I14109"/>
    </row>
    <row r="14110" spans="6:9" x14ac:dyDescent="0.3">
      <c r="F14110"/>
      <c r="G14110"/>
      <c r="H14110"/>
      <c r="I14110"/>
    </row>
    <row r="14111" spans="6:9" x14ac:dyDescent="0.3">
      <c r="F14111"/>
      <c r="G14111"/>
      <c r="H14111"/>
      <c r="I14111"/>
    </row>
    <row r="14112" spans="6:9" x14ac:dyDescent="0.3">
      <c r="F14112"/>
      <c r="G14112"/>
      <c r="H14112"/>
      <c r="I14112"/>
    </row>
    <row r="14113" spans="6:9" x14ac:dyDescent="0.3">
      <c r="F14113"/>
      <c r="G14113"/>
      <c r="H14113"/>
      <c r="I14113"/>
    </row>
    <row r="14114" spans="6:9" x14ac:dyDescent="0.3">
      <c r="F14114"/>
      <c r="G14114"/>
      <c r="H14114"/>
      <c r="I14114"/>
    </row>
    <row r="14115" spans="6:9" x14ac:dyDescent="0.3">
      <c r="F14115"/>
      <c r="G14115"/>
      <c r="H14115"/>
      <c r="I14115"/>
    </row>
    <row r="14116" spans="6:9" x14ac:dyDescent="0.3">
      <c r="F14116"/>
      <c r="G14116"/>
      <c r="H14116"/>
      <c r="I14116"/>
    </row>
    <row r="14117" spans="6:9" x14ac:dyDescent="0.3">
      <c r="F14117"/>
      <c r="G14117"/>
      <c r="H14117"/>
      <c r="I14117"/>
    </row>
    <row r="14118" spans="6:9" x14ac:dyDescent="0.3">
      <c r="F14118"/>
      <c r="G14118"/>
      <c r="H14118"/>
      <c r="I14118"/>
    </row>
    <row r="14119" spans="6:9" x14ac:dyDescent="0.3">
      <c r="F14119"/>
      <c r="G14119"/>
      <c r="H14119"/>
      <c r="I14119"/>
    </row>
    <row r="14120" spans="6:9" x14ac:dyDescent="0.3">
      <c r="F14120"/>
      <c r="G14120"/>
      <c r="H14120"/>
      <c r="I14120"/>
    </row>
    <row r="14121" spans="6:9" x14ac:dyDescent="0.3">
      <c r="F14121"/>
      <c r="G14121"/>
      <c r="H14121"/>
      <c r="I14121"/>
    </row>
    <row r="14122" spans="6:9" x14ac:dyDescent="0.3">
      <c r="F14122"/>
      <c r="G14122"/>
      <c r="H14122"/>
      <c r="I14122"/>
    </row>
    <row r="14123" spans="6:9" x14ac:dyDescent="0.3">
      <c r="F14123"/>
      <c r="G14123"/>
      <c r="H14123"/>
      <c r="I14123"/>
    </row>
    <row r="14124" spans="6:9" x14ac:dyDescent="0.3">
      <c r="F14124"/>
      <c r="G14124"/>
      <c r="H14124"/>
      <c r="I14124"/>
    </row>
    <row r="14125" spans="6:9" x14ac:dyDescent="0.3">
      <c r="F14125"/>
      <c r="G14125"/>
      <c r="H14125"/>
      <c r="I14125"/>
    </row>
    <row r="14126" spans="6:9" x14ac:dyDescent="0.3">
      <c r="F14126"/>
      <c r="G14126"/>
      <c r="H14126"/>
      <c r="I14126"/>
    </row>
    <row r="14127" spans="6:9" x14ac:dyDescent="0.3">
      <c r="F14127"/>
      <c r="G14127"/>
      <c r="H14127"/>
      <c r="I14127"/>
    </row>
    <row r="14128" spans="6:9" x14ac:dyDescent="0.3">
      <c r="F14128"/>
      <c r="G14128"/>
      <c r="H14128"/>
      <c r="I14128"/>
    </row>
    <row r="14129" spans="6:9" x14ac:dyDescent="0.3">
      <c r="F14129"/>
      <c r="G14129"/>
      <c r="H14129"/>
      <c r="I14129"/>
    </row>
    <row r="14130" spans="6:9" x14ac:dyDescent="0.3">
      <c r="F14130"/>
      <c r="G14130"/>
      <c r="H14130"/>
      <c r="I14130"/>
    </row>
    <row r="14131" spans="6:9" x14ac:dyDescent="0.3">
      <c r="F14131"/>
      <c r="G14131"/>
      <c r="H14131"/>
      <c r="I14131"/>
    </row>
    <row r="14132" spans="6:9" x14ac:dyDescent="0.3">
      <c r="F14132"/>
      <c r="G14132"/>
      <c r="H14132"/>
      <c r="I14132"/>
    </row>
    <row r="14133" spans="6:9" x14ac:dyDescent="0.3">
      <c r="F14133"/>
      <c r="G14133"/>
      <c r="H14133"/>
      <c r="I14133"/>
    </row>
    <row r="14134" spans="6:9" x14ac:dyDescent="0.3">
      <c r="F14134"/>
      <c r="G14134"/>
      <c r="H14134"/>
      <c r="I14134"/>
    </row>
    <row r="14135" spans="6:9" x14ac:dyDescent="0.3">
      <c r="F14135"/>
      <c r="G14135"/>
      <c r="H14135"/>
      <c r="I14135"/>
    </row>
    <row r="14136" spans="6:9" x14ac:dyDescent="0.3">
      <c r="F14136"/>
      <c r="G14136"/>
      <c r="H14136"/>
      <c r="I14136"/>
    </row>
    <row r="14137" spans="6:9" x14ac:dyDescent="0.3">
      <c r="F14137"/>
      <c r="G14137"/>
      <c r="H14137"/>
      <c r="I14137"/>
    </row>
    <row r="14138" spans="6:9" x14ac:dyDescent="0.3">
      <c r="F14138"/>
      <c r="G14138"/>
      <c r="H14138"/>
      <c r="I14138"/>
    </row>
    <row r="14139" spans="6:9" x14ac:dyDescent="0.3">
      <c r="F14139"/>
      <c r="G14139"/>
      <c r="H14139"/>
      <c r="I14139"/>
    </row>
    <row r="14140" spans="6:9" x14ac:dyDescent="0.3">
      <c r="F14140"/>
      <c r="G14140"/>
      <c r="H14140"/>
      <c r="I14140"/>
    </row>
    <row r="14141" spans="6:9" x14ac:dyDescent="0.3">
      <c r="F14141"/>
      <c r="G14141"/>
      <c r="H14141"/>
      <c r="I14141"/>
    </row>
    <row r="14142" spans="6:9" x14ac:dyDescent="0.3">
      <c r="F14142"/>
      <c r="G14142"/>
      <c r="H14142"/>
      <c r="I14142"/>
    </row>
    <row r="14143" spans="6:9" x14ac:dyDescent="0.3">
      <c r="F14143"/>
      <c r="G14143"/>
      <c r="H14143"/>
      <c r="I14143"/>
    </row>
    <row r="14144" spans="6:9" x14ac:dyDescent="0.3">
      <c r="F14144"/>
      <c r="G14144"/>
      <c r="H14144"/>
      <c r="I14144"/>
    </row>
    <row r="14145" spans="6:9" x14ac:dyDescent="0.3">
      <c r="F14145"/>
      <c r="G14145"/>
      <c r="H14145"/>
      <c r="I14145"/>
    </row>
    <row r="14146" spans="6:9" x14ac:dyDescent="0.3">
      <c r="F14146"/>
      <c r="G14146"/>
      <c r="H14146"/>
      <c r="I14146"/>
    </row>
    <row r="14147" spans="6:9" x14ac:dyDescent="0.3">
      <c r="F14147"/>
      <c r="G14147"/>
      <c r="H14147"/>
      <c r="I14147"/>
    </row>
    <row r="14148" spans="6:9" x14ac:dyDescent="0.3">
      <c r="F14148"/>
      <c r="G14148"/>
      <c r="H14148"/>
      <c r="I14148"/>
    </row>
    <row r="14149" spans="6:9" x14ac:dyDescent="0.3">
      <c r="F14149"/>
      <c r="G14149"/>
      <c r="H14149"/>
      <c r="I14149"/>
    </row>
    <row r="14150" spans="6:9" x14ac:dyDescent="0.3">
      <c r="F14150"/>
      <c r="G14150"/>
      <c r="H14150"/>
      <c r="I14150"/>
    </row>
    <row r="14151" spans="6:9" x14ac:dyDescent="0.3">
      <c r="F14151"/>
      <c r="G14151"/>
      <c r="H14151"/>
      <c r="I14151"/>
    </row>
    <row r="14152" spans="6:9" x14ac:dyDescent="0.3">
      <c r="F14152"/>
      <c r="G14152"/>
      <c r="H14152"/>
      <c r="I14152"/>
    </row>
    <row r="14153" spans="6:9" x14ac:dyDescent="0.3">
      <c r="F14153"/>
      <c r="G14153"/>
      <c r="H14153"/>
      <c r="I14153"/>
    </row>
    <row r="14154" spans="6:9" x14ac:dyDescent="0.3">
      <c r="F14154"/>
      <c r="G14154"/>
      <c r="H14154"/>
      <c r="I14154"/>
    </row>
    <row r="14155" spans="6:9" x14ac:dyDescent="0.3">
      <c r="F14155"/>
      <c r="G14155"/>
      <c r="H14155"/>
      <c r="I14155"/>
    </row>
    <row r="14156" spans="6:9" x14ac:dyDescent="0.3">
      <c r="F14156"/>
      <c r="G14156"/>
      <c r="H14156"/>
      <c r="I14156"/>
    </row>
    <row r="14157" spans="6:9" x14ac:dyDescent="0.3">
      <c r="F14157"/>
      <c r="G14157"/>
      <c r="H14157"/>
      <c r="I14157"/>
    </row>
    <row r="14158" spans="6:9" x14ac:dyDescent="0.3">
      <c r="F14158"/>
      <c r="G14158"/>
      <c r="H14158"/>
      <c r="I14158"/>
    </row>
    <row r="14159" spans="6:9" x14ac:dyDescent="0.3">
      <c r="F14159"/>
      <c r="G14159"/>
      <c r="H14159"/>
      <c r="I14159"/>
    </row>
    <row r="14160" spans="6:9" x14ac:dyDescent="0.3">
      <c r="F14160"/>
      <c r="G14160"/>
      <c r="H14160"/>
      <c r="I14160"/>
    </row>
    <row r="14161" spans="6:9" x14ac:dyDescent="0.3">
      <c r="F14161"/>
      <c r="G14161"/>
      <c r="H14161"/>
      <c r="I14161"/>
    </row>
    <row r="14162" spans="6:9" x14ac:dyDescent="0.3">
      <c r="F14162"/>
      <c r="G14162"/>
      <c r="H14162"/>
      <c r="I14162"/>
    </row>
    <row r="14163" spans="6:9" x14ac:dyDescent="0.3">
      <c r="F14163"/>
      <c r="G14163"/>
      <c r="H14163"/>
      <c r="I14163"/>
    </row>
    <row r="14164" spans="6:9" x14ac:dyDescent="0.3">
      <c r="F14164"/>
      <c r="G14164"/>
      <c r="H14164"/>
      <c r="I14164"/>
    </row>
    <row r="14165" spans="6:9" x14ac:dyDescent="0.3">
      <c r="F14165"/>
      <c r="G14165"/>
      <c r="H14165"/>
      <c r="I14165"/>
    </row>
    <row r="14166" spans="6:9" x14ac:dyDescent="0.3">
      <c r="F14166"/>
      <c r="G14166"/>
      <c r="H14166"/>
      <c r="I14166"/>
    </row>
    <row r="14167" spans="6:9" x14ac:dyDescent="0.3">
      <c r="F14167"/>
      <c r="G14167"/>
      <c r="H14167"/>
      <c r="I14167"/>
    </row>
    <row r="14168" spans="6:9" x14ac:dyDescent="0.3">
      <c r="F14168"/>
      <c r="G14168"/>
      <c r="H14168"/>
      <c r="I14168"/>
    </row>
    <row r="14169" spans="6:9" x14ac:dyDescent="0.3">
      <c r="F14169"/>
      <c r="G14169"/>
      <c r="H14169"/>
      <c r="I14169"/>
    </row>
    <row r="14170" spans="6:9" x14ac:dyDescent="0.3">
      <c r="F14170"/>
      <c r="G14170"/>
      <c r="H14170"/>
      <c r="I14170"/>
    </row>
    <row r="14171" spans="6:9" x14ac:dyDescent="0.3">
      <c r="F14171"/>
      <c r="G14171"/>
      <c r="H14171"/>
      <c r="I14171"/>
    </row>
    <row r="14172" spans="6:9" x14ac:dyDescent="0.3">
      <c r="F14172"/>
      <c r="G14172"/>
      <c r="H14172"/>
      <c r="I14172"/>
    </row>
    <row r="14173" spans="6:9" x14ac:dyDescent="0.3">
      <c r="F14173"/>
      <c r="G14173"/>
      <c r="H14173"/>
      <c r="I14173"/>
    </row>
    <row r="14174" spans="6:9" x14ac:dyDescent="0.3">
      <c r="F14174"/>
      <c r="G14174"/>
      <c r="H14174"/>
      <c r="I14174"/>
    </row>
    <row r="14175" spans="6:9" x14ac:dyDescent="0.3">
      <c r="F14175"/>
      <c r="G14175"/>
      <c r="H14175"/>
      <c r="I14175"/>
    </row>
    <row r="14176" spans="6:9" x14ac:dyDescent="0.3">
      <c r="F14176"/>
      <c r="G14176"/>
      <c r="H14176"/>
      <c r="I14176"/>
    </row>
    <row r="14177" spans="6:9" x14ac:dyDescent="0.3">
      <c r="F14177"/>
      <c r="G14177"/>
      <c r="H14177"/>
      <c r="I14177"/>
    </row>
    <row r="14178" spans="6:9" x14ac:dyDescent="0.3">
      <c r="F14178"/>
      <c r="G14178"/>
      <c r="H14178"/>
      <c r="I14178"/>
    </row>
    <row r="14179" spans="6:9" x14ac:dyDescent="0.3">
      <c r="F14179"/>
      <c r="G14179"/>
      <c r="H14179"/>
      <c r="I14179"/>
    </row>
    <row r="14180" spans="6:9" x14ac:dyDescent="0.3">
      <c r="F14180"/>
      <c r="G14180"/>
      <c r="H14180"/>
      <c r="I14180"/>
    </row>
    <row r="14181" spans="6:9" x14ac:dyDescent="0.3">
      <c r="F14181"/>
      <c r="G14181"/>
      <c r="H14181"/>
      <c r="I14181"/>
    </row>
    <row r="14182" spans="6:9" x14ac:dyDescent="0.3">
      <c r="F14182"/>
      <c r="G14182"/>
      <c r="H14182"/>
      <c r="I14182"/>
    </row>
    <row r="14183" spans="6:9" x14ac:dyDescent="0.3">
      <c r="F14183"/>
      <c r="G14183"/>
      <c r="H14183"/>
      <c r="I14183"/>
    </row>
    <row r="14184" spans="6:9" x14ac:dyDescent="0.3">
      <c r="F14184"/>
      <c r="G14184"/>
      <c r="H14184"/>
      <c r="I14184"/>
    </row>
    <row r="14185" spans="6:9" x14ac:dyDescent="0.3">
      <c r="F14185"/>
      <c r="G14185"/>
      <c r="H14185"/>
      <c r="I14185"/>
    </row>
    <row r="14186" spans="6:9" x14ac:dyDescent="0.3">
      <c r="F14186"/>
      <c r="G14186"/>
      <c r="H14186"/>
      <c r="I14186"/>
    </row>
    <row r="14187" spans="6:9" x14ac:dyDescent="0.3">
      <c r="F14187"/>
      <c r="G14187"/>
      <c r="H14187"/>
      <c r="I14187"/>
    </row>
    <row r="14188" spans="6:9" x14ac:dyDescent="0.3">
      <c r="F14188"/>
      <c r="G14188"/>
      <c r="H14188"/>
      <c r="I14188"/>
    </row>
    <row r="14189" spans="6:9" x14ac:dyDescent="0.3">
      <c r="F14189"/>
      <c r="G14189"/>
      <c r="H14189"/>
      <c r="I14189"/>
    </row>
    <row r="14190" spans="6:9" x14ac:dyDescent="0.3">
      <c r="F14190"/>
      <c r="G14190"/>
      <c r="H14190"/>
      <c r="I14190"/>
    </row>
    <row r="14191" spans="6:9" x14ac:dyDescent="0.3">
      <c r="F14191"/>
      <c r="G14191"/>
      <c r="H14191"/>
      <c r="I14191"/>
    </row>
    <row r="14192" spans="6:9" x14ac:dyDescent="0.3">
      <c r="F14192"/>
      <c r="G14192"/>
      <c r="H14192"/>
      <c r="I14192"/>
    </row>
    <row r="14193" spans="6:9" x14ac:dyDescent="0.3">
      <c r="F14193"/>
      <c r="G14193"/>
      <c r="H14193"/>
      <c r="I14193"/>
    </row>
    <row r="14194" spans="6:9" x14ac:dyDescent="0.3">
      <c r="F14194"/>
      <c r="G14194"/>
      <c r="H14194"/>
      <c r="I14194"/>
    </row>
    <row r="14195" spans="6:9" x14ac:dyDescent="0.3">
      <c r="F14195"/>
      <c r="G14195"/>
      <c r="H14195"/>
      <c r="I14195"/>
    </row>
    <row r="14196" spans="6:9" x14ac:dyDescent="0.3">
      <c r="F14196"/>
      <c r="G14196"/>
      <c r="H14196"/>
      <c r="I14196"/>
    </row>
    <row r="14197" spans="6:9" x14ac:dyDescent="0.3">
      <c r="F14197"/>
      <c r="G14197"/>
      <c r="H14197"/>
      <c r="I14197"/>
    </row>
    <row r="14198" spans="6:9" x14ac:dyDescent="0.3">
      <c r="F14198"/>
      <c r="G14198"/>
      <c r="H14198"/>
      <c r="I14198"/>
    </row>
    <row r="14199" spans="6:9" x14ac:dyDescent="0.3">
      <c r="F14199"/>
      <c r="G14199"/>
      <c r="H14199"/>
      <c r="I14199"/>
    </row>
    <row r="14200" spans="6:9" x14ac:dyDescent="0.3">
      <c r="F14200"/>
      <c r="G14200"/>
      <c r="H14200"/>
      <c r="I14200"/>
    </row>
    <row r="14201" spans="6:9" x14ac:dyDescent="0.3">
      <c r="F14201"/>
      <c r="G14201"/>
      <c r="H14201"/>
      <c r="I14201"/>
    </row>
    <row r="14202" spans="6:9" x14ac:dyDescent="0.3">
      <c r="F14202"/>
      <c r="G14202"/>
      <c r="H14202"/>
      <c r="I14202"/>
    </row>
    <row r="14203" spans="6:9" x14ac:dyDescent="0.3">
      <c r="F14203"/>
      <c r="G14203"/>
      <c r="H14203"/>
      <c r="I14203"/>
    </row>
    <row r="14204" spans="6:9" x14ac:dyDescent="0.3">
      <c r="F14204"/>
      <c r="G14204"/>
      <c r="H14204"/>
      <c r="I14204"/>
    </row>
    <row r="14205" spans="6:9" x14ac:dyDescent="0.3">
      <c r="F14205"/>
      <c r="G14205"/>
      <c r="H14205"/>
      <c r="I14205"/>
    </row>
    <row r="14206" spans="6:9" x14ac:dyDescent="0.3">
      <c r="F14206"/>
      <c r="G14206"/>
      <c r="H14206"/>
      <c r="I14206"/>
    </row>
    <row r="14207" spans="6:9" x14ac:dyDescent="0.3">
      <c r="F14207"/>
      <c r="G14207"/>
      <c r="H14207"/>
      <c r="I14207"/>
    </row>
    <row r="14208" spans="6:9" x14ac:dyDescent="0.3">
      <c r="F14208"/>
      <c r="G14208"/>
      <c r="H14208"/>
      <c r="I14208"/>
    </row>
    <row r="14209" spans="6:9" x14ac:dyDescent="0.3">
      <c r="F14209"/>
      <c r="G14209"/>
      <c r="H14209"/>
      <c r="I14209"/>
    </row>
    <row r="14210" spans="6:9" x14ac:dyDescent="0.3">
      <c r="F14210"/>
      <c r="G14210"/>
      <c r="H14210"/>
      <c r="I14210"/>
    </row>
    <row r="14211" spans="6:9" x14ac:dyDescent="0.3">
      <c r="F14211"/>
      <c r="G14211"/>
      <c r="H14211"/>
      <c r="I14211"/>
    </row>
    <row r="14212" spans="6:9" x14ac:dyDescent="0.3">
      <c r="F14212"/>
      <c r="G14212"/>
      <c r="H14212"/>
      <c r="I14212"/>
    </row>
    <row r="14213" spans="6:9" x14ac:dyDescent="0.3">
      <c r="F14213"/>
      <c r="G14213"/>
      <c r="H14213"/>
      <c r="I14213"/>
    </row>
    <row r="14214" spans="6:9" x14ac:dyDescent="0.3">
      <c r="F14214"/>
      <c r="G14214"/>
      <c r="H14214"/>
      <c r="I14214"/>
    </row>
    <row r="14215" spans="6:9" x14ac:dyDescent="0.3">
      <c r="F14215"/>
      <c r="G14215"/>
      <c r="H14215"/>
      <c r="I14215"/>
    </row>
    <row r="14216" spans="6:9" x14ac:dyDescent="0.3">
      <c r="F14216"/>
      <c r="G14216"/>
      <c r="H14216"/>
      <c r="I14216"/>
    </row>
    <row r="14217" spans="6:9" x14ac:dyDescent="0.3">
      <c r="F14217"/>
      <c r="G14217"/>
      <c r="H14217"/>
      <c r="I14217"/>
    </row>
    <row r="14218" spans="6:9" x14ac:dyDescent="0.3">
      <c r="F14218"/>
      <c r="G14218"/>
      <c r="H14218"/>
      <c r="I14218"/>
    </row>
    <row r="14219" spans="6:9" x14ac:dyDescent="0.3">
      <c r="F14219"/>
      <c r="G14219"/>
      <c r="H14219"/>
      <c r="I14219"/>
    </row>
    <row r="14220" spans="6:9" x14ac:dyDescent="0.3">
      <c r="F14220"/>
      <c r="G14220"/>
      <c r="H14220"/>
      <c r="I14220"/>
    </row>
    <row r="14221" spans="6:9" x14ac:dyDescent="0.3">
      <c r="F14221"/>
      <c r="G14221"/>
      <c r="H14221"/>
      <c r="I14221"/>
    </row>
    <row r="14222" spans="6:9" x14ac:dyDescent="0.3">
      <c r="F14222"/>
      <c r="G14222"/>
      <c r="H14222"/>
      <c r="I14222"/>
    </row>
    <row r="14223" spans="6:9" x14ac:dyDescent="0.3">
      <c r="F14223"/>
      <c r="G14223"/>
      <c r="H14223"/>
      <c r="I14223"/>
    </row>
    <row r="14224" spans="6:9" x14ac:dyDescent="0.3">
      <c r="F14224"/>
      <c r="G14224"/>
      <c r="H14224"/>
      <c r="I14224"/>
    </row>
    <row r="14225" spans="6:9" x14ac:dyDescent="0.3">
      <c r="F14225"/>
      <c r="G14225"/>
      <c r="H14225"/>
      <c r="I14225"/>
    </row>
    <row r="14226" spans="6:9" x14ac:dyDescent="0.3">
      <c r="F14226"/>
      <c r="G14226"/>
      <c r="H14226"/>
      <c r="I14226"/>
    </row>
    <row r="14227" spans="6:9" x14ac:dyDescent="0.3">
      <c r="F14227"/>
      <c r="G14227"/>
      <c r="H14227"/>
      <c r="I14227"/>
    </row>
    <row r="14228" spans="6:9" x14ac:dyDescent="0.3">
      <c r="F14228"/>
      <c r="G14228"/>
      <c r="H14228"/>
      <c r="I14228"/>
    </row>
    <row r="14229" spans="6:9" x14ac:dyDescent="0.3">
      <c r="F14229"/>
      <c r="G14229"/>
      <c r="H14229"/>
      <c r="I14229"/>
    </row>
    <row r="14230" spans="6:9" x14ac:dyDescent="0.3">
      <c r="F14230"/>
      <c r="G14230"/>
      <c r="H14230"/>
      <c r="I14230"/>
    </row>
    <row r="14231" spans="6:9" x14ac:dyDescent="0.3">
      <c r="F14231"/>
      <c r="G14231"/>
      <c r="H14231"/>
      <c r="I14231"/>
    </row>
    <row r="14232" spans="6:9" x14ac:dyDescent="0.3">
      <c r="F14232"/>
      <c r="G14232"/>
      <c r="H14232"/>
      <c r="I14232"/>
    </row>
    <row r="14233" spans="6:9" x14ac:dyDescent="0.3">
      <c r="F14233"/>
      <c r="G14233"/>
      <c r="H14233"/>
      <c r="I14233"/>
    </row>
    <row r="14234" spans="6:9" x14ac:dyDescent="0.3">
      <c r="F14234"/>
      <c r="G14234"/>
      <c r="H14234"/>
      <c r="I14234"/>
    </row>
    <row r="14235" spans="6:9" x14ac:dyDescent="0.3">
      <c r="F14235"/>
      <c r="G14235"/>
      <c r="H14235"/>
      <c r="I14235"/>
    </row>
    <row r="14236" spans="6:9" x14ac:dyDescent="0.3">
      <c r="F14236"/>
      <c r="G14236"/>
      <c r="H14236"/>
      <c r="I14236"/>
    </row>
    <row r="14237" spans="6:9" x14ac:dyDescent="0.3">
      <c r="F14237"/>
      <c r="G14237"/>
      <c r="H14237"/>
      <c r="I14237"/>
    </row>
    <row r="14238" spans="6:9" x14ac:dyDescent="0.3">
      <c r="F14238"/>
      <c r="G14238"/>
      <c r="H14238"/>
      <c r="I14238"/>
    </row>
    <row r="14239" spans="6:9" x14ac:dyDescent="0.3">
      <c r="F14239"/>
      <c r="G14239"/>
      <c r="H14239"/>
      <c r="I14239"/>
    </row>
    <row r="14240" spans="6:9" x14ac:dyDescent="0.3">
      <c r="F14240"/>
      <c r="G14240"/>
      <c r="H14240"/>
      <c r="I14240"/>
    </row>
    <row r="14241" spans="6:9" x14ac:dyDescent="0.3">
      <c r="F14241"/>
      <c r="G14241"/>
      <c r="H14241"/>
      <c r="I14241"/>
    </row>
    <row r="14242" spans="6:9" x14ac:dyDescent="0.3">
      <c r="F14242"/>
      <c r="G14242"/>
      <c r="H14242"/>
      <c r="I14242"/>
    </row>
    <row r="14243" spans="6:9" x14ac:dyDescent="0.3">
      <c r="F14243"/>
      <c r="G14243"/>
      <c r="H14243"/>
      <c r="I14243"/>
    </row>
    <row r="14244" spans="6:9" x14ac:dyDescent="0.3">
      <c r="F14244"/>
      <c r="G14244"/>
      <c r="H14244"/>
      <c r="I14244"/>
    </row>
    <row r="14245" spans="6:9" x14ac:dyDescent="0.3">
      <c r="F14245"/>
      <c r="G14245"/>
      <c r="H14245"/>
      <c r="I14245"/>
    </row>
    <row r="14246" spans="6:9" x14ac:dyDescent="0.3">
      <c r="F14246"/>
      <c r="G14246"/>
      <c r="H14246"/>
      <c r="I14246"/>
    </row>
    <row r="14247" spans="6:9" x14ac:dyDescent="0.3">
      <c r="F14247"/>
      <c r="G14247"/>
      <c r="H14247"/>
      <c r="I14247"/>
    </row>
    <row r="14248" spans="6:9" x14ac:dyDescent="0.3">
      <c r="F14248"/>
      <c r="G14248"/>
      <c r="H14248"/>
      <c r="I14248"/>
    </row>
    <row r="14249" spans="6:9" x14ac:dyDescent="0.3">
      <c r="F14249"/>
      <c r="G14249"/>
      <c r="H14249"/>
      <c r="I14249"/>
    </row>
    <row r="14250" spans="6:9" x14ac:dyDescent="0.3">
      <c r="F14250"/>
      <c r="G14250"/>
      <c r="H14250"/>
      <c r="I14250"/>
    </row>
    <row r="14251" spans="6:9" x14ac:dyDescent="0.3">
      <c r="F14251"/>
      <c r="G14251"/>
      <c r="H14251"/>
      <c r="I14251"/>
    </row>
    <row r="14252" spans="6:9" x14ac:dyDescent="0.3">
      <c r="F14252"/>
      <c r="G14252"/>
      <c r="H14252"/>
      <c r="I14252"/>
    </row>
    <row r="14253" spans="6:9" x14ac:dyDescent="0.3">
      <c r="F14253"/>
      <c r="G14253"/>
      <c r="H14253"/>
      <c r="I14253"/>
    </row>
    <row r="14254" spans="6:9" x14ac:dyDescent="0.3">
      <c r="F14254"/>
      <c r="G14254"/>
      <c r="H14254"/>
      <c r="I14254"/>
    </row>
    <row r="14255" spans="6:9" x14ac:dyDescent="0.3">
      <c r="F14255"/>
      <c r="G14255"/>
      <c r="H14255"/>
      <c r="I14255"/>
    </row>
    <row r="14256" spans="6:9" x14ac:dyDescent="0.3">
      <c r="F14256"/>
      <c r="G14256"/>
      <c r="H14256"/>
      <c r="I14256"/>
    </row>
    <row r="14257" spans="6:9" x14ac:dyDescent="0.3">
      <c r="F14257"/>
      <c r="G14257"/>
      <c r="H14257"/>
      <c r="I14257"/>
    </row>
    <row r="14258" spans="6:9" x14ac:dyDescent="0.3">
      <c r="F14258"/>
      <c r="G14258"/>
      <c r="H14258"/>
      <c r="I14258"/>
    </row>
    <row r="14259" spans="6:9" x14ac:dyDescent="0.3">
      <c r="F14259"/>
      <c r="G14259"/>
      <c r="H14259"/>
      <c r="I14259"/>
    </row>
    <row r="14260" spans="6:9" x14ac:dyDescent="0.3">
      <c r="F14260"/>
      <c r="G14260"/>
      <c r="H14260"/>
      <c r="I14260"/>
    </row>
    <row r="14261" spans="6:9" x14ac:dyDescent="0.3">
      <c r="F14261"/>
      <c r="G14261"/>
      <c r="H14261"/>
      <c r="I14261"/>
    </row>
    <row r="14262" spans="6:9" x14ac:dyDescent="0.3">
      <c r="F14262"/>
      <c r="G14262"/>
      <c r="H14262"/>
      <c r="I14262"/>
    </row>
    <row r="14263" spans="6:9" x14ac:dyDescent="0.3">
      <c r="F14263"/>
      <c r="G14263"/>
      <c r="H14263"/>
      <c r="I14263"/>
    </row>
    <row r="14264" spans="6:9" x14ac:dyDescent="0.3">
      <c r="F14264"/>
      <c r="G14264"/>
      <c r="H14264"/>
      <c r="I14264"/>
    </row>
    <row r="14265" spans="6:9" x14ac:dyDescent="0.3">
      <c r="F14265"/>
      <c r="G14265"/>
      <c r="H14265"/>
      <c r="I14265"/>
    </row>
    <row r="14266" spans="6:9" x14ac:dyDescent="0.3">
      <c r="F14266"/>
      <c r="G14266"/>
      <c r="H14266"/>
      <c r="I14266"/>
    </row>
    <row r="14267" spans="6:9" x14ac:dyDescent="0.3">
      <c r="F14267"/>
      <c r="G14267"/>
      <c r="H14267"/>
      <c r="I14267"/>
    </row>
    <row r="14268" spans="6:9" x14ac:dyDescent="0.3">
      <c r="F14268"/>
      <c r="G14268"/>
      <c r="H14268"/>
      <c r="I14268"/>
    </row>
    <row r="14269" spans="6:9" x14ac:dyDescent="0.3">
      <c r="F14269"/>
      <c r="G14269"/>
      <c r="H14269"/>
      <c r="I14269"/>
    </row>
    <row r="14270" spans="6:9" x14ac:dyDescent="0.3">
      <c r="F14270"/>
      <c r="G14270"/>
      <c r="H14270"/>
      <c r="I14270"/>
    </row>
    <row r="14271" spans="6:9" x14ac:dyDescent="0.3">
      <c r="F14271"/>
      <c r="G14271"/>
      <c r="H14271"/>
      <c r="I14271"/>
    </row>
    <row r="14272" spans="6:9" x14ac:dyDescent="0.3">
      <c r="F14272"/>
      <c r="G14272"/>
      <c r="H14272"/>
      <c r="I14272"/>
    </row>
    <row r="14273" spans="6:9" x14ac:dyDescent="0.3">
      <c r="F14273"/>
      <c r="G14273"/>
      <c r="H14273"/>
      <c r="I14273"/>
    </row>
    <row r="14274" spans="6:9" x14ac:dyDescent="0.3">
      <c r="F14274"/>
      <c r="G14274"/>
      <c r="H14274"/>
      <c r="I14274"/>
    </row>
    <row r="14275" spans="6:9" x14ac:dyDescent="0.3">
      <c r="F14275"/>
      <c r="G14275"/>
      <c r="H14275"/>
      <c r="I14275"/>
    </row>
    <row r="14276" spans="6:9" x14ac:dyDescent="0.3">
      <c r="F14276"/>
      <c r="G14276"/>
      <c r="H14276"/>
      <c r="I14276"/>
    </row>
    <row r="14277" spans="6:9" x14ac:dyDescent="0.3">
      <c r="F14277"/>
      <c r="G14277"/>
      <c r="H14277"/>
      <c r="I14277"/>
    </row>
    <row r="14278" spans="6:9" x14ac:dyDescent="0.3">
      <c r="F14278"/>
      <c r="G14278"/>
      <c r="H14278"/>
      <c r="I14278"/>
    </row>
    <row r="14279" spans="6:9" x14ac:dyDescent="0.3">
      <c r="F14279"/>
      <c r="G14279"/>
      <c r="H14279"/>
      <c r="I14279"/>
    </row>
    <row r="14280" spans="6:9" x14ac:dyDescent="0.3">
      <c r="F14280"/>
      <c r="G14280"/>
      <c r="H14280"/>
      <c r="I14280"/>
    </row>
    <row r="14281" spans="6:9" x14ac:dyDescent="0.3">
      <c r="F14281"/>
      <c r="G14281"/>
      <c r="H14281"/>
      <c r="I14281"/>
    </row>
    <row r="14282" spans="6:9" x14ac:dyDescent="0.3">
      <c r="F14282"/>
      <c r="G14282"/>
      <c r="H14282"/>
      <c r="I14282"/>
    </row>
    <row r="14283" spans="6:9" x14ac:dyDescent="0.3">
      <c r="F14283"/>
      <c r="G14283"/>
      <c r="H14283"/>
      <c r="I14283"/>
    </row>
    <row r="14284" spans="6:9" x14ac:dyDescent="0.3">
      <c r="F14284"/>
      <c r="G14284"/>
      <c r="H14284"/>
      <c r="I14284"/>
    </row>
    <row r="14285" spans="6:9" x14ac:dyDescent="0.3">
      <c r="F14285"/>
      <c r="G14285"/>
      <c r="H14285"/>
      <c r="I14285"/>
    </row>
    <row r="14286" spans="6:9" x14ac:dyDescent="0.3">
      <c r="F14286"/>
      <c r="G14286"/>
      <c r="H14286"/>
      <c r="I14286"/>
    </row>
    <row r="14287" spans="6:9" x14ac:dyDescent="0.3">
      <c r="F14287"/>
      <c r="G14287"/>
      <c r="H14287"/>
      <c r="I14287"/>
    </row>
    <row r="14288" spans="6:9" x14ac:dyDescent="0.3">
      <c r="F14288"/>
      <c r="G14288"/>
      <c r="H14288"/>
      <c r="I14288"/>
    </row>
    <row r="14289" spans="6:9" x14ac:dyDescent="0.3">
      <c r="F14289"/>
      <c r="G14289"/>
      <c r="H14289"/>
      <c r="I14289"/>
    </row>
    <row r="14290" spans="6:9" x14ac:dyDescent="0.3">
      <c r="F14290"/>
      <c r="G14290"/>
      <c r="H14290"/>
      <c r="I14290"/>
    </row>
    <row r="14291" spans="6:9" x14ac:dyDescent="0.3">
      <c r="F14291"/>
      <c r="G14291"/>
      <c r="H14291"/>
      <c r="I14291"/>
    </row>
    <row r="14292" spans="6:9" x14ac:dyDescent="0.3">
      <c r="F14292"/>
      <c r="G14292"/>
      <c r="H14292"/>
      <c r="I14292"/>
    </row>
    <row r="14293" spans="6:9" x14ac:dyDescent="0.3">
      <c r="F14293"/>
      <c r="G14293"/>
      <c r="H14293"/>
      <c r="I14293"/>
    </row>
    <row r="14294" spans="6:9" x14ac:dyDescent="0.3">
      <c r="F14294"/>
      <c r="G14294"/>
      <c r="H14294"/>
      <c r="I14294"/>
    </row>
    <row r="14295" spans="6:9" x14ac:dyDescent="0.3">
      <c r="F14295"/>
      <c r="G14295"/>
      <c r="H14295"/>
      <c r="I14295"/>
    </row>
    <row r="14296" spans="6:9" x14ac:dyDescent="0.3">
      <c r="F14296"/>
      <c r="G14296"/>
      <c r="H14296"/>
      <c r="I14296"/>
    </row>
    <row r="14297" spans="6:9" x14ac:dyDescent="0.3">
      <c r="F14297"/>
      <c r="G14297"/>
      <c r="H14297"/>
      <c r="I14297"/>
    </row>
    <row r="14298" spans="6:9" x14ac:dyDescent="0.3">
      <c r="F14298"/>
      <c r="G14298"/>
      <c r="H14298"/>
      <c r="I14298"/>
    </row>
    <row r="14299" spans="6:9" x14ac:dyDescent="0.3">
      <c r="F14299"/>
      <c r="G14299"/>
      <c r="H14299"/>
      <c r="I14299"/>
    </row>
    <row r="14300" spans="6:9" x14ac:dyDescent="0.3">
      <c r="F14300"/>
      <c r="G14300"/>
      <c r="H14300"/>
      <c r="I14300"/>
    </row>
    <row r="14301" spans="6:9" x14ac:dyDescent="0.3">
      <c r="F14301"/>
      <c r="G14301"/>
      <c r="H14301"/>
      <c r="I14301"/>
    </row>
    <row r="14302" spans="6:9" x14ac:dyDescent="0.3">
      <c r="F14302"/>
      <c r="G14302"/>
      <c r="H14302"/>
      <c r="I14302"/>
    </row>
    <row r="14303" spans="6:9" x14ac:dyDescent="0.3">
      <c r="F14303"/>
      <c r="G14303"/>
      <c r="H14303"/>
      <c r="I14303"/>
    </row>
    <row r="14304" spans="6:9" x14ac:dyDescent="0.3">
      <c r="F14304"/>
      <c r="G14304"/>
      <c r="H14304"/>
      <c r="I14304"/>
    </row>
    <row r="14305" spans="6:9" x14ac:dyDescent="0.3">
      <c r="F14305"/>
      <c r="G14305"/>
      <c r="H14305"/>
      <c r="I14305"/>
    </row>
    <row r="14306" spans="6:9" x14ac:dyDescent="0.3">
      <c r="F14306"/>
      <c r="G14306"/>
      <c r="H14306"/>
      <c r="I14306"/>
    </row>
    <row r="14307" spans="6:9" x14ac:dyDescent="0.3">
      <c r="F14307"/>
      <c r="G14307"/>
      <c r="H14307"/>
      <c r="I14307"/>
    </row>
    <row r="14308" spans="6:9" x14ac:dyDescent="0.3">
      <c r="F14308"/>
      <c r="G14308"/>
      <c r="H14308"/>
      <c r="I14308"/>
    </row>
    <row r="14309" spans="6:9" x14ac:dyDescent="0.3">
      <c r="F14309"/>
      <c r="G14309"/>
      <c r="H14309"/>
      <c r="I14309"/>
    </row>
    <row r="14310" spans="6:9" x14ac:dyDescent="0.3">
      <c r="F14310"/>
      <c r="G14310"/>
      <c r="H14310"/>
      <c r="I14310"/>
    </row>
    <row r="14311" spans="6:9" x14ac:dyDescent="0.3">
      <c r="F14311"/>
      <c r="G14311"/>
      <c r="H14311"/>
      <c r="I14311"/>
    </row>
    <row r="14312" spans="6:9" x14ac:dyDescent="0.3">
      <c r="F14312"/>
      <c r="G14312"/>
      <c r="H14312"/>
      <c r="I14312"/>
    </row>
    <row r="14313" spans="6:9" x14ac:dyDescent="0.3">
      <c r="F14313"/>
      <c r="G14313"/>
      <c r="H14313"/>
      <c r="I14313"/>
    </row>
    <row r="14314" spans="6:9" x14ac:dyDescent="0.3">
      <c r="F14314"/>
      <c r="G14314"/>
      <c r="H14314"/>
      <c r="I14314"/>
    </row>
    <row r="14315" spans="6:9" x14ac:dyDescent="0.3">
      <c r="F14315"/>
      <c r="G14315"/>
      <c r="H14315"/>
      <c r="I14315"/>
    </row>
    <row r="14316" spans="6:9" x14ac:dyDescent="0.3">
      <c r="F14316"/>
      <c r="G14316"/>
      <c r="H14316"/>
      <c r="I14316"/>
    </row>
    <row r="14317" spans="6:9" x14ac:dyDescent="0.3">
      <c r="F14317"/>
      <c r="G14317"/>
      <c r="H14317"/>
      <c r="I14317"/>
    </row>
    <row r="14318" spans="6:9" x14ac:dyDescent="0.3">
      <c r="F14318"/>
      <c r="G14318"/>
      <c r="H14318"/>
      <c r="I14318"/>
    </row>
    <row r="14319" spans="6:9" x14ac:dyDescent="0.3">
      <c r="F14319"/>
      <c r="G14319"/>
      <c r="H14319"/>
      <c r="I14319"/>
    </row>
    <row r="14320" spans="6:9" x14ac:dyDescent="0.3">
      <c r="F14320"/>
      <c r="G14320"/>
      <c r="H14320"/>
      <c r="I14320"/>
    </row>
    <row r="14321" spans="6:9" x14ac:dyDescent="0.3">
      <c r="F14321"/>
      <c r="G14321"/>
      <c r="H14321"/>
      <c r="I14321"/>
    </row>
    <row r="14322" spans="6:9" x14ac:dyDescent="0.3">
      <c r="F14322"/>
      <c r="G14322"/>
      <c r="H14322"/>
      <c r="I14322"/>
    </row>
    <row r="14323" spans="6:9" x14ac:dyDescent="0.3">
      <c r="F14323"/>
      <c r="G14323"/>
      <c r="H14323"/>
      <c r="I14323"/>
    </row>
    <row r="14324" spans="6:9" x14ac:dyDescent="0.3">
      <c r="F14324"/>
      <c r="G14324"/>
      <c r="H14324"/>
      <c r="I14324"/>
    </row>
    <row r="14325" spans="6:9" x14ac:dyDescent="0.3">
      <c r="F14325"/>
      <c r="G14325"/>
      <c r="H14325"/>
      <c r="I14325"/>
    </row>
    <row r="14326" spans="6:9" x14ac:dyDescent="0.3">
      <c r="F14326"/>
      <c r="G14326"/>
      <c r="H14326"/>
      <c r="I14326"/>
    </row>
    <row r="14327" spans="6:9" x14ac:dyDescent="0.3">
      <c r="F14327"/>
      <c r="G14327"/>
      <c r="H14327"/>
      <c r="I14327"/>
    </row>
    <row r="14328" spans="6:9" x14ac:dyDescent="0.3">
      <c r="F14328"/>
      <c r="G14328"/>
      <c r="H14328"/>
      <c r="I14328"/>
    </row>
    <row r="14329" spans="6:9" x14ac:dyDescent="0.3">
      <c r="F14329"/>
      <c r="G14329"/>
      <c r="H14329"/>
      <c r="I14329"/>
    </row>
    <row r="14330" spans="6:9" x14ac:dyDescent="0.3">
      <c r="F14330"/>
      <c r="G14330"/>
      <c r="H14330"/>
      <c r="I14330"/>
    </row>
    <row r="14331" spans="6:9" x14ac:dyDescent="0.3">
      <c r="F14331"/>
      <c r="G14331"/>
      <c r="H14331"/>
      <c r="I14331"/>
    </row>
    <row r="14332" spans="6:9" x14ac:dyDescent="0.3">
      <c r="F14332"/>
      <c r="G14332"/>
      <c r="H14332"/>
      <c r="I14332"/>
    </row>
    <row r="14333" spans="6:9" x14ac:dyDescent="0.3">
      <c r="F14333"/>
      <c r="G14333"/>
      <c r="H14333"/>
      <c r="I14333"/>
    </row>
    <row r="14334" spans="6:9" x14ac:dyDescent="0.3">
      <c r="F14334"/>
      <c r="G14334"/>
      <c r="H14334"/>
      <c r="I14334"/>
    </row>
    <row r="14335" spans="6:9" x14ac:dyDescent="0.3">
      <c r="F14335"/>
      <c r="G14335"/>
      <c r="H14335"/>
      <c r="I14335"/>
    </row>
    <row r="14336" spans="6:9" x14ac:dyDescent="0.3">
      <c r="F14336"/>
      <c r="G14336"/>
      <c r="H14336"/>
      <c r="I14336"/>
    </row>
    <row r="14337" spans="6:9" x14ac:dyDescent="0.3">
      <c r="F14337"/>
      <c r="G14337"/>
      <c r="H14337"/>
      <c r="I14337"/>
    </row>
    <row r="14338" spans="6:9" x14ac:dyDescent="0.3">
      <c r="F14338"/>
      <c r="G14338"/>
      <c r="H14338"/>
      <c r="I14338"/>
    </row>
    <row r="14339" spans="6:9" x14ac:dyDescent="0.3">
      <c r="F14339"/>
      <c r="G14339"/>
      <c r="H14339"/>
      <c r="I14339"/>
    </row>
    <row r="14340" spans="6:9" x14ac:dyDescent="0.3">
      <c r="F14340"/>
      <c r="G14340"/>
      <c r="H14340"/>
      <c r="I14340"/>
    </row>
    <row r="14341" spans="6:9" x14ac:dyDescent="0.3">
      <c r="F14341"/>
      <c r="G14341"/>
      <c r="H14341"/>
      <c r="I14341"/>
    </row>
    <row r="14342" spans="6:9" x14ac:dyDescent="0.3">
      <c r="F14342"/>
      <c r="G14342"/>
      <c r="H14342"/>
      <c r="I14342"/>
    </row>
    <row r="14343" spans="6:9" x14ac:dyDescent="0.3">
      <c r="F14343"/>
      <c r="G14343"/>
      <c r="H14343"/>
      <c r="I14343"/>
    </row>
    <row r="14344" spans="6:9" x14ac:dyDescent="0.3">
      <c r="F14344"/>
      <c r="G14344"/>
      <c r="H14344"/>
      <c r="I14344"/>
    </row>
    <row r="14345" spans="6:9" x14ac:dyDescent="0.3">
      <c r="F14345"/>
      <c r="G14345"/>
      <c r="H14345"/>
      <c r="I14345"/>
    </row>
    <row r="14346" spans="6:9" x14ac:dyDescent="0.3">
      <c r="F14346"/>
      <c r="G14346"/>
      <c r="H14346"/>
      <c r="I14346"/>
    </row>
    <row r="14347" spans="6:9" x14ac:dyDescent="0.3">
      <c r="F14347"/>
      <c r="G14347"/>
      <c r="H14347"/>
      <c r="I14347"/>
    </row>
    <row r="14348" spans="6:9" x14ac:dyDescent="0.3">
      <c r="F14348"/>
      <c r="G14348"/>
      <c r="H14348"/>
      <c r="I14348"/>
    </row>
    <row r="14349" spans="6:9" x14ac:dyDescent="0.3">
      <c r="F14349"/>
      <c r="G14349"/>
      <c r="H14349"/>
      <c r="I14349"/>
    </row>
    <row r="14350" spans="6:9" x14ac:dyDescent="0.3">
      <c r="F14350"/>
      <c r="G14350"/>
      <c r="H14350"/>
      <c r="I14350"/>
    </row>
    <row r="14351" spans="6:9" x14ac:dyDescent="0.3">
      <c r="F14351"/>
      <c r="G14351"/>
      <c r="H14351"/>
      <c r="I14351"/>
    </row>
    <row r="14352" spans="6:9" x14ac:dyDescent="0.3">
      <c r="F14352"/>
      <c r="G14352"/>
      <c r="H14352"/>
      <c r="I14352"/>
    </row>
    <row r="14353" spans="6:9" x14ac:dyDescent="0.3">
      <c r="F14353"/>
      <c r="G14353"/>
      <c r="H14353"/>
      <c r="I14353"/>
    </row>
    <row r="14354" spans="6:9" x14ac:dyDescent="0.3">
      <c r="F14354"/>
      <c r="G14354"/>
      <c r="H14354"/>
      <c r="I14354"/>
    </row>
    <row r="14355" spans="6:9" x14ac:dyDescent="0.3">
      <c r="F14355"/>
      <c r="G14355"/>
      <c r="H14355"/>
      <c r="I14355"/>
    </row>
    <row r="14356" spans="6:9" x14ac:dyDescent="0.3">
      <c r="F14356"/>
      <c r="G14356"/>
      <c r="H14356"/>
      <c r="I14356"/>
    </row>
    <row r="14357" spans="6:9" x14ac:dyDescent="0.3">
      <c r="F14357"/>
      <c r="G14357"/>
      <c r="H14357"/>
      <c r="I14357"/>
    </row>
    <row r="14358" spans="6:9" x14ac:dyDescent="0.3">
      <c r="F14358"/>
      <c r="G14358"/>
      <c r="H14358"/>
      <c r="I14358"/>
    </row>
    <row r="14359" spans="6:9" x14ac:dyDescent="0.3">
      <c r="F14359"/>
      <c r="G14359"/>
      <c r="H14359"/>
      <c r="I14359"/>
    </row>
    <row r="14360" spans="6:9" x14ac:dyDescent="0.3">
      <c r="F14360"/>
      <c r="G14360"/>
      <c r="H14360"/>
      <c r="I14360"/>
    </row>
    <row r="14361" spans="6:9" x14ac:dyDescent="0.3">
      <c r="F14361"/>
      <c r="G14361"/>
      <c r="H14361"/>
      <c r="I14361"/>
    </row>
    <row r="14362" spans="6:9" x14ac:dyDescent="0.3">
      <c r="F14362"/>
      <c r="G14362"/>
      <c r="H14362"/>
      <c r="I14362"/>
    </row>
    <row r="14363" spans="6:9" x14ac:dyDescent="0.3">
      <c r="F14363"/>
      <c r="G14363"/>
      <c r="H14363"/>
      <c r="I14363"/>
    </row>
    <row r="14364" spans="6:9" x14ac:dyDescent="0.3">
      <c r="F14364"/>
      <c r="G14364"/>
      <c r="H14364"/>
      <c r="I14364"/>
    </row>
    <row r="14365" spans="6:9" x14ac:dyDescent="0.3">
      <c r="F14365"/>
      <c r="G14365"/>
      <c r="H14365"/>
      <c r="I14365"/>
    </row>
    <row r="14366" spans="6:9" x14ac:dyDescent="0.3">
      <c r="F14366"/>
      <c r="G14366"/>
      <c r="H14366"/>
      <c r="I14366"/>
    </row>
    <row r="14367" spans="6:9" x14ac:dyDescent="0.3">
      <c r="F14367"/>
      <c r="G14367"/>
      <c r="H14367"/>
      <c r="I14367"/>
    </row>
    <row r="14368" spans="6:9" x14ac:dyDescent="0.3">
      <c r="F14368"/>
      <c r="G14368"/>
      <c r="H14368"/>
      <c r="I14368"/>
    </row>
    <row r="14369" spans="6:9" x14ac:dyDescent="0.3">
      <c r="F14369"/>
      <c r="G14369"/>
      <c r="H14369"/>
      <c r="I14369"/>
    </row>
    <row r="14370" spans="6:9" x14ac:dyDescent="0.3">
      <c r="F14370"/>
      <c r="G14370"/>
      <c r="H14370"/>
      <c r="I14370"/>
    </row>
    <row r="14371" spans="6:9" x14ac:dyDescent="0.3">
      <c r="F14371"/>
      <c r="G14371"/>
      <c r="H14371"/>
      <c r="I14371"/>
    </row>
    <row r="14372" spans="6:9" x14ac:dyDescent="0.3">
      <c r="F14372"/>
      <c r="G14372"/>
      <c r="H14372"/>
      <c r="I14372"/>
    </row>
    <row r="14373" spans="6:9" x14ac:dyDescent="0.3">
      <c r="F14373"/>
      <c r="G14373"/>
      <c r="H14373"/>
      <c r="I14373"/>
    </row>
    <row r="14374" spans="6:9" x14ac:dyDescent="0.3">
      <c r="F14374"/>
      <c r="G14374"/>
      <c r="H14374"/>
      <c r="I14374"/>
    </row>
    <row r="14375" spans="6:9" x14ac:dyDescent="0.3">
      <c r="F14375"/>
      <c r="G14375"/>
      <c r="H14375"/>
      <c r="I14375"/>
    </row>
    <row r="14376" spans="6:9" x14ac:dyDescent="0.3">
      <c r="F14376"/>
      <c r="G14376"/>
      <c r="H14376"/>
      <c r="I14376"/>
    </row>
    <row r="14377" spans="6:9" x14ac:dyDescent="0.3">
      <c r="F14377"/>
      <c r="G14377"/>
      <c r="H14377"/>
      <c r="I14377"/>
    </row>
    <row r="14378" spans="6:9" x14ac:dyDescent="0.3">
      <c r="F14378"/>
      <c r="G14378"/>
      <c r="H14378"/>
      <c r="I14378"/>
    </row>
    <row r="14379" spans="6:9" x14ac:dyDescent="0.3">
      <c r="F14379"/>
      <c r="G14379"/>
      <c r="H14379"/>
      <c r="I14379"/>
    </row>
    <row r="14380" spans="6:9" x14ac:dyDescent="0.3">
      <c r="F14380"/>
      <c r="G14380"/>
      <c r="H14380"/>
      <c r="I14380"/>
    </row>
    <row r="14381" spans="6:9" x14ac:dyDescent="0.3">
      <c r="F14381"/>
      <c r="G14381"/>
      <c r="H14381"/>
      <c r="I14381"/>
    </row>
    <row r="14382" spans="6:9" x14ac:dyDescent="0.3">
      <c r="F14382"/>
      <c r="G14382"/>
      <c r="H14382"/>
      <c r="I14382"/>
    </row>
    <row r="14383" spans="6:9" x14ac:dyDescent="0.3">
      <c r="F14383"/>
      <c r="G14383"/>
      <c r="H14383"/>
      <c r="I14383"/>
    </row>
    <row r="14384" spans="6:9" x14ac:dyDescent="0.3">
      <c r="F14384"/>
      <c r="G14384"/>
      <c r="H14384"/>
      <c r="I14384"/>
    </row>
    <row r="14385" spans="6:9" x14ac:dyDescent="0.3">
      <c r="F14385"/>
      <c r="G14385"/>
      <c r="H14385"/>
      <c r="I14385"/>
    </row>
    <row r="14386" spans="6:9" x14ac:dyDescent="0.3">
      <c r="F14386"/>
      <c r="G14386"/>
      <c r="H14386"/>
      <c r="I14386"/>
    </row>
    <row r="14387" spans="6:9" x14ac:dyDescent="0.3">
      <c r="F14387"/>
      <c r="G14387"/>
      <c r="H14387"/>
      <c r="I14387"/>
    </row>
    <row r="14388" spans="6:9" x14ac:dyDescent="0.3">
      <c r="F14388"/>
      <c r="G14388"/>
      <c r="H14388"/>
      <c r="I14388"/>
    </row>
    <row r="14389" spans="6:9" x14ac:dyDescent="0.3">
      <c r="F14389"/>
      <c r="G14389"/>
      <c r="H14389"/>
      <c r="I14389"/>
    </row>
    <row r="14390" spans="6:9" x14ac:dyDescent="0.3">
      <c r="F14390"/>
      <c r="G14390"/>
      <c r="H14390"/>
      <c r="I14390"/>
    </row>
    <row r="14391" spans="6:9" x14ac:dyDescent="0.3">
      <c r="F14391"/>
      <c r="G14391"/>
      <c r="H14391"/>
      <c r="I14391"/>
    </row>
    <row r="14392" spans="6:9" x14ac:dyDescent="0.3">
      <c r="F14392"/>
      <c r="G14392"/>
      <c r="H14392"/>
      <c r="I14392"/>
    </row>
    <row r="14393" spans="6:9" x14ac:dyDescent="0.3">
      <c r="F14393"/>
      <c r="G14393"/>
      <c r="H14393"/>
      <c r="I14393"/>
    </row>
    <row r="14394" spans="6:9" x14ac:dyDescent="0.3">
      <c r="F14394"/>
      <c r="G14394"/>
      <c r="H14394"/>
      <c r="I14394"/>
    </row>
    <row r="14395" spans="6:9" x14ac:dyDescent="0.3">
      <c r="F14395"/>
      <c r="G14395"/>
      <c r="H14395"/>
      <c r="I14395"/>
    </row>
    <row r="14396" spans="6:9" x14ac:dyDescent="0.3">
      <c r="F14396"/>
      <c r="G14396"/>
      <c r="H14396"/>
      <c r="I14396"/>
    </row>
    <row r="14397" spans="6:9" x14ac:dyDescent="0.3">
      <c r="F14397"/>
      <c r="G14397"/>
      <c r="H14397"/>
      <c r="I14397"/>
    </row>
    <row r="14398" spans="6:9" x14ac:dyDescent="0.3">
      <c r="F14398"/>
      <c r="G14398"/>
      <c r="H14398"/>
      <c r="I14398"/>
    </row>
    <row r="14399" spans="6:9" x14ac:dyDescent="0.3">
      <c r="F14399"/>
      <c r="G14399"/>
      <c r="H14399"/>
      <c r="I14399"/>
    </row>
    <row r="14400" spans="6:9" x14ac:dyDescent="0.3">
      <c r="F14400"/>
      <c r="G14400"/>
      <c r="H14400"/>
      <c r="I14400"/>
    </row>
    <row r="14401" spans="6:9" x14ac:dyDescent="0.3">
      <c r="F14401"/>
      <c r="G14401"/>
      <c r="H14401"/>
      <c r="I14401"/>
    </row>
    <row r="14402" spans="6:9" x14ac:dyDescent="0.3">
      <c r="F14402"/>
      <c r="G14402"/>
      <c r="H14402"/>
      <c r="I14402"/>
    </row>
    <row r="14403" spans="6:9" x14ac:dyDescent="0.3">
      <c r="F14403"/>
      <c r="G14403"/>
      <c r="H14403"/>
      <c r="I14403"/>
    </row>
    <row r="14404" spans="6:9" x14ac:dyDescent="0.3">
      <c r="F14404"/>
      <c r="G14404"/>
      <c r="H14404"/>
      <c r="I14404"/>
    </row>
    <row r="14405" spans="6:9" x14ac:dyDescent="0.3">
      <c r="F14405"/>
      <c r="G14405"/>
      <c r="H14405"/>
      <c r="I14405"/>
    </row>
    <row r="14406" spans="6:9" x14ac:dyDescent="0.3">
      <c r="F14406"/>
      <c r="G14406"/>
      <c r="H14406"/>
      <c r="I14406"/>
    </row>
    <row r="14407" spans="6:9" x14ac:dyDescent="0.3">
      <c r="F14407"/>
      <c r="G14407"/>
      <c r="H14407"/>
      <c r="I14407"/>
    </row>
    <row r="14408" spans="6:9" x14ac:dyDescent="0.3">
      <c r="F14408"/>
      <c r="G14408"/>
      <c r="H14408"/>
      <c r="I14408"/>
    </row>
    <row r="14409" spans="6:9" x14ac:dyDescent="0.3">
      <c r="F14409"/>
      <c r="G14409"/>
      <c r="H14409"/>
      <c r="I14409"/>
    </row>
    <row r="14410" spans="6:9" x14ac:dyDescent="0.3">
      <c r="F14410"/>
      <c r="G14410"/>
      <c r="H14410"/>
      <c r="I14410"/>
    </row>
    <row r="14411" spans="6:9" x14ac:dyDescent="0.3">
      <c r="F14411"/>
      <c r="G14411"/>
      <c r="H14411"/>
      <c r="I14411"/>
    </row>
    <row r="14412" spans="6:9" x14ac:dyDescent="0.3">
      <c r="F14412"/>
      <c r="G14412"/>
      <c r="H14412"/>
      <c r="I14412"/>
    </row>
    <row r="14413" spans="6:9" x14ac:dyDescent="0.3">
      <c r="F14413"/>
      <c r="G14413"/>
      <c r="H14413"/>
      <c r="I14413"/>
    </row>
    <row r="14414" spans="6:9" x14ac:dyDescent="0.3">
      <c r="F14414"/>
      <c r="G14414"/>
      <c r="H14414"/>
      <c r="I14414"/>
    </row>
    <row r="14415" spans="6:9" x14ac:dyDescent="0.3">
      <c r="F14415"/>
      <c r="G14415"/>
      <c r="H14415"/>
      <c r="I14415"/>
    </row>
    <row r="14416" spans="6:9" x14ac:dyDescent="0.3">
      <c r="F14416"/>
      <c r="G14416"/>
      <c r="H14416"/>
      <c r="I14416"/>
    </row>
    <row r="14417" spans="6:9" x14ac:dyDescent="0.3">
      <c r="F14417"/>
      <c r="G14417"/>
      <c r="H14417"/>
      <c r="I14417"/>
    </row>
    <row r="14418" spans="6:9" x14ac:dyDescent="0.3">
      <c r="F14418"/>
      <c r="G14418"/>
      <c r="H14418"/>
      <c r="I14418"/>
    </row>
    <row r="14419" spans="6:9" x14ac:dyDescent="0.3">
      <c r="F14419"/>
      <c r="G14419"/>
      <c r="H14419"/>
      <c r="I14419"/>
    </row>
    <row r="14420" spans="6:9" x14ac:dyDescent="0.3">
      <c r="F14420"/>
      <c r="G14420"/>
      <c r="H14420"/>
      <c r="I14420"/>
    </row>
    <row r="14421" spans="6:9" x14ac:dyDescent="0.3">
      <c r="F14421"/>
      <c r="G14421"/>
      <c r="H14421"/>
      <c r="I14421"/>
    </row>
    <row r="14422" spans="6:9" x14ac:dyDescent="0.3">
      <c r="F14422"/>
      <c r="G14422"/>
      <c r="H14422"/>
      <c r="I14422"/>
    </row>
    <row r="14423" spans="6:9" x14ac:dyDescent="0.3">
      <c r="F14423"/>
      <c r="G14423"/>
      <c r="H14423"/>
      <c r="I14423"/>
    </row>
    <row r="14424" spans="6:9" x14ac:dyDescent="0.3">
      <c r="F14424"/>
      <c r="G14424"/>
      <c r="H14424"/>
      <c r="I14424"/>
    </row>
    <row r="14425" spans="6:9" x14ac:dyDescent="0.3">
      <c r="F14425"/>
      <c r="G14425"/>
      <c r="H14425"/>
      <c r="I14425"/>
    </row>
    <row r="14426" spans="6:9" x14ac:dyDescent="0.3">
      <c r="F14426"/>
      <c r="G14426"/>
      <c r="H14426"/>
      <c r="I14426"/>
    </row>
    <row r="14427" spans="6:9" x14ac:dyDescent="0.3">
      <c r="F14427"/>
      <c r="G14427"/>
      <c r="H14427"/>
      <c r="I14427"/>
    </row>
    <row r="14428" spans="6:9" x14ac:dyDescent="0.3">
      <c r="F14428"/>
      <c r="G14428"/>
      <c r="H14428"/>
      <c r="I14428"/>
    </row>
    <row r="14429" spans="6:9" x14ac:dyDescent="0.3">
      <c r="F14429"/>
      <c r="G14429"/>
      <c r="H14429"/>
      <c r="I14429"/>
    </row>
    <row r="14430" spans="6:9" x14ac:dyDescent="0.3">
      <c r="F14430"/>
      <c r="G14430"/>
      <c r="H14430"/>
      <c r="I14430"/>
    </row>
    <row r="14431" spans="6:9" x14ac:dyDescent="0.3">
      <c r="F14431"/>
      <c r="G14431"/>
      <c r="H14431"/>
      <c r="I14431"/>
    </row>
    <row r="14432" spans="6:9" x14ac:dyDescent="0.3">
      <c r="F14432"/>
      <c r="G14432"/>
      <c r="H14432"/>
      <c r="I14432"/>
    </row>
    <row r="14433" spans="6:9" x14ac:dyDescent="0.3">
      <c r="F14433"/>
      <c r="G14433"/>
      <c r="H14433"/>
      <c r="I14433"/>
    </row>
    <row r="14434" spans="6:9" x14ac:dyDescent="0.3">
      <c r="F14434"/>
      <c r="G14434"/>
      <c r="H14434"/>
      <c r="I14434"/>
    </row>
    <row r="14435" spans="6:9" x14ac:dyDescent="0.3">
      <c r="F14435"/>
      <c r="G14435"/>
      <c r="H14435"/>
      <c r="I14435"/>
    </row>
    <row r="14436" spans="6:9" x14ac:dyDescent="0.3">
      <c r="F14436"/>
      <c r="G14436"/>
      <c r="H14436"/>
      <c r="I14436"/>
    </row>
    <row r="14437" spans="6:9" x14ac:dyDescent="0.3">
      <c r="F14437"/>
      <c r="G14437"/>
      <c r="H14437"/>
      <c r="I14437"/>
    </row>
    <row r="14438" spans="6:9" x14ac:dyDescent="0.3">
      <c r="F14438"/>
      <c r="G14438"/>
      <c r="H14438"/>
      <c r="I14438"/>
    </row>
    <row r="14439" spans="6:9" x14ac:dyDescent="0.3">
      <c r="F14439"/>
      <c r="G14439"/>
      <c r="H14439"/>
      <c r="I14439"/>
    </row>
    <row r="14440" spans="6:9" x14ac:dyDescent="0.3">
      <c r="F14440"/>
      <c r="G14440"/>
      <c r="H14440"/>
      <c r="I14440"/>
    </row>
    <row r="14441" spans="6:9" x14ac:dyDescent="0.3">
      <c r="F14441"/>
      <c r="G14441"/>
      <c r="H14441"/>
      <c r="I14441"/>
    </row>
    <row r="14442" spans="6:9" x14ac:dyDescent="0.3">
      <c r="F14442"/>
      <c r="G14442"/>
      <c r="H14442"/>
      <c r="I14442"/>
    </row>
    <row r="14443" spans="6:9" x14ac:dyDescent="0.3">
      <c r="F14443"/>
      <c r="G14443"/>
      <c r="H14443"/>
      <c r="I14443"/>
    </row>
    <row r="14444" spans="6:9" x14ac:dyDescent="0.3">
      <c r="F14444"/>
      <c r="G14444"/>
      <c r="H14444"/>
      <c r="I14444"/>
    </row>
    <row r="14445" spans="6:9" x14ac:dyDescent="0.3">
      <c r="F14445"/>
      <c r="G14445"/>
      <c r="H14445"/>
      <c r="I14445"/>
    </row>
    <row r="14446" spans="6:9" x14ac:dyDescent="0.3">
      <c r="F14446"/>
      <c r="G14446"/>
      <c r="H14446"/>
      <c r="I14446"/>
    </row>
    <row r="14447" spans="6:9" x14ac:dyDescent="0.3">
      <c r="F14447"/>
      <c r="G14447"/>
      <c r="H14447"/>
      <c r="I14447"/>
    </row>
    <row r="14448" spans="6:9" x14ac:dyDescent="0.3">
      <c r="F14448"/>
      <c r="G14448"/>
      <c r="H14448"/>
      <c r="I14448"/>
    </row>
    <row r="14449" spans="6:9" x14ac:dyDescent="0.3">
      <c r="F14449"/>
      <c r="G14449"/>
      <c r="H14449"/>
      <c r="I14449"/>
    </row>
    <row r="14450" spans="6:9" x14ac:dyDescent="0.3">
      <c r="F14450"/>
      <c r="G14450"/>
      <c r="H14450"/>
      <c r="I14450"/>
    </row>
    <row r="14451" spans="6:9" x14ac:dyDescent="0.3">
      <c r="F14451"/>
      <c r="G14451"/>
      <c r="H14451"/>
      <c r="I14451"/>
    </row>
    <row r="14452" spans="6:9" x14ac:dyDescent="0.3">
      <c r="F14452"/>
      <c r="G14452"/>
      <c r="H14452"/>
      <c r="I14452"/>
    </row>
    <row r="14453" spans="6:9" x14ac:dyDescent="0.3">
      <c r="F14453"/>
      <c r="G14453"/>
      <c r="H14453"/>
      <c r="I14453"/>
    </row>
    <row r="14454" spans="6:9" x14ac:dyDescent="0.3">
      <c r="F14454"/>
      <c r="G14454"/>
      <c r="H14454"/>
      <c r="I14454"/>
    </row>
    <row r="14455" spans="6:9" x14ac:dyDescent="0.3">
      <c r="F14455"/>
      <c r="G14455"/>
      <c r="H14455"/>
      <c r="I14455"/>
    </row>
    <row r="14456" spans="6:9" x14ac:dyDescent="0.3">
      <c r="F14456"/>
      <c r="G14456"/>
      <c r="H14456"/>
      <c r="I14456"/>
    </row>
    <row r="14457" spans="6:9" x14ac:dyDescent="0.3">
      <c r="F14457"/>
      <c r="G14457"/>
      <c r="H14457"/>
      <c r="I14457"/>
    </row>
    <row r="14458" spans="6:9" x14ac:dyDescent="0.3">
      <c r="F14458"/>
      <c r="G14458"/>
      <c r="H14458"/>
      <c r="I14458"/>
    </row>
    <row r="14459" spans="6:9" x14ac:dyDescent="0.3">
      <c r="F14459"/>
      <c r="G14459"/>
      <c r="H14459"/>
      <c r="I14459"/>
    </row>
    <row r="14460" spans="6:9" x14ac:dyDescent="0.3">
      <c r="F14460"/>
      <c r="G14460"/>
      <c r="H14460"/>
      <c r="I14460"/>
    </row>
    <row r="14461" spans="6:9" x14ac:dyDescent="0.3">
      <c r="F14461"/>
      <c r="G14461"/>
      <c r="H14461"/>
      <c r="I14461"/>
    </row>
    <row r="14462" spans="6:9" x14ac:dyDescent="0.3">
      <c r="F14462"/>
      <c r="G14462"/>
      <c r="H14462"/>
      <c r="I14462"/>
    </row>
    <row r="14463" spans="6:9" x14ac:dyDescent="0.3">
      <c r="F14463"/>
      <c r="G14463"/>
      <c r="H14463"/>
      <c r="I14463"/>
    </row>
    <row r="14464" spans="6:9" x14ac:dyDescent="0.3">
      <c r="F14464"/>
      <c r="G14464"/>
      <c r="H14464"/>
      <c r="I14464"/>
    </row>
    <row r="14465" spans="6:9" x14ac:dyDescent="0.3">
      <c r="F14465"/>
      <c r="G14465"/>
      <c r="H14465"/>
      <c r="I14465"/>
    </row>
    <row r="14466" spans="6:9" x14ac:dyDescent="0.3">
      <c r="F14466"/>
      <c r="G14466"/>
      <c r="H14466"/>
      <c r="I14466"/>
    </row>
    <row r="14467" spans="6:9" x14ac:dyDescent="0.3">
      <c r="F14467"/>
      <c r="G14467"/>
      <c r="H14467"/>
      <c r="I14467"/>
    </row>
    <row r="14468" spans="6:9" x14ac:dyDescent="0.3">
      <c r="F14468"/>
      <c r="G14468"/>
      <c r="H14468"/>
      <c r="I14468"/>
    </row>
    <row r="14469" spans="6:9" x14ac:dyDescent="0.3">
      <c r="F14469"/>
      <c r="G14469"/>
      <c r="H14469"/>
      <c r="I14469"/>
    </row>
    <row r="14470" spans="6:9" x14ac:dyDescent="0.3">
      <c r="F14470"/>
      <c r="G14470"/>
      <c r="H14470"/>
      <c r="I14470"/>
    </row>
    <row r="14471" spans="6:9" x14ac:dyDescent="0.3">
      <c r="F14471"/>
      <c r="G14471"/>
      <c r="H14471"/>
      <c r="I14471"/>
    </row>
    <row r="14472" spans="6:9" x14ac:dyDescent="0.3">
      <c r="F14472"/>
      <c r="G14472"/>
      <c r="H14472"/>
      <c r="I14472"/>
    </row>
    <row r="14473" spans="6:9" x14ac:dyDescent="0.3">
      <c r="F14473"/>
      <c r="G14473"/>
      <c r="H14473"/>
      <c r="I14473"/>
    </row>
    <row r="14474" spans="6:9" x14ac:dyDescent="0.3">
      <c r="F14474"/>
      <c r="G14474"/>
      <c r="H14474"/>
      <c r="I14474"/>
    </row>
    <row r="14475" spans="6:9" x14ac:dyDescent="0.3">
      <c r="F14475"/>
      <c r="G14475"/>
      <c r="H14475"/>
      <c r="I14475"/>
    </row>
    <row r="14476" spans="6:9" x14ac:dyDescent="0.3">
      <c r="F14476"/>
      <c r="G14476"/>
      <c r="H14476"/>
      <c r="I14476"/>
    </row>
    <row r="14477" spans="6:9" x14ac:dyDescent="0.3">
      <c r="F14477"/>
      <c r="G14477"/>
      <c r="H14477"/>
      <c r="I14477"/>
    </row>
    <row r="14478" spans="6:9" x14ac:dyDescent="0.3">
      <c r="F14478"/>
      <c r="G14478"/>
      <c r="H14478"/>
      <c r="I14478"/>
    </row>
    <row r="14479" spans="6:9" x14ac:dyDescent="0.3">
      <c r="F14479"/>
      <c r="G14479"/>
      <c r="H14479"/>
      <c r="I14479"/>
    </row>
    <row r="14480" spans="6:9" x14ac:dyDescent="0.3">
      <c r="F14480"/>
      <c r="G14480"/>
      <c r="H14480"/>
      <c r="I14480"/>
    </row>
    <row r="14481" spans="6:9" x14ac:dyDescent="0.3">
      <c r="F14481"/>
      <c r="G14481"/>
      <c r="H14481"/>
      <c r="I14481"/>
    </row>
    <row r="14482" spans="6:9" x14ac:dyDescent="0.3">
      <c r="F14482"/>
      <c r="G14482"/>
      <c r="H14482"/>
      <c r="I14482"/>
    </row>
    <row r="14483" spans="6:9" x14ac:dyDescent="0.3">
      <c r="F14483"/>
      <c r="G14483"/>
      <c r="H14483"/>
      <c r="I14483"/>
    </row>
    <row r="14484" spans="6:9" x14ac:dyDescent="0.3">
      <c r="F14484"/>
      <c r="G14484"/>
      <c r="H14484"/>
      <c r="I14484"/>
    </row>
    <row r="14485" spans="6:9" x14ac:dyDescent="0.3">
      <c r="F14485"/>
      <c r="G14485"/>
      <c r="H14485"/>
      <c r="I14485"/>
    </row>
    <row r="14486" spans="6:9" x14ac:dyDescent="0.3">
      <c r="F14486"/>
      <c r="G14486"/>
      <c r="H14486"/>
      <c r="I14486"/>
    </row>
    <row r="14487" spans="6:9" x14ac:dyDescent="0.3">
      <c r="F14487"/>
      <c r="G14487"/>
      <c r="H14487"/>
      <c r="I14487"/>
    </row>
    <row r="14488" spans="6:9" x14ac:dyDescent="0.3">
      <c r="F14488"/>
      <c r="G14488"/>
      <c r="H14488"/>
      <c r="I14488"/>
    </row>
    <row r="14489" spans="6:9" x14ac:dyDescent="0.3">
      <c r="F14489"/>
      <c r="G14489"/>
      <c r="H14489"/>
      <c r="I14489"/>
    </row>
    <row r="14490" spans="6:9" x14ac:dyDescent="0.3">
      <c r="F14490"/>
      <c r="G14490"/>
      <c r="H14490"/>
      <c r="I14490"/>
    </row>
    <row r="14491" spans="6:9" x14ac:dyDescent="0.3">
      <c r="F14491"/>
      <c r="G14491"/>
      <c r="H14491"/>
      <c r="I14491"/>
    </row>
    <row r="14492" spans="6:9" x14ac:dyDescent="0.3">
      <c r="F14492"/>
      <c r="G14492"/>
      <c r="H14492"/>
      <c r="I14492"/>
    </row>
    <row r="14493" spans="6:9" x14ac:dyDescent="0.3">
      <c r="F14493"/>
      <c r="G14493"/>
      <c r="H14493"/>
      <c r="I14493"/>
    </row>
    <row r="14494" spans="6:9" x14ac:dyDescent="0.3">
      <c r="F14494"/>
      <c r="G14494"/>
      <c r="H14494"/>
      <c r="I14494"/>
    </row>
    <row r="14495" spans="6:9" x14ac:dyDescent="0.3">
      <c r="F14495"/>
      <c r="G14495"/>
      <c r="H14495"/>
      <c r="I14495"/>
    </row>
    <row r="14496" spans="6:9" x14ac:dyDescent="0.3">
      <c r="F14496"/>
      <c r="G14496"/>
      <c r="H14496"/>
      <c r="I14496"/>
    </row>
    <row r="14497" spans="6:9" x14ac:dyDescent="0.3">
      <c r="F14497"/>
      <c r="G14497"/>
      <c r="H14497"/>
      <c r="I14497"/>
    </row>
    <row r="14498" spans="6:9" x14ac:dyDescent="0.3">
      <c r="F14498"/>
      <c r="G14498"/>
      <c r="H14498"/>
      <c r="I14498"/>
    </row>
    <row r="14499" spans="6:9" x14ac:dyDescent="0.3">
      <c r="F14499"/>
      <c r="G14499"/>
      <c r="H14499"/>
      <c r="I14499"/>
    </row>
    <row r="14500" spans="6:9" x14ac:dyDescent="0.3">
      <c r="F14500"/>
      <c r="G14500"/>
      <c r="H14500"/>
      <c r="I14500"/>
    </row>
    <row r="14501" spans="6:9" x14ac:dyDescent="0.3">
      <c r="F14501"/>
      <c r="G14501"/>
      <c r="H14501"/>
      <c r="I14501"/>
    </row>
    <row r="14502" spans="6:9" x14ac:dyDescent="0.3">
      <c r="F14502"/>
      <c r="G14502"/>
      <c r="H14502"/>
      <c r="I14502"/>
    </row>
    <row r="14503" spans="6:9" x14ac:dyDescent="0.3">
      <c r="F14503"/>
      <c r="G14503"/>
      <c r="H14503"/>
      <c r="I14503"/>
    </row>
    <row r="14504" spans="6:9" x14ac:dyDescent="0.3">
      <c r="F14504"/>
      <c r="G14504"/>
      <c r="H14504"/>
      <c r="I14504"/>
    </row>
    <row r="14505" spans="6:9" x14ac:dyDescent="0.3">
      <c r="F14505"/>
      <c r="G14505"/>
      <c r="H14505"/>
      <c r="I14505"/>
    </row>
    <row r="14506" spans="6:9" x14ac:dyDescent="0.3">
      <c r="F14506"/>
      <c r="G14506"/>
      <c r="H14506"/>
      <c r="I14506"/>
    </row>
    <row r="14507" spans="6:9" x14ac:dyDescent="0.3">
      <c r="F14507"/>
      <c r="G14507"/>
      <c r="H14507"/>
      <c r="I14507"/>
    </row>
    <row r="14508" spans="6:9" x14ac:dyDescent="0.3">
      <c r="F14508"/>
      <c r="G14508"/>
      <c r="H14508"/>
      <c r="I14508"/>
    </row>
    <row r="14509" spans="6:9" x14ac:dyDescent="0.3">
      <c r="F14509"/>
      <c r="G14509"/>
      <c r="H14509"/>
      <c r="I14509"/>
    </row>
    <row r="14510" spans="6:9" x14ac:dyDescent="0.3">
      <c r="F14510"/>
      <c r="G14510"/>
      <c r="H14510"/>
      <c r="I14510"/>
    </row>
    <row r="14511" spans="6:9" x14ac:dyDescent="0.3">
      <c r="F14511"/>
      <c r="G14511"/>
      <c r="H14511"/>
      <c r="I14511"/>
    </row>
    <row r="14512" spans="6:9" x14ac:dyDescent="0.3">
      <c r="F14512"/>
      <c r="G14512"/>
      <c r="H14512"/>
      <c r="I14512"/>
    </row>
    <row r="14513" spans="6:9" x14ac:dyDescent="0.3">
      <c r="F14513"/>
      <c r="G14513"/>
      <c r="H14513"/>
      <c r="I14513"/>
    </row>
    <row r="14514" spans="6:9" x14ac:dyDescent="0.3">
      <c r="F14514"/>
      <c r="G14514"/>
      <c r="H14514"/>
      <c r="I14514"/>
    </row>
    <row r="14515" spans="6:9" x14ac:dyDescent="0.3">
      <c r="F14515"/>
      <c r="G14515"/>
      <c r="H14515"/>
      <c r="I14515"/>
    </row>
    <row r="14516" spans="6:9" x14ac:dyDescent="0.3">
      <c r="F14516"/>
      <c r="G14516"/>
      <c r="H14516"/>
      <c r="I14516"/>
    </row>
    <row r="14517" spans="6:9" x14ac:dyDescent="0.3">
      <c r="F14517"/>
      <c r="G14517"/>
      <c r="H14517"/>
      <c r="I14517"/>
    </row>
    <row r="14518" spans="6:9" x14ac:dyDescent="0.3">
      <c r="F14518"/>
      <c r="G14518"/>
      <c r="H14518"/>
      <c r="I14518"/>
    </row>
    <row r="14519" spans="6:9" x14ac:dyDescent="0.3">
      <c r="F14519"/>
      <c r="G14519"/>
      <c r="H14519"/>
      <c r="I14519"/>
    </row>
    <row r="14520" spans="6:9" x14ac:dyDescent="0.3">
      <c r="F14520"/>
      <c r="G14520"/>
      <c r="H14520"/>
      <c r="I14520"/>
    </row>
    <row r="14521" spans="6:9" x14ac:dyDescent="0.3">
      <c r="F14521"/>
      <c r="G14521"/>
      <c r="H14521"/>
      <c r="I14521"/>
    </row>
    <row r="14522" spans="6:9" x14ac:dyDescent="0.3">
      <c r="F14522"/>
      <c r="G14522"/>
      <c r="H14522"/>
      <c r="I14522"/>
    </row>
    <row r="14523" spans="6:9" x14ac:dyDescent="0.3">
      <c r="F14523"/>
      <c r="G14523"/>
      <c r="H14523"/>
      <c r="I14523"/>
    </row>
    <row r="14524" spans="6:9" x14ac:dyDescent="0.3">
      <c r="F14524"/>
      <c r="G14524"/>
      <c r="H14524"/>
      <c r="I14524"/>
    </row>
    <row r="14525" spans="6:9" x14ac:dyDescent="0.3">
      <c r="F14525"/>
      <c r="G14525"/>
      <c r="H14525"/>
      <c r="I14525"/>
    </row>
    <row r="14526" spans="6:9" x14ac:dyDescent="0.3">
      <c r="F14526"/>
      <c r="G14526"/>
      <c r="H14526"/>
      <c r="I14526"/>
    </row>
    <row r="14527" spans="6:9" x14ac:dyDescent="0.3">
      <c r="F14527"/>
      <c r="G14527"/>
      <c r="H14527"/>
      <c r="I14527"/>
    </row>
    <row r="14528" spans="6:9" x14ac:dyDescent="0.3">
      <c r="F14528"/>
      <c r="G14528"/>
      <c r="H14528"/>
      <c r="I14528"/>
    </row>
    <row r="14529" spans="6:9" x14ac:dyDescent="0.3">
      <c r="F14529"/>
      <c r="G14529"/>
      <c r="H14529"/>
      <c r="I14529"/>
    </row>
    <row r="14530" spans="6:9" x14ac:dyDescent="0.3">
      <c r="F14530"/>
      <c r="G14530"/>
      <c r="H14530"/>
      <c r="I14530"/>
    </row>
    <row r="14531" spans="6:9" x14ac:dyDescent="0.3">
      <c r="F14531"/>
      <c r="G14531"/>
      <c r="H14531"/>
      <c r="I14531"/>
    </row>
    <row r="14532" spans="6:9" x14ac:dyDescent="0.3">
      <c r="F14532"/>
      <c r="G14532"/>
      <c r="H14532"/>
      <c r="I14532"/>
    </row>
    <row r="14533" spans="6:9" x14ac:dyDescent="0.3">
      <c r="F14533"/>
      <c r="G14533"/>
      <c r="H14533"/>
      <c r="I14533"/>
    </row>
    <row r="14534" spans="6:9" x14ac:dyDescent="0.3">
      <c r="F14534"/>
      <c r="G14534"/>
      <c r="H14534"/>
      <c r="I14534"/>
    </row>
    <row r="14535" spans="6:9" x14ac:dyDescent="0.3">
      <c r="F14535"/>
      <c r="G14535"/>
      <c r="H14535"/>
      <c r="I14535"/>
    </row>
    <row r="14536" spans="6:9" x14ac:dyDescent="0.3">
      <c r="F14536"/>
      <c r="G14536"/>
      <c r="H14536"/>
      <c r="I14536"/>
    </row>
    <row r="14537" spans="6:9" x14ac:dyDescent="0.3">
      <c r="F14537"/>
      <c r="G14537"/>
      <c r="H14537"/>
      <c r="I14537"/>
    </row>
    <row r="14538" spans="6:9" x14ac:dyDescent="0.3">
      <c r="F14538"/>
      <c r="G14538"/>
      <c r="H14538"/>
      <c r="I14538"/>
    </row>
    <row r="14539" spans="6:9" x14ac:dyDescent="0.3">
      <c r="F14539"/>
      <c r="G14539"/>
      <c r="H14539"/>
      <c r="I14539"/>
    </row>
    <row r="14540" spans="6:9" x14ac:dyDescent="0.3">
      <c r="F14540"/>
      <c r="G14540"/>
      <c r="H14540"/>
      <c r="I14540"/>
    </row>
    <row r="14541" spans="6:9" x14ac:dyDescent="0.3">
      <c r="F14541"/>
      <c r="G14541"/>
      <c r="H14541"/>
      <c r="I14541"/>
    </row>
    <row r="14542" spans="6:9" x14ac:dyDescent="0.3">
      <c r="F14542"/>
      <c r="G14542"/>
      <c r="H14542"/>
      <c r="I14542"/>
    </row>
    <row r="14543" spans="6:9" x14ac:dyDescent="0.3">
      <c r="F14543"/>
      <c r="G14543"/>
      <c r="H14543"/>
      <c r="I14543"/>
    </row>
    <row r="14544" spans="6:9" x14ac:dyDescent="0.3">
      <c r="F14544"/>
      <c r="G14544"/>
      <c r="H14544"/>
      <c r="I14544"/>
    </row>
    <row r="14545" spans="6:9" x14ac:dyDescent="0.3">
      <c r="F14545"/>
      <c r="G14545"/>
      <c r="H14545"/>
      <c r="I14545"/>
    </row>
    <row r="14546" spans="6:9" x14ac:dyDescent="0.3">
      <c r="F14546"/>
      <c r="G14546"/>
      <c r="H14546"/>
      <c r="I14546"/>
    </row>
    <row r="14547" spans="6:9" x14ac:dyDescent="0.3">
      <c r="F14547"/>
      <c r="G14547"/>
      <c r="H14547"/>
      <c r="I14547"/>
    </row>
    <row r="14548" spans="6:9" x14ac:dyDescent="0.3">
      <c r="F14548"/>
      <c r="G14548"/>
      <c r="H14548"/>
      <c r="I14548"/>
    </row>
    <row r="14549" spans="6:9" x14ac:dyDescent="0.3">
      <c r="F14549"/>
      <c r="G14549"/>
      <c r="H14549"/>
      <c r="I14549"/>
    </row>
    <row r="14550" spans="6:9" x14ac:dyDescent="0.3">
      <c r="F14550"/>
      <c r="G14550"/>
      <c r="H14550"/>
      <c r="I14550"/>
    </row>
    <row r="14551" spans="6:9" x14ac:dyDescent="0.3">
      <c r="F14551"/>
      <c r="G14551"/>
      <c r="H14551"/>
      <c r="I14551"/>
    </row>
    <row r="14552" spans="6:9" x14ac:dyDescent="0.3">
      <c r="F14552"/>
      <c r="G14552"/>
      <c r="H14552"/>
      <c r="I14552"/>
    </row>
    <row r="14553" spans="6:9" x14ac:dyDescent="0.3">
      <c r="F14553"/>
      <c r="G14553"/>
      <c r="H14553"/>
      <c r="I14553"/>
    </row>
    <row r="14554" spans="6:9" x14ac:dyDescent="0.3">
      <c r="F14554"/>
      <c r="G14554"/>
      <c r="H14554"/>
      <c r="I14554"/>
    </row>
    <row r="14555" spans="6:9" x14ac:dyDescent="0.3">
      <c r="F14555"/>
      <c r="G14555"/>
      <c r="H14555"/>
      <c r="I14555"/>
    </row>
    <row r="14556" spans="6:9" x14ac:dyDescent="0.3">
      <c r="F14556"/>
      <c r="G14556"/>
      <c r="H14556"/>
      <c r="I14556"/>
    </row>
    <row r="14557" spans="6:9" x14ac:dyDescent="0.3">
      <c r="F14557"/>
      <c r="G14557"/>
      <c r="H14557"/>
      <c r="I14557"/>
    </row>
    <row r="14558" spans="6:9" x14ac:dyDescent="0.3">
      <c r="F14558"/>
      <c r="G14558"/>
      <c r="H14558"/>
      <c r="I14558"/>
    </row>
    <row r="14559" spans="6:9" x14ac:dyDescent="0.3">
      <c r="F14559"/>
      <c r="G14559"/>
      <c r="H14559"/>
      <c r="I14559"/>
    </row>
    <row r="14560" spans="6:9" x14ac:dyDescent="0.3">
      <c r="F14560"/>
      <c r="G14560"/>
      <c r="H14560"/>
      <c r="I14560"/>
    </row>
    <row r="14561" spans="6:9" x14ac:dyDescent="0.3">
      <c r="F14561"/>
      <c r="G14561"/>
      <c r="H14561"/>
      <c r="I14561"/>
    </row>
    <row r="14562" spans="6:9" x14ac:dyDescent="0.3">
      <c r="F14562"/>
      <c r="G14562"/>
      <c r="H14562"/>
      <c r="I14562"/>
    </row>
    <row r="14563" spans="6:9" x14ac:dyDescent="0.3">
      <c r="F14563"/>
      <c r="G14563"/>
      <c r="H14563"/>
      <c r="I14563"/>
    </row>
    <row r="14564" spans="6:9" x14ac:dyDescent="0.3">
      <c r="F14564"/>
      <c r="G14564"/>
      <c r="H14564"/>
      <c r="I14564"/>
    </row>
    <row r="14565" spans="6:9" x14ac:dyDescent="0.3">
      <c r="F14565"/>
      <c r="G14565"/>
      <c r="H14565"/>
      <c r="I14565"/>
    </row>
    <row r="14566" spans="6:9" x14ac:dyDescent="0.3">
      <c r="F14566"/>
      <c r="G14566"/>
      <c r="H14566"/>
      <c r="I14566"/>
    </row>
    <row r="14567" spans="6:9" x14ac:dyDescent="0.3">
      <c r="F14567"/>
      <c r="G14567"/>
      <c r="H14567"/>
      <c r="I14567"/>
    </row>
    <row r="14568" spans="6:9" x14ac:dyDescent="0.3">
      <c r="F14568"/>
      <c r="G14568"/>
      <c r="H14568"/>
      <c r="I14568"/>
    </row>
    <row r="14569" spans="6:9" x14ac:dyDescent="0.3">
      <c r="F14569"/>
      <c r="G14569"/>
      <c r="H14569"/>
      <c r="I14569"/>
    </row>
    <row r="14570" spans="6:9" x14ac:dyDescent="0.3">
      <c r="F14570"/>
      <c r="G14570"/>
      <c r="H14570"/>
      <c r="I14570"/>
    </row>
    <row r="14571" spans="6:9" x14ac:dyDescent="0.3">
      <c r="F14571"/>
      <c r="G14571"/>
      <c r="H14571"/>
      <c r="I14571"/>
    </row>
    <row r="14572" spans="6:9" x14ac:dyDescent="0.3">
      <c r="F14572"/>
      <c r="G14572"/>
      <c r="H14572"/>
      <c r="I14572"/>
    </row>
    <row r="14573" spans="6:9" x14ac:dyDescent="0.3">
      <c r="F14573"/>
      <c r="G14573"/>
      <c r="H14573"/>
      <c r="I14573"/>
    </row>
    <row r="14574" spans="6:9" x14ac:dyDescent="0.3">
      <c r="F14574"/>
      <c r="G14574"/>
      <c r="H14574"/>
      <c r="I14574"/>
    </row>
    <row r="14575" spans="6:9" x14ac:dyDescent="0.3">
      <c r="F14575"/>
      <c r="G14575"/>
      <c r="H14575"/>
      <c r="I14575"/>
    </row>
    <row r="14576" spans="6:9" x14ac:dyDescent="0.3">
      <c r="F14576"/>
      <c r="G14576"/>
      <c r="H14576"/>
      <c r="I14576"/>
    </row>
    <row r="14577" spans="6:9" x14ac:dyDescent="0.3">
      <c r="F14577"/>
      <c r="G14577"/>
      <c r="H14577"/>
      <c r="I14577"/>
    </row>
    <row r="14578" spans="6:9" x14ac:dyDescent="0.3">
      <c r="F14578"/>
      <c r="G14578"/>
      <c r="H14578"/>
      <c r="I14578"/>
    </row>
    <row r="14579" spans="6:9" x14ac:dyDescent="0.3">
      <c r="F14579"/>
      <c r="G14579"/>
      <c r="H14579"/>
      <c r="I14579"/>
    </row>
    <row r="14580" spans="6:9" x14ac:dyDescent="0.3">
      <c r="F14580"/>
      <c r="G14580"/>
      <c r="H14580"/>
      <c r="I14580"/>
    </row>
    <row r="14581" spans="6:9" x14ac:dyDescent="0.3">
      <c r="F14581"/>
      <c r="G14581"/>
      <c r="H14581"/>
      <c r="I14581"/>
    </row>
    <row r="14582" spans="6:9" x14ac:dyDescent="0.3">
      <c r="F14582"/>
      <c r="G14582"/>
      <c r="H14582"/>
      <c r="I14582"/>
    </row>
    <row r="14583" spans="6:9" x14ac:dyDescent="0.3">
      <c r="F14583"/>
      <c r="G14583"/>
      <c r="H14583"/>
      <c r="I14583"/>
    </row>
    <row r="14584" spans="6:9" x14ac:dyDescent="0.3">
      <c r="F14584"/>
      <c r="G14584"/>
      <c r="H14584"/>
      <c r="I14584"/>
    </row>
    <row r="14585" spans="6:9" x14ac:dyDescent="0.3">
      <c r="F14585"/>
      <c r="G14585"/>
      <c r="H14585"/>
      <c r="I14585"/>
    </row>
    <row r="14586" spans="6:9" x14ac:dyDescent="0.3">
      <c r="F14586"/>
      <c r="G14586"/>
      <c r="H14586"/>
      <c r="I14586"/>
    </row>
    <row r="14587" spans="6:9" x14ac:dyDescent="0.3">
      <c r="F14587"/>
      <c r="G14587"/>
      <c r="H14587"/>
      <c r="I14587"/>
    </row>
    <row r="14588" spans="6:9" x14ac:dyDescent="0.3">
      <c r="F14588"/>
      <c r="G14588"/>
      <c r="H14588"/>
      <c r="I14588"/>
    </row>
    <row r="14589" spans="6:9" x14ac:dyDescent="0.3">
      <c r="F14589"/>
      <c r="G14589"/>
      <c r="H14589"/>
      <c r="I14589"/>
    </row>
    <row r="14590" spans="6:9" x14ac:dyDescent="0.3">
      <c r="F14590"/>
      <c r="G14590"/>
      <c r="H14590"/>
      <c r="I14590"/>
    </row>
    <row r="14591" spans="6:9" x14ac:dyDescent="0.3">
      <c r="F14591"/>
      <c r="G14591"/>
      <c r="H14591"/>
      <c r="I14591"/>
    </row>
    <row r="14592" spans="6:9" x14ac:dyDescent="0.3">
      <c r="F14592"/>
      <c r="G14592"/>
      <c r="H14592"/>
      <c r="I14592"/>
    </row>
    <row r="14593" spans="6:9" x14ac:dyDescent="0.3">
      <c r="F14593"/>
      <c r="G14593"/>
      <c r="H14593"/>
      <c r="I14593"/>
    </row>
    <row r="14594" spans="6:9" x14ac:dyDescent="0.3">
      <c r="F14594"/>
      <c r="G14594"/>
      <c r="H14594"/>
      <c r="I14594"/>
    </row>
    <row r="14595" spans="6:9" x14ac:dyDescent="0.3">
      <c r="F14595"/>
      <c r="G14595"/>
      <c r="H14595"/>
      <c r="I14595"/>
    </row>
    <row r="14596" spans="6:9" x14ac:dyDescent="0.3">
      <c r="F14596"/>
      <c r="G14596"/>
      <c r="H14596"/>
      <c r="I14596"/>
    </row>
    <row r="14597" spans="6:9" x14ac:dyDescent="0.3">
      <c r="F14597"/>
      <c r="G14597"/>
      <c r="H14597"/>
      <c r="I14597"/>
    </row>
    <row r="14598" spans="6:9" x14ac:dyDescent="0.3">
      <c r="F14598"/>
      <c r="G14598"/>
      <c r="H14598"/>
      <c r="I14598"/>
    </row>
    <row r="14599" spans="6:9" x14ac:dyDescent="0.3">
      <c r="F14599"/>
      <c r="G14599"/>
      <c r="H14599"/>
      <c r="I14599"/>
    </row>
    <row r="14600" spans="6:9" x14ac:dyDescent="0.3">
      <c r="F14600"/>
      <c r="G14600"/>
      <c r="H14600"/>
      <c r="I14600"/>
    </row>
    <row r="14601" spans="6:9" x14ac:dyDescent="0.3">
      <c r="F14601"/>
      <c r="G14601"/>
      <c r="H14601"/>
      <c r="I14601"/>
    </row>
    <row r="14602" spans="6:9" x14ac:dyDescent="0.3">
      <c r="F14602"/>
      <c r="G14602"/>
      <c r="H14602"/>
      <c r="I14602"/>
    </row>
    <row r="14603" spans="6:9" x14ac:dyDescent="0.3">
      <c r="F14603"/>
      <c r="G14603"/>
      <c r="H14603"/>
      <c r="I14603"/>
    </row>
    <row r="14604" spans="6:9" x14ac:dyDescent="0.3">
      <c r="F14604"/>
      <c r="G14604"/>
      <c r="H14604"/>
      <c r="I14604"/>
    </row>
    <row r="14605" spans="6:9" x14ac:dyDescent="0.3">
      <c r="F14605"/>
      <c r="G14605"/>
      <c r="H14605"/>
      <c r="I14605"/>
    </row>
    <row r="14606" spans="6:9" x14ac:dyDescent="0.3">
      <c r="F14606"/>
      <c r="G14606"/>
      <c r="H14606"/>
      <c r="I14606"/>
    </row>
    <row r="14607" spans="6:9" x14ac:dyDescent="0.3">
      <c r="F14607"/>
      <c r="G14607"/>
      <c r="H14607"/>
      <c r="I14607"/>
    </row>
    <row r="14608" spans="6:9" x14ac:dyDescent="0.3">
      <c r="F14608"/>
      <c r="G14608"/>
      <c r="H14608"/>
      <c r="I14608"/>
    </row>
    <row r="14609" spans="6:9" x14ac:dyDescent="0.3">
      <c r="F14609"/>
      <c r="G14609"/>
      <c r="H14609"/>
      <c r="I14609"/>
    </row>
    <row r="14610" spans="6:9" x14ac:dyDescent="0.3">
      <c r="F14610"/>
      <c r="G14610"/>
      <c r="H14610"/>
      <c r="I14610"/>
    </row>
    <row r="14611" spans="6:9" x14ac:dyDescent="0.3">
      <c r="F14611"/>
      <c r="G14611"/>
      <c r="H14611"/>
      <c r="I14611"/>
    </row>
    <row r="14612" spans="6:9" x14ac:dyDescent="0.3">
      <c r="F14612"/>
      <c r="G14612"/>
      <c r="H14612"/>
      <c r="I14612"/>
    </row>
    <row r="14613" spans="6:9" x14ac:dyDescent="0.3">
      <c r="F14613"/>
      <c r="G14613"/>
      <c r="H14613"/>
      <c r="I14613"/>
    </row>
    <row r="14614" spans="6:9" x14ac:dyDescent="0.3">
      <c r="F14614"/>
      <c r="G14614"/>
      <c r="H14614"/>
      <c r="I14614"/>
    </row>
    <row r="14615" spans="6:9" x14ac:dyDescent="0.3">
      <c r="F14615"/>
      <c r="G14615"/>
      <c r="H14615"/>
      <c r="I14615"/>
    </row>
    <row r="14616" spans="6:9" x14ac:dyDescent="0.3">
      <c r="F14616"/>
      <c r="G14616"/>
      <c r="H14616"/>
      <c r="I14616"/>
    </row>
    <row r="14617" spans="6:9" x14ac:dyDescent="0.3">
      <c r="F14617"/>
      <c r="G14617"/>
      <c r="H14617"/>
      <c r="I14617"/>
    </row>
    <row r="14618" spans="6:9" x14ac:dyDescent="0.3">
      <c r="F14618"/>
      <c r="G14618"/>
      <c r="H14618"/>
      <c r="I14618"/>
    </row>
    <row r="14619" spans="6:9" x14ac:dyDescent="0.3">
      <c r="F14619"/>
      <c r="G14619"/>
      <c r="H14619"/>
      <c r="I14619"/>
    </row>
    <row r="14620" spans="6:9" x14ac:dyDescent="0.3">
      <c r="F14620"/>
      <c r="G14620"/>
      <c r="H14620"/>
      <c r="I14620"/>
    </row>
    <row r="14621" spans="6:9" x14ac:dyDescent="0.3">
      <c r="F14621"/>
      <c r="G14621"/>
      <c r="H14621"/>
      <c r="I14621"/>
    </row>
    <row r="14622" spans="6:9" x14ac:dyDescent="0.3">
      <c r="F14622"/>
      <c r="G14622"/>
      <c r="H14622"/>
      <c r="I14622"/>
    </row>
    <row r="14623" spans="6:9" x14ac:dyDescent="0.3">
      <c r="F14623"/>
      <c r="G14623"/>
      <c r="H14623"/>
      <c r="I14623"/>
    </row>
    <row r="14624" spans="6:9" x14ac:dyDescent="0.3">
      <c r="F14624"/>
      <c r="G14624"/>
      <c r="H14624"/>
      <c r="I14624"/>
    </row>
    <row r="14625" spans="6:9" x14ac:dyDescent="0.3">
      <c r="F14625"/>
      <c r="G14625"/>
      <c r="H14625"/>
      <c r="I14625"/>
    </row>
    <row r="14626" spans="6:9" x14ac:dyDescent="0.3">
      <c r="F14626"/>
      <c r="G14626"/>
      <c r="H14626"/>
      <c r="I14626"/>
    </row>
    <row r="14627" spans="6:9" x14ac:dyDescent="0.3">
      <c r="F14627"/>
      <c r="G14627"/>
      <c r="H14627"/>
      <c r="I14627"/>
    </row>
    <row r="14628" spans="6:9" x14ac:dyDescent="0.3">
      <c r="F14628"/>
      <c r="G14628"/>
      <c r="H14628"/>
      <c r="I14628"/>
    </row>
    <row r="14629" spans="6:9" x14ac:dyDescent="0.3">
      <c r="F14629"/>
      <c r="G14629"/>
      <c r="H14629"/>
      <c r="I14629"/>
    </row>
    <row r="14630" spans="6:9" x14ac:dyDescent="0.3">
      <c r="F14630"/>
      <c r="G14630"/>
      <c r="H14630"/>
      <c r="I14630"/>
    </row>
    <row r="14631" spans="6:9" x14ac:dyDescent="0.3">
      <c r="F14631"/>
      <c r="G14631"/>
      <c r="H14631"/>
      <c r="I14631"/>
    </row>
    <row r="14632" spans="6:9" x14ac:dyDescent="0.3">
      <c r="F14632"/>
      <c r="G14632"/>
      <c r="H14632"/>
      <c r="I14632"/>
    </row>
    <row r="14633" spans="6:9" x14ac:dyDescent="0.3">
      <c r="F14633"/>
      <c r="G14633"/>
      <c r="H14633"/>
      <c r="I14633"/>
    </row>
    <row r="14634" spans="6:9" x14ac:dyDescent="0.3">
      <c r="F14634"/>
      <c r="G14634"/>
      <c r="H14634"/>
      <c r="I14634"/>
    </row>
    <row r="14635" spans="6:9" x14ac:dyDescent="0.3">
      <c r="F14635"/>
      <c r="G14635"/>
      <c r="H14635"/>
      <c r="I14635"/>
    </row>
    <row r="14636" spans="6:9" x14ac:dyDescent="0.3">
      <c r="F14636"/>
      <c r="G14636"/>
      <c r="H14636"/>
      <c r="I14636"/>
    </row>
    <row r="14637" spans="6:9" x14ac:dyDescent="0.3">
      <c r="F14637"/>
      <c r="G14637"/>
      <c r="H14637"/>
      <c r="I14637"/>
    </row>
    <row r="14638" spans="6:9" x14ac:dyDescent="0.3">
      <c r="F14638"/>
      <c r="G14638"/>
      <c r="H14638"/>
      <c r="I14638"/>
    </row>
    <row r="14639" spans="6:9" x14ac:dyDescent="0.3">
      <c r="F14639"/>
      <c r="G14639"/>
      <c r="H14639"/>
      <c r="I14639"/>
    </row>
    <row r="14640" spans="6:9" x14ac:dyDescent="0.3">
      <c r="F14640"/>
      <c r="G14640"/>
      <c r="H14640"/>
      <c r="I14640"/>
    </row>
    <row r="14641" spans="6:9" x14ac:dyDescent="0.3">
      <c r="F14641"/>
      <c r="G14641"/>
      <c r="H14641"/>
      <c r="I14641"/>
    </row>
    <row r="14642" spans="6:9" x14ac:dyDescent="0.3">
      <c r="F14642"/>
      <c r="G14642"/>
      <c r="H14642"/>
      <c r="I14642"/>
    </row>
    <row r="14643" spans="6:9" x14ac:dyDescent="0.3">
      <c r="F14643"/>
      <c r="G14643"/>
      <c r="H14643"/>
      <c r="I14643"/>
    </row>
    <row r="14644" spans="6:9" x14ac:dyDescent="0.3">
      <c r="F14644"/>
      <c r="G14644"/>
      <c r="H14644"/>
      <c r="I14644"/>
    </row>
    <row r="14645" spans="6:9" x14ac:dyDescent="0.3">
      <c r="F14645"/>
      <c r="G14645"/>
      <c r="H14645"/>
      <c r="I14645"/>
    </row>
    <row r="14646" spans="6:9" x14ac:dyDescent="0.3">
      <c r="F14646"/>
      <c r="G14646"/>
      <c r="H14646"/>
      <c r="I14646"/>
    </row>
    <row r="14647" spans="6:9" x14ac:dyDescent="0.3">
      <c r="F14647"/>
      <c r="G14647"/>
      <c r="H14647"/>
      <c r="I14647"/>
    </row>
    <row r="14648" spans="6:9" x14ac:dyDescent="0.3">
      <c r="F14648"/>
      <c r="G14648"/>
      <c r="H14648"/>
      <c r="I14648"/>
    </row>
    <row r="14649" spans="6:9" x14ac:dyDescent="0.3">
      <c r="F14649"/>
      <c r="G14649"/>
      <c r="H14649"/>
      <c r="I14649"/>
    </row>
    <row r="14650" spans="6:9" x14ac:dyDescent="0.3">
      <c r="F14650"/>
      <c r="G14650"/>
      <c r="H14650"/>
      <c r="I14650"/>
    </row>
    <row r="14651" spans="6:9" x14ac:dyDescent="0.3">
      <c r="F14651"/>
      <c r="G14651"/>
      <c r="H14651"/>
      <c r="I14651"/>
    </row>
    <row r="14652" spans="6:9" x14ac:dyDescent="0.3">
      <c r="F14652"/>
      <c r="G14652"/>
      <c r="H14652"/>
      <c r="I14652"/>
    </row>
    <row r="14653" spans="6:9" x14ac:dyDescent="0.3">
      <c r="F14653"/>
      <c r="G14653"/>
      <c r="H14653"/>
      <c r="I14653"/>
    </row>
    <row r="14654" spans="6:9" x14ac:dyDescent="0.3">
      <c r="F14654"/>
      <c r="G14654"/>
      <c r="H14654"/>
      <c r="I14654"/>
    </row>
    <row r="14655" spans="6:9" x14ac:dyDescent="0.3">
      <c r="F14655"/>
      <c r="G14655"/>
      <c r="H14655"/>
      <c r="I14655"/>
    </row>
    <row r="14656" spans="6:9" x14ac:dyDescent="0.3">
      <c r="F14656"/>
      <c r="G14656"/>
      <c r="H14656"/>
      <c r="I14656"/>
    </row>
    <row r="14657" spans="6:9" x14ac:dyDescent="0.3">
      <c r="F14657"/>
      <c r="G14657"/>
      <c r="H14657"/>
      <c r="I14657"/>
    </row>
    <row r="14658" spans="6:9" x14ac:dyDescent="0.3">
      <c r="F14658"/>
      <c r="G14658"/>
      <c r="H14658"/>
      <c r="I14658"/>
    </row>
    <row r="14659" spans="6:9" x14ac:dyDescent="0.3">
      <c r="F14659"/>
      <c r="G14659"/>
      <c r="H14659"/>
      <c r="I14659"/>
    </row>
    <row r="14660" spans="6:9" x14ac:dyDescent="0.3">
      <c r="F14660"/>
      <c r="G14660"/>
      <c r="H14660"/>
      <c r="I14660"/>
    </row>
    <row r="14661" spans="6:9" x14ac:dyDescent="0.3">
      <c r="F14661"/>
      <c r="G14661"/>
      <c r="H14661"/>
      <c r="I14661"/>
    </row>
    <row r="14662" spans="6:9" x14ac:dyDescent="0.3">
      <c r="F14662"/>
      <c r="G14662"/>
      <c r="H14662"/>
      <c r="I14662"/>
    </row>
    <row r="14663" spans="6:9" x14ac:dyDescent="0.3">
      <c r="F14663"/>
      <c r="G14663"/>
      <c r="H14663"/>
      <c r="I14663"/>
    </row>
    <row r="14664" spans="6:9" x14ac:dyDescent="0.3">
      <c r="F14664"/>
      <c r="G14664"/>
      <c r="H14664"/>
      <c r="I14664"/>
    </row>
    <row r="14665" spans="6:9" x14ac:dyDescent="0.3">
      <c r="F14665"/>
      <c r="G14665"/>
      <c r="H14665"/>
      <c r="I14665"/>
    </row>
    <row r="14666" spans="6:9" x14ac:dyDescent="0.3">
      <c r="F14666"/>
      <c r="G14666"/>
      <c r="H14666"/>
      <c r="I14666"/>
    </row>
    <row r="14667" spans="6:9" x14ac:dyDescent="0.3">
      <c r="F14667"/>
      <c r="G14667"/>
      <c r="H14667"/>
      <c r="I14667"/>
    </row>
    <row r="14668" spans="6:9" x14ac:dyDescent="0.3">
      <c r="F14668"/>
      <c r="G14668"/>
      <c r="H14668"/>
      <c r="I14668"/>
    </row>
    <row r="14669" spans="6:9" x14ac:dyDescent="0.3">
      <c r="F14669"/>
      <c r="G14669"/>
      <c r="H14669"/>
      <c r="I14669"/>
    </row>
    <row r="14670" spans="6:9" x14ac:dyDescent="0.3">
      <c r="F14670"/>
      <c r="G14670"/>
      <c r="H14670"/>
      <c r="I14670"/>
    </row>
    <row r="14671" spans="6:9" x14ac:dyDescent="0.3">
      <c r="F14671"/>
      <c r="G14671"/>
      <c r="H14671"/>
      <c r="I14671"/>
    </row>
    <row r="14672" spans="6:9" x14ac:dyDescent="0.3">
      <c r="F14672"/>
      <c r="G14672"/>
      <c r="H14672"/>
      <c r="I14672"/>
    </row>
    <row r="14673" spans="6:9" x14ac:dyDescent="0.3">
      <c r="F14673"/>
      <c r="G14673"/>
      <c r="H14673"/>
      <c r="I14673"/>
    </row>
    <row r="14674" spans="6:9" x14ac:dyDescent="0.3">
      <c r="F14674"/>
      <c r="G14674"/>
      <c r="H14674"/>
      <c r="I14674"/>
    </row>
    <row r="14675" spans="6:9" x14ac:dyDescent="0.3">
      <c r="F14675"/>
      <c r="G14675"/>
      <c r="H14675"/>
      <c r="I14675"/>
    </row>
    <row r="14676" spans="6:9" x14ac:dyDescent="0.3">
      <c r="F14676"/>
      <c r="G14676"/>
      <c r="H14676"/>
      <c r="I14676"/>
    </row>
    <row r="14677" spans="6:9" x14ac:dyDescent="0.3">
      <c r="F14677"/>
      <c r="G14677"/>
      <c r="H14677"/>
      <c r="I14677"/>
    </row>
    <row r="14678" spans="6:9" x14ac:dyDescent="0.3">
      <c r="F14678"/>
      <c r="G14678"/>
      <c r="H14678"/>
      <c r="I14678"/>
    </row>
    <row r="14679" spans="6:9" x14ac:dyDescent="0.3">
      <c r="F14679"/>
      <c r="G14679"/>
      <c r="H14679"/>
      <c r="I14679"/>
    </row>
    <row r="14680" spans="6:9" x14ac:dyDescent="0.3">
      <c r="F14680"/>
      <c r="G14680"/>
      <c r="H14680"/>
      <c r="I14680"/>
    </row>
    <row r="14681" spans="6:9" x14ac:dyDescent="0.3">
      <c r="F14681"/>
      <c r="G14681"/>
      <c r="H14681"/>
      <c r="I14681"/>
    </row>
    <row r="14682" spans="6:9" x14ac:dyDescent="0.3">
      <c r="F14682"/>
      <c r="G14682"/>
      <c r="H14682"/>
      <c r="I14682"/>
    </row>
    <row r="14683" spans="6:9" x14ac:dyDescent="0.3">
      <c r="F14683"/>
      <c r="G14683"/>
      <c r="H14683"/>
      <c r="I14683"/>
    </row>
    <row r="14684" spans="6:9" x14ac:dyDescent="0.3">
      <c r="F14684"/>
      <c r="G14684"/>
      <c r="H14684"/>
      <c r="I14684"/>
    </row>
    <row r="14685" spans="6:9" x14ac:dyDescent="0.3">
      <c r="F14685"/>
      <c r="G14685"/>
      <c r="H14685"/>
      <c r="I14685"/>
    </row>
    <row r="14686" spans="6:9" x14ac:dyDescent="0.3">
      <c r="F14686"/>
      <c r="G14686"/>
      <c r="H14686"/>
      <c r="I14686"/>
    </row>
    <row r="14687" spans="6:9" x14ac:dyDescent="0.3">
      <c r="F14687"/>
      <c r="G14687"/>
      <c r="H14687"/>
      <c r="I14687"/>
    </row>
    <row r="14688" spans="6:9" x14ac:dyDescent="0.3">
      <c r="F14688"/>
      <c r="G14688"/>
      <c r="H14688"/>
      <c r="I14688"/>
    </row>
    <row r="14689" spans="6:9" x14ac:dyDescent="0.3">
      <c r="F14689"/>
      <c r="G14689"/>
      <c r="H14689"/>
      <c r="I14689"/>
    </row>
    <row r="14690" spans="6:9" x14ac:dyDescent="0.3">
      <c r="F14690"/>
      <c r="G14690"/>
      <c r="H14690"/>
      <c r="I14690"/>
    </row>
    <row r="14691" spans="6:9" x14ac:dyDescent="0.3">
      <c r="F14691"/>
      <c r="G14691"/>
      <c r="H14691"/>
      <c r="I14691"/>
    </row>
    <row r="14692" spans="6:9" x14ac:dyDescent="0.3">
      <c r="F14692"/>
      <c r="G14692"/>
      <c r="H14692"/>
      <c r="I14692"/>
    </row>
    <row r="14693" spans="6:9" x14ac:dyDescent="0.3">
      <c r="F14693"/>
      <c r="G14693"/>
      <c r="H14693"/>
      <c r="I14693"/>
    </row>
    <row r="14694" spans="6:9" x14ac:dyDescent="0.3">
      <c r="F14694"/>
      <c r="G14694"/>
      <c r="H14694"/>
      <c r="I14694"/>
    </row>
    <row r="14695" spans="6:9" x14ac:dyDescent="0.3">
      <c r="F14695"/>
      <c r="G14695"/>
      <c r="H14695"/>
      <c r="I14695"/>
    </row>
    <row r="14696" spans="6:9" x14ac:dyDescent="0.3">
      <c r="F14696"/>
      <c r="G14696"/>
      <c r="H14696"/>
      <c r="I14696"/>
    </row>
    <row r="14697" spans="6:9" x14ac:dyDescent="0.3">
      <c r="F14697"/>
      <c r="G14697"/>
      <c r="H14697"/>
      <c r="I14697"/>
    </row>
    <row r="14698" spans="6:9" x14ac:dyDescent="0.3">
      <c r="F14698"/>
      <c r="G14698"/>
      <c r="H14698"/>
      <c r="I14698"/>
    </row>
    <row r="14699" spans="6:9" x14ac:dyDescent="0.3">
      <c r="F14699"/>
      <c r="G14699"/>
      <c r="H14699"/>
      <c r="I14699"/>
    </row>
    <row r="14700" spans="6:9" x14ac:dyDescent="0.3">
      <c r="F14700"/>
      <c r="G14700"/>
      <c r="H14700"/>
      <c r="I14700"/>
    </row>
    <row r="14701" spans="6:9" x14ac:dyDescent="0.3">
      <c r="F14701"/>
      <c r="G14701"/>
      <c r="H14701"/>
      <c r="I14701"/>
    </row>
    <row r="14702" spans="6:9" x14ac:dyDescent="0.3">
      <c r="F14702"/>
      <c r="G14702"/>
      <c r="H14702"/>
      <c r="I14702"/>
    </row>
    <row r="14703" spans="6:9" x14ac:dyDescent="0.3">
      <c r="F14703"/>
      <c r="G14703"/>
      <c r="H14703"/>
      <c r="I14703"/>
    </row>
    <row r="14704" spans="6:9" x14ac:dyDescent="0.3">
      <c r="F14704"/>
      <c r="G14704"/>
      <c r="H14704"/>
      <c r="I14704"/>
    </row>
    <row r="14705" spans="6:9" x14ac:dyDescent="0.3">
      <c r="F14705"/>
      <c r="G14705"/>
      <c r="H14705"/>
      <c r="I14705"/>
    </row>
    <row r="14706" spans="6:9" x14ac:dyDescent="0.3">
      <c r="F14706"/>
      <c r="G14706"/>
      <c r="H14706"/>
      <c r="I14706"/>
    </row>
    <row r="14707" spans="6:9" x14ac:dyDescent="0.3">
      <c r="F14707"/>
      <c r="G14707"/>
      <c r="H14707"/>
      <c r="I14707"/>
    </row>
    <row r="14708" spans="6:9" x14ac:dyDescent="0.3">
      <c r="F14708"/>
      <c r="G14708"/>
      <c r="H14708"/>
      <c r="I14708"/>
    </row>
    <row r="14709" spans="6:9" x14ac:dyDescent="0.3">
      <c r="F14709"/>
      <c r="G14709"/>
      <c r="H14709"/>
      <c r="I14709"/>
    </row>
    <row r="14710" spans="6:9" x14ac:dyDescent="0.3">
      <c r="F14710"/>
      <c r="G14710"/>
      <c r="H14710"/>
      <c r="I14710"/>
    </row>
    <row r="14711" spans="6:9" x14ac:dyDescent="0.3">
      <c r="F14711"/>
      <c r="G14711"/>
      <c r="H14711"/>
      <c r="I14711"/>
    </row>
    <row r="14712" spans="6:9" x14ac:dyDescent="0.3">
      <c r="F14712"/>
      <c r="G14712"/>
      <c r="H14712"/>
      <c r="I14712"/>
    </row>
    <row r="14713" spans="6:9" x14ac:dyDescent="0.3">
      <c r="F14713"/>
      <c r="G14713"/>
      <c r="H14713"/>
      <c r="I14713"/>
    </row>
    <row r="14714" spans="6:9" x14ac:dyDescent="0.3">
      <c r="F14714"/>
      <c r="G14714"/>
      <c r="H14714"/>
      <c r="I14714"/>
    </row>
    <row r="14715" spans="6:9" x14ac:dyDescent="0.3">
      <c r="F14715"/>
      <c r="G14715"/>
      <c r="H14715"/>
      <c r="I14715"/>
    </row>
    <row r="14716" spans="6:9" x14ac:dyDescent="0.3">
      <c r="F14716"/>
      <c r="G14716"/>
      <c r="H14716"/>
      <c r="I14716"/>
    </row>
    <row r="14717" spans="6:9" x14ac:dyDescent="0.3">
      <c r="F14717"/>
      <c r="G14717"/>
      <c r="H14717"/>
      <c r="I14717"/>
    </row>
    <row r="14718" spans="6:9" x14ac:dyDescent="0.3">
      <c r="F14718"/>
      <c r="G14718"/>
      <c r="H14718"/>
      <c r="I14718"/>
    </row>
    <row r="14719" spans="6:9" x14ac:dyDescent="0.3">
      <c r="F14719"/>
      <c r="G14719"/>
      <c r="H14719"/>
      <c r="I14719"/>
    </row>
    <row r="14720" spans="6:9" x14ac:dyDescent="0.3">
      <c r="F14720"/>
      <c r="G14720"/>
      <c r="H14720"/>
      <c r="I14720"/>
    </row>
    <row r="14721" spans="6:9" x14ac:dyDescent="0.3">
      <c r="F14721"/>
      <c r="G14721"/>
      <c r="H14721"/>
      <c r="I14721"/>
    </row>
    <row r="14722" spans="6:9" x14ac:dyDescent="0.3">
      <c r="F14722"/>
      <c r="G14722"/>
      <c r="H14722"/>
      <c r="I14722"/>
    </row>
    <row r="14723" spans="6:9" x14ac:dyDescent="0.3">
      <c r="F14723"/>
      <c r="G14723"/>
      <c r="H14723"/>
      <c r="I14723"/>
    </row>
    <row r="14724" spans="6:9" x14ac:dyDescent="0.3">
      <c r="F14724"/>
      <c r="G14724"/>
      <c r="H14724"/>
      <c r="I14724"/>
    </row>
    <row r="14725" spans="6:9" x14ac:dyDescent="0.3">
      <c r="F14725"/>
      <c r="G14725"/>
      <c r="H14725"/>
      <c r="I14725"/>
    </row>
    <row r="14726" spans="6:9" x14ac:dyDescent="0.3">
      <c r="F14726"/>
      <c r="G14726"/>
      <c r="H14726"/>
      <c r="I14726"/>
    </row>
    <row r="14727" spans="6:9" x14ac:dyDescent="0.3">
      <c r="F14727"/>
      <c r="G14727"/>
      <c r="H14727"/>
      <c r="I14727"/>
    </row>
    <row r="14728" spans="6:9" x14ac:dyDescent="0.3">
      <c r="F14728"/>
      <c r="G14728"/>
      <c r="H14728"/>
      <c r="I14728"/>
    </row>
    <row r="14729" spans="6:9" x14ac:dyDescent="0.3">
      <c r="F14729"/>
      <c r="G14729"/>
      <c r="H14729"/>
      <c r="I14729"/>
    </row>
    <row r="14730" spans="6:9" x14ac:dyDescent="0.3">
      <c r="F14730"/>
      <c r="G14730"/>
      <c r="H14730"/>
      <c r="I14730"/>
    </row>
    <row r="14731" spans="6:9" x14ac:dyDescent="0.3">
      <c r="F14731"/>
      <c r="G14731"/>
      <c r="H14731"/>
      <c r="I14731"/>
    </row>
    <row r="14732" spans="6:9" x14ac:dyDescent="0.3">
      <c r="F14732"/>
      <c r="G14732"/>
      <c r="H14732"/>
      <c r="I14732"/>
    </row>
    <row r="14733" spans="6:9" x14ac:dyDescent="0.3">
      <c r="F14733"/>
      <c r="G14733"/>
      <c r="H14733"/>
      <c r="I14733"/>
    </row>
    <row r="14734" spans="6:9" x14ac:dyDescent="0.3">
      <c r="F14734"/>
      <c r="G14734"/>
      <c r="H14734"/>
      <c r="I14734"/>
    </row>
    <row r="14735" spans="6:9" x14ac:dyDescent="0.3">
      <c r="F14735"/>
      <c r="G14735"/>
      <c r="H14735"/>
      <c r="I14735"/>
    </row>
    <row r="14736" spans="6:9" x14ac:dyDescent="0.3">
      <c r="F14736"/>
      <c r="G14736"/>
      <c r="H14736"/>
      <c r="I14736"/>
    </row>
    <row r="14737" spans="6:9" x14ac:dyDescent="0.3">
      <c r="F14737"/>
      <c r="G14737"/>
      <c r="H14737"/>
      <c r="I14737"/>
    </row>
    <row r="14738" spans="6:9" x14ac:dyDescent="0.3">
      <c r="F14738"/>
      <c r="G14738"/>
      <c r="H14738"/>
      <c r="I14738"/>
    </row>
    <row r="14739" spans="6:9" x14ac:dyDescent="0.3">
      <c r="F14739"/>
      <c r="G14739"/>
      <c r="H14739"/>
      <c r="I14739"/>
    </row>
    <row r="14740" spans="6:9" x14ac:dyDescent="0.3">
      <c r="F14740"/>
      <c r="G14740"/>
      <c r="H14740"/>
      <c r="I14740"/>
    </row>
    <row r="14741" spans="6:9" x14ac:dyDescent="0.3">
      <c r="F14741"/>
      <c r="G14741"/>
      <c r="H14741"/>
      <c r="I14741"/>
    </row>
    <row r="14742" spans="6:9" x14ac:dyDescent="0.3">
      <c r="F14742"/>
      <c r="G14742"/>
      <c r="H14742"/>
      <c r="I14742"/>
    </row>
    <row r="14743" spans="6:9" x14ac:dyDescent="0.3">
      <c r="F14743"/>
      <c r="G14743"/>
      <c r="H14743"/>
      <c r="I14743"/>
    </row>
    <row r="14744" spans="6:9" x14ac:dyDescent="0.3">
      <c r="F14744"/>
      <c r="G14744"/>
      <c r="H14744"/>
      <c r="I14744"/>
    </row>
    <row r="14745" spans="6:9" x14ac:dyDescent="0.3">
      <c r="F14745"/>
      <c r="G14745"/>
      <c r="H14745"/>
      <c r="I14745"/>
    </row>
    <row r="14746" spans="6:9" x14ac:dyDescent="0.3">
      <c r="F14746"/>
      <c r="G14746"/>
      <c r="H14746"/>
      <c r="I14746"/>
    </row>
    <row r="14747" spans="6:9" x14ac:dyDescent="0.3">
      <c r="F14747"/>
      <c r="G14747"/>
      <c r="H14747"/>
      <c r="I14747"/>
    </row>
    <row r="14748" spans="6:9" x14ac:dyDescent="0.3">
      <c r="F14748"/>
      <c r="G14748"/>
      <c r="H14748"/>
      <c r="I14748"/>
    </row>
    <row r="14749" spans="6:9" x14ac:dyDescent="0.3">
      <c r="F14749"/>
      <c r="G14749"/>
      <c r="H14749"/>
      <c r="I14749"/>
    </row>
    <row r="14750" spans="6:9" x14ac:dyDescent="0.3">
      <c r="F14750"/>
      <c r="G14750"/>
      <c r="H14750"/>
      <c r="I14750"/>
    </row>
    <row r="14751" spans="6:9" x14ac:dyDescent="0.3">
      <c r="F14751"/>
      <c r="G14751"/>
      <c r="H14751"/>
      <c r="I14751"/>
    </row>
    <row r="14752" spans="6:9" x14ac:dyDescent="0.3">
      <c r="F14752"/>
      <c r="G14752"/>
      <c r="H14752"/>
      <c r="I14752"/>
    </row>
    <row r="14753" spans="6:9" x14ac:dyDescent="0.3">
      <c r="F14753"/>
      <c r="G14753"/>
      <c r="H14753"/>
      <c r="I14753"/>
    </row>
    <row r="14754" spans="6:9" x14ac:dyDescent="0.3">
      <c r="F14754"/>
      <c r="G14754"/>
      <c r="H14754"/>
      <c r="I14754"/>
    </row>
    <row r="14755" spans="6:9" x14ac:dyDescent="0.3">
      <c r="F14755"/>
      <c r="G14755"/>
      <c r="H14755"/>
      <c r="I14755"/>
    </row>
    <row r="14756" spans="6:9" x14ac:dyDescent="0.3">
      <c r="F14756"/>
      <c r="G14756"/>
      <c r="H14756"/>
      <c r="I14756"/>
    </row>
    <row r="14757" spans="6:9" x14ac:dyDescent="0.3">
      <c r="F14757"/>
      <c r="G14757"/>
      <c r="H14757"/>
      <c r="I14757"/>
    </row>
    <row r="14758" spans="6:9" x14ac:dyDescent="0.3">
      <c r="F14758"/>
      <c r="G14758"/>
      <c r="H14758"/>
      <c r="I14758"/>
    </row>
    <row r="14759" spans="6:9" x14ac:dyDescent="0.3">
      <c r="F14759"/>
      <c r="G14759"/>
      <c r="H14759"/>
      <c r="I14759"/>
    </row>
    <row r="14760" spans="6:9" x14ac:dyDescent="0.3">
      <c r="F14760"/>
      <c r="G14760"/>
      <c r="H14760"/>
      <c r="I14760"/>
    </row>
    <row r="14761" spans="6:9" x14ac:dyDescent="0.3">
      <c r="F14761"/>
      <c r="G14761"/>
      <c r="H14761"/>
      <c r="I14761"/>
    </row>
    <row r="14762" spans="6:9" x14ac:dyDescent="0.3">
      <c r="F14762"/>
      <c r="G14762"/>
      <c r="H14762"/>
      <c r="I14762"/>
    </row>
    <row r="14763" spans="6:9" x14ac:dyDescent="0.3">
      <c r="F14763"/>
      <c r="G14763"/>
      <c r="H14763"/>
      <c r="I14763"/>
    </row>
    <row r="14764" spans="6:9" x14ac:dyDescent="0.3">
      <c r="F14764"/>
      <c r="G14764"/>
      <c r="H14764"/>
      <c r="I14764"/>
    </row>
    <row r="14765" spans="6:9" x14ac:dyDescent="0.3">
      <c r="F14765"/>
      <c r="G14765"/>
      <c r="H14765"/>
      <c r="I14765"/>
    </row>
    <row r="14766" spans="6:9" x14ac:dyDescent="0.3">
      <c r="F14766"/>
      <c r="G14766"/>
      <c r="H14766"/>
      <c r="I14766"/>
    </row>
    <row r="14767" spans="6:9" x14ac:dyDescent="0.3">
      <c r="F14767"/>
      <c r="G14767"/>
      <c r="H14767"/>
      <c r="I14767"/>
    </row>
    <row r="14768" spans="6:9" x14ac:dyDescent="0.3">
      <c r="F14768"/>
      <c r="G14768"/>
      <c r="H14768"/>
      <c r="I14768"/>
    </row>
    <row r="14769" spans="6:9" x14ac:dyDescent="0.3">
      <c r="F14769"/>
      <c r="G14769"/>
      <c r="H14769"/>
      <c r="I14769"/>
    </row>
    <row r="14770" spans="6:9" x14ac:dyDescent="0.3">
      <c r="F14770"/>
      <c r="G14770"/>
      <c r="H14770"/>
      <c r="I14770"/>
    </row>
    <row r="14771" spans="6:9" x14ac:dyDescent="0.3">
      <c r="F14771"/>
      <c r="G14771"/>
      <c r="H14771"/>
      <c r="I14771"/>
    </row>
    <row r="14772" spans="6:9" x14ac:dyDescent="0.3">
      <c r="F14772"/>
      <c r="G14772"/>
      <c r="H14772"/>
      <c r="I14772"/>
    </row>
    <row r="14773" spans="6:9" x14ac:dyDescent="0.3">
      <c r="F14773"/>
      <c r="G14773"/>
      <c r="H14773"/>
      <c r="I14773"/>
    </row>
    <row r="14774" spans="6:9" x14ac:dyDescent="0.3">
      <c r="F14774"/>
      <c r="G14774"/>
      <c r="H14774"/>
      <c r="I14774"/>
    </row>
    <row r="14775" spans="6:9" x14ac:dyDescent="0.3">
      <c r="F14775"/>
      <c r="G14775"/>
      <c r="H14775"/>
      <c r="I14775"/>
    </row>
    <row r="14776" spans="6:9" x14ac:dyDescent="0.3">
      <c r="F14776"/>
      <c r="G14776"/>
      <c r="H14776"/>
      <c r="I14776"/>
    </row>
    <row r="14777" spans="6:9" x14ac:dyDescent="0.3">
      <c r="F14777"/>
      <c r="G14777"/>
      <c r="H14777"/>
      <c r="I14777"/>
    </row>
    <row r="14778" spans="6:9" x14ac:dyDescent="0.3">
      <c r="F14778"/>
      <c r="G14778"/>
      <c r="H14778"/>
      <c r="I14778"/>
    </row>
    <row r="14779" spans="6:9" x14ac:dyDescent="0.3">
      <c r="F14779"/>
      <c r="G14779"/>
      <c r="H14779"/>
      <c r="I14779"/>
    </row>
    <row r="14780" spans="6:9" x14ac:dyDescent="0.3">
      <c r="F14780"/>
      <c r="G14780"/>
      <c r="H14780"/>
      <c r="I14780"/>
    </row>
    <row r="14781" spans="6:9" x14ac:dyDescent="0.3">
      <c r="F14781"/>
      <c r="G14781"/>
      <c r="H14781"/>
      <c r="I14781"/>
    </row>
    <row r="14782" spans="6:9" x14ac:dyDescent="0.3">
      <c r="F14782"/>
      <c r="G14782"/>
      <c r="H14782"/>
      <c r="I14782"/>
    </row>
    <row r="14783" spans="6:9" x14ac:dyDescent="0.3">
      <c r="F14783"/>
      <c r="G14783"/>
      <c r="H14783"/>
      <c r="I14783"/>
    </row>
    <row r="14784" spans="6:9" x14ac:dyDescent="0.3">
      <c r="F14784"/>
      <c r="G14784"/>
      <c r="H14784"/>
      <c r="I14784"/>
    </row>
    <row r="14785" spans="6:9" x14ac:dyDescent="0.3">
      <c r="F14785"/>
      <c r="G14785"/>
      <c r="H14785"/>
      <c r="I14785"/>
    </row>
    <row r="14786" spans="6:9" x14ac:dyDescent="0.3">
      <c r="F14786"/>
      <c r="G14786"/>
      <c r="H14786"/>
      <c r="I14786"/>
    </row>
    <row r="14787" spans="6:9" x14ac:dyDescent="0.3">
      <c r="F14787"/>
      <c r="G14787"/>
      <c r="H14787"/>
      <c r="I14787"/>
    </row>
    <row r="14788" spans="6:9" x14ac:dyDescent="0.3">
      <c r="F14788"/>
      <c r="G14788"/>
      <c r="H14788"/>
      <c r="I14788"/>
    </row>
    <row r="14789" spans="6:9" x14ac:dyDescent="0.3">
      <c r="F14789"/>
      <c r="G14789"/>
      <c r="H14789"/>
      <c r="I14789"/>
    </row>
    <row r="14790" spans="6:9" x14ac:dyDescent="0.3">
      <c r="F14790"/>
      <c r="G14790"/>
      <c r="H14790"/>
      <c r="I14790"/>
    </row>
    <row r="14791" spans="6:9" x14ac:dyDescent="0.3">
      <c r="F14791"/>
      <c r="G14791"/>
      <c r="H14791"/>
      <c r="I14791"/>
    </row>
    <row r="14792" spans="6:9" x14ac:dyDescent="0.3">
      <c r="F14792"/>
      <c r="G14792"/>
      <c r="H14792"/>
      <c r="I14792"/>
    </row>
    <row r="14793" spans="6:9" x14ac:dyDescent="0.3">
      <c r="F14793"/>
      <c r="G14793"/>
      <c r="H14793"/>
      <c r="I14793"/>
    </row>
    <row r="14794" spans="6:9" x14ac:dyDescent="0.3">
      <c r="F14794"/>
      <c r="G14794"/>
      <c r="H14794"/>
      <c r="I14794"/>
    </row>
    <row r="14795" spans="6:9" x14ac:dyDescent="0.3">
      <c r="F14795"/>
      <c r="G14795"/>
      <c r="H14795"/>
      <c r="I14795"/>
    </row>
    <row r="14796" spans="6:9" x14ac:dyDescent="0.3">
      <c r="F14796"/>
      <c r="G14796"/>
      <c r="H14796"/>
      <c r="I14796"/>
    </row>
    <row r="14797" spans="6:9" x14ac:dyDescent="0.3">
      <c r="F14797"/>
      <c r="G14797"/>
      <c r="H14797"/>
      <c r="I14797"/>
    </row>
    <row r="14798" spans="6:9" x14ac:dyDescent="0.3">
      <c r="F14798"/>
      <c r="G14798"/>
      <c r="H14798"/>
      <c r="I14798"/>
    </row>
    <row r="14799" spans="6:9" x14ac:dyDescent="0.3">
      <c r="F14799"/>
      <c r="G14799"/>
      <c r="H14799"/>
      <c r="I14799"/>
    </row>
    <row r="14800" spans="6:9" x14ac:dyDescent="0.3">
      <c r="F14800"/>
      <c r="G14800"/>
      <c r="H14800"/>
      <c r="I14800"/>
    </row>
    <row r="14801" spans="6:9" x14ac:dyDescent="0.3">
      <c r="F14801"/>
      <c r="G14801"/>
      <c r="H14801"/>
      <c r="I14801"/>
    </row>
    <row r="14802" spans="6:9" x14ac:dyDescent="0.3">
      <c r="F14802"/>
      <c r="G14802"/>
      <c r="H14802"/>
      <c r="I14802"/>
    </row>
    <row r="14803" spans="6:9" x14ac:dyDescent="0.3">
      <c r="F14803"/>
      <c r="G14803"/>
      <c r="H14803"/>
      <c r="I14803"/>
    </row>
    <row r="14804" spans="6:9" x14ac:dyDescent="0.3">
      <c r="F14804"/>
      <c r="G14804"/>
      <c r="H14804"/>
      <c r="I14804"/>
    </row>
    <row r="14805" spans="6:9" x14ac:dyDescent="0.3">
      <c r="F14805"/>
      <c r="G14805"/>
      <c r="H14805"/>
      <c r="I14805"/>
    </row>
    <row r="14806" spans="6:9" x14ac:dyDescent="0.3">
      <c r="F14806"/>
      <c r="G14806"/>
      <c r="H14806"/>
      <c r="I14806"/>
    </row>
    <row r="14807" spans="6:9" x14ac:dyDescent="0.3">
      <c r="F14807"/>
      <c r="G14807"/>
      <c r="H14807"/>
      <c r="I14807"/>
    </row>
    <row r="14808" spans="6:9" x14ac:dyDescent="0.3">
      <c r="F14808"/>
      <c r="G14808"/>
      <c r="H14808"/>
      <c r="I14808"/>
    </row>
    <row r="14809" spans="6:9" x14ac:dyDescent="0.3">
      <c r="F14809"/>
      <c r="G14809"/>
      <c r="H14809"/>
      <c r="I14809"/>
    </row>
    <row r="14810" spans="6:9" x14ac:dyDescent="0.3">
      <c r="F14810"/>
      <c r="G14810"/>
      <c r="H14810"/>
      <c r="I14810"/>
    </row>
    <row r="14811" spans="6:9" x14ac:dyDescent="0.3">
      <c r="F14811"/>
      <c r="G14811"/>
      <c r="H14811"/>
      <c r="I14811"/>
    </row>
    <row r="14812" spans="6:9" x14ac:dyDescent="0.3">
      <c r="F14812"/>
      <c r="G14812"/>
      <c r="H14812"/>
      <c r="I14812"/>
    </row>
    <row r="14813" spans="6:9" x14ac:dyDescent="0.3">
      <c r="F14813"/>
      <c r="G14813"/>
      <c r="H14813"/>
      <c r="I14813"/>
    </row>
    <row r="14814" spans="6:9" x14ac:dyDescent="0.3">
      <c r="F14814"/>
      <c r="G14814"/>
      <c r="H14814"/>
      <c r="I14814"/>
    </row>
    <row r="14815" spans="6:9" x14ac:dyDescent="0.3">
      <c r="F14815"/>
      <c r="G14815"/>
      <c r="H14815"/>
      <c r="I14815"/>
    </row>
    <row r="14816" spans="6:9" x14ac:dyDescent="0.3">
      <c r="F14816"/>
      <c r="G14816"/>
      <c r="H14816"/>
      <c r="I14816"/>
    </row>
    <row r="14817" spans="6:9" x14ac:dyDescent="0.3">
      <c r="F14817"/>
      <c r="G14817"/>
      <c r="H14817"/>
      <c r="I14817"/>
    </row>
    <row r="14818" spans="6:9" x14ac:dyDescent="0.3">
      <c r="F14818"/>
      <c r="G14818"/>
      <c r="H14818"/>
      <c r="I14818"/>
    </row>
    <row r="14819" spans="6:9" x14ac:dyDescent="0.3">
      <c r="F14819"/>
      <c r="G14819"/>
      <c r="H14819"/>
      <c r="I14819"/>
    </row>
    <row r="14820" spans="6:9" x14ac:dyDescent="0.3">
      <c r="F14820"/>
      <c r="G14820"/>
      <c r="H14820"/>
      <c r="I14820"/>
    </row>
    <row r="14821" spans="6:9" x14ac:dyDescent="0.3">
      <c r="F14821"/>
      <c r="G14821"/>
      <c r="H14821"/>
      <c r="I14821"/>
    </row>
    <row r="14822" spans="6:9" x14ac:dyDescent="0.3">
      <c r="F14822"/>
      <c r="G14822"/>
      <c r="H14822"/>
      <c r="I14822"/>
    </row>
    <row r="14823" spans="6:9" x14ac:dyDescent="0.3">
      <c r="F14823"/>
      <c r="G14823"/>
      <c r="H14823"/>
      <c r="I14823"/>
    </row>
    <row r="14824" spans="6:9" x14ac:dyDescent="0.3">
      <c r="F14824"/>
      <c r="G14824"/>
      <c r="H14824"/>
      <c r="I14824"/>
    </row>
    <row r="14825" spans="6:9" x14ac:dyDescent="0.3">
      <c r="F14825"/>
      <c r="G14825"/>
      <c r="H14825"/>
      <c r="I14825"/>
    </row>
    <row r="14826" spans="6:9" x14ac:dyDescent="0.3">
      <c r="F14826"/>
      <c r="G14826"/>
      <c r="H14826"/>
      <c r="I14826"/>
    </row>
    <row r="14827" spans="6:9" x14ac:dyDescent="0.3">
      <c r="F14827"/>
      <c r="G14827"/>
      <c r="H14827"/>
      <c r="I14827"/>
    </row>
    <row r="14828" spans="6:9" x14ac:dyDescent="0.3">
      <c r="F14828"/>
      <c r="G14828"/>
      <c r="H14828"/>
      <c r="I14828"/>
    </row>
    <row r="14829" spans="6:9" x14ac:dyDescent="0.3">
      <c r="F14829"/>
      <c r="G14829"/>
      <c r="H14829"/>
      <c r="I14829"/>
    </row>
    <row r="14830" spans="6:9" x14ac:dyDescent="0.3">
      <c r="F14830"/>
      <c r="G14830"/>
      <c r="H14830"/>
      <c r="I14830"/>
    </row>
    <row r="14831" spans="6:9" x14ac:dyDescent="0.3">
      <c r="F14831"/>
      <c r="G14831"/>
      <c r="H14831"/>
      <c r="I14831"/>
    </row>
    <row r="14832" spans="6:9" x14ac:dyDescent="0.3">
      <c r="F14832"/>
      <c r="G14832"/>
      <c r="H14832"/>
      <c r="I14832"/>
    </row>
    <row r="14833" spans="6:9" x14ac:dyDescent="0.3">
      <c r="F14833"/>
      <c r="G14833"/>
      <c r="H14833"/>
      <c r="I14833"/>
    </row>
    <row r="14834" spans="6:9" x14ac:dyDescent="0.3">
      <c r="F14834"/>
      <c r="G14834"/>
      <c r="H14834"/>
      <c r="I14834"/>
    </row>
    <row r="14835" spans="6:9" x14ac:dyDescent="0.3">
      <c r="F14835"/>
      <c r="G14835"/>
      <c r="H14835"/>
      <c r="I14835"/>
    </row>
    <row r="14836" spans="6:9" x14ac:dyDescent="0.3">
      <c r="F14836"/>
      <c r="G14836"/>
      <c r="H14836"/>
      <c r="I14836"/>
    </row>
    <row r="14837" spans="6:9" x14ac:dyDescent="0.3">
      <c r="F14837"/>
      <c r="G14837"/>
      <c r="H14837"/>
      <c r="I14837"/>
    </row>
    <row r="14838" spans="6:9" x14ac:dyDescent="0.3">
      <c r="F14838"/>
      <c r="G14838"/>
      <c r="H14838"/>
      <c r="I14838"/>
    </row>
    <row r="14839" spans="6:9" x14ac:dyDescent="0.3">
      <c r="F14839"/>
      <c r="G14839"/>
      <c r="H14839"/>
      <c r="I14839"/>
    </row>
    <row r="14840" spans="6:9" x14ac:dyDescent="0.3">
      <c r="F14840"/>
      <c r="G14840"/>
      <c r="H14840"/>
      <c r="I14840"/>
    </row>
    <row r="14841" spans="6:9" x14ac:dyDescent="0.3">
      <c r="F14841"/>
      <c r="G14841"/>
      <c r="H14841"/>
      <c r="I14841"/>
    </row>
    <row r="14842" spans="6:9" x14ac:dyDescent="0.3">
      <c r="F14842"/>
      <c r="G14842"/>
      <c r="H14842"/>
      <c r="I14842"/>
    </row>
    <row r="14843" spans="6:9" x14ac:dyDescent="0.3">
      <c r="F14843"/>
      <c r="G14843"/>
      <c r="H14843"/>
      <c r="I14843"/>
    </row>
    <row r="14844" spans="6:9" x14ac:dyDescent="0.3">
      <c r="F14844"/>
      <c r="G14844"/>
      <c r="H14844"/>
      <c r="I14844"/>
    </row>
    <row r="14845" spans="6:9" x14ac:dyDescent="0.3">
      <c r="F14845"/>
      <c r="G14845"/>
      <c r="H14845"/>
      <c r="I14845"/>
    </row>
    <row r="14846" spans="6:9" x14ac:dyDescent="0.3">
      <c r="F14846"/>
      <c r="G14846"/>
      <c r="H14846"/>
      <c r="I14846"/>
    </row>
    <row r="14847" spans="6:9" x14ac:dyDescent="0.3">
      <c r="F14847"/>
      <c r="G14847"/>
      <c r="H14847"/>
      <c r="I14847"/>
    </row>
    <row r="14848" spans="6:9" x14ac:dyDescent="0.3">
      <c r="F14848"/>
      <c r="G14848"/>
      <c r="H14848"/>
      <c r="I14848"/>
    </row>
    <row r="14849" spans="6:9" x14ac:dyDescent="0.3">
      <c r="F14849"/>
      <c r="G14849"/>
      <c r="H14849"/>
      <c r="I14849"/>
    </row>
    <row r="14850" spans="6:9" x14ac:dyDescent="0.3">
      <c r="F14850"/>
      <c r="G14850"/>
      <c r="H14850"/>
      <c r="I14850"/>
    </row>
    <row r="14851" spans="6:9" x14ac:dyDescent="0.3">
      <c r="F14851"/>
      <c r="G14851"/>
      <c r="H14851"/>
      <c r="I14851"/>
    </row>
    <row r="14852" spans="6:9" x14ac:dyDescent="0.3">
      <c r="F14852"/>
      <c r="G14852"/>
      <c r="H14852"/>
      <c r="I14852"/>
    </row>
    <row r="14853" spans="6:9" x14ac:dyDescent="0.3">
      <c r="F14853"/>
      <c r="G14853"/>
      <c r="H14853"/>
      <c r="I14853"/>
    </row>
    <row r="14854" spans="6:9" x14ac:dyDescent="0.3">
      <c r="F14854"/>
      <c r="G14854"/>
      <c r="H14854"/>
      <c r="I14854"/>
    </row>
    <row r="14855" spans="6:9" x14ac:dyDescent="0.3">
      <c r="F14855"/>
      <c r="G14855"/>
      <c r="H14855"/>
      <c r="I14855"/>
    </row>
    <row r="14856" spans="6:9" x14ac:dyDescent="0.3">
      <c r="F14856"/>
      <c r="G14856"/>
      <c r="H14856"/>
      <c r="I14856"/>
    </row>
    <row r="14857" spans="6:9" x14ac:dyDescent="0.3">
      <c r="F14857"/>
      <c r="G14857"/>
      <c r="H14857"/>
      <c r="I14857"/>
    </row>
    <row r="14858" spans="6:9" x14ac:dyDescent="0.3">
      <c r="F14858"/>
      <c r="G14858"/>
      <c r="H14858"/>
      <c r="I14858"/>
    </row>
    <row r="14859" spans="6:9" x14ac:dyDescent="0.3">
      <c r="F14859"/>
      <c r="G14859"/>
      <c r="H14859"/>
      <c r="I14859"/>
    </row>
    <row r="14860" spans="6:9" x14ac:dyDescent="0.3">
      <c r="F14860"/>
      <c r="G14860"/>
      <c r="H14860"/>
      <c r="I14860"/>
    </row>
    <row r="14861" spans="6:9" x14ac:dyDescent="0.3">
      <c r="F14861"/>
      <c r="G14861"/>
      <c r="H14861"/>
      <c r="I14861"/>
    </row>
    <row r="14862" spans="6:9" x14ac:dyDescent="0.3">
      <c r="F14862"/>
      <c r="G14862"/>
      <c r="H14862"/>
      <c r="I14862"/>
    </row>
    <row r="14863" spans="6:9" x14ac:dyDescent="0.3">
      <c r="F14863"/>
      <c r="G14863"/>
      <c r="H14863"/>
      <c r="I14863"/>
    </row>
    <row r="14864" spans="6:9" x14ac:dyDescent="0.3">
      <c r="F14864"/>
      <c r="G14864"/>
      <c r="H14864"/>
      <c r="I14864"/>
    </row>
    <row r="14865" spans="6:9" x14ac:dyDescent="0.3">
      <c r="F14865"/>
      <c r="G14865"/>
      <c r="H14865"/>
      <c r="I14865"/>
    </row>
    <row r="14866" spans="6:9" x14ac:dyDescent="0.3">
      <c r="F14866"/>
      <c r="G14866"/>
      <c r="H14866"/>
      <c r="I14866"/>
    </row>
    <row r="14867" spans="6:9" x14ac:dyDescent="0.3">
      <c r="F14867"/>
      <c r="G14867"/>
      <c r="H14867"/>
      <c r="I14867"/>
    </row>
    <row r="14868" spans="6:9" x14ac:dyDescent="0.3">
      <c r="F14868"/>
      <c r="G14868"/>
      <c r="H14868"/>
      <c r="I14868"/>
    </row>
    <row r="14869" spans="6:9" x14ac:dyDescent="0.3">
      <c r="F14869"/>
      <c r="G14869"/>
      <c r="H14869"/>
      <c r="I14869"/>
    </row>
    <row r="14870" spans="6:9" x14ac:dyDescent="0.3">
      <c r="F14870"/>
      <c r="G14870"/>
      <c r="H14870"/>
      <c r="I14870"/>
    </row>
    <row r="14871" spans="6:9" x14ac:dyDescent="0.3">
      <c r="F14871"/>
      <c r="G14871"/>
      <c r="H14871"/>
      <c r="I14871"/>
    </row>
    <row r="14872" spans="6:9" x14ac:dyDescent="0.3">
      <c r="F14872"/>
      <c r="G14872"/>
      <c r="H14872"/>
      <c r="I14872"/>
    </row>
    <row r="14873" spans="6:9" x14ac:dyDescent="0.3">
      <c r="F14873"/>
      <c r="G14873"/>
      <c r="H14873"/>
      <c r="I14873"/>
    </row>
    <row r="14874" spans="6:9" x14ac:dyDescent="0.3">
      <c r="F14874"/>
      <c r="G14874"/>
      <c r="H14874"/>
      <c r="I14874"/>
    </row>
    <row r="14875" spans="6:9" x14ac:dyDescent="0.3">
      <c r="F14875"/>
      <c r="G14875"/>
      <c r="H14875"/>
      <c r="I14875"/>
    </row>
    <row r="14876" spans="6:9" x14ac:dyDescent="0.3">
      <c r="F14876"/>
      <c r="G14876"/>
      <c r="H14876"/>
      <c r="I14876"/>
    </row>
    <row r="14877" spans="6:9" x14ac:dyDescent="0.3">
      <c r="F14877"/>
      <c r="G14877"/>
      <c r="H14877"/>
      <c r="I14877"/>
    </row>
    <row r="14878" spans="6:9" x14ac:dyDescent="0.3">
      <c r="F14878"/>
      <c r="G14878"/>
      <c r="H14878"/>
      <c r="I14878"/>
    </row>
    <row r="14879" spans="6:9" x14ac:dyDescent="0.3">
      <c r="F14879"/>
      <c r="G14879"/>
      <c r="H14879"/>
      <c r="I14879"/>
    </row>
    <row r="14880" spans="6:9" x14ac:dyDescent="0.3">
      <c r="F14880"/>
      <c r="G14880"/>
      <c r="H14880"/>
      <c r="I14880"/>
    </row>
    <row r="14881" spans="6:9" x14ac:dyDescent="0.3">
      <c r="F14881"/>
      <c r="G14881"/>
      <c r="H14881"/>
      <c r="I14881"/>
    </row>
    <row r="14882" spans="6:9" x14ac:dyDescent="0.3">
      <c r="F14882"/>
      <c r="G14882"/>
      <c r="H14882"/>
      <c r="I14882"/>
    </row>
    <row r="14883" spans="6:9" x14ac:dyDescent="0.3">
      <c r="F14883"/>
      <c r="G14883"/>
      <c r="H14883"/>
      <c r="I14883"/>
    </row>
    <row r="14884" spans="6:9" x14ac:dyDescent="0.3">
      <c r="F14884"/>
      <c r="G14884"/>
      <c r="H14884"/>
      <c r="I14884"/>
    </row>
    <row r="14885" spans="6:9" x14ac:dyDescent="0.3">
      <c r="F14885"/>
      <c r="G14885"/>
      <c r="H14885"/>
      <c r="I14885"/>
    </row>
    <row r="14886" spans="6:9" x14ac:dyDescent="0.3">
      <c r="F14886"/>
      <c r="G14886"/>
      <c r="H14886"/>
      <c r="I14886"/>
    </row>
    <row r="14887" spans="6:9" x14ac:dyDescent="0.3">
      <c r="F14887"/>
      <c r="G14887"/>
      <c r="H14887"/>
      <c r="I14887"/>
    </row>
    <row r="14888" spans="6:9" x14ac:dyDescent="0.3">
      <c r="F14888"/>
      <c r="G14888"/>
      <c r="H14888"/>
      <c r="I14888"/>
    </row>
    <row r="14889" spans="6:9" x14ac:dyDescent="0.3">
      <c r="F14889"/>
      <c r="G14889"/>
      <c r="H14889"/>
      <c r="I14889"/>
    </row>
    <row r="14890" spans="6:9" x14ac:dyDescent="0.3">
      <c r="F14890"/>
      <c r="G14890"/>
      <c r="H14890"/>
      <c r="I14890"/>
    </row>
    <row r="14891" spans="6:9" x14ac:dyDescent="0.3">
      <c r="F14891"/>
      <c r="G14891"/>
      <c r="H14891"/>
      <c r="I14891"/>
    </row>
    <row r="14892" spans="6:9" x14ac:dyDescent="0.3">
      <c r="F14892"/>
      <c r="G14892"/>
      <c r="H14892"/>
      <c r="I14892"/>
    </row>
    <row r="14893" spans="6:9" x14ac:dyDescent="0.3">
      <c r="F14893"/>
      <c r="G14893"/>
      <c r="H14893"/>
      <c r="I14893"/>
    </row>
    <row r="14894" spans="6:9" x14ac:dyDescent="0.3">
      <c r="F14894"/>
      <c r="G14894"/>
      <c r="H14894"/>
      <c r="I14894"/>
    </row>
    <row r="14895" spans="6:9" x14ac:dyDescent="0.3">
      <c r="F14895"/>
      <c r="G14895"/>
      <c r="H14895"/>
      <c r="I14895"/>
    </row>
    <row r="14896" spans="6:9" x14ac:dyDescent="0.3">
      <c r="F14896"/>
      <c r="G14896"/>
      <c r="H14896"/>
      <c r="I14896"/>
    </row>
    <row r="14897" spans="6:9" x14ac:dyDescent="0.3">
      <c r="F14897"/>
      <c r="G14897"/>
      <c r="H14897"/>
      <c r="I14897"/>
    </row>
    <row r="14898" spans="6:9" x14ac:dyDescent="0.3">
      <c r="F14898"/>
      <c r="G14898"/>
      <c r="H14898"/>
      <c r="I14898"/>
    </row>
    <row r="14899" spans="6:9" x14ac:dyDescent="0.3">
      <c r="F14899"/>
      <c r="G14899"/>
      <c r="H14899"/>
      <c r="I14899"/>
    </row>
    <row r="14900" spans="6:9" x14ac:dyDescent="0.3">
      <c r="F14900"/>
      <c r="G14900"/>
      <c r="H14900"/>
      <c r="I14900"/>
    </row>
    <row r="14901" spans="6:9" x14ac:dyDescent="0.3">
      <c r="F14901"/>
      <c r="G14901"/>
      <c r="H14901"/>
      <c r="I14901"/>
    </row>
    <row r="14902" spans="6:9" x14ac:dyDescent="0.3">
      <c r="F14902"/>
      <c r="G14902"/>
      <c r="H14902"/>
      <c r="I14902"/>
    </row>
    <row r="14903" spans="6:9" x14ac:dyDescent="0.3">
      <c r="F14903"/>
      <c r="G14903"/>
      <c r="H14903"/>
      <c r="I14903"/>
    </row>
    <row r="14904" spans="6:9" x14ac:dyDescent="0.3">
      <c r="F14904"/>
      <c r="G14904"/>
      <c r="H14904"/>
      <c r="I14904"/>
    </row>
    <row r="14905" spans="6:9" x14ac:dyDescent="0.3">
      <c r="F14905"/>
      <c r="G14905"/>
      <c r="H14905"/>
      <c r="I14905"/>
    </row>
    <row r="14906" spans="6:9" x14ac:dyDescent="0.3">
      <c r="F14906"/>
      <c r="G14906"/>
      <c r="H14906"/>
      <c r="I14906"/>
    </row>
    <row r="14907" spans="6:9" x14ac:dyDescent="0.3">
      <c r="F14907"/>
      <c r="G14907"/>
      <c r="H14907"/>
      <c r="I14907"/>
    </row>
    <row r="14908" spans="6:9" x14ac:dyDescent="0.3">
      <c r="F14908"/>
      <c r="G14908"/>
      <c r="H14908"/>
      <c r="I14908"/>
    </row>
    <row r="14909" spans="6:9" x14ac:dyDescent="0.3">
      <c r="F14909"/>
      <c r="G14909"/>
      <c r="H14909"/>
      <c r="I14909"/>
    </row>
    <row r="14910" spans="6:9" x14ac:dyDescent="0.3">
      <c r="F14910"/>
      <c r="G14910"/>
      <c r="H14910"/>
      <c r="I14910"/>
    </row>
    <row r="14911" spans="6:9" x14ac:dyDescent="0.3">
      <c r="F14911"/>
      <c r="G14911"/>
      <c r="H14911"/>
      <c r="I14911"/>
    </row>
    <row r="14912" spans="6:9" x14ac:dyDescent="0.3">
      <c r="F14912"/>
      <c r="G14912"/>
      <c r="H14912"/>
      <c r="I14912"/>
    </row>
    <row r="14913" spans="6:9" x14ac:dyDescent="0.3">
      <c r="F14913"/>
      <c r="G14913"/>
      <c r="H14913"/>
      <c r="I14913"/>
    </row>
    <row r="14914" spans="6:9" x14ac:dyDescent="0.3">
      <c r="F14914"/>
      <c r="G14914"/>
      <c r="H14914"/>
      <c r="I14914"/>
    </row>
    <row r="14915" spans="6:9" x14ac:dyDescent="0.3">
      <c r="F14915"/>
      <c r="G14915"/>
      <c r="H14915"/>
      <c r="I14915"/>
    </row>
    <row r="14916" spans="6:9" x14ac:dyDescent="0.3">
      <c r="F14916"/>
      <c r="G14916"/>
      <c r="H14916"/>
      <c r="I14916"/>
    </row>
    <row r="14917" spans="6:9" x14ac:dyDescent="0.3">
      <c r="F14917"/>
      <c r="G14917"/>
      <c r="H14917"/>
      <c r="I14917"/>
    </row>
    <row r="14918" spans="6:9" x14ac:dyDescent="0.3">
      <c r="F14918"/>
      <c r="G14918"/>
      <c r="H14918"/>
      <c r="I14918"/>
    </row>
    <row r="14919" spans="6:9" x14ac:dyDescent="0.3">
      <c r="F14919"/>
      <c r="G14919"/>
      <c r="H14919"/>
      <c r="I14919"/>
    </row>
    <row r="14920" spans="6:9" x14ac:dyDescent="0.3">
      <c r="F14920"/>
      <c r="G14920"/>
      <c r="H14920"/>
      <c r="I14920"/>
    </row>
    <row r="14921" spans="6:9" x14ac:dyDescent="0.3">
      <c r="F14921"/>
      <c r="G14921"/>
      <c r="H14921"/>
      <c r="I14921"/>
    </row>
    <row r="14922" spans="6:9" x14ac:dyDescent="0.3">
      <c r="F14922"/>
      <c r="G14922"/>
      <c r="H14922"/>
      <c r="I14922"/>
    </row>
    <row r="14923" spans="6:9" x14ac:dyDescent="0.3">
      <c r="F14923"/>
      <c r="G14923"/>
      <c r="H14923"/>
      <c r="I14923"/>
    </row>
    <row r="14924" spans="6:9" x14ac:dyDescent="0.3">
      <c r="F14924"/>
      <c r="G14924"/>
      <c r="H14924"/>
      <c r="I14924"/>
    </row>
    <row r="14925" spans="6:9" x14ac:dyDescent="0.3">
      <c r="F14925"/>
      <c r="G14925"/>
      <c r="H14925"/>
      <c r="I14925"/>
    </row>
    <row r="14926" spans="6:9" x14ac:dyDescent="0.3">
      <c r="F14926"/>
      <c r="G14926"/>
      <c r="H14926"/>
      <c r="I14926"/>
    </row>
    <row r="14927" spans="6:9" x14ac:dyDescent="0.3">
      <c r="F14927"/>
      <c r="G14927"/>
      <c r="H14927"/>
      <c r="I14927"/>
    </row>
    <row r="14928" spans="6:9" x14ac:dyDescent="0.3">
      <c r="F14928"/>
      <c r="G14928"/>
      <c r="H14928"/>
      <c r="I14928"/>
    </row>
    <row r="14929" spans="6:9" x14ac:dyDescent="0.3">
      <c r="F14929"/>
      <c r="G14929"/>
      <c r="H14929"/>
      <c r="I14929"/>
    </row>
    <row r="14930" spans="6:9" x14ac:dyDescent="0.3">
      <c r="F14930"/>
      <c r="G14930"/>
      <c r="H14930"/>
      <c r="I14930"/>
    </row>
    <row r="14931" spans="6:9" x14ac:dyDescent="0.3">
      <c r="F14931"/>
      <c r="G14931"/>
      <c r="H14931"/>
      <c r="I14931"/>
    </row>
    <row r="14932" spans="6:9" x14ac:dyDescent="0.3">
      <c r="F14932"/>
      <c r="G14932"/>
      <c r="H14932"/>
      <c r="I14932"/>
    </row>
    <row r="14933" spans="6:9" x14ac:dyDescent="0.3">
      <c r="F14933"/>
      <c r="G14933"/>
      <c r="H14933"/>
      <c r="I14933"/>
    </row>
    <row r="14934" spans="6:9" x14ac:dyDescent="0.3">
      <c r="F14934"/>
      <c r="G14934"/>
      <c r="H14934"/>
      <c r="I14934"/>
    </row>
    <row r="14935" spans="6:9" x14ac:dyDescent="0.3">
      <c r="F14935"/>
      <c r="G14935"/>
      <c r="H14935"/>
      <c r="I14935"/>
    </row>
    <row r="14936" spans="6:9" x14ac:dyDescent="0.3">
      <c r="F14936"/>
      <c r="G14936"/>
      <c r="H14936"/>
      <c r="I14936"/>
    </row>
    <row r="14937" spans="6:9" x14ac:dyDescent="0.3">
      <c r="F14937"/>
      <c r="G14937"/>
      <c r="H14937"/>
      <c r="I14937"/>
    </row>
    <row r="14938" spans="6:9" x14ac:dyDescent="0.3">
      <c r="F14938"/>
      <c r="G14938"/>
      <c r="H14938"/>
      <c r="I14938"/>
    </row>
    <row r="14939" spans="6:9" x14ac:dyDescent="0.3">
      <c r="F14939"/>
      <c r="G14939"/>
      <c r="H14939"/>
      <c r="I14939"/>
    </row>
    <row r="14940" spans="6:9" x14ac:dyDescent="0.3">
      <c r="F14940"/>
      <c r="G14940"/>
      <c r="H14940"/>
      <c r="I14940"/>
    </row>
    <row r="14941" spans="6:9" x14ac:dyDescent="0.3">
      <c r="F14941"/>
      <c r="G14941"/>
      <c r="H14941"/>
      <c r="I14941"/>
    </row>
    <row r="14942" spans="6:9" x14ac:dyDescent="0.3">
      <c r="F14942"/>
      <c r="G14942"/>
      <c r="H14942"/>
      <c r="I14942"/>
    </row>
    <row r="14943" spans="6:9" x14ac:dyDescent="0.3">
      <c r="F14943"/>
      <c r="G14943"/>
      <c r="H14943"/>
      <c r="I14943"/>
    </row>
    <row r="14944" spans="6:9" x14ac:dyDescent="0.3">
      <c r="F14944"/>
      <c r="G14944"/>
      <c r="H14944"/>
      <c r="I14944"/>
    </row>
    <row r="14945" spans="6:9" x14ac:dyDescent="0.3">
      <c r="F14945"/>
      <c r="G14945"/>
      <c r="H14945"/>
      <c r="I14945"/>
    </row>
    <row r="14946" spans="6:9" x14ac:dyDescent="0.3">
      <c r="F14946"/>
      <c r="G14946"/>
      <c r="H14946"/>
      <c r="I14946"/>
    </row>
    <row r="14947" spans="6:9" x14ac:dyDescent="0.3">
      <c r="F14947"/>
      <c r="G14947"/>
      <c r="H14947"/>
      <c r="I14947"/>
    </row>
    <row r="14948" spans="6:9" x14ac:dyDescent="0.3">
      <c r="F14948"/>
      <c r="G14948"/>
      <c r="H14948"/>
      <c r="I14948"/>
    </row>
    <row r="14949" spans="6:9" x14ac:dyDescent="0.3">
      <c r="F14949"/>
      <c r="G14949"/>
      <c r="H14949"/>
      <c r="I14949"/>
    </row>
    <row r="14950" spans="6:9" x14ac:dyDescent="0.3">
      <c r="F14950"/>
      <c r="G14950"/>
      <c r="H14950"/>
      <c r="I14950"/>
    </row>
    <row r="14951" spans="6:9" x14ac:dyDescent="0.3">
      <c r="F14951"/>
      <c r="G14951"/>
      <c r="H14951"/>
      <c r="I14951"/>
    </row>
    <row r="14952" spans="6:9" x14ac:dyDescent="0.3">
      <c r="F14952"/>
      <c r="G14952"/>
      <c r="H14952"/>
      <c r="I14952"/>
    </row>
    <row r="14953" spans="6:9" x14ac:dyDescent="0.3">
      <c r="F14953"/>
      <c r="G14953"/>
      <c r="H14953"/>
      <c r="I14953"/>
    </row>
    <row r="14954" spans="6:9" x14ac:dyDescent="0.3">
      <c r="F14954"/>
      <c r="G14954"/>
      <c r="H14954"/>
      <c r="I14954"/>
    </row>
    <row r="14955" spans="6:9" x14ac:dyDescent="0.3">
      <c r="F14955"/>
      <c r="G14955"/>
      <c r="H14955"/>
      <c r="I14955"/>
    </row>
    <row r="14956" spans="6:9" x14ac:dyDescent="0.3">
      <c r="F14956"/>
      <c r="G14956"/>
      <c r="H14956"/>
      <c r="I14956"/>
    </row>
    <row r="14957" spans="6:9" x14ac:dyDescent="0.3">
      <c r="F14957"/>
      <c r="G14957"/>
      <c r="H14957"/>
      <c r="I14957"/>
    </row>
    <row r="14958" spans="6:9" x14ac:dyDescent="0.3">
      <c r="F14958"/>
      <c r="G14958"/>
      <c r="H14958"/>
      <c r="I14958"/>
    </row>
    <row r="14959" spans="6:9" x14ac:dyDescent="0.3">
      <c r="F14959"/>
      <c r="G14959"/>
      <c r="H14959"/>
      <c r="I14959"/>
    </row>
    <row r="14960" spans="6:9" x14ac:dyDescent="0.3">
      <c r="F14960"/>
      <c r="G14960"/>
      <c r="H14960"/>
      <c r="I14960"/>
    </row>
    <row r="14961" spans="6:9" x14ac:dyDescent="0.3">
      <c r="F14961"/>
      <c r="G14961"/>
      <c r="H14961"/>
      <c r="I14961"/>
    </row>
    <row r="14962" spans="6:9" x14ac:dyDescent="0.3">
      <c r="F14962"/>
      <c r="G14962"/>
      <c r="H14962"/>
      <c r="I14962"/>
    </row>
    <row r="14963" spans="6:9" x14ac:dyDescent="0.3">
      <c r="F14963"/>
      <c r="G14963"/>
      <c r="H14963"/>
      <c r="I14963"/>
    </row>
    <row r="14964" spans="6:9" x14ac:dyDescent="0.3">
      <c r="F14964"/>
      <c r="G14964"/>
      <c r="H14964"/>
      <c r="I14964"/>
    </row>
    <row r="14965" spans="6:9" x14ac:dyDescent="0.3">
      <c r="F14965"/>
      <c r="G14965"/>
      <c r="H14965"/>
      <c r="I14965"/>
    </row>
    <row r="14966" spans="6:9" x14ac:dyDescent="0.3">
      <c r="F14966"/>
      <c r="G14966"/>
      <c r="H14966"/>
      <c r="I14966"/>
    </row>
    <row r="14967" spans="6:9" x14ac:dyDescent="0.3">
      <c r="F14967"/>
      <c r="G14967"/>
      <c r="H14967"/>
      <c r="I14967"/>
    </row>
    <row r="14968" spans="6:9" x14ac:dyDescent="0.3">
      <c r="F14968"/>
      <c r="G14968"/>
      <c r="H14968"/>
      <c r="I14968"/>
    </row>
    <row r="14969" spans="6:9" x14ac:dyDescent="0.3">
      <c r="F14969"/>
      <c r="G14969"/>
      <c r="H14969"/>
      <c r="I14969"/>
    </row>
    <row r="14970" spans="6:9" x14ac:dyDescent="0.3">
      <c r="F14970"/>
      <c r="G14970"/>
      <c r="H14970"/>
      <c r="I14970"/>
    </row>
    <row r="14971" spans="6:9" x14ac:dyDescent="0.3">
      <c r="F14971"/>
      <c r="G14971"/>
      <c r="H14971"/>
      <c r="I14971"/>
    </row>
    <row r="14972" spans="6:9" x14ac:dyDescent="0.3">
      <c r="F14972"/>
      <c r="G14972"/>
      <c r="H14972"/>
      <c r="I14972"/>
    </row>
    <row r="14973" spans="6:9" x14ac:dyDescent="0.3">
      <c r="F14973"/>
      <c r="G14973"/>
      <c r="H14973"/>
      <c r="I14973"/>
    </row>
    <row r="14974" spans="6:9" x14ac:dyDescent="0.3">
      <c r="F14974"/>
      <c r="G14974"/>
      <c r="H14974"/>
      <c r="I14974"/>
    </row>
    <row r="14975" spans="6:9" x14ac:dyDescent="0.3">
      <c r="F14975"/>
      <c r="G14975"/>
      <c r="H14975"/>
      <c r="I14975"/>
    </row>
    <row r="14976" spans="6:9" x14ac:dyDescent="0.3">
      <c r="F14976"/>
      <c r="G14976"/>
      <c r="H14976"/>
      <c r="I14976"/>
    </row>
    <row r="14977" spans="6:9" x14ac:dyDescent="0.3">
      <c r="F14977"/>
      <c r="G14977"/>
      <c r="H14977"/>
      <c r="I14977"/>
    </row>
    <row r="14978" spans="6:9" x14ac:dyDescent="0.3">
      <c r="F14978"/>
      <c r="G14978"/>
      <c r="H14978"/>
      <c r="I14978"/>
    </row>
    <row r="14979" spans="6:9" x14ac:dyDescent="0.3">
      <c r="F14979"/>
      <c r="G14979"/>
      <c r="H14979"/>
      <c r="I14979"/>
    </row>
    <row r="14980" spans="6:9" x14ac:dyDescent="0.3">
      <c r="F14980"/>
      <c r="G14980"/>
      <c r="H14980"/>
      <c r="I14980"/>
    </row>
    <row r="14981" spans="6:9" x14ac:dyDescent="0.3">
      <c r="F14981"/>
      <c r="G14981"/>
      <c r="H14981"/>
      <c r="I14981"/>
    </row>
    <row r="14982" spans="6:9" x14ac:dyDescent="0.3">
      <c r="F14982"/>
      <c r="G14982"/>
      <c r="H14982"/>
      <c r="I14982"/>
    </row>
    <row r="14983" spans="6:9" x14ac:dyDescent="0.3">
      <c r="F14983"/>
      <c r="G14983"/>
      <c r="H14983"/>
      <c r="I14983"/>
    </row>
    <row r="14984" spans="6:9" x14ac:dyDescent="0.3">
      <c r="F14984"/>
      <c r="G14984"/>
      <c r="H14984"/>
      <c r="I14984"/>
    </row>
    <row r="14985" spans="6:9" x14ac:dyDescent="0.3">
      <c r="F14985"/>
      <c r="G14985"/>
      <c r="H14985"/>
      <c r="I14985"/>
    </row>
    <row r="14986" spans="6:9" x14ac:dyDescent="0.3">
      <c r="F14986"/>
      <c r="G14986"/>
      <c r="H14986"/>
      <c r="I14986"/>
    </row>
    <row r="14987" spans="6:9" x14ac:dyDescent="0.3">
      <c r="F14987"/>
      <c r="G14987"/>
      <c r="H14987"/>
      <c r="I14987"/>
    </row>
    <row r="14988" spans="6:9" x14ac:dyDescent="0.3">
      <c r="F14988"/>
      <c r="G14988"/>
      <c r="H14988"/>
      <c r="I14988"/>
    </row>
    <row r="14989" spans="6:9" x14ac:dyDescent="0.3">
      <c r="F14989"/>
      <c r="G14989"/>
      <c r="H14989"/>
      <c r="I14989"/>
    </row>
    <row r="14990" spans="6:9" x14ac:dyDescent="0.3">
      <c r="F14990"/>
      <c r="G14990"/>
      <c r="H14990"/>
      <c r="I14990"/>
    </row>
    <row r="14991" spans="6:9" x14ac:dyDescent="0.3">
      <c r="F14991"/>
      <c r="G14991"/>
      <c r="H14991"/>
      <c r="I14991"/>
    </row>
    <row r="14992" spans="6:9" x14ac:dyDescent="0.3">
      <c r="F14992"/>
      <c r="G14992"/>
      <c r="H14992"/>
      <c r="I14992"/>
    </row>
    <row r="14993" spans="6:9" x14ac:dyDescent="0.3">
      <c r="F14993"/>
      <c r="G14993"/>
      <c r="H14993"/>
      <c r="I14993"/>
    </row>
    <row r="14994" spans="6:9" x14ac:dyDescent="0.3">
      <c r="F14994"/>
      <c r="G14994"/>
      <c r="H14994"/>
      <c r="I14994"/>
    </row>
    <row r="14995" spans="6:9" x14ac:dyDescent="0.3">
      <c r="F14995"/>
      <c r="G14995"/>
      <c r="H14995"/>
      <c r="I14995"/>
    </row>
    <row r="14996" spans="6:9" x14ac:dyDescent="0.3">
      <c r="F14996"/>
      <c r="G14996"/>
      <c r="H14996"/>
      <c r="I14996"/>
    </row>
    <row r="14997" spans="6:9" x14ac:dyDescent="0.3">
      <c r="F14997"/>
      <c r="G14997"/>
      <c r="H14997"/>
      <c r="I14997"/>
    </row>
    <row r="14998" spans="6:9" x14ac:dyDescent="0.3">
      <c r="F14998"/>
      <c r="G14998"/>
      <c r="H14998"/>
      <c r="I14998"/>
    </row>
    <row r="14999" spans="6:9" x14ac:dyDescent="0.3">
      <c r="F14999"/>
      <c r="G14999"/>
      <c r="H14999"/>
      <c r="I14999"/>
    </row>
    <row r="15000" spans="6:9" x14ac:dyDescent="0.3">
      <c r="F15000"/>
      <c r="G15000"/>
      <c r="H15000"/>
      <c r="I15000"/>
    </row>
    <row r="15001" spans="6:9" x14ac:dyDescent="0.3">
      <c r="F15001"/>
      <c r="G15001"/>
      <c r="H15001"/>
      <c r="I15001"/>
    </row>
    <row r="15002" spans="6:9" x14ac:dyDescent="0.3">
      <c r="F15002"/>
      <c r="G15002"/>
      <c r="H15002"/>
      <c r="I15002"/>
    </row>
    <row r="15003" spans="6:9" x14ac:dyDescent="0.3">
      <c r="F15003"/>
      <c r="G15003"/>
      <c r="H15003"/>
      <c r="I15003"/>
    </row>
    <row r="15004" spans="6:9" x14ac:dyDescent="0.3">
      <c r="F15004"/>
      <c r="G15004"/>
      <c r="H15004"/>
      <c r="I15004"/>
    </row>
    <row r="15005" spans="6:9" x14ac:dyDescent="0.3">
      <c r="F15005"/>
      <c r="G15005"/>
      <c r="H15005"/>
      <c r="I15005"/>
    </row>
    <row r="15006" spans="6:9" x14ac:dyDescent="0.3">
      <c r="F15006"/>
      <c r="G15006"/>
      <c r="H15006"/>
      <c r="I15006"/>
    </row>
    <row r="15007" spans="6:9" x14ac:dyDescent="0.3">
      <c r="F15007"/>
      <c r="G15007"/>
      <c r="H15007"/>
      <c r="I15007"/>
    </row>
    <row r="15008" spans="6:9" x14ac:dyDescent="0.3">
      <c r="F15008"/>
      <c r="G15008"/>
      <c r="H15008"/>
      <c r="I15008"/>
    </row>
    <row r="15009" spans="6:9" x14ac:dyDescent="0.3">
      <c r="F15009"/>
      <c r="G15009"/>
      <c r="H15009"/>
      <c r="I15009"/>
    </row>
    <row r="15010" spans="6:9" x14ac:dyDescent="0.3">
      <c r="F15010"/>
      <c r="G15010"/>
      <c r="H15010"/>
      <c r="I15010"/>
    </row>
    <row r="15011" spans="6:9" x14ac:dyDescent="0.3">
      <c r="F15011"/>
      <c r="G15011"/>
      <c r="H15011"/>
      <c r="I15011"/>
    </row>
    <row r="15012" spans="6:9" x14ac:dyDescent="0.3">
      <c r="F15012"/>
      <c r="G15012"/>
      <c r="H15012"/>
      <c r="I15012"/>
    </row>
    <row r="15013" spans="6:9" x14ac:dyDescent="0.3">
      <c r="F15013"/>
      <c r="G15013"/>
      <c r="H15013"/>
      <c r="I15013"/>
    </row>
    <row r="15014" spans="6:9" x14ac:dyDescent="0.3">
      <c r="F15014"/>
      <c r="G15014"/>
      <c r="H15014"/>
      <c r="I15014"/>
    </row>
    <row r="15015" spans="6:9" x14ac:dyDescent="0.3">
      <c r="F15015"/>
      <c r="G15015"/>
      <c r="H15015"/>
      <c r="I15015"/>
    </row>
    <row r="15016" spans="6:9" x14ac:dyDescent="0.3">
      <c r="F15016"/>
      <c r="G15016"/>
      <c r="H15016"/>
      <c r="I15016"/>
    </row>
    <row r="15017" spans="6:9" x14ac:dyDescent="0.3">
      <c r="F15017"/>
      <c r="G15017"/>
      <c r="H15017"/>
      <c r="I15017"/>
    </row>
    <row r="15018" spans="6:9" x14ac:dyDescent="0.3">
      <c r="F15018"/>
      <c r="G15018"/>
      <c r="H15018"/>
      <c r="I15018"/>
    </row>
    <row r="15019" spans="6:9" x14ac:dyDescent="0.3">
      <c r="F15019"/>
      <c r="G15019"/>
      <c r="H15019"/>
      <c r="I15019"/>
    </row>
    <row r="15020" spans="6:9" x14ac:dyDescent="0.3">
      <c r="F15020"/>
      <c r="G15020"/>
      <c r="H15020"/>
      <c r="I15020"/>
    </row>
    <row r="15021" spans="6:9" x14ac:dyDescent="0.3">
      <c r="F15021"/>
      <c r="G15021"/>
      <c r="H15021"/>
      <c r="I15021"/>
    </row>
    <row r="15022" spans="6:9" x14ac:dyDescent="0.3">
      <c r="F15022"/>
      <c r="G15022"/>
      <c r="H15022"/>
      <c r="I15022"/>
    </row>
    <row r="15023" spans="6:9" x14ac:dyDescent="0.3">
      <c r="F15023"/>
      <c r="G15023"/>
      <c r="H15023"/>
      <c r="I15023"/>
    </row>
    <row r="15024" spans="6:9" x14ac:dyDescent="0.3">
      <c r="F15024"/>
      <c r="G15024"/>
      <c r="H15024"/>
      <c r="I15024"/>
    </row>
    <row r="15025" spans="6:9" x14ac:dyDescent="0.3">
      <c r="F15025"/>
      <c r="G15025"/>
      <c r="H15025"/>
      <c r="I15025"/>
    </row>
    <row r="15026" spans="6:9" x14ac:dyDescent="0.3">
      <c r="F15026"/>
      <c r="G15026"/>
      <c r="H15026"/>
      <c r="I15026"/>
    </row>
    <row r="15027" spans="6:9" x14ac:dyDescent="0.3">
      <c r="F15027"/>
      <c r="G15027"/>
      <c r="H15027"/>
      <c r="I15027"/>
    </row>
    <row r="15028" spans="6:9" x14ac:dyDescent="0.3">
      <c r="F15028"/>
      <c r="G15028"/>
      <c r="H15028"/>
      <c r="I15028"/>
    </row>
    <row r="15029" spans="6:9" x14ac:dyDescent="0.3">
      <c r="F15029"/>
      <c r="G15029"/>
      <c r="H15029"/>
      <c r="I15029"/>
    </row>
    <row r="15030" spans="6:9" x14ac:dyDescent="0.3">
      <c r="F15030"/>
      <c r="G15030"/>
      <c r="H15030"/>
      <c r="I15030"/>
    </row>
    <row r="15031" spans="6:9" x14ac:dyDescent="0.3">
      <c r="F15031"/>
      <c r="G15031"/>
      <c r="H15031"/>
      <c r="I15031"/>
    </row>
    <row r="15032" spans="6:9" x14ac:dyDescent="0.3">
      <c r="F15032"/>
      <c r="G15032"/>
      <c r="H15032"/>
      <c r="I15032"/>
    </row>
    <row r="15033" spans="6:9" x14ac:dyDescent="0.3">
      <c r="F15033"/>
      <c r="G15033"/>
      <c r="H15033"/>
      <c r="I15033"/>
    </row>
    <row r="15034" spans="6:9" x14ac:dyDescent="0.3">
      <c r="F15034"/>
      <c r="G15034"/>
      <c r="H15034"/>
      <c r="I15034"/>
    </row>
    <row r="15035" spans="6:9" x14ac:dyDescent="0.3">
      <c r="F15035"/>
      <c r="G15035"/>
      <c r="H15035"/>
      <c r="I15035"/>
    </row>
    <row r="15036" spans="6:9" x14ac:dyDescent="0.3">
      <c r="F15036"/>
      <c r="G15036"/>
      <c r="H15036"/>
      <c r="I15036"/>
    </row>
    <row r="15037" spans="6:9" x14ac:dyDescent="0.3">
      <c r="F15037"/>
      <c r="G15037"/>
      <c r="H15037"/>
      <c r="I15037"/>
    </row>
    <row r="15038" spans="6:9" x14ac:dyDescent="0.3">
      <c r="F15038"/>
      <c r="G15038"/>
      <c r="H15038"/>
      <c r="I15038"/>
    </row>
    <row r="15039" spans="6:9" x14ac:dyDescent="0.3">
      <c r="F15039"/>
      <c r="G15039"/>
      <c r="H15039"/>
      <c r="I15039"/>
    </row>
    <row r="15040" spans="6:9" x14ac:dyDescent="0.3">
      <c r="F15040"/>
      <c r="G15040"/>
      <c r="H15040"/>
      <c r="I15040"/>
    </row>
    <row r="15041" spans="6:9" x14ac:dyDescent="0.3">
      <c r="F15041"/>
      <c r="G15041"/>
      <c r="H15041"/>
      <c r="I15041"/>
    </row>
    <row r="15042" spans="6:9" x14ac:dyDescent="0.3">
      <c r="F15042"/>
      <c r="G15042"/>
      <c r="H15042"/>
      <c r="I15042"/>
    </row>
    <row r="15043" spans="6:9" x14ac:dyDescent="0.3">
      <c r="F15043"/>
      <c r="G15043"/>
      <c r="H15043"/>
      <c r="I15043"/>
    </row>
    <row r="15044" spans="6:9" x14ac:dyDescent="0.3">
      <c r="F15044"/>
      <c r="G15044"/>
      <c r="H15044"/>
      <c r="I15044"/>
    </row>
    <row r="15045" spans="6:9" x14ac:dyDescent="0.3">
      <c r="F15045"/>
      <c r="G15045"/>
      <c r="H15045"/>
      <c r="I15045"/>
    </row>
    <row r="15046" spans="6:9" x14ac:dyDescent="0.3">
      <c r="F15046"/>
      <c r="G15046"/>
      <c r="H15046"/>
      <c r="I15046"/>
    </row>
    <row r="15047" spans="6:9" x14ac:dyDescent="0.3">
      <c r="F15047"/>
      <c r="G15047"/>
      <c r="H15047"/>
      <c r="I15047"/>
    </row>
    <row r="15048" spans="6:9" x14ac:dyDescent="0.3">
      <c r="F15048"/>
      <c r="G15048"/>
      <c r="H15048"/>
      <c r="I15048"/>
    </row>
    <row r="15049" spans="6:9" x14ac:dyDescent="0.3">
      <c r="F15049"/>
      <c r="G15049"/>
      <c r="H15049"/>
      <c r="I15049"/>
    </row>
    <row r="15050" spans="6:9" x14ac:dyDescent="0.3">
      <c r="F15050"/>
      <c r="G15050"/>
      <c r="H15050"/>
      <c r="I15050"/>
    </row>
    <row r="15051" spans="6:9" x14ac:dyDescent="0.3">
      <c r="F15051"/>
      <c r="G15051"/>
      <c r="H15051"/>
      <c r="I15051"/>
    </row>
    <row r="15052" spans="6:9" x14ac:dyDescent="0.3">
      <c r="F15052"/>
      <c r="G15052"/>
      <c r="H15052"/>
      <c r="I15052"/>
    </row>
    <row r="15053" spans="6:9" x14ac:dyDescent="0.3">
      <c r="F15053"/>
      <c r="G15053"/>
      <c r="H15053"/>
      <c r="I15053"/>
    </row>
    <row r="15054" spans="6:9" x14ac:dyDescent="0.3">
      <c r="F15054"/>
      <c r="G15054"/>
      <c r="H15054"/>
      <c r="I15054"/>
    </row>
    <row r="15055" spans="6:9" x14ac:dyDescent="0.3">
      <c r="F15055"/>
      <c r="G15055"/>
      <c r="H15055"/>
      <c r="I15055"/>
    </row>
    <row r="15056" spans="6:9" x14ac:dyDescent="0.3">
      <c r="F15056"/>
      <c r="G15056"/>
      <c r="H15056"/>
      <c r="I15056"/>
    </row>
    <row r="15057" spans="6:9" x14ac:dyDescent="0.3">
      <c r="F15057"/>
      <c r="G15057"/>
      <c r="H15057"/>
      <c r="I15057"/>
    </row>
    <row r="15058" spans="6:9" x14ac:dyDescent="0.3">
      <c r="F15058"/>
      <c r="G15058"/>
      <c r="H15058"/>
      <c r="I15058"/>
    </row>
    <row r="15059" spans="6:9" x14ac:dyDescent="0.3">
      <c r="F15059"/>
      <c r="G15059"/>
      <c r="H15059"/>
      <c r="I15059"/>
    </row>
    <row r="15060" spans="6:9" x14ac:dyDescent="0.3">
      <c r="F15060"/>
      <c r="G15060"/>
      <c r="H15060"/>
      <c r="I15060"/>
    </row>
    <row r="15061" spans="6:9" x14ac:dyDescent="0.3">
      <c r="F15061"/>
      <c r="G15061"/>
      <c r="H15061"/>
      <c r="I15061"/>
    </row>
    <row r="15062" spans="6:9" x14ac:dyDescent="0.3">
      <c r="F15062"/>
      <c r="G15062"/>
      <c r="H15062"/>
      <c r="I15062"/>
    </row>
    <row r="15063" spans="6:9" x14ac:dyDescent="0.3">
      <c r="F15063"/>
      <c r="G15063"/>
      <c r="H15063"/>
      <c r="I15063"/>
    </row>
    <row r="15064" spans="6:9" x14ac:dyDescent="0.3">
      <c r="F15064"/>
      <c r="G15064"/>
      <c r="H15064"/>
      <c r="I15064"/>
    </row>
    <row r="15065" spans="6:9" x14ac:dyDescent="0.3">
      <c r="F15065"/>
      <c r="G15065"/>
      <c r="H15065"/>
      <c r="I15065"/>
    </row>
    <row r="15066" spans="6:9" x14ac:dyDescent="0.3">
      <c r="F15066"/>
      <c r="G15066"/>
      <c r="H15066"/>
      <c r="I15066"/>
    </row>
    <row r="15067" spans="6:9" x14ac:dyDescent="0.3">
      <c r="F15067"/>
      <c r="G15067"/>
      <c r="H15067"/>
      <c r="I15067"/>
    </row>
    <row r="15068" spans="6:9" x14ac:dyDescent="0.3">
      <c r="F15068"/>
      <c r="G15068"/>
      <c r="H15068"/>
      <c r="I15068"/>
    </row>
    <row r="15069" spans="6:9" x14ac:dyDescent="0.3">
      <c r="F15069"/>
      <c r="G15069"/>
      <c r="H15069"/>
      <c r="I15069"/>
    </row>
    <row r="15070" spans="6:9" x14ac:dyDescent="0.3">
      <c r="F15070"/>
      <c r="G15070"/>
      <c r="H15070"/>
      <c r="I15070"/>
    </row>
    <row r="15071" spans="6:9" x14ac:dyDescent="0.3">
      <c r="F15071"/>
      <c r="G15071"/>
      <c r="H15071"/>
      <c r="I15071"/>
    </row>
    <row r="15072" spans="6:9" x14ac:dyDescent="0.3">
      <c r="F15072"/>
      <c r="G15072"/>
      <c r="H15072"/>
      <c r="I15072"/>
    </row>
    <row r="15073" spans="6:9" x14ac:dyDescent="0.3">
      <c r="F15073"/>
      <c r="G15073"/>
      <c r="H15073"/>
      <c r="I15073"/>
    </row>
    <row r="15074" spans="6:9" x14ac:dyDescent="0.3">
      <c r="F15074"/>
      <c r="G15074"/>
      <c r="H15074"/>
      <c r="I15074"/>
    </row>
    <row r="15075" spans="6:9" x14ac:dyDescent="0.3">
      <c r="F15075"/>
      <c r="G15075"/>
      <c r="H15075"/>
      <c r="I15075"/>
    </row>
    <row r="15076" spans="6:9" x14ac:dyDescent="0.3">
      <c r="F15076"/>
      <c r="G15076"/>
      <c r="H15076"/>
      <c r="I15076"/>
    </row>
    <row r="15077" spans="6:9" x14ac:dyDescent="0.3">
      <c r="F15077"/>
      <c r="G15077"/>
      <c r="H15077"/>
      <c r="I15077"/>
    </row>
    <row r="15078" spans="6:9" x14ac:dyDescent="0.3">
      <c r="F15078"/>
      <c r="G15078"/>
      <c r="H15078"/>
      <c r="I15078"/>
    </row>
    <row r="15079" spans="6:9" x14ac:dyDescent="0.3">
      <c r="F15079"/>
      <c r="G15079"/>
      <c r="H15079"/>
      <c r="I15079"/>
    </row>
    <row r="15080" spans="6:9" x14ac:dyDescent="0.3">
      <c r="F15080"/>
      <c r="G15080"/>
      <c r="H15080"/>
      <c r="I15080"/>
    </row>
    <row r="15081" spans="6:9" x14ac:dyDescent="0.3">
      <c r="F15081"/>
      <c r="G15081"/>
      <c r="H15081"/>
      <c r="I15081"/>
    </row>
    <row r="15082" spans="6:9" x14ac:dyDescent="0.3">
      <c r="F15082"/>
      <c r="G15082"/>
      <c r="H15082"/>
      <c r="I15082"/>
    </row>
    <row r="15083" spans="6:9" x14ac:dyDescent="0.3">
      <c r="F15083"/>
      <c r="G15083"/>
      <c r="H15083"/>
      <c r="I15083"/>
    </row>
    <row r="15084" spans="6:9" x14ac:dyDescent="0.3">
      <c r="F15084"/>
      <c r="G15084"/>
      <c r="H15084"/>
      <c r="I15084"/>
    </row>
    <row r="15085" spans="6:9" x14ac:dyDescent="0.3">
      <c r="F15085"/>
      <c r="G15085"/>
      <c r="H15085"/>
      <c r="I15085"/>
    </row>
    <row r="15086" spans="6:9" x14ac:dyDescent="0.3">
      <c r="F15086"/>
      <c r="G15086"/>
      <c r="H15086"/>
      <c r="I15086"/>
    </row>
    <row r="15087" spans="6:9" x14ac:dyDescent="0.3">
      <c r="F15087"/>
      <c r="G15087"/>
      <c r="H15087"/>
      <c r="I15087"/>
    </row>
    <row r="15088" spans="6:9" x14ac:dyDescent="0.3">
      <c r="F15088"/>
      <c r="G15088"/>
      <c r="H15088"/>
      <c r="I15088"/>
    </row>
    <row r="15089" spans="6:9" x14ac:dyDescent="0.3">
      <c r="F15089"/>
      <c r="G15089"/>
      <c r="H15089"/>
      <c r="I15089"/>
    </row>
    <row r="15090" spans="6:9" x14ac:dyDescent="0.3">
      <c r="F15090"/>
      <c r="G15090"/>
      <c r="H15090"/>
      <c r="I15090"/>
    </row>
    <row r="15091" spans="6:9" x14ac:dyDescent="0.3">
      <c r="F15091"/>
      <c r="G15091"/>
      <c r="H15091"/>
      <c r="I15091"/>
    </row>
    <row r="15092" spans="6:9" x14ac:dyDescent="0.3">
      <c r="F15092"/>
      <c r="G15092"/>
      <c r="H15092"/>
      <c r="I15092"/>
    </row>
    <row r="15093" spans="6:9" x14ac:dyDescent="0.3">
      <c r="F15093"/>
      <c r="G15093"/>
      <c r="H15093"/>
      <c r="I15093"/>
    </row>
    <row r="15094" spans="6:9" x14ac:dyDescent="0.3">
      <c r="F15094"/>
      <c r="G15094"/>
      <c r="H15094"/>
      <c r="I15094"/>
    </row>
    <row r="15095" spans="6:9" x14ac:dyDescent="0.3">
      <c r="F15095"/>
      <c r="G15095"/>
      <c r="H15095"/>
      <c r="I15095"/>
    </row>
    <row r="15096" spans="6:9" x14ac:dyDescent="0.3">
      <c r="F15096"/>
      <c r="G15096"/>
      <c r="H15096"/>
      <c r="I15096"/>
    </row>
    <row r="15097" spans="6:9" x14ac:dyDescent="0.3">
      <c r="F15097"/>
      <c r="G15097"/>
      <c r="H15097"/>
      <c r="I15097"/>
    </row>
    <row r="15098" spans="6:9" x14ac:dyDescent="0.3">
      <c r="F15098"/>
      <c r="G15098"/>
      <c r="H15098"/>
      <c r="I15098"/>
    </row>
    <row r="15099" spans="6:9" x14ac:dyDescent="0.3">
      <c r="F15099"/>
      <c r="G15099"/>
      <c r="H15099"/>
      <c r="I15099"/>
    </row>
    <row r="15100" spans="6:9" x14ac:dyDescent="0.3">
      <c r="F15100"/>
      <c r="G15100"/>
      <c r="H15100"/>
      <c r="I15100"/>
    </row>
    <row r="15101" spans="6:9" x14ac:dyDescent="0.3">
      <c r="F15101"/>
      <c r="G15101"/>
      <c r="H15101"/>
      <c r="I15101"/>
    </row>
    <row r="15102" spans="6:9" x14ac:dyDescent="0.3">
      <c r="F15102"/>
      <c r="G15102"/>
      <c r="H15102"/>
      <c r="I15102"/>
    </row>
    <row r="15103" spans="6:9" x14ac:dyDescent="0.3">
      <c r="F15103"/>
      <c r="G15103"/>
      <c r="H15103"/>
      <c r="I15103"/>
    </row>
    <row r="15104" spans="6:9" x14ac:dyDescent="0.3">
      <c r="F15104"/>
      <c r="G15104"/>
      <c r="H15104"/>
      <c r="I15104"/>
    </row>
    <row r="15105" spans="6:9" x14ac:dyDescent="0.3">
      <c r="F15105"/>
      <c r="G15105"/>
      <c r="H15105"/>
      <c r="I15105"/>
    </row>
    <row r="15106" spans="6:9" x14ac:dyDescent="0.3">
      <c r="F15106"/>
      <c r="G15106"/>
      <c r="H15106"/>
      <c r="I15106"/>
    </row>
    <row r="15107" spans="6:9" x14ac:dyDescent="0.3">
      <c r="F15107"/>
      <c r="G15107"/>
      <c r="H15107"/>
      <c r="I15107"/>
    </row>
    <row r="15108" spans="6:9" x14ac:dyDescent="0.3">
      <c r="F15108"/>
      <c r="G15108"/>
      <c r="H15108"/>
      <c r="I15108"/>
    </row>
    <row r="15109" spans="6:9" x14ac:dyDescent="0.3">
      <c r="F15109"/>
      <c r="G15109"/>
      <c r="H15109"/>
      <c r="I15109"/>
    </row>
    <row r="15110" spans="6:9" x14ac:dyDescent="0.3">
      <c r="F15110"/>
      <c r="G15110"/>
      <c r="H15110"/>
      <c r="I15110"/>
    </row>
    <row r="15111" spans="6:9" x14ac:dyDescent="0.3">
      <c r="F15111"/>
      <c r="G15111"/>
      <c r="H15111"/>
      <c r="I15111"/>
    </row>
    <row r="15112" spans="6:9" x14ac:dyDescent="0.3">
      <c r="F15112"/>
      <c r="G15112"/>
      <c r="H15112"/>
      <c r="I15112"/>
    </row>
    <row r="15113" spans="6:9" x14ac:dyDescent="0.3">
      <c r="F15113"/>
      <c r="G15113"/>
      <c r="H15113"/>
      <c r="I15113"/>
    </row>
    <row r="15114" spans="6:9" x14ac:dyDescent="0.3">
      <c r="F15114"/>
      <c r="G15114"/>
      <c r="H15114"/>
      <c r="I15114"/>
    </row>
    <row r="15115" spans="6:9" x14ac:dyDescent="0.3">
      <c r="F15115"/>
      <c r="G15115"/>
      <c r="H15115"/>
      <c r="I15115"/>
    </row>
    <row r="15116" spans="6:9" x14ac:dyDescent="0.3">
      <c r="F15116"/>
      <c r="G15116"/>
      <c r="H15116"/>
      <c r="I15116"/>
    </row>
    <row r="15117" spans="6:9" x14ac:dyDescent="0.3">
      <c r="F15117"/>
      <c r="G15117"/>
      <c r="H15117"/>
      <c r="I15117"/>
    </row>
    <row r="15118" spans="6:9" x14ac:dyDescent="0.3">
      <c r="F15118"/>
      <c r="G15118"/>
      <c r="H15118"/>
      <c r="I15118"/>
    </row>
    <row r="15119" spans="6:9" x14ac:dyDescent="0.3">
      <c r="F15119"/>
      <c r="G15119"/>
      <c r="H15119"/>
      <c r="I15119"/>
    </row>
    <row r="15120" spans="6:9" x14ac:dyDescent="0.3">
      <c r="F15120"/>
      <c r="G15120"/>
      <c r="H15120"/>
      <c r="I15120"/>
    </row>
    <row r="15121" spans="6:9" x14ac:dyDescent="0.3">
      <c r="F15121"/>
      <c r="G15121"/>
      <c r="H15121"/>
      <c r="I15121"/>
    </row>
    <row r="15122" spans="6:9" x14ac:dyDescent="0.3">
      <c r="F15122"/>
      <c r="G15122"/>
      <c r="H15122"/>
      <c r="I15122"/>
    </row>
    <row r="15123" spans="6:9" x14ac:dyDescent="0.3">
      <c r="F15123"/>
      <c r="G15123"/>
      <c r="H15123"/>
      <c r="I15123"/>
    </row>
    <row r="15124" spans="6:9" x14ac:dyDescent="0.3">
      <c r="F15124"/>
      <c r="G15124"/>
      <c r="H15124"/>
      <c r="I15124"/>
    </row>
    <row r="15125" spans="6:9" x14ac:dyDescent="0.3">
      <c r="F15125"/>
      <c r="G15125"/>
      <c r="H15125"/>
      <c r="I15125"/>
    </row>
    <row r="15126" spans="6:9" x14ac:dyDescent="0.3">
      <c r="F15126"/>
      <c r="G15126"/>
      <c r="H15126"/>
      <c r="I15126"/>
    </row>
    <row r="15127" spans="6:9" x14ac:dyDescent="0.3">
      <c r="F15127"/>
      <c r="G15127"/>
      <c r="H15127"/>
      <c r="I15127"/>
    </row>
    <row r="15128" spans="6:9" x14ac:dyDescent="0.3">
      <c r="F15128"/>
      <c r="G15128"/>
      <c r="H15128"/>
      <c r="I15128"/>
    </row>
    <row r="15129" spans="6:9" x14ac:dyDescent="0.3">
      <c r="F15129"/>
      <c r="G15129"/>
      <c r="H15129"/>
      <c r="I15129"/>
    </row>
    <row r="15130" spans="6:9" x14ac:dyDescent="0.3">
      <c r="F15130"/>
      <c r="G15130"/>
      <c r="H15130"/>
      <c r="I15130"/>
    </row>
    <row r="15131" spans="6:9" x14ac:dyDescent="0.3">
      <c r="F15131"/>
      <c r="G15131"/>
      <c r="H15131"/>
      <c r="I15131"/>
    </row>
    <row r="15132" spans="6:9" x14ac:dyDescent="0.3">
      <c r="F15132"/>
      <c r="G15132"/>
      <c r="H15132"/>
      <c r="I15132"/>
    </row>
    <row r="15133" spans="6:9" x14ac:dyDescent="0.3">
      <c r="F15133"/>
      <c r="G15133"/>
      <c r="H15133"/>
      <c r="I15133"/>
    </row>
    <row r="15134" spans="6:9" x14ac:dyDescent="0.3">
      <c r="F15134"/>
      <c r="G15134"/>
      <c r="H15134"/>
      <c r="I15134"/>
    </row>
    <row r="15135" spans="6:9" x14ac:dyDescent="0.3">
      <c r="F15135"/>
      <c r="G15135"/>
      <c r="H15135"/>
      <c r="I15135"/>
    </row>
    <row r="15136" spans="6:9" x14ac:dyDescent="0.3">
      <c r="F15136"/>
      <c r="G15136"/>
      <c r="H15136"/>
      <c r="I15136"/>
    </row>
    <row r="15137" spans="6:9" x14ac:dyDescent="0.3">
      <c r="F15137"/>
      <c r="G15137"/>
      <c r="H15137"/>
      <c r="I15137"/>
    </row>
    <row r="15138" spans="6:9" x14ac:dyDescent="0.3">
      <c r="F15138"/>
      <c r="G15138"/>
      <c r="H15138"/>
      <c r="I15138"/>
    </row>
    <row r="15139" spans="6:9" x14ac:dyDescent="0.3">
      <c r="F15139"/>
      <c r="G15139"/>
      <c r="H15139"/>
      <c r="I15139"/>
    </row>
    <row r="15140" spans="6:9" x14ac:dyDescent="0.3">
      <c r="F15140"/>
      <c r="G15140"/>
      <c r="H15140"/>
      <c r="I15140"/>
    </row>
    <row r="15141" spans="6:9" x14ac:dyDescent="0.3">
      <c r="F15141"/>
      <c r="G15141"/>
      <c r="H15141"/>
      <c r="I15141"/>
    </row>
    <row r="15142" spans="6:9" x14ac:dyDescent="0.3">
      <c r="F15142"/>
      <c r="G15142"/>
      <c r="H15142"/>
      <c r="I15142"/>
    </row>
    <row r="15143" spans="6:9" x14ac:dyDescent="0.3">
      <c r="F15143"/>
      <c r="G15143"/>
      <c r="H15143"/>
      <c r="I15143"/>
    </row>
    <row r="15144" spans="6:9" x14ac:dyDescent="0.3">
      <c r="F15144"/>
      <c r="G15144"/>
      <c r="H15144"/>
      <c r="I15144"/>
    </row>
    <row r="15145" spans="6:9" x14ac:dyDescent="0.3">
      <c r="F15145"/>
      <c r="G15145"/>
      <c r="H15145"/>
      <c r="I15145"/>
    </row>
    <row r="15146" spans="6:9" x14ac:dyDescent="0.3">
      <c r="F15146"/>
      <c r="G15146"/>
      <c r="H15146"/>
      <c r="I15146"/>
    </row>
    <row r="15147" spans="6:9" x14ac:dyDescent="0.3">
      <c r="F15147"/>
      <c r="G15147"/>
      <c r="H15147"/>
      <c r="I15147"/>
    </row>
    <row r="15148" spans="6:9" x14ac:dyDescent="0.3">
      <c r="F15148"/>
      <c r="G15148"/>
      <c r="H15148"/>
      <c r="I15148"/>
    </row>
    <row r="15149" spans="6:9" x14ac:dyDescent="0.3">
      <c r="F15149"/>
      <c r="G15149"/>
      <c r="H15149"/>
      <c r="I15149"/>
    </row>
    <row r="15150" spans="6:9" x14ac:dyDescent="0.3">
      <c r="F15150"/>
      <c r="G15150"/>
      <c r="H15150"/>
      <c r="I15150"/>
    </row>
    <row r="15151" spans="6:9" x14ac:dyDescent="0.3">
      <c r="F15151"/>
      <c r="G15151"/>
      <c r="H15151"/>
      <c r="I15151"/>
    </row>
    <row r="15152" spans="6:9" x14ac:dyDescent="0.3">
      <c r="F15152"/>
      <c r="G15152"/>
      <c r="H15152"/>
      <c r="I15152"/>
    </row>
    <row r="15153" spans="6:9" x14ac:dyDescent="0.3">
      <c r="F15153"/>
      <c r="G15153"/>
      <c r="H15153"/>
      <c r="I15153"/>
    </row>
    <row r="15154" spans="6:9" x14ac:dyDescent="0.3">
      <c r="F15154"/>
      <c r="G15154"/>
      <c r="H15154"/>
      <c r="I15154"/>
    </row>
    <row r="15155" spans="6:9" x14ac:dyDescent="0.3">
      <c r="F15155"/>
      <c r="G15155"/>
      <c r="H15155"/>
      <c r="I15155"/>
    </row>
    <row r="15156" spans="6:9" x14ac:dyDescent="0.3">
      <c r="F15156"/>
      <c r="G15156"/>
      <c r="H15156"/>
      <c r="I15156"/>
    </row>
    <row r="15157" spans="6:9" x14ac:dyDescent="0.3">
      <c r="F15157"/>
      <c r="G15157"/>
      <c r="H15157"/>
      <c r="I15157"/>
    </row>
    <row r="15158" spans="6:9" x14ac:dyDescent="0.3">
      <c r="F15158"/>
      <c r="G15158"/>
      <c r="H15158"/>
      <c r="I15158"/>
    </row>
    <row r="15159" spans="6:9" x14ac:dyDescent="0.3">
      <c r="F15159"/>
      <c r="G15159"/>
      <c r="H15159"/>
      <c r="I15159"/>
    </row>
    <row r="15160" spans="6:9" x14ac:dyDescent="0.3">
      <c r="F15160"/>
      <c r="G15160"/>
      <c r="H15160"/>
      <c r="I15160"/>
    </row>
    <row r="15161" spans="6:9" x14ac:dyDescent="0.3">
      <c r="F15161"/>
      <c r="G15161"/>
      <c r="H15161"/>
      <c r="I15161"/>
    </row>
    <row r="15162" spans="6:9" x14ac:dyDescent="0.3">
      <c r="F15162"/>
      <c r="G15162"/>
      <c r="H15162"/>
      <c r="I15162"/>
    </row>
    <row r="15163" spans="6:9" x14ac:dyDescent="0.3">
      <c r="F15163"/>
      <c r="G15163"/>
      <c r="H15163"/>
      <c r="I15163"/>
    </row>
    <row r="15164" spans="6:9" x14ac:dyDescent="0.3">
      <c r="F15164"/>
      <c r="G15164"/>
      <c r="H15164"/>
      <c r="I15164"/>
    </row>
    <row r="15165" spans="6:9" x14ac:dyDescent="0.3">
      <c r="F15165"/>
      <c r="G15165"/>
      <c r="H15165"/>
      <c r="I15165"/>
    </row>
    <row r="15166" spans="6:9" x14ac:dyDescent="0.3">
      <c r="F15166"/>
      <c r="G15166"/>
      <c r="H15166"/>
      <c r="I15166"/>
    </row>
    <row r="15167" spans="6:9" x14ac:dyDescent="0.3">
      <c r="F15167"/>
      <c r="G15167"/>
      <c r="H15167"/>
      <c r="I15167"/>
    </row>
    <row r="15168" spans="6:9" x14ac:dyDescent="0.3">
      <c r="F15168"/>
      <c r="G15168"/>
      <c r="H15168"/>
      <c r="I15168"/>
    </row>
    <row r="15169" spans="6:9" x14ac:dyDescent="0.3">
      <c r="F15169"/>
      <c r="G15169"/>
      <c r="H15169"/>
      <c r="I15169"/>
    </row>
    <row r="15170" spans="6:9" x14ac:dyDescent="0.3">
      <c r="F15170"/>
      <c r="G15170"/>
      <c r="H15170"/>
      <c r="I15170"/>
    </row>
    <row r="15171" spans="6:9" x14ac:dyDescent="0.3">
      <c r="F15171"/>
      <c r="G15171"/>
      <c r="H15171"/>
      <c r="I15171"/>
    </row>
    <row r="15172" spans="6:9" x14ac:dyDescent="0.3">
      <c r="F15172"/>
      <c r="G15172"/>
      <c r="H15172"/>
      <c r="I15172"/>
    </row>
    <row r="15173" spans="6:9" x14ac:dyDescent="0.3">
      <c r="F15173"/>
      <c r="G15173"/>
      <c r="H15173"/>
      <c r="I15173"/>
    </row>
    <row r="15174" spans="6:9" x14ac:dyDescent="0.3">
      <c r="F15174"/>
      <c r="G15174"/>
      <c r="H15174"/>
      <c r="I15174"/>
    </row>
    <row r="15175" spans="6:9" x14ac:dyDescent="0.3">
      <c r="F15175"/>
      <c r="G15175"/>
      <c r="H15175"/>
      <c r="I15175"/>
    </row>
    <row r="15176" spans="6:9" x14ac:dyDescent="0.3">
      <c r="F15176"/>
      <c r="G15176"/>
      <c r="H15176"/>
      <c r="I15176"/>
    </row>
    <row r="15177" spans="6:9" x14ac:dyDescent="0.3">
      <c r="F15177"/>
      <c r="G15177"/>
      <c r="H15177"/>
      <c r="I15177"/>
    </row>
    <row r="15178" spans="6:9" x14ac:dyDescent="0.3">
      <c r="F15178"/>
      <c r="G15178"/>
      <c r="H15178"/>
      <c r="I15178"/>
    </row>
    <row r="15179" spans="6:9" x14ac:dyDescent="0.3">
      <c r="F15179"/>
      <c r="G15179"/>
      <c r="H15179"/>
      <c r="I15179"/>
    </row>
    <row r="15180" spans="6:9" x14ac:dyDescent="0.3">
      <c r="F15180"/>
      <c r="G15180"/>
      <c r="H15180"/>
      <c r="I15180"/>
    </row>
    <row r="15181" spans="6:9" x14ac:dyDescent="0.3">
      <c r="F15181"/>
      <c r="G15181"/>
      <c r="H15181"/>
      <c r="I15181"/>
    </row>
    <row r="15182" spans="6:9" x14ac:dyDescent="0.3">
      <c r="F15182"/>
      <c r="G15182"/>
      <c r="H15182"/>
      <c r="I15182"/>
    </row>
    <row r="15183" spans="6:9" x14ac:dyDescent="0.3">
      <c r="F15183"/>
      <c r="G15183"/>
      <c r="H15183"/>
      <c r="I15183"/>
    </row>
    <row r="15184" spans="6:9" x14ac:dyDescent="0.3">
      <c r="F15184"/>
      <c r="G15184"/>
      <c r="H15184"/>
      <c r="I15184"/>
    </row>
    <row r="15185" spans="6:9" x14ac:dyDescent="0.3">
      <c r="F15185"/>
      <c r="G15185"/>
      <c r="H15185"/>
      <c r="I15185"/>
    </row>
    <row r="15186" spans="6:9" x14ac:dyDescent="0.3">
      <c r="F15186"/>
      <c r="G15186"/>
      <c r="H15186"/>
      <c r="I15186"/>
    </row>
    <row r="15187" spans="6:9" x14ac:dyDescent="0.3">
      <c r="F15187"/>
      <c r="G15187"/>
      <c r="H15187"/>
      <c r="I15187"/>
    </row>
    <row r="15188" spans="6:9" x14ac:dyDescent="0.3">
      <c r="F15188"/>
      <c r="G15188"/>
      <c r="H15188"/>
      <c r="I15188"/>
    </row>
    <row r="15189" spans="6:9" x14ac:dyDescent="0.3">
      <c r="F15189"/>
      <c r="G15189"/>
      <c r="H15189"/>
      <c r="I15189"/>
    </row>
    <row r="15190" spans="6:9" x14ac:dyDescent="0.3">
      <c r="F15190"/>
      <c r="G15190"/>
      <c r="H15190"/>
      <c r="I15190"/>
    </row>
    <row r="15191" spans="6:9" x14ac:dyDescent="0.3">
      <c r="F15191"/>
      <c r="G15191"/>
      <c r="H15191"/>
      <c r="I15191"/>
    </row>
    <row r="15192" spans="6:9" x14ac:dyDescent="0.3">
      <c r="F15192"/>
      <c r="G15192"/>
      <c r="H15192"/>
      <c r="I15192"/>
    </row>
    <row r="15193" spans="6:9" x14ac:dyDescent="0.3">
      <c r="F15193"/>
      <c r="G15193"/>
      <c r="H15193"/>
      <c r="I15193"/>
    </row>
    <row r="15194" spans="6:9" x14ac:dyDescent="0.3">
      <c r="F15194"/>
      <c r="G15194"/>
      <c r="H15194"/>
      <c r="I15194"/>
    </row>
    <row r="15195" spans="6:9" x14ac:dyDescent="0.3">
      <c r="F15195"/>
      <c r="G15195"/>
      <c r="H15195"/>
      <c r="I15195"/>
    </row>
    <row r="15196" spans="6:9" x14ac:dyDescent="0.3">
      <c r="F15196"/>
      <c r="G15196"/>
      <c r="H15196"/>
      <c r="I15196"/>
    </row>
    <row r="15197" spans="6:9" x14ac:dyDescent="0.3">
      <c r="F15197"/>
      <c r="G15197"/>
      <c r="H15197"/>
      <c r="I15197"/>
    </row>
    <row r="15198" spans="6:9" x14ac:dyDescent="0.3">
      <c r="F15198"/>
      <c r="G15198"/>
      <c r="H15198"/>
      <c r="I15198"/>
    </row>
    <row r="15199" spans="6:9" x14ac:dyDescent="0.3">
      <c r="F15199"/>
      <c r="G15199"/>
      <c r="H15199"/>
      <c r="I15199"/>
    </row>
    <row r="15200" spans="6:9" x14ac:dyDescent="0.3">
      <c r="F15200"/>
      <c r="G15200"/>
      <c r="H15200"/>
      <c r="I15200"/>
    </row>
    <row r="15201" spans="6:9" x14ac:dyDescent="0.3">
      <c r="F15201"/>
      <c r="G15201"/>
      <c r="H15201"/>
      <c r="I15201"/>
    </row>
    <row r="15202" spans="6:9" x14ac:dyDescent="0.3">
      <c r="F15202"/>
      <c r="G15202"/>
      <c r="H15202"/>
      <c r="I15202"/>
    </row>
    <row r="15203" spans="6:9" x14ac:dyDescent="0.3">
      <c r="F15203"/>
      <c r="G15203"/>
      <c r="H15203"/>
      <c r="I15203"/>
    </row>
    <row r="15204" spans="6:9" x14ac:dyDescent="0.3">
      <c r="F15204"/>
      <c r="G15204"/>
      <c r="H15204"/>
      <c r="I15204"/>
    </row>
    <row r="15205" spans="6:9" x14ac:dyDescent="0.3">
      <c r="F15205"/>
      <c r="G15205"/>
      <c r="H15205"/>
      <c r="I15205"/>
    </row>
    <row r="15206" spans="6:9" x14ac:dyDescent="0.3">
      <c r="F15206"/>
      <c r="G15206"/>
      <c r="H15206"/>
      <c r="I15206"/>
    </row>
    <row r="15207" spans="6:9" x14ac:dyDescent="0.3">
      <c r="F15207"/>
      <c r="G15207"/>
      <c r="H15207"/>
      <c r="I15207"/>
    </row>
    <row r="15208" spans="6:9" x14ac:dyDescent="0.3">
      <c r="F15208"/>
      <c r="G15208"/>
      <c r="H15208"/>
      <c r="I15208"/>
    </row>
    <row r="15209" spans="6:9" x14ac:dyDescent="0.3">
      <c r="F15209"/>
      <c r="G15209"/>
      <c r="H15209"/>
      <c r="I15209"/>
    </row>
    <row r="15210" spans="6:9" x14ac:dyDescent="0.3">
      <c r="F15210"/>
      <c r="G15210"/>
      <c r="H15210"/>
      <c r="I15210"/>
    </row>
    <row r="15211" spans="6:9" x14ac:dyDescent="0.3">
      <c r="F15211"/>
      <c r="G15211"/>
      <c r="H15211"/>
      <c r="I15211"/>
    </row>
    <row r="15212" spans="6:9" x14ac:dyDescent="0.3">
      <c r="F15212"/>
      <c r="G15212"/>
      <c r="H15212"/>
      <c r="I15212"/>
    </row>
    <row r="15213" spans="6:9" x14ac:dyDescent="0.3">
      <c r="F15213"/>
      <c r="G15213"/>
      <c r="H15213"/>
      <c r="I15213"/>
    </row>
    <row r="15214" spans="6:9" x14ac:dyDescent="0.3">
      <c r="F15214"/>
      <c r="G15214"/>
      <c r="H15214"/>
      <c r="I15214"/>
    </row>
    <row r="15215" spans="6:9" x14ac:dyDescent="0.3">
      <c r="F15215"/>
      <c r="G15215"/>
      <c r="H15215"/>
      <c r="I15215"/>
    </row>
    <row r="15216" spans="6:9" x14ac:dyDescent="0.3">
      <c r="F15216"/>
      <c r="G15216"/>
      <c r="H15216"/>
      <c r="I15216"/>
    </row>
    <row r="15217" spans="6:9" x14ac:dyDescent="0.3">
      <c r="F15217"/>
      <c r="G15217"/>
      <c r="H15217"/>
      <c r="I15217"/>
    </row>
    <row r="15218" spans="6:9" x14ac:dyDescent="0.3">
      <c r="F15218"/>
      <c r="G15218"/>
      <c r="H15218"/>
      <c r="I15218"/>
    </row>
    <row r="15219" spans="6:9" x14ac:dyDescent="0.3">
      <c r="F15219"/>
      <c r="G15219"/>
      <c r="H15219"/>
      <c r="I15219"/>
    </row>
    <row r="15220" spans="6:9" x14ac:dyDescent="0.3">
      <c r="F15220"/>
      <c r="G15220"/>
      <c r="H15220"/>
      <c r="I15220"/>
    </row>
    <row r="15221" spans="6:9" x14ac:dyDescent="0.3">
      <c r="F15221"/>
      <c r="G15221"/>
      <c r="H15221"/>
      <c r="I15221"/>
    </row>
    <row r="15222" spans="6:9" x14ac:dyDescent="0.3">
      <c r="F15222"/>
      <c r="G15222"/>
      <c r="H15222"/>
      <c r="I15222"/>
    </row>
    <row r="15223" spans="6:9" x14ac:dyDescent="0.3">
      <c r="F15223"/>
      <c r="G15223"/>
      <c r="H15223"/>
      <c r="I15223"/>
    </row>
    <row r="15224" spans="6:9" x14ac:dyDescent="0.3">
      <c r="F15224"/>
      <c r="G15224"/>
      <c r="H15224"/>
      <c r="I15224"/>
    </row>
    <row r="15225" spans="6:9" x14ac:dyDescent="0.3">
      <c r="F15225"/>
      <c r="G15225"/>
      <c r="H15225"/>
      <c r="I15225"/>
    </row>
    <row r="15226" spans="6:9" x14ac:dyDescent="0.3">
      <c r="F15226"/>
      <c r="G15226"/>
      <c r="H15226"/>
      <c r="I15226"/>
    </row>
    <row r="15227" spans="6:9" x14ac:dyDescent="0.3">
      <c r="F15227"/>
      <c r="G15227"/>
      <c r="H15227"/>
      <c r="I15227"/>
    </row>
    <row r="15228" spans="6:9" x14ac:dyDescent="0.3">
      <c r="F15228"/>
      <c r="G15228"/>
      <c r="H15228"/>
      <c r="I15228"/>
    </row>
    <row r="15229" spans="6:9" x14ac:dyDescent="0.3">
      <c r="F15229"/>
      <c r="G15229"/>
      <c r="H15229"/>
      <c r="I15229"/>
    </row>
    <row r="15230" spans="6:9" x14ac:dyDescent="0.3">
      <c r="F15230"/>
      <c r="G15230"/>
      <c r="H15230"/>
      <c r="I15230"/>
    </row>
    <row r="15231" spans="6:9" x14ac:dyDescent="0.3">
      <c r="F15231"/>
      <c r="G15231"/>
      <c r="H15231"/>
      <c r="I15231"/>
    </row>
    <row r="15232" spans="6:9" x14ac:dyDescent="0.3">
      <c r="F15232"/>
      <c r="G15232"/>
      <c r="H15232"/>
      <c r="I15232"/>
    </row>
    <row r="15233" spans="6:9" x14ac:dyDescent="0.3">
      <c r="F15233"/>
      <c r="G15233"/>
      <c r="H15233"/>
      <c r="I15233"/>
    </row>
    <row r="15234" spans="6:9" x14ac:dyDescent="0.3">
      <c r="F15234"/>
      <c r="G15234"/>
      <c r="H15234"/>
      <c r="I15234"/>
    </row>
    <row r="15235" spans="6:9" x14ac:dyDescent="0.3">
      <c r="F15235"/>
      <c r="G15235"/>
      <c r="H15235"/>
      <c r="I15235"/>
    </row>
    <row r="15236" spans="6:9" x14ac:dyDescent="0.3">
      <c r="F15236"/>
      <c r="G15236"/>
      <c r="H15236"/>
      <c r="I15236"/>
    </row>
    <row r="15237" spans="6:9" x14ac:dyDescent="0.3">
      <c r="F15237"/>
      <c r="G15237"/>
      <c r="H15237"/>
      <c r="I15237"/>
    </row>
    <row r="15238" spans="6:9" x14ac:dyDescent="0.3">
      <c r="F15238"/>
      <c r="G15238"/>
      <c r="H15238"/>
      <c r="I15238"/>
    </row>
    <row r="15239" spans="6:9" x14ac:dyDescent="0.3">
      <c r="F15239"/>
      <c r="G15239"/>
      <c r="H15239"/>
      <c r="I15239"/>
    </row>
    <row r="15240" spans="6:9" x14ac:dyDescent="0.3">
      <c r="F15240"/>
      <c r="G15240"/>
      <c r="H15240"/>
      <c r="I15240"/>
    </row>
    <row r="15241" spans="6:9" x14ac:dyDescent="0.3">
      <c r="F15241"/>
      <c r="G15241"/>
      <c r="H15241"/>
      <c r="I15241"/>
    </row>
    <row r="15242" spans="6:9" x14ac:dyDescent="0.3">
      <c r="F15242"/>
      <c r="G15242"/>
      <c r="H15242"/>
      <c r="I15242"/>
    </row>
    <row r="15243" spans="6:9" x14ac:dyDescent="0.3">
      <c r="F15243"/>
      <c r="G15243"/>
      <c r="H15243"/>
      <c r="I15243"/>
    </row>
    <row r="15244" spans="6:9" x14ac:dyDescent="0.3">
      <c r="F15244"/>
      <c r="G15244"/>
      <c r="H15244"/>
      <c r="I15244"/>
    </row>
    <row r="15245" spans="6:9" x14ac:dyDescent="0.3">
      <c r="F15245"/>
      <c r="G15245"/>
      <c r="H15245"/>
      <c r="I15245"/>
    </row>
    <row r="15246" spans="6:9" x14ac:dyDescent="0.3">
      <c r="F15246"/>
      <c r="G15246"/>
      <c r="H15246"/>
      <c r="I15246"/>
    </row>
    <row r="15247" spans="6:9" x14ac:dyDescent="0.3">
      <c r="F15247"/>
      <c r="G15247"/>
      <c r="H15247"/>
      <c r="I15247"/>
    </row>
    <row r="15248" spans="6:9" x14ac:dyDescent="0.3">
      <c r="F15248"/>
      <c r="G15248"/>
      <c r="H15248"/>
      <c r="I15248"/>
    </row>
    <row r="15249" spans="6:9" x14ac:dyDescent="0.3">
      <c r="F15249"/>
      <c r="G15249"/>
      <c r="H15249"/>
      <c r="I15249"/>
    </row>
    <row r="15250" spans="6:9" x14ac:dyDescent="0.3">
      <c r="F15250"/>
      <c r="G15250"/>
      <c r="H15250"/>
      <c r="I15250"/>
    </row>
    <row r="15251" spans="6:9" x14ac:dyDescent="0.3">
      <c r="F15251"/>
      <c r="G15251"/>
      <c r="H15251"/>
      <c r="I15251"/>
    </row>
    <row r="15252" spans="6:9" x14ac:dyDescent="0.3">
      <c r="F15252"/>
      <c r="G15252"/>
      <c r="H15252"/>
      <c r="I15252"/>
    </row>
    <row r="15253" spans="6:9" x14ac:dyDescent="0.3">
      <c r="F15253"/>
      <c r="G15253"/>
      <c r="H15253"/>
      <c r="I15253"/>
    </row>
    <row r="15254" spans="6:9" x14ac:dyDescent="0.3">
      <c r="F15254"/>
      <c r="G15254"/>
      <c r="H15254"/>
      <c r="I15254"/>
    </row>
    <row r="15255" spans="6:9" x14ac:dyDescent="0.3">
      <c r="F15255"/>
      <c r="G15255"/>
      <c r="H15255"/>
      <c r="I15255"/>
    </row>
    <row r="15256" spans="6:9" x14ac:dyDescent="0.3">
      <c r="F15256"/>
      <c r="G15256"/>
      <c r="H15256"/>
      <c r="I15256"/>
    </row>
    <row r="15257" spans="6:9" x14ac:dyDescent="0.3">
      <c r="F15257"/>
      <c r="G15257"/>
      <c r="H15257"/>
      <c r="I15257"/>
    </row>
    <row r="15258" spans="6:9" x14ac:dyDescent="0.3">
      <c r="F15258"/>
      <c r="G15258"/>
      <c r="H15258"/>
      <c r="I15258"/>
    </row>
    <row r="15259" spans="6:9" x14ac:dyDescent="0.3">
      <c r="F15259"/>
      <c r="G15259"/>
      <c r="H15259"/>
      <c r="I15259"/>
    </row>
    <row r="15260" spans="6:9" x14ac:dyDescent="0.3">
      <c r="F15260"/>
      <c r="G15260"/>
      <c r="H15260"/>
      <c r="I15260"/>
    </row>
    <row r="15261" spans="6:9" x14ac:dyDescent="0.3">
      <c r="F15261"/>
      <c r="G15261"/>
      <c r="H15261"/>
      <c r="I15261"/>
    </row>
    <row r="15262" spans="6:9" x14ac:dyDescent="0.3">
      <c r="F15262"/>
      <c r="G15262"/>
      <c r="H15262"/>
      <c r="I15262"/>
    </row>
    <row r="15263" spans="6:9" x14ac:dyDescent="0.3">
      <c r="F15263"/>
      <c r="G15263"/>
      <c r="H15263"/>
      <c r="I15263"/>
    </row>
    <row r="15264" spans="6:9" x14ac:dyDescent="0.3">
      <c r="F15264"/>
      <c r="G15264"/>
      <c r="H15264"/>
      <c r="I15264"/>
    </row>
    <row r="15265" spans="6:9" x14ac:dyDescent="0.3">
      <c r="F15265"/>
      <c r="G15265"/>
      <c r="H15265"/>
      <c r="I15265"/>
    </row>
    <row r="15266" spans="6:9" x14ac:dyDescent="0.3">
      <c r="F15266"/>
      <c r="G15266"/>
      <c r="H15266"/>
      <c r="I15266"/>
    </row>
    <row r="15267" spans="6:9" x14ac:dyDescent="0.3">
      <c r="F15267"/>
      <c r="G15267"/>
      <c r="H15267"/>
      <c r="I15267"/>
    </row>
    <row r="15268" spans="6:9" x14ac:dyDescent="0.3">
      <c r="F15268"/>
      <c r="G15268"/>
      <c r="H15268"/>
      <c r="I15268"/>
    </row>
    <row r="15269" spans="6:9" x14ac:dyDescent="0.3">
      <c r="F15269"/>
      <c r="G15269"/>
      <c r="H15269"/>
      <c r="I15269"/>
    </row>
    <row r="15270" spans="6:9" x14ac:dyDescent="0.3">
      <c r="F15270"/>
      <c r="G15270"/>
      <c r="H15270"/>
      <c r="I15270"/>
    </row>
    <row r="15271" spans="6:9" x14ac:dyDescent="0.3">
      <c r="F15271"/>
      <c r="G15271"/>
      <c r="H15271"/>
      <c r="I15271"/>
    </row>
    <row r="15272" spans="6:9" x14ac:dyDescent="0.3">
      <c r="F15272"/>
      <c r="G15272"/>
      <c r="H15272"/>
      <c r="I15272"/>
    </row>
    <row r="15273" spans="6:9" x14ac:dyDescent="0.3">
      <c r="F15273"/>
      <c r="G15273"/>
      <c r="H15273"/>
      <c r="I15273"/>
    </row>
    <row r="15274" spans="6:9" x14ac:dyDescent="0.3">
      <c r="F15274"/>
      <c r="G15274"/>
      <c r="H15274"/>
      <c r="I15274"/>
    </row>
    <row r="15275" spans="6:9" x14ac:dyDescent="0.3">
      <c r="F15275"/>
      <c r="G15275"/>
      <c r="H15275"/>
      <c r="I15275"/>
    </row>
    <row r="15276" spans="6:9" x14ac:dyDescent="0.3">
      <c r="F15276"/>
      <c r="G15276"/>
      <c r="H15276"/>
      <c r="I15276"/>
    </row>
    <row r="15277" spans="6:9" x14ac:dyDescent="0.3">
      <c r="F15277"/>
      <c r="G15277"/>
      <c r="H15277"/>
      <c r="I15277"/>
    </row>
    <row r="15278" spans="6:9" x14ac:dyDescent="0.3">
      <c r="F15278"/>
      <c r="G15278"/>
      <c r="H15278"/>
      <c r="I15278"/>
    </row>
    <row r="15279" spans="6:9" x14ac:dyDescent="0.3">
      <c r="F15279"/>
      <c r="G15279"/>
      <c r="H15279"/>
      <c r="I15279"/>
    </row>
    <row r="15280" spans="6:9" x14ac:dyDescent="0.3">
      <c r="F15280"/>
      <c r="G15280"/>
      <c r="H15280"/>
      <c r="I15280"/>
    </row>
    <row r="15281" spans="6:9" x14ac:dyDescent="0.3">
      <c r="F15281"/>
      <c r="G15281"/>
      <c r="H15281"/>
      <c r="I15281"/>
    </row>
    <row r="15282" spans="6:9" x14ac:dyDescent="0.3">
      <c r="F15282"/>
      <c r="G15282"/>
      <c r="H15282"/>
      <c r="I15282"/>
    </row>
    <row r="15283" spans="6:9" x14ac:dyDescent="0.3">
      <c r="F15283"/>
      <c r="G15283"/>
      <c r="H15283"/>
      <c r="I15283"/>
    </row>
    <row r="15284" spans="6:9" x14ac:dyDescent="0.3">
      <c r="F15284"/>
      <c r="G15284"/>
      <c r="H15284"/>
      <c r="I15284"/>
    </row>
    <row r="15285" spans="6:9" x14ac:dyDescent="0.3">
      <c r="F15285"/>
      <c r="G15285"/>
      <c r="H15285"/>
      <c r="I15285"/>
    </row>
    <row r="15286" spans="6:9" x14ac:dyDescent="0.3">
      <c r="F15286"/>
      <c r="G15286"/>
      <c r="H15286"/>
      <c r="I15286"/>
    </row>
    <row r="15287" spans="6:9" x14ac:dyDescent="0.3">
      <c r="F15287"/>
      <c r="G15287"/>
      <c r="H15287"/>
      <c r="I15287"/>
    </row>
    <row r="15288" spans="6:9" x14ac:dyDescent="0.3">
      <c r="F15288"/>
      <c r="G15288"/>
      <c r="H15288"/>
      <c r="I15288"/>
    </row>
    <row r="15289" spans="6:9" x14ac:dyDescent="0.3">
      <c r="F15289"/>
      <c r="G15289"/>
      <c r="H15289"/>
      <c r="I15289"/>
    </row>
    <row r="15290" spans="6:9" x14ac:dyDescent="0.3">
      <c r="F15290"/>
      <c r="G15290"/>
      <c r="H15290"/>
      <c r="I15290"/>
    </row>
    <row r="15291" spans="6:9" x14ac:dyDescent="0.3">
      <c r="F15291"/>
      <c r="G15291"/>
      <c r="H15291"/>
      <c r="I15291"/>
    </row>
    <row r="15292" spans="6:9" x14ac:dyDescent="0.3">
      <c r="F15292"/>
      <c r="G15292"/>
      <c r="H15292"/>
      <c r="I15292"/>
    </row>
    <row r="15293" spans="6:9" x14ac:dyDescent="0.3">
      <c r="F15293"/>
      <c r="G15293"/>
      <c r="H15293"/>
      <c r="I15293"/>
    </row>
    <row r="15294" spans="6:9" x14ac:dyDescent="0.3">
      <c r="F15294"/>
      <c r="G15294"/>
      <c r="H15294"/>
      <c r="I15294"/>
    </row>
    <row r="15295" spans="6:9" x14ac:dyDescent="0.3">
      <c r="F15295"/>
      <c r="G15295"/>
      <c r="H15295"/>
      <c r="I15295"/>
    </row>
    <row r="15296" spans="6:9" x14ac:dyDescent="0.3">
      <c r="F15296"/>
      <c r="G15296"/>
      <c r="H15296"/>
      <c r="I15296"/>
    </row>
    <row r="15297" spans="6:9" x14ac:dyDescent="0.3">
      <c r="F15297"/>
      <c r="G15297"/>
      <c r="H15297"/>
      <c r="I15297"/>
    </row>
    <row r="15298" spans="6:9" x14ac:dyDescent="0.3">
      <c r="F15298"/>
      <c r="G15298"/>
      <c r="H15298"/>
      <c r="I15298"/>
    </row>
    <row r="15299" spans="6:9" x14ac:dyDescent="0.3">
      <c r="F15299"/>
      <c r="G15299"/>
      <c r="H15299"/>
      <c r="I15299"/>
    </row>
    <row r="15300" spans="6:9" x14ac:dyDescent="0.3">
      <c r="F15300"/>
      <c r="G15300"/>
      <c r="H15300"/>
      <c r="I15300"/>
    </row>
    <row r="15301" spans="6:9" x14ac:dyDescent="0.3">
      <c r="F15301"/>
      <c r="G15301"/>
      <c r="H15301"/>
      <c r="I15301"/>
    </row>
    <row r="15302" spans="6:9" x14ac:dyDescent="0.3">
      <c r="F15302"/>
      <c r="G15302"/>
      <c r="H15302"/>
      <c r="I15302"/>
    </row>
    <row r="15303" spans="6:9" x14ac:dyDescent="0.3">
      <c r="F15303"/>
      <c r="G15303"/>
      <c r="H15303"/>
      <c r="I15303"/>
    </row>
    <row r="15304" spans="6:9" x14ac:dyDescent="0.3">
      <c r="F15304"/>
      <c r="G15304"/>
      <c r="H15304"/>
      <c r="I15304"/>
    </row>
    <row r="15305" spans="6:9" x14ac:dyDescent="0.3">
      <c r="F15305"/>
      <c r="G15305"/>
      <c r="H15305"/>
      <c r="I15305"/>
    </row>
    <row r="15306" spans="6:9" x14ac:dyDescent="0.3">
      <c r="F15306"/>
      <c r="G15306"/>
      <c r="H15306"/>
      <c r="I15306"/>
    </row>
    <row r="15307" spans="6:9" x14ac:dyDescent="0.3">
      <c r="F15307"/>
      <c r="G15307"/>
      <c r="H15307"/>
      <c r="I15307"/>
    </row>
    <row r="15308" spans="6:9" x14ac:dyDescent="0.3">
      <c r="F15308"/>
      <c r="G15308"/>
      <c r="H15308"/>
      <c r="I15308"/>
    </row>
    <row r="15309" spans="6:9" x14ac:dyDescent="0.3">
      <c r="F15309"/>
      <c r="G15309"/>
      <c r="H15309"/>
      <c r="I15309"/>
    </row>
    <row r="15310" spans="6:9" x14ac:dyDescent="0.3">
      <c r="F15310"/>
      <c r="G15310"/>
      <c r="H15310"/>
      <c r="I15310"/>
    </row>
    <row r="15311" spans="6:9" x14ac:dyDescent="0.3">
      <c r="F15311"/>
      <c r="G15311"/>
      <c r="H15311"/>
      <c r="I15311"/>
    </row>
    <row r="15312" spans="6:9" x14ac:dyDescent="0.3">
      <c r="F15312"/>
      <c r="G15312"/>
      <c r="H15312"/>
      <c r="I15312"/>
    </row>
    <row r="15313" spans="6:9" x14ac:dyDescent="0.3">
      <c r="F15313"/>
      <c r="G15313"/>
      <c r="H15313"/>
      <c r="I15313"/>
    </row>
    <row r="15314" spans="6:9" x14ac:dyDescent="0.3">
      <c r="F15314"/>
      <c r="G15314"/>
      <c r="H15314"/>
      <c r="I15314"/>
    </row>
    <row r="15315" spans="6:9" x14ac:dyDescent="0.3">
      <c r="F15315"/>
      <c r="G15315"/>
      <c r="H15315"/>
      <c r="I15315"/>
    </row>
    <row r="15316" spans="6:9" x14ac:dyDescent="0.3">
      <c r="F15316"/>
      <c r="G15316"/>
      <c r="H15316"/>
      <c r="I15316"/>
    </row>
    <row r="15317" spans="6:9" x14ac:dyDescent="0.3">
      <c r="F15317"/>
      <c r="G15317"/>
      <c r="H15317"/>
      <c r="I15317"/>
    </row>
    <row r="15318" spans="6:9" x14ac:dyDescent="0.3">
      <c r="F15318"/>
      <c r="G15318"/>
      <c r="H15318"/>
      <c r="I15318"/>
    </row>
    <row r="15319" spans="6:9" x14ac:dyDescent="0.3">
      <c r="F15319"/>
      <c r="G15319"/>
      <c r="H15319"/>
      <c r="I15319"/>
    </row>
    <row r="15320" spans="6:9" x14ac:dyDescent="0.3">
      <c r="F15320"/>
      <c r="G15320"/>
      <c r="H15320"/>
      <c r="I15320"/>
    </row>
    <row r="15321" spans="6:9" x14ac:dyDescent="0.3">
      <c r="F15321"/>
      <c r="G15321"/>
      <c r="H15321"/>
      <c r="I15321"/>
    </row>
    <row r="15322" spans="6:9" x14ac:dyDescent="0.3">
      <c r="F15322"/>
      <c r="G15322"/>
      <c r="H15322"/>
      <c r="I15322"/>
    </row>
    <row r="15323" spans="6:9" x14ac:dyDescent="0.3">
      <c r="F15323"/>
      <c r="G15323"/>
      <c r="H15323"/>
      <c r="I15323"/>
    </row>
    <row r="15324" spans="6:9" x14ac:dyDescent="0.3">
      <c r="F15324"/>
      <c r="G15324"/>
      <c r="H15324"/>
      <c r="I15324"/>
    </row>
    <row r="15325" spans="6:9" x14ac:dyDescent="0.3">
      <c r="F15325"/>
      <c r="G15325"/>
      <c r="H15325"/>
      <c r="I15325"/>
    </row>
    <row r="15326" spans="6:9" x14ac:dyDescent="0.3">
      <c r="F15326"/>
      <c r="G15326"/>
      <c r="H15326"/>
      <c r="I15326"/>
    </row>
    <row r="15327" spans="6:9" x14ac:dyDescent="0.3">
      <c r="F15327"/>
      <c r="G15327"/>
      <c r="H15327"/>
      <c r="I15327"/>
    </row>
    <row r="15328" spans="6:9" x14ac:dyDescent="0.3">
      <c r="F15328"/>
      <c r="G15328"/>
      <c r="H15328"/>
      <c r="I15328"/>
    </row>
    <row r="15329" spans="6:9" x14ac:dyDescent="0.3">
      <c r="F15329"/>
      <c r="G15329"/>
      <c r="H15329"/>
      <c r="I15329"/>
    </row>
    <row r="15330" spans="6:9" x14ac:dyDescent="0.3">
      <c r="F15330"/>
      <c r="G15330"/>
      <c r="H15330"/>
      <c r="I15330"/>
    </row>
    <row r="15331" spans="6:9" x14ac:dyDescent="0.3">
      <c r="F15331"/>
      <c r="G15331"/>
      <c r="H15331"/>
      <c r="I15331"/>
    </row>
    <row r="15332" spans="6:9" x14ac:dyDescent="0.3">
      <c r="F15332"/>
      <c r="G15332"/>
      <c r="H15332"/>
      <c r="I15332"/>
    </row>
    <row r="15333" spans="6:9" x14ac:dyDescent="0.3">
      <c r="F15333"/>
      <c r="G15333"/>
      <c r="H15333"/>
      <c r="I15333"/>
    </row>
    <row r="15334" spans="6:9" x14ac:dyDescent="0.3">
      <c r="F15334"/>
      <c r="G15334"/>
      <c r="H15334"/>
      <c r="I15334"/>
    </row>
    <row r="15335" spans="6:9" x14ac:dyDescent="0.3">
      <c r="F15335"/>
      <c r="G15335"/>
      <c r="H15335"/>
      <c r="I15335"/>
    </row>
    <row r="15336" spans="6:9" x14ac:dyDescent="0.3">
      <c r="F15336"/>
      <c r="G15336"/>
      <c r="H15336"/>
      <c r="I15336"/>
    </row>
    <row r="15337" spans="6:9" x14ac:dyDescent="0.3">
      <c r="F15337"/>
      <c r="G15337"/>
      <c r="H15337"/>
      <c r="I15337"/>
    </row>
    <row r="15338" spans="6:9" x14ac:dyDescent="0.3">
      <c r="F15338"/>
      <c r="G15338"/>
      <c r="H15338"/>
      <c r="I15338"/>
    </row>
    <row r="15339" spans="6:9" x14ac:dyDescent="0.3">
      <c r="F15339"/>
      <c r="G15339"/>
      <c r="H15339"/>
      <c r="I15339"/>
    </row>
    <row r="15340" spans="6:9" x14ac:dyDescent="0.3">
      <c r="F15340"/>
      <c r="G15340"/>
      <c r="H15340"/>
      <c r="I15340"/>
    </row>
    <row r="15341" spans="6:9" x14ac:dyDescent="0.3">
      <c r="F15341"/>
      <c r="G15341"/>
      <c r="H15341"/>
      <c r="I15341"/>
    </row>
    <row r="15342" spans="6:9" x14ac:dyDescent="0.3">
      <c r="F15342"/>
      <c r="G15342"/>
      <c r="H15342"/>
      <c r="I15342"/>
    </row>
    <row r="15343" spans="6:9" x14ac:dyDescent="0.3">
      <c r="F15343"/>
      <c r="G15343"/>
      <c r="H15343"/>
      <c r="I15343"/>
    </row>
    <row r="15344" spans="6:9" x14ac:dyDescent="0.3">
      <c r="F15344"/>
      <c r="G15344"/>
      <c r="H15344"/>
      <c r="I15344"/>
    </row>
    <row r="15345" spans="6:9" x14ac:dyDescent="0.3">
      <c r="F15345"/>
      <c r="G15345"/>
      <c r="H15345"/>
      <c r="I15345"/>
    </row>
    <row r="15346" spans="6:9" x14ac:dyDescent="0.3">
      <c r="F15346"/>
      <c r="G15346"/>
      <c r="H15346"/>
      <c r="I15346"/>
    </row>
    <row r="15347" spans="6:9" x14ac:dyDescent="0.3">
      <c r="F15347"/>
      <c r="G15347"/>
      <c r="H15347"/>
      <c r="I15347"/>
    </row>
    <row r="15348" spans="6:9" x14ac:dyDescent="0.3">
      <c r="F15348"/>
      <c r="G15348"/>
      <c r="H15348"/>
      <c r="I15348"/>
    </row>
    <row r="15349" spans="6:9" x14ac:dyDescent="0.3">
      <c r="F15349"/>
      <c r="G15349"/>
      <c r="H15349"/>
      <c r="I15349"/>
    </row>
    <row r="15350" spans="6:9" x14ac:dyDescent="0.3">
      <c r="F15350"/>
      <c r="G15350"/>
      <c r="H15350"/>
      <c r="I15350"/>
    </row>
    <row r="15351" spans="6:9" x14ac:dyDescent="0.3">
      <c r="F15351"/>
      <c r="G15351"/>
      <c r="H15351"/>
      <c r="I15351"/>
    </row>
    <row r="15352" spans="6:9" x14ac:dyDescent="0.3">
      <c r="F15352"/>
      <c r="G15352"/>
      <c r="H15352"/>
      <c r="I15352"/>
    </row>
    <row r="15353" spans="6:9" x14ac:dyDescent="0.3">
      <c r="F15353"/>
      <c r="G15353"/>
      <c r="H15353"/>
      <c r="I15353"/>
    </row>
    <row r="15354" spans="6:9" x14ac:dyDescent="0.3">
      <c r="F15354"/>
      <c r="G15354"/>
      <c r="H15354"/>
      <c r="I15354"/>
    </row>
    <row r="15355" spans="6:9" x14ac:dyDescent="0.3">
      <c r="F15355"/>
      <c r="G15355"/>
      <c r="H15355"/>
      <c r="I15355"/>
    </row>
    <row r="15356" spans="6:9" x14ac:dyDescent="0.3">
      <c r="F15356"/>
      <c r="G15356"/>
      <c r="H15356"/>
      <c r="I15356"/>
    </row>
    <row r="15357" spans="6:9" x14ac:dyDescent="0.3">
      <c r="F15357"/>
      <c r="G15357"/>
      <c r="H15357"/>
      <c r="I15357"/>
    </row>
    <row r="15358" spans="6:9" x14ac:dyDescent="0.3">
      <c r="F15358"/>
      <c r="G15358"/>
      <c r="H15358"/>
      <c r="I15358"/>
    </row>
    <row r="15359" spans="6:9" x14ac:dyDescent="0.3">
      <c r="F15359"/>
      <c r="G15359"/>
      <c r="H15359"/>
      <c r="I15359"/>
    </row>
    <row r="15360" spans="6:9" x14ac:dyDescent="0.3">
      <c r="F15360"/>
      <c r="G15360"/>
      <c r="H15360"/>
      <c r="I15360"/>
    </row>
    <row r="15361" spans="6:9" x14ac:dyDescent="0.3">
      <c r="F15361"/>
      <c r="G15361"/>
      <c r="H15361"/>
      <c r="I15361"/>
    </row>
    <row r="15362" spans="6:9" x14ac:dyDescent="0.3">
      <c r="F15362"/>
      <c r="G15362"/>
      <c r="H15362"/>
      <c r="I15362"/>
    </row>
    <row r="15363" spans="6:9" x14ac:dyDescent="0.3">
      <c r="F15363"/>
      <c r="G15363"/>
      <c r="H15363"/>
      <c r="I15363"/>
    </row>
    <row r="15364" spans="6:9" x14ac:dyDescent="0.3">
      <c r="F15364"/>
      <c r="G15364"/>
      <c r="H15364"/>
      <c r="I15364"/>
    </row>
    <row r="15365" spans="6:9" x14ac:dyDescent="0.3">
      <c r="F15365"/>
      <c r="G15365"/>
      <c r="H15365"/>
      <c r="I15365"/>
    </row>
    <row r="15366" spans="6:9" x14ac:dyDescent="0.3">
      <c r="F15366"/>
      <c r="G15366"/>
      <c r="H15366"/>
      <c r="I15366"/>
    </row>
    <row r="15367" spans="6:9" x14ac:dyDescent="0.3">
      <c r="F15367"/>
      <c r="G15367"/>
      <c r="H15367"/>
      <c r="I15367"/>
    </row>
    <row r="15368" spans="6:9" x14ac:dyDescent="0.3">
      <c r="F15368"/>
      <c r="G15368"/>
      <c r="H15368"/>
      <c r="I15368"/>
    </row>
    <row r="15369" spans="6:9" x14ac:dyDescent="0.3">
      <c r="F15369"/>
      <c r="G15369"/>
      <c r="H15369"/>
      <c r="I15369"/>
    </row>
    <row r="15370" spans="6:9" x14ac:dyDescent="0.3">
      <c r="F15370"/>
      <c r="G15370"/>
      <c r="H15370"/>
      <c r="I15370"/>
    </row>
    <row r="15371" spans="6:9" x14ac:dyDescent="0.3">
      <c r="F15371"/>
      <c r="G15371"/>
      <c r="H15371"/>
      <c r="I15371"/>
    </row>
    <row r="15372" spans="6:9" x14ac:dyDescent="0.3">
      <c r="F15372"/>
      <c r="G15372"/>
      <c r="H15372"/>
      <c r="I15372"/>
    </row>
    <row r="15373" spans="6:9" x14ac:dyDescent="0.3">
      <c r="F15373"/>
      <c r="G15373"/>
      <c r="H15373"/>
      <c r="I15373"/>
    </row>
    <row r="15374" spans="6:9" x14ac:dyDescent="0.3">
      <c r="F15374"/>
      <c r="G15374"/>
      <c r="H15374"/>
      <c r="I15374"/>
    </row>
    <row r="15375" spans="6:9" x14ac:dyDescent="0.3">
      <c r="F15375"/>
      <c r="G15375"/>
      <c r="H15375"/>
      <c r="I15375"/>
    </row>
    <row r="15376" spans="6:9" x14ac:dyDescent="0.3">
      <c r="F15376"/>
      <c r="G15376"/>
      <c r="H15376"/>
      <c r="I15376"/>
    </row>
    <row r="15377" spans="6:9" x14ac:dyDescent="0.3">
      <c r="F15377"/>
      <c r="G15377"/>
      <c r="H15377"/>
      <c r="I15377"/>
    </row>
    <row r="15378" spans="6:9" x14ac:dyDescent="0.3">
      <c r="F15378"/>
      <c r="G15378"/>
      <c r="H15378"/>
      <c r="I15378"/>
    </row>
    <row r="15379" spans="6:9" x14ac:dyDescent="0.3">
      <c r="F15379"/>
      <c r="G15379"/>
      <c r="H15379"/>
      <c r="I15379"/>
    </row>
    <row r="15380" spans="6:9" x14ac:dyDescent="0.3">
      <c r="F15380"/>
      <c r="G15380"/>
      <c r="H15380"/>
      <c r="I15380"/>
    </row>
    <row r="15381" spans="6:9" x14ac:dyDescent="0.3">
      <c r="F15381"/>
      <c r="G15381"/>
      <c r="H15381"/>
      <c r="I15381"/>
    </row>
    <row r="15382" spans="6:9" x14ac:dyDescent="0.3">
      <c r="F15382"/>
      <c r="G15382"/>
      <c r="H15382"/>
      <c r="I15382"/>
    </row>
    <row r="15383" spans="6:9" x14ac:dyDescent="0.3">
      <c r="F15383"/>
      <c r="G15383"/>
      <c r="H15383"/>
      <c r="I15383"/>
    </row>
    <row r="15384" spans="6:9" x14ac:dyDescent="0.3">
      <c r="F15384"/>
      <c r="G15384"/>
      <c r="H15384"/>
      <c r="I15384"/>
    </row>
    <row r="15385" spans="6:9" x14ac:dyDescent="0.3">
      <c r="F15385"/>
      <c r="G15385"/>
      <c r="H15385"/>
      <c r="I15385"/>
    </row>
    <row r="15386" spans="6:9" x14ac:dyDescent="0.3">
      <c r="F15386"/>
      <c r="G15386"/>
      <c r="H15386"/>
      <c r="I15386"/>
    </row>
    <row r="15387" spans="6:9" x14ac:dyDescent="0.3">
      <c r="F15387"/>
      <c r="G15387"/>
      <c r="H15387"/>
      <c r="I15387"/>
    </row>
    <row r="15388" spans="6:9" x14ac:dyDescent="0.3">
      <c r="F15388"/>
      <c r="G15388"/>
      <c r="H15388"/>
      <c r="I15388"/>
    </row>
    <row r="15389" spans="6:9" x14ac:dyDescent="0.3">
      <c r="F15389"/>
      <c r="G15389"/>
      <c r="H15389"/>
      <c r="I15389"/>
    </row>
    <row r="15390" spans="6:9" x14ac:dyDescent="0.3">
      <c r="F15390"/>
      <c r="G15390"/>
      <c r="H15390"/>
      <c r="I15390"/>
    </row>
    <row r="15391" spans="6:9" x14ac:dyDescent="0.3">
      <c r="F15391"/>
      <c r="G15391"/>
      <c r="H15391"/>
      <c r="I15391"/>
    </row>
    <row r="15392" spans="6:9" x14ac:dyDescent="0.3">
      <c r="F15392"/>
      <c r="G15392"/>
      <c r="H15392"/>
      <c r="I15392"/>
    </row>
    <row r="15393" spans="6:9" x14ac:dyDescent="0.3">
      <c r="F15393"/>
      <c r="G15393"/>
      <c r="H15393"/>
      <c r="I15393"/>
    </row>
    <row r="15394" spans="6:9" x14ac:dyDescent="0.3">
      <c r="F15394"/>
      <c r="G15394"/>
      <c r="H15394"/>
      <c r="I15394"/>
    </row>
    <row r="15395" spans="6:9" x14ac:dyDescent="0.3">
      <c r="F15395"/>
      <c r="G15395"/>
      <c r="H15395"/>
      <c r="I15395"/>
    </row>
    <row r="15396" spans="6:9" x14ac:dyDescent="0.3">
      <c r="F15396"/>
      <c r="G15396"/>
      <c r="H15396"/>
      <c r="I15396"/>
    </row>
    <row r="15397" spans="6:9" x14ac:dyDescent="0.3">
      <c r="F15397"/>
      <c r="G15397"/>
      <c r="H15397"/>
      <c r="I15397"/>
    </row>
    <row r="15398" spans="6:9" x14ac:dyDescent="0.3">
      <c r="F15398"/>
      <c r="G15398"/>
      <c r="H15398"/>
      <c r="I15398"/>
    </row>
    <row r="15399" spans="6:9" x14ac:dyDescent="0.3">
      <c r="F15399"/>
      <c r="G15399"/>
      <c r="H15399"/>
      <c r="I15399"/>
    </row>
    <row r="15400" spans="6:9" x14ac:dyDescent="0.3">
      <c r="F15400"/>
      <c r="G15400"/>
      <c r="H15400"/>
      <c r="I15400"/>
    </row>
    <row r="15401" spans="6:9" x14ac:dyDescent="0.3">
      <c r="F15401"/>
      <c r="G15401"/>
      <c r="H15401"/>
      <c r="I15401"/>
    </row>
    <row r="15402" spans="6:9" x14ac:dyDescent="0.3">
      <c r="F15402"/>
      <c r="G15402"/>
      <c r="H15402"/>
      <c r="I15402"/>
    </row>
    <row r="15403" spans="6:9" x14ac:dyDescent="0.3">
      <c r="F15403"/>
      <c r="G15403"/>
      <c r="H15403"/>
      <c r="I15403"/>
    </row>
    <row r="15404" spans="6:9" x14ac:dyDescent="0.3">
      <c r="F15404"/>
      <c r="G15404"/>
      <c r="H15404"/>
      <c r="I15404"/>
    </row>
    <row r="15405" spans="6:9" x14ac:dyDescent="0.3">
      <c r="F15405"/>
      <c r="G15405"/>
      <c r="H15405"/>
      <c r="I15405"/>
    </row>
    <row r="15406" spans="6:9" x14ac:dyDescent="0.3">
      <c r="F15406"/>
      <c r="G15406"/>
      <c r="H15406"/>
      <c r="I15406"/>
    </row>
    <row r="15407" spans="6:9" x14ac:dyDescent="0.3">
      <c r="F15407"/>
      <c r="G15407"/>
      <c r="H15407"/>
      <c r="I15407"/>
    </row>
    <row r="15408" spans="6:9" x14ac:dyDescent="0.3">
      <c r="F15408"/>
      <c r="G15408"/>
      <c r="H15408"/>
      <c r="I15408"/>
    </row>
    <row r="15409" spans="6:9" x14ac:dyDescent="0.3">
      <c r="F15409"/>
      <c r="G15409"/>
      <c r="H15409"/>
      <c r="I15409"/>
    </row>
    <row r="15410" spans="6:9" x14ac:dyDescent="0.3">
      <c r="F15410"/>
      <c r="G15410"/>
      <c r="H15410"/>
      <c r="I15410"/>
    </row>
    <row r="15411" spans="6:9" x14ac:dyDescent="0.3">
      <c r="F15411"/>
      <c r="G15411"/>
      <c r="H15411"/>
      <c r="I15411"/>
    </row>
    <row r="15412" spans="6:9" x14ac:dyDescent="0.3">
      <c r="F15412"/>
      <c r="G15412"/>
      <c r="H15412"/>
      <c r="I15412"/>
    </row>
    <row r="15413" spans="6:9" x14ac:dyDescent="0.3">
      <c r="F15413"/>
      <c r="G15413"/>
      <c r="H15413"/>
      <c r="I15413"/>
    </row>
    <row r="15414" spans="6:9" x14ac:dyDescent="0.3">
      <c r="F15414"/>
      <c r="G15414"/>
      <c r="H15414"/>
      <c r="I15414"/>
    </row>
    <row r="15415" spans="6:9" x14ac:dyDescent="0.3">
      <c r="F15415"/>
      <c r="G15415"/>
      <c r="H15415"/>
      <c r="I15415"/>
    </row>
    <row r="15416" spans="6:9" x14ac:dyDescent="0.3">
      <c r="F15416"/>
      <c r="G15416"/>
      <c r="H15416"/>
      <c r="I15416"/>
    </row>
    <row r="15417" spans="6:9" x14ac:dyDescent="0.3">
      <c r="F15417"/>
      <c r="G15417"/>
      <c r="H15417"/>
      <c r="I15417"/>
    </row>
    <row r="15418" spans="6:9" x14ac:dyDescent="0.3">
      <c r="F15418"/>
      <c r="G15418"/>
      <c r="H15418"/>
      <c r="I15418"/>
    </row>
    <row r="15419" spans="6:9" x14ac:dyDescent="0.3">
      <c r="F15419"/>
      <c r="G15419"/>
      <c r="H15419"/>
      <c r="I15419"/>
    </row>
    <row r="15420" spans="6:9" x14ac:dyDescent="0.3">
      <c r="F15420"/>
      <c r="G15420"/>
      <c r="H15420"/>
      <c r="I15420"/>
    </row>
    <row r="15421" spans="6:9" x14ac:dyDescent="0.3">
      <c r="F15421"/>
      <c r="G15421"/>
      <c r="H15421"/>
      <c r="I15421"/>
    </row>
    <row r="15422" spans="6:9" x14ac:dyDescent="0.3">
      <c r="F15422"/>
      <c r="G15422"/>
      <c r="H15422"/>
      <c r="I15422"/>
    </row>
    <row r="15423" spans="6:9" x14ac:dyDescent="0.3">
      <c r="F15423"/>
      <c r="G15423"/>
      <c r="H15423"/>
      <c r="I15423"/>
    </row>
    <row r="15424" spans="6:9" x14ac:dyDescent="0.3">
      <c r="F15424"/>
      <c r="G15424"/>
      <c r="H15424"/>
      <c r="I15424"/>
    </row>
    <row r="15425" spans="6:9" x14ac:dyDescent="0.3">
      <c r="F15425"/>
      <c r="G15425"/>
      <c r="H15425"/>
      <c r="I15425"/>
    </row>
    <row r="15426" spans="6:9" x14ac:dyDescent="0.3">
      <c r="F15426"/>
      <c r="G15426"/>
      <c r="H15426"/>
      <c r="I15426"/>
    </row>
    <row r="15427" spans="6:9" x14ac:dyDescent="0.3">
      <c r="F15427"/>
      <c r="G15427"/>
      <c r="H15427"/>
      <c r="I15427"/>
    </row>
    <row r="15428" spans="6:9" x14ac:dyDescent="0.3">
      <c r="F15428"/>
      <c r="G15428"/>
      <c r="H15428"/>
      <c r="I15428"/>
    </row>
    <row r="15429" spans="6:9" x14ac:dyDescent="0.3">
      <c r="F15429"/>
      <c r="G15429"/>
      <c r="H15429"/>
      <c r="I15429"/>
    </row>
    <row r="15430" spans="6:9" x14ac:dyDescent="0.3">
      <c r="F15430"/>
      <c r="G15430"/>
      <c r="H15430"/>
      <c r="I15430"/>
    </row>
    <row r="15431" spans="6:9" x14ac:dyDescent="0.3">
      <c r="F15431"/>
      <c r="G15431"/>
      <c r="H15431"/>
      <c r="I15431"/>
    </row>
    <row r="15432" spans="6:9" x14ac:dyDescent="0.3">
      <c r="F15432"/>
      <c r="G15432"/>
      <c r="H15432"/>
      <c r="I15432"/>
    </row>
    <row r="15433" spans="6:9" x14ac:dyDescent="0.3">
      <c r="F15433"/>
      <c r="G15433"/>
      <c r="H15433"/>
      <c r="I15433"/>
    </row>
    <row r="15434" spans="6:9" x14ac:dyDescent="0.3">
      <c r="F15434"/>
      <c r="G15434"/>
      <c r="H15434"/>
      <c r="I15434"/>
    </row>
    <row r="15435" spans="6:9" x14ac:dyDescent="0.3">
      <c r="F15435"/>
      <c r="G15435"/>
      <c r="H15435"/>
      <c r="I15435"/>
    </row>
    <row r="15436" spans="6:9" x14ac:dyDescent="0.3">
      <c r="F15436"/>
      <c r="G15436"/>
      <c r="H15436"/>
      <c r="I15436"/>
    </row>
    <row r="15437" spans="6:9" x14ac:dyDescent="0.3">
      <c r="F15437"/>
      <c r="G15437"/>
      <c r="H15437"/>
      <c r="I15437"/>
    </row>
    <row r="15438" spans="6:9" x14ac:dyDescent="0.3">
      <c r="F15438"/>
      <c r="G15438"/>
      <c r="H15438"/>
      <c r="I15438"/>
    </row>
    <row r="15439" spans="6:9" x14ac:dyDescent="0.3">
      <c r="F15439"/>
      <c r="G15439"/>
      <c r="H15439"/>
      <c r="I15439"/>
    </row>
    <row r="15440" spans="6:9" x14ac:dyDescent="0.3">
      <c r="F15440"/>
      <c r="G15440"/>
      <c r="H15440"/>
      <c r="I15440"/>
    </row>
    <row r="15441" spans="6:9" x14ac:dyDescent="0.3">
      <c r="F15441"/>
      <c r="G15441"/>
      <c r="H15441"/>
      <c r="I15441"/>
    </row>
    <row r="15442" spans="6:9" x14ac:dyDescent="0.3">
      <c r="F15442"/>
      <c r="G15442"/>
      <c r="H15442"/>
      <c r="I15442"/>
    </row>
    <row r="15443" spans="6:9" x14ac:dyDescent="0.3">
      <c r="F15443"/>
      <c r="G15443"/>
      <c r="H15443"/>
      <c r="I15443"/>
    </row>
    <row r="15444" spans="6:9" x14ac:dyDescent="0.3">
      <c r="F15444"/>
      <c r="G15444"/>
      <c r="H15444"/>
      <c r="I15444"/>
    </row>
    <row r="15445" spans="6:9" x14ac:dyDescent="0.3">
      <c r="F15445"/>
      <c r="G15445"/>
      <c r="H15445"/>
      <c r="I15445"/>
    </row>
    <row r="15446" spans="6:9" x14ac:dyDescent="0.3">
      <c r="F15446"/>
      <c r="G15446"/>
      <c r="H15446"/>
      <c r="I15446"/>
    </row>
    <row r="15447" spans="6:9" x14ac:dyDescent="0.3">
      <c r="F15447"/>
      <c r="G15447"/>
      <c r="H15447"/>
      <c r="I15447"/>
    </row>
    <row r="15448" spans="6:9" x14ac:dyDescent="0.3">
      <c r="F15448"/>
      <c r="G15448"/>
      <c r="H15448"/>
      <c r="I15448"/>
    </row>
    <row r="15449" spans="6:9" x14ac:dyDescent="0.3">
      <c r="F15449"/>
      <c r="G15449"/>
      <c r="H15449"/>
      <c r="I15449"/>
    </row>
    <row r="15450" spans="6:9" x14ac:dyDescent="0.3">
      <c r="F15450"/>
      <c r="G15450"/>
      <c r="H15450"/>
      <c r="I15450"/>
    </row>
    <row r="15451" spans="6:9" x14ac:dyDescent="0.3">
      <c r="F15451"/>
      <c r="G15451"/>
      <c r="H15451"/>
      <c r="I15451"/>
    </row>
    <row r="15452" spans="6:9" x14ac:dyDescent="0.3">
      <c r="F15452"/>
      <c r="G15452"/>
      <c r="H15452"/>
      <c r="I15452"/>
    </row>
    <row r="15453" spans="6:9" x14ac:dyDescent="0.3">
      <c r="F15453"/>
      <c r="G15453"/>
      <c r="H15453"/>
      <c r="I15453"/>
    </row>
    <row r="15454" spans="6:9" x14ac:dyDescent="0.3">
      <c r="F15454"/>
      <c r="G15454"/>
      <c r="H15454"/>
      <c r="I15454"/>
    </row>
    <row r="15455" spans="6:9" x14ac:dyDescent="0.3">
      <c r="F15455"/>
      <c r="G15455"/>
      <c r="H15455"/>
      <c r="I15455"/>
    </row>
    <row r="15456" spans="6:9" x14ac:dyDescent="0.3">
      <c r="F15456"/>
      <c r="G15456"/>
      <c r="H15456"/>
      <c r="I15456"/>
    </row>
    <row r="15457" spans="6:9" x14ac:dyDescent="0.3">
      <c r="F15457"/>
      <c r="G15457"/>
      <c r="H15457"/>
      <c r="I15457"/>
    </row>
    <row r="15458" spans="6:9" x14ac:dyDescent="0.3">
      <c r="F15458"/>
      <c r="G15458"/>
      <c r="H15458"/>
      <c r="I15458"/>
    </row>
    <row r="15459" spans="6:9" x14ac:dyDescent="0.3">
      <c r="F15459"/>
      <c r="G15459"/>
      <c r="H15459"/>
      <c r="I15459"/>
    </row>
    <row r="15460" spans="6:9" x14ac:dyDescent="0.3">
      <c r="F15460"/>
      <c r="G15460"/>
      <c r="H15460"/>
      <c r="I15460"/>
    </row>
    <row r="15461" spans="6:9" x14ac:dyDescent="0.3">
      <c r="F15461"/>
      <c r="G15461"/>
      <c r="H15461"/>
      <c r="I15461"/>
    </row>
    <row r="15462" spans="6:9" x14ac:dyDescent="0.3">
      <c r="F15462"/>
      <c r="G15462"/>
      <c r="H15462"/>
      <c r="I15462"/>
    </row>
    <row r="15463" spans="6:9" x14ac:dyDescent="0.3">
      <c r="F15463"/>
      <c r="G15463"/>
      <c r="H15463"/>
      <c r="I15463"/>
    </row>
    <row r="15464" spans="6:9" x14ac:dyDescent="0.3">
      <c r="F15464"/>
      <c r="G15464"/>
      <c r="H15464"/>
      <c r="I15464"/>
    </row>
    <row r="15465" spans="6:9" x14ac:dyDescent="0.3">
      <c r="F15465"/>
      <c r="G15465"/>
      <c r="H15465"/>
      <c r="I15465"/>
    </row>
    <row r="15466" spans="6:9" x14ac:dyDescent="0.3">
      <c r="F15466"/>
      <c r="G15466"/>
      <c r="H15466"/>
      <c r="I15466"/>
    </row>
    <row r="15467" spans="6:9" x14ac:dyDescent="0.3">
      <c r="F15467"/>
      <c r="G15467"/>
      <c r="H15467"/>
      <c r="I15467"/>
    </row>
    <row r="15468" spans="6:9" x14ac:dyDescent="0.3">
      <c r="F15468"/>
      <c r="G15468"/>
      <c r="H15468"/>
      <c r="I15468"/>
    </row>
    <row r="15469" spans="6:9" x14ac:dyDescent="0.3">
      <c r="F15469"/>
      <c r="G15469"/>
      <c r="H15469"/>
      <c r="I15469"/>
    </row>
    <row r="15470" spans="6:9" x14ac:dyDescent="0.3">
      <c r="F15470"/>
      <c r="G15470"/>
      <c r="H15470"/>
      <c r="I15470"/>
    </row>
    <row r="15471" spans="6:9" x14ac:dyDescent="0.3">
      <c r="F15471"/>
      <c r="G15471"/>
      <c r="H15471"/>
      <c r="I15471"/>
    </row>
    <row r="15472" spans="6:9" x14ac:dyDescent="0.3">
      <c r="F15472"/>
      <c r="G15472"/>
      <c r="H15472"/>
      <c r="I15472"/>
    </row>
    <row r="15473" spans="6:9" x14ac:dyDescent="0.3">
      <c r="F15473"/>
      <c r="G15473"/>
      <c r="H15473"/>
      <c r="I15473"/>
    </row>
    <row r="15474" spans="6:9" x14ac:dyDescent="0.3">
      <c r="F15474"/>
      <c r="G15474"/>
      <c r="H15474"/>
      <c r="I15474"/>
    </row>
    <row r="15475" spans="6:9" x14ac:dyDescent="0.3">
      <c r="F15475"/>
      <c r="G15475"/>
      <c r="H15475"/>
      <c r="I15475"/>
    </row>
    <row r="15476" spans="6:9" x14ac:dyDescent="0.3">
      <c r="F15476"/>
      <c r="G15476"/>
      <c r="H15476"/>
      <c r="I15476"/>
    </row>
    <row r="15477" spans="6:9" x14ac:dyDescent="0.3">
      <c r="F15477"/>
      <c r="G15477"/>
      <c r="H15477"/>
      <c r="I15477"/>
    </row>
    <row r="15478" spans="6:9" x14ac:dyDescent="0.3">
      <c r="F15478"/>
      <c r="G15478"/>
      <c r="H15478"/>
      <c r="I15478"/>
    </row>
    <row r="15479" spans="6:9" x14ac:dyDescent="0.3">
      <c r="F15479"/>
      <c r="G15479"/>
      <c r="H15479"/>
      <c r="I15479"/>
    </row>
    <row r="15480" spans="6:9" x14ac:dyDescent="0.3">
      <c r="F15480"/>
      <c r="G15480"/>
      <c r="H15480"/>
      <c r="I15480"/>
    </row>
    <row r="15481" spans="6:9" x14ac:dyDescent="0.3">
      <c r="F15481"/>
      <c r="G15481"/>
      <c r="H15481"/>
      <c r="I15481"/>
    </row>
    <row r="15482" spans="6:9" x14ac:dyDescent="0.3">
      <c r="F15482"/>
      <c r="G15482"/>
      <c r="H15482"/>
      <c r="I15482"/>
    </row>
    <row r="15483" spans="6:9" x14ac:dyDescent="0.3">
      <c r="F15483"/>
      <c r="G15483"/>
      <c r="H15483"/>
      <c r="I15483"/>
    </row>
    <row r="15484" spans="6:9" x14ac:dyDescent="0.3">
      <c r="F15484"/>
      <c r="G15484"/>
      <c r="H15484"/>
      <c r="I15484"/>
    </row>
    <row r="15485" spans="6:9" x14ac:dyDescent="0.3">
      <c r="F15485"/>
      <c r="G15485"/>
      <c r="H15485"/>
      <c r="I15485"/>
    </row>
    <row r="15486" spans="6:9" x14ac:dyDescent="0.3">
      <c r="F15486"/>
      <c r="G15486"/>
      <c r="H15486"/>
      <c r="I15486"/>
    </row>
    <row r="15487" spans="6:9" x14ac:dyDescent="0.3">
      <c r="F15487"/>
      <c r="G15487"/>
      <c r="H15487"/>
      <c r="I15487"/>
    </row>
    <row r="15488" spans="6:9" x14ac:dyDescent="0.3">
      <c r="F15488"/>
      <c r="G15488"/>
      <c r="H15488"/>
      <c r="I15488"/>
    </row>
    <row r="15489" spans="6:9" x14ac:dyDescent="0.3">
      <c r="F15489"/>
      <c r="G15489"/>
      <c r="H15489"/>
      <c r="I15489"/>
    </row>
    <row r="15490" spans="6:9" x14ac:dyDescent="0.3">
      <c r="F15490"/>
      <c r="G15490"/>
      <c r="H15490"/>
      <c r="I15490"/>
    </row>
    <row r="15491" spans="6:9" x14ac:dyDescent="0.3">
      <c r="F15491"/>
      <c r="G15491"/>
      <c r="H15491"/>
      <c r="I15491"/>
    </row>
    <row r="15492" spans="6:9" x14ac:dyDescent="0.3">
      <c r="F15492"/>
      <c r="G15492"/>
      <c r="H15492"/>
      <c r="I15492"/>
    </row>
    <row r="15493" spans="6:9" x14ac:dyDescent="0.3">
      <c r="F15493"/>
      <c r="G15493"/>
      <c r="H15493"/>
      <c r="I15493"/>
    </row>
    <row r="15494" spans="6:9" x14ac:dyDescent="0.3">
      <c r="F15494"/>
      <c r="G15494"/>
      <c r="H15494"/>
      <c r="I15494"/>
    </row>
    <row r="15495" spans="6:9" x14ac:dyDescent="0.3">
      <c r="F15495"/>
      <c r="G15495"/>
      <c r="H15495"/>
      <c r="I15495"/>
    </row>
    <row r="15496" spans="6:9" x14ac:dyDescent="0.3">
      <c r="F15496"/>
      <c r="G15496"/>
      <c r="H15496"/>
      <c r="I15496"/>
    </row>
    <row r="15497" spans="6:9" x14ac:dyDescent="0.3">
      <c r="F15497"/>
      <c r="G15497"/>
      <c r="H15497"/>
      <c r="I15497"/>
    </row>
    <row r="15498" spans="6:9" x14ac:dyDescent="0.3">
      <c r="F15498"/>
      <c r="G15498"/>
      <c r="H15498"/>
      <c r="I15498"/>
    </row>
    <row r="15499" spans="6:9" x14ac:dyDescent="0.3">
      <c r="F15499"/>
      <c r="G15499"/>
      <c r="H15499"/>
      <c r="I15499"/>
    </row>
    <row r="15500" spans="6:9" x14ac:dyDescent="0.3">
      <c r="F15500"/>
      <c r="G15500"/>
      <c r="H15500"/>
      <c r="I15500"/>
    </row>
    <row r="15501" spans="6:9" x14ac:dyDescent="0.3">
      <c r="F15501"/>
      <c r="G15501"/>
      <c r="H15501"/>
      <c r="I15501"/>
    </row>
    <row r="15502" spans="6:9" x14ac:dyDescent="0.3">
      <c r="F15502"/>
      <c r="G15502"/>
      <c r="H15502"/>
      <c r="I15502"/>
    </row>
    <row r="15503" spans="6:9" x14ac:dyDescent="0.3">
      <c r="F15503"/>
      <c r="G15503"/>
      <c r="H15503"/>
      <c r="I15503"/>
    </row>
    <row r="15504" spans="6:9" x14ac:dyDescent="0.3">
      <c r="F15504"/>
      <c r="G15504"/>
      <c r="H15504"/>
      <c r="I15504"/>
    </row>
    <row r="15505" spans="6:9" x14ac:dyDescent="0.3">
      <c r="F15505"/>
      <c r="G15505"/>
      <c r="H15505"/>
      <c r="I15505"/>
    </row>
    <row r="15506" spans="6:9" x14ac:dyDescent="0.3">
      <c r="F15506"/>
      <c r="G15506"/>
      <c r="H15506"/>
      <c r="I15506"/>
    </row>
    <row r="15507" spans="6:9" x14ac:dyDescent="0.3">
      <c r="F15507"/>
      <c r="G15507"/>
      <c r="H15507"/>
      <c r="I15507"/>
    </row>
    <row r="15508" spans="6:9" x14ac:dyDescent="0.3">
      <c r="F15508"/>
      <c r="G15508"/>
      <c r="H15508"/>
      <c r="I15508"/>
    </row>
    <row r="15509" spans="6:9" x14ac:dyDescent="0.3">
      <c r="F15509"/>
      <c r="G15509"/>
      <c r="H15509"/>
      <c r="I15509"/>
    </row>
    <row r="15510" spans="6:9" x14ac:dyDescent="0.3">
      <c r="F15510"/>
      <c r="G15510"/>
      <c r="H15510"/>
      <c r="I15510"/>
    </row>
    <row r="15511" spans="6:9" x14ac:dyDescent="0.3">
      <c r="F15511"/>
      <c r="G15511"/>
      <c r="H15511"/>
      <c r="I15511"/>
    </row>
    <row r="15512" spans="6:9" x14ac:dyDescent="0.3">
      <c r="F15512"/>
      <c r="G15512"/>
      <c r="H15512"/>
      <c r="I15512"/>
    </row>
    <row r="15513" spans="6:9" x14ac:dyDescent="0.3">
      <c r="F15513"/>
      <c r="G15513"/>
      <c r="H15513"/>
      <c r="I15513"/>
    </row>
    <row r="15514" spans="6:9" x14ac:dyDescent="0.3">
      <c r="F15514"/>
      <c r="G15514"/>
      <c r="H15514"/>
      <c r="I15514"/>
    </row>
    <row r="15515" spans="6:9" x14ac:dyDescent="0.3">
      <c r="F15515"/>
      <c r="G15515"/>
      <c r="H15515"/>
      <c r="I15515"/>
    </row>
    <row r="15516" spans="6:9" x14ac:dyDescent="0.3">
      <c r="F15516"/>
      <c r="G15516"/>
      <c r="H15516"/>
      <c r="I15516"/>
    </row>
    <row r="15517" spans="6:9" x14ac:dyDescent="0.3">
      <c r="F15517"/>
      <c r="G15517"/>
      <c r="H15517"/>
      <c r="I15517"/>
    </row>
    <row r="15518" spans="6:9" x14ac:dyDescent="0.3">
      <c r="F15518"/>
      <c r="G15518"/>
      <c r="H15518"/>
      <c r="I15518"/>
    </row>
    <row r="15519" spans="6:9" x14ac:dyDescent="0.3">
      <c r="F15519"/>
      <c r="G15519"/>
      <c r="H15519"/>
      <c r="I15519"/>
    </row>
    <row r="15520" spans="6:9" x14ac:dyDescent="0.3">
      <c r="F15520"/>
      <c r="G15520"/>
      <c r="H15520"/>
      <c r="I15520"/>
    </row>
    <row r="15521" spans="6:9" x14ac:dyDescent="0.3">
      <c r="F15521"/>
      <c r="G15521"/>
      <c r="H15521"/>
      <c r="I15521"/>
    </row>
    <row r="15522" spans="6:9" x14ac:dyDescent="0.3">
      <c r="F15522"/>
      <c r="G15522"/>
      <c r="H15522"/>
      <c r="I15522"/>
    </row>
    <row r="15523" spans="6:9" x14ac:dyDescent="0.3">
      <c r="F15523"/>
      <c r="G15523"/>
      <c r="H15523"/>
      <c r="I15523"/>
    </row>
    <row r="15524" spans="6:9" x14ac:dyDescent="0.3">
      <c r="F15524"/>
      <c r="G15524"/>
      <c r="H15524"/>
      <c r="I15524"/>
    </row>
    <row r="15525" spans="6:9" x14ac:dyDescent="0.3">
      <c r="F15525"/>
      <c r="G15525"/>
      <c r="H15525"/>
      <c r="I15525"/>
    </row>
    <row r="15526" spans="6:9" x14ac:dyDescent="0.3">
      <c r="F15526"/>
      <c r="G15526"/>
      <c r="H15526"/>
      <c r="I15526"/>
    </row>
    <row r="15527" spans="6:9" x14ac:dyDescent="0.3">
      <c r="F15527"/>
      <c r="G15527"/>
      <c r="H15527"/>
      <c r="I15527"/>
    </row>
    <row r="15528" spans="6:9" x14ac:dyDescent="0.3">
      <c r="F15528"/>
      <c r="G15528"/>
      <c r="H15528"/>
      <c r="I15528"/>
    </row>
    <row r="15529" spans="6:9" x14ac:dyDescent="0.3">
      <c r="F15529"/>
      <c r="G15529"/>
      <c r="H15529"/>
      <c r="I15529"/>
    </row>
    <row r="15530" spans="6:9" x14ac:dyDescent="0.3">
      <c r="F15530"/>
      <c r="G15530"/>
      <c r="H15530"/>
      <c r="I15530"/>
    </row>
    <row r="15531" spans="6:9" x14ac:dyDescent="0.3">
      <c r="F15531"/>
      <c r="G15531"/>
      <c r="H15531"/>
      <c r="I15531"/>
    </row>
    <row r="15532" spans="6:9" x14ac:dyDescent="0.3">
      <c r="F15532"/>
      <c r="G15532"/>
      <c r="H15532"/>
      <c r="I15532"/>
    </row>
    <row r="15533" spans="6:9" x14ac:dyDescent="0.3">
      <c r="F15533"/>
      <c r="G15533"/>
      <c r="H15533"/>
      <c r="I15533"/>
    </row>
    <row r="15534" spans="6:9" x14ac:dyDescent="0.3">
      <c r="F15534"/>
      <c r="G15534"/>
      <c r="H15534"/>
      <c r="I15534"/>
    </row>
    <row r="15535" spans="6:9" x14ac:dyDescent="0.3">
      <c r="F15535"/>
      <c r="G15535"/>
      <c r="H15535"/>
      <c r="I15535"/>
    </row>
    <row r="15536" spans="6:9" x14ac:dyDescent="0.3">
      <c r="F15536"/>
      <c r="G15536"/>
      <c r="H15536"/>
      <c r="I15536"/>
    </row>
    <row r="15537" spans="6:9" x14ac:dyDescent="0.3">
      <c r="F15537"/>
      <c r="G15537"/>
      <c r="H15537"/>
      <c r="I15537"/>
    </row>
    <row r="15538" spans="6:9" x14ac:dyDescent="0.3">
      <c r="F15538"/>
      <c r="G15538"/>
      <c r="H15538"/>
      <c r="I15538"/>
    </row>
    <row r="15539" spans="6:9" x14ac:dyDescent="0.3">
      <c r="F15539"/>
      <c r="G15539"/>
      <c r="H15539"/>
      <c r="I15539"/>
    </row>
    <row r="15540" spans="6:9" x14ac:dyDescent="0.3">
      <c r="F15540"/>
      <c r="G15540"/>
      <c r="H15540"/>
      <c r="I15540"/>
    </row>
    <row r="15541" spans="6:9" x14ac:dyDescent="0.3">
      <c r="F15541"/>
      <c r="G15541"/>
      <c r="H15541"/>
      <c r="I15541"/>
    </row>
    <row r="15542" spans="6:9" x14ac:dyDescent="0.3">
      <c r="F15542"/>
      <c r="G15542"/>
      <c r="H15542"/>
      <c r="I15542"/>
    </row>
    <row r="15543" spans="6:9" x14ac:dyDescent="0.3">
      <c r="F15543"/>
      <c r="G15543"/>
      <c r="H15543"/>
      <c r="I15543"/>
    </row>
    <row r="15544" spans="6:9" x14ac:dyDescent="0.3">
      <c r="F15544"/>
      <c r="G15544"/>
      <c r="H15544"/>
      <c r="I15544"/>
    </row>
    <row r="15545" spans="6:9" x14ac:dyDescent="0.3">
      <c r="F15545"/>
      <c r="G15545"/>
      <c r="H15545"/>
      <c r="I15545"/>
    </row>
    <row r="15546" spans="6:9" x14ac:dyDescent="0.3">
      <c r="F15546"/>
      <c r="G15546"/>
      <c r="H15546"/>
      <c r="I15546"/>
    </row>
    <row r="15547" spans="6:9" x14ac:dyDescent="0.3">
      <c r="F15547"/>
      <c r="G15547"/>
      <c r="H15547"/>
      <c r="I15547"/>
    </row>
    <row r="15548" spans="6:9" x14ac:dyDescent="0.3">
      <c r="F15548"/>
      <c r="G15548"/>
      <c r="H15548"/>
      <c r="I15548"/>
    </row>
    <row r="15549" spans="6:9" x14ac:dyDescent="0.3">
      <c r="F15549"/>
      <c r="G15549"/>
      <c r="H15549"/>
      <c r="I15549"/>
    </row>
    <row r="15550" spans="6:9" x14ac:dyDescent="0.3">
      <c r="F15550"/>
      <c r="G15550"/>
      <c r="H15550"/>
      <c r="I15550"/>
    </row>
    <row r="15551" spans="6:9" x14ac:dyDescent="0.3">
      <c r="F15551"/>
      <c r="G15551"/>
      <c r="H15551"/>
      <c r="I15551"/>
    </row>
    <row r="15552" spans="6:9" x14ac:dyDescent="0.3">
      <c r="F15552"/>
      <c r="G15552"/>
      <c r="H15552"/>
      <c r="I15552"/>
    </row>
    <row r="15553" spans="6:9" x14ac:dyDescent="0.3">
      <c r="F15553"/>
      <c r="G15553"/>
      <c r="H15553"/>
      <c r="I15553"/>
    </row>
    <row r="15554" spans="6:9" x14ac:dyDescent="0.3">
      <c r="F15554"/>
      <c r="G15554"/>
      <c r="H15554"/>
      <c r="I15554"/>
    </row>
    <row r="15555" spans="6:9" x14ac:dyDescent="0.3">
      <c r="F15555"/>
      <c r="G15555"/>
      <c r="H15555"/>
      <c r="I15555"/>
    </row>
    <row r="15556" spans="6:9" x14ac:dyDescent="0.3">
      <c r="F15556"/>
      <c r="G15556"/>
      <c r="H15556"/>
      <c r="I15556"/>
    </row>
    <row r="15557" spans="6:9" x14ac:dyDescent="0.3">
      <c r="F15557"/>
      <c r="G15557"/>
      <c r="H15557"/>
      <c r="I15557"/>
    </row>
    <row r="15558" spans="6:9" x14ac:dyDescent="0.3">
      <c r="F15558"/>
      <c r="G15558"/>
      <c r="H15558"/>
      <c r="I15558"/>
    </row>
    <row r="15559" spans="6:9" x14ac:dyDescent="0.3">
      <c r="F15559"/>
      <c r="G15559"/>
      <c r="H15559"/>
      <c r="I15559"/>
    </row>
    <row r="15560" spans="6:9" x14ac:dyDescent="0.3">
      <c r="F15560"/>
      <c r="G15560"/>
      <c r="H15560"/>
      <c r="I15560"/>
    </row>
    <row r="15561" spans="6:9" x14ac:dyDescent="0.3">
      <c r="F15561"/>
      <c r="G15561"/>
      <c r="H15561"/>
      <c r="I15561"/>
    </row>
    <row r="15562" spans="6:9" x14ac:dyDescent="0.3">
      <c r="F15562"/>
      <c r="G15562"/>
      <c r="H15562"/>
      <c r="I15562"/>
    </row>
    <row r="15563" spans="6:9" x14ac:dyDescent="0.3">
      <c r="F15563"/>
      <c r="G15563"/>
      <c r="H15563"/>
      <c r="I15563"/>
    </row>
    <row r="15564" spans="6:9" x14ac:dyDescent="0.3">
      <c r="F15564"/>
      <c r="G15564"/>
      <c r="H15564"/>
      <c r="I15564"/>
    </row>
    <row r="15565" spans="6:9" x14ac:dyDescent="0.3">
      <c r="F15565"/>
      <c r="G15565"/>
      <c r="H15565"/>
      <c r="I15565"/>
    </row>
    <row r="15566" spans="6:9" x14ac:dyDescent="0.3">
      <c r="F15566"/>
      <c r="G15566"/>
      <c r="H15566"/>
      <c r="I15566"/>
    </row>
    <row r="15567" spans="6:9" x14ac:dyDescent="0.3">
      <c r="F15567"/>
      <c r="G15567"/>
      <c r="H15567"/>
      <c r="I15567"/>
    </row>
    <row r="15568" spans="6:9" x14ac:dyDescent="0.3">
      <c r="F15568"/>
      <c r="G15568"/>
      <c r="H15568"/>
      <c r="I15568"/>
    </row>
    <row r="15569" spans="6:9" x14ac:dyDescent="0.3">
      <c r="F15569"/>
      <c r="G15569"/>
      <c r="H15569"/>
      <c r="I15569"/>
    </row>
    <row r="15570" spans="6:9" x14ac:dyDescent="0.3">
      <c r="F15570"/>
      <c r="G15570"/>
      <c r="H15570"/>
      <c r="I15570"/>
    </row>
    <row r="15571" spans="6:9" x14ac:dyDescent="0.3">
      <c r="F15571"/>
      <c r="G15571"/>
      <c r="H15571"/>
      <c r="I15571"/>
    </row>
    <row r="15572" spans="6:9" x14ac:dyDescent="0.3">
      <c r="F15572"/>
      <c r="G15572"/>
      <c r="H15572"/>
      <c r="I15572"/>
    </row>
    <row r="15573" spans="6:9" x14ac:dyDescent="0.3">
      <c r="F15573"/>
      <c r="G15573"/>
      <c r="H15573"/>
      <c r="I15573"/>
    </row>
    <row r="15574" spans="6:9" x14ac:dyDescent="0.3">
      <c r="F15574"/>
      <c r="G15574"/>
      <c r="H15574"/>
      <c r="I15574"/>
    </row>
    <row r="15575" spans="6:9" x14ac:dyDescent="0.3">
      <c r="F15575"/>
      <c r="G15575"/>
      <c r="H15575"/>
      <c r="I15575"/>
    </row>
    <row r="15576" spans="6:9" x14ac:dyDescent="0.3">
      <c r="F15576"/>
      <c r="G15576"/>
      <c r="H15576"/>
      <c r="I15576"/>
    </row>
    <row r="15577" spans="6:9" x14ac:dyDescent="0.3">
      <c r="F15577"/>
      <c r="G15577"/>
      <c r="H15577"/>
      <c r="I15577"/>
    </row>
    <row r="15578" spans="6:9" x14ac:dyDescent="0.3">
      <c r="F15578"/>
      <c r="G15578"/>
      <c r="H15578"/>
      <c r="I15578"/>
    </row>
    <row r="15579" spans="6:9" x14ac:dyDescent="0.3">
      <c r="F15579"/>
      <c r="G15579"/>
      <c r="H15579"/>
      <c r="I15579"/>
    </row>
    <row r="15580" spans="6:9" x14ac:dyDescent="0.3">
      <c r="F15580"/>
      <c r="G15580"/>
      <c r="H15580"/>
      <c r="I15580"/>
    </row>
    <row r="15581" spans="6:9" x14ac:dyDescent="0.3">
      <c r="F15581"/>
      <c r="G15581"/>
      <c r="H15581"/>
      <c r="I15581"/>
    </row>
    <row r="15582" spans="6:9" x14ac:dyDescent="0.3">
      <c r="F15582"/>
      <c r="G15582"/>
      <c r="H15582"/>
      <c r="I15582"/>
    </row>
    <row r="15583" spans="6:9" x14ac:dyDescent="0.3">
      <c r="F15583"/>
      <c r="G15583"/>
      <c r="H15583"/>
      <c r="I15583"/>
    </row>
    <row r="15584" spans="6:9" x14ac:dyDescent="0.3">
      <c r="F15584"/>
      <c r="G15584"/>
      <c r="H15584"/>
      <c r="I15584"/>
    </row>
    <row r="15585" spans="6:9" x14ac:dyDescent="0.3">
      <c r="F15585"/>
      <c r="G15585"/>
      <c r="H15585"/>
      <c r="I15585"/>
    </row>
    <row r="15586" spans="6:9" x14ac:dyDescent="0.3">
      <c r="F15586"/>
      <c r="G15586"/>
      <c r="H15586"/>
      <c r="I15586"/>
    </row>
    <row r="15587" spans="6:9" x14ac:dyDescent="0.3">
      <c r="F15587"/>
      <c r="G15587"/>
      <c r="H15587"/>
      <c r="I15587"/>
    </row>
    <row r="15588" spans="6:9" x14ac:dyDescent="0.3">
      <c r="F15588"/>
      <c r="G15588"/>
      <c r="H15588"/>
      <c r="I15588"/>
    </row>
    <row r="15589" spans="6:9" x14ac:dyDescent="0.3">
      <c r="F15589"/>
      <c r="G15589"/>
      <c r="H15589"/>
      <c r="I15589"/>
    </row>
    <row r="15590" spans="6:9" x14ac:dyDescent="0.3">
      <c r="F15590"/>
      <c r="G15590"/>
      <c r="H15590"/>
      <c r="I15590"/>
    </row>
    <row r="15591" spans="6:9" x14ac:dyDescent="0.3">
      <c r="F15591"/>
      <c r="G15591"/>
      <c r="H15591"/>
      <c r="I15591"/>
    </row>
    <row r="15592" spans="6:9" x14ac:dyDescent="0.3">
      <c r="F15592"/>
      <c r="G15592"/>
      <c r="H15592"/>
      <c r="I15592"/>
    </row>
    <row r="15593" spans="6:9" x14ac:dyDescent="0.3">
      <c r="F15593"/>
      <c r="G15593"/>
      <c r="H15593"/>
      <c r="I15593"/>
    </row>
    <row r="15594" spans="6:9" x14ac:dyDescent="0.3">
      <c r="F15594"/>
      <c r="G15594"/>
      <c r="H15594"/>
      <c r="I15594"/>
    </row>
    <row r="15595" spans="6:9" x14ac:dyDescent="0.3">
      <c r="F15595"/>
      <c r="G15595"/>
      <c r="H15595"/>
      <c r="I15595"/>
    </row>
    <row r="15596" spans="6:9" x14ac:dyDescent="0.3">
      <c r="F15596"/>
      <c r="G15596"/>
      <c r="H15596"/>
      <c r="I15596"/>
    </row>
    <row r="15597" spans="6:9" x14ac:dyDescent="0.3">
      <c r="F15597"/>
      <c r="G15597"/>
      <c r="H15597"/>
      <c r="I15597"/>
    </row>
    <row r="15598" spans="6:9" x14ac:dyDescent="0.3">
      <c r="F15598"/>
      <c r="G15598"/>
      <c r="H15598"/>
      <c r="I15598"/>
    </row>
    <row r="15599" spans="6:9" x14ac:dyDescent="0.3">
      <c r="F15599"/>
      <c r="G15599"/>
      <c r="H15599"/>
      <c r="I15599"/>
    </row>
    <row r="15600" spans="6:9" x14ac:dyDescent="0.3">
      <c r="F15600"/>
      <c r="G15600"/>
      <c r="H15600"/>
      <c r="I15600"/>
    </row>
    <row r="15601" spans="6:9" x14ac:dyDescent="0.3">
      <c r="F15601"/>
      <c r="G15601"/>
      <c r="H15601"/>
      <c r="I15601"/>
    </row>
    <row r="15602" spans="6:9" x14ac:dyDescent="0.3">
      <c r="F15602"/>
      <c r="G15602"/>
      <c r="H15602"/>
      <c r="I15602"/>
    </row>
    <row r="15603" spans="6:9" x14ac:dyDescent="0.3">
      <c r="F15603"/>
      <c r="G15603"/>
      <c r="H15603"/>
      <c r="I15603"/>
    </row>
    <row r="15604" spans="6:9" x14ac:dyDescent="0.3">
      <c r="F15604"/>
      <c r="G15604"/>
      <c r="H15604"/>
      <c r="I15604"/>
    </row>
    <row r="15605" spans="6:9" x14ac:dyDescent="0.3">
      <c r="F15605"/>
      <c r="G15605"/>
      <c r="H15605"/>
      <c r="I15605"/>
    </row>
    <row r="15606" spans="6:9" x14ac:dyDescent="0.3">
      <c r="F15606"/>
      <c r="G15606"/>
      <c r="H15606"/>
      <c r="I15606"/>
    </row>
    <row r="15607" spans="6:9" x14ac:dyDescent="0.3">
      <c r="F15607"/>
      <c r="G15607"/>
      <c r="H15607"/>
      <c r="I15607"/>
    </row>
    <row r="15608" spans="6:9" x14ac:dyDescent="0.3">
      <c r="F15608"/>
      <c r="G15608"/>
      <c r="H15608"/>
      <c r="I15608"/>
    </row>
    <row r="15609" spans="6:9" x14ac:dyDescent="0.3">
      <c r="F15609"/>
      <c r="G15609"/>
      <c r="H15609"/>
      <c r="I15609"/>
    </row>
    <row r="15610" spans="6:9" x14ac:dyDescent="0.3">
      <c r="F15610"/>
      <c r="G15610"/>
      <c r="H15610"/>
      <c r="I15610"/>
    </row>
    <row r="15611" spans="6:9" x14ac:dyDescent="0.3">
      <c r="F15611"/>
      <c r="G15611"/>
      <c r="H15611"/>
      <c r="I15611"/>
    </row>
    <row r="15612" spans="6:9" x14ac:dyDescent="0.3">
      <c r="F15612"/>
      <c r="G15612"/>
      <c r="H15612"/>
      <c r="I15612"/>
    </row>
    <row r="15613" spans="6:9" x14ac:dyDescent="0.3">
      <c r="F15613"/>
      <c r="G15613"/>
      <c r="H15613"/>
      <c r="I15613"/>
    </row>
    <row r="15614" spans="6:9" x14ac:dyDescent="0.3">
      <c r="F15614"/>
      <c r="G15614"/>
      <c r="H15614"/>
      <c r="I15614"/>
    </row>
    <row r="15615" spans="6:9" x14ac:dyDescent="0.3">
      <c r="F15615"/>
      <c r="G15615"/>
      <c r="H15615"/>
      <c r="I15615"/>
    </row>
    <row r="15616" spans="6:9" x14ac:dyDescent="0.3">
      <c r="F15616"/>
      <c r="G15616"/>
      <c r="H15616"/>
      <c r="I15616"/>
    </row>
    <row r="15617" spans="6:9" x14ac:dyDescent="0.3">
      <c r="F15617"/>
      <c r="G15617"/>
      <c r="H15617"/>
      <c r="I15617"/>
    </row>
    <row r="15618" spans="6:9" x14ac:dyDescent="0.3">
      <c r="F15618"/>
      <c r="G15618"/>
      <c r="H15618"/>
      <c r="I15618"/>
    </row>
    <row r="15619" spans="6:9" x14ac:dyDescent="0.3">
      <c r="F15619"/>
      <c r="G15619"/>
      <c r="H15619"/>
      <c r="I15619"/>
    </row>
    <row r="15620" spans="6:9" x14ac:dyDescent="0.3">
      <c r="F15620"/>
      <c r="G15620"/>
      <c r="H15620"/>
      <c r="I15620"/>
    </row>
    <row r="15621" spans="6:9" x14ac:dyDescent="0.3">
      <c r="F15621"/>
      <c r="G15621"/>
      <c r="H15621"/>
      <c r="I15621"/>
    </row>
    <row r="15622" spans="6:9" x14ac:dyDescent="0.3">
      <c r="F15622"/>
      <c r="G15622"/>
      <c r="H15622"/>
      <c r="I15622"/>
    </row>
    <row r="15623" spans="6:9" x14ac:dyDescent="0.3">
      <c r="F15623"/>
      <c r="G15623"/>
      <c r="H15623"/>
      <c r="I15623"/>
    </row>
    <row r="15624" spans="6:9" x14ac:dyDescent="0.3">
      <c r="F15624"/>
      <c r="G15624"/>
      <c r="H15624"/>
      <c r="I15624"/>
    </row>
    <row r="15625" spans="6:9" x14ac:dyDescent="0.3">
      <c r="F15625"/>
      <c r="G15625"/>
      <c r="H15625"/>
      <c r="I15625"/>
    </row>
    <row r="15626" spans="6:9" x14ac:dyDescent="0.3">
      <c r="F15626"/>
      <c r="G15626"/>
      <c r="H15626"/>
      <c r="I15626"/>
    </row>
    <row r="15627" spans="6:9" x14ac:dyDescent="0.3">
      <c r="F15627"/>
      <c r="G15627"/>
      <c r="H15627"/>
      <c r="I15627"/>
    </row>
    <row r="15628" spans="6:9" x14ac:dyDescent="0.3">
      <c r="F15628"/>
      <c r="G15628"/>
      <c r="H15628"/>
      <c r="I15628"/>
    </row>
    <row r="15629" spans="6:9" x14ac:dyDescent="0.3">
      <c r="F15629"/>
      <c r="G15629"/>
      <c r="H15629"/>
      <c r="I15629"/>
    </row>
    <row r="15630" spans="6:9" x14ac:dyDescent="0.3">
      <c r="F15630"/>
      <c r="G15630"/>
      <c r="H15630"/>
      <c r="I15630"/>
    </row>
    <row r="15631" spans="6:9" x14ac:dyDescent="0.3">
      <c r="F15631"/>
      <c r="G15631"/>
      <c r="H15631"/>
      <c r="I15631"/>
    </row>
    <row r="15632" spans="6:9" x14ac:dyDescent="0.3">
      <c r="F15632"/>
      <c r="G15632"/>
      <c r="H15632"/>
      <c r="I15632"/>
    </row>
    <row r="15633" spans="6:9" x14ac:dyDescent="0.3">
      <c r="F15633"/>
      <c r="G15633"/>
      <c r="H15633"/>
      <c r="I15633"/>
    </row>
    <row r="15634" spans="6:9" x14ac:dyDescent="0.3">
      <c r="F15634"/>
      <c r="G15634"/>
      <c r="H15634"/>
      <c r="I15634"/>
    </row>
    <row r="15635" spans="6:9" x14ac:dyDescent="0.3">
      <c r="F15635"/>
      <c r="G15635"/>
      <c r="H15635"/>
      <c r="I15635"/>
    </row>
    <row r="15636" spans="6:9" x14ac:dyDescent="0.3">
      <c r="F15636"/>
      <c r="G15636"/>
      <c r="H15636"/>
      <c r="I15636"/>
    </row>
    <row r="15637" spans="6:9" x14ac:dyDescent="0.3">
      <c r="F15637"/>
      <c r="G15637"/>
      <c r="H15637"/>
      <c r="I15637"/>
    </row>
    <row r="15638" spans="6:9" x14ac:dyDescent="0.3">
      <c r="F15638"/>
      <c r="G15638"/>
      <c r="H15638"/>
      <c r="I15638"/>
    </row>
    <row r="15639" spans="6:9" x14ac:dyDescent="0.3">
      <c r="F15639"/>
      <c r="G15639"/>
      <c r="H15639"/>
      <c r="I15639"/>
    </row>
    <row r="15640" spans="6:9" x14ac:dyDescent="0.3">
      <c r="F15640"/>
      <c r="G15640"/>
      <c r="H15640"/>
      <c r="I15640"/>
    </row>
    <row r="15641" spans="6:9" x14ac:dyDescent="0.3">
      <c r="F15641"/>
      <c r="G15641"/>
      <c r="H15641"/>
      <c r="I15641"/>
    </row>
    <row r="15642" spans="6:9" x14ac:dyDescent="0.3">
      <c r="F15642"/>
      <c r="G15642"/>
      <c r="H15642"/>
      <c r="I15642"/>
    </row>
    <row r="15643" spans="6:9" x14ac:dyDescent="0.3">
      <c r="F15643"/>
      <c r="G15643"/>
      <c r="H15643"/>
      <c r="I15643"/>
    </row>
    <row r="15644" spans="6:9" x14ac:dyDescent="0.3">
      <c r="F15644"/>
      <c r="G15644"/>
      <c r="H15644"/>
      <c r="I15644"/>
    </row>
    <row r="15645" spans="6:9" x14ac:dyDescent="0.3">
      <c r="F15645"/>
      <c r="G15645"/>
      <c r="H15645"/>
      <c r="I15645"/>
    </row>
    <row r="15646" spans="6:9" x14ac:dyDescent="0.3">
      <c r="F15646"/>
      <c r="G15646"/>
      <c r="H15646"/>
      <c r="I15646"/>
    </row>
    <row r="15647" spans="6:9" x14ac:dyDescent="0.3">
      <c r="F15647"/>
      <c r="G15647"/>
      <c r="H15647"/>
      <c r="I15647"/>
    </row>
    <row r="15648" spans="6:9" x14ac:dyDescent="0.3">
      <c r="F15648"/>
      <c r="G15648"/>
      <c r="H15648"/>
      <c r="I15648"/>
    </row>
    <row r="15649" spans="6:9" x14ac:dyDescent="0.3">
      <c r="F15649"/>
      <c r="G15649"/>
      <c r="H15649"/>
      <c r="I15649"/>
    </row>
    <row r="15650" spans="6:9" x14ac:dyDescent="0.3">
      <c r="F15650"/>
      <c r="G15650"/>
      <c r="H15650"/>
      <c r="I15650"/>
    </row>
    <row r="15651" spans="6:9" x14ac:dyDescent="0.3">
      <c r="F15651"/>
      <c r="G15651"/>
      <c r="H15651"/>
      <c r="I15651"/>
    </row>
    <row r="15652" spans="6:9" x14ac:dyDescent="0.3">
      <c r="F15652"/>
      <c r="G15652"/>
      <c r="H15652"/>
      <c r="I15652"/>
    </row>
    <row r="15653" spans="6:9" x14ac:dyDescent="0.3">
      <c r="F15653"/>
      <c r="G15653"/>
      <c r="H15653"/>
      <c r="I15653"/>
    </row>
    <row r="15654" spans="6:9" x14ac:dyDescent="0.3">
      <c r="F15654"/>
      <c r="G15654"/>
      <c r="H15654"/>
      <c r="I15654"/>
    </row>
    <row r="15655" spans="6:9" x14ac:dyDescent="0.3">
      <c r="F15655"/>
      <c r="G15655"/>
      <c r="H15655"/>
      <c r="I15655"/>
    </row>
    <row r="15656" spans="6:9" x14ac:dyDescent="0.3">
      <c r="F15656"/>
      <c r="G15656"/>
      <c r="H15656"/>
      <c r="I15656"/>
    </row>
    <row r="15657" spans="6:9" x14ac:dyDescent="0.3">
      <c r="F15657"/>
      <c r="G15657"/>
      <c r="H15657"/>
      <c r="I15657"/>
    </row>
    <row r="15658" spans="6:9" x14ac:dyDescent="0.3">
      <c r="F15658"/>
      <c r="G15658"/>
      <c r="H15658"/>
      <c r="I15658"/>
    </row>
    <row r="15659" spans="6:9" x14ac:dyDescent="0.3">
      <c r="F15659"/>
      <c r="G15659"/>
      <c r="H15659"/>
      <c r="I15659"/>
    </row>
    <row r="15660" spans="6:9" x14ac:dyDescent="0.3">
      <c r="F15660"/>
      <c r="G15660"/>
      <c r="H15660"/>
      <c r="I15660"/>
    </row>
    <row r="15661" spans="6:9" x14ac:dyDescent="0.3">
      <c r="F15661"/>
      <c r="G15661"/>
      <c r="H15661"/>
      <c r="I15661"/>
    </row>
    <row r="15662" spans="6:9" x14ac:dyDescent="0.3">
      <c r="F15662"/>
      <c r="G15662"/>
      <c r="H15662"/>
      <c r="I15662"/>
    </row>
    <row r="15663" spans="6:9" x14ac:dyDescent="0.3">
      <c r="F15663"/>
      <c r="G15663"/>
      <c r="H15663"/>
      <c r="I15663"/>
    </row>
    <row r="15664" spans="6:9" x14ac:dyDescent="0.3">
      <c r="F15664"/>
      <c r="G15664"/>
      <c r="H15664"/>
      <c r="I15664"/>
    </row>
    <row r="15665" spans="6:9" x14ac:dyDescent="0.3">
      <c r="F15665"/>
      <c r="G15665"/>
      <c r="H15665"/>
      <c r="I15665"/>
    </row>
    <row r="15666" spans="6:9" x14ac:dyDescent="0.3">
      <c r="F15666"/>
      <c r="G15666"/>
      <c r="H15666"/>
      <c r="I15666"/>
    </row>
    <row r="15667" spans="6:9" x14ac:dyDescent="0.3">
      <c r="F15667"/>
      <c r="G15667"/>
      <c r="H15667"/>
      <c r="I15667"/>
    </row>
    <row r="15668" spans="6:9" x14ac:dyDescent="0.3">
      <c r="F15668"/>
      <c r="G15668"/>
      <c r="H15668"/>
      <c r="I15668"/>
    </row>
    <row r="15669" spans="6:9" x14ac:dyDescent="0.3">
      <c r="F15669"/>
      <c r="G15669"/>
      <c r="H15669"/>
      <c r="I15669"/>
    </row>
    <row r="15670" spans="6:9" x14ac:dyDescent="0.3">
      <c r="F15670"/>
      <c r="G15670"/>
      <c r="H15670"/>
      <c r="I15670"/>
    </row>
    <row r="15671" spans="6:9" x14ac:dyDescent="0.3">
      <c r="F15671"/>
      <c r="G15671"/>
      <c r="H15671"/>
      <c r="I15671"/>
    </row>
    <row r="15672" spans="6:9" x14ac:dyDescent="0.3">
      <c r="F15672"/>
      <c r="G15672"/>
      <c r="H15672"/>
      <c r="I15672"/>
    </row>
    <row r="15673" spans="6:9" x14ac:dyDescent="0.3">
      <c r="F15673"/>
      <c r="G15673"/>
      <c r="H15673"/>
      <c r="I15673"/>
    </row>
    <row r="15674" spans="6:9" x14ac:dyDescent="0.3">
      <c r="F15674"/>
      <c r="G15674"/>
      <c r="H15674"/>
      <c r="I15674"/>
    </row>
    <row r="15675" spans="6:9" x14ac:dyDescent="0.3">
      <c r="F15675"/>
      <c r="G15675"/>
      <c r="H15675"/>
      <c r="I15675"/>
    </row>
    <row r="15676" spans="6:9" x14ac:dyDescent="0.3">
      <c r="F15676"/>
      <c r="G15676"/>
      <c r="H15676"/>
      <c r="I15676"/>
    </row>
    <row r="15677" spans="6:9" x14ac:dyDescent="0.3">
      <c r="F15677"/>
      <c r="G15677"/>
      <c r="H15677"/>
      <c r="I15677"/>
    </row>
    <row r="15678" spans="6:9" x14ac:dyDescent="0.3">
      <c r="F15678"/>
      <c r="G15678"/>
      <c r="H15678"/>
      <c r="I15678"/>
    </row>
    <row r="15679" spans="6:9" x14ac:dyDescent="0.3">
      <c r="F15679"/>
      <c r="G15679"/>
      <c r="H15679"/>
      <c r="I15679"/>
    </row>
    <row r="15680" spans="6:9" x14ac:dyDescent="0.3">
      <c r="F15680"/>
      <c r="G15680"/>
      <c r="H15680"/>
      <c r="I15680"/>
    </row>
    <row r="15681" spans="6:9" x14ac:dyDescent="0.3">
      <c r="F15681"/>
      <c r="G15681"/>
      <c r="H15681"/>
      <c r="I15681"/>
    </row>
    <row r="15682" spans="6:9" x14ac:dyDescent="0.3">
      <c r="F15682"/>
      <c r="G15682"/>
      <c r="H15682"/>
      <c r="I15682"/>
    </row>
    <row r="15683" spans="6:9" x14ac:dyDescent="0.3">
      <c r="F15683"/>
      <c r="G15683"/>
      <c r="H15683"/>
      <c r="I15683"/>
    </row>
    <row r="15684" spans="6:9" x14ac:dyDescent="0.3">
      <c r="F15684"/>
      <c r="G15684"/>
      <c r="H15684"/>
      <c r="I15684"/>
    </row>
    <row r="15685" spans="6:9" x14ac:dyDescent="0.3">
      <c r="F15685"/>
      <c r="G15685"/>
      <c r="H15685"/>
      <c r="I15685"/>
    </row>
    <row r="15686" spans="6:9" x14ac:dyDescent="0.3">
      <c r="F15686"/>
      <c r="G15686"/>
      <c r="H15686"/>
      <c r="I15686"/>
    </row>
    <row r="15687" spans="6:9" x14ac:dyDescent="0.3">
      <c r="F15687"/>
      <c r="G15687"/>
      <c r="H15687"/>
      <c r="I15687"/>
    </row>
    <row r="15688" spans="6:9" x14ac:dyDescent="0.3">
      <c r="F15688"/>
      <c r="G15688"/>
      <c r="H15688"/>
      <c r="I15688"/>
    </row>
    <row r="15689" spans="6:9" x14ac:dyDescent="0.3">
      <c r="F15689"/>
      <c r="G15689"/>
      <c r="H15689"/>
      <c r="I15689"/>
    </row>
    <row r="15690" spans="6:9" x14ac:dyDescent="0.3">
      <c r="F15690"/>
      <c r="G15690"/>
      <c r="H15690"/>
      <c r="I15690"/>
    </row>
    <row r="15691" spans="6:9" x14ac:dyDescent="0.3">
      <c r="F15691"/>
      <c r="G15691"/>
      <c r="H15691"/>
      <c r="I15691"/>
    </row>
    <row r="15692" spans="6:9" x14ac:dyDescent="0.3">
      <c r="F15692"/>
      <c r="G15692"/>
      <c r="H15692"/>
      <c r="I15692"/>
    </row>
    <row r="15693" spans="6:9" x14ac:dyDescent="0.3">
      <c r="F15693"/>
      <c r="G15693"/>
      <c r="H15693"/>
      <c r="I15693"/>
    </row>
    <row r="15694" spans="6:9" x14ac:dyDescent="0.3">
      <c r="F15694"/>
      <c r="G15694"/>
      <c r="H15694"/>
      <c r="I15694"/>
    </row>
    <row r="15695" spans="6:9" x14ac:dyDescent="0.3">
      <c r="F15695"/>
      <c r="G15695"/>
      <c r="H15695"/>
      <c r="I15695"/>
    </row>
    <row r="15696" spans="6:9" x14ac:dyDescent="0.3">
      <c r="F15696"/>
      <c r="G15696"/>
      <c r="H15696"/>
      <c r="I15696"/>
    </row>
    <row r="15697" spans="6:9" x14ac:dyDescent="0.3">
      <c r="F15697"/>
      <c r="G15697"/>
      <c r="H15697"/>
      <c r="I15697"/>
    </row>
    <row r="15698" spans="6:9" x14ac:dyDescent="0.3">
      <c r="F15698"/>
      <c r="G15698"/>
      <c r="H15698"/>
      <c r="I15698"/>
    </row>
    <row r="15699" spans="6:9" x14ac:dyDescent="0.3">
      <c r="F15699"/>
      <c r="G15699"/>
      <c r="H15699"/>
      <c r="I15699"/>
    </row>
    <row r="15700" spans="6:9" x14ac:dyDescent="0.3">
      <c r="F15700"/>
      <c r="G15700"/>
      <c r="H15700"/>
      <c r="I15700"/>
    </row>
    <row r="15701" spans="6:9" x14ac:dyDescent="0.3">
      <c r="F15701"/>
      <c r="G15701"/>
      <c r="H15701"/>
      <c r="I15701"/>
    </row>
    <row r="15702" spans="6:9" x14ac:dyDescent="0.3">
      <c r="F15702"/>
      <c r="G15702"/>
      <c r="H15702"/>
      <c r="I15702"/>
    </row>
    <row r="15703" spans="6:9" x14ac:dyDescent="0.3">
      <c r="F15703"/>
      <c r="G15703"/>
      <c r="H15703"/>
      <c r="I15703"/>
    </row>
    <row r="15704" spans="6:9" x14ac:dyDescent="0.3">
      <c r="F15704"/>
      <c r="G15704"/>
      <c r="H15704"/>
      <c r="I15704"/>
    </row>
    <row r="15705" spans="6:9" x14ac:dyDescent="0.3">
      <c r="F15705"/>
      <c r="G15705"/>
      <c r="H15705"/>
      <c r="I15705"/>
    </row>
    <row r="15706" spans="6:9" x14ac:dyDescent="0.3">
      <c r="F15706"/>
      <c r="G15706"/>
      <c r="H15706"/>
      <c r="I15706"/>
    </row>
    <row r="15707" spans="6:9" x14ac:dyDescent="0.3">
      <c r="F15707"/>
      <c r="G15707"/>
      <c r="H15707"/>
      <c r="I15707"/>
    </row>
    <row r="15708" spans="6:9" x14ac:dyDescent="0.3">
      <c r="F15708"/>
      <c r="G15708"/>
      <c r="H15708"/>
      <c r="I15708"/>
    </row>
    <row r="15709" spans="6:9" x14ac:dyDescent="0.3">
      <c r="F15709"/>
      <c r="G15709"/>
      <c r="H15709"/>
      <c r="I15709"/>
    </row>
    <row r="15710" spans="6:9" x14ac:dyDescent="0.3">
      <c r="F15710"/>
      <c r="G15710"/>
      <c r="H15710"/>
      <c r="I15710"/>
    </row>
    <row r="15711" spans="6:9" x14ac:dyDescent="0.3">
      <c r="F15711"/>
      <c r="G15711"/>
      <c r="H15711"/>
      <c r="I15711"/>
    </row>
    <row r="15712" spans="6:9" x14ac:dyDescent="0.3">
      <c r="F15712"/>
      <c r="G15712"/>
      <c r="H15712"/>
      <c r="I15712"/>
    </row>
    <row r="15713" spans="6:9" x14ac:dyDescent="0.3">
      <c r="F15713"/>
      <c r="G15713"/>
      <c r="H15713"/>
      <c r="I15713"/>
    </row>
    <row r="15714" spans="6:9" x14ac:dyDescent="0.3">
      <c r="F15714"/>
      <c r="G15714"/>
      <c r="H15714"/>
      <c r="I15714"/>
    </row>
    <row r="15715" spans="6:9" x14ac:dyDescent="0.3">
      <c r="F15715"/>
      <c r="G15715"/>
      <c r="H15715"/>
      <c r="I15715"/>
    </row>
    <row r="15716" spans="6:9" x14ac:dyDescent="0.3">
      <c r="F15716"/>
      <c r="G15716"/>
      <c r="H15716"/>
      <c r="I15716"/>
    </row>
    <row r="15717" spans="6:9" x14ac:dyDescent="0.3">
      <c r="F15717"/>
      <c r="G15717"/>
      <c r="H15717"/>
      <c r="I15717"/>
    </row>
    <row r="15718" spans="6:9" x14ac:dyDescent="0.3">
      <c r="F15718"/>
      <c r="G15718"/>
      <c r="H15718"/>
      <c r="I15718"/>
    </row>
    <row r="15719" spans="6:9" x14ac:dyDescent="0.3">
      <c r="F15719"/>
      <c r="G15719"/>
      <c r="H15719"/>
      <c r="I15719"/>
    </row>
    <row r="15720" spans="6:9" x14ac:dyDescent="0.3">
      <c r="F15720"/>
      <c r="G15720"/>
      <c r="H15720"/>
      <c r="I15720"/>
    </row>
    <row r="15721" spans="6:9" x14ac:dyDescent="0.3">
      <c r="F15721"/>
      <c r="G15721"/>
      <c r="H15721"/>
      <c r="I15721"/>
    </row>
    <row r="15722" spans="6:9" x14ac:dyDescent="0.3">
      <c r="F15722"/>
      <c r="G15722"/>
      <c r="H15722"/>
      <c r="I15722"/>
    </row>
    <row r="15723" spans="6:9" x14ac:dyDescent="0.3">
      <c r="F15723"/>
      <c r="G15723"/>
      <c r="H15723"/>
      <c r="I15723"/>
    </row>
    <row r="15724" spans="6:9" x14ac:dyDescent="0.3">
      <c r="F15724"/>
      <c r="G15724"/>
      <c r="H15724"/>
      <c r="I15724"/>
    </row>
    <row r="15725" spans="6:9" x14ac:dyDescent="0.3">
      <c r="F15725"/>
      <c r="G15725"/>
      <c r="H15725"/>
      <c r="I15725"/>
    </row>
    <row r="15726" spans="6:9" x14ac:dyDescent="0.3">
      <c r="F15726"/>
      <c r="G15726"/>
      <c r="H15726"/>
      <c r="I15726"/>
    </row>
    <row r="15727" spans="6:9" x14ac:dyDescent="0.3">
      <c r="F15727"/>
      <c r="G15727"/>
      <c r="H15727"/>
      <c r="I15727"/>
    </row>
    <row r="15728" spans="6:9" x14ac:dyDescent="0.3">
      <c r="F15728"/>
      <c r="G15728"/>
      <c r="H15728"/>
      <c r="I15728"/>
    </row>
    <row r="15729" spans="6:9" x14ac:dyDescent="0.3">
      <c r="F15729"/>
      <c r="G15729"/>
      <c r="H15729"/>
      <c r="I15729"/>
    </row>
    <row r="15730" spans="6:9" x14ac:dyDescent="0.3">
      <c r="F15730"/>
      <c r="G15730"/>
      <c r="H15730"/>
      <c r="I15730"/>
    </row>
    <row r="15731" spans="6:9" x14ac:dyDescent="0.3">
      <c r="F15731"/>
      <c r="G15731"/>
      <c r="H15731"/>
      <c r="I15731"/>
    </row>
    <row r="15732" spans="6:9" x14ac:dyDescent="0.3">
      <c r="F15732"/>
      <c r="G15732"/>
      <c r="H15732"/>
      <c r="I15732"/>
    </row>
    <row r="15733" spans="6:9" x14ac:dyDescent="0.3">
      <c r="F15733"/>
      <c r="G15733"/>
      <c r="H15733"/>
      <c r="I15733"/>
    </row>
    <row r="15734" spans="6:9" x14ac:dyDescent="0.3">
      <c r="F15734"/>
      <c r="G15734"/>
      <c r="H15734"/>
      <c r="I15734"/>
    </row>
    <row r="15735" spans="6:9" x14ac:dyDescent="0.3">
      <c r="F15735"/>
      <c r="G15735"/>
      <c r="H15735"/>
      <c r="I15735"/>
    </row>
    <row r="15736" spans="6:9" x14ac:dyDescent="0.3">
      <c r="F15736"/>
      <c r="G15736"/>
      <c r="H15736"/>
      <c r="I15736"/>
    </row>
    <row r="15737" spans="6:9" x14ac:dyDescent="0.3">
      <c r="F15737"/>
      <c r="G15737"/>
      <c r="H15737"/>
      <c r="I15737"/>
    </row>
    <row r="15738" spans="6:9" x14ac:dyDescent="0.3">
      <c r="F15738"/>
      <c r="G15738"/>
      <c r="H15738"/>
      <c r="I15738"/>
    </row>
    <row r="15739" spans="6:9" x14ac:dyDescent="0.3">
      <c r="F15739"/>
      <c r="G15739"/>
      <c r="H15739"/>
      <c r="I15739"/>
    </row>
    <row r="15740" spans="6:9" x14ac:dyDescent="0.3">
      <c r="F15740"/>
      <c r="G15740"/>
      <c r="H15740"/>
      <c r="I15740"/>
    </row>
    <row r="15741" spans="6:9" x14ac:dyDescent="0.3">
      <c r="F15741"/>
      <c r="G15741"/>
      <c r="H15741"/>
      <c r="I15741"/>
    </row>
    <row r="15742" spans="6:9" x14ac:dyDescent="0.3">
      <c r="F15742"/>
      <c r="G15742"/>
      <c r="H15742"/>
      <c r="I15742"/>
    </row>
    <row r="15743" spans="6:9" x14ac:dyDescent="0.3">
      <c r="F15743"/>
      <c r="G15743"/>
      <c r="H15743"/>
      <c r="I15743"/>
    </row>
    <row r="15744" spans="6:9" x14ac:dyDescent="0.3">
      <c r="F15744"/>
      <c r="G15744"/>
      <c r="H15744"/>
      <c r="I15744"/>
    </row>
    <row r="15745" spans="6:9" x14ac:dyDescent="0.3">
      <c r="F15745"/>
      <c r="G15745"/>
      <c r="H15745"/>
      <c r="I15745"/>
    </row>
    <row r="15746" spans="6:9" x14ac:dyDescent="0.3">
      <c r="F15746"/>
      <c r="G15746"/>
      <c r="H15746"/>
      <c r="I15746"/>
    </row>
    <row r="15747" spans="6:9" x14ac:dyDescent="0.3">
      <c r="F15747"/>
      <c r="G15747"/>
      <c r="H15747"/>
      <c r="I15747"/>
    </row>
    <row r="15748" spans="6:9" x14ac:dyDescent="0.3">
      <c r="F15748"/>
      <c r="G15748"/>
      <c r="H15748"/>
      <c r="I15748"/>
    </row>
    <row r="15749" spans="6:9" x14ac:dyDescent="0.3">
      <c r="F15749"/>
      <c r="G15749"/>
      <c r="H15749"/>
      <c r="I15749"/>
    </row>
    <row r="15750" spans="6:9" x14ac:dyDescent="0.3">
      <c r="F15750"/>
      <c r="G15750"/>
      <c r="H15750"/>
      <c r="I15750"/>
    </row>
    <row r="15751" spans="6:9" x14ac:dyDescent="0.3">
      <c r="F15751"/>
      <c r="G15751"/>
      <c r="H15751"/>
      <c r="I15751"/>
    </row>
    <row r="15752" spans="6:9" x14ac:dyDescent="0.3">
      <c r="F15752"/>
      <c r="G15752"/>
      <c r="H15752"/>
      <c r="I15752"/>
    </row>
    <row r="15753" spans="6:9" x14ac:dyDescent="0.3">
      <c r="F15753"/>
      <c r="G15753"/>
      <c r="H15753"/>
      <c r="I15753"/>
    </row>
    <row r="15754" spans="6:9" x14ac:dyDescent="0.3">
      <c r="F15754"/>
      <c r="G15754"/>
      <c r="H15754"/>
      <c r="I15754"/>
    </row>
    <row r="15755" spans="6:9" x14ac:dyDescent="0.3">
      <c r="F15755"/>
      <c r="G15755"/>
      <c r="H15755"/>
      <c r="I15755"/>
    </row>
    <row r="15756" spans="6:9" x14ac:dyDescent="0.3">
      <c r="F15756"/>
      <c r="G15756"/>
      <c r="H15756"/>
      <c r="I15756"/>
    </row>
    <row r="15757" spans="6:9" x14ac:dyDescent="0.3">
      <c r="F15757"/>
      <c r="G15757"/>
      <c r="H15757"/>
      <c r="I15757"/>
    </row>
    <row r="15758" spans="6:9" x14ac:dyDescent="0.3">
      <c r="F15758"/>
      <c r="G15758"/>
      <c r="H15758"/>
      <c r="I15758"/>
    </row>
    <row r="15759" spans="6:9" x14ac:dyDescent="0.3">
      <c r="F15759"/>
      <c r="G15759"/>
      <c r="H15759"/>
      <c r="I15759"/>
    </row>
    <row r="15760" spans="6:9" x14ac:dyDescent="0.3">
      <c r="F15760"/>
      <c r="G15760"/>
      <c r="H15760"/>
      <c r="I15760"/>
    </row>
    <row r="15761" spans="6:9" x14ac:dyDescent="0.3">
      <c r="F15761"/>
      <c r="G15761"/>
      <c r="H15761"/>
      <c r="I15761"/>
    </row>
    <row r="15762" spans="6:9" x14ac:dyDescent="0.3">
      <c r="F15762"/>
      <c r="G15762"/>
      <c r="H15762"/>
      <c r="I15762"/>
    </row>
    <row r="15763" spans="6:9" x14ac:dyDescent="0.3">
      <c r="F15763"/>
      <c r="G15763"/>
      <c r="H15763"/>
      <c r="I15763"/>
    </row>
    <row r="15764" spans="6:9" x14ac:dyDescent="0.3">
      <c r="F15764"/>
      <c r="G15764"/>
      <c r="H15764"/>
      <c r="I15764"/>
    </row>
    <row r="15765" spans="6:9" x14ac:dyDescent="0.3">
      <c r="F15765"/>
      <c r="G15765"/>
      <c r="H15765"/>
      <c r="I15765"/>
    </row>
    <row r="15766" spans="6:9" x14ac:dyDescent="0.3">
      <c r="F15766"/>
      <c r="G15766"/>
      <c r="H15766"/>
      <c r="I15766"/>
    </row>
    <row r="15767" spans="6:9" x14ac:dyDescent="0.3">
      <c r="F15767"/>
      <c r="G15767"/>
      <c r="H15767"/>
      <c r="I15767"/>
    </row>
    <row r="15768" spans="6:9" x14ac:dyDescent="0.3">
      <c r="F15768"/>
      <c r="G15768"/>
      <c r="H15768"/>
      <c r="I15768"/>
    </row>
    <row r="15769" spans="6:9" x14ac:dyDescent="0.3">
      <c r="F15769"/>
      <c r="G15769"/>
      <c r="H15769"/>
      <c r="I15769"/>
    </row>
    <row r="15770" spans="6:9" x14ac:dyDescent="0.3">
      <c r="F15770"/>
      <c r="G15770"/>
      <c r="H15770"/>
      <c r="I15770"/>
    </row>
    <row r="15771" spans="6:9" x14ac:dyDescent="0.3">
      <c r="F15771"/>
      <c r="G15771"/>
      <c r="H15771"/>
      <c r="I15771"/>
    </row>
    <row r="15772" spans="6:9" x14ac:dyDescent="0.3">
      <c r="F15772"/>
      <c r="G15772"/>
      <c r="H15772"/>
      <c r="I15772"/>
    </row>
    <row r="15773" spans="6:9" x14ac:dyDescent="0.3">
      <c r="F15773"/>
      <c r="G15773"/>
      <c r="H15773"/>
      <c r="I15773"/>
    </row>
    <row r="15774" spans="6:9" x14ac:dyDescent="0.3">
      <c r="F15774"/>
      <c r="G15774"/>
      <c r="H15774"/>
      <c r="I15774"/>
    </row>
    <row r="15775" spans="6:9" x14ac:dyDescent="0.3">
      <c r="F15775"/>
      <c r="G15775"/>
      <c r="H15775"/>
      <c r="I15775"/>
    </row>
    <row r="15776" spans="6:9" x14ac:dyDescent="0.3">
      <c r="F15776"/>
      <c r="G15776"/>
      <c r="H15776"/>
      <c r="I15776"/>
    </row>
    <row r="15777" spans="6:9" x14ac:dyDescent="0.3">
      <c r="F15777"/>
      <c r="G15777"/>
      <c r="H15777"/>
      <c r="I15777"/>
    </row>
    <row r="15778" spans="6:9" x14ac:dyDescent="0.3">
      <c r="F15778"/>
      <c r="G15778"/>
      <c r="H15778"/>
      <c r="I15778"/>
    </row>
    <row r="15779" spans="6:9" x14ac:dyDescent="0.3">
      <c r="F15779"/>
      <c r="G15779"/>
      <c r="H15779"/>
      <c r="I15779"/>
    </row>
    <row r="15780" spans="6:9" x14ac:dyDescent="0.3">
      <c r="F15780"/>
      <c r="G15780"/>
      <c r="H15780"/>
      <c r="I15780"/>
    </row>
    <row r="15781" spans="6:9" x14ac:dyDescent="0.3">
      <c r="F15781"/>
      <c r="G15781"/>
      <c r="H15781"/>
      <c r="I15781"/>
    </row>
    <row r="15782" spans="6:9" x14ac:dyDescent="0.3">
      <c r="F15782"/>
      <c r="G15782"/>
      <c r="H15782"/>
      <c r="I15782"/>
    </row>
    <row r="15783" spans="6:9" x14ac:dyDescent="0.3">
      <c r="F15783"/>
      <c r="G15783"/>
      <c r="H15783"/>
      <c r="I15783"/>
    </row>
    <row r="15784" spans="6:9" x14ac:dyDescent="0.3">
      <c r="F15784"/>
      <c r="G15784"/>
      <c r="H15784"/>
      <c r="I15784"/>
    </row>
    <row r="15785" spans="6:9" x14ac:dyDescent="0.3">
      <c r="F15785"/>
      <c r="G15785"/>
      <c r="H15785"/>
      <c r="I15785"/>
    </row>
    <row r="15786" spans="6:9" x14ac:dyDescent="0.3">
      <c r="F15786"/>
      <c r="G15786"/>
      <c r="H15786"/>
      <c r="I15786"/>
    </row>
    <row r="15787" spans="6:9" x14ac:dyDescent="0.3">
      <c r="F15787"/>
      <c r="G15787"/>
      <c r="H15787"/>
      <c r="I15787"/>
    </row>
    <row r="15788" spans="6:9" x14ac:dyDescent="0.3">
      <c r="F15788"/>
      <c r="G15788"/>
      <c r="H15788"/>
      <c r="I15788"/>
    </row>
    <row r="15789" spans="6:9" x14ac:dyDescent="0.3">
      <c r="F15789"/>
      <c r="G15789"/>
      <c r="H15789"/>
      <c r="I15789"/>
    </row>
    <row r="15790" spans="6:9" x14ac:dyDescent="0.3">
      <c r="F15790"/>
      <c r="G15790"/>
      <c r="H15790"/>
      <c r="I15790"/>
    </row>
    <row r="15791" spans="6:9" x14ac:dyDescent="0.3">
      <c r="F15791"/>
      <c r="G15791"/>
      <c r="H15791"/>
      <c r="I15791"/>
    </row>
    <row r="15792" spans="6:9" x14ac:dyDescent="0.3">
      <c r="F15792"/>
      <c r="G15792"/>
      <c r="H15792"/>
      <c r="I15792"/>
    </row>
    <row r="15793" spans="6:9" x14ac:dyDescent="0.3">
      <c r="F15793"/>
      <c r="G15793"/>
      <c r="H15793"/>
      <c r="I15793"/>
    </row>
    <row r="15794" spans="6:9" x14ac:dyDescent="0.3">
      <c r="F15794"/>
      <c r="G15794"/>
      <c r="H15794"/>
      <c r="I15794"/>
    </row>
    <row r="15795" spans="6:9" x14ac:dyDescent="0.3">
      <c r="F15795"/>
      <c r="G15795"/>
      <c r="H15795"/>
      <c r="I15795"/>
    </row>
    <row r="15796" spans="6:9" x14ac:dyDescent="0.3">
      <c r="F15796"/>
      <c r="G15796"/>
      <c r="H15796"/>
      <c r="I15796"/>
    </row>
    <row r="15797" spans="6:9" x14ac:dyDescent="0.3">
      <c r="F15797"/>
      <c r="G15797"/>
      <c r="H15797"/>
      <c r="I15797"/>
    </row>
    <row r="15798" spans="6:9" x14ac:dyDescent="0.3">
      <c r="F15798"/>
      <c r="G15798"/>
      <c r="H15798"/>
      <c r="I15798"/>
    </row>
    <row r="15799" spans="6:9" x14ac:dyDescent="0.3">
      <c r="F15799"/>
      <c r="G15799"/>
      <c r="H15799"/>
      <c r="I15799"/>
    </row>
    <row r="15800" spans="6:9" x14ac:dyDescent="0.3">
      <c r="F15800"/>
      <c r="G15800"/>
      <c r="H15800"/>
      <c r="I15800"/>
    </row>
    <row r="15801" spans="6:9" x14ac:dyDescent="0.3">
      <c r="F15801"/>
      <c r="G15801"/>
      <c r="H15801"/>
      <c r="I15801"/>
    </row>
    <row r="15802" spans="6:9" x14ac:dyDescent="0.3">
      <c r="F15802"/>
      <c r="G15802"/>
      <c r="H15802"/>
      <c r="I15802"/>
    </row>
    <row r="15803" spans="6:9" x14ac:dyDescent="0.3">
      <c r="F15803"/>
      <c r="G15803"/>
      <c r="H15803"/>
      <c r="I15803"/>
    </row>
    <row r="15804" spans="6:9" x14ac:dyDescent="0.3">
      <c r="F15804"/>
      <c r="G15804"/>
      <c r="H15804"/>
      <c r="I15804"/>
    </row>
    <row r="15805" spans="6:9" x14ac:dyDescent="0.3">
      <c r="F15805"/>
      <c r="G15805"/>
      <c r="H15805"/>
      <c r="I15805"/>
    </row>
    <row r="15806" spans="6:9" x14ac:dyDescent="0.3">
      <c r="F15806"/>
      <c r="G15806"/>
      <c r="H15806"/>
      <c r="I15806"/>
    </row>
    <row r="15807" spans="6:9" x14ac:dyDescent="0.3">
      <c r="F15807"/>
      <c r="G15807"/>
      <c r="H15807"/>
      <c r="I15807"/>
    </row>
    <row r="15808" spans="6:9" x14ac:dyDescent="0.3">
      <c r="F15808"/>
      <c r="G15808"/>
      <c r="H15808"/>
      <c r="I15808"/>
    </row>
    <row r="15809" spans="6:9" x14ac:dyDescent="0.3">
      <c r="F15809"/>
      <c r="G15809"/>
      <c r="H15809"/>
      <c r="I15809"/>
    </row>
    <row r="15810" spans="6:9" x14ac:dyDescent="0.3">
      <c r="F15810"/>
      <c r="G15810"/>
      <c r="H15810"/>
      <c r="I15810"/>
    </row>
    <row r="15811" spans="6:9" x14ac:dyDescent="0.3">
      <c r="F15811"/>
      <c r="G15811"/>
      <c r="H15811"/>
      <c r="I15811"/>
    </row>
    <row r="15812" spans="6:9" x14ac:dyDescent="0.3">
      <c r="F15812"/>
      <c r="G15812"/>
      <c r="H15812"/>
      <c r="I15812"/>
    </row>
    <row r="15813" spans="6:9" x14ac:dyDescent="0.3">
      <c r="F15813"/>
      <c r="G15813"/>
      <c r="H15813"/>
      <c r="I15813"/>
    </row>
    <row r="15814" spans="6:9" x14ac:dyDescent="0.3">
      <c r="F15814"/>
      <c r="G15814"/>
      <c r="H15814"/>
      <c r="I15814"/>
    </row>
    <row r="15815" spans="6:9" x14ac:dyDescent="0.3">
      <c r="F15815"/>
      <c r="G15815"/>
      <c r="H15815"/>
      <c r="I15815"/>
    </row>
    <row r="15816" spans="6:9" x14ac:dyDescent="0.3">
      <c r="F15816"/>
      <c r="G15816"/>
      <c r="H15816"/>
      <c r="I15816"/>
    </row>
    <row r="15817" spans="6:9" x14ac:dyDescent="0.3">
      <c r="F15817"/>
      <c r="G15817"/>
      <c r="H15817"/>
      <c r="I15817"/>
    </row>
    <row r="15818" spans="6:9" x14ac:dyDescent="0.3">
      <c r="F15818"/>
      <c r="G15818"/>
      <c r="H15818"/>
      <c r="I15818"/>
    </row>
    <row r="15819" spans="6:9" x14ac:dyDescent="0.3">
      <c r="F15819"/>
      <c r="G15819"/>
      <c r="H15819"/>
      <c r="I15819"/>
    </row>
    <row r="15820" spans="6:9" x14ac:dyDescent="0.3">
      <c r="F15820"/>
      <c r="G15820"/>
      <c r="H15820"/>
      <c r="I15820"/>
    </row>
    <row r="15821" spans="6:9" x14ac:dyDescent="0.3">
      <c r="F15821"/>
      <c r="G15821"/>
      <c r="H15821"/>
      <c r="I15821"/>
    </row>
    <row r="15822" spans="6:9" x14ac:dyDescent="0.3">
      <c r="F15822"/>
      <c r="G15822"/>
      <c r="H15822"/>
      <c r="I15822"/>
    </row>
    <row r="15823" spans="6:9" x14ac:dyDescent="0.3">
      <c r="F15823"/>
      <c r="G15823"/>
      <c r="H15823"/>
      <c r="I15823"/>
    </row>
    <row r="15824" spans="6:9" x14ac:dyDescent="0.3">
      <c r="F15824"/>
      <c r="G15824"/>
      <c r="H15824"/>
      <c r="I15824"/>
    </row>
    <row r="15825" spans="6:9" x14ac:dyDescent="0.3">
      <c r="F15825"/>
      <c r="G15825"/>
      <c r="H15825"/>
      <c r="I15825"/>
    </row>
    <row r="15826" spans="6:9" x14ac:dyDescent="0.3">
      <c r="F15826"/>
      <c r="G15826"/>
      <c r="H15826"/>
      <c r="I15826"/>
    </row>
    <row r="15827" spans="6:9" x14ac:dyDescent="0.3">
      <c r="F15827"/>
      <c r="G15827"/>
      <c r="H15827"/>
      <c r="I15827"/>
    </row>
    <row r="15828" spans="6:9" x14ac:dyDescent="0.3">
      <c r="F15828"/>
      <c r="G15828"/>
      <c r="H15828"/>
      <c r="I15828"/>
    </row>
    <row r="15829" spans="6:9" x14ac:dyDescent="0.3">
      <c r="F15829"/>
      <c r="G15829"/>
      <c r="H15829"/>
      <c r="I15829"/>
    </row>
    <row r="15830" spans="6:9" x14ac:dyDescent="0.3">
      <c r="F15830"/>
      <c r="G15830"/>
      <c r="H15830"/>
      <c r="I15830"/>
    </row>
    <row r="15831" spans="6:9" x14ac:dyDescent="0.3">
      <c r="F15831"/>
      <c r="G15831"/>
      <c r="H15831"/>
      <c r="I15831"/>
    </row>
    <row r="15832" spans="6:9" x14ac:dyDescent="0.3">
      <c r="F15832"/>
      <c r="G15832"/>
      <c r="H15832"/>
      <c r="I15832"/>
    </row>
    <row r="15833" spans="6:9" x14ac:dyDescent="0.3">
      <c r="F15833"/>
      <c r="G15833"/>
      <c r="H15833"/>
      <c r="I15833"/>
    </row>
    <row r="15834" spans="6:9" x14ac:dyDescent="0.3">
      <c r="F15834"/>
      <c r="G15834"/>
      <c r="H15834"/>
      <c r="I15834"/>
    </row>
    <row r="15835" spans="6:9" x14ac:dyDescent="0.3">
      <c r="F15835"/>
      <c r="G15835"/>
      <c r="H15835"/>
      <c r="I15835"/>
    </row>
    <row r="15836" spans="6:9" x14ac:dyDescent="0.3">
      <c r="F15836"/>
      <c r="G15836"/>
      <c r="H15836"/>
      <c r="I15836"/>
    </row>
    <row r="15837" spans="6:9" x14ac:dyDescent="0.3">
      <c r="F15837"/>
      <c r="G15837"/>
      <c r="H15837"/>
      <c r="I15837"/>
    </row>
    <row r="15838" spans="6:9" x14ac:dyDescent="0.3">
      <c r="F15838"/>
      <c r="G15838"/>
      <c r="H15838"/>
      <c r="I15838"/>
    </row>
    <row r="15839" spans="6:9" x14ac:dyDescent="0.3">
      <c r="F15839"/>
      <c r="G15839"/>
      <c r="H15839"/>
      <c r="I15839"/>
    </row>
    <row r="15840" spans="6:9" x14ac:dyDescent="0.3">
      <c r="F15840"/>
      <c r="G15840"/>
      <c r="H15840"/>
      <c r="I15840"/>
    </row>
    <row r="15841" spans="6:9" x14ac:dyDescent="0.3">
      <c r="F15841"/>
      <c r="G15841"/>
      <c r="H15841"/>
      <c r="I15841"/>
    </row>
    <row r="15842" spans="6:9" x14ac:dyDescent="0.3">
      <c r="F15842"/>
      <c r="G15842"/>
      <c r="H15842"/>
      <c r="I15842"/>
    </row>
    <row r="15843" spans="6:9" x14ac:dyDescent="0.3">
      <c r="F15843"/>
      <c r="G15843"/>
      <c r="H15843"/>
      <c r="I15843"/>
    </row>
    <row r="15844" spans="6:9" x14ac:dyDescent="0.3">
      <c r="F15844"/>
      <c r="G15844"/>
      <c r="H15844"/>
      <c r="I15844"/>
    </row>
    <row r="15845" spans="6:9" x14ac:dyDescent="0.3">
      <c r="F15845"/>
      <c r="G15845"/>
      <c r="H15845"/>
      <c r="I15845"/>
    </row>
    <row r="15846" spans="6:9" x14ac:dyDescent="0.3">
      <c r="F15846"/>
      <c r="G15846"/>
      <c r="H15846"/>
      <c r="I15846"/>
    </row>
    <row r="15847" spans="6:9" x14ac:dyDescent="0.3">
      <c r="F15847"/>
      <c r="G15847"/>
      <c r="H15847"/>
      <c r="I15847"/>
    </row>
    <row r="15848" spans="6:9" x14ac:dyDescent="0.3">
      <c r="F15848"/>
      <c r="G15848"/>
      <c r="H15848"/>
      <c r="I15848"/>
    </row>
    <row r="15849" spans="6:9" x14ac:dyDescent="0.3">
      <c r="F15849"/>
      <c r="G15849"/>
      <c r="H15849"/>
      <c r="I15849"/>
    </row>
    <row r="15850" spans="6:9" x14ac:dyDescent="0.3">
      <c r="F15850"/>
      <c r="G15850"/>
      <c r="H15850"/>
      <c r="I15850"/>
    </row>
    <row r="15851" spans="6:9" x14ac:dyDescent="0.3">
      <c r="F15851"/>
      <c r="G15851"/>
      <c r="H15851"/>
      <c r="I15851"/>
    </row>
    <row r="15852" spans="6:9" x14ac:dyDescent="0.3">
      <c r="F15852"/>
      <c r="G15852"/>
      <c r="H15852"/>
      <c r="I15852"/>
    </row>
    <row r="15853" spans="6:9" x14ac:dyDescent="0.3">
      <c r="F15853"/>
      <c r="G15853"/>
      <c r="H15853"/>
      <c r="I15853"/>
    </row>
    <row r="15854" spans="6:9" x14ac:dyDescent="0.3">
      <c r="F15854"/>
      <c r="G15854"/>
      <c r="H15854"/>
      <c r="I15854"/>
    </row>
    <row r="15855" spans="6:9" x14ac:dyDescent="0.3">
      <c r="F15855"/>
      <c r="G15855"/>
      <c r="H15855"/>
      <c r="I15855"/>
    </row>
    <row r="15856" spans="6:9" x14ac:dyDescent="0.3">
      <c r="F15856"/>
      <c r="G15856"/>
      <c r="H15856"/>
      <c r="I15856"/>
    </row>
    <row r="15857" spans="6:9" x14ac:dyDescent="0.3">
      <c r="F15857"/>
      <c r="G15857"/>
      <c r="H15857"/>
      <c r="I15857"/>
    </row>
    <row r="15858" spans="6:9" x14ac:dyDescent="0.3">
      <c r="F15858"/>
      <c r="G15858"/>
      <c r="H15858"/>
      <c r="I15858"/>
    </row>
    <row r="15859" spans="6:9" x14ac:dyDescent="0.3">
      <c r="F15859"/>
      <c r="G15859"/>
      <c r="H15859"/>
      <c r="I15859"/>
    </row>
    <row r="15860" spans="6:9" x14ac:dyDescent="0.3">
      <c r="F15860"/>
      <c r="G15860"/>
      <c r="H15860"/>
      <c r="I15860"/>
    </row>
    <row r="15861" spans="6:9" x14ac:dyDescent="0.3">
      <c r="F15861"/>
      <c r="G15861"/>
      <c r="H15861"/>
      <c r="I15861"/>
    </row>
    <row r="15862" spans="6:9" x14ac:dyDescent="0.3">
      <c r="F15862"/>
      <c r="G15862"/>
      <c r="H15862"/>
      <c r="I15862"/>
    </row>
    <row r="15863" spans="6:9" x14ac:dyDescent="0.3">
      <c r="F15863"/>
      <c r="G15863"/>
      <c r="H15863"/>
      <c r="I15863"/>
    </row>
    <row r="15864" spans="6:9" x14ac:dyDescent="0.3">
      <c r="F15864"/>
      <c r="G15864"/>
      <c r="H15864"/>
      <c r="I15864"/>
    </row>
    <row r="15865" spans="6:9" x14ac:dyDescent="0.3">
      <c r="F15865"/>
      <c r="G15865"/>
      <c r="H15865"/>
      <c r="I15865"/>
    </row>
    <row r="15866" spans="6:9" x14ac:dyDescent="0.3">
      <c r="F15866"/>
      <c r="G15866"/>
      <c r="H15866"/>
      <c r="I15866"/>
    </row>
    <row r="15867" spans="6:9" x14ac:dyDescent="0.3">
      <c r="F15867"/>
      <c r="G15867"/>
      <c r="H15867"/>
      <c r="I15867"/>
    </row>
    <row r="15868" spans="6:9" x14ac:dyDescent="0.3">
      <c r="F15868"/>
      <c r="G15868"/>
      <c r="H15868"/>
      <c r="I15868"/>
    </row>
    <row r="15869" spans="6:9" x14ac:dyDescent="0.3">
      <c r="F15869"/>
      <c r="G15869"/>
      <c r="H15869"/>
      <c r="I15869"/>
    </row>
    <row r="15870" spans="6:9" x14ac:dyDescent="0.3">
      <c r="F15870"/>
      <c r="G15870"/>
      <c r="H15870"/>
      <c r="I15870"/>
    </row>
    <row r="15871" spans="6:9" x14ac:dyDescent="0.3">
      <c r="F15871"/>
      <c r="G15871"/>
      <c r="H15871"/>
      <c r="I15871"/>
    </row>
    <row r="15872" spans="6:9" x14ac:dyDescent="0.3">
      <c r="F15872"/>
      <c r="G15872"/>
      <c r="H15872"/>
      <c r="I15872"/>
    </row>
    <row r="15873" spans="6:9" x14ac:dyDescent="0.3">
      <c r="F15873"/>
      <c r="G15873"/>
      <c r="H15873"/>
      <c r="I15873"/>
    </row>
    <row r="15874" spans="6:9" x14ac:dyDescent="0.3">
      <c r="F15874"/>
      <c r="G15874"/>
      <c r="H15874"/>
      <c r="I15874"/>
    </row>
    <row r="15875" spans="6:9" x14ac:dyDescent="0.3">
      <c r="F15875"/>
      <c r="G15875"/>
      <c r="H15875"/>
      <c r="I15875"/>
    </row>
    <row r="15876" spans="6:9" x14ac:dyDescent="0.3">
      <c r="F15876"/>
      <c r="G15876"/>
      <c r="H15876"/>
      <c r="I15876"/>
    </row>
    <row r="15877" spans="6:9" x14ac:dyDescent="0.3">
      <c r="F15877"/>
      <c r="G15877"/>
      <c r="H15877"/>
      <c r="I15877"/>
    </row>
    <row r="15878" spans="6:9" x14ac:dyDescent="0.3">
      <c r="F15878"/>
      <c r="G15878"/>
      <c r="H15878"/>
      <c r="I15878"/>
    </row>
    <row r="15879" spans="6:9" x14ac:dyDescent="0.3">
      <c r="F15879"/>
      <c r="G15879"/>
      <c r="H15879"/>
      <c r="I15879"/>
    </row>
    <row r="15880" spans="6:9" x14ac:dyDescent="0.3">
      <c r="F15880"/>
      <c r="G15880"/>
      <c r="H15880"/>
      <c r="I15880"/>
    </row>
    <row r="15881" spans="6:9" x14ac:dyDescent="0.3">
      <c r="F15881"/>
      <c r="G15881"/>
      <c r="H15881"/>
      <c r="I15881"/>
    </row>
    <row r="15882" spans="6:9" x14ac:dyDescent="0.3">
      <c r="F15882"/>
      <c r="G15882"/>
      <c r="H15882"/>
      <c r="I15882"/>
    </row>
    <row r="15883" spans="6:9" x14ac:dyDescent="0.3">
      <c r="F15883"/>
      <c r="G15883"/>
      <c r="H15883"/>
      <c r="I15883"/>
    </row>
    <row r="15884" spans="6:9" x14ac:dyDescent="0.3">
      <c r="F15884"/>
      <c r="G15884"/>
      <c r="H15884"/>
      <c r="I15884"/>
    </row>
    <row r="15885" spans="6:9" x14ac:dyDescent="0.3">
      <c r="F15885"/>
      <c r="G15885"/>
      <c r="H15885"/>
      <c r="I15885"/>
    </row>
    <row r="15886" spans="6:9" x14ac:dyDescent="0.3">
      <c r="F15886"/>
      <c r="G15886"/>
      <c r="H15886"/>
      <c r="I15886"/>
    </row>
    <row r="15887" spans="6:9" x14ac:dyDescent="0.3">
      <c r="F15887"/>
      <c r="G15887"/>
      <c r="H15887"/>
      <c r="I15887"/>
    </row>
    <row r="15888" spans="6:9" x14ac:dyDescent="0.3">
      <c r="F15888"/>
      <c r="G15888"/>
      <c r="H15888"/>
      <c r="I15888"/>
    </row>
    <row r="15889" spans="6:9" x14ac:dyDescent="0.3">
      <c r="F15889"/>
      <c r="G15889"/>
      <c r="H15889"/>
      <c r="I15889"/>
    </row>
    <row r="15890" spans="6:9" x14ac:dyDescent="0.3">
      <c r="F15890"/>
      <c r="G15890"/>
      <c r="H15890"/>
      <c r="I15890"/>
    </row>
    <row r="15891" spans="6:9" x14ac:dyDescent="0.3">
      <c r="F15891"/>
      <c r="G15891"/>
      <c r="H15891"/>
      <c r="I15891"/>
    </row>
    <row r="15892" spans="6:9" x14ac:dyDescent="0.3">
      <c r="F15892"/>
      <c r="G15892"/>
      <c r="H15892"/>
      <c r="I15892"/>
    </row>
    <row r="15893" spans="6:9" x14ac:dyDescent="0.3">
      <c r="F15893"/>
      <c r="G15893"/>
      <c r="H15893"/>
      <c r="I15893"/>
    </row>
    <row r="15894" spans="6:9" x14ac:dyDescent="0.3">
      <c r="F15894"/>
      <c r="G15894"/>
      <c r="H15894"/>
      <c r="I15894"/>
    </row>
    <row r="15895" spans="6:9" x14ac:dyDescent="0.3">
      <c r="F15895"/>
      <c r="G15895"/>
      <c r="H15895"/>
      <c r="I15895"/>
    </row>
    <row r="15896" spans="6:9" x14ac:dyDescent="0.3">
      <c r="F15896"/>
      <c r="G15896"/>
      <c r="H15896"/>
      <c r="I15896"/>
    </row>
    <row r="15897" spans="6:9" x14ac:dyDescent="0.3">
      <c r="F15897"/>
      <c r="G15897"/>
      <c r="H15897"/>
      <c r="I15897"/>
    </row>
    <row r="15898" spans="6:9" x14ac:dyDescent="0.3">
      <c r="F15898"/>
      <c r="G15898"/>
      <c r="H15898"/>
      <c r="I15898"/>
    </row>
    <row r="15899" spans="6:9" x14ac:dyDescent="0.3">
      <c r="F15899"/>
      <c r="G15899"/>
      <c r="H15899"/>
      <c r="I15899"/>
    </row>
    <row r="15900" spans="6:9" x14ac:dyDescent="0.3">
      <c r="F15900"/>
      <c r="G15900"/>
      <c r="H15900"/>
      <c r="I15900"/>
    </row>
    <row r="15901" spans="6:9" x14ac:dyDescent="0.3">
      <c r="F15901"/>
      <c r="G15901"/>
      <c r="H15901"/>
      <c r="I15901"/>
    </row>
    <row r="15902" spans="6:9" x14ac:dyDescent="0.3">
      <c r="F15902"/>
      <c r="G15902"/>
      <c r="H15902"/>
      <c r="I15902"/>
    </row>
    <row r="15903" spans="6:9" x14ac:dyDescent="0.3">
      <c r="F15903"/>
      <c r="G15903"/>
      <c r="H15903"/>
      <c r="I15903"/>
    </row>
    <row r="15904" spans="6:9" x14ac:dyDescent="0.3">
      <c r="F15904"/>
      <c r="G15904"/>
      <c r="H15904"/>
      <c r="I15904"/>
    </row>
    <row r="15905" spans="6:9" x14ac:dyDescent="0.3">
      <c r="F15905"/>
      <c r="G15905"/>
      <c r="H15905"/>
      <c r="I15905"/>
    </row>
    <row r="15906" spans="6:9" x14ac:dyDescent="0.3">
      <c r="F15906"/>
      <c r="G15906"/>
      <c r="H15906"/>
      <c r="I15906"/>
    </row>
    <row r="15907" spans="6:9" x14ac:dyDescent="0.3">
      <c r="F15907"/>
      <c r="G15907"/>
      <c r="H15907"/>
      <c r="I15907"/>
    </row>
    <row r="15908" spans="6:9" x14ac:dyDescent="0.3">
      <c r="F15908"/>
      <c r="G15908"/>
      <c r="H15908"/>
      <c r="I15908"/>
    </row>
    <row r="15909" spans="6:9" x14ac:dyDescent="0.3">
      <c r="F15909"/>
      <c r="G15909"/>
      <c r="H15909"/>
      <c r="I15909"/>
    </row>
    <row r="15910" spans="6:9" x14ac:dyDescent="0.3">
      <c r="F15910"/>
      <c r="G15910"/>
      <c r="H15910"/>
      <c r="I15910"/>
    </row>
    <row r="15911" spans="6:9" x14ac:dyDescent="0.3">
      <c r="F15911"/>
      <c r="G15911"/>
      <c r="H15911"/>
      <c r="I15911"/>
    </row>
    <row r="15912" spans="6:9" x14ac:dyDescent="0.3">
      <c r="F15912"/>
      <c r="G15912"/>
      <c r="H15912"/>
      <c r="I15912"/>
    </row>
    <row r="15913" spans="6:9" x14ac:dyDescent="0.3">
      <c r="F15913"/>
      <c r="G15913"/>
      <c r="H15913"/>
      <c r="I15913"/>
    </row>
    <row r="15914" spans="6:9" x14ac:dyDescent="0.3">
      <c r="F15914"/>
      <c r="G15914"/>
      <c r="H15914"/>
      <c r="I15914"/>
    </row>
    <row r="15915" spans="6:9" x14ac:dyDescent="0.3">
      <c r="F15915"/>
      <c r="G15915"/>
      <c r="H15915"/>
      <c r="I15915"/>
    </row>
    <row r="15916" spans="6:9" x14ac:dyDescent="0.3">
      <c r="F15916"/>
      <c r="G15916"/>
      <c r="H15916"/>
      <c r="I15916"/>
    </row>
    <row r="15917" spans="6:9" x14ac:dyDescent="0.3">
      <c r="F15917"/>
      <c r="G15917"/>
      <c r="H15917"/>
      <c r="I15917"/>
    </row>
    <row r="15918" spans="6:9" x14ac:dyDescent="0.3">
      <c r="F15918"/>
      <c r="G15918"/>
      <c r="H15918"/>
      <c r="I15918"/>
    </row>
    <row r="15919" spans="6:9" x14ac:dyDescent="0.3">
      <c r="F15919"/>
      <c r="G15919"/>
      <c r="H15919"/>
      <c r="I15919"/>
    </row>
    <row r="15920" spans="6:9" x14ac:dyDescent="0.3">
      <c r="F15920"/>
      <c r="G15920"/>
      <c r="H15920"/>
      <c r="I15920"/>
    </row>
    <row r="15921" spans="6:9" x14ac:dyDescent="0.3">
      <c r="F15921"/>
      <c r="G15921"/>
      <c r="H15921"/>
      <c r="I15921"/>
    </row>
    <row r="15922" spans="6:9" x14ac:dyDescent="0.3">
      <c r="F15922"/>
      <c r="G15922"/>
      <c r="H15922"/>
      <c r="I15922"/>
    </row>
    <row r="15923" spans="6:9" x14ac:dyDescent="0.3">
      <c r="F15923"/>
      <c r="G15923"/>
      <c r="H15923"/>
      <c r="I15923"/>
    </row>
    <row r="15924" spans="6:9" x14ac:dyDescent="0.3">
      <c r="F15924"/>
      <c r="G15924"/>
      <c r="H15924"/>
      <c r="I15924"/>
    </row>
    <row r="15925" spans="6:9" x14ac:dyDescent="0.3">
      <c r="F15925"/>
      <c r="G15925"/>
      <c r="H15925"/>
      <c r="I15925"/>
    </row>
    <row r="15926" spans="6:9" x14ac:dyDescent="0.3">
      <c r="F15926"/>
      <c r="G15926"/>
      <c r="H15926"/>
      <c r="I15926"/>
    </row>
    <row r="15927" spans="6:9" x14ac:dyDescent="0.3">
      <c r="F15927"/>
      <c r="G15927"/>
      <c r="H15927"/>
      <c r="I15927"/>
    </row>
    <row r="15928" spans="6:9" x14ac:dyDescent="0.3">
      <c r="F15928"/>
      <c r="G15928"/>
      <c r="H15928"/>
      <c r="I15928"/>
    </row>
    <row r="15929" spans="6:9" x14ac:dyDescent="0.3">
      <c r="F15929"/>
      <c r="G15929"/>
      <c r="H15929"/>
      <c r="I15929"/>
    </row>
    <row r="15930" spans="6:9" x14ac:dyDescent="0.3">
      <c r="F15930"/>
      <c r="G15930"/>
      <c r="H15930"/>
      <c r="I15930"/>
    </row>
    <row r="15931" spans="6:9" x14ac:dyDescent="0.3">
      <c r="F15931"/>
      <c r="G15931"/>
      <c r="H15931"/>
      <c r="I15931"/>
    </row>
    <row r="15932" spans="6:9" x14ac:dyDescent="0.3">
      <c r="F15932"/>
      <c r="G15932"/>
      <c r="H15932"/>
      <c r="I15932"/>
    </row>
    <row r="15933" spans="6:9" x14ac:dyDescent="0.3">
      <c r="F15933"/>
      <c r="G15933"/>
      <c r="H15933"/>
      <c r="I15933"/>
    </row>
    <row r="15934" spans="6:9" x14ac:dyDescent="0.3">
      <c r="F15934"/>
      <c r="G15934"/>
      <c r="H15934"/>
      <c r="I15934"/>
    </row>
    <row r="15935" spans="6:9" x14ac:dyDescent="0.3">
      <c r="F15935"/>
      <c r="G15935"/>
      <c r="H15935"/>
      <c r="I15935"/>
    </row>
    <row r="15936" spans="6:9" x14ac:dyDescent="0.3">
      <c r="F15936"/>
      <c r="G15936"/>
      <c r="H15936"/>
      <c r="I15936"/>
    </row>
    <row r="15937" spans="6:9" x14ac:dyDescent="0.3">
      <c r="F15937"/>
      <c r="G15937"/>
      <c r="H15937"/>
      <c r="I15937"/>
    </row>
    <row r="15938" spans="6:9" x14ac:dyDescent="0.3">
      <c r="F15938"/>
      <c r="G15938"/>
      <c r="H15938"/>
      <c r="I15938"/>
    </row>
    <row r="15939" spans="6:9" x14ac:dyDescent="0.3">
      <c r="F15939"/>
      <c r="G15939"/>
      <c r="H15939"/>
      <c r="I15939"/>
    </row>
    <row r="15940" spans="6:9" x14ac:dyDescent="0.3">
      <c r="F15940"/>
      <c r="G15940"/>
      <c r="H15940"/>
      <c r="I15940"/>
    </row>
    <row r="15941" spans="6:9" x14ac:dyDescent="0.3">
      <c r="F15941"/>
      <c r="G15941"/>
      <c r="H15941"/>
      <c r="I15941"/>
    </row>
    <row r="15942" spans="6:9" x14ac:dyDescent="0.3">
      <c r="F15942"/>
      <c r="G15942"/>
      <c r="H15942"/>
      <c r="I15942"/>
    </row>
    <row r="15943" spans="6:9" x14ac:dyDescent="0.3">
      <c r="F15943"/>
      <c r="G15943"/>
      <c r="H15943"/>
      <c r="I15943"/>
    </row>
    <row r="15944" spans="6:9" x14ac:dyDescent="0.3">
      <c r="F15944"/>
      <c r="G15944"/>
      <c r="H15944"/>
      <c r="I15944"/>
    </row>
    <row r="15945" spans="6:9" x14ac:dyDescent="0.3">
      <c r="F15945"/>
      <c r="G15945"/>
      <c r="H15945"/>
      <c r="I15945"/>
    </row>
    <row r="15946" spans="6:9" x14ac:dyDescent="0.3">
      <c r="F15946"/>
      <c r="G15946"/>
      <c r="H15946"/>
      <c r="I15946"/>
    </row>
    <row r="15947" spans="6:9" x14ac:dyDescent="0.3">
      <c r="F15947"/>
      <c r="G15947"/>
      <c r="H15947"/>
      <c r="I15947"/>
    </row>
    <row r="15948" spans="6:9" x14ac:dyDescent="0.3">
      <c r="F15948"/>
      <c r="G15948"/>
      <c r="H15948"/>
      <c r="I15948"/>
    </row>
    <row r="15949" spans="6:9" x14ac:dyDescent="0.3">
      <c r="F15949"/>
      <c r="G15949"/>
      <c r="H15949"/>
      <c r="I15949"/>
    </row>
    <row r="15950" spans="6:9" x14ac:dyDescent="0.3">
      <c r="F15950"/>
      <c r="G15950"/>
      <c r="H15950"/>
      <c r="I15950"/>
    </row>
    <row r="15951" spans="6:9" x14ac:dyDescent="0.3">
      <c r="F15951"/>
      <c r="G15951"/>
      <c r="H15951"/>
      <c r="I15951"/>
    </row>
    <row r="15952" spans="6:9" x14ac:dyDescent="0.3">
      <c r="F15952"/>
      <c r="G15952"/>
      <c r="H15952"/>
      <c r="I15952"/>
    </row>
    <row r="15953" spans="6:9" x14ac:dyDescent="0.3">
      <c r="F15953"/>
      <c r="G15953"/>
      <c r="H15953"/>
      <c r="I15953"/>
    </row>
    <row r="15954" spans="6:9" x14ac:dyDescent="0.3">
      <c r="F15954"/>
      <c r="G15954"/>
      <c r="H15954"/>
      <c r="I15954"/>
    </row>
    <row r="15955" spans="6:9" x14ac:dyDescent="0.3">
      <c r="F15955"/>
      <c r="G15955"/>
      <c r="H15955"/>
      <c r="I15955"/>
    </row>
    <row r="15956" spans="6:9" x14ac:dyDescent="0.3">
      <c r="F15956"/>
      <c r="G15956"/>
      <c r="H15956"/>
      <c r="I15956"/>
    </row>
    <row r="15957" spans="6:9" x14ac:dyDescent="0.3">
      <c r="F15957"/>
      <c r="G15957"/>
      <c r="H15957"/>
      <c r="I15957"/>
    </row>
    <row r="15958" spans="6:9" x14ac:dyDescent="0.3">
      <c r="F15958"/>
      <c r="G15958"/>
      <c r="H15958"/>
      <c r="I15958"/>
    </row>
    <row r="15959" spans="6:9" x14ac:dyDescent="0.3">
      <c r="F15959"/>
      <c r="G15959"/>
      <c r="H15959"/>
      <c r="I15959"/>
    </row>
    <row r="15960" spans="6:9" x14ac:dyDescent="0.3">
      <c r="F15960"/>
      <c r="G15960"/>
      <c r="H15960"/>
      <c r="I15960"/>
    </row>
    <row r="15961" spans="6:9" x14ac:dyDescent="0.3">
      <c r="F15961"/>
      <c r="G15961"/>
      <c r="H15961"/>
      <c r="I15961"/>
    </row>
    <row r="15962" spans="6:9" x14ac:dyDescent="0.3">
      <c r="F15962"/>
      <c r="G15962"/>
      <c r="H15962"/>
      <c r="I15962"/>
    </row>
    <row r="15963" spans="6:9" x14ac:dyDescent="0.3">
      <c r="F15963"/>
      <c r="G15963"/>
      <c r="H15963"/>
      <c r="I15963"/>
    </row>
    <row r="15964" spans="6:9" x14ac:dyDescent="0.3">
      <c r="F15964"/>
      <c r="G15964"/>
      <c r="H15964"/>
      <c r="I15964"/>
    </row>
    <row r="15965" spans="6:9" x14ac:dyDescent="0.3">
      <c r="F15965"/>
      <c r="G15965"/>
      <c r="H15965"/>
      <c r="I15965"/>
    </row>
    <row r="15966" spans="6:9" x14ac:dyDescent="0.3">
      <c r="F15966"/>
      <c r="G15966"/>
      <c r="H15966"/>
      <c r="I15966"/>
    </row>
    <row r="15967" spans="6:9" x14ac:dyDescent="0.3">
      <c r="F15967"/>
      <c r="G15967"/>
      <c r="H15967"/>
      <c r="I15967"/>
    </row>
    <row r="15968" spans="6:9" x14ac:dyDescent="0.3">
      <c r="F15968"/>
      <c r="G15968"/>
      <c r="H15968"/>
      <c r="I15968"/>
    </row>
    <row r="15969" spans="6:9" x14ac:dyDescent="0.3">
      <c r="F15969"/>
      <c r="G15969"/>
      <c r="H15969"/>
      <c r="I15969"/>
    </row>
    <row r="15970" spans="6:9" x14ac:dyDescent="0.3">
      <c r="F15970"/>
      <c r="G15970"/>
      <c r="H15970"/>
      <c r="I15970"/>
    </row>
    <row r="15971" spans="6:9" x14ac:dyDescent="0.3">
      <c r="F15971"/>
      <c r="G15971"/>
      <c r="H15971"/>
      <c r="I15971"/>
    </row>
    <row r="15972" spans="6:9" x14ac:dyDescent="0.3">
      <c r="F15972"/>
      <c r="G15972"/>
      <c r="H15972"/>
      <c r="I15972"/>
    </row>
    <row r="15973" spans="6:9" x14ac:dyDescent="0.3">
      <c r="F15973"/>
      <c r="G15973"/>
      <c r="H15973"/>
      <c r="I15973"/>
    </row>
    <row r="15974" spans="6:9" x14ac:dyDescent="0.3">
      <c r="F15974"/>
      <c r="G15974"/>
      <c r="H15974"/>
      <c r="I15974"/>
    </row>
    <row r="15975" spans="6:9" x14ac:dyDescent="0.3">
      <c r="F15975"/>
      <c r="G15975"/>
      <c r="H15975"/>
      <c r="I15975"/>
    </row>
    <row r="15976" spans="6:9" x14ac:dyDescent="0.3">
      <c r="F15976"/>
      <c r="G15976"/>
      <c r="H15976"/>
      <c r="I15976"/>
    </row>
    <row r="15977" spans="6:9" x14ac:dyDescent="0.3">
      <c r="F15977"/>
      <c r="G15977"/>
      <c r="H15977"/>
      <c r="I15977"/>
    </row>
    <row r="15978" spans="6:9" x14ac:dyDescent="0.3">
      <c r="F15978"/>
      <c r="G15978"/>
      <c r="H15978"/>
      <c r="I15978"/>
    </row>
    <row r="15979" spans="6:9" x14ac:dyDescent="0.3">
      <c r="F15979"/>
      <c r="G15979"/>
      <c r="H15979"/>
      <c r="I15979"/>
    </row>
    <row r="15980" spans="6:9" x14ac:dyDescent="0.3">
      <c r="F15980"/>
      <c r="G15980"/>
      <c r="H15980"/>
      <c r="I15980"/>
    </row>
    <row r="15981" spans="6:9" x14ac:dyDescent="0.3">
      <c r="F15981"/>
      <c r="G15981"/>
      <c r="H15981"/>
      <c r="I15981"/>
    </row>
    <row r="15982" spans="6:9" x14ac:dyDescent="0.3">
      <c r="F15982"/>
      <c r="G15982"/>
      <c r="H15982"/>
      <c r="I15982"/>
    </row>
    <row r="15983" spans="6:9" x14ac:dyDescent="0.3">
      <c r="F15983"/>
      <c r="G15983"/>
      <c r="H15983"/>
      <c r="I15983"/>
    </row>
    <row r="15984" spans="6:9" x14ac:dyDescent="0.3">
      <c r="F15984"/>
      <c r="G15984"/>
      <c r="H15984"/>
      <c r="I15984"/>
    </row>
    <row r="15985" spans="6:9" x14ac:dyDescent="0.3">
      <c r="F15985"/>
      <c r="G15985"/>
      <c r="H15985"/>
      <c r="I15985"/>
    </row>
    <row r="15986" spans="6:9" x14ac:dyDescent="0.3">
      <c r="F15986"/>
      <c r="G15986"/>
      <c r="H15986"/>
      <c r="I15986"/>
    </row>
    <row r="15987" spans="6:9" x14ac:dyDescent="0.3">
      <c r="F15987"/>
      <c r="G15987"/>
      <c r="H15987"/>
      <c r="I15987"/>
    </row>
    <row r="15988" spans="6:9" x14ac:dyDescent="0.3">
      <c r="F15988"/>
      <c r="G15988"/>
      <c r="H15988"/>
      <c r="I15988"/>
    </row>
    <row r="15989" spans="6:9" x14ac:dyDescent="0.3">
      <c r="F15989"/>
      <c r="G15989"/>
      <c r="H15989"/>
      <c r="I15989"/>
    </row>
    <row r="15990" spans="6:9" x14ac:dyDescent="0.3">
      <c r="F15990"/>
      <c r="G15990"/>
      <c r="H15990"/>
      <c r="I15990"/>
    </row>
    <row r="15991" spans="6:9" x14ac:dyDescent="0.3">
      <c r="F15991"/>
      <c r="G15991"/>
      <c r="H15991"/>
      <c r="I15991"/>
    </row>
    <row r="15992" spans="6:9" x14ac:dyDescent="0.3">
      <c r="F15992"/>
      <c r="G15992"/>
      <c r="H15992"/>
      <c r="I15992"/>
    </row>
    <row r="15993" spans="6:9" x14ac:dyDescent="0.3">
      <c r="F15993"/>
      <c r="G15993"/>
      <c r="H15993"/>
      <c r="I15993"/>
    </row>
    <row r="15994" spans="6:9" x14ac:dyDescent="0.3">
      <c r="F15994"/>
      <c r="G15994"/>
      <c r="H15994"/>
      <c r="I15994"/>
    </row>
    <row r="15995" spans="6:9" x14ac:dyDescent="0.3">
      <c r="F15995"/>
      <c r="G15995"/>
      <c r="H15995"/>
      <c r="I15995"/>
    </row>
    <row r="15996" spans="6:9" x14ac:dyDescent="0.3">
      <c r="F15996"/>
      <c r="G15996"/>
      <c r="H15996"/>
      <c r="I15996"/>
    </row>
    <row r="15997" spans="6:9" x14ac:dyDescent="0.3">
      <c r="F15997"/>
      <c r="G15997"/>
      <c r="H15997"/>
      <c r="I15997"/>
    </row>
    <row r="15998" spans="6:9" x14ac:dyDescent="0.3">
      <c r="F15998"/>
      <c r="G15998"/>
      <c r="H15998"/>
      <c r="I15998"/>
    </row>
    <row r="15999" spans="6:9" x14ac:dyDescent="0.3">
      <c r="F15999"/>
      <c r="G15999"/>
      <c r="H15999"/>
      <c r="I15999"/>
    </row>
    <row r="16000" spans="6:9" x14ac:dyDescent="0.3">
      <c r="F16000"/>
      <c r="G16000"/>
      <c r="H16000"/>
      <c r="I16000"/>
    </row>
    <row r="16001" spans="6:9" x14ac:dyDescent="0.3">
      <c r="F16001"/>
      <c r="G16001"/>
      <c r="H16001"/>
      <c r="I16001"/>
    </row>
    <row r="16002" spans="6:9" x14ac:dyDescent="0.3">
      <c r="F16002"/>
      <c r="G16002"/>
      <c r="H16002"/>
      <c r="I16002"/>
    </row>
    <row r="16003" spans="6:9" x14ac:dyDescent="0.3">
      <c r="F16003"/>
      <c r="G16003"/>
      <c r="H16003"/>
      <c r="I16003"/>
    </row>
    <row r="16004" spans="6:9" x14ac:dyDescent="0.3">
      <c r="F16004"/>
      <c r="G16004"/>
      <c r="H16004"/>
      <c r="I16004"/>
    </row>
    <row r="16005" spans="6:9" x14ac:dyDescent="0.3">
      <c r="F16005"/>
      <c r="G16005"/>
      <c r="H16005"/>
      <c r="I16005"/>
    </row>
    <row r="16006" spans="6:9" x14ac:dyDescent="0.3">
      <c r="F16006"/>
      <c r="G16006"/>
      <c r="H16006"/>
      <c r="I16006"/>
    </row>
    <row r="16007" spans="6:9" x14ac:dyDescent="0.3">
      <c r="F16007"/>
      <c r="G16007"/>
      <c r="H16007"/>
      <c r="I16007"/>
    </row>
    <row r="16008" spans="6:9" x14ac:dyDescent="0.3">
      <c r="F16008"/>
      <c r="G16008"/>
      <c r="H16008"/>
      <c r="I16008"/>
    </row>
    <row r="16009" spans="6:9" x14ac:dyDescent="0.3">
      <c r="F16009"/>
      <c r="G16009"/>
      <c r="H16009"/>
      <c r="I16009"/>
    </row>
    <row r="16010" spans="6:9" x14ac:dyDescent="0.3">
      <c r="F16010"/>
      <c r="G16010"/>
      <c r="H16010"/>
      <c r="I16010"/>
    </row>
    <row r="16011" spans="6:9" x14ac:dyDescent="0.3">
      <c r="F16011"/>
      <c r="G16011"/>
      <c r="H16011"/>
      <c r="I16011"/>
    </row>
    <row r="16012" spans="6:9" x14ac:dyDescent="0.3">
      <c r="F16012"/>
      <c r="G16012"/>
      <c r="H16012"/>
      <c r="I16012"/>
    </row>
    <row r="16013" spans="6:9" x14ac:dyDescent="0.3">
      <c r="F16013"/>
      <c r="G16013"/>
      <c r="H16013"/>
      <c r="I16013"/>
    </row>
    <row r="16014" spans="6:9" x14ac:dyDescent="0.3">
      <c r="F16014"/>
      <c r="G16014"/>
      <c r="H16014"/>
      <c r="I16014"/>
    </row>
    <row r="16015" spans="6:9" x14ac:dyDescent="0.3">
      <c r="F16015"/>
      <c r="G16015"/>
      <c r="H16015"/>
      <c r="I16015"/>
    </row>
    <row r="16016" spans="6:9" x14ac:dyDescent="0.3">
      <c r="F16016"/>
      <c r="G16016"/>
      <c r="H16016"/>
      <c r="I16016"/>
    </row>
    <row r="16017" spans="6:9" x14ac:dyDescent="0.3">
      <c r="F16017"/>
      <c r="G16017"/>
      <c r="H16017"/>
      <c r="I16017"/>
    </row>
    <row r="16018" spans="6:9" x14ac:dyDescent="0.3">
      <c r="F16018"/>
      <c r="G16018"/>
      <c r="H16018"/>
      <c r="I16018"/>
    </row>
    <row r="16019" spans="6:9" x14ac:dyDescent="0.3">
      <c r="F16019"/>
      <c r="G16019"/>
      <c r="H16019"/>
      <c r="I16019"/>
    </row>
    <row r="16020" spans="6:9" x14ac:dyDescent="0.3">
      <c r="F16020"/>
      <c r="G16020"/>
      <c r="H16020"/>
      <c r="I16020"/>
    </row>
    <row r="16021" spans="6:9" x14ac:dyDescent="0.3">
      <c r="F16021"/>
      <c r="G16021"/>
      <c r="H16021"/>
      <c r="I16021"/>
    </row>
    <row r="16022" spans="6:9" x14ac:dyDescent="0.3">
      <c r="F16022"/>
      <c r="G16022"/>
      <c r="H16022"/>
      <c r="I16022"/>
    </row>
    <row r="16023" spans="6:9" x14ac:dyDescent="0.3">
      <c r="F16023"/>
      <c r="G16023"/>
      <c r="H16023"/>
      <c r="I16023"/>
    </row>
    <row r="16024" spans="6:9" x14ac:dyDescent="0.3">
      <c r="F16024"/>
      <c r="G16024"/>
      <c r="H16024"/>
      <c r="I16024"/>
    </row>
    <row r="16025" spans="6:9" x14ac:dyDescent="0.3">
      <c r="F16025"/>
      <c r="G16025"/>
      <c r="H16025"/>
      <c r="I16025"/>
    </row>
    <row r="16026" spans="6:9" x14ac:dyDescent="0.3">
      <c r="F16026"/>
      <c r="G16026"/>
      <c r="H16026"/>
      <c r="I16026"/>
    </row>
    <row r="16027" spans="6:9" x14ac:dyDescent="0.3">
      <c r="F16027"/>
      <c r="G16027"/>
      <c r="H16027"/>
      <c r="I16027"/>
    </row>
    <row r="16028" spans="6:9" x14ac:dyDescent="0.3">
      <c r="F16028"/>
      <c r="G16028"/>
      <c r="H16028"/>
      <c r="I16028"/>
    </row>
    <row r="16029" spans="6:9" x14ac:dyDescent="0.3">
      <c r="F16029"/>
      <c r="G16029"/>
      <c r="H16029"/>
      <c r="I16029"/>
    </row>
    <row r="16030" spans="6:9" x14ac:dyDescent="0.3">
      <c r="F16030"/>
      <c r="G16030"/>
      <c r="H16030"/>
      <c r="I16030"/>
    </row>
    <row r="16031" spans="6:9" x14ac:dyDescent="0.3">
      <c r="F16031"/>
      <c r="G16031"/>
      <c r="H16031"/>
      <c r="I16031"/>
    </row>
    <row r="16032" spans="6:9" x14ac:dyDescent="0.3">
      <c r="F16032"/>
      <c r="G16032"/>
      <c r="H16032"/>
      <c r="I16032"/>
    </row>
    <row r="16033" spans="6:9" x14ac:dyDescent="0.3">
      <c r="F16033"/>
      <c r="G16033"/>
      <c r="H16033"/>
      <c r="I16033"/>
    </row>
    <row r="16034" spans="6:9" x14ac:dyDescent="0.3">
      <c r="F16034"/>
      <c r="G16034"/>
      <c r="H16034"/>
      <c r="I16034"/>
    </row>
    <row r="16035" spans="6:9" x14ac:dyDescent="0.3">
      <c r="F16035"/>
      <c r="G16035"/>
      <c r="H16035"/>
      <c r="I16035"/>
    </row>
    <row r="16036" spans="6:9" x14ac:dyDescent="0.3">
      <c r="F16036"/>
      <c r="G16036"/>
      <c r="H16036"/>
      <c r="I16036"/>
    </row>
    <row r="16037" spans="6:9" x14ac:dyDescent="0.3">
      <c r="F16037"/>
      <c r="G16037"/>
      <c r="H16037"/>
      <c r="I16037"/>
    </row>
    <row r="16038" spans="6:9" x14ac:dyDescent="0.3">
      <c r="F16038"/>
      <c r="G16038"/>
      <c r="H16038"/>
      <c r="I16038"/>
    </row>
    <row r="16039" spans="6:9" x14ac:dyDescent="0.3">
      <c r="F16039"/>
      <c r="G16039"/>
      <c r="H16039"/>
      <c r="I16039"/>
    </row>
    <row r="16040" spans="6:9" x14ac:dyDescent="0.3">
      <c r="F16040"/>
      <c r="G16040"/>
      <c r="H16040"/>
      <c r="I16040"/>
    </row>
    <row r="16041" spans="6:9" x14ac:dyDescent="0.3">
      <c r="F16041"/>
      <c r="G16041"/>
      <c r="H16041"/>
      <c r="I16041"/>
    </row>
    <row r="16042" spans="6:9" x14ac:dyDescent="0.3">
      <c r="F16042"/>
      <c r="G16042"/>
      <c r="H16042"/>
      <c r="I16042"/>
    </row>
    <row r="16043" spans="6:9" x14ac:dyDescent="0.3">
      <c r="F16043"/>
      <c r="G16043"/>
      <c r="H16043"/>
      <c r="I16043"/>
    </row>
    <row r="16044" spans="6:9" x14ac:dyDescent="0.3">
      <c r="F16044"/>
      <c r="G16044"/>
      <c r="H16044"/>
      <c r="I16044"/>
    </row>
    <row r="16045" spans="6:9" x14ac:dyDescent="0.3">
      <c r="F16045"/>
      <c r="G16045"/>
      <c r="H16045"/>
      <c r="I16045"/>
    </row>
    <row r="16046" spans="6:9" x14ac:dyDescent="0.3">
      <c r="F16046"/>
      <c r="G16046"/>
      <c r="H16046"/>
      <c r="I16046"/>
    </row>
    <row r="16047" spans="6:9" x14ac:dyDescent="0.3">
      <c r="F16047"/>
      <c r="G16047"/>
      <c r="H16047"/>
      <c r="I16047"/>
    </row>
    <row r="16048" spans="6:9" x14ac:dyDescent="0.3">
      <c r="F16048"/>
      <c r="G16048"/>
      <c r="H16048"/>
      <c r="I16048"/>
    </row>
    <row r="16049" spans="6:9" x14ac:dyDescent="0.3">
      <c r="F16049"/>
      <c r="G16049"/>
      <c r="H16049"/>
      <c r="I16049"/>
    </row>
    <row r="16050" spans="6:9" x14ac:dyDescent="0.3">
      <c r="F16050"/>
      <c r="G16050"/>
      <c r="H16050"/>
      <c r="I16050"/>
    </row>
    <row r="16051" spans="6:9" x14ac:dyDescent="0.3">
      <c r="F16051"/>
      <c r="G16051"/>
      <c r="H16051"/>
      <c r="I16051"/>
    </row>
    <row r="16052" spans="6:9" x14ac:dyDescent="0.3">
      <c r="F16052"/>
      <c r="G16052"/>
      <c r="H16052"/>
      <c r="I16052"/>
    </row>
    <row r="16053" spans="6:9" x14ac:dyDescent="0.3">
      <c r="F16053"/>
      <c r="G16053"/>
      <c r="H16053"/>
      <c r="I16053"/>
    </row>
    <row r="16054" spans="6:9" x14ac:dyDescent="0.3">
      <c r="F16054"/>
      <c r="G16054"/>
      <c r="H16054"/>
      <c r="I16054"/>
    </row>
    <row r="16055" spans="6:9" x14ac:dyDescent="0.3">
      <c r="F16055"/>
      <c r="G16055"/>
      <c r="H16055"/>
      <c r="I16055"/>
    </row>
    <row r="16056" spans="6:9" x14ac:dyDescent="0.3">
      <c r="F16056"/>
      <c r="G16056"/>
      <c r="H16056"/>
      <c r="I16056"/>
    </row>
    <row r="16057" spans="6:9" x14ac:dyDescent="0.3">
      <c r="F16057"/>
      <c r="G16057"/>
      <c r="H16057"/>
      <c r="I16057"/>
    </row>
    <row r="16058" spans="6:9" x14ac:dyDescent="0.3">
      <c r="F16058"/>
      <c r="G16058"/>
      <c r="H16058"/>
      <c r="I16058"/>
    </row>
    <row r="16059" spans="6:9" x14ac:dyDescent="0.3">
      <c r="F16059"/>
      <c r="G16059"/>
      <c r="H16059"/>
      <c r="I16059"/>
    </row>
    <row r="16060" spans="6:9" x14ac:dyDescent="0.3">
      <c r="F16060"/>
      <c r="G16060"/>
      <c r="H16060"/>
      <c r="I16060"/>
    </row>
    <row r="16061" spans="6:9" x14ac:dyDescent="0.3">
      <c r="F16061"/>
      <c r="G16061"/>
      <c r="H16061"/>
      <c r="I16061"/>
    </row>
    <row r="16062" spans="6:9" x14ac:dyDescent="0.3">
      <c r="F16062"/>
      <c r="G16062"/>
      <c r="H16062"/>
      <c r="I16062"/>
    </row>
    <row r="16063" spans="6:9" x14ac:dyDescent="0.3">
      <c r="F16063"/>
      <c r="G16063"/>
      <c r="H16063"/>
      <c r="I16063"/>
    </row>
    <row r="16064" spans="6:9" x14ac:dyDescent="0.3">
      <c r="F16064"/>
      <c r="G16064"/>
      <c r="H16064"/>
      <c r="I16064"/>
    </row>
    <row r="16065" spans="6:9" x14ac:dyDescent="0.3">
      <c r="F16065"/>
      <c r="G16065"/>
      <c r="H16065"/>
      <c r="I16065"/>
    </row>
    <row r="16066" spans="6:9" x14ac:dyDescent="0.3">
      <c r="F16066"/>
      <c r="G16066"/>
      <c r="H16066"/>
      <c r="I16066"/>
    </row>
    <row r="16067" spans="6:9" x14ac:dyDescent="0.3">
      <c r="F16067"/>
      <c r="G16067"/>
      <c r="H16067"/>
      <c r="I16067"/>
    </row>
    <row r="16068" spans="6:9" x14ac:dyDescent="0.3">
      <c r="F16068"/>
      <c r="G16068"/>
      <c r="H16068"/>
      <c r="I16068"/>
    </row>
    <row r="16069" spans="6:9" x14ac:dyDescent="0.3">
      <c r="F16069"/>
      <c r="G16069"/>
      <c r="H16069"/>
      <c r="I16069"/>
    </row>
    <row r="16070" spans="6:9" x14ac:dyDescent="0.3">
      <c r="F16070"/>
      <c r="G16070"/>
      <c r="H16070"/>
      <c r="I16070"/>
    </row>
    <row r="16071" spans="6:9" x14ac:dyDescent="0.3">
      <c r="F16071"/>
      <c r="G16071"/>
      <c r="H16071"/>
      <c r="I16071"/>
    </row>
    <row r="16072" spans="6:9" x14ac:dyDescent="0.3">
      <c r="F16072"/>
      <c r="G16072"/>
      <c r="H16072"/>
      <c r="I16072"/>
    </row>
    <row r="16073" spans="6:9" x14ac:dyDescent="0.3">
      <c r="F16073"/>
      <c r="G16073"/>
      <c r="H16073"/>
      <c r="I16073"/>
    </row>
    <row r="16074" spans="6:9" x14ac:dyDescent="0.3">
      <c r="F16074"/>
      <c r="G16074"/>
      <c r="H16074"/>
      <c r="I16074"/>
    </row>
    <row r="16075" spans="6:9" x14ac:dyDescent="0.3">
      <c r="F16075"/>
      <c r="G16075"/>
      <c r="H16075"/>
      <c r="I16075"/>
    </row>
    <row r="16076" spans="6:9" x14ac:dyDescent="0.3">
      <c r="F16076"/>
      <c r="G16076"/>
      <c r="H16076"/>
      <c r="I16076"/>
    </row>
    <row r="16077" spans="6:9" x14ac:dyDescent="0.3">
      <c r="F16077"/>
      <c r="G16077"/>
      <c r="H16077"/>
      <c r="I16077"/>
    </row>
    <row r="16078" spans="6:9" x14ac:dyDescent="0.3">
      <c r="F16078"/>
      <c r="G16078"/>
      <c r="H16078"/>
      <c r="I16078"/>
    </row>
    <row r="16079" spans="6:9" x14ac:dyDescent="0.3">
      <c r="F16079"/>
      <c r="G16079"/>
      <c r="H16079"/>
      <c r="I16079"/>
    </row>
    <row r="16080" spans="6:9" x14ac:dyDescent="0.3">
      <c r="F16080"/>
      <c r="G16080"/>
      <c r="H16080"/>
      <c r="I16080"/>
    </row>
    <row r="16081" spans="6:9" x14ac:dyDescent="0.3">
      <c r="F16081"/>
      <c r="G16081"/>
      <c r="H16081"/>
      <c r="I16081"/>
    </row>
    <row r="16082" spans="6:9" x14ac:dyDescent="0.3">
      <c r="F16082"/>
      <c r="G16082"/>
      <c r="H16082"/>
      <c r="I16082"/>
    </row>
    <row r="16083" spans="6:9" x14ac:dyDescent="0.3">
      <c r="F16083"/>
      <c r="G16083"/>
      <c r="H16083"/>
      <c r="I16083"/>
    </row>
    <row r="16084" spans="6:9" x14ac:dyDescent="0.3">
      <c r="F16084"/>
      <c r="G16084"/>
      <c r="H16084"/>
      <c r="I16084"/>
    </row>
    <row r="16085" spans="6:9" x14ac:dyDescent="0.3">
      <c r="F16085"/>
      <c r="G16085"/>
      <c r="H16085"/>
      <c r="I16085"/>
    </row>
    <row r="16086" spans="6:9" x14ac:dyDescent="0.3">
      <c r="F16086"/>
      <c r="G16086"/>
      <c r="H16086"/>
      <c r="I16086"/>
    </row>
    <row r="16087" spans="6:9" x14ac:dyDescent="0.3">
      <c r="F16087"/>
      <c r="G16087"/>
      <c r="H16087"/>
      <c r="I16087"/>
    </row>
    <row r="16088" spans="6:9" x14ac:dyDescent="0.3">
      <c r="F16088"/>
      <c r="G16088"/>
      <c r="H16088"/>
      <c r="I16088"/>
    </row>
    <row r="16089" spans="6:9" x14ac:dyDescent="0.3">
      <c r="F16089"/>
      <c r="G16089"/>
      <c r="H16089"/>
      <c r="I16089"/>
    </row>
    <row r="16090" spans="6:9" x14ac:dyDescent="0.3">
      <c r="F16090"/>
      <c r="G16090"/>
      <c r="H16090"/>
      <c r="I16090"/>
    </row>
    <row r="16091" spans="6:9" x14ac:dyDescent="0.3">
      <c r="F16091"/>
      <c r="G16091"/>
      <c r="H16091"/>
      <c r="I16091"/>
    </row>
    <row r="16092" spans="6:9" x14ac:dyDescent="0.3">
      <c r="F16092"/>
      <c r="G16092"/>
      <c r="H16092"/>
      <c r="I16092"/>
    </row>
    <row r="16093" spans="6:9" x14ac:dyDescent="0.3">
      <c r="F16093"/>
      <c r="G16093"/>
      <c r="H16093"/>
      <c r="I16093"/>
    </row>
    <row r="16094" spans="6:9" x14ac:dyDescent="0.3">
      <c r="F16094"/>
      <c r="G16094"/>
      <c r="H16094"/>
      <c r="I16094"/>
    </row>
    <row r="16095" spans="6:9" x14ac:dyDescent="0.3">
      <c r="F16095"/>
      <c r="G16095"/>
      <c r="H16095"/>
      <c r="I16095"/>
    </row>
    <row r="16096" spans="6:9" x14ac:dyDescent="0.3">
      <c r="F16096"/>
      <c r="G16096"/>
      <c r="H16096"/>
      <c r="I16096"/>
    </row>
    <row r="16097" spans="6:9" x14ac:dyDescent="0.3">
      <c r="F16097"/>
      <c r="G16097"/>
      <c r="H16097"/>
      <c r="I16097"/>
    </row>
    <row r="16098" spans="6:9" x14ac:dyDescent="0.3">
      <c r="F16098"/>
      <c r="G16098"/>
      <c r="H16098"/>
      <c r="I16098"/>
    </row>
    <row r="16099" spans="6:9" x14ac:dyDescent="0.3">
      <c r="F16099"/>
      <c r="G16099"/>
      <c r="H16099"/>
      <c r="I16099"/>
    </row>
    <row r="16100" spans="6:9" x14ac:dyDescent="0.3">
      <c r="F16100"/>
      <c r="G16100"/>
      <c r="H16100"/>
      <c r="I16100"/>
    </row>
    <row r="16101" spans="6:9" x14ac:dyDescent="0.3">
      <c r="F16101"/>
      <c r="G16101"/>
      <c r="H16101"/>
      <c r="I16101"/>
    </row>
    <row r="16102" spans="6:9" x14ac:dyDescent="0.3">
      <c r="F16102"/>
      <c r="G16102"/>
      <c r="H16102"/>
      <c r="I16102"/>
    </row>
    <row r="16103" spans="6:9" x14ac:dyDescent="0.3">
      <c r="F16103"/>
      <c r="G16103"/>
      <c r="H16103"/>
      <c r="I16103"/>
    </row>
    <row r="16104" spans="6:9" x14ac:dyDescent="0.3">
      <c r="F16104"/>
      <c r="G16104"/>
      <c r="H16104"/>
      <c r="I16104"/>
    </row>
    <row r="16105" spans="6:9" x14ac:dyDescent="0.3">
      <c r="F16105"/>
      <c r="G16105"/>
      <c r="H16105"/>
      <c r="I16105"/>
    </row>
    <row r="16106" spans="6:9" x14ac:dyDescent="0.3">
      <c r="F16106"/>
      <c r="G16106"/>
      <c r="H16106"/>
      <c r="I16106"/>
    </row>
    <row r="16107" spans="6:9" x14ac:dyDescent="0.3">
      <c r="F16107"/>
      <c r="G16107"/>
      <c r="H16107"/>
      <c r="I16107"/>
    </row>
    <row r="16108" spans="6:9" x14ac:dyDescent="0.3">
      <c r="F16108"/>
      <c r="G16108"/>
      <c r="H16108"/>
      <c r="I16108"/>
    </row>
    <row r="16109" spans="6:9" x14ac:dyDescent="0.3">
      <c r="F16109"/>
      <c r="G16109"/>
      <c r="H16109"/>
      <c r="I16109"/>
    </row>
    <row r="16110" spans="6:9" x14ac:dyDescent="0.3">
      <c r="F16110"/>
      <c r="G16110"/>
      <c r="H16110"/>
      <c r="I16110"/>
    </row>
    <row r="16111" spans="6:9" x14ac:dyDescent="0.3">
      <c r="F16111"/>
      <c r="G16111"/>
      <c r="H16111"/>
      <c r="I16111"/>
    </row>
    <row r="16112" spans="6:9" x14ac:dyDescent="0.3">
      <c r="F16112"/>
      <c r="G16112"/>
      <c r="H16112"/>
      <c r="I16112"/>
    </row>
    <row r="16113" spans="6:9" x14ac:dyDescent="0.3">
      <c r="F16113"/>
      <c r="G16113"/>
      <c r="H16113"/>
      <c r="I16113"/>
    </row>
    <row r="16114" spans="6:9" x14ac:dyDescent="0.3">
      <c r="F16114"/>
      <c r="G16114"/>
      <c r="H16114"/>
      <c r="I16114"/>
    </row>
    <row r="16115" spans="6:9" x14ac:dyDescent="0.3">
      <c r="F16115"/>
      <c r="G16115"/>
      <c r="H16115"/>
      <c r="I16115"/>
    </row>
    <row r="16116" spans="6:9" x14ac:dyDescent="0.3">
      <c r="F16116"/>
      <c r="G16116"/>
      <c r="H16116"/>
      <c r="I16116"/>
    </row>
    <row r="16117" spans="6:9" x14ac:dyDescent="0.3">
      <c r="F16117"/>
      <c r="G16117"/>
      <c r="H16117"/>
      <c r="I16117"/>
    </row>
    <row r="16118" spans="6:9" x14ac:dyDescent="0.3">
      <c r="F16118"/>
      <c r="G16118"/>
      <c r="H16118"/>
      <c r="I16118"/>
    </row>
    <row r="16119" spans="6:9" x14ac:dyDescent="0.3">
      <c r="F16119"/>
      <c r="G16119"/>
      <c r="H16119"/>
      <c r="I16119"/>
    </row>
    <row r="16120" spans="6:9" x14ac:dyDescent="0.3">
      <c r="F16120"/>
      <c r="G16120"/>
      <c r="H16120"/>
      <c r="I16120"/>
    </row>
    <row r="16121" spans="6:9" x14ac:dyDescent="0.3">
      <c r="F16121"/>
      <c r="G16121"/>
      <c r="H16121"/>
      <c r="I16121"/>
    </row>
    <row r="16122" spans="6:9" x14ac:dyDescent="0.3">
      <c r="F16122"/>
      <c r="G16122"/>
      <c r="H16122"/>
      <c r="I16122"/>
    </row>
    <row r="16123" spans="6:9" x14ac:dyDescent="0.3">
      <c r="F16123"/>
      <c r="G16123"/>
      <c r="H16123"/>
      <c r="I16123"/>
    </row>
    <row r="16124" spans="6:9" x14ac:dyDescent="0.3">
      <c r="F16124"/>
      <c r="G16124"/>
      <c r="H16124"/>
      <c r="I16124"/>
    </row>
    <row r="16125" spans="6:9" x14ac:dyDescent="0.3">
      <c r="F16125"/>
      <c r="G16125"/>
      <c r="H16125"/>
      <c r="I16125"/>
    </row>
    <row r="16126" spans="6:9" x14ac:dyDescent="0.3">
      <c r="F16126"/>
      <c r="G16126"/>
      <c r="H16126"/>
      <c r="I16126"/>
    </row>
    <row r="16127" spans="6:9" x14ac:dyDescent="0.3">
      <c r="F16127"/>
      <c r="G16127"/>
      <c r="H16127"/>
      <c r="I16127"/>
    </row>
    <row r="16128" spans="6:9" x14ac:dyDescent="0.3">
      <c r="F16128"/>
      <c r="G16128"/>
      <c r="H16128"/>
      <c r="I16128"/>
    </row>
    <row r="16129" spans="6:9" x14ac:dyDescent="0.3">
      <c r="F16129"/>
      <c r="G16129"/>
      <c r="H16129"/>
      <c r="I16129"/>
    </row>
    <row r="16130" spans="6:9" x14ac:dyDescent="0.3">
      <c r="F16130"/>
      <c r="G16130"/>
      <c r="H16130"/>
      <c r="I16130"/>
    </row>
    <row r="16131" spans="6:9" x14ac:dyDescent="0.3">
      <c r="F16131"/>
      <c r="G16131"/>
      <c r="H16131"/>
      <c r="I16131"/>
    </row>
    <row r="16132" spans="6:9" x14ac:dyDescent="0.3">
      <c r="F16132"/>
      <c r="G16132"/>
      <c r="H16132"/>
      <c r="I16132"/>
    </row>
    <row r="16133" spans="6:9" x14ac:dyDescent="0.3">
      <c r="F16133"/>
      <c r="G16133"/>
      <c r="H16133"/>
      <c r="I16133"/>
    </row>
    <row r="16134" spans="6:9" x14ac:dyDescent="0.3">
      <c r="F16134"/>
      <c r="G16134"/>
      <c r="H16134"/>
      <c r="I16134"/>
    </row>
    <row r="16135" spans="6:9" x14ac:dyDescent="0.3">
      <c r="F16135"/>
      <c r="G16135"/>
      <c r="H16135"/>
      <c r="I16135"/>
    </row>
    <row r="16136" spans="6:9" x14ac:dyDescent="0.3">
      <c r="F16136"/>
      <c r="G16136"/>
      <c r="H16136"/>
      <c r="I16136"/>
    </row>
    <row r="16137" spans="6:9" x14ac:dyDescent="0.3">
      <c r="F16137"/>
      <c r="G16137"/>
      <c r="H16137"/>
      <c r="I16137"/>
    </row>
    <row r="16138" spans="6:9" x14ac:dyDescent="0.3">
      <c r="F16138"/>
      <c r="G16138"/>
      <c r="H16138"/>
      <c r="I16138"/>
    </row>
    <row r="16139" spans="6:9" x14ac:dyDescent="0.3">
      <c r="F16139"/>
      <c r="G16139"/>
      <c r="H16139"/>
      <c r="I16139"/>
    </row>
    <row r="16140" spans="6:9" x14ac:dyDescent="0.3">
      <c r="F16140"/>
      <c r="G16140"/>
      <c r="H16140"/>
      <c r="I16140"/>
    </row>
    <row r="16141" spans="6:9" x14ac:dyDescent="0.3">
      <c r="F16141"/>
      <c r="G16141"/>
      <c r="H16141"/>
      <c r="I16141"/>
    </row>
    <row r="16142" spans="6:9" x14ac:dyDescent="0.3">
      <c r="F16142"/>
      <c r="G16142"/>
      <c r="H16142"/>
      <c r="I16142"/>
    </row>
    <row r="16143" spans="6:9" x14ac:dyDescent="0.3">
      <c r="F16143"/>
      <c r="G16143"/>
      <c r="H16143"/>
      <c r="I16143"/>
    </row>
    <row r="16144" spans="6:9" x14ac:dyDescent="0.3">
      <c r="F16144"/>
      <c r="G16144"/>
      <c r="H16144"/>
      <c r="I16144"/>
    </row>
    <row r="16145" spans="6:9" x14ac:dyDescent="0.3">
      <c r="F16145"/>
      <c r="G16145"/>
      <c r="H16145"/>
      <c r="I16145"/>
    </row>
    <row r="16146" spans="6:9" x14ac:dyDescent="0.3">
      <c r="F16146"/>
      <c r="G16146"/>
      <c r="H16146"/>
      <c r="I16146"/>
    </row>
    <row r="16147" spans="6:9" x14ac:dyDescent="0.3">
      <c r="F16147"/>
      <c r="G16147"/>
      <c r="H16147"/>
      <c r="I16147"/>
    </row>
    <row r="16148" spans="6:9" x14ac:dyDescent="0.3">
      <c r="F16148"/>
      <c r="G16148"/>
      <c r="H16148"/>
      <c r="I16148"/>
    </row>
    <row r="16149" spans="6:9" x14ac:dyDescent="0.3">
      <c r="F16149"/>
      <c r="G16149"/>
      <c r="H16149"/>
      <c r="I16149"/>
    </row>
    <row r="16150" spans="6:9" x14ac:dyDescent="0.3">
      <c r="F16150"/>
      <c r="G16150"/>
      <c r="H16150"/>
      <c r="I16150"/>
    </row>
    <row r="16151" spans="6:9" x14ac:dyDescent="0.3">
      <c r="F16151"/>
      <c r="G16151"/>
      <c r="H16151"/>
      <c r="I16151"/>
    </row>
    <row r="16152" spans="6:9" x14ac:dyDescent="0.3">
      <c r="F16152"/>
      <c r="G16152"/>
      <c r="H16152"/>
      <c r="I16152"/>
    </row>
    <row r="16153" spans="6:9" x14ac:dyDescent="0.3">
      <c r="F16153"/>
      <c r="G16153"/>
      <c r="H16153"/>
      <c r="I16153"/>
    </row>
    <row r="16154" spans="6:9" x14ac:dyDescent="0.3">
      <c r="F16154"/>
      <c r="G16154"/>
      <c r="H16154"/>
      <c r="I16154"/>
    </row>
    <row r="16155" spans="6:9" x14ac:dyDescent="0.3">
      <c r="F16155"/>
      <c r="G16155"/>
      <c r="H16155"/>
      <c r="I16155"/>
    </row>
    <row r="16156" spans="6:9" x14ac:dyDescent="0.3">
      <c r="F16156"/>
      <c r="G16156"/>
      <c r="H16156"/>
      <c r="I16156"/>
    </row>
    <row r="16157" spans="6:9" x14ac:dyDescent="0.3">
      <c r="F16157"/>
      <c r="G16157"/>
      <c r="H16157"/>
      <c r="I16157"/>
    </row>
    <row r="16158" spans="6:9" x14ac:dyDescent="0.3">
      <c r="F16158"/>
      <c r="G16158"/>
      <c r="H16158"/>
      <c r="I16158"/>
    </row>
    <row r="16159" spans="6:9" x14ac:dyDescent="0.3">
      <c r="F16159"/>
      <c r="G16159"/>
      <c r="H16159"/>
      <c r="I16159"/>
    </row>
    <row r="16160" spans="6:9" x14ac:dyDescent="0.3">
      <c r="F16160"/>
      <c r="G16160"/>
      <c r="H16160"/>
      <c r="I16160"/>
    </row>
    <row r="16161" spans="6:9" x14ac:dyDescent="0.3">
      <c r="F16161"/>
      <c r="G16161"/>
      <c r="H16161"/>
      <c r="I16161"/>
    </row>
    <row r="16162" spans="6:9" x14ac:dyDescent="0.3">
      <c r="F16162"/>
      <c r="G16162"/>
      <c r="H16162"/>
      <c r="I16162"/>
    </row>
    <row r="16163" spans="6:9" x14ac:dyDescent="0.3">
      <c r="F16163"/>
      <c r="G16163"/>
      <c r="H16163"/>
      <c r="I16163"/>
    </row>
    <row r="16164" spans="6:9" x14ac:dyDescent="0.3">
      <c r="F16164"/>
      <c r="G16164"/>
      <c r="H16164"/>
      <c r="I16164"/>
    </row>
    <row r="16165" spans="6:9" x14ac:dyDescent="0.3">
      <c r="F16165"/>
      <c r="G16165"/>
      <c r="H16165"/>
      <c r="I16165"/>
    </row>
    <row r="16166" spans="6:9" x14ac:dyDescent="0.3">
      <c r="F16166"/>
      <c r="G16166"/>
      <c r="H16166"/>
      <c r="I16166"/>
    </row>
    <row r="16167" spans="6:9" x14ac:dyDescent="0.3">
      <c r="F16167"/>
      <c r="G16167"/>
      <c r="H16167"/>
      <c r="I16167"/>
    </row>
    <row r="16168" spans="6:9" x14ac:dyDescent="0.3">
      <c r="F16168"/>
      <c r="G16168"/>
      <c r="H16168"/>
      <c r="I16168"/>
    </row>
    <row r="16169" spans="6:9" x14ac:dyDescent="0.3">
      <c r="F16169"/>
      <c r="G16169"/>
      <c r="H16169"/>
      <c r="I16169"/>
    </row>
    <row r="16170" spans="6:9" x14ac:dyDescent="0.3">
      <c r="F16170"/>
      <c r="G16170"/>
      <c r="H16170"/>
      <c r="I16170"/>
    </row>
    <row r="16171" spans="6:9" x14ac:dyDescent="0.3">
      <c r="F16171"/>
      <c r="G16171"/>
      <c r="H16171"/>
      <c r="I16171"/>
    </row>
    <row r="16172" spans="6:9" x14ac:dyDescent="0.3">
      <c r="F16172"/>
      <c r="G16172"/>
      <c r="H16172"/>
      <c r="I16172"/>
    </row>
    <row r="16173" spans="6:9" x14ac:dyDescent="0.3">
      <c r="F16173"/>
      <c r="G16173"/>
      <c r="H16173"/>
      <c r="I16173"/>
    </row>
    <row r="16174" spans="6:9" x14ac:dyDescent="0.3">
      <c r="F16174"/>
      <c r="G16174"/>
      <c r="H16174"/>
      <c r="I16174"/>
    </row>
    <row r="16175" spans="6:9" x14ac:dyDescent="0.3">
      <c r="F16175"/>
      <c r="G16175"/>
      <c r="H16175"/>
      <c r="I16175"/>
    </row>
    <row r="16176" spans="6:9" x14ac:dyDescent="0.3">
      <c r="F16176"/>
      <c r="G16176"/>
      <c r="H16176"/>
      <c r="I16176"/>
    </row>
    <row r="16177" spans="6:9" x14ac:dyDescent="0.3">
      <c r="F16177"/>
      <c r="G16177"/>
      <c r="H16177"/>
      <c r="I16177"/>
    </row>
    <row r="16178" spans="6:9" x14ac:dyDescent="0.3">
      <c r="F16178"/>
      <c r="G16178"/>
      <c r="H16178"/>
      <c r="I16178"/>
    </row>
    <row r="16179" spans="6:9" x14ac:dyDescent="0.3">
      <c r="F16179"/>
      <c r="G16179"/>
      <c r="H16179"/>
      <c r="I16179"/>
    </row>
    <row r="16180" spans="6:9" x14ac:dyDescent="0.3">
      <c r="F16180"/>
      <c r="G16180"/>
      <c r="H16180"/>
      <c r="I16180"/>
    </row>
    <row r="16181" spans="6:9" x14ac:dyDescent="0.3">
      <c r="F16181"/>
      <c r="G16181"/>
      <c r="H16181"/>
      <c r="I16181"/>
    </row>
    <row r="16182" spans="6:9" x14ac:dyDescent="0.3">
      <c r="F16182"/>
      <c r="G16182"/>
      <c r="H16182"/>
      <c r="I16182"/>
    </row>
    <row r="16183" spans="6:9" x14ac:dyDescent="0.3">
      <c r="F16183"/>
      <c r="G16183"/>
      <c r="H16183"/>
      <c r="I16183"/>
    </row>
    <row r="16184" spans="6:9" x14ac:dyDescent="0.3">
      <c r="F16184"/>
      <c r="G16184"/>
      <c r="H16184"/>
      <c r="I16184"/>
    </row>
    <row r="16185" spans="6:9" x14ac:dyDescent="0.3">
      <c r="F16185"/>
      <c r="G16185"/>
      <c r="H16185"/>
      <c r="I16185"/>
    </row>
    <row r="16186" spans="6:9" x14ac:dyDescent="0.3">
      <c r="F16186"/>
      <c r="G16186"/>
      <c r="H16186"/>
      <c r="I16186"/>
    </row>
    <row r="16187" spans="6:9" x14ac:dyDescent="0.3">
      <c r="F16187"/>
      <c r="G16187"/>
      <c r="H16187"/>
      <c r="I16187"/>
    </row>
    <row r="16188" spans="6:9" x14ac:dyDescent="0.3">
      <c r="F16188"/>
      <c r="G16188"/>
      <c r="H16188"/>
      <c r="I16188"/>
    </row>
    <row r="16189" spans="6:9" x14ac:dyDescent="0.3">
      <c r="F16189"/>
      <c r="G16189"/>
      <c r="H16189"/>
      <c r="I16189"/>
    </row>
    <row r="16190" spans="6:9" x14ac:dyDescent="0.3">
      <c r="F16190"/>
      <c r="G16190"/>
      <c r="H16190"/>
      <c r="I16190"/>
    </row>
    <row r="16191" spans="6:9" x14ac:dyDescent="0.3">
      <c r="F16191"/>
      <c r="G16191"/>
      <c r="H16191"/>
      <c r="I16191"/>
    </row>
    <row r="16192" spans="6:9" x14ac:dyDescent="0.3">
      <c r="F16192"/>
      <c r="G16192"/>
      <c r="H16192"/>
      <c r="I16192"/>
    </row>
    <row r="16193" spans="6:9" x14ac:dyDescent="0.3">
      <c r="F16193"/>
      <c r="G16193"/>
      <c r="H16193"/>
      <c r="I16193"/>
    </row>
    <row r="16194" spans="6:9" x14ac:dyDescent="0.3">
      <c r="F16194"/>
      <c r="G16194"/>
      <c r="H16194"/>
      <c r="I16194"/>
    </row>
    <row r="16195" spans="6:9" x14ac:dyDescent="0.3">
      <c r="F16195"/>
      <c r="G16195"/>
      <c r="H16195"/>
      <c r="I16195"/>
    </row>
    <row r="16196" spans="6:9" x14ac:dyDescent="0.3">
      <c r="F16196"/>
      <c r="G16196"/>
      <c r="H16196"/>
      <c r="I16196"/>
    </row>
    <row r="16197" spans="6:9" x14ac:dyDescent="0.3">
      <c r="F16197"/>
      <c r="G16197"/>
      <c r="H16197"/>
      <c r="I16197"/>
    </row>
    <row r="16198" spans="6:9" x14ac:dyDescent="0.3">
      <c r="F16198"/>
      <c r="G16198"/>
      <c r="H16198"/>
      <c r="I16198"/>
    </row>
    <row r="16199" spans="6:9" x14ac:dyDescent="0.3">
      <c r="F16199"/>
      <c r="G16199"/>
      <c r="H16199"/>
      <c r="I16199"/>
    </row>
    <row r="16200" spans="6:9" x14ac:dyDescent="0.3">
      <c r="F16200"/>
      <c r="G16200"/>
      <c r="H16200"/>
      <c r="I16200"/>
    </row>
    <row r="16201" spans="6:9" x14ac:dyDescent="0.3">
      <c r="F16201"/>
      <c r="G16201"/>
      <c r="H16201"/>
      <c r="I16201"/>
    </row>
    <row r="16202" spans="6:9" x14ac:dyDescent="0.3">
      <c r="F16202"/>
      <c r="G16202"/>
      <c r="H16202"/>
      <c r="I16202"/>
    </row>
    <row r="16203" spans="6:9" x14ac:dyDescent="0.3">
      <c r="F16203"/>
      <c r="G16203"/>
      <c r="H16203"/>
      <c r="I16203"/>
    </row>
    <row r="16204" spans="6:9" x14ac:dyDescent="0.3">
      <c r="F16204"/>
      <c r="G16204"/>
      <c r="H16204"/>
      <c r="I16204"/>
    </row>
    <row r="16205" spans="6:9" x14ac:dyDescent="0.3">
      <c r="F16205"/>
      <c r="G16205"/>
      <c r="H16205"/>
      <c r="I16205"/>
    </row>
    <row r="16206" spans="6:9" x14ac:dyDescent="0.3">
      <c r="F16206"/>
      <c r="G16206"/>
      <c r="H16206"/>
      <c r="I16206"/>
    </row>
    <row r="16207" spans="6:9" x14ac:dyDescent="0.3">
      <c r="F16207"/>
      <c r="G16207"/>
      <c r="H16207"/>
      <c r="I16207"/>
    </row>
    <row r="16208" spans="6:9" x14ac:dyDescent="0.3">
      <c r="F16208"/>
      <c r="G16208"/>
      <c r="H16208"/>
      <c r="I16208"/>
    </row>
    <row r="16209" spans="6:9" x14ac:dyDescent="0.3">
      <c r="F16209"/>
      <c r="G16209"/>
      <c r="H16209"/>
      <c r="I16209"/>
    </row>
    <row r="16210" spans="6:9" x14ac:dyDescent="0.3">
      <c r="F16210"/>
      <c r="G16210"/>
      <c r="H16210"/>
      <c r="I16210"/>
    </row>
    <row r="16211" spans="6:9" x14ac:dyDescent="0.3">
      <c r="F16211"/>
      <c r="G16211"/>
      <c r="H16211"/>
      <c r="I16211"/>
    </row>
    <row r="16212" spans="6:9" x14ac:dyDescent="0.3">
      <c r="F16212"/>
      <c r="G16212"/>
      <c r="H16212"/>
      <c r="I16212"/>
    </row>
    <row r="16213" spans="6:9" x14ac:dyDescent="0.3">
      <c r="F16213"/>
      <c r="G16213"/>
      <c r="H16213"/>
      <c r="I16213"/>
    </row>
    <row r="16214" spans="6:9" x14ac:dyDescent="0.3">
      <c r="F16214"/>
      <c r="G16214"/>
      <c r="H16214"/>
      <c r="I16214"/>
    </row>
    <row r="16215" spans="6:9" x14ac:dyDescent="0.3">
      <c r="F16215"/>
      <c r="G16215"/>
      <c r="H16215"/>
      <c r="I16215"/>
    </row>
    <row r="16216" spans="6:9" x14ac:dyDescent="0.3">
      <c r="F16216"/>
      <c r="G16216"/>
      <c r="H16216"/>
      <c r="I16216"/>
    </row>
    <row r="16217" spans="6:9" x14ac:dyDescent="0.3">
      <c r="F16217"/>
      <c r="G16217"/>
      <c r="H16217"/>
      <c r="I16217"/>
    </row>
    <row r="16218" spans="6:9" x14ac:dyDescent="0.3">
      <c r="F16218"/>
      <c r="G16218"/>
      <c r="H16218"/>
      <c r="I16218"/>
    </row>
    <row r="16219" spans="6:9" x14ac:dyDescent="0.3">
      <c r="F16219"/>
      <c r="G16219"/>
      <c r="H16219"/>
      <c r="I16219"/>
    </row>
    <row r="16220" spans="6:9" x14ac:dyDescent="0.3">
      <c r="F16220"/>
      <c r="G16220"/>
      <c r="H16220"/>
      <c r="I16220"/>
    </row>
    <row r="16221" spans="6:9" x14ac:dyDescent="0.3">
      <c r="F16221"/>
      <c r="G16221"/>
      <c r="H16221"/>
      <c r="I16221"/>
    </row>
    <row r="16222" spans="6:9" x14ac:dyDescent="0.3">
      <c r="F16222"/>
      <c r="G16222"/>
      <c r="H16222"/>
      <c r="I16222"/>
    </row>
    <row r="16223" spans="6:9" x14ac:dyDescent="0.3">
      <c r="F16223"/>
      <c r="G16223"/>
      <c r="H16223"/>
      <c r="I16223"/>
    </row>
    <row r="16224" spans="6:9" x14ac:dyDescent="0.3">
      <c r="F16224"/>
      <c r="G16224"/>
      <c r="H16224"/>
      <c r="I16224"/>
    </row>
    <row r="16225" spans="6:9" x14ac:dyDescent="0.3">
      <c r="F16225"/>
      <c r="G16225"/>
      <c r="H16225"/>
      <c r="I16225"/>
    </row>
    <row r="16226" spans="6:9" x14ac:dyDescent="0.3">
      <c r="F16226"/>
      <c r="G16226"/>
      <c r="H16226"/>
      <c r="I16226"/>
    </row>
    <row r="16227" spans="6:9" x14ac:dyDescent="0.3">
      <c r="F16227"/>
      <c r="G16227"/>
      <c r="H16227"/>
      <c r="I16227"/>
    </row>
    <row r="16228" spans="6:9" x14ac:dyDescent="0.3">
      <c r="F16228"/>
      <c r="G16228"/>
      <c r="H16228"/>
      <c r="I16228"/>
    </row>
    <row r="16229" spans="6:9" x14ac:dyDescent="0.3">
      <c r="F16229"/>
      <c r="G16229"/>
      <c r="H16229"/>
      <c r="I16229"/>
    </row>
    <row r="16230" spans="6:9" x14ac:dyDescent="0.3">
      <c r="F16230"/>
      <c r="G16230"/>
      <c r="H16230"/>
      <c r="I16230"/>
    </row>
    <row r="16231" spans="6:9" x14ac:dyDescent="0.3">
      <c r="F16231"/>
      <c r="G16231"/>
      <c r="H16231"/>
      <c r="I16231"/>
    </row>
    <row r="16232" spans="6:9" x14ac:dyDescent="0.3">
      <c r="F16232"/>
      <c r="G16232"/>
      <c r="H16232"/>
      <c r="I16232"/>
    </row>
    <row r="16233" spans="6:9" x14ac:dyDescent="0.3">
      <c r="F16233"/>
      <c r="G16233"/>
      <c r="H16233"/>
      <c r="I16233"/>
    </row>
    <row r="16234" spans="6:9" x14ac:dyDescent="0.3">
      <c r="F16234"/>
      <c r="G16234"/>
      <c r="H16234"/>
      <c r="I16234"/>
    </row>
    <row r="16235" spans="6:9" x14ac:dyDescent="0.3">
      <c r="F16235"/>
      <c r="G16235"/>
      <c r="H16235"/>
      <c r="I16235"/>
    </row>
    <row r="16236" spans="6:9" x14ac:dyDescent="0.3">
      <c r="F16236"/>
      <c r="G16236"/>
      <c r="H16236"/>
      <c r="I16236"/>
    </row>
    <row r="16237" spans="6:9" x14ac:dyDescent="0.3">
      <c r="F16237"/>
      <c r="G16237"/>
      <c r="H16237"/>
      <c r="I16237"/>
    </row>
    <row r="16238" spans="6:9" x14ac:dyDescent="0.3">
      <c r="F16238"/>
      <c r="G16238"/>
      <c r="H16238"/>
      <c r="I16238"/>
    </row>
    <row r="16239" spans="6:9" x14ac:dyDescent="0.3">
      <c r="F16239"/>
      <c r="G16239"/>
      <c r="H16239"/>
      <c r="I16239"/>
    </row>
    <row r="16240" spans="6:9" x14ac:dyDescent="0.3">
      <c r="F16240"/>
      <c r="G16240"/>
      <c r="H16240"/>
      <c r="I16240"/>
    </row>
    <row r="16241" spans="6:9" x14ac:dyDescent="0.3">
      <c r="F16241"/>
      <c r="G16241"/>
      <c r="H16241"/>
      <c r="I16241"/>
    </row>
    <row r="16242" spans="6:9" x14ac:dyDescent="0.3">
      <c r="F16242"/>
      <c r="G16242"/>
      <c r="H16242"/>
      <c r="I16242"/>
    </row>
    <row r="16243" spans="6:9" x14ac:dyDescent="0.3">
      <c r="F16243"/>
      <c r="G16243"/>
      <c r="H16243"/>
      <c r="I16243"/>
    </row>
    <row r="16244" spans="6:9" x14ac:dyDescent="0.3">
      <c r="F16244"/>
      <c r="G16244"/>
      <c r="H16244"/>
      <c r="I16244"/>
    </row>
    <row r="16245" spans="6:9" x14ac:dyDescent="0.3">
      <c r="F16245"/>
      <c r="G16245"/>
      <c r="H16245"/>
      <c r="I16245"/>
    </row>
    <row r="16246" spans="6:9" x14ac:dyDescent="0.3">
      <c r="F16246"/>
      <c r="G16246"/>
      <c r="H16246"/>
      <c r="I16246"/>
    </row>
    <row r="16247" spans="6:9" x14ac:dyDescent="0.3">
      <c r="F16247"/>
      <c r="G16247"/>
      <c r="H16247"/>
      <c r="I16247"/>
    </row>
    <row r="16248" spans="6:9" x14ac:dyDescent="0.3">
      <c r="F16248"/>
      <c r="G16248"/>
      <c r="H16248"/>
      <c r="I16248"/>
    </row>
    <row r="16249" spans="6:9" x14ac:dyDescent="0.3">
      <c r="F16249"/>
      <c r="G16249"/>
      <c r="H16249"/>
      <c r="I16249"/>
    </row>
    <row r="16250" spans="6:9" x14ac:dyDescent="0.3">
      <c r="F16250"/>
      <c r="G16250"/>
      <c r="H16250"/>
      <c r="I16250"/>
    </row>
    <row r="16251" spans="6:9" x14ac:dyDescent="0.3">
      <c r="F16251"/>
      <c r="G16251"/>
      <c r="H16251"/>
      <c r="I16251"/>
    </row>
    <row r="16252" spans="6:9" x14ac:dyDescent="0.3">
      <c r="F16252"/>
      <c r="G16252"/>
      <c r="H16252"/>
      <c r="I16252"/>
    </row>
    <row r="16253" spans="6:9" x14ac:dyDescent="0.3">
      <c r="F16253"/>
      <c r="G16253"/>
      <c r="H16253"/>
      <c r="I16253"/>
    </row>
    <row r="16254" spans="6:9" x14ac:dyDescent="0.3">
      <c r="F16254"/>
      <c r="G16254"/>
      <c r="H16254"/>
      <c r="I16254"/>
    </row>
    <row r="16255" spans="6:9" x14ac:dyDescent="0.3">
      <c r="F16255"/>
      <c r="G16255"/>
      <c r="H16255"/>
      <c r="I16255"/>
    </row>
    <row r="16256" spans="6:9" x14ac:dyDescent="0.3">
      <c r="F16256"/>
      <c r="G16256"/>
      <c r="H16256"/>
      <c r="I16256"/>
    </row>
    <row r="16257" spans="6:9" x14ac:dyDescent="0.3">
      <c r="F16257"/>
      <c r="G16257"/>
      <c r="H16257"/>
      <c r="I16257"/>
    </row>
    <row r="16258" spans="6:9" x14ac:dyDescent="0.3">
      <c r="F16258"/>
      <c r="G16258"/>
      <c r="H16258"/>
      <c r="I16258"/>
    </row>
    <row r="16259" spans="6:9" x14ac:dyDescent="0.3">
      <c r="F16259"/>
      <c r="G16259"/>
      <c r="H16259"/>
      <c r="I16259"/>
    </row>
    <row r="16260" spans="6:9" x14ac:dyDescent="0.3">
      <c r="F16260"/>
      <c r="G16260"/>
      <c r="H16260"/>
      <c r="I16260"/>
    </row>
    <row r="16261" spans="6:9" x14ac:dyDescent="0.3">
      <c r="F16261"/>
      <c r="G16261"/>
      <c r="H16261"/>
      <c r="I16261"/>
    </row>
    <row r="16262" spans="6:9" x14ac:dyDescent="0.3">
      <c r="F16262"/>
      <c r="G16262"/>
      <c r="H16262"/>
      <c r="I16262"/>
    </row>
    <row r="16263" spans="6:9" x14ac:dyDescent="0.3">
      <c r="F16263"/>
      <c r="G16263"/>
      <c r="H16263"/>
      <c r="I16263"/>
    </row>
    <row r="16264" spans="6:9" x14ac:dyDescent="0.3">
      <c r="F16264"/>
      <c r="G16264"/>
      <c r="H16264"/>
      <c r="I16264"/>
    </row>
    <row r="16265" spans="6:9" x14ac:dyDescent="0.3">
      <c r="F16265"/>
      <c r="G16265"/>
      <c r="H16265"/>
      <c r="I16265"/>
    </row>
    <row r="16266" spans="6:9" x14ac:dyDescent="0.3">
      <c r="F16266"/>
      <c r="G16266"/>
      <c r="H16266"/>
      <c r="I16266"/>
    </row>
    <row r="16267" spans="6:9" x14ac:dyDescent="0.3">
      <c r="F16267"/>
      <c r="G16267"/>
      <c r="H16267"/>
      <c r="I16267"/>
    </row>
    <row r="16268" spans="6:9" x14ac:dyDescent="0.3">
      <c r="F16268"/>
      <c r="G16268"/>
      <c r="H16268"/>
      <c r="I16268"/>
    </row>
    <row r="16269" spans="6:9" x14ac:dyDescent="0.3">
      <c r="F16269"/>
      <c r="G16269"/>
      <c r="H16269"/>
      <c r="I16269"/>
    </row>
    <row r="16270" spans="6:9" x14ac:dyDescent="0.3">
      <c r="F16270"/>
      <c r="G16270"/>
      <c r="H16270"/>
      <c r="I16270"/>
    </row>
    <row r="16271" spans="6:9" x14ac:dyDescent="0.3">
      <c r="F16271"/>
      <c r="G16271"/>
      <c r="H16271"/>
      <c r="I16271"/>
    </row>
    <row r="16272" spans="6:9" x14ac:dyDescent="0.3">
      <c r="F16272"/>
      <c r="G16272"/>
      <c r="H16272"/>
      <c r="I16272"/>
    </row>
    <row r="16273" spans="6:9" x14ac:dyDescent="0.3">
      <c r="F16273"/>
      <c r="G16273"/>
      <c r="H16273"/>
      <c r="I16273"/>
    </row>
    <row r="16274" spans="6:9" x14ac:dyDescent="0.3">
      <c r="F16274"/>
      <c r="G16274"/>
      <c r="H16274"/>
      <c r="I16274"/>
    </row>
    <row r="16275" spans="6:9" x14ac:dyDescent="0.3">
      <c r="F16275"/>
      <c r="G16275"/>
      <c r="H16275"/>
      <c r="I16275"/>
    </row>
    <row r="16276" spans="6:9" x14ac:dyDescent="0.3">
      <c r="F16276"/>
      <c r="G16276"/>
      <c r="H16276"/>
      <c r="I16276"/>
    </row>
    <row r="16277" spans="6:9" x14ac:dyDescent="0.3">
      <c r="F16277"/>
      <c r="G16277"/>
      <c r="H16277"/>
      <c r="I16277"/>
    </row>
    <row r="16278" spans="6:9" x14ac:dyDescent="0.3">
      <c r="F16278"/>
      <c r="G16278"/>
      <c r="H16278"/>
      <c r="I16278"/>
    </row>
    <row r="16279" spans="6:9" x14ac:dyDescent="0.3">
      <c r="F16279"/>
      <c r="G16279"/>
      <c r="H16279"/>
      <c r="I16279"/>
    </row>
    <row r="16280" spans="6:9" x14ac:dyDescent="0.3">
      <c r="F16280"/>
      <c r="G16280"/>
      <c r="H16280"/>
      <c r="I16280"/>
    </row>
    <row r="16281" spans="6:9" x14ac:dyDescent="0.3">
      <c r="F16281"/>
      <c r="G16281"/>
      <c r="H16281"/>
      <c r="I16281"/>
    </row>
    <row r="16282" spans="6:9" x14ac:dyDescent="0.3">
      <c r="F16282"/>
      <c r="G16282"/>
      <c r="H16282"/>
      <c r="I16282"/>
    </row>
    <row r="16283" spans="6:9" x14ac:dyDescent="0.3">
      <c r="F16283"/>
      <c r="G16283"/>
      <c r="H16283"/>
      <c r="I16283"/>
    </row>
    <row r="16284" spans="6:9" x14ac:dyDescent="0.3">
      <c r="F16284"/>
      <c r="G16284"/>
      <c r="H16284"/>
      <c r="I16284"/>
    </row>
    <row r="16285" spans="6:9" x14ac:dyDescent="0.3">
      <c r="F16285"/>
      <c r="G16285"/>
      <c r="H16285"/>
      <c r="I16285"/>
    </row>
    <row r="16286" spans="6:9" x14ac:dyDescent="0.3">
      <c r="F16286"/>
      <c r="G16286"/>
      <c r="H16286"/>
      <c r="I16286"/>
    </row>
    <row r="16287" spans="6:9" x14ac:dyDescent="0.3">
      <c r="F16287"/>
      <c r="G16287"/>
      <c r="H16287"/>
      <c r="I16287"/>
    </row>
    <row r="16288" spans="6:9" x14ac:dyDescent="0.3">
      <c r="F16288"/>
      <c r="G16288"/>
      <c r="H16288"/>
      <c r="I16288"/>
    </row>
    <row r="16289" spans="6:9" x14ac:dyDescent="0.3">
      <c r="F16289"/>
      <c r="G16289"/>
      <c r="H16289"/>
      <c r="I16289"/>
    </row>
    <row r="16290" spans="6:9" x14ac:dyDescent="0.3">
      <c r="F16290"/>
      <c r="G16290"/>
      <c r="H16290"/>
      <c r="I16290"/>
    </row>
    <row r="16291" spans="6:9" x14ac:dyDescent="0.3">
      <c r="F16291"/>
      <c r="G16291"/>
      <c r="H16291"/>
      <c r="I16291"/>
    </row>
    <row r="16292" spans="6:9" x14ac:dyDescent="0.3">
      <c r="F16292"/>
      <c r="G16292"/>
      <c r="H16292"/>
      <c r="I16292"/>
    </row>
    <row r="16293" spans="6:9" x14ac:dyDescent="0.3">
      <c r="F16293"/>
      <c r="G16293"/>
      <c r="H16293"/>
      <c r="I16293"/>
    </row>
    <row r="16294" spans="6:9" x14ac:dyDescent="0.3">
      <c r="F16294"/>
      <c r="G16294"/>
      <c r="H16294"/>
      <c r="I16294"/>
    </row>
    <row r="16295" spans="6:9" x14ac:dyDescent="0.3">
      <c r="F16295"/>
      <c r="G16295"/>
      <c r="H16295"/>
      <c r="I16295"/>
    </row>
    <row r="16296" spans="6:9" x14ac:dyDescent="0.3">
      <c r="F16296"/>
      <c r="G16296"/>
      <c r="H16296"/>
      <c r="I16296"/>
    </row>
    <row r="16297" spans="6:9" x14ac:dyDescent="0.3">
      <c r="F16297"/>
      <c r="G16297"/>
      <c r="H16297"/>
      <c r="I16297"/>
    </row>
    <row r="16298" spans="6:9" x14ac:dyDescent="0.3">
      <c r="F16298"/>
      <c r="G16298"/>
      <c r="H16298"/>
      <c r="I16298"/>
    </row>
    <row r="16299" spans="6:9" x14ac:dyDescent="0.3">
      <c r="F16299"/>
      <c r="G16299"/>
      <c r="H16299"/>
      <c r="I16299"/>
    </row>
    <row r="16300" spans="6:9" x14ac:dyDescent="0.3">
      <c r="F16300"/>
      <c r="G16300"/>
      <c r="H16300"/>
      <c r="I16300"/>
    </row>
    <row r="16301" spans="6:9" x14ac:dyDescent="0.3">
      <c r="F16301"/>
      <c r="G16301"/>
      <c r="H16301"/>
      <c r="I16301"/>
    </row>
    <row r="16302" spans="6:9" x14ac:dyDescent="0.3">
      <c r="F16302"/>
      <c r="G16302"/>
      <c r="H16302"/>
      <c r="I16302"/>
    </row>
    <row r="16303" spans="6:9" x14ac:dyDescent="0.3">
      <c r="F16303"/>
      <c r="G16303"/>
      <c r="H16303"/>
      <c r="I16303"/>
    </row>
    <row r="16304" spans="6:9" x14ac:dyDescent="0.3">
      <c r="F16304"/>
      <c r="G16304"/>
      <c r="H16304"/>
      <c r="I16304"/>
    </row>
    <row r="16305" spans="6:9" x14ac:dyDescent="0.3">
      <c r="F16305"/>
      <c r="G16305"/>
      <c r="H16305"/>
      <c r="I16305"/>
    </row>
    <row r="16306" spans="6:9" x14ac:dyDescent="0.3">
      <c r="F16306"/>
      <c r="G16306"/>
      <c r="H16306"/>
      <c r="I16306"/>
    </row>
    <row r="16307" spans="6:9" x14ac:dyDescent="0.3">
      <c r="F16307"/>
      <c r="G16307"/>
      <c r="H16307"/>
      <c r="I16307"/>
    </row>
    <row r="16308" spans="6:9" x14ac:dyDescent="0.3">
      <c r="F16308"/>
      <c r="G16308"/>
      <c r="H16308"/>
      <c r="I16308"/>
    </row>
    <row r="16309" spans="6:9" x14ac:dyDescent="0.3">
      <c r="F16309"/>
      <c r="G16309"/>
      <c r="H16309"/>
      <c r="I16309"/>
    </row>
    <row r="16310" spans="6:9" x14ac:dyDescent="0.3">
      <c r="F16310"/>
      <c r="G16310"/>
      <c r="H16310"/>
      <c r="I16310"/>
    </row>
    <row r="16311" spans="6:9" x14ac:dyDescent="0.3">
      <c r="F16311"/>
      <c r="G16311"/>
      <c r="H16311"/>
      <c r="I16311"/>
    </row>
    <row r="16312" spans="6:9" x14ac:dyDescent="0.3">
      <c r="F16312"/>
      <c r="G16312"/>
      <c r="H16312"/>
      <c r="I16312"/>
    </row>
    <row r="16313" spans="6:9" x14ac:dyDescent="0.3">
      <c r="F16313"/>
      <c r="G16313"/>
      <c r="H16313"/>
      <c r="I16313"/>
    </row>
    <row r="16314" spans="6:9" x14ac:dyDescent="0.3">
      <c r="F16314"/>
      <c r="G16314"/>
      <c r="H16314"/>
      <c r="I16314"/>
    </row>
    <row r="16315" spans="6:9" x14ac:dyDescent="0.3">
      <c r="F16315"/>
      <c r="G16315"/>
      <c r="H16315"/>
      <c r="I16315"/>
    </row>
    <row r="16316" spans="6:9" x14ac:dyDescent="0.3">
      <c r="F16316"/>
      <c r="G16316"/>
      <c r="H16316"/>
      <c r="I16316"/>
    </row>
    <row r="16317" spans="6:9" x14ac:dyDescent="0.3">
      <c r="F16317"/>
      <c r="G16317"/>
      <c r="H16317"/>
      <c r="I16317"/>
    </row>
    <row r="16318" spans="6:9" x14ac:dyDescent="0.3">
      <c r="F16318"/>
      <c r="G16318"/>
      <c r="H16318"/>
      <c r="I16318"/>
    </row>
    <row r="16319" spans="6:9" x14ac:dyDescent="0.3">
      <c r="F16319"/>
      <c r="G16319"/>
      <c r="H16319"/>
      <c r="I16319"/>
    </row>
    <row r="16320" spans="6:9" x14ac:dyDescent="0.3">
      <c r="F16320"/>
      <c r="G16320"/>
      <c r="H16320"/>
      <c r="I16320"/>
    </row>
    <row r="16321" spans="6:9" x14ac:dyDescent="0.3">
      <c r="F16321"/>
      <c r="G16321"/>
      <c r="H16321"/>
      <c r="I16321"/>
    </row>
    <row r="16322" spans="6:9" x14ac:dyDescent="0.3">
      <c r="F16322"/>
      <c r="G16322"/>
      <c r="H16322"/>
      <c r="I16322"/>
    </row>
    <row r="16323" spans="6:9" x14ac:dyDescent="0.3">
      <c r="F16323"/>
      <c r="G16323"/>
      <c r="H16323"/>
      <c r="I16323"/>
    </row>
    <row r="16324" spans="6:9" x14ac:dyDescent="0.3">
      <c r="F16324"/>
      <c r="G16324"/>
      <c r="H16324"/>
      <c r="I16324"/>
    </row>
    <row r="16325" spans="6:9" x14ac:dyDescent="0.3">
      <c r="F16325"/>
      <c r="G16325"/>
      <c r="H16325"/>
      <c r="I16325"/>
    </row>
    <row r="16326" spans="6:9" x14ac:dyDescent="0.3">
      <c r="F16326"/>
      <c r="G16326"/>
      <c r="H16326"/>
      <c r="I16326"/>
    </row>
    <row r="16327" spans="6:9" x14ac:dyDescent="0.3">
      <c r="F16327"/>
      <c r="G16327"/>
      <c r="H16327"/>
      <c r="I16327"/>
    </row>
    <row r="16328" spans="6:9" x14ac:dyDescent="0.3">
      <c r="F16328"/>
      <c r="G16328"/>
      <c r="H16328"/>
      <c r="I16328"/>
    </row>
    <row r="16329" spans="6:9" x14ac:dyDescent="0.3">
      <c r="F16329"/>
      <c r="G16329"/>
      <c r="H16329"/>
      <c r="I16329"/>
    </row>
    <row r="16330" spans="6:9" x14ac:dyDescent="0.3">
      <c r="F16330"/>
      <c r="G16330"/>
      <c r="H16330"/>
      <c r="I16330"/>
    </row>
    <row r="16331" spans="6:9" x14ac:dyDescent="0.3">
      <c r="F16331"/>
      <c r="G16331"/>
      <c r="H16331"/>
      <c r="I16331"/>
    </row>
    <row r="16332" spans="6:9" x14ac:dyDescent="0.3">
      <c r="F16332"/>
      <c r="G16332"/>
      <c r="H16332"/>
      <c r="I16332"/>
    </row>
    <row r="16333" spans="6:9" x14ac:dyDescent="0.3">
      <c r="F16333"/>
      <c r="G16333"/>
      <c r="H16333"/>
      <c r="I16333"/>
    </row>
    <row r="16334" spans="6:9" x14ac:dyDescent="0.3">
      <c r="F16334"/>
      <c r="G16334"/>
      <c r="H16334"/>
      <c r="I16334"/>
    </row>
    <row r="16335" spans="6:9" x14ac:dyDescent="0.3">
      <c r="F16335"/>
      <c r="G16335"/>
      <c r="H16335"/>
      <c r="I16335"/>
    </row>
    <row r="16336" spans="6:9" x14ac:dyDescent="0.3">
      <c r="F16336"/>
      <c r="G16336"/>
      <c r="H16336"/>
      <c r="I16336"/>
    </row>
    <row r="16337" spans="6:9" x14ac:dyDescent="0.3">
      <c r="F16337"/>
      <c r="G16337"/>
      <c r="H16337"/>
      <c r="I16337"/>
    </row>
    <row r="16338" spans="6:9" x14ac:dyDescent="0.3">
      <c r="F16338"/>
      <c r="G16338"/>
      <c r="H16338"/>
      <c r="I16338"/>
    </row>
    <row r="16339" spans="6:9" x14ac:dyDescent="0.3">
      <c r="F16339"/>
      <c r="G16339"/>
      <c r="H16339"/>
      <c r="I16339"/>
    </row>
    <row r="16340" spans="6:9" x14ac:dyDescent="0.3">
      <c r="F16340"/>
      <c r="G16340"/>
      <c r="H16340"/>
      <c r="I16340"/>
    </row>
    <row r="16341" spans="6:9" x14ac:dyDescent="0.3">
      <c r="F16341"/>
      <c r="G16341"/>
      <c r="H16341"/>
      <c r="I16341"/>
    </row>
    <row r="16342" spans="6:9" x14ac:dyDescent="0.3">
      <c r="F16342"/>
      <c r="G16342"/>
      <c r="H16342"/>
      <c r="I16342"/>
    </row>
    <row r="16343" spans="6:9" x14ac:dyDescent="0.3">
      <c r="F16343"/>
      <c r="G16343"/>
      <c r="H16343"/>
      <c r="I16343"/>
    </row>
    <row r="16344" spans="6:9" x14ac:dyDescent="0.3">
      <c r="F16344"/>
      <c r="G16344"/>
      <c r="H16344"/>
      <c r="I16344"/>
    </row>
    <row r="16345" spans="6:9" x14ac:dyDescent="0.3">
      <c r="F16345"/>
      <c r="G16345"/>
      <c r="H16345"/>
      <c r="I16345"/>
    </row>
    <row r="16346" spans="6:9" x14ac:dyDescent="0.3">
      <c r="F16346"/>
      <c r="G16346"/>
      <c r="H16346"/>
      <c r="I16346"/>
    </row>
    <row r="16347" spans="6:9" x14ac:dyDescent="0.3">
      <c r="F16347"/>
      <c r="G16347"/>
      <c r="H16347"/>
      <c r="I16347"/>
    </row>
    <row r="16348" spans="6:9" x14ac:dyDescent="0.3">
      <c r="F16348"/>
      <c r="G16348"/>
      <c r="H16348"/>
      <c r="I16348"/>
    </row>
    <row r="16349" spans="6:9" x14ac:dyDescent="0.3">
      <c r="F16349"/>
      <c r="G16349"/>
      <c r="H16349"/>
      <c r="I16349"/>
    </row>
    <row r="16350" spans="6:9" x14ac:dyDescent="0.3">
      <c r="F16350"/>
      <c r="G16350"/>
      <c r="H16350"/>
      <c r="I16350"/>
    </row>
    <row r="16351" spans="6:9" x14ac:dyDescent="0.3">
      <c r="F16351"/>
      <c r="G16351"/>
      <c r="H16351"/>
      <c r="I16351"/>
    </row>
    <row r="16352" spans="6:9" x14ac:dyDescent="0.3">
      <c r="F16352"/>
      <c r="G16352"/>
      <c r="H16352"/>
      <c r="I16352"/>
    </row>
    <row r="16353" spans="6:9" x14ac:dyDescent="0.3">
      <c r="F16353"/>
      <c r="G16353"/>
      <c r="H16353"/>
      <c r="I16353"/>
    </row>
    <row r="16354" spans="6:9" x14ac:dyDescent="0.3">
      <c r="F16354"/>
      <c r="G16354"/>
      <c r="H16354"/>
      <c r="I16354"/>
    </row>
    <row r="16355" spans="6:9" x14ac:dyDescent="0.3">
      <c r="F16355"/>
      <c r="G16355"/>
      <c r="H16355"/>
      <c r="I16355"/>
    </row>
    <row r="16356" spans="6:9" x14ac:dyDescent="0.3">
      <c r="F16356"/>
      <c r="G16356"/>
      <c r="H16356"/>
      <c r="I16356"/>
    </row>
    <row r="16357" spans="6:9" x14ac:dyDescent="0.3">
      <c r="F16357"/>
      <c r="G16357"/>
      <c r="H16357"/>
      <c r="I16357"/>
    </row>
    <row r="16358" spans="6:9" x14ac:dyDescent="0.3">
      <c r="F16358"/>
      <c r="G16358"/>
      <c r="H16358"/>
      <c r="I16358"/>
    </row>
    <row r="16359" spans="6:9" x14ac:dyDescent="0.3">
      <c r="F16359"/>
      <c r="G16359"/>
      <c r="H16359"/>
      <c r="I16359"/>
    </row>
    <row r="16360" spans="6:9" x14ac:dyDescent="0.3">
      <c r="F16360"/>
      <c r="G16360"/>
      <c r="H16360"/>
      <c r="I16360"/>
    </row>
    <row r="16361" spans="6:9" x14ac:dyDescent="0.3">
      <c r="F16361"/>
      <c r="G16361"/>
      <c r="H16361"/>
      <c r="I16361"/>
    </row>
    <row r="16362" spans="6:9" x14ac:dyDescent="0.3">
      <c r="F16362"/>
      <c r="G16362"/>
      <c r="H16362"/>
      <c r="I16362"/>
    </row>
    <row r="16363" spans="6:9" x14ac:dyDescent="0.3">
      <c r="F16363"/>
      <c r="G16363"/>
      <c r="H16363"/>
      <c r="I16363"/>
    </row>
    <row r="16364" spans="6:9" x14ac:dyDescent="0.3">
      <c r="F16364"/>
      <c r="G16364"/>
      <c r="H16364"/>
      <c r="I16364"/>
    </row>
    <row r="16365" spans="6:9" x14ac:dyDescent="0.3">
      <c r="F16365"/>
      <c r="G16365"/>
      <c r="H16365"/>
      <c r="I16365"/>
    </row>
    <row r="16366" spans="6:9" x14ac:dyDescent="0.3">
      <c r="F16366"/>
      <c r="G16366"/>
      <c r="H16366"/>
      <c r="I16366"/>
    </row>
    <row r="16367" spans="6:9" x14ac:dyDescent="0.3">
      <c r="F16367"/>
      <c r="G16367"/>
      <c r="H16367"/>
      <c r="I16367"/>
    </row>
    <row r="16368" spans="6:9" x14ac:dyDescent="0.3">
      <c r="F16368"/>
      <c r="G16368"/>
      <c r="H16368"/>
      <c r="I16368"/>
    </row>
    <row r="16369" spans="6:9" x14ac:dyDescent="0.3">
      <c r="F16369"/>
      <c r="G16369"/>
      <c r="H16369"/>
      <c r="I16369"/>
    </row>
    <row r="16370" spans="6:9" x14ac:dyDescent="0.3">
      <c r="F16370"/>
      <c r="G16370"/>
      <c r="H16370"/>
      <c r="I16370"/>
    </row>
    <row r="16371" spans="6:9" x14ac:dyDescent="0.3">
      <c r="F16371"/>
      <c r="G16371"/>
      <c r="H16371"/>
      <c r="I16371"/>
    </row>
    <row r="16372" spans="6:9" x14ac:dyDescent="0.3">
      <c r="F16372"/>
      <c r="G16372"/>
      <c r="H16372"/>
      <c r="I16372"/>
    </row>
    <row r="16373" spans="6:9" x14ac:dyDescent="0.3">
      <c r="F16373"/>
      <c r="G16373"/>
      <c r="H16373"/>
      <c r="I16373"/>
    </row>
    <row r="16374" spans="6:9" x14ac:dyDescent="0.3">
      <c r="F16374"/>
      <c r="G16374"/>
      <c r="H16374"/>
      <c r="I16374"/>
    </row>
    <row r="16375" spans="6:9" x14ac:dyDescent="0.3">
      <c r="F16375"/>
      <c r="G16375"/>
      <c r="H16375"/>
      <c r="I16375"/>
    </row>
    <row r="16376" spans="6:9" x14ac:dyDescent="0.3">
      <c r="F16376"/>
      <c r="G16376"/>
      <c r="H16376"/>
      <c r="I16376"/>
    </row>
    <row r="16377" spans="6:9" x14ac:dyDescent="0.3">
      <c r="F16377"/>
      <c r="G16377"/>
      <c r="H16377"/>
      <c r="I16377"/>
    </row>
    <row r="16378" spans="6:9" x14ac:dyDescent="0.3">
      <c r="F16378"/>
      <c r="G16378"/>
      <c r="H16378"/>
      <c r="I16378"/>
    </row>
    <row r="16379" spans="6:9" x14ac:dyDescent="0.3">
      <c r="F16379"/>
      <c r="G16379"/>
      <c r="H16379"/>
      <c r="I16379"/>
    </row>
    <row r="16380" spans="6:9" x14ac:dyDescent="0.3">
      <c r="F16380"/>
      <c r="G16380"/>
      <c r="H16380"/>
      <c r="I16380"/>
    </row>
    <row r="16381" spans="6:9" x14ac:dyDescent="0.3">
      <c r="F16381"/>
      <c r="G16381"/>
      <c r="H16381"/>
      <c r="I16381"/>
    </row>
    <row r="16382" spans="6:9" x14ac:dyDescent="0.3">
      <c r="F16382"/>
      <c r="G16382"/>
      <c r="H16382"/>
      <c r="I16382"/>
    </row>
    <row r="16383" spans="6:9" x14ac:dyDescent="0.3">
      <c r="F16383"/>
      <c r="G16383"/>
      <c r="H16383"/>
      <c r="I16383"/>
    </row>
    <row r="16384" spans="6:9" x14ac:dyDescent="0.3">
      <c r="F16384"/>
      <c r="G16384"/>
      <c r="H16384"/>
      <c r="I16384"/>
    </row>
    <row r="16385" spans="6:9" x14ac:dyDescent="0.3">
      <c r="F16385"/>
      <c r="G16385"/>
      <c r="H16385"/>
      <c r="I16385"/>
    </row>
    <row r="16386" spans="6:9" x14ac:dyDescent="0.3">
      <c r="F16386"/>
      <c r="G16386"/>
      <c r="H16386"/>
      <c r="I16386"/>
    </row>
    <row r="16387" spans="6:9" x14ac:dyDescent="0.3">
      <c r="F16387"/>
      <c r="G16387"/>
      <c r="H16387"/>
      <c r="I16387"/>
    </row>
    <row r="16388" spans="6:9" x14ac:dyDescent="0.3">
      <c r="F16388"/>
      <c r="G16388"/>
      <c r="H16388"/>
      <c r="I16388"/>
    </row>
    <row r="16389" spans="6:9" x14ac:dyDescent="0.3">
      <c r="F16389"/>
      <c r="G16389"/>
      <c r="H16389"/>
      <c r="I16389"/>
    </row>
    <row r="16390" spans="6:9" x14ac:dyDescent="0.3">
      <c r="F16390"/>
      <c r="G16390"/>
      <c r="H16390"/>
      <c r="I16390"/>
    </row>
    <row r="16391" spans="6:9" x14ac:dyDescent="0.3">
      <c r="F16391"/>
      <c r="G16391"/>
      <c r="H16391"/>
      <c r="I16391"/>
    </row>
    <row r="16392" spans="6:9" x14ac:dyDescent="0.3">
      <c r="F16392"/>
      <c r="G16392"/>
      <c r="H16392"/>
      <c r="I16392"/>
    </row>
    <row r="16393" spans="6:9" x14ac:dyDescent="0.3">
      <c r="F16393"/>
      <c r="G16393"/>
      <c r="H16393"/>
      <c r="I16393"/>
    </row>
    <row r="16394" spans="6:9" x14ac:dyDescent="0.3">
      <c r="F16394"/>
      <c r="G16394"/>
      <c r="H16394"/>
      <c r="I16394"/>
    </row>
    <row r="16395" spans="6:9" x14ac:dyDescent="0.3">
      <c r="F16395"/>
      <c r="G16395"/>
      <c r="H16395"/>
      <c r="I16395"/>
    </row>
    <row r="16396" spans="6:9" x14ac:dyDescent="0.3">
      <c r="F16396"/>
      <c r="G16396"/>
      <c r="H16396"/>
      <c r="I16396"/>
    </row>
    <row r="16397" spans="6:9" x14ac:dyDescent="0.3">
      <c r="F16397"/>
      <c r="G16397"/>
      <c r="H16397"/>
      <c r="I16397"/>
    </row>
    <row r="16398" spans="6:9" x14ac:dyDescent="0.3">
      <c r="F16398"/>
      <c r="G16398"/>
      <c r="H16398"/>
      <c r="I16398"/>
    </row>
    <row r="16399" spans="6:9" x14ac:dyDescent="0.3">
      <c r="F16399"/>
      <c r="G16399"/>
      <c r="H16399"/>
      <c r="I16399"/>
    </row>
    <row r="16400" spans="6:9" x14ac:dyDescent="0.3">
      <c r="F16400"/>
      <c r="G16400"/>
      <c r="H16400"/>
      <c r="I16400"/>
    </row>
    <row r="16401" spans="6:9" x14ac:dyDescent="0.3">
      <c r="F16401"/>
      <c r="G16401"/>
      <c r="H16401"/>
      <c r="I16401"/>
    </row>
    <row r="16402" spans="6:9" x14ac:dyDescent="0.3">
      <c r="F16402"/>
      <c r="G16402"/>
      <c r="H16402"/>
      <c r="I16402"/>
    </row>
    <row r="16403" spans="6:9" x14ac:dyDescent="0.3">
      <c r="F16403"/>
      <c r="G16403"/>
      <c r="H16403"/>
      <c r="I16403"/>
    </row>
    <row r="16404" spans="6:9" x14ac:dyDescent="0.3">
      <c r="F16404"/>
      <c r="G16404"/>
      <c r="H16404"/>
      <c r="I16404"/>
    </row>
    <row r="16405" spans="6:9" x14ac:dyDescent="0.3">
      <c r="F16405"/>
      <c r="G16405"/>
      <c r="H16405"/>
      <c r="I16405"/>
    </row>
    <row r="16406" spans="6:9" x14ac:dyDescent="0.3">
      <c r="F16406"/>
      <c r="G16406"/>
      <c r="H16406"/>
      <c r="I16406"/>
    </row>
    <row r="16407" spans="6:9" x14ac:dyDescent="0.3">
      <c r="F16407"/>
      <c r="G16407"/>
      <c r="H16407"/>
      <c r="I16407"/>
    </row>
    <row r="16408" spans="6:9" x14ac:dyDescent="0.3">
      <c r="F16408"/>
      <c r="G16408"/>
      <c r="H16408"/>
      <c r="I16408"/>
    </row>
    <row r="16409" spans="6:9" x14ac:dyDescent="0.3">
      <c r="F16409"/>
      <c r="G16409"/>
      <c r="H16409"/>
      <c r="I16409"/>
    </row>
    <row r="16410" spans="6:9" x14ac:dyDescent="0.3">
      <c r="F16410"/>
      <c r="G16410"/>
      <c r="H16410"/>
      <c r="I16410"/>
    </row>
    <row r="16411" spans="6:9" x14ac:dyDescent="0.3">
      <c r="F16411"/>
      <c r="G16411"/>
      <c r="H16411"/>
      <c r="I16411"/>
    </row>
    <row r="16412" spans="6:9" x14ac:dyDescent="0.3">
      <c r="F16412"/>
      <c r="G16412"/>
      <c r="H16412"/>
      <c r="I16412"/>
    </row>
    <row r="16413" spans="6:9" x14ac:dyDescent="0.3">
      <c r="F16413"/>
      <c r="G16413"/>
      <c r="H16413"/>
      <c r="I16413"/>
    </row>
    <row r="16414" spans="6:9" x14ac:dyDescent="0.3">
      <c r="F16414"/>
      <c r="G16414"/>
      <c r="H16414"/>
      <c r="I16414"/>
    </row>
    <row r="16415" spans="6:9" x14ac:dyDescent="0.3">
      <c r="F16415"/>
      <c r="G16415"/>
      <c r="H16415"/>
      <c r="I16415"/>
    </row>
    <row r="16416" spans="6:9" x14ac:dyDescent="0.3">
      <c r="F16416"/>
      <c r="G16416"/>
      <c r="H16416"/>
      <c r="I16416"/>
    </row>
    <row r="16417" spans="6:9" x14ac:dyDescent="0.3">
      <c r="F16417"/>
      <c r="G16417"/>
      <c r="H16417"/>
      <c r="I16417"/>
    </row>
    <row r="16418" spans="6:9" x14ac:dyDescent="0.3">
      <c r="F16418"/>
      <c r="G16418"/>
      <c r="H16418"/>
      <c r="I16418"/>
    </row>
    <row r="16419" spans="6:9" x14ac:dyDescent="0.3">
      <c r="F16419"/>
      <c r="G16419"/>
      <c r="H16419"/>
      <c r="I16419"/>
    </row>
    <row r="16420" spans="6:9" x14ac:dyDescent="0.3">
      <c r="F16420"/>
      <c r="G16420"/>
      <c r="H16420"/>
      <c r="I16420"/>
    </row>
    <row r="16421" spans="6:9" x14ac:dyDescent="0.3">
      <c r="F16421"/>
      <c r="G16421"/>
      <c r="H16421"/>
      <c r="I16421"/>
    </row>
    <row r="16422" spans="6:9" x14ac:dyDescent="0.3">
      <c r="F16422"/>
      <c r="G16422"/>
      <c r="H16422"/>
      <c r="I16422"/>
    </row>
    <row r="16423" spans="6:9" x14ac:dyDescent="0.3">
      <c r="F16423"/>
      <c r="G16423"/>
      <c r="H16423"/>
      <c r="I16423"/>
    </row>
    <row r="16424" spans="6:9" x14ac:dyDescent="0.3">
      <c r="F16424"/>
      <c r="G16424"/>
      <c r="H16424"/>
      <c r="I16424"/>
    </row>
    <row r="16425" spans="6:9" x14ac:dyDescent="0.3">
      <c r="F16425"/>
      <c r="G16425"/>
      <c r="H16425"/>
      <c r="I16425"/>
    </row>
    <row r="16426" spans="6:9" x14ac:dyDescent="0.3">
      <c r="F16426"/>
      <c r="G16426"/>
      <c r="H16426"/>
      <c r="I16426"/>
    </row>
    <row r="16427" spans="6:9" x14ac:dyDescent="0.3">
      <c r="F16427"/>
      <c r="G16427"/>
      <c r="H16427"/>
      <c r="I16427"/>
    </row>
    <row r="16428" spans="6:9" x14ac:dyDescent="0.3">
      <c r="F16428"/>
      <c r="G16428"/>
      <c r="H16428"/>
      <c r="I16428"/>
    </row>
    <row r="16429" spans="6:9" x14ac:dyDescent="0.3">
      <c r="F16429"/>
      <c r="G16429"/>
      <c r="H16429"/>
      <c r="I16429"/>
    </row>
    <row r="16430" spans="6:9" x14ac:dyDescent="0.3">
      <c r="F16430"/>
      <c r="G16430"/>
      <c r="H16430"/>
      <c r="I16430"/>
    </row>
    <row r="16431" spans="6:9" x14ac:dyDescent="0.3">
      <c r="F16431"/>
      <c r="G16431"/>
      <c r="H16431"/>
      <c r="I16431"/>
    </row>
    <row r="16432" spans="6:9" x14ac:dyDescent="0.3">
      <c r="F16432"/>
      <c r="G16432"/>
      <c r="H16432"/>
      <c r="I16432"/>
    </row>
    <row r="16433" spans="6:9" x14ac:dyDescent="0.3">
      <c r="F16433"/>
      <c r="G16433"/>
      <c r="H16433"/>
      <c r="I16433"/>
    </row>
    <row r="16434" spans="6:9" x14ac:dyDescent="0.3">
      <c r="F16434"/>
      <c r="G16434"/>
      <c r="H16434"/>
      <c r="I16434"/>
    </row>
    <row r="16435" spans="6:9" x14ac:dyDescent="0.3">
      <c r="F16435"/>
      <c r="G16435"/>
      <c r="H16435"/>
      <c r="I16435"/>
    </row>
    <row r="16436" spans="6:9" x14ac:dyDescent="0.3">
      <c r="F16436"/>
      <c r="G16436"/>
      <c r="H16436"/>
      <c r="I16436"/>
    </row>
    <row r="16437" spans="6:9" x14ac:dyDescent="0.3">
      <c r="F16437"/>
      <c r="G16437"/>
      <c r="H16437"/>
      <c r="I16437"/>
    </row>
    <row r="16438" spans="6:9" x14ac:dyDescent="0.3">
      <c r="F16438"/>
      <c r="G16438"/>
      <c r="H16438"/>
      <c r="I16438"/>
    </row>
    <row r="16439" spans="6:9" x14ac:dyDescent="0.3">
      <c r="F16439"/>
      <c r="G16439"/>
      <c r="H16439"/>
      <c r="I16439"/>
    </row>
    <row r="16440" spans="6:9" x14ac:dyDescent="0.3">
      <c r="F16440"/>
      <c r="G16440"/>
      <c r="H16440"/>
      <c r="I16440"/>
    </row>
    <row r="16441" spans="6:9" x14ac:dyDescent="0.3">
      <c r="F16441"/>
      <c r="G16441"/>
      <c r="H16441"/>
      <c r="I16441"/>
    </row>
    <row r="16442" spans="6:9" x14ac:dyDescent="0.3">
      <c r="F16442"/>
      <c r="G16442"/>
      <c r="H16442"/>
      <c r="I16442"/>
    </row>
    <row r="16443" spans="6:9" x14ac:dyDescent="0.3">
      <c r="F16443"/>
      <c r="G16443"/>
      <c r="H16443"/>
      <c r="I16443"/>
    </row>
    <row r="16444" spans="6:9" x14ac:dyDescent="0.3">
      <c r="F16444"/>
      <c r="G16444"/>
      <c r="H16444"/>
      <c r="I16444"/>
    </row>
    <row r="16445" spans="6:9" x14ac:dyDescent="0.3">
      <c r="F16445"/>
      <c r="G16445"/>
      <c r="H16445"/>
      <c r="I16445"/>
    </row>
    <row r="16446" spans="6:9" x14ac:dyDescent="0.3">
      <c r="F16446"/>
      <c r="G16446"/>
      <c r="H16446"/>
      <c r="I16446"/>
    </row>
    <row r="16447" spans="6:9" x14ac:dyDescent="0.3">
      <c r="F16447"/>
      <c r="G16447"/>
      <c r="H16447"/>
      <c r="I16447"/>
    </row>
    <row r="16448" spans="6:9" x14ac:dyDescent="0.3">
      <c r="F16448"/>
      <c r="G16448"/>
      <c r="H16448"/>
      <c r="I16448"/>
    </row>
    <row r="16449" spans="6:9" x14ac:dyDescent="0.3">
      <c r="F16449"/>
      <c r="G16449"/>
      <c r="H16449"/>
      <c r="I16449"/>
    </row>
    <row r="16450" spans="6:9" x14ac:dyDescent="0.3">
      <c r="F16450"/>
      <c r="G16450"/>
      <c r="H16450"/>
      <c r="I16450"/>
    </row>
    <row r="16451" spans="6:9" x14ac:dyDescent="0.3">
      <c r="F16451"/>
      <c r="G16451"/>
      <c r="H16451"/>
      <c r="I16451"/>
    </row>
    <row r="16452" spans="6:9" x14ac:dyDescent="0.3">
      <c r="F16452"/>
      <c r="G16452"/>
      <c r="H16452"/>
      <c r="I16452"/>
    </row>
    <row r="16453" spans="6:9" x14ac:dyDescent="0.3">
      <c r="F16453"/>
      <c r="G16453"/>
      <c r="H16453"/>
      <c r="I16453"/>
    </row>
    <row r="16454" spans="6:9" x14ac:dyDescent="0.3">
      <c r="F16454"/>
      <c r="G16454"/>
      <c r="H16454"/>
      <c r="I16454"/>
    </row>
    <row r="16455" spans="6:9" x14ac:dyDescent="0.3">
      <c r="F16455"/>
      <c r="G16455"/>
      <c r="H16455"/>
      <c r="I16455"/>
    </row>
    <row r="16456" spans="6:9" x14ac:dyDescent="0.3">
      <c r="F16456"/>
      <c r="G16456"/>
      <c r="H16456"/>
      <c r="I16456"/>
    </row>
    <row r="16457" spans="6:9" x14ac:dyDescent="0.3">
      <c r="F16457"/>
      <c r="G16457"/>
      <c r="H16457"/>
      <c r="I16457"/>
    </row>
    <row r="16458" spans="6:9" x14ac:dyDescent="0.3">
      <c r="F16458"/>
      <c r="G16458"/>
      <c r="H16458"/>
      <c r="I16458"/>
    </row>
    <row r="16459" spans="6:9" x14ac:dyDescent="0.3">
      <c r="F16459"/>
      <c r="G16459"/>
      <c r="H16459"/>
      <c r="I16459"/>
    </row>
    <row r="16460" spans="6:9" x14ac:dyDescent="0.3">
      <c r="F16460"/>
      <c r="G16460"/>
      <c r="H16460"/>
      <c r="I16460"/>
    </row>
    <row r="16461" spans="6:9" x14ac:dyDescent="0.3">
      <c r="F16461"/>
      <c r="G16461"/>
      <c r="H16461"/>
      <c r="I16461"/>
    </row>
    <row r="16462" spans="6:9" x14ac:dyDescent="0.3">
      <c r="F16462"/>
      <c r="G16462"/>
      <c r="H16462"/>
      <c r="I16462"/>
    </row>
    <row r="16463" spans="6:9" x14ac:dyDescent="0.3">
      <c r="F16463"/>
      <c r="G16463"/>
      <c r="H16463"/>
      <c r="I16463"/>
    </row>
    <row r="16464" spans="6:9" x14ac:dyDescent="0.3">
      <c r="F16464"/>
      <c r="G16464"/>
      <c r="H16464"/>
      <c r="I16464"/>
    </row>
    <row r="16465" spans="6:9" x14ac:dyDescent="0.3">
      <c r="F16465"/>
      <c r="G16465"/>
      <c r="H16465"/>
      <c r="I16465"/>
    </row>
    <row r="16466" spans="6:9" x14ac:dyDescent="0.3">
      <c r="F16466"/>
      <c r="G16466"/>
      <c r="H16466"/>
      <c r="I16466"/>
    </row>
    <row r="16467" spans="6:9" x14ac:dyDescent="0.3">
      <c r="F16467"/>
      <c r="G16467"/>
      <c r="H16467"/>
      <c r="I16467"/>
    </row>
    <row r="16468" spans="6:9" x14ac:dyDescent="0.3">
      <c r="F16468"/>
      <c r="G16468"/>
      <c r="H16468"/>
      <c r="I16468"/>
    </row>
    <row r="16469" spans="6:9" x14ac:dyDescent="0.3">
      <c r="F16469"/>
      <c r="G16469"/>
      <c r="H16469"/>
      <c r="I16469"/>
    </row>
    <row r="16470" spans="6:9" x14ac:dyDescent="0.3">
      <c r="F16470"/>
      <c r="G16470"/>
      <c r="H16470"/>
      <c r="I16470"/>
    </row>
    <row r="16471" spans="6:9" x14ac:dyDescent="0.3">
      <c r="F16471"/>
      <c r="G16471"/>
      <c r="H16471"/>
      <c r="I16471"/>
    </row>
    <row r="16472" spans="6:9" x14ac:dyDescent="0.3">
      <c r="F16472"/>
      <c r="G16472"/>
      <c r="H16472"/>
      <c r="I16472"/>
    </row>
    <row r="16473" spans="6:9" x14ac:dyDescent="0.3">
      <c r="F16473"/>
      <c r="G16473"/>
      <c r="H16473"/>
      <c r="I16473"/>
    </row>
    <row r="16474" spans="6:9" x14ac:dyDescent="0.3">
      <c r="F16474"/>
      <c r="G16474"/>
      <c r="H16474"/>
      <c r="I16474"/>
    </row>
    <row r="16475" spans="6:9" x14ac:dyDescent="0.3">
      <c r="F16475"/>
      <c r="G16475"/>
      <c r="H16475"/>
      <c r="I16475"/>
    </row>
    <row r="16476" spans="6:9" x14ac:dyDescent="0.3">
      <c r="F16476"/>
      <c r="G16476"/>
      <c r="H16476"/>
      <c r="I16476"/>
    </row>
    <row r="16477" spans="6:9" x14ac:dyDescent="0.3">
      <c r="F16477"/>
      <c r="G16477"/>
      <c r="H16477"/>
      <c r="I16477"/>
    </row>
    <row r="16478" spans="6:9" x14ac:dyDescent="0.3">
      <c r="F16478"/>
      <c r="G16478"/>
      <c r="H16478"/>
      <c r="I16478"/>
    </row>
    <row r="16479" spans="6:9" x14ac:dyDescent="0.3">
      <c r="F16479"/>
      <c r="G16479"/>
      <c r="H16479"/>
      <c r="I16479"/>
    </row>
    <row r="16480" spans="6:9" x14ac:dyDescent="0.3">
      <c r="F16480"/>
      <c r="G16480"/>
      <c r="H16480"/>
      <c r="I16480"/>
    </row>
    <row r="16481" spans="6:9" x14ac:dyDescent="0.3">
      <c r="F16481"/>
      <c r="G16481"/>
      <c r="H16481"/>
      <c r="I16481"/>
    </row>
    <row r="16482" spans="6:9" x14ac:dyDescent="0.3">
      <c r="F16482"/>
      <c r="G16482"/>
      <c r="H16482"/>
      <c r="I16482"/>
    </row>
    <row r="16483" spans="6:9" x14ac:dyDescent="0.3">
      <c r="F16483"/>
      <c r="G16483"/>
      <c r="H16483"/>
      <c r="I16483"/>
    </row>
    <row r="16484" spans="6:9" x14ac:dyDescent="0.3">
      <c r="F16484"/>
      <c r="G16484"/>
      <c r="H16484"/>
      <c r="I16484"/>
    </row>
    <row r="16485" spans="6:9" x14ac:dyDescent="0.3">
      <c r="F16485"/>
      <c r="G16485"/>
      <c r="H16485"/>
      <c r="I16485"/>
    </row>
    <row r="16486" spans="6:9" x14ac:dyDescent="0.3">
      <c r="F16486"/>
      <c r="G16486"/>
      <c r="H16486"/>
      <c r="I16486"/>
    </row>
    <row r="16487" spans="6:9" x14ac:dyDescent="0.3">
      <c r="F16487"/>
      <c r="G16487"/>
      <c r="H16487"/>
      <c r="I16487"/>
    </row>
    <row r="16488" spans="6:9" x14ac:dyDescent="0.3">
      <c r="F16488"/>
      <c r="G16488"/>
      <c r="H16488"/>
      <c r="I16488"/>
    </row>
    <row r="16489" spans="6:9" x14ac:dyDescent="0.3">
      <c r="F16489"/>
      <c r="G16489"/>
      <c r="H16489"/>
      <c r="I16489"/>
    </row>
    <row r="16490" spans="6:9" x14ac:dyDescent="0.3">
      <c r="F16490"/>
      <c r="G16490"/>
      <c r="H16490"/>
      <c r="I16490"/>
    </row>
    <row r="16491" spans="6:9" x14ac:dyDescent="0.3">
      <c r="F16491"/>
      <c r="G16491"/>
      <c r="H16491"/>
      <c r="I16491"/>
    </row>
    <row r="16492" spans="6:9" x14ac:dyDescent="0.3">
      <c r="F16492"/>
      <c r="G16492"/>
      <c r="H16492"/>
      <c r="I16492"/>
    </row>
    <row r="16493" spans="6:9" x14ac:dyDescent="0.3">
      <c r="F16493"/>
      <c r="G16493"/>
      <c r="H16493"/>
      <c r="I16493"/>
    </row>
    <row r="16494" spans="6:9" x14ac:dyDescent="0.3">
      <c r="F16494"/>
      <c r="G16494"/>
      <c r="H16494"/>
      <c r="I16494"/>
    </row>
    <row r="16495" spans="6:9" x14ac:dyDescent="0.3">
      <c r="F16495"/>
      <c r="G16495"/>
      <c r="H16495"/>
      <c r="I16495"/>
    </row>
    <row r="16496" spans="6:9" x14ac:dyDescent="0.3">
      <c r="F16496"/>
      <c r="G16496"/>
      <c r="H16496"/>
      <c r="I16496"/>
    </row>
    <row r="16497" spans="6:9" x14ac:dyDescent="0.3">
      <c r="F16497"/>
      <c r="G16497"/>
      <c r="H16497"/>
      <c r="I16497"/>
    </row>
    <row r="16498" spans="6:9" x14ac:dyDescent="0.3">
      <c r="F16498"/>
      <c r="G16498"/>
      <c r="H16498"/>
      <c r="I16498"/>
    </row>
    <row r="16499" spans="6:9" x14ac:dyDescent="0.3">
      <c r="F16499"/>
      <c r="G16499"/>
      <c r="H16499"/>
      <c r="I16499"/>
    </row>
    <row r="16500" spans="6:9" x14ac:dyDescent="0.3">
      <c r="F16500"/>
      <c r="G16500"/>
      <c r="H16500"/>
      <c r="I16500"/>
    </row>
    <row r="16501" spans="6:9" x14ac:dyDescent="0.3">
      <c r="F16501"/>
      <c r="G16501"/>
      <c r="H16501"/>
      <c r="I16501"/>
    </row>
    <row r="16502" spans="6:9" x14ac:dyDescent="0.3">
      <c r="F16502"/>
      <c r="G16502"/>
      <c r="H16502"/>
      <c r="I16502"/>
    </row>
    <row r="16503" spans="6:9" x14ac:dyDescent="0.3">
      <c r="F16503"/>
      <c r="G16503"/>
      <c r="H16503"/>
      <c r="I16503"/>
    </row>
    <row r="16504" spans="6:9" x14ac:dyDescent="0.3">
      <c r="F16504"/>
      <c r="G16504"/>
      <c r="H16504"/>
      <c r="I16504"/>
    </row>
    <row r="16505" spans="6:9" x14ac:dyDescent="0.3">
      <c r="F16505"/>
      <c r="G16505"/>
      <c r="H16505"/>
      <c r="I16505"/>
    </row>
    <row r="16506" spans="6:9" x14ac:dyDescent="0.3">
      <c r="F16506"/>
      <c r="G16506"/>
      <c r="H16506"/>
      <c r="I16506"/>
    </row>
    <row r="16507" spans="6:9" x14ac:dyDescent="0.3">
      <c r="F16507"/>
      <c r="G16507"/>
      <c r="H16507"/>
      <c r="I16507"/>
    </row>
    <row r="16508" spans="6:9" x14ac:dyDescent="0.3">
      <c r="F16508"/>
      <c r="G16508"/>
      <c r="H16508"/>
      <c r="I16508"/>
    </row>
    <row r="16509" spans="6:9" x14ac:dyDescent="0.3">
      <c r="F16509"/>
      <c r="G16509"/>
      <c r="H16509"/>
      <c r="I16509"/>
    </row>
    <row r="16510" spans="6:9" x14ac:dyDescent="0.3">
      <c r="F16510"/>
      <c r="G16510"/>
      <c r="H16510"/>
      <c r="I16510"/>
    </row>
    <row r="16511" spans="6:9" x14ac:dyDescent="0.3">
      <c r="F16511"/>
      <c r="G16511"/>
      <c r="H16511"/>
      <c r="I16511"/>
    </row>
    <row r="16512" spans="6:9" x14ac:dyDescent="0.3">
      <c r="F16512"/>
      <c r="G16512"/>
      <c r="H16512"/>
      <c r="I16512"/>
    </row>
    <row r="16513" spans="6:9" x14ac:dyDescent="0.3">
      <c r="F16513"/>
      <c r="G16513"/>
      <c r="H16513"/>
      <c r="I16513"/>
    </row>
    <row r="16514" spans="6:9" x14ac:dyDescent="0.3">
      <c r="F16514"/>
      <c r="G16514"/>
      <c r="H16514"/>
      <c r="I16514"/>
    </row>
    <row r="16515" spans="6:9" x14ac:dyDescent="0.3">
      <c r="F16515"/>
      <c r="G16515"/>
      <c r="H16515"/>
      <c r="I16515"/>
    </row>
    <row r="16516" spans="6:9" x14ac:dyDescent="0.3">
      <c r="F16516"/>
      <c r="G16516"/>
      <c r="H16516"/>
      <c r="I16516"/>
    </row>
    <row r="16517" spans="6:9" x14ac:dyDescent="0.3">
      <c r="F16517"/>
      <c r="G16517"/>
      <c r="H16517"/>
      <c r="I16517"/>
    </row>
    <row r="16518" spans="6:9" x14ac:dyDescent="0.3">
      <c r="F16518"/>
      <c r="G16518"/>
      <c r="H16518"/>
      <c r="I16518"/>
    </row>
    <row r="16519" spans="6:9" x14ac:dyDescent="0.3">
      <c r="F16519"/>
      <c r="G16519"/>
      <c r="H16519"/>
      <c r="I16519"/>
    </row>
    <row r="16520" spans="6:9" x14ac:dyDescent="0.3">
      <c r="F16520"/>
      <c r="G16520"/>
      <c r="H16520"/>
      <c r="I16520"/>
    </row>
    <row r="16521" spans="6:9" x14ac:dyDescent="0.3">
      <c r="F16521"/>
      <c r="G16521"/>
      <c r="H16521"/>
      <c r="I16521"/>
    </row>
    <row r="16522" spans="6:9" x14ac:dyDescent="0.3">
      <c r="F16522"/>
      <c r="G16522"/>
      <c r="H16522"/>
      <c r="I16522"/>
    </row>
    <row r="16523" spans="6:9" x14ac:dyDescent="0.3">
      <c r="F16523"/>
      <c r="G16523"/>
      <c r="H16523"/>
      <c r="I16523"/>
    </row>
    <row r="16524" spans="6:9" x14ac:dyDescent="0.3">
      <c r="F16524"/>
      <c r="G16524"/>
      <c r="H16524"/>
      <c r="I16524"/>
    </row>
    <row r="16525" spans="6:9" x14ac:dyDescent="0.3">
      <c r="F16525"/>
      <c r="G16525"/>
      <c r="H16525"/>
      <c r="I16525"/>
    </row>
    <row r="16526" spans="6:9" x14ac:dyDescent="0.3">
      <c r="F16526"/>
      <c r="G16526"/>
      <c r="H16526"/>
      <c r="I16526"/>
    </row>
    <row r="16527" spans="6:9" x14ac:dyDescent="0.3">
      <c r="F16527"/>
      <c r="G16527"/>
      <c r="H16527"/>
      <c r="I16527"/>
    </row>
    <row r="16528" spans="6:9" x14ac:dyDescent="0.3">
      <c r="F16528"/>
      <c r="G16528"/>
      <c r="H16528"/>
      <c r="I16528"/>
    </row>
    <row r="16529" spans="6:9" x14ac:dyDescent="0.3">
      <c r="F16529"/>
      <c r="G16529"/>
      <c r="H16529"/>
      <c r="I16529"/>
    </row>
    <row r="16530" spans="6:9" x14ac:dyDescent="0.3">
      <c r="F16530"/>
      <c r="G16530"/>
      <c r="H16530"/>
      <c r="I16530"/>
    </row>
    <row r="16531" spans="6:9" x14ac:dyDescent="0.3">
      <c r="F16531"/>
      <c r="G16531"/>
      <c r="H16531"/>
      <c r="I16531"/>
    </row>
    <row r="16532" spans="6:9" x14ac:dyDescent="0.3">
      <c r="F16532"/>
      <c r="G16532"/>
      <c r="H16532"/>
      <c r="I16532"/>
    </row>
    <row r="16533" spans="6:9" x14ac:dyDescent="0.3">
      <c r="F16533"/>
      <c r="G16533"/>
      <c r="H16533"/>
      <c r="I16533"/>
    </row>
    <row r="16534" spans="6:9" x14ac:dyDescent="0.3">
      <c r="F16534"/>
      <c r="G16534"/>
      <c r="H16534"/>
      <c r="I16534"/>
    </row>
    <row r="16535" spans="6:9" x14ac:dyDescent="0.3">
      <c r="F16535"/>
      <c r="G16535"/>
      <c r="H16535"/>
      <c r="I16535"/>
    </row>
    <row r="16536" spans="6:9" x14ac:dyDescent="0.3">
      <c r="F16536"/>
      <c r="G16536"/>
      <c r="H16536"/>
      <c r="I16536"/>
    </row>
    <row r="16537" spans="6:9" x14ac:dyDescent="0.3">
      <c r="F16537"/>
      <c r="G16537"/>
      <c r="H16537"/>
      <c r="I16537"/>
    </row>
    <row r="16538" spans="6:9" x14ac:dyDescent="0.3">
      <c r="F16538"/>
      <c r="G16538"/>
      <c r="H16538"/>
      <c r="I16538"/>
    </row>
    <row r="16539" spans="6:9" x14ac:dyDescent="0.3">
      <c r="F16539"/>
      <c r="G16539"/>
      <c r="H16539"/>
      <c r="I16539"/>
    </row>
    <row r="16540" spans="6:9" x14ac:dyDescent="0.3">
      <c r="F16540"/>
      <c r="G16540"/>
      <c r="H16540"/>
      <c r="I16540"/>
    </row>
    <row r="16541" spans="6:9" x14ac:dyDescent="0.3">
      <c r="F16541"/>
      <c r="G16541"/>
      <c r="H16541"/>
      <c r="I16541"/>
    </row>
    <row r="16542" spans="6:9" x14ac:dyDescent="0.3">
      <c r="F16542"/>
      <c r="G16542"/>
      <c r="H16542"/>
      <c r="I16542"/>
    </row>
    <row r="16543" spans="6:9" x14ac:dyDescent="0.3">
      <c r="F16543"/>
      <c r="G16543"/>
      <c r="H16543"/>
      <c r="I16543"/>
    </row>
    <row r="16544" spans="6:9" x14ac:dyDescent="0.3">
      <c r="F16544"/>
      <c r="G16544"/>
      <c r="H16544"/>
      <c r="I16544"/>
    </row>
    <row r="16545" spans="6:9" x14ac:dyDescent="0.3">
      <c r="F16545"/>
      <c r="G16545"/>
      <c r="H16545"/>
      <c r="I16545"/>
    </row>
    <row r="16546" spans="6:9" x14ac:dyDescent="0.3">
      <c r="F16546"/>
      <c r="G16546"/>
      <c r="H16546"/>
      <c r="I16546"/>
    </row>
    <row r="16547" spans="6:9" x14ac:dyDescent="0.3">
      <c r="F16547"/>
      <c r="G16547"/>
      <c r="H16547"/>
      <c r="I16547"/>
    </row>
    <row r="16548" spans="6:9" x14ac:dyDescent="0.3">
      <c r="F16548"/>
      <c r="G16548"/>
      <c r="H16548"/>
      <c r="I16548"/>
    </row>
    <row r="16549" spans="6:9" x14ac:dyDescent="0.3">
      <c r="F16549"/>
      <c r="G16549"/>
      <c r="H16549"/>
      <c r="I16549"/>
    </row>
    <row r="16550" spans="6:9" x14ac:dyDescent="0.3">
      <c r="F16550"/>
      <c r="G16550"/>
      <c r="H16550"/>
      <c r="I16550"/>
    </row>
    <row r="16551" spans="6:9" x14ac:dyDescent="0.3">
      <c r="F16551"/>
      <c r="G16551"/>
      <c r="H16551"/>
      <c r="I16551"/>
    </row>
    <row r="16552" spans="6:9" x14ac:dyDescent="0.3">
      <c r="F16552"/>
      <c r="G16552"/>
      <c r="H16552"/>
      <c r="I16552"/>
    </row>
    <row r="16553" spans="6:9" x14ac:dyDescent="0.3">
      <c r="F16553"/>
      <c r="G16553"/>
      <c r="H16553"/>
      <c r="I16553"/>
    </row>
    <row r="16554" spans="6:9" x14ac:dyDescent="0.3">
      <c r="F16554"/>
      <c r="G16554"/>
      <c r="H16554"/>
      <c r="I16554"/>
    </row>
    <row r="16555" spans="6:9" x14ac:dyDescent="0.3">
      <c r="F16555"/>
      <c r="G16555"/>
      <c r="H16555"/>
      <c r="I16555"/>
    </row>
    <row r="16556" spans="6:9" x14ac:dyDescent="0.3">
      <c r="F16556"/>
      <c r="G16556"/>
      <c r="H16556"/>
      <c r="I16556"/>
    </row>
    <row r="16557" spans="6:9" x14ac:dyDescent="0.3">
      <c r="F16557"/>
      <c r="G16557"/>
      <c r="H16557"/>
      <c r="I16557"/>
    </row>
    <row r="16558" spans="6:9" x14ac:dyDescent="0.3">
      <c r="F16558"/>
      <c r="G16558"/>
      <c r="H16558"/>
      <c r="I16558"/>
    </row>
    <row r="16559" spans="6:9" x14ac:dyDescent="0.3">
      <c r="F16559"/>
      <c r="G16559"/>
      <c r="H16559"/>
      <c r="I16559"/>
    </row>
    <row r="16560" spans="6:9" x14ac:dyDescent="0.3">
      <c r="F16560"/>
      <c r="G16560"/>
      <c r="H16560"/>
      <c r="I16560"/>
    </row>
    <row r="16561" spans="6:9" x14ac:dyDescent="0.3">
      <c r="F16561"/>
      <c r="G16561"/>
      <c r="H16561"/>
      <c r="I16561"/>
    </row>
    <row r="16562" spans="6:9" x14ac:dyDescent="0.3">
      <c r="F16562"/>
      <c r="G16562"/>
      <c r="H16562"/>
      <c r="I16562"/>
    </row>
    <row r="16563" spans="6:9" x14ac:dyDescent="0.3">
      <c r="F16563"/>
      <c r="G16563"/>
      <c r="H16563"/>
      <c r="I16563"/>
    </row>
    <row r="16564" spans="6:9" x14ac:dyDescent="0.3">
      <c r="F16564"/>
      <c r="G16564"/>
      <c r="H16564"/>
      <c r="I16564"/>
    </row>
    <row r="16565" spans="6:9" x14ac:dyDescent="0.3">
      <c r="F16565"/>
      <c r="G16565"/>
      <c r="H16565"/>
      <c r="I16565"/>
    </row>
    <row r="16566" spans="6:9" x14ac:dyDescent="0.3">
      <c r="F16566"/>
      <c r="G16566"/>
      <c r="H16566"/>
      <c r="I16566"/>
    </row>
    <row r="16567" spans="6:9" x14ac:dyDescent="0.3">
      <c r="F16567"/>
      <c r="G16567"/>
      <c r="H16567"/>
      <c r="I16567"/>
    </row>
    <row r="16568" spans="6:9" x14ac:dyDescent="0.3">
      <c r="F16568"/>
      <c r="G16568"/>
      <c r="H16568"/>
      <c r="I16568"/>
    </row>
    <row r="16569" spans="6:9" x14ac:dyDescent="0.3">
      <c r="F16569"/>
      <c r="G16569"/>
      <c r="H16569"/>
      <c r="I16569"/>
    </row>
    <row r="16570" spans="6:9" x14ac:dyDescent="0.3">
      <c r="F16570"/>
      <c r="G16570"/>
      <c r="H16570"/>
      <c r="I16570"/>
    </row>
    <row r="16571" spans="6:9" x14ac:dyDescent="0.3">
      <c r="F16571"/>
      <c r="G16571"/>
      <c r="H16571"/>
      <c r="I16571"/>
    </row>
    <row r="16572" spans="6:9" x14ac:dyDescent="0.3">
      <c r="F16572"/>
      <c r="G16572"/>
      <c r="H16572"/>
      <c r="I16572"/>
    </row>
    <row r="16573" spans="6:9" x14ac:dyDescent="0.3">
      <c r="F16573"/>
      <c r="G16573"/>
      <c r="H16573"/>
      <c r="I16573"/>
    </row>
    <row r="16574" spans="6:9" x14ac:dyDescent="0.3">
      <c r="F16574"/>
      <c r="G16574"/>
      <c r="H16574"/>
      <c r="I16574"/>
    </row>
    <row r="16575" spans="6:9" x14ac:dyDescent="0.3">
      <c r="F16575"/>
      <c r="G16575"/>
      <c r="H16575"/>
      <c r="I16575"/>
    </row>
    <row r="16576" spans="6:9" x14ac:dyDescent="0.3">
      <c r="F16576"/>
      <c r="G16576"/>
      <c r="H16576"/>
      <c r="I16576"/>
    </row>
    <row r="16577" spans="6:9" x14ac:dyDescent="0.3">
      <c r="F16577"/>
      <c r="G16577"/>
      <c r="H16577"/>
      <c r="I16577"/>
    </row>
    <row r="16578" spans="6:9" x14ac:dyDescent="0.3">
      <c r="F16578"/>
      <c r="G16578"/>
      <c r="H16578"/>
      <c r="I16578"/>
    </row>
    <row r="16579" spans="6:9" x14ac:dyDescent="0.3">
      <c r="F16579"/>
      <c r="G16579"/>
      <c r="H16579"/>
      <c r="I16579"/>
    </row>
    <row r="16580" spans="6:9" x14ac:dyDescent="0.3">
      <c r="F16580"/>
      <c r="G16580"/>
      <c r="H16580"/>
      <c r="I16580"/>
    </row>
    <row r="16581" spans="6:9" x14ac:dyDescent="0.3">
      <c r="F16581"/>
      <c r="G16581"/>
      <c r="H16581"/>
      <c r="I16581"/>
    </row>
    <row r="16582" spans="6:9" x14ac:dyDescent="0.3">
      <c r="F16582"/>
      <c r="G16582"/>
      <c r="H16582"/>
      <c r="I16582"/>
    </row>
    <row r="16583" spans="6:9" x14ac:dyDescent="0.3">
      <c r="F16583"/>
      <c r="G16583"/>
      <c r="H16583"/>
      <c r="I16583"/>
    </row>
    <row r="16584" spans="6:9" x14ac:dyDescent="0.3">
      <c r="F16584"/>
      <c r="G16584"/>
      <c r="H16584"/>
      <c r="I16584"/>
    </row>
    <row r="16585" spans="6:9" x14ac:dyDescent="0.3">
      <c r="F16585"/>
      <c r="G16585"/>
      <c r="H16585"/>
      <c r="I16585"/>
    </row>
    <row r="16586" spans="6:9" x14ac:dyDescent="0.3">
      <c r="F16586"/>
      <c r="G16586"/>
      <c r="H16586"/>
      <c r="I16586"/>
    </row>
    <row r="16587" spans="6:9" x14ac:dyDescent="0.3">
      <c r="F16587"/>
      <c r="G16587"/>
      <c r="H16587"/>
      <c r="I16587"/>
    </row>
    <row r="16588" spans="6:9" x14ac:dyDescent="0.3">
      <c r="F16588"/>
      <c r="G16588"/>
      <c r="H16588"/>
      <c r="I16588"/>
    </row>
    <row r="16589" spans="6:9" x14ac:dyDescent="0.3">
      <c r="F16589"/>
      <c r="G16589"/>
      <c r="H16589"/>
      <c r="I16589"/>
    </row>
    <row r="16590" spans="6:9" x14ac:dyDescent="0.3">
      <c r="F16590"/>
      <c r="G16590"/>
      <c r="H16590"/>
      <c r="I16590"/>
    </row>
    <row r="16591" spans="6:9" x14ac:dyDescent="0.3">
      <c r="F16591"/>
      <c r="G16591"/>
      <c r="H16591"/>
      <c r="I16591"/>
    </row>
    <row r="16592" spans="6:9" x14ac:dyDescent="0.3">
      <c r="F16592"/>
      <c r="G16592"/>
      <c r="H16592"/>
      <c r="I16592"/>
    </row>
    <row r="16593" spans="6:9" x14ac:dyDescent="0.3">
      <c r="F16593"/>
      <c r="G16593"/>
      <c r="H16593"/>
      <c r="I16593"/>
    </row>
    <row r="16594" spans="6:9" x14ac:dyDescent="0.3">
      <c r="F16594"/>
      <c r="G16594"/>
      <c r="H16594"/>
      <c r="I16594"/>
    </row>
    <row r="16595" spans="6:9" x14ac:dyDescent="0.3">
      <c r="F16595"/>
      <c r="G16595"/>
      <c r="H16595"/>
      <c r="I16595"/>
    </row>
    <row r="16596" spans="6:9" x14ac:dyDescent="0.3">
      <c r="F16596"/>
      <c r="G16596"/>
      <c r="H16596"/>
      <c r="I16596"/>
    </row>
    <row r="16597" spans="6:9" x14ac:dyDescent="0.3">
      <c r="F16597"/>
      <c r="G16597"/>
      <c r="H16597"/>
      <c r="I16597"/>
    </row>
    <row r="16598" spans="6:9" x14ac:dyDescent="0.3">
      <c r="F16598"/>
      <c r="G16598"/>
      <c r="H16598"/>
      <c r="I16598"/>
    </row>
    <row r="16599" spans="6:9" x14ac:dyDescent="0.3">
      <c r="F16599"/>
      <c r="G16599"/>
      <c r="H16599"/>
      <c r="I16599"/>
    </row>
    <row r="16600" spans="6:9" x14ac:dyDescent="0.3">
      <c r="F16600"/>
      <c r="G16600"/>
      <c r="H16600"/>
      <c r="I16600"/>
    </row>
    <row r="16601" spans="6:9" x14ac:dyDescent="0.3">
      <c r="F16601"/>
      <c r="G16601"/>
      <c r="H16601"/>
      <c r="I16601"/>
    </row>
    <row r="16602" spans="6:9" x14ac:dyDescent="0.3">
      <c r="F16602"/>
      <c r="G16602"/>
      <c r="H16602"/>
      <c r="I16602"/>
    </row>
    <row r="16603" spans="6:9" x14ac:dyDescent="0.3">
      <c r="F16603"/>
      <c r="G16603"/>
      <c r="H16603"/>
      <c r="I16603"/>
    </row>
    <row r="16604" spans="6:9" x14ac:dyDescent="0.3">
      <c r="F16604"/>
      <c r="G16604"/>
      <c r="H16604"/>
      <c r="I16604"/>
    </row>
    <row r="16605" spans="6:9" x14ac:dyDescent="0.3">
      <c r="F16605"/>
      <c r="G16605"/>
      <c r="H16605"/>
      <c r="I16605"/>
    </row>
    <row r="16606" spans="6:9" x14ac:dyDescent="0.3">
      <c r="F16606"/>
      <c r="G16606"/>
      <c r="H16606"/>
      <c r="I16606"/>
    </row>
    <row r="16607" spans="6:9" x14ac:dyDescent="0.3">
      <c r="F16607"/>
      <c r="G16607"/>
      <c r="H16607"/>
      <c r="I16607"/>
    </row>
    <row r="16608" spans="6:9" x14ac:dyDescent="0.3">
      <c r="F16608"/>
      <c r="G16608"/>
      <c r="H16608"/>
      <c r="I16608"/>
    </row>
    <row r="16609" spans="6:9" x14ac:dyDescent="0.3">
      <c r="F16609"/>
      <c r="G16609"/>
      <c r="H16609"/>
      <c r="I16609"/>
    </row>
    <row r="16610" spans="6:9" x14ac:dyDescent="0.3">
      <c r="F16610"/>
      <c r="G16610"/>
      <c r="H16610"/>
      <c r="I16610"/>
    </row>
    <row r="16611" spans="6:9" x14ac:dyDescent="0.3">
      <c r="F16611"/>
      <c r="G16611"/>
      <c r="H16611"/>
      <c r="I16611"/>
    </row>
    <row r="16612" spans="6:9" x14ac:dyDescent="0.3">
      <c r="F16612"/>
      <c r="G16612"/>
      <c r="H16612"/>
      <c r="I16612"/>
    </row>
    <row r="16613" spans="6:9" x14ac:dyDescent="0.3">
      <c r="F16613"/>
      <c r="G16613"/>
      <c r="H16613"/>
      <c r="I16613"/>
    </row>
    <row r="16614" spans="6:9" x14ac:dyDescent="0.3">
      <c r="F16614"/>
      <c r="G16614"/>
      <c r="H16614"/>
      <c r="I16614"/>
    </row>
    <row r="16615" spans="6:9" x14ac:dyDescent="0.3">
      <c r="F16615"/>
      <c r="G16615"/>
      <c r="H16615"/>
      <c r="I16615"/>
    </row>
    <row r="16616" spans="6:9" x14ac:dyDescent="0.3">
      <c r="F16616"/>
      <c r="G16616"/>
      <c r="H16616"/>
      <c r="I16616"/>
    </row>
    <row r="16617" spans="6:9" x14ac:dyDescent="0.3">
      <c r="F16617"/>
      <c r="G16617"/>
      <c r="H16617"/>
      <c r="I16617"/>
    </row>
    <row r="16618" spans="6:9" x14ac:dyDescent="0.3">
      <c r="F16618"/>
      <c r="G16618"/>
      <c r="H16618"/>
      <c r="I16618"/>
    </row>
    <row r="16619" spans="6:9" x14ac:dyDescent="0.3">
      <c r="F16619"/>
      <c r="G16619"/>
      <c r="H16619"/>
      <c r="I16619"/>
    </row>
    <row r="16620" spans="6:9" x14ac:dyDescent="0.3">
      <c r="F16620"/>
      <c r="G16620"/>
      <c r="H16620"/>
      <c r="I16620"/>
    </row>
    <row r="16621" spans="6:9" x14ac:dyDescent="0.3">
      <c r="F16621"/>
      <c r="G16621"/>
      <c r="H16621"/>
      <c r="I16621"/>
    </row>
    <row r="16622" spans="6:9" x14ac:dyDescent="0.3">
      <c r="F16622"/>
      <c r="G16622"/>
      <c r="H16622"/>
      <c r="I16622"/>
    </row>
    <row r="16623" spans="6:9" x14ac:dyDescent="0.3">
      <c r="F16623"/>
      <c r="G16623"/>
      <c r="H16623"/>
      <c r="I16623"/>
    </row>
    <row r="16624" spans="6:9" x14ac:dyDescent="0.3">
      <c r="F16624"/>
      <c r="G16624"/>
      <c r="H16624"/>
      <c r="I16624"/>
    </row>
    <row r="16625" spans="6:9" x14ac:dyDescent="0.3">
      <c r="F16625"/>
      <c r="G16625"/>
      <c r="H16625"/>
      <c r="I16625"/>
    </row>
    <row r="16626" spans="6:9" x14ac:dyDescent="0.3">
      <c r="F16626"/>
      <c r="G16626"/>
      <c r="H16626"/>
      <c r="I16626"/>
    </row>
    <row r="16627" spans="6:9" x14ac:dyDescent="0.3">
      <c r="F16627"/>
      <c r="G16627"/>
      <c r="H16627"/>
      <c r="I16627"/>
    </row>
    <row r="16628" spans="6:9" x14ac:dyDescent="0.3">
      <c r="F16628"/>
      <c r="G16628"/>
      <c r="H16628"/>
      <c r="I16628"/>
    </row>
    <row r="16629" spans="6:9" x14ac:dyDescent="0.3">
      <c r="F16629"/>
      <c r="G16629"/>
      <c r="H16629"/>
      <c r="I16629"/>
    </row>
    <row r="16630" spans="6:9" x14ac:dyDescent="0.3">
      <c r="F16630"/>
      <c r="G16630"/>
      <c r="H16630"/>
      <c r="I16630"/>
    </row>
    <row r="16631" spans="6:9" x14ac:dyDescent="0.3">
      <c r="F16631"/>
      <c r="G16631"/>
      <c r="H16631"/>
      <c r="I16631"/>
    </row>
    <row r="16632" spans="6:9" x14ac:dyDescent="0.3">
      <c r="F16632"/>
      <c r="G16632"/>
      <c r="H16632"/>
      <c r="I16632"/>
    </row>
    <row r="16633" spans="6:9" x14ac:dyDescent="0.3">
      <c r="F16633"/>
      <c r="G16633"/>
      <c r="H16633"/>
      <c r="I16633"/>
    </row>
    <row r="16634" spans="6:9" x14ac:dyDescent="0.3">
      <c r="F16634"/>
      <c r="G16634"/>
      <c r="H16634"/>
      <c r="I16634"/>
    </row>
    <row r="16635" spans="6:9" x14ac:dyDescent="0.3">
      <c r="F16635"/>
      <c r="G16635"/>
      <c r="H16635"/>
      <c r="I16635"/>
    </row>
    <row r="16636" spans="6:9" x14ac:dyDescent="0.3">
      <c r="F16636"/>
      <c r="G16636"/>
      <c r="H16636"/>
      <c r="I16636"/>
    </row>
    <row r="16637" spans="6:9" x14ac:dyDescent="0.3">
      <c r="F16637"/>
      <c r="G16637"/>
      <c r="H16637"/>
      <c r="I16637"/>
    </row>
    <row r="16638" spans="6:9" x14ac:dyDescent="0.3">
      <c r="F16638"/>
      <c r="G16638"/>
      <c r="H16638"/>
      <c r="I16638"/>
    </row>
    <row r="16639" spans="6:9" x14ac:dyDescent="0.3">
      <c r="F16639"/>
      <c r="G16639"/>
      <c r="H16639"/>
      <c r="I16639"/>
    </row>
    <row r="16640" spans="6:9" x14ac:dyDescent="0.3">
      <c r="F16640"/>
      <c r="G16640"/>
      <c r="H16640"/>
      <c r="I16640"/>
    </row>
    <row r="16641" spans="6:9" x14ac:dyDescent="0.3">
      <c r="F16641"/>
      <c r="G16641"/>
      <c r="H16641"/>
      <c r="I16641"/>
    </row>
    <row r="16642" spans="6:9" x14ac:dyDescent="0.3">
      <c r="F16642"/>
      <c r="G16642"/>
      <c r="H16642"/>
      <c r="I16642"/>
    </row>
    <row r="16643" spans="6:9" x14ac:dyDescent="0.3">
      <c r="F16643"/>
      <c r="G16643"/>
      <c r="H16643"/>
      <c r="I16643"/>
    </row>
    <row r="16644" spans="6:9" x14ac:dyDescent="0.3">
      <c r="F16644"/>
      <c r="G16644"/>
      <c r="H16644"/>
      <c r="I16644"/>
    </row>
    <row r="16645" spans="6:9" x14ac:dyDescent="0.3">
      <c r="F16645"/>
      <c r="G16645"/>
      <c r="H16645"/>
      <c r="I16645"/>
    </row>
    <row r="16646" spans="6:9" x14ac:dyDescent="0.3">
      <c r="F16646"/>
      <c r="G16646"/>
      <c r="H16646"/>
      <c r="I16646"/>
    </row>
    <row r="16647" spans="6:9" x14ac:dyDescent="0.3">
      <c r="F16647"/>
      <c r="G16647"/>
      <c r="H16647"/>
      <c r="I16647"/>
    </row>
    <row r="16648" spans="6:9" x14ac:dyDescent="0.3">
      <c r="F16648"/>
      <c r="G16648"/>
      <c r="H16648"/>
      <c r="I16648"/>
    </row>
    <row r="16649" spans="6:9" x14ac:dyDescent="0.3">
      <c r="F16649"/>
      <c r="G16649"/>
      <c r="H16649"/>
      <c r="I16649"/>
    </row>
    <row r="16650" spans="6:9" x14ac:dyDescent="0.3">
      <c r="F16650"/>
      <c r="G16650"/>
      <c r="H16650"/>
      <c r="I16650"/>
    </row>
    <row r="16651" spans="6:9" x14ac:dyDescent="0.3">
      <c r="F16651"/>
      <c r="G16651"/>
      <c r="H16651"/>
      <c r="I16651"/>
    </row>
    <row r="16652" spans="6:9" x14ac:dyDescent="0.3">
      <c r="F16652"/>
      <c r="G16652"/>
      <c r="H16652"/>
      <c r="I16652"/>
    </row>
    <row r="16653" spans="6:9" x14ac:dyDescent="0.3">
      <c r="F16653"/>
      <c r="G16653"/>
      <c r="H16653"/>
      <c r="I16653"/>
    </row>
    <row r="16654" spans="6:9" x14ac:dyDescent="0.3">
      <c r="F16654"/>
      <c r="G16654"/>
      <c r="H16654"/>
      <c r="I16654"/>
    </row>
    <row r="16655" spans="6:9" x14ac:dyDescent="0.3">
      <c r="F16655"/>
      <c r="G16655"/>
      <c r="H16655"/>
      <c r="I16655"/>
    </row>
    <row r="16656" spans="6:9" x14ac:dyDescent="0.3">
      <c r="F16656"/>
      <c r="G16656"/>
      <c r="H16656"/>
      <c r="I16656"/>
    </row>
    <row r="16657" spans="6:9" x14ac:dyDescent="0.3">
      <c r="F16657"/>
      <c r="G16657"/>
      <c r="H16657"/>
      <c r="I16657"/>
    </row>
    <row r="16658" spans="6:9" x14ac:dyDescent="0.3">
      <c r="F16658"/>
      <c r="G16658"/>
      <c r="H16658"/>
      <c r="I16658"/>
    </row>
    <row r="16659" spans="6:9" x14ac:dyDescent="0.3">
      <c r="F16659"/>
      <c r="G16659"/>
      <c r="H16659"/>
      <c r="I16659"/>
    </row>
    <row r="16660" spans="6:9" x14ac:dyDescent="0.3">
      <c r="F16660"/>
      <c r="G16660"/>
      <c r="H16660"/>
      <c r="I16660"/>
    </row>
    <row r="16661" spans="6:9" x14ac:dyDescent="0.3">
      <c r="F16661"/>
      <c r="G16661"/>
      <c r="H16661"/>
      <c r="I16661"/>
    </row>
    <row r="16662" spans="6:9" x14ac:dyDescent="0.3">
      <c r="F16662"/>
      <c r="G16662"/>
      <c r="H16662"/>
      <c r="I16662"/>
    </row>
    <row r="16663" spans="6:9" x14ac:dyDescent="0.3">
      <c r="F16663"/>
      <c r="G16663"/>
      <c r="H16663"/>
      <c r="I16663"/>
    </row>
    <row r="16664" spans="6:9" x14ac:dyDescent="0.3">
      <c r="F16664"/>
      <c r="G16664"/>
      <c r="H16664"/>
      <c r="I16664"/>
    </row>
    <row r="16665" spans="6:9" x14ac:dyDescent="0.3">
      <c r="F16665"/>
      <c r="G16665"/>
      <c r="H16665"/>
      <c r="I16665"/>
    </row>
    <row r="16666" spans="6:9" x14ac:dyDescent="0.3">
      <c r="F16666"/>
      <c r="G16666"/>
      <c r="H16666"/>
      <c r="I16666"/>
    </row>
    <row r="16667" spans="6:9" x14ac:dyDescent="0.3">
      <c r="F16667"/>
      <c r="G16667"/>
      <c r="H16667"/>
      <c r="I16667"/>
    </row>
    <row r="16668" spans="6:9" x14ac:dyDescent="0.3">
      <c r="F16668"/>
      <c r="G16668"/>
      <c r="H16668"/>
      <c r="I16668"/>
    </row>
    <row r="16669" spans="6:9" x14ac:dyDescent="0.3">
      <c r="F16669"/>
      <c r="G16669"/>
      <c r="H16669"/>
      <c r="I16669"/>
    </row>
    <row r="16670" spans="6:9" x14ac:dyDescent="0.3">
      <c r="F16670"/>
      <c r="G16670"/>
      <c r="H16670"/>
      <c r="I16670"/>
    </row>
    <row r="16671" spans="6:9" x14ac:dyDescent="0.3">
      <c r="F16671"/>
      <c r="G16671"/>
      <c r="H16671"/>
      <c r="I16671"/>
    </row>
    <row r="16672" spans="6:9" x14ac:dyDescent="0.3">
      <c r="F16672"/>
      <c r="G16672"/>
      <c r="H16672"/>
      <c r="I16672"/>
    </row>
    <row r="16673" spans="6:9" x14ac:dyDescent="0.3">
      <c r="F16673"/>
      <c r="G16673"/>
      <c r="H16673"/>
      <c r="I16673"/>
    </row>
    <row r="16674" spans="6:9" x14ac:dyDescent="0.3">
      <c r="F16674"/>
      <c r="G16674"/>
      <c r="H16674"/>
      <c r="I16674"/>
    </row>
    <row r="16675" spans="6:9" x14ac:dyDescent="0.3">
      <c r="F16675"/>
      <c r="G16675"/>
      <c r="H16675"/>
      <c r="I16675"/>
    </row>
    <row r="16676" spans="6:9" x14ac:dyDescent="0.3">
      <c r="F16676"/>
      <c r="G16676"/>
      <c r="H16676"/>
      <c r="I16676"/>
    </row>
    <row r="16677" spans="6:9" x14ac:dyDescent="0.3">
      <c r="F16677"/>
      <c r="G16677"/>
      <c r="H16677"/>
      <c r="I16677"/>
    </row>
    <row r="16678" spans="6:9" x14ac:dyDescent="0.3">
      <c r="F16678"/>
      <c r="G16678"/>
      <c r="H16678"/>
      <c r="I16678"/>
    </row>
    <row r="16679" spans="6:9" x14ac:dyDescent="0.3">
      <c r="F16679"/>
      <c r="G16679"/>
      <c r="H16679"/>
      <c r="I16679"/>
    </row>
    <row r="16680" spans="6:9" x14ac:dyDescent="0.3">
      <c r="F16680"/>
      <c r="G16680"/>
      <c r="H16680"/>
      <c r="I16680"/>
    </row>
    <row r="16681" spans="6:9" x14ac:dyDescent="0.3">
      <c r="F16681"/>
      <c r="G16681"/>
      <c r="H16681"/>
      <c r="I16681"/>
    </row>
    <row r="16682" spans="6:9" x14ac:dyDescent="0.3">
      <c r="F16682"/>
      <c r="G16682"/>
      <c r="H16682"/>
      <c r="I16682"/>
    </row>
    <row r="16683" spans="6:9" x14ac:dyDescent="0.3">
      <c r="F16683"/>
      <c r="G16683"/>
      <c r="H16683"/>
      <c r="I16683"/>
    </row>
    <row r="16684" spans="6:9" x14ac:dyDescent="0.3">
      <c r="F16684"/>
      <c r="G16684"/>
      <c r="H16684"/>
      <c r="I16684"/>
    </row>
    <row r="16685" spans="6:9" x14ac:dyDescent="0.3">
      <c r="F16685"/>
      <c r="G16685"/>
      <c r="H16685"/>
      <c r="I16685"/>
    </row>
    <row r="16686" spans="6:9" x14ac:dyDescent="0.3">
      <c r="F16686"/>
      <c r="G16686"/>
      <c r="H16686"/>
      <c r="I16686"/>
    </row>
    <row r="16687" spans="6:9" x14ac:dyDescent="0.3">
      <c r="F16687"/>
      <c r="G16687"/>
      <c r="H16687"/>
      <c r="I16687"/>
    </row>
    <row r="16688" spans="6:9" x14ac:dyDescent="0.3">
      <c r="F16688"/>
      <c r="G16688"/>
      <c r="H16688"/>
      <c r="I16688"/>
    </row>
    <row r="16689" spans="6:9" x14ac:dyDescent="0.3">
      <c r="F16689"/>
      <c r="G16689"/>
      <c r="H16689"/>
      <c r="I16689"/>
    </row>
    <row r="16690" spans="6:9" x14ac:dyDescent="0.3">
      <c r="F16690"/>
      <c r="G16690"/>
      <c r="H16690"/>
      <c r="I16690"/>
    </row>
    <row r="16691" spans="6:9" x14ac:dyDescent="0.3">
      <c r="F16691"/>
      <c r="G16691"/>
      <c r="H16691"/>
      <c r="I16691"/>
    </row>
    <row r="16692" spans="6:9" x14ac:dyDescent="0.3">
      <c r="F16692"/>
      <c r="G16692"/>
      <c r="H16692"/>
      <c r="I16692"/>
    </row>
    <row r="16693" spans="6:9" x14ac:dyDescent="0.3">
      <c r="F16693"/>
      <c r="G16693"/>
      <c r="H16693"/>
      <c r="I16693"/>
    </row>
    <row r="16694" spans="6:9" x14ac:dyDescent="0.3">
      <c r="F16694"/>
      <c r="G16694"/>
      <c r="H16694"/>
      <c r="I16694"/>
    </row>
    <row r="16695" spans="6:9" x14ac:dyDescent="0.3">
      <c r="F16695"/>
      <c r="G16695"/>
      <c r="H16695"/>
      <c r="I16695"/>
    </row>
    <row r="16696" spans="6:9" x14ac:dyDescent="0.3">
      <c r="F16696"/>
      <c r="G16696"/>
      <c r="H16696"/>
      <c r="I16696"/>
    </row>
    <row r="16697" spans="6:9" x14ac:dyDescent="0.3">
      <c r="F16697"/>
      <c r="G16697"/>
      <c r="H16697"/>
      <c r="I16697"/>
    </row>
    <row r="16698" spans="6:9" x14ac:dyDescent="0.3">
      <c r="F16698"/>
      <c r="G16698"/>
      <c r="H16698"/>
      <c r="I16698"/>
    </row>
    <row r="16699" spans="6:9" x14ac:dyDescent="0.3">
      <c r="F16699"/>
      <c r="G16699"/>
      <c r="H16699"/>
      <c r="I16699"/>
    </row>
    <row r="16700" spans="6:9" x14ac:dyDescent="0.3">
      <c r="F16700"/>
      <c r="G16700"/>
      <c r="H16700"/>
      <c r="I16700"/>
    </row>
    <row r="16701" spans="6:9" x14ac:dyDescent="0.3">
      <c r="F16701"/>
      <c r="G16701"/>
      <c r="H16701"/>
      <c r="I16701"/>
    </row>
    <row r="16702" spans="6:9" x14ac:dyDescent="0.3">
      <c r="F16702"/>
      <c r="G16702"/>
      <c r="H16702"/>
      <c r="I16702"/>
    </row>
    <row r="16703" spans="6:9" x14ac:dyDescent="0.3">
      <c r="F16703"/>
      <c r="G16703"/>
      <c r="H16703"/>
      <c r="I16703"/>
    </row>
    <row r="16704" spans="6:9" x14ac:dyDescent="0.3">
      <c r="F16704"/>
      <c r="G16704"/>
      <c r="H16704"/>
      <c r="I16704"/>
    </row>
    <row r="16705" spans="6:9" x14ac:dyDescent="0.3">
      <c r="F16705"/>
      <c r="G16705"/>
      <c r="H16705"/>
      <c r="I16705"/>
    </row>
    <row r="16706" spans="6:9" x14ac:dyDescent="0.3">
      <c r="F16706"/>
      <c r="G16706"/>
      <c r="H16706"/>
      <c r="I16706"/>
    </row>
    <row r="16707" spans="6:9" x14ac:dyDescent="0.3">
      <c r="F16707"/>
      <c r="G16707"/>
      <c r="H16707"/>
      <c r="I16707"/>
    </row>
    <row r="16708" spans="6:9" x14ac:dyDescent="0.3">
      <c r="F16708"/>
      <c r="G16708"/>
      <c r="H16708"/>
      <c r="I16708"/>
    </row>
    <row r="16709" spans="6:9" x14ac:dyDescent="0.3">
      <c r="F16709"/>
      <c r="G16709"/>
      <c r="H16709"/>
      <c r="I16709"/>
    </row>
    <row r="16710" spans="6:9" x14ac:dyDescent="0.3">
      <c r="F16710"/>
      <c r="G16710"/>
      <c r="H16710"/>
      <c r="I16710"/>
    </row>
    <row r="16711" spans="6:9" x14ac:dyDescent="0.3">
      <c r="F16711"/>
      <c r="G16711"/>
      <c r="H16711"/>
      <c r="I16711"/>
    </row>
    <row r="16712" spans="6:9" x14ac:dyDescent="0.3">
      <c r="F16712"/>
      <c r="G16712"/>
      <c r="H16712"/>
      <c r="I16712"/>
    </row>
    <row r="16713" spans="6:9" x14ac:dyDescent="0.3">
      <c r="F16713"/>
      <c r="G16713"/>
      <c r="H16713"/>
      <c r="I16713"/>
    </row>
    <row r="16714" spans="6:9" x14ac:dyDescent="0.3">
      <c r="F16714"/>
      <c r="G16714"/>
      <c r="H16714"/>
      <c r="I16714"/>
    </row>
    <row r="16715" spans="6:9" x14ac:dyDescent="0.3">
      <c r="F16715"/>
      <c r="G16715"/>
      <c r="H16715"/>
      <c r="I16715"/>
    </row>
    <row r="16716" spans="6:9" x14ac:dyDescent="0.3">
      <c r="F16716"/>
      <c r="G16716"/>
      <c r="H16716"/>
      <c r="I16716"/>
    </row>
    <row r="16717" spans="6:9" x14ac:dyDescent="0.3">
      <c r="F16717"/>
      <c r="G16717"/>
      <c r="H16717"/>
      <c r="I16717"/>
    </row>
    <row r="16718" spans="6:9" x14ac:dyDescent="0.3">
      <c r="F16718"/>
      <c r="G16718"/>
      <c r="H16718"/>
      <c r="I16718"/>
    </row>
    <row r="16719" spans="6:9" x14ac:dyDescent="0.3">
      <c r="F16719"/>
      <c r="G16719"/>
      <c r="H16719"/>
      <c r="I16719"/>
    </row>
    <row r="16720" spans="6:9" x14ac:dyDescent="0.3">
      <c r="F16720"/>
      <c r="G16720"/>
      <c r="H16720"/>
      <c r="I16720"/>
    </row>
    <row r="16721" spans="6:9" x14ac:dyDescent="0.3">
      <c r="F16721"/>
      <c r="G16721"/>
      <c r="H16721"/>
      <c r="I16721"/>
    </row>
    <row r="16722" spans="6:9" x14ac:dyDescent="0.3">
      <c r="F16722"/>
      <c r="G16722"/>
      <c r="H16722"/>
      <c r="I16722"/>
    </row>
    <row r="16723" spans="6:9" x14ac:dyDescent="0.3">
      <c r="F16723"/>
      <c r="G16723"/>
      <c r="H16723"/>
      <c r="I16723"/>
    </row>
    <row r="16724" spans="6:9" x14ac:dyDescent="0.3">
      <c r="F16724"/>
      <c r="G16724"/>
      <c r="H16724"/>
      <c r="I16724"/>
    </row>
    <row r="16725" spans="6:9" x14ac:dyDescent="0.3">
      <c r="F16725"/>
      <c r="G16725"/>
      <c r="H16725"/>
      <c r="I16725"/>
    </row>
    <row r="16726" spans="6:9" x14ac:dyDescent="0.3">
      <c r="F16726"/>
      <c r="G16726"/>
      <c r="H16726"/>
      <c r="I16726"/>
    </row>
    <row r="16727" spans="6:9" x14ac:dyDescent="0.3">
      <c r="F16727"/>
      <c r="G16727"/>
      <c r="H16727"/>
      <c r="I16727"/>
    </row>
    <row r="16728" spans="6:9" x14ac:dyDescent="0.3">
      <c r="F16728"/>
      <c r="G16728"/>
      <c r="H16728"/>
      <c r="I16728"/>
    </row>
    <row r="16729" spans="6:9" x14ac:dyDescent="0.3">
      <c r="F16729"/>
      <c r="G16729"/>
      <c r="H16729"/>
      <c r="I16729"/>
    </row>
    <row r="16730" spans="6:9" x14ac:dyDescent="0.3">
      <c r="F16730"/>
      <c r="G16730"/>
      <c r="H16730"/>
      <c r="I16730"/>
    </row>
    <row r="16731" spans="6:9" x14ac:dyDescent="0.3">
      <c r="F16731"/>
      <c r="G16731"/>
      <c r="H16731"/>
      <c r="I16731"/>
    </row>
    <row r="16732" spans="6:9" x14ac:dyDescent="0.3">
      <c r="F16732"/>
      <c r="G16732"/>
      <c r="H16732"/>
      <c r="I16732"/>
    </row>
    <row r="16733" spans="6:9" x14ac:dyDescent="0.3">
      <c r="F16733"/>
      <c r="G16733"/>
      <c r="H16733"/>
      <c r="I16733"/>
    </row>
    <row r="16734" spans="6:9" x14ac:dyDescent="0.3">
      <c r="F16734"/>
      <c r="G16734"/>
      <c r="H16734"/>
      <c r="I16734"/>
    </row>
    <row r="16735" spans="6:9" x14ac:dyDescent="0.3">
      <c r="F16735"/>
      <c r="G16735"/>
      <c r="H16735"/>
      <c r="I16735"/>
    </row>
    <row r="16736" spans="6:9" x14ac:dyDescent="0.3">
      <c r="F16736"/>
      <c r="G16736"/>
      <c r="H16736"/>
      <c r="I16736"/>
    </row>
    <row r="16737" spans="6:9" x14ac:dyDescent="0.3">
      <c r="F16737"/>
      <c r="G16737"/>
      <c r="H16737"/>
      <c r="I16737"/>
    </row>
    <row r="16738" spans="6:9" x14ac:dyDescent="0.3">
      <c r="F16738"/>
      <c r="G16738"/>
      <c r="H16738"/>
      <c r="I16738"/>
    </row>
    <row r="16739" spans="6:9" x14ac:dyDescent="0.3">
      <c r="F16739"/>
      <c r="G16739"/>
      <c r="H16739"/>
      <c r="I16739"/>
    </row>
    <row r="16740" spans="6:9" x14ac:dyDescent="0.3">
      <c r="F16740"/>
      <c r="G16740"/>
      <c r="H16740"/>
      <c r="I16740"/>
    </row>
    <row r="16741" spans="6:9" x14ac:dyDescent="0.3">
      <c r="F16741"/>
      <c r="G16741"/>
      <c r="H16741"/>
      <c r="I16741"/>
    </row>
    <row r="16742" spans="6:9" x14ac:dyDescent="0.3">
      <c r="F16742"/>
      <c r="G16742"/>
      <c r="H16742"/>
      <c r="I16742"/>
    </row>
    <row r="16743" spans="6:9" x14ac:dyDescent="0.3">
      <c r="F16743"/>
      <c r="G16743"/>
      <c r="H16743"/>
      <c r="I16743"/>
    </row>
    <row r="16744" spans="6:9" x14ac:dyDescent="0.3">
      <c r="F16744"/>
      <c r="G16744"/>
      <c r="H16744"/>
      <c r="I16744"/>
    </row>
    <row r="16745" spans="6:9" x14ac:dyDescent="0.3">
      <c r="F16745"/>
      <c r="G16745"/>
      <c r="H16745"/>
      <c r="I16745"/>
    </row>
    <row r="16746" spans="6:9" x14ac:dyDescent="0.3">
      <c r="F16746"/>
      <c r="G16746"/>
      <c r="H16746"/>
      <c r="I16746"/>
    </row>
    <row r="16747" spans="6:9" x14ac:dyDescent="0.3">
      <c r="F16747"/>
      <c r="G16747"/>
      <c r="H16747"/>
      <c r="I16747"/>
    </row>
    <row r="16748" spans="6:9" x14ac:dyDescent="0.3">
      <c r="F16748"/>
      <c r="G16748"/>
      <c r="H16748"/>
      <c r="I16748"/>
    </row>
    <row r="16749" spans="6:9" x14ac:dyDescent="0.3">
      <c r="F16749"/>
      <c r="G16749"/>
      <c r="H16749"/>
      <c r="I16749"/>
    </row>
    <row r="16750" spans="6:9" x14ac:dyDescent="0.3">
      <c r="F16750"/>
      <c r="G16750"/>
      <c r="H16750"/>
      <c r="I16750"/>
    </row>
    <row r="16751" spans="6:9" x14ac:dyDescent="0.3">
      <c r="F16751"/>
      <c r="G16751"/>
      <c r="H16751"/>
      <c r="I16751"/>
    </row>
    <row r="16752" spans="6:9" x14ac:dyDescent="0.3">
      <c r="F16752"/>
      <c r="G16752"/>
      <c r="H16752"/>
      <c r="I16752"/>
    </row>
    <row r="16753" spans="6:9" x14ac:dyDescent="0.3">
      <c r="F16753"/>
      <c r="G16753"/>
      <c r="H16753"/>
      <c r="I16753"/>
    </row>
    <row r="16754" spans="6:9" x14ac:dyDescent="0.3">
      <c r="F16754"/>
      <c r="G16754"/>
      <c r="H16754"/>
      <c r="I16754"/>
    </row>
    <row r="16755" spans="6:9" x14ac:dyDescent="0.3">
      <c r="F16755"/>
      <c r="G16755"/>
      <c r="H16755"/>
      <c r="I16755"/>
    </row>
    <row r="16756" spans="6:9" x14ac:dyDescent="0.3">
      <c r="F16756"/>
      <c r="G16756"/>
      <c r="H16756"/>
      <c r="I16756"/>
    </row>
    <row r="16757" spans="6:9" x14ac:dyDescent="0.3">
      <c r="F16757"/>
      <c r="G16757"/>
      <c r="H16757"/>
      <c r="I16757"/>
    </row>
    <row r="16758" spans="6:9" x14ac:dyDescent="0.3">
      <c r="F16758"/>
      <c r="G16758"/>
      <c r="H16758"/>
      <c r="I16758"/>
    </row>
    <row r="16759" spans="6:9" x14ac:dyDescent="0.3">
      <c r="F16759"/>
      <c r="G16759"/>
      <c r="H16759"/>
      <c r="I16759"/>
    </row>
    <row r="16760" spans="6:9" x14ac:dyDescent="0.3">
      <c r="F16760"/>
      <c r="G16760"/>
      <c r="H16760"/>
      <c r="I16760"/>
    </row>
    <row r="16761" spans="6:9" x14ac:dyDescent="0.3">
      <c r="F16761"/>
      <c r="G16761"/>
      <c r="H16761"/>
      <c r="I16761"/>
    </row>
    <row r="16762" spans="6:9" x14ac:dyDescent="0.3">
      <c r="F16762"/>
      <c r="G16762"/>
      <c r="H16762"/>
      <c r="I16762"/>
    </row>
    <row r="16763" spans="6:9" x14ac:dyDescent="0.3">
      <c r="F16763"/>
      <c r="G16763"/>
      <c r="H16763"/>
      <c r="I16763"/>
    </row>
    <row r="16764" spans="6:9" x14ac:dyDescent="0.3">
      <c r="F16764"/>
      <c r="G16764"/>
      <c r="H16764"/>
      <c r="I16764"/>
    </row>
    <row r="16765" spans="6:9" x14ac:dyDescent="0.3">
      <c r="F16765"/>
      <c r="G16765"/>
      <c r="H16765"/>
      <c r="I16765"/>
    </row>
    <row r="16766" spans="6:9" x14ac:dyDescent="0.3">
      <c r="F16766"/>
      <c r="G16766"/>
      <c r="H16766"/>
      <c r="I16766"/>
    </row>
    <row r="16767" spans="6:9" x14ac:dyDescent="0.3">
      <c r="F16767"/>
      <c r="G16767"/>
      <c r="H16767"/>
      <c r="I16767"/>
    </row>
    <row r="16768" spans="6:9" x14ac:dyDescent="0.3">
      <c r="F16768"/>
      <c r="G16768"/>
      <c r="H16768"/>
      <c r="I16768"/>
    </row>
    <row r="16769" spans="6:9" x14ac:dyDescent="0.3">
      <c r="F16769"/>
      <c r="G16769"/>
      <c r="H16769"/>
      <c r="I16769"/>
    </row>
    <row r="16770" spans="6:9" x14ac:dyDescent="0.3">
      <c r="F16770"/>
      <c r="G16770"/>
      <c r="H16770"/>
      <c r="I16770"/>
    </row>
    <row r="16771" spans="6:9" x14ac:dyDescent="0.3">
      <c r="F16771"/>
      <c r="G16771"/>
      <c r="H16771"/>
      <c r="I16771"/>
    </row>
    <row r="16772" spans="6:9" x14ac:dyDescent="0.3">
      <c r="F16772"/>
      <c r="G16772"/>
      <c r="H16772"/>
      <c r="I16772"/>
    </row>
    <row r="16773" spans="6:9" x14ac:dyDescent="0.3">
      <c r="F16773"/>
      <c r="G16773"/>
      <c r="H16773"/>
      <c r="I16773"/>
    </row>
    <row r="16774" spans="6:9" x14ac:dyDescent="0.3">
      <c r="F16774"/>
      <c r="G16774"/>
      <c r="H16774"/>
      <c r="I16774"/>
    </row>
    <row r="16775" spans="6:9" x14ac:dyDescent="0.3">
      <c r="F16775"/>
      <c r="G16775"/>
      <c r="H16775"/>
      <c r="I16775"/>
    </row>
    <row r="16776" spans="6:9" x14ac:dyDescent="0.3">
      <c r="F16776"/>
      <c r="G16776"/>
      <c r="H16776"/>
      <c r="I16776"/>
    </row>
    <row r="16777" spans="6:9" x14ac:dyDescent="0.3">
      <c r="F16777"/>
      <c r="G16777"/>
      <c r="H16777"/>
      <c r="I16777"/>
    </row>
    <row r="16778" spans="6:9" x14ac:dyDescent="0.3">
      <c r="F16778"/>
      <c r="G16778"/>
      <c r="H16778"/>
      <c r="I16778"/>
    </row>
    <row r="16779" spans="6:9" x14ac:dyDescent="0.3">
      <c r="F16779"/>
      <c r="G16779"/>
      <c r="H16779"/>
      <c r="I16779"/>
    </row>
    <row r="16780" spans="6:9" x14ac:dyDescent="0.3">
      <c r="F16780"/>
      <c r="G16780"/>
      <c r="H16780"/>
      <c r="I16780"/>
    </row>
    <row r="16781" spans="6:9" x14ac:dyDescent="0.3">
      <c r="F16781"/>
      <c r="G16781"/>
      <c r="H16781"/>
      <c r="I16781"/>
    </row>
    <row r="16782" spans="6:9" x14ac:dyDescent="0.3">
      <c r="F16782"/>
      <c r="G16782"/>
      <c r="H16782"/>
      <c r="I16782"/>
    </row>
    <row r="16783" spans="6:9" x14ac:dyDescent="0.3">
      <c r="F16783"/>
      <c r="G16783"/>
      <c r="H16783"/>
      <c r="I16783"/>
    </row>
    <row r="16784" spans="6:9" x14ac:dyDescent="0.3">
      <c r="F16784"/>
      <c r="G16784"/>
      <c r="H16784"/>
      <c r="I16784"/>
    </row>
    <row r="16785" spans="6:9" x14ac:dyDescent="0.3">
      <c r="F16785"/>
      <c r="G16785"/>
      <c r="H16785"/>
      <c r="I16785"/>
    </row>
    <row r="16786" spans="6:9" x14ac:dyDescent="0.3">
      <c r="F16786"/>
      <c r="G16786"/>
      <c r="H16786"/>
      <c r="I16786"/>
    </row>
    <row r="16787" spans="6:9" x14ac:dyDescent="0.3">
      <c r="F16787"/>
      <c r="G16787"/>
      <c r="H16787"/>
      <c r="I16787"/>
    </row>
    <row r="16788" spans="6:9" x14ac:dyDescent="0.3">
      <c r="F16788"/>
      <c r="G16788"/>
      <c r="H16788"/>
      <c r="I16788"/>
    </row>
    <row r="16789" spans="6:9" x14ac:dyDescent="0.3">
      <c r="F16789"/>
      <c r="G16789"/>
      <c r="H16789"/>
      <c r="I16789"/>
    </row>
    <row r="16790" spans="6:9" x14ac:dyDescent="0.3">
      <c r="F16790"/>
      <c r="G16790"/>
      <c r="H16790"/>
      <c r="I16790"/>
    </row>
    <row r="16791" spans="6:9" x14ac:dyDescent="0.3">
      <c r="F16791"/>
      <c r="G16791"/>
      <c r="H16791"/>
      <c r="I16791"/>
    </row>
    <row r="16792" spans="6:9" x14ac:dyDescent="0.3">
      <c r="F16792"/>
      <c r="G16792"/>
      <c r="H16792"/>
      <c r="I16792"/>
    </row>
    <row r="16793" spans="6:9" x14ac:dyDescent="0.3">
      <c r="F16793"/>
      <c r="G16793"/>
      <c r="H16793"/>
      <c r="I16793"/>
    </row>
    <row r="16794" spans="6:9" x14ac:dyDescent="0.3">
      <c r="F16794"/>
      <c r="G16794"/>
      <c r="H16794"/>
      <c r="I16794"/>
    </row>
    <row r="16795" spans="6:9" x14ac:dyDescent="0.3">
      <c r="F16795"/>
      <c r="G16795"/>
      <c r="H16795"/>
      <c r="I16795"/>
    </row>
    <row r="16796" spans="6:9" x14ac:dyDescent="0.3">
      <c r="F16796"/>
      <c r="G16796"/>
      <c r="H16796"/>
      <c r="I16796"/>
    </row>
    <row r="16797" spans="6:9" x14ac:dyDescent="0.3">
      <c r="F16797"/>
      <c r="G16797"/>
      <c r="H16797"/>
      <c r="I16797"/>
    </row>
    <row r="16798" spans="6:9" x14ac:dyDescent="0.3">
      <c r="F16798"/>
      <c r="G16798"/>
      <c r="H16798"/>
      <c r="I16798"/>
    </row>
    <row r="16799" spans="6:9" x14ac:dyDescent="0.3">
      <c r="F16799"/>
      <c r="G16799"/>
      <c r="H16799"/>
      <c r="I16799"/>
    </row>
    <row r="16800" spans="6:9" x14ac:dyDescent="0.3">
      <c r="F16800"/>
      <c r="G16800"/>
      <c r="H16800"/>
      <c r="I16800"/>
    </row>
    <row r="16801" spans="6:9" x14ac:dyDescent="0.3">
      <c r="F16801"/>
      <c r="G16801"/>
      <c r="H16801"/>
      <c r="I16801"/>
    </row>
    <row r="16802" spans="6:9" x14ac:dyDescent="0.3">
      <c r="F16802"/>
      <c r="G16802"/>
      <c r="H16802"/>
      <c r="I16802"/>
    </row>
    <row r="16803" spans="6:9" x14ac:dyDescent="0.3">
      <c r="F16803"/>
      <c r="G16803"/>
      <c r="H16803"/>
      <c r="I16803"/>
    </row>
    <row r="16804" spans="6:9" x14ac:dyDescent="0.3">
      <c r="F16804"/>
      <c r="G16804"/>
      <c r="H16804"/>
      <c r="I16804"/>
    </row>
    <row r="16805" spans="6:9" x14ac:dyDescent="0.3">
      <c r="F16805"/>
      <c r="G16805"/>
      <c r="H16805"/>
      <c r="I16805"/>
    </row>
    <row r="16806" spans="6:9" x14ac:dyDescent="0.3">
      <c r="F16806"/>
      <c r="G16806"/>
      <c r="H16806"/>
      <c r="I16806"/>
    </row>
    <row r="16807" spans="6:9" x14ac:dyDescent="0.3">
      <c r="F16807"/>
      <c r="G16807"/>
      <c r="H16807"/>
      <c r="I16807"/>
    </row>
    <row r="16808" spans="6:9" x14ac:dyDescent="0.3">
      <c r="F16808"/>
      <c r="G16808"/>
      <c r="H16808"/>
      <c r="I16808"/>
    </row>
    <row r="16809" spans="6:9" x14ac:dyDescent="0.3">
      <c r="F16809"/>
      <c r="G16809"/>
      <c r="H16809"/>
      <c r="I16809"/>
    </row>
    <row r="16810" spans="6:9" x14ac:dyDescent="0.3">
      <c r="F16810"/>
      <c r="G16810"/>
      <c r="H16810"/>
      <c r="I16810"/>
    </row>
    <row r="16811" spans="6:9" x14ac:dyDescent="0.3">
      <c r="F16811"/>
      <c r="G16811"/>
      <c r="H16811"/>
      <c r="I16811"/>
    </row>
    <row r="16812" spans="6:9" x14ac:dyDescent="0.3">
      <c r="F16812"/>
      <c r="G16812"/>
      <c r="H16812"/>
      <c r="I16812"/>
    </row>
    <row r="16813" spans="6:9" x14ac:dyDescent="0.3">
      <c r="F16813"/>
      <c r="G16813"/>
      <c r="H16813"/>
      <c r="I16813"/>
    </row>
    <row r="16814" spans="6:9" x14ac:dyDescent="0.3">
      <c r="F16814"/>
      <c r="G16814"/>
      <c r="H16814"/>
      <c r="I16814"/>
    </row>
    <row r="16815" spans="6:9" x14ac:dyDescent="0.3">
      <c r="F16815"/>
      <c r="G16815"/>
      <c r="H16815"/>
      <c r="I16815"/>
    </row>
    <row r="16816" spans="6:9" x14ac:dyDescent="0.3">
      <c r="F16816"/>
      <c r="G16816"/>
      <c r="H16816"/>
      <c r="I16816"/>
    </row>
    <row r="16817" spans="6:9" x14ac:dyDescent="0.3">
      <c r="F16817"/>
      <c r="G16817"/>
      <c r="H16817"/>
      <c r="I16817"/>
    </row>
    <row r="16818" spans="6:9" x14ac:dyDescent="0.3">
      <c r="F16818"/>
      <c r="G16818"/>
      <c r="H16818"/>
      <c r="I16818"/>
    </row>
    <row r="16819" spans="6:9" x14ac:dyDescent="0.3">
      <c r="F16819"/>
      <c r="G16819"/>
      <c r="H16819"/>
      <c r="I16819"/>
    </row>
    <row r="16820" spans="6:9" x14ac:dyDescent="0.3">
      <c r="F16820"/>
      <c r="G16820"/>
      <c r="H16820"/>
      <c r="I16820"/>
    </row>
    <row r="16821" spans="6:9" x14ac:dyDescent="0.3">
      <c r="F16821"/>
      <c r="G16821"/>
      <c r="H16821"/>
      <c r="I16821"/>
    </row>
    <row r="16822" spans="6:9" x14ac:dyDescent="0.3">
      <c r="F16822"/>
      <c r="G16822"/>
      <c r="H16822"/>
      <c r="I16822"/>
    </row>
    <row r="16823" spans="6:9" x14ac:dyDescent="0.3">
      <c r="F16823"/>
      <c r="G16823"/>
      <c r="H16823"/>
      <c r="I16823"/>
    </row>
    <row r="16824" spans="6:9" x14ac:dyDescent="0.3">
      <c r="F16824"/>
      <c r="G16824"/>
      <c r="H16824"/>
      <c r="I16824"/>
    </row>
    <row r="16825" spans="6:9" x14ac:dyDescent="0.3">
      <c r="F16825"/>
      <c r="G16825"/>
      <c r="H16825"/>
      <c r="I16825"/>
    </row>
    <row r="16826" spans="6:9" x14ac:dyDescent="0.3">
      <c r="F16826"/>
      <c r="G16826"/>
      <c r="H16826"/>
      <c r="I16826"/>
    </row>
    <row r="16827" spans="6:9" x14ac:dyDescent="0.3">
      <c r="F16827"/>
      <c r="G16827"/>
      <c r="H16827"/>
      <c r="I16827"/>
    </row>
    <row r="16828" spans="6:9" x14ac:dyDescent="0.3">
      <c r="F16828"/>
      <c r="G16828"/>
      <c r="H16828"/>
      <c r="I16828"/>
    </row>
    <row r="16829" spans="6:9" x14ac:dyDescent="0.3">
      <c r="F16829"/>
      <c r="G16829"/>
      <c r="H16829"/>
      <c r="I16829"/>
    </row>
    <row r="16830" spans="6:9" x14ac:dyDescent="0.3">
      <c r="F16830"/>
      <c r="G16830"/>
      <c r="H16830"/>
      <c r="I16830"/>
    </row>
    <row r="16831" spans="6:9" x14ac:dyDescent="0.3">
      <c r="F16831"/>
      <c r="G16831"/>
      <c r="H16831"/>
      <c r="I16831"/>
    </row>
    <row r="16832" spans="6:9" x14ac:dyDescent="0.3">
      <c r="F16832"/>
      <c r="G16832"/>
      <c r="H16832"/>
      <c r="I16832"/>
    </row>
    <row r="16833" spans="6:9" x14ac:dyDescent="0.3">
      <c r="F16833"/>
      <c r="G16833"/>
      <c r="H16833"/>
      <c r="I16833"/>
    </row>
    <row r="16834" spans="6:9" x14ac:dyDescent="0.3">
      <c r="F16834"/>
      <c r="G16834"/>
      <c r="H16834"/>
      <c r="I16834"/>
    </row>
    <row r="16835" spans="6:9" x14ac:dyDescent="0.3">
      <c r="F16835"/>
      <c r="G16835"/>
      <c r="H16835"/>
      <c r="I16835"/>
    </row>
    <row r="16836" spans="6:9" x14ac:dyDescent="0.3">
      <c r="F16836"/>
      <c r="G16836"/>
      <c r="H16836"/>
      <c r="I16836"/>
    </row>
    <row r="16837" spans="6:9" x14ac:dyDescent="0.3">
      <c r="F16837"/>
      <c r="G16837"/>
      <c r="H16837"/>
      <c r="I16837"/>
    </row>
    <row r="16838" spans="6:9" x14ac:dyDescent="0.3">
      <c r="F16838"/>
      <c r="G16838"/>
      <c r="H16838"/>
      <c r="I16838"/>
    </row>
    <row r="16839" spans="6:9" x14ac:dyDescent="0.3">
      <c r="F16839"/>
      <c r="G16839"/>
      <c r="H16839"/>
      <c r="I16839"/>
    </row>
    <row r="16840" spans="6:9" x14ac:dyDescent="0.3">
      <c r="F16840"/>
      <c r="G16840"/>
      <c r="H16840"/>
      <c r="I16840"/>
    </row>
    <row r="16841" spans="6:9" x14ac:dyDescent="0.3">
      <c r="F16841"/>
      <c r="G16841"/>
      <c r="H16841"/>
      <c r="I16841"/>
    </row>
    <row r="16842" spans="6:9" x14ac:dyDescent="0.3">
      <c r="F16842"/>
      <c r="G16842"/>
      <c r="H16842"/>
      <c r="I16842"/>
    </row>
    <row r="16843" spans="6:9" x14ac:dyDescent="0.3">
      <c r="F16843"/>
      <c r="G16843"/>
      <c r="H16843"/>
      <c r="I16843"/>
    </row>
    <row r="16844" spans="6:9" x14ac:dyDescent="0.3">
      <c r="F16844"/>
      <c r="G16844"/>
      <c r="H16844"/>
      <c r="I16844"/>
    </row>
    <row r="16845" spans="6:9" x14ac:dyDescent="0.3">
      <c r="F16845"/>
      <c r="G16845"/>
      <c r="H16845"/>
      <c r="I16845"/>
    </row>
    <row r="16846" spans="6:9" x14ac:dyDescent="0.3">
      <c r="F16846"/>
      <c r="G16846"/>
      <c r="H16846"/>
      <c r="I16846"/>
    </row>
    <row r="16847" spans="6:9" x14ac:dyDescent="0.3">
      <c r="F16847"/>
      <c r="G16847"/>
      <c r="H16847"/>
      <c r="I16847"/>
    </row>
    <row r="16848" spans="6:9" x14ac:dyDescent="0.3">
      <c r="F16848"/>
      <c r="G16848"/>
      <c r="H16848"/>
      <c r="I16848"/>
    </row>
    <row r="16849" spans="6:9" x14ac:dyDescent="0.3">
      <c r="F16849"/>
      <c r="G16849"/>
      <c r="H16849"/>
      <c r="I16849"/>
    </row>
    <row r="16850" spans="6:9" x14ac:dyDescent="0.3">
      <c r="F16850"/>
      <c r="G16850"/>
      <c r="H16850"/>
      <c r="I16850"/>
    </row>
    <row r="16851" spans="6:9" x14ac:dyDescent="0.3">
      <c r="F16851"/>
      <c r="G16851"/>
      <c r="H16851"/>
      <c r="I16851"/>
    </row>
    <row r="16852" spans="6:9" x14ac:dyDescent="0.3">
      <c r="F16852"/>
      <c r="G16852"/>
      <c r="H16852"/>
      <c r="I16852"/>
    </row>
    <row r="16853" spans="6:9" x14ac:dyDescent="0.3">
      <c r="F16853"/>
      <c r="G16853"/>
      <c r="H16853"/>
      <c r="I16853"/>
    </row>
    <row r="16854" spans="6:9" x14ac:dyDescent="0.3">
      <c r="F16854"/>
      <c r="G16854"/>
      <c r="H16854"/>
      <c r="I16854"/>
    </row>
    <row r="16855" spans="6:9" x14ac:dyDescent="0.3">
      <c r="F16855"/>
      <c r="G16855"/>
      <c r="H16855"/>
      <c r="I16855"/>
    </row>
    <row r="16856" spans="6:9" x14ac:dyDescent="0.3">
      <c r="F16856"/>
      <c r="G16856"/>
      <c r="H16856"/>
      <c r="I16856"/>
    </row>
    <row r="16857" spans="6:9" x14ac:dyDescent="0.3">
      <c r="F16857"/>
      <c r="G16857"/>
      <c r="H16857"/>
      <c r="I16857"/>
    </row>
    <row r="16858" spans="6:9" x14ac:dyDescent="0.3">
      <c r="F16858"/>
      <c r="G16858"/>
      <c r="H16858"/>
      <c r="I16858"/>
    </row>
    <row r="16859" spans="6:9" x14ac:dyDescent="0.3">
      <c r="F16859"/>
      <c r="G16859"/>
      <c r="H16859"/>
      <c r="I16859"/>
    </row>
    <row r="16860" spans="6:9" x14ac:dyDescent="0.3">
      <c r="F16860"/>
      <c r="G16860"/>
      <c r="H16860"/>
      <c r="I16860"/>
    </row>
    <row r="16861" spans="6:9" x14ac:dyDescent="0.3">
      <c r="F16861"/>
      <c r="G16861"/>
      <c r="H16861"/>
      <c r="I16861"/>
    </row>
    <row r="16862" spans="6:9" x14ac:dyDescent="0.3">
      <c r="F16862"/>
      <c r="G16862"/>
      <c r="H16862"/>
      <c r="I16862"/>
    </row>
    <row r="16863" spans="6:9" x14ac:dyDescent="0.3">
      <c r="F16863"/>
      <c r="G16863"/>
      <c r="H16863"/>
      <c r="I16863"/>
    </row>
    <row r="16864" spans="6:9" x14ac:dyDescent="0.3">
      <c r="F16864"/>
      <c r="G16864"/>
      <c r="H16864"/>
      <c r="I16864"/>
    </row>
    <row r="16865" spans="6:9" x14ac:dyDescent="0.3">
      <c r="F16865"/>
      <c r="G16865"/>
      <c r="H16865"/>
      <c r="I16865"/>
    </row>
    <row r="16866" spans="6:9" x14ac:dyDescent="0.3">
      <c r="F16866"/>
      <c r="G16866"/>
      <c r="H16866"/>
      <c r="I16866"/>
    </row>
    <row r="16867" spans="6:9" x14ac:dyDescent="0.3">
      <c r="F16867"/>
      <c r="G16867"/>
      <c r="H16867"/>
      <c r="I16867"/>
    </row>
    <row r="16868" spans="6:9" x14ac:dyDescent="0.3">
      <c r="F16868"/>
      <c r="G16868"/>
      <c r="H16868"/>
      <c r="I16868"/>
    </row>
    <row r="16869" spans="6:9" x14ac:dyDescent="0.3">
      <c r="F16869"/>
      <c r="G16869"/>
      <c r="H16869"/>
      <c r="I16869"/>
    </row>
    <row r="16870" spans="6:9" x14ac:dyDescent="0.3">
      <c r="F16870"/>
      <c r="G16870"/>
      <c r="H16870"/>
      <c r="I16870"/>
    </row>
    <row r="16871" spans="6:9" x14ac:dyDescent="0.3">
      <c r="F16871"/>
      <c r="G16871"/>
      <c r="H16871"/>
      <c r="I16871"/>
    </row>
    <row r="16872" spans="6:9" x14ac:dyDescent="0.3">
      <c r="F16872"/>
      <c r="G16872"/>
      <c r="H16872"/>
      <c r="I16872"/>
    </row>
    <row r="16873" spans="6:9" x14ac:dyDescent="0.3">
      <c r="F16873"/>
      <c r="G16873"/>
      <c r="H16873"/>
      <c r="I16873"/>
    </row>
    <row r="16874" spans="6:9" x14ac:dyDescent="0.3">
      <c r="F16874"/>
      <c r="G16874"/>
      <c r="H16874"/>
      <c r="I16874"/>
    </row>
    <row r="16875" spans="6:9" x14ac:dyDescent="0.3">
      <c r="F16875"/>
      <c r="G16875"/>
      <c r="H16875"/>
      <c r="I16875"/>
    </row>
    <row r="16876" spans="6:9" x14ac:dyDescent="0.3">
      <c r="F16876"/>
      <c r="G16876"/>
      <c r="H16876"/>
      <c r="I16876"/>
    </row>
    <row r="16877" spans="6:9" x14ac:dyDescent="0.3">
      <c r="F16877"/>
      <c r="G16877"/>
      <c r="H16877"/>
      <c r="I16877"/>
    </row>
    <row r="16878" spans="6:9" x14ac:dyDescent="0.3">
      <c r="F16878"/>
      <c r="G16878"/>
      <c r="H16878"/>
      <c r="I16878"/>
    </row>
    <row r="16879" spans="6:9" x14ac:dyDescent="0.3">
      <c r="F16879"/>
      <c r="G16879"/>
      <c r="H16879"/>
      <c r="I16879"/>
    </row>
    <row r="16880" spans="6:9" x14ac:dyDescent="0.3">
      <c r="F16880"/>
      <c r="G16880"/>
      <c r="H16880"/>
      <c r="I16880"/>
    </row>
    <row r="16881" spans="6:9" x14ac:dyDescent="0.3">
      <c r="F16881"/>
      <c r="G16881"/>
      <c r="H16881"/>
      <c r="I16881"/>
    </row>
    <row r="16882" spans="6:9" x14ac:dyDescent="0.3">
      <c r="F16882"/>
      <c r="G16882"/>
      <c r="H16882"/>
      <c r="I16882"/>
    </row>
    <row r="16883" spans="6:9" x14ac:dyDescent="0.3">
      <c r="F16883"/>
      <c r="G16883"/>
      <c r="H16883"/>
      <c r="I16883"/>
    </row>
    <row r="16884" spans="6:9" x14ac:dyDescent="0.3">
      <c r="F16884"/>
      <c r="G16884"/>
      <c r="H16884"/>
      <c r="I16884"/>
    </row>
    <row r="16885" spans="6:9" x14ac:dyDescent="0.3">
      <c r="F16885"/>
      <c r="G16885"/>
      <c r="H16885"/>
      <c r="I16885"/>
    </row>
    <row r="16886" spans="6:9" x14ac:dyDescent="0.3">
      <c r="F16886"/>
      <c r="G16886"/>
      <c r="H16886"/>
      <c r="I16886"/>
    </row>
    <row r="16887" spans="6:9" x14ac:dyDescent="0.3">
      <c r="F16887"/>
      <c r="G16887"/>
      <c r="H16887"/>
      <c r="I16887"/>
    </row>
    <row r="16888" spans="6:9" x14ac:dyDescent="0.3">
      <c r="F16888"/>
      <c r="G16888"/>
      <c r="H16888"/>
      <c r="I16888"/>
    </row>
    <row r="16889" spans="6:9" x14ac:dyDescent="0.3">
      <c r="F16889"/>
      <c r="G16889"/>
      <c r="H16889"/>
      <c r="I16889"/>
    </row>
    <row r="16890" spans="6:9" x14ac:dyDescent="0.3">
      <c r="F16890"/>
      <c r="G16890"/>
      <c r="H16890"/>
      <c r="I16890"/>
    </row>
    <row r="16891" spans="6:9" x14ac:dyDescent="0.3">
      <c r="F16891"/>
      <c r="G16891"/>
      <c r="H16891"/>
      <c r="I16891"/>
    </row>
    <row r="16892" spans="6:9" x14ac:dyDescent="0.3">
      <c r="F16892"/>
      <c r="G16892"/>
      <c r="H16892"/>
      <c r="I16892"/>
    </row>
    <row r="16893" spans="6:9" x14ac:dyDescent="0.3">
      <c r="F16893"/>
      <c r="G16893"/>
      <c r="H16893"/>
      <c r="I16893"/>
    </row>
    <row r="16894" spans="6:9" x14ac:dyDescent="0.3">
      <c r="F16894"/>
      <c r="G16894"/>
      <c r="H16894"/>
      <c r="I16894"/>
    </row>
    <row r="16895" spans="6:9" x14ac:dyDescent="0.3">
      <c r="F16895"/>
      <c r="G16895"/>
      <c r="H16895"/>
      <c r="I16895"/>
    </row>
    <row r="16896" spans="6:9" x14ac:dyDescent="0.3">
      <c r="F16896"/>
      <c r="G16896"/>
      <c r="H16896"/>
      <c r="I16896"/>
    </row>
    <row r="16897" spans="6:9" x14ac:dyDescent="0.3">
      <c r="F16897"/>
      <c r="G16897"/>
      <c r="H16897"/>
      <c r="I16897"/>
    </row>
    <row r="16898" spans="6:9" x14ac:dyDescent="0.3">
      <c r="F16898"/>
      <c r="G16898"/>
      <c r="H16898"/>
      <c r="I16898"/>
    </row>
    <row r="16899" spans="6:9" x14ac:dyDescent="0.3">
      <c r="F16899"/>
      <c r="G16899"/>
      <c r="H16899"/>
      <c r="I16899"/>
    </row>
    <row r="16900" spans="6:9" x14ac:dyDescent="0.3">
      <c r="F16900"/>
      <c r="G16900"/>
      <c r="H16900"/>
      <c r="I16900"/>
    </row>
    <row r="16901" spans="6:9" x14ac:dyDescent="0.3">
      <c r="F16901"/>
      <c r="G16901"/>
      <c r="H16901"/>
      <c r="I16901"/>
    </row>
    <row r="16902" spans="6:9" x14ac:dyDescent="0.3">
      <c r="F16902"/>
      <c r="G16902"/>
      <c r="H16902"/>
      <c r="I16902"/>
    </row>
    <row r="16903" spans="6:9" x14ac:dyDescent="0.3">
      <c r="F16903"/>
      <c r="G16903"/>
      <c r="H16903"/>
      <c r="I16903"/>
    </row>
    <row r="16904" spans="6:9" x14ac:dyDescent="0.3">
      <c r="F16904"/>
      <c r="G16904"/>
      <c r="H16904"/>
      <c r="I16904"/>
    </row>
    <row r="16905" spans="6:9" x14ac:dyDescent="0.3">
      <c r="F16905"/>
      <c r="G16905"/>
      <c r="H16905"/>
      <c r="I16905"/>
    </row>
    <row r="16906" spans="6:9" x14ac:dyDescent="0.3">
      <c r="F16906"/>
      <c r="G16906"/>
      <c r="H16906"/>
      <c r="I16906"/>
    </row>
    <row r="16907" spans="6:9" x14ac:dyDescent="0.3">
      <c r="F16907"/>
      <c r="G16907"/>
      <c r="H16907"/>
      <c r="I16907"/>
    </row>
    <row r="16908" spans="6:9" x14ac:dyDescent="0.3">
      <c r="F16908"/>
      <c r="G16908"/>
      <c r="H16908"/>
      <c r="I16908"/>
    </row>
    <row r="16909" spans="6:9" x14ac:dyDescent="0.3">
      <c r="F16909"/>
      <c r="G16909"/>
      <c r="H16909"/>
      <c r="I16909"/>
    </row>
    <row r="16910" spans="6:9" x14ac:dyDescent="0.3">
      <c r="F16910"/>
      <c r="G16910"/>
      <c r="H16910"/>
      <c r="I16910"/>
    </row>
    <row r="16911" spans="6:9" x14ac:dyDescent="0.3">
      <c r="F16911"/>
      <c r="G16911"/>
      <c r="H16911"/>
      <c r="I16911"/>
    </row>
    <row r="16912" spans="6:9" x14ac:dyDescent="0.3">
      <c r="F16912"/>
      <c r="G16912"/>
      <c r="H16912"/>
      <c r="I16912"/>
    </row>
    <row r="16913" spans="6:9" x14ac:dyDescent="0.3">
      <c r="F16913"/>
      <c r="G16913"/>
      <c r="H16913"/>
      <c r="I16913"/>
    </row>
    <row r="16914" spans="6:9" x14ac:dyDescent="0.3">
      <c r="F16914"/>
      <c r="G16914"/>
      <c r="H16914"/>
      <c r="I16914"/>
    </row>
    <row r="16915" spans="6:9" x14ac:dyDescent="0.3">
      <c r="F16915"/>
      <c r="G16915"/>
      <c r="H16915"/>
      <c r="I16915"/>
    </row>
    <row r="16916" spans="6:9" x14ac:dyDescent="0.3">
      <c r="F16916"/>
      <c r="G16916"/>
      <c r="H16916"/>
      <c r="I16916"/>
    </row>
    <row r="16917" spans="6:9" x14ac:dyDescent="0.3">
      <c r="F16917"/>
      <c r="G16917"/>
      <c r="H16917"/>
      <c r="I16917"/>
    </row>
    <row r="16918" spans="6:9" x14ac:dyDescent="0.3">
      <c r="F16918"/>
      <c r="G16918"/>
      <c r="H16918"/>
      <c r="I16918"/>
    </row>
    <row r="16919" spans="6:9" x14ac:dyDescent="0.3">
      <c r="F16919"/>
      <c r="G16919"/>
      <c r="H16919"/>
      <c r="I16919"/>
    </row>
    <row r="16920" spans="6:9" x14ac:dyDescent="0.3">
      <c r="F16920"/>
      <c r="G16920"/>
      <c r="H16920"/>
      <c r="I16920"/>
    </row>
    <row r="16921" spans="6:9" x14ac:dyDescent="0.3">
      <c r="F16921"/>
      <c r="G16921"/>
      <c r="H16921"/>
      <c r="I16921"/>
    </row>
    <row r="16922" spans="6:9" x14ac:dyDescent="0.3">
      <c r="F16922"/>
      <c r="G16922"/>
      <c r="H16922"/>
      <c r="I16922"/>
    </row>
    <row r="16923" spans="6:9" x14ac:dyDescent="0.3">
      <c r="F16923"/>
      <c r="G16923"/>
      <c r="H16923"/>
      <c r="I16923"/>
    </row>
    <row r="16924" spans="6:9" x14ac:dyDescent="0.3">
      <c r="F16924"/>
      <c r="G16924"/>
      <c r="H16924"/>
      <c r="I16924"/>
    </row>
    <row r="16925" spans="6:9" x14ac:dyDescent="0.3">
      <c r="F16925"/>
      <c r="G16925"/>
      <c r="H16925"/>
      <c r="I16925"/>
    </row>
    <row r="16926" spans="6:9" x14ac:dyDescent="0.3">
      <c r="F16926"/>
      <c r="G16926"/>
      <c r="H16926"/>
      <c r="I16926"/>
    </row>
    <row r="16927" spans="6:9" x14ac:dyDescent="0.3">
      <c r="F16927"/>
      <c r="G16927"/>
      <c r="H16927"/>
      <c r="I16927"/>
    </row>
    <row r="16928" spans="6:9" x14ac:dyDescent="0.3">
      <c r="F16928"/>
      <c r="G16928"/>
      <c r="H16928"/>
      <c r="I16928"/>
    </row>
    <row r="16929" spans="6:9" x14ac:dyDescent="0.3">
      <c r="F16929"/>
      <c r="G16929"/>
      <c r="H16929"/>
      <c r="I16929"/>
    </row>
    <row r="16930" spans="6:9" x14ac:dyDescent="0.3">
      <c r="F16930"/>
      <c r="G16930"/>
      <c r="H16930"/>
      <c r="I16930"/>
    </row>
    <row r="16931" spans="6:9" x14ac:dyDescent="0.3">
      <c r="F16931"/>
      <c r="G16931"/>
      <c r="H16931"/>
      <c r="I16931"/>
    </row>
    <row r="16932" spans="6:9" x14ac:dyDescent="0.3">
      <c r="F16932"/>
      <c r="G16932"/>
      <c r="H16932"/>
      <c r="I16932"/>
    </row>
    <row r="16933" spans="6:9" x14ac:dyDescent="0.3">
      <c r="F16933"/>
      <c r="G16933"/>
      <c r="H16933"/>
      <c r="I16933"/>
    </row>
    <row r="16934" spans="6:9" x14ac:dyDescent="0.3">
      <c r="F16934"/>
      <c r="G16934"/>
      <c r="H16934"/>
      <c r="I16934"/>
    </row>
    <row r="16935" spans="6:9" x14ac:dyDescent="0.3">
      <c r="F16935"/>
      <c r="G16935"/>
      <c r="H16935"/>
      <c r="I16935"/>
    </row>
    <row r="16936" spans="6:9" x14ac:dyDescent="0.3">
      <c r="F16936"/>
      <c r="G16936"/>
      <c r="H16936"/>
      <c r="I16936"/>
    </row>
    <row r="16937" spans="6:9" x14ac:dyDescent="0.3">
      <c r="F16937"/>
      <c r="G16937"/>
      <c r="H16937"/>
      <c r="I16937"/>
    </row>
    <row r="16938" spans="6:9" x14ac:dyDescent="0.3">
      <c r="F16938"/>
      <c r="G16938"/>
      <c r="H16938"/>
      <c r="I16938"/>
    </row>
    <row r="16939" spans="6:9" x14ac:dyDescent="0.3">
      <c r="F16939"/>
      <c r="G16939"/>
      <c r="H16939"/>
      <c r="I16939"/>
    </row>
    <row r="16940" spans="6:9" x14ac:dyDescent="0.3">
      <c r="F16940"/>
      <c r="G16940"/>
      <c r="H16940"/>
      <c r="I16940"/>
    </row>
    <row r="16941" spans="6:9" x14ac:dyDescent="0.3">
      <c r="F16941"/>
      <c r="G16941"/>
      <c r="H16941"/>
      <c r="I16941"/>
    </row>
    <row r="16942" spans="6:9" x14ac:dyDescent="0.3">
      <c r="F16942"/>
      <c r="G16942"/>
      <c r="H16942"/>
      <c r="I16942"/>
    </row>
    <row r="16943" spans="6:9" x14ac:dyDescent="0.3">
      <c r="F16943"/>
      <c r="G16943"/>
      <c r="H16943"/>
      <c r="I16943"/>
    </row>
    <row r="16944" spans="6:9" x14ac:dyDescent="0.3">
      <c r="F16944"/>
      <c r="G16944"/>
      <c r="H16944"/>
      <c r="I16944"/>
    </row>
    <row r="16945" spans="6:9" x14ac:dyDescent="0.3">
      <c r="F16945"/>
      <c r="G16945"/>
      <c r="H16945"/>
      <c r="I16945"/>
    </row>
    <row r="16946" spans="6:9" x14ac:dyDescent="0.3">
      <c r="F16946"/>
      <c r="G16946"/>
      <c r="H16946"/>
      <c r="I16946"/>
    </row>
    <row r="16947" spans="6:9" x14ac:dyDescent="0.3">
      <c r="F16947"/>
      <c r="G16947"/>
      <c r="H16947"/>
      <c r="I16947"/>
    </row>
    <row r="16948" spans="6:9" x14ac:dyDescent="0.3">
      <c r="F16948"/>
      <c r="G16948"/>
      <c r="H16948"/>
      <c r="I16948"/>
    </row>
    <row r="16949" spans="6:9" x14ac:dyDescent="0.3">
      <c r="F16949"/>
      <c r="G16949"/>
      <c r="H16949"/>
      <c r="I16949"/>
    </row>
    <row r="16950" spans="6:9" x14ac:dyDescent="0.3">
      <c r="F16950"/>
      <c r="G16950"/>
      <c r="H16950"/>
      <c r="I16950"/>
    </row>
    <row r="16951" spans="6:9" x14ac:dyDescent="0.3">
      <c r="F16951"/>
      <c r="G16951"/>
      <c r="H16951"/>
      <c r="I16951"/>
    </row>
    <row r="16952" spans="6:9" x14ac:dyDescent="0.3">
      <c r="F16952"/>
      <c r="G16952"/>
      <c r="H16952"/>
      <c r="I16952"/>
    </row>
    <row r="16953" spans="6:9" x14ac:dyDescent="0.3">
      <c r="F16953"/>
      <c r="G16953"/>
      <c r="H16953"/>
      <c r="I16953"/>
    </row>
    <row r="16954" spans="6:9" x14ac:dyDescent="0.3">
      <c r="F16954"/>
      <c r="G16954"/>
      <c r="H16954"/>
      <c r="I16954"/>
    </row>
    <row r="16955" spans="6:9" x14ac:dyDescent="0.3">
      <c r="F16955"/>
      <c r="G16955"/>
      <c r="H16955"/>
      <c r="I16955"/>
    </row>
    <row r="16956" spans="6:9" x14ac:dyDescent="0.3">
      <c r="F16956"/>
      <c r="G16956"/>
      <c r="H16956"/>
      <c r="I16956"/>
    </row>
    <row r="16957" spans="6:9" x14ac:dyDescent="0.3">
      <c r="F16957"/>
      <c r="G16957"/>
      <c r="H16957"/>
      <c r="I16957"/>
    </row>
    <row r="16958" spans="6:9" x14ac:dyDescent="0.3">
      <c r="F16958"/>
      <c r="G16958"/>
      <c r="H16958"/>
      <c r="I16958"/>
    </row>
    <row r="16959" spans="6:9" x14ac:dyDescent="0.3">
      <c r="F16959"/>
      <c r="G16959"/>
      <c r="H16959"/>
      <c r="I16959"/>
    </row>
    <row r="16960" spans="6:9" x14ac:dyDescent="0.3">
      <c r="F16960"/>
      <c r="G16960"/>
      <c r="H16960"/>
      <c r="I16960"/>
    </row>
    <row r="16961" spans="6:9" x14ac:dyDescent="0.3">
      <c r="F16961"/>
      <c r="G16961"/>
      <c r="H16961"/>
      <c r="I16961"/>
    </row>
    <row r="16962" spans="6:9" x14ac:dyDescent="0.3">
      <c r="F16962"/>
      <c r="G16962"/>
      <c r="H16962"/>
      <c r="I16962"/>
    </row>
    <row r="16963" spans="6:9" x14ac:dyDescent="0.3">
      <c r="F16963"/>
      <c r="G16963"/>
      <c r="H16963"/>
      <c r="I16963"/>
    </row>
    <row r="16964" spans="6:9" x14ac:dyDescent="0.3">
      <c r="F16964"/>
      <c r="G16964"/>
      <c r="H16964"/>
      <c r="I16964"/>
    </row>
    <row r="16965" spans="6:9" x14ac:dyDescent="0.3">
      <c r="F16965"/>
      <c r="G16965"/>
      <c r="H16965"/>
      <c r="I16965"/>
    </row>
    <row r="16966" spans="6:9" x14ac:dyDescent="0.3">
      <c r="F16966"/>
      <c r="G16966"/>
      <c r="H16966"/>
      <c r="I16966"/>
    </row>
    <row r="16967" spans="6:9" x14ac:dyDescent="0.3">
      <c r="F16967"/>
      <c r="G16967"/>
      <c r="H16967"/>
      <c r="I16967"/>
    </row>
    <row r="16968" spans="6:9" x14ac:dyDescent="0.3">
      <c r="F16968"/>
      <c r="G16968"/>
      <c r="H16968"/>
      <c r="I16968"/>
    </row>
    <row r="16969" spans="6:9" x14ac:dyDescent="0.3">
      <c r="F16969"/>
      <c r="G16969"/>
      <c r="H16969"/>
      <c r="I16969"/>
    </row>
    <row r="16970" spans="6:9" x14ac:dyDescent="0.3">
      <c r="F16970"/>
      <c r="G16970"/>
      <c r="H16970"/>
      <c r="I16970"/>
    </row>
    <row r="16971" spans="6:9" x14ac:dyDescent="0.3">
      <c r="F16971"/>
      <c r="G16971"/>
      <c r="H16971"/>
      <c r="I16971"/>
    </row>
    <row r="16972" spans="6:9" x14ac:dyDescent="0.3">
      <c r="F16972"/>
      <c r="G16972"/>
      <c r="H16972"/>
      <c r="I16972"/>
    </row>
    <row r="16973" spans="6:9" x14ac:dyDescent="0.3">
      <c r="F16973"/>
      <c r="G16973"/>
      <c r="H16973"/>
      <c r="I16973"/>
    </row>
    <row r="16974" spans="6:9" x14ac:dyDescent="0.3">
      <c r="F16974"/>
      <c r="G16974"/>
      <c r="H16974"/>
      <c r="I16974"/>
    </row>
    <row r="16975" spans="6:9" x14ac:dyDescent="0.3">
      <c r="F16975"/>
      <c r="G16975"/>
      <c r="H16975"/>
      <c r="I16975"/>
    </row>
    <row r="16976" spans="6:9" x14ac:dyDescent="0.3">
      <c r="F16976"/>
      <c r="G16976"/>
      <c r="H16976"/>
      <c r="I16976"/>
    </row>
    <row r="16977" spans="6:9" x14ac:dyDescent="0.3">
      <c r="F16977"/>
      <c r="G16977"/>
      <c r="H16977"/>
      <c r="I16977"/>
    </row>
    <row r="16978" spans="6:9" x14ac:dyDescent="0.3">
      <c r="F16978"/>
      <c r="G16978"/>
      <c r="H16978"/>
      <c r="I16978"/>
    </row>
    <row r="16979" spans="6:9" x14ac:dyDescent="0.3">
      <c r="F16979"/>
      <c r="G16979"/>
      <c r="H16979"/>
      <c r="I16979"/>
    </row>
    <row r="16980" spans="6:9" x14ac:dyDescent="0.3">
      <c r="F16980"/>
      <c r="G16980"/>
      <c r="H16980"/>
      <c r="I16980"/>
    </row>
    <row r="16981" spans="6:9" x14ac:dyDescent="0.3">
      <c r="F16981"/>
      <c r="G16981"/>
      <c r="H16981"/>
      <c r="I16981"/>
    </row>
    <row r="16982" spans="6:9" x14ac:dyDescent="0.3">
      <c r="F16982"/>
      <c r="G16982"/>
      <c r="H16982"/>
      <c r="I16982"/>
    </row>
    <row r="16983" spans="6:9" x14ac:dyDescent="0.3">
      <c r="F16983"/>
      <c r="G16983"/>
      <c r="H16983"/>
      <c r="I16983"/>
    </row>
    <row r="16984" spans="6:9" x14ac:dyDescent="0.3">
      <c r="F16984"/>
      <c r="G16984"/>
      <c r="H16984"/>
      <c r="I16984"/>
    </row>
    <row r="16985" spans="6:9" x14ac:dyDescent="0.3">
      <c r="F16985"/>
      <c r="G16985"/>
      <c r="H16985"/>
      <c r="I16985"/>
    </row>
    <row r="16986" spans="6:9" x14ac:dyDescent="0.3">
      <c r="F16986"/>
      <c r="G16986"/>
      <c r="H16986"/>
      <c r="I16986"/>
    </row>
    <row r="16987" spans="6:9" x14ac:dyDescent="0.3">
      <c r="F16987"/>
      <c r="G16987"/>
      <c r="H16987"/>
      <c r="I16987"/>
    </row>
    <row r="16988" spans="6:9" x14ac:dyDescent="0.3">
      <c r="F16988"/>
      <c r="G16988"/>
      <c r="H16988"/>
      <c r="I16988"/>
    </row>
    <row r="16989" spans="6:9" x14ac:dyDescent="0.3">
      <c r="F16989"/>
      <c r="G16989"/>
      <c r="H16989"/>
      <c r="I16989"/>
    </row>
    <row r="16990" spans="6:9" x14ac:dyDescent="0.3">
      <c r="F16990"/>
      <c r="G16990"/>
      <c r="H16990"/>
      <c r="I16990"/>
    </row>
    <row r="16991" spans="6:9" x14ac:dyDescent="0.3">
      <c r="F16991"/>
      <c r="G16991"/>
      <c r="H16991"/>
      <c r="I16991"/>
    </row>
    <row r="16992" spans="6:9" x14ac:dyDescent="0.3">
      <c r="F16992"/>
      <c r="G16992"/>
      <c r="H16992"/>
      <c r="I16992"/>
    </row>
    <row r="16993" spans="6:9" x14ac:dyDescent="0.3">
      <c r="F16993"/>
      <c r="G16993"/>
      <c r="H16993"/>
      <c r="I16993"/>
    </row>
    <row r="16994" spans="6:9" x14ac:dyDescent="0.3">
      <c r="F16994"/>
      <c r="G16994"/>
      <c r="H16994"/>
      <c r="I16994"/>
    </row>
    <row r="16995" spans="6:9" x14ac:dyDescent="0.3">
      <c r="F16995"/>
      <c r="G16995"/>
      <c r="H16995"/>
      <c r="I16995"/>
    </row>
    <row r="16996" spans="6:9" x14ac:dyDescent="0.3">
      <c r="F16996"/>
      <c r="G16996"/>
      <c r="H16996"/>
      <c r="I16996"/>
    </row>
    <row r="16997" spans="6:9" x14ac:dyDescent="0.3">
      <c r="F16997"/>
      <c r="G16997"/>
      <c r="H16997"/>
      <c r="I16997"/>
    </row>
    <row r="16998" spans="6:9" x14ac:dyDescent="0.3">
      <c r="F16998"/>
      <c r="G16998"/>
      <c r="H16998"/>
      <c r="I16998"/>
    </row>
    <row r="16999" spans="6:9" x14ac:dyDescent="0.3">
      <c r="F16999"/>
      <c r="G16999"/>
      <c r="H16999"/>
      <c r="I16999"/>
    </row>
    <row r="17000" spans="6:9" x14ac:dyDescent="0.3">
      <c r="F17000"/>
      <c r="G17000"/>
      <c r="H17000"/>
      <c r="I17000"/>
    </row>
    <row r="17001" spans="6:9" x14ac:dyDescent="0.3">
      <c r="F17001"/>
      <c r="G17001"/>
      <c r="H17001"/>
      <c r="I17001"/>
    </row>
    <row r="17002" spans="6:9" x14ac:dyDescent="0.3">
      <c r="F17002"/>
      <c r="G17002"/>
      <c r="H17002"/>
      <c r="I17002"/>
    </row>
    <row r="17003" spans="6:9" x14ac:dyDescent="0.3">
      <c r="F17003"/>
      <c r="G17003"/>
      <c r="H17003"/>
      <c r="I17003"/>
    </row>
    <row r="17004" spans="6:9" x14ac:dyDescent="0.3">
      <c r="F17004"/>
      <c r="G17004"/>
      <c r="H17004"/>
      <c r="I17004"/>
    </row>
    <row r="17005" spans="6:9" x14ac:dyDescent="0.3">
      <c r="F17005"/>
      <c r="G17005"/>
      <c r="H17005"/>
      <c r="I17005"/>
    </row>
    <row r="17006" spans="6:9" x14ac:dyDescent="0.3">
      <c r="F17006"/>
      <c r="G17006"/>
      <c r="H17006"/>
      <c r="I17006"/>
    </row>
    <row r="17007" spans="6:9" x14ac:dyDescent="0.3">
      <c r="F17007"/>
      <c r="G17007"/>
      <c r="H17007"/>
      <c r="I17007"/>
    </row>
    <row r="17008" spans="6:9" x14ac:dyDescent="0.3">
      <c r="F17008"/>
      <c r="G17008"/>
      <c r="H17008"/>
      <c r="I17008"/>
    </row>
    <row r="17009" spans="6:9" x14ac:dyDescent="0.3">
      <c r="F17009"/>
      <c r="G17009"/>
      <c r="H17009"/>
      <c r="I17009"/>
    </row>
    <row r="17010" spans="6:9" x14ac:dyDescent="0.3">
      <c r="F17010"/>
      <c r="G17010"/>
      <c r="H17010"/>
      <c r="I17010"/>
    </row>
    <row r="17011" spans="6:9" x14ac:dyDescent="0.3">
      <c r="F17011"/>
      <c r="G17011"/>
      <c r="H17011"/>
      <c r="I17011"/>
    </row>
    <row r="17012" spans="6:9" x14ac:dyDescent="0.3">
      <c r="F17012"/>
      <c r="G17012"/>
      <c r="H17012"/>
      <c r="I17012"/>
    </row>
    <row r="17013" spans="6:9" x14ac:dyDescent="0.3">
      <c r="F17013"/>
      <c r="G17013"/>
      <c r="H17013"/>
      <c r="I17013"/>
    </row>
    <row r="17014" spans="6:9" x14ac:dyDescent="0.3">
      <c r="F17014"/>
      <c r="G17014"/>
      <c r="H17014"/>
      <c r="I17014"/>
    </row>
    <row r="17015" spans="6:9" x14ac:dyDescent="0.3">
      <c r="F17015"/>
      <c r="G17015"/>
      <c r="H17015"/>
      <c r="I17015"/>
    </row>
    <row r="17016" spans="6:9" x14ac:dyDescent="0.3">
      <c r="F17016"/>
      <c r="G17016"/>
      <c r="H17016"/>
      <c r="I17016"/>
    </row>
    <row r="17017" spans="6:9" x14ac:dyDescent="0.3">
      <c r="F17017"/>
      <c r="G17017"/>
      <c r="H17017"/>
      <c r="I17017"/>
    </row>
    <row r="17018" spans="6:9" x14ac:dyDescent="0.3">
      <c r="F17018"/>
      <c r="G17018"/>
      <c r="H17018"/>
      <c r="I17018"/>
    </row>
    <row r="17019" spans="6:9" x14ac:dyDescent="0.3">
      <c r="F17019"/>
      <c r="G17019"/>
      <c r="H17019"/>
      <c r="I17019"/>
    </row>
    <row r="17020" spans="6:9" x14ac:dyDescent="0.3">
      <c r="F17020"/>
      <c r="G17020"/>
      <c r="H17020"/>
      <c r="I17020"/>
    </row>
    <row r="17021" spans="6:9" x14ac:dyDescent="0.3">
      <c r="F17021"/>
      <c r="G17021"/>
      <c r="H17021"/>
      <c r="I17021"/>
    </row>
    <row r="17022" spans="6:9" x14ac:dyDescent="0.3">
      <c r="F17022"/>
      <c r="G17022"/>
      <c r="H17022"/>
      <c r="I17022"/>
    </row>
    <row r="17023" spans="6:9" x14ac:dyDescent="0.3">
      <c r="F17023"/>
      <c r="G17023"/>
      <c r="H17023"/>
      <c r="I17023"/>
    </row>
    <row r="17024" spans="6:9" x14ac:dyDescent="0.3">
      <c r="F17024"/>
      <c r="G17024"/>
      <c r="H17024"/>
      <c r="I17024"/>
    </row>
    <row r="17025" spans="6:9" x14ac:dyDescent="0.3">
      <c r="F17025"/>
      <c r="G17025"/>
      <c r="H17025"/>
      <c r="I17025"/>
    </row>
    <row r="17026" spans="6:9" x14ac:dyDescent="0.3">
      <c r="F17026"/>
      <c r="G17026"/>
      <c r="H17026"/>
      <c r="I17026"/>
    </row>
    <row r="17027" spans="6:9" x14ac:dyDescent="0.3">
      <c r="F17027"/>
      <c r="G17027"/>
      <c r="H17027"/>
      <c r="I17027"/>
    </row>
    <row r="17028" spans="6:9" x14ac:dyDescent="0.3">
      <c r="F17028"/>
      <c r="G17028"/>
      <c r="H17028"/>
      <c r="I17028"/>
    </row>
    <row r="17029" spans="6:9" x14ac:dyDescent="0.3">
      <c r="F17029"/>
      <c r="G17029"/>
      <c r="H17029"/>
      <c r="I17029"/>
    </row>
    <row r="17030" spans="6:9" x14ac:dyDescent="0.3">
      <c r="F17030"/>
      <c r="G17030"/>
      <c r="H17030"/>
      <c r="I17030"/>
    </row>
    <row r="17031" spans="6:9" x14ac:dyDescent="0.3">
      <c r="F17031"/>
      <c r="G17031"/>
      <c r="H17031"/>
      <c r="I17031"/>
    </row>
    <row r="17032" spans="6:9" x14ac:dyDescent="0.3">
      <c r="F17032"/>
      <c r="G17032"/>
      <c r="H17032"/>
      <c r="I17032"/>
    </row>
    <row r="17033" spans="6:9" x14ac:dyDescent="0.3">
      <c r="F17033"/>
      <c r="G17033"/>
      <c r="H17033"/>
      <c r="I17033"/>
    </row>
    <row r="17034" spans="6:9" x14ac:dyDescent="0.3">
      <c r="F17034"/>
      <c r="G17034"/>
      <c r="H17034"/>
      <c r="I17034"/>
    </row>
    <row r="17035" spans="6:9" x14ac:dyDescent="0.3">
      <c r="F17035"/>
      <c r="G17035"/>
      <c r="H17035"/>
      <c r="I17035"/>
    </row>
    <row r="17036" spans="6:9" x14ac:dyDescent="0.3">
      <c r="F17036"/>
      <c r="G17036"/>
      <c r="H17036"/>
      <c r="I17036"/>
    </row>
    <row r="17037" spans="6:9" x14ac:dyDescent="0.3">
      <c r="F17037"/>
      <c r="G17037"/>
      <c r="H17037"/>
      <c r="I17037"/>
    </row>
    <row r="17038" spans="6:9" x14ac:dyDescent="0.3">
      <c r="F17038"/>
      <c r="G17038"/>
      <c r="H17038"/>
      <c r="I17038"/>
    </row>
    <row r="17039" spans="6:9" x14ac:dyDescent="0.3">
      <c r="F17039"/>
      <c r="G17039"/>
      <c r="H17039"/>
      <c r="I17039"/>
    </row>
    <row r="17040" spans="6:9" x14ac:dyDescent="0.3">
      <c r="F17040"/>
      <c r="G17040"/>
      <c r="H17040"/>
      <c r="I17040"/>
    </row>
    <row r="17041" spans="6:9" x14ac:dyDescent="0.3">
      <c r="F17041"/>
      <c r="G17041"/>
      <c r="H17041"/>
      <c r="I17041"/>
    </row>
    <row r="17042" spans="6:9" x14ac:dyDescent="0.3">
      <c r="F17042"/>
      <c r="G17042"/>
      <c r="H17042"/>
      <c r="I17042"/>
    </row>
    <row r="17043" spans="6:9" x14ac:dyDescent="0.3">
      <c r="F17043"/>
      <c r="G17043"/>
      <c r="H17043"/>
      <c r="I17043"/>
    </row>
    <row r="17044" spans="6:9" x14ac:dyDescent="0.3">
      <c r="F17044"/>
      <c r="G17044"/>
      <c r="H17044"/>
      <c r="I17044"/>
    </row>
    <row r="17045" spans="6:9" x14ac:dyDescent="0.3">
      <c r="F17045"/>
      <c r="G17045"/>
      <c r="H17045"/>
      <c r="I17045"/>
    </row>
    <row r="17046" spans="6:9" x14ac:dyDescent="0.3">
      <c r="F17046"/>
      <c r="G17046"/>
      <c r="H17046"/>
      <c r="I17046"/>
    </row>
    <row r="17047" spans="6:9" x14ac:dyDescent="0.3">
      <c r="F17047"/>
      <c r="G17047"/>
      <c r="H17047"/>
      <c r="I17047"/>
    </row>
    <row r="17048" spans="6:9" x14ac:dyDescent="0.3">
      <c r="F17048"/>
      <c r="G17048"/>
      <c r="H17048"/>
      <c r="I17048"/>
    </row>
    <row r="17049" spans="6:9" x14ac:dyDescent="0.3">
      <c r="F17049"/>
      <c r="G17049"/>
      <c r="H17049"/>
      <c r="I17049"/>
    </row>
    <row r="17050" spans="6:9" x14ac:dyDescent="0.3">
      <c r="F17050"/>
      <c r="G17050"/>
      <c r="H17050"/>
      <c r="I17050"/>
    </row>
    <row r="17051" spans="6:9" x14ac:dyDescent="0.3">
      <c r="F17051"/>
      <c r="G17051"/>
      <c r="H17051"/>
      <c r="I17051"/>
    </row>
    <row r="17052" spans="6:9" x14ac:dyDescent="0.3">
      <c r="F17052"/>
      <c r="G17052"/>
      <c r="H17052"/>
      <c r="I17052"/>
    </row>
    <row r="17053" spans="6:9" x14ac:dyDescent="0.3">
      <c r="F17053"/>
      <c r="G17053"/>
      <c r="H17053"/>
      <c r="I17053"/>
    </row>
    <row r="17054" spans="6:9" x14ac:dyDescent="0.3">
      <c r="F17054"/>
      <c r="G17054"/>
      <c r="H17054"/>
      <c r="I17054"/>
    </row>
    <row r="17055" spans="6:9" x14ac:dyDescent="0.3">
      <c r="F17055"/>
      <c r="G17055"/>
      <c r="H17055"/>
      <c r="I17055"/>
    </row>
    <row r="17056" spans="6:9" x14ac:dyDescent="0.3">
      <c r="F17056"/>
      <c r="G17056"/>
      <c r="H17056"/>
      <c r="I17056"/>
    </row>
    <row r="17057" spans="6:9" x14ac:dyDescent="0.3">
      <c r="F17057"/>
      <c r="G17057"/>
      <c r="H17057"/>
      <c r="I17057"/>
    </row>
    <row r="17058" spans="6:9" x14ac:dyDescent="0.3">
      <c r="F17058"/>
      <c r="G17058"/>
      <c r="H17058"/>
      <c r="I17058"/>
    </row>
    <row r="17059" spans="6:9" x14ac:dyDescent="0.3">
      <c r="F17059"/>
      <c r="G17059"/>
      <c r="H17059"/>
      <c r="I17059"/>
    </row>
    <row r="17060" spans="6:9" x14ac:dyDescent="0.3">
      <c r="F17060"/>
      <c r="G17060"/>
      <c r="H17060"/>
      <c r="I17060"/>
    </row>
    <row r="17061" spans="6:9" x14ac:dyDescent="0.3">
      <c r="F17061"/>
      <c r="G17061"/>
      <c r="H17061"/>
      <c r="I17061"/>
    </row>
    <row r="17062" spans="6:9" x14ac:dyDescent="0.3">
      <c r="F17062"/>
      <c r="G17062"/>
      <c r="H17062"/>
      <c r="I17062"/>
    </row>
    <row r="17063" spans="6:9" x14ac:dyDescent="0.3">
      <c r="F17063"/>
      <c r="G17063"/>
      <c r="H17063"/>
      <c r="I17063"/>
    </row>
    <row r="17064" spans="6:9" x14ac:dyDescent="0.3">
      <c r="F17064"/>
      <c r="G17064"/>
      <c r="H17064"/>
      <c r="I17064"/>
    </row>
    <row r="17065" spans="6:9" x14ac:dyDescent="0.3">
      <c r="F17065"/>
      <c r="G17065"/>
      <c r="H17065"/>
      <c r="I17065"/>
    </row>
    <row r="17066" spans="6:9" x14ac:dyDescent="0.3">
      <c r="F17066"/>
      <c r="G17066"/>
      <c r="H17066"/>
      <c r="I17066"/>
    </row>
    <row r="17067" spans="6:9" x14ac:dyDescent="0.3">
      <c r="F17067"/>
      <c r="G17067"/>
      <c r="H17067"/>
      <c r="I17067"/>
    </row>
    <row r="17068" spans="6:9" x14ac:dyDescent="0.3">
      <c r="F17068"/>
      <c r="G17068"/>
      <c r="H17068"/>
      <c r="I17068"/>
    </row>
    <row r="17069" spans="6:9" x14ac:dyDescent="0.3">
      <c r="F17069"/>
      <c r="G17069"/>
      <c r="H17069"/>
      <c r="I17069"/>
    </row>
    <row r="17070" spans="6:9" x14ac:dyDescent="0.3">
      <c r="F17070"/>
      <c r="G17070"/>
      <c r="H17070"/>
      <c r="I17070"/>
    </row>
    <row r="17071" spans="6:9" x14ac:dyDescent="0.3">
      <c r="F17071"/>
      <c r="G17071"/>
      <c r="H17071"/>
      <c r="I17071"/>
    </row>
    <row r="17072" spans="6:9" x14ac:dyDescent="0.3">
      <c r="F17072"/>
      <c r="G17072"/>
      <c r="H17072"/>
      <c r="I17072"/>
    </row>
    <row r="17073" spans="6:9" x14ac:dyDescent="0.3">
      <c r="F17073"/>
      <c r="G17073"/>
      <c r="H17073"/>
      <c r="I17073"/>
    </row>
    <row r="17074" spans="6:9" x14ac:dyDescent="0.3">
      <c r="F17074"/>
      <c r="G17074"/>
      <c r="H17074"/>
      <c r="I17074"/>
    </row>
    <row r="17075" spans="6:9" x14ac:dyDescent="0.3">
      <c r="F17075"/>
      <c r="G17075"/>
      <c r="H17075"/>
      <c r="I17075"/>
    </row>
    <row r="17076" spans="6:9" x14ac:dyDescent="0.3">
      <c r="F17076"/>
      <c r="G17076"/>
      <c r="H17076"/>
      <c r="I17076"/>
    </row>
    <row r="17077" spans="6:9" x14ac:dyDescent="0.3">
      <c r="F17077"/>
      <c r="G17077"/>
      <c r="H17077"/>
      <c r="I17077"/>
    </row>
    <row r="17078" spans="6:9" x14ac:dyDescent="0.3">
      <c r="F17078"/>
      <c r="G17078"/>
      <c r="H17078"/>
      <c r="I17078"/>
    </row>
    <row r="17079" spans="6:9" x14ac:dyDescent="0.3">
      <c r="F17079"/>
      <c r="G17079"/>
      <c r="H17079"/>
      <c r="I17079"/>
    </row>
    <row r="17080" spans="6:9" x14ac:dyDescent="0.3">
      <c r="F17080"/>
      <c r="G17080"/>
      <c r="H17080"/>
      <c r="I17080"/>
    </row>
    <row r="17081" spans="6:9" x14ac:dyDescent="0.3">
      <c r="F17081"/>
      <c r="G17081"/>
      <c r="H17081"/>
      <c r="I17081"/>
    </row>
    <row r="17082" spans="6:9" x14ac:dyDescent="0.3">
      <c r="F17082"/>
      <c r="G17082"/>
      <c r="H17082"/>
      <c r="I17082"/>
    </row>
    <row r="17083" spans="6:9" x14ac:dyDescent="0.3">
      <c r="F17083"/>
      <c r="G17083"/>
      <c r="H17083"/>
      <c r="I17083"/>
    </row>
    <row r="17084" spans="6:9" x14ac:dyDescent="0.3">
      <c r="F17084"/>
      <c r="G17084"/>
      <c r="H17084"/>
      <c r="I17084"/>
    </row>
    <row r="17085" spans="6:9" x14ac:dyDescent="0.3">
      <c r="F17085"/>
      <c r="G17085"/>
      <c r="H17085"/>
      <c r="I17085"/>
    </row>
    <row r="17086" spans="6:9" x14ac:dyDescent="0.3">
      <c r="F17086"/>
      <c r="G17086"/>
      <c r="H17086"/>
      <c r="I17086"/>
    </row>
    <row r="17087" spans="6:9" x14ac:dyDescent="0.3">
      <c r="F17087"/>
      <c r="G17087"/>
      <c r="H17087"/>
      <c r="I17087"/>
    </row>
    <row r="17088" spans="6:9" x14ac:dyDescent="0.3">
      <c r="F17088"/>
      <c r="G17088"/>
      <c r="H17088"/>
      <c r="I17088"/>
    </row>
    <row r="17089" spans="6:9" x14ac:dyDescent="0.3">
      <c r="F17089"/>
      <c r="G17089"/>
      <c r="H17089"/>
      <c r="I17089"/>
    </row>
    <row r="17090" spans="6:9" x14ac:dyDescent="0.3">
      <c r="F17090"/>
      <c r="G17090"/>
      <c r="H17090"/>
      <c r="I17090"/>
    </row>
    <row r="17091" spans="6:9" x14ac:dyDescent="0.3">
      <c r="F17091"/>
      <c r="G17091"/>
      <c r="H17091"/>
      <c r="I17091"/>
    </row>
    <row r="17092" spans="6:9" x14ac:dyDescent="0.3">
      <c r="F17092"/>
      <c r="G17092"/>
      <c r="H17092"/>
      <c r="I17092"/>
    </row>
    <row r="17093" spans="6:9" x14ac:dyDescent="0.3">
      <c r="F17093"/>
      <c r="G17093"/>
      <c r="H17093"/>
      <c r="I17093"/>
    </row>
    <row r="17094" spans="6:9" x14ac:dyDescent="0.3">
      <c r="F17094"/>
      <c r="G17094"/>
      <c r="H17094"/>
      <c r="I17094"/>
    </row>
    <row r="17095" spans="6:9" x14ac:dyDescent="0.3">
      <c r="F17095"/>
      <c r="G17095"/>
      <c r="H17095"/>
      <c r="I17095"/>
    </row>
    <row r="17096" spans="6:9" x14ac:dyDescent="0.3">
      <c r="F17096"/>
      <c r="G17096"/>
      <c r="H17096"/>
      <c r="I17096"/>
    </row>
    <row r="17097" spans="6:9" x14ac:dyDescent="0.3">
      <c r="F17097"/>
      <c r="G17097"/>
      <c r="H17097"/>
      <c r="I17097"/>
    </row>
    <row r="17098" spans="6:9" x14ac:dyDescent="0.3">
      <c r="F17098"/>
      <c r="G17098"/>
      <c r="H17098"/>
      <c r="I17098"/>
    </row>
    <row r="17099" spans="6:9" x14ac:dyDescent="0.3">
      <c r="F17099"/>
      <c r="G17099"/>
      <c r="H17099"/>
      <c r="I17099"/>
    </row>
    <row r="17100" spans="6:9" x14ac:dyDescent="0.3">
      <c r="F17100"/>
      <c r="G17100"/>
      <c r="H17100"/>
      <c r="I17100"/>
    </row>
    <row r="17101" spans="6:9" x14ac:dyDescent="0.3">
      <c r="F17101"/>
      <c r="G17101"/>
      <c r="H17101"/>
      <c r="I17101"/>
    </row>
    <row r="17102" spans="6:9" x14ac:dyDescent="0.3">
      <c r="F17102"/>
      <c r="G17102"/>
      <c r="H17102"/>
      <c r="I17102"/>
    </row>
    <row r="17103" spans="6:9" x14ac:dyDescent="0.3">
      <c r="F17103"/>
      <c r="G17103"/>
      <c r="H17103"/>
      <c r="I17103"/>
    </row>
    <row r="17104" spans="6:9" x14ac:dyDescent="0.3">
      <c r="F17104"/>
      <c r="G17104"/>
      <c r="H17104"/>
      <c r="I17104"/>
    </row>
    <row r="17105" spans="6:9" x14ac:dyDescent="0.3">
      <c r="F17105"/>
      <c r="G17105"/>
      <c r="H17105"/>
      <c r="I17105"/>
    </row>
    <row r="17106" spans="6:9" x14ac:dyDescent="0.3">
      <c r="F17106"/>
      <c r="G17106"/>
      <c r="H17106"/>
      <c r="I17106"/>
    </row>
    <row r="17107" spans="6:9" x14ac:dyDescent="0.3">
      <c r="F17107"/>
      <c r="G17107"/>
      <c r="H17107"/>
      <c r="I17107"/>
    </row>
    <row r="17108" spans="6:9" x14ac:dyDescent="0.3">
      <c r="F17108"/>
      <c r="G17108"/>
      <c r="H17108"/>
      <c r="I17108"/>
    </row>
    <row r="17109" spans="6:9" x14ac:dyDescent="0.3">
      <c r="F17109"/>
      <c r="G17109"/>
      <c r="H17109"/>
      <c r="I17109"/>
    </row>
    <row r="17110" spans="6:9" x14ac:dyDescent="0.3">
      <c r="F17110"/>
      <c r="G17110"/>
      <c r="H17110"/>
      <c r="I17110"/>
    </row>
    <row r="17111" spans="6:9" x14ac:dyDescent="0.3">
      <c r="F17111"/>
      <c r="G17111"/>
      <c r="H17111"/>
      <c r="I17111"/>
    </row>
    <row r="17112" spans="6:9" x14ac:dyDescent="0.3">
      <c r="F17112"/>
      <c r="G17112"/>
      <c r="H17112"/>
      <c r="I17112"/>
    </row>
    <row r="17113" spans="6:9" x14ac:dyDescent="0.3">
      <c r="F17113"/>
      <c r="G17113"/>
      <c r="H17113"/>
      <c r="I17113"/>
    </row>
    <row r="17114" spans="6:9" x14ac:dyDescent="0.3">
      <c r="F17114"/>
      <c r="G17114"/>
      <c r="H17114"/>
      <c r="I17114"/>
    </row>
    <row r="17115" spans="6:9" x14ac:dyDescent="0.3">
      <c r="F17115"/>
      <c r="G17115"/>
      <c r="H17115"/>
      <c r="I17115"/>
    </row>
    <row r="17116" spans="6:9" x14ac:dyDescent="0.3">
      <c r="F17116"/>
      <c r="G17116"/>
      <c r="H17116"/>
      <c r="I17116"/>
    </row>
    <row r="17117" spans="6:9" x14ac:dyDescent="0.3">
      <c r="F17117"/>
      <c r="G17117"/>
      <c r="H17117"/>
      <c r="I17117"/>
    </row>
    <row r="17118" spans="6:9" x14ac:dyDescent="0.3">
      <c r="F17118"/>
      <c r="G17118"/>
      <c r="H17118"/>
      <c r="I17118"/>
    </row>
    <row r="17119" spans="6:9" x14ac:dyDescent="0.3">
      <c r="F17119"/>
      <c r="G17119"/>
      <c r="H17119"/>
      <c r="I17119"/>
    </row>
    <row r="17120" spans="6:9" x14ac:dyDescent="0.3">
      <c r="F17120"/>
      <c r="G17120"/>
      <c r="H17120"/>
      <c r="I17120"/>
    </row>
    <row r="17121" spans="6:9" x14ac:dyDescent="0.3">
      <c r="F17121"/>
      <c r="G17121"/>
      <c r="H17121"/>
      <c r="I17121"/>
    </row>
    <row r="17122" spans="6:9" x14ac:dyDescent="0.3">
      <c r="F17122"/>
      <c r="G17122"/>
      <c r="H17122"/>
      <c r="I17122"/>
    </row>
    <row r="17123" spans="6:9" x14ac:dyDescent="0.3">
      <c r="F17123"/>
      <c r="G17123"/>
      <c r="H17123"/>
      <c r="I17123"/>
    </row>
    <row r="17124" spans="6:9" x14ac:dyDescent="0.3">
      <c r="F17124"/>
      <c r="G17124"/>
      <c r="H17124"/>
      <c r="I17124"/>
    </row>
    <row r="17125" spans="6:9" x14ac:dyDescent="0.3">
      <c r="F17125"/>
      <c r="G17125"/>
      <c r="H17125"/>
      <c r="I17125"/>
    </row>
    <row r="17126" spans="6:9" x14ac:dyDescent="0.3">
      <c r="F17126"/>
      <c r="G17126"/>
      <c r="H17126"/>
      <c r="I17126"/>
    </row>
    <row r="17127" spans="6:9" x14ac:dyDescent="0.3">
      <c r="F17127"/>
      <c r="G17127"/>
      <c r="H17127"/>
      <c r="I17127"/>
    </row>
    <row r="17128" spans="6:9" x14ac:dyDescent="0.3">
      <c r="F17128"/>
      <c r="G17128"/>
      <c r="H17128"/>
      <c r="I17128"/>
    </row>
    <row r="17129" spans="6:9" x14ac:dyDescent="0.3">
      <c r="F17129"/>
      <c r="G17129"/>
      <c r="H17129"/>
      <c r="I17129"/>
    </row>
    <row r="17130" spans="6:9" x14ac:dyDescent="0.3">
      <c r="F17130"/>
      <c r="G17130"/>
      <c r="H17130"/>
      <c r="I17130"/>
    </row>
    <row r="17131" spans="6:9" x14ac:dyDescent="0.3">
      <c r="F17131"/>
      <c r="G17131"/>
      <c r="H17131"/>
      <c r="I17131"/>
    </row>
    <row r="17132" spans="6:9" x14ac:dyDescent="0.3">
      <c r="F17132"/>
      <c r="G17132"/>
      <c r="H17132"/>
      <c r="I17132"/>
    </row>
    <row r="17133" spans="6:9" x14ac:dyDescent="0.3">
      <c r="F17133"/>
      <c r="G17133"/>
      <c r="H17133"/>
      <c r="I17133"/>
    </row>
    <row r="17134" spans="6:9" x14ac:dyDescent="0.3">
      <c r="F17134"/>
      <c r="G17134"/>
      <c r="H17134"/>
      <c r="I17134"/>
    </row>
    <row r="17135" spans="6:9" x14ac:dyDescent="0.3">
      <c r="F17135"/>
      <c r="G17135"/>
      <c r="H17135"/>
      <c r="I17135"/>
    </row>
    <row r="17136" spans="6:9" x14ac:dyDescent="0.3">
      <c r="F17136"/>
      <c r="G17136"/>
      <c r="H17136"/>
      <c r="I17136"/>
    </row>
    <row r="17137" spans="6:9" x14ac:dyDescent="0.3">
      <c r="F17137"/>
      <c r="G17137"/>
      <c r="H17137"/>
      <c r="I17137"/>
    </row>
    <row r="17138" spans="6:9" x14ac:dyDescent="0.3">
      <c r="F17138"/>
      <c r="G17138"/>
      <c r="H17138"/>
      <c r="I17138"/>
    </row>
    <row r="17139" spans="6:9" x14ac:dyDescent="0.3">
      <c r="F17139"/>
      <c r="G17139"/>
      <c r="H17139"/>
      <c r="I17139"/>
    </row>
    <row r="17140" spans="6:9" x14ac:dyDescent="0.3">
      <c r="F17140"/>
      <c r="G17140"/>
      <c r="H17140"/>
      <c r="I17140"/>
    </row>
    <row r="17141" spans="6:9" x14ac:dyDescent="0.3">
      <c r="F17141"/>
      <c r="G17141"/>
      <c r="H17141"/>
      <c r="I17141"/>
    </row>
    <row r="17142" spans="6:9" x14ac:dyDescent="0.3">
      <c r="F17142"/>
      <c r="G17142"/>
      <c r="H17142"/>
      <c r="I17142"/>
    </row>
    <row r="17143" spans="6:9" x14ac:dyDescent="0.3">
      <c r="F17143"/>
      <c r="G17143"/>
      <c r="H17143"/>
      <c r="I17143"/>
    </row>
    <row r="17144" spans="6:9" x14ac:dyDescent="0.3">
      <c r="F17144"/>
      <c r="G17144"/>
      <c r="H17144"/>
      <c r="I17144"/>
    </row>
    <row r="17145" spans="6:9" x14ac:dyDescent="0.3">
      <c r="F17145"/>
      <c r="G17145"/>
      <c r="H17145"/>
      <c r="I17145"/>
    </row>
    <row r="17146" spans="6:9" x14ac:dyDescent="0.3">
      <c r="F17146"/>
      <c r="G17146"/>
      <c r="H17146"/>
      <c r="I17146"/>
    </row>
    <row r="17147" spans="6:9" x14ac:dyDescent="0.3">
      <c r="F17147"/>
      <c r="G17147"/>
      <c r="H17147"/>
      <c r="I17147"/>
    </row>
    <row r="17148" spans="6:9" x14ac:dyDescent="0.3">
      <c r="F17148"/>
      <c r="G17148"/>
      <c r="H17148"/>
      <c r="I17148"/>
    </row>
    <row r="17149" spans="6:9" x14ac:dyDescent="0.3">
      <c r="F17149"/>
      <c r="G17149"/>
      <c r="H17149"/>
      <c r="I17149"/>
    </row>
    <row r="17150" spans="6:9" x14ac:dyDescent="0.3">
      <c r="F17150"/>
      <c r="G17150"/>
      <c r="H17150"/>
      <c r="I17150"/>
    </row>
    <row r="17151" spans="6:9" x14ac:dyDescent="0.3">
      <c r="F17151"/>
      <c r="G17151"/>
      <c r="H17151"/>
      <c r="I17151"/>
    </row>
    <row r="17152" spans="6:9" x14ac:dyDescent="0.3">
      <c r="F17152"/>
      <c r="G17152"/>
      <c r="H17152"/>
      <c r="I17152"/>
    </row>
    <row r="17153" spans="6:9" x14ac:dyDescent="0.3">
      <c r="F17153"/>
      <c r="G17153"/>
      <c r="H17153"/>
      <c r="I17153"/>
    </row>
    <row r="17154" spans="6:9" x14ac:dyDescent="0.3">
      <c r="F17154"/>
      <c r="G17154"/>
      <c r="H17154"/>
      <c r="I17154"/>
    </row>
    <row r="17155" spans="6:9" x14ac:dyDescent="0.3">
      <c r="F17155"/>
      <c r="G17155"/>
      <c r="H17155"/>
      <c r="I17155"/>
    </row>
    <row r="17156" spans="6:9" x14ac:dyDescent="0.3">
      <c r="F17156"/>
      <c r="G17156"/>
      <c r="H17156"/>
      <c r="I17156"/>
    </row>
    <row r="17157" spans="6:9" x14ac:dyDescent="0.3">
      <c r="F17157"/>
      <c r="G17157"/>
      <c r="H17157"/>
      <c r="I17157"/>
    </row>
    <row r="17158" spans="6:9" x14ac:dyDescent="0.3">
      <c r="F17158"/>
      <c r="G17158"/>
      <c r="H17158"/>
      <c r="I17158"/>
    </row>
    <row r="17159" spans="6:9" x14ac:dyDescent="0.3">
      <c r="F17159"/>
      <c r="G17159"/>
      <c r="H17159"/>
      <c r="I17159"/>
    </row>
    <row r="17160" spans="6:9" x14ac:dyDescent="0.3">
      <c r="F17160"/>
      <c r="G17160"/>
      <c r="H17160"/>
      <c r="I17160"/>
    </row>
    <row r="17161" spans="6:9" x14ac:dyDescent="0.3">
      <c r="F17161"/>
      <c r="G17161"/>
      <c r="H17161"/>
      <c r="I17161"/>
    </row>
    <row r="17162" spans="6:9" x14ac:dyDescent="0.3">
      <c r="F17162"/>
      <c r="G17162"/>
      <c r="H17162"/>
      <c r="I17162"/>
    </row>
    <row r="17163" spans="6:9" x14ac:dyDescent="0.3">
      <c r="F17163"/>
      <c r="G17163"/>
      <c r="H17163"/>
      <c r="I17163"/>
    </row>
    <row r="17164" spans="6:9" x14ac:dyDescent="0.3">
      <c r="F17164"/>
      <c r="G17164"/>
      <c r="H17164"/>
      <c r="I17164"/>
    </row>
    <row r="17165" spans="6:9" x14ac:dyDescent="0.3">
      <c r="F17165"/>
      <c r="G17165"/>
      <c r="H17165"/>
      <c r="I17165"/>
    </row>
    <row r="17166" spans="6:9" x14ac:dyDescent="0.3">
      <c r="F17166"/>
      <c r="G17166"/>
      <c r="H17166"/>
      <c r="I17166"/>
    </row>
    <row r="17167" spans="6:9" x14ac:dyDescent="0.3">
      <c r="F17167"/>
      <c r="G17167"/>
      <c r="H17167"/>
      <c r="I17167"/>
    </row>
    <row r="17168" spans="6:9" x14ac:dyDescent="0.3">
      <c r="F17168"/>
      <c r="G17168"/>
      <c r="H17168"/>
      <c r="I17168"/>
    </row>
    <row r="17169" spans="6:9" x14ac:dyDescent="0.3">
      <c r="F17169"/>
      <c r="G17169"/>
      <c r="H17169"/>
      <c r="I17169"/>
    </row>
    <row r="17170" spans="6:9" x14ac:dyDescent="0.3">
      <c r="F17170"/>
      <c r="G17170"/>
      <c r="H17170"/>
      <c r="I17170"/>
    </row>
    <row r="17171" spans="6:9" x14ac:dyDescent="0.3">
      <c r="F17171"/>
      <c r="G17171"/>
      <c r="H17171"/>
      <c r="I17171"/>
    </row>
    <row r="17172" spans="6:9" x14ac:dyDescent="0.3">
      <c r="F17172"/>
      <c r="G17172"/>
      <c r="H17172"/>
      <c r="I17172"/>
    </row>
    <row r="17173" spans="6:9" x14ac:dyDescent="0.3">
      <c r="F17173"/>
      <c r="G17173"/>
      <c r="H17173"/>
      <c r="I17173"/>
    </row>
    <row r="17174" spans="6:9" x14ac:dyDescent="0.3">
      <c r="F17174"/>
      <c r="G17174"/>
      <c r="H17174"/>
      <c r="I17174"/>
    </row>
    <row r="17175" spans="6:9" x14ac:dyDescent="0.3">
      <c r="F17175"/>
      <c r="G17175"/>
      <c r="H17175"/>
      <c r="I17175"/>
    </row>
    <row r="17176" spans="6:9" x14ac:dyDescent="0.3">
      <c r="F17176"/>
      <c r="G17176"/>
      <c r="H17176"/>
      <c r="I17176"/>
    </row>
    <row r="17177" spans="6:9" x14ac:dyDescent="0.3">
      <c r="F17177"/>
      <c r="G17177"/>
      <c r="H17177"/>
      <c r="I17177"/>
    </row>
    <row r="17178" spans="6:9" x14ac:dyDescent="0.3">
      <c r="F17178"/>
      <c r="G17178"/>
      <c r="H17178"/>
      <c r="I17178"/>
    </row>
    <row r="17179" spans="6:9" x14ac:dyDescent="0.3">
      <c r="F17179"/>
      <c r="G17179"/>
      <c r="H17179"/>
      <c r="I17179"/>
    </row>
    <row r="17180" spans="6:9" x14ac:dyDescent="0.3">
      <c r="F17180"/>
      <c r="G17180"/>
      <c r="H17180"/>
      <c r="I17180"/>
    </row>
    <row r="17181" spans="6:9" x14ac:dyDescent="0.3">
      <c r="F17181"/>
      <c r="G17181"/>
      <c r="H17181"/>
      <c r="I17181"/>
    </row>
    <row r="17182" spans="6:9" x14ac:dyDescent="0.3">
      <c r="F17182"/>
      <c r="G17182"/>
      <c r="H17182"/>
      <c r="I17182"/>
    </row>
    <row r="17183" spans="6:9" x14ac:dyDescent="0.3">
      <c r="F17183"/>
      <c r="G17183"/>
      <c r="H17183"/>
      <c r="I17183"/>
    </row>
    <row r="17184" spans="6:9" x14ac:dyDescent="0.3">
      <c r="F17184"/>
      <c r="G17184"/>
      <c r="H17184"/>
      <c r="I17184"/>
    </row>
    <row r="17185" spans="6:9" x14ac:dyDescent="0.3">
      <c r="F17185"/>
      <c r="G17185"/>
      <c r="H17185"/>
      <c r="I17185"/>
    </row>
    <row r="17186" spans="6:9" x14ac:dyDescent="0.3">
      <c r="F17186"/>
      <c r="G17186"/>
      <c r="H17186"/>
      <c r="I17186"/>
    </row>
    <row r="17187" spans="6:9" x14ac:dyDescent="0.3">
      <c r="F17187"/>
      <c r="G17187"/>
      <c r="H17187"/>
      <c r="I17187"/>
    </row>
    <row r="17188" spans="6:9" x14ac:dyDescent="0.3">
      <c r="F17188"/>
      <c r="G17188"/>
      <c r="H17188"/>
      <c r="I17188"/>
    </row>
    <row r="17189" spans="6:9" x14ac:dyDescent="0.3">
      <c r="F17189"/>
      <c r="G17189"/>
      <c r="H17189"/>
      <c r="I17189"/>
    </row>
    <row r="17190" spans="6:9" x14ac:dyDescent="0.3">
      <c r="F17190"/>
      <c r="G17190"/>
      <c r="H17190"/>
      <c r="I17190"/>
    </row>
    <row r="17191" spans="6:9" x14ac:dyDescent="0.3">
      <c r="F17191"/>
      <c r="G17191"/>
      <c r="H17191"/>
      <c r="I17191"/>
    </row>
    <row r="17192" spans="6:9" x14ac:dyDescent="0.3">
      <c r="F17192"/>
      <c r="G17192"/>
      <c r="H17192"/>
      <c r="I17192"/>
    </row>
    <row r="17193" spans="6:9" x14ac:dyDescent="0.3">
      <c r="F17193"/>
      <c r="G17193"/>
      <c r="H17193"/>
      <c r="I17193"/>
    </row>
    <row r="17194" spans="6:9" x14ac:dyDescent="0.3">
      <c r="F17194"/>
      <c r="G17194"/>
      <c r="H17194"/>
      <c r="I17194"/>
    </row>
    <row r="17195" spans="6:9" x14ac:dyDescent="0.3">
      <c r="F17195"/>
      <c r="G17195"/>
      <c r="H17195"/>
      <c r="I17195"/>
    </row>
    <row r="17196" spans="6:9" x14ac:dyDescent="0.3">
      <c r="F17196"/>
      <c r="G17196"/>
      <c r="H17196"/>
      <c r="I17196"/>
    </row>
    <row r="17197" spans="6:9" x14ac:dyDescent="0.3">
      <c r="F17197"/>
      <c r="G17197"/>
      <c r="H17197"/>
      <c r="I17197"/>
    </row>
    <row r="17198" spans="6:9" x14ac:dyDescent="0.3">
      <c r="F17198"/>
      <c r="G17198"/>
      <c r="H17198"/>
      <c r="I17198"/>
    </row>
    <row r="17199" spans="6:9" x14ac:dyDescent="0.3">
      <c r="F17199"/>
      <c r="G17199"/>
      <c r="H17199"/>
      <c r="I17199"/>
    </row>
    <row r="17200" spans="6:9" x14ac:dyDescent="0.3">
      <c r="F17200"/>
      <c r="G17200"/>
      <c r="H17200"/>
      <c r="I17200"/>
    </row>
    <row r="17201" spans="6:9" x14ac:dyDescent="0.3">
      <c r="F17201"/>
      <c r="G17201"/>
      <c r="H17201"/>
      <c r="I17201"/>
    </row>
    <row r="17202" spans="6:9" x14ac:dyDescent="0.3">
      <c r="F17202"/>
      <c r="G17202"/>
      <c r="H17202"/>
      <c r="I17202"/>
    </row>
    <row r="17203" spans="6:9" x14ac:dyDescent="0.3">
      <c r="F17203"/>
      <c r="G17203"/>
      <c r="H17203"/>
      <c r="I17203"/>
    </row>
    <row r="17204" spans="6:9" x14ac:dyDescent="0.3">
      <c r="F17204"/>
      <c r="G17204"/>
      <c r="H17204"/>
      <c r="I17204"/>
    </row>
    <row r="17205" spans="6:9" x14ac:dyDescent="0.3">
      <c r="F17205"/>
      <c r="G17205"/>
      <c r="H17205"/>
      <c r="I17205"/>
    </row>
    <row r="17206" spans="6:9" x14ac:dyDescent="0.3">
      <c r="F17206"/>
      <c r="G17206"/>
      <c r="H17206"/>
      <c r="I17206"/>
    </row>
    <row r="17207" spans="6:9" x14ac:dyDescent="0.3">
      <c r="F17207"/>
      <c r="G17207"/>
      <c r="H17207"/>
      <c r="I17207"/>
    </row>
    <row r="17208" spans="6:9" x14ac:dyDescent="0.3">
      <c r="F17208"/>
      <c r="G17208"/>
      <c r="H17208"/>
      <c r="I17208"/>
    </row>
    <row r="17209" spans="6:9" x14ac:dyDescent="0.3">
      <c r="F17209"/>
      <c r="G17209"/>
      <c r="H17209"/>
      <c r="I17209"/>
    </row>
    <row r="17210" spans="6:9" x14ac:dyDescent="0.3">
      <c r="F17210"/>
      <c r="G17210"/>
      <c r="H17210"/>
      <c r="I17210"/>
    </row>
    <row r="17211" spans="6:9" x14ac:dyDescent="0.3">
      <c r="F17211"/>
      <c r="G17211"/>
      <c r="H17211"/>
      <c r="I17211"/>
    </row>
    <row r="17212" spans="6:9" x14ac:dyDescent="0.3">
      <c r="F17212"/>
      <c r="G17212"/>
      <c r="H17212"/>
      <c r="I17212"/>
    </row>
    <row r="17213" spans="6:9" x14ac:dyDescent="0.3">
      <c r="F17213"/>
      <c r="G17213"/>
      <c r="H17213"/>
      <c r="I17213"/>
    </row>
    <row r="17214" spans="6:9" x14ac:dyDescent="0.3">
      <c r="F17214"/>
      <c r="G17214"/>
      <c r="H17214"/>
      <c r="I17214"/>
    </row>
    <row r="17215" spans="6:9" x14ac:dyDescent="0.3">
      <c r="F17215"/>
      <c r="G17215"/>
      <c r="H17215"/>
      <c r="I17215"/>
    </row>
    <row r="17216" spans="6:9" x14ac:dyDescent="0.3">
      <c r="F17216"/>
      <c r="G17216"/>
      <c r="H17216"/>
      <c r="I17216"/>
    </row>
    <row r="17217" spans="6:9" x14ac:dyDescent="0.3">
      <c r="F17217"/>
      <c r="G17217"/>
      <c r="H17217"/>
      <c r="I17217"/>
    </row>
    <row r="17218" spans="6:9" x14ac:dyDescent="0.3">
      <c r="F17218"/>
      <c r="G17218"/>
      <c r="H17218"/>
      <c r="I17218"/>
    </row>
    <row r="17219" spans="6:9" x14ac:dyDescent="0.3">
      <c r="F17219"/>
      <c r="G17219"/>
      <c r="H17219"/>
      <c r="I17219"/>
    </row>
    <row r="17220" spans="6:9" x14ac:dyDescent="0.3">
      <c r="F17220"/>
      <c r="G17220"/>
      <c r="H17220"/>
      <c r="I17220"/>
    </row>
    <row r="17221" spans="6:9" x14ac:dyDescent="0.3">
      <c r="F17221"/>
      <c r="G17221"/>
      <c r="H17221"/>
      <c r="I17221"/>
    </row>
    <row r="17222" spans="6:9" x14ac:dyDescent="0.3">
      <c r="F17222"/>
      <c r="G17222"/>
      <c r="H17222"/>
      <c r="I17222"/>
    </row>
    <row r="17223" spans="6:9" x14ac:dyDescent="0.3">
      <c r="F17223"/>
      <c r="G17223"/>
      <c r="H17223"/>
      <c r="I17223"/>
    </row>
    <row r="17224" spans="6:9" x14ac:dyDescent="0.3">
      <c r="F17224"/>
      <c r="G17224"/>
      <c r="H17224"/>
      <c r="I17224"/>
    </row>
    <row r="17225" spans="6:9" x14ac:dyDescent="0.3">
      <c r="F17225"/>
      <c r="G17225"/>
      <c r="H17225"/>
      <c r="I17225"/>
    </row>
    <row r="17226" spans="6:9" x14ac:dyDescent="0.3">
      <c r="F17226"/>
      <c r="G17226"/>
      <c r="H17226"/>
      <c r="I17226"/>
    </row>
    <row r="17227" spans="6:9" x14ac:dyDescent="0.3">
      <c r="F17227"/>
      <c r="G17227"/>
      <c r="H17227"/>
      <c r="I17227"/>
    </row>
    <row r="17228" spans="6:9" x14ac:dyDescent="0.3">
      <c r="F17228"/>
      <c r="G17228"/>
      <c r="H17228"/>
      <c r="I17228"/>
    </row>
    <row r="17229" spans="6:9" x14ac:dyDescent="0.3">
      <c r="F17229"/>
      <c r="G17229"/>
      <c r="H17229"/>
      <c r="I17229"/>
    </row>
    <row r="17230" spans="6:9" x14ac:dyDescent="0.3">
      <c r="F17230"/>
      <c r="G17230"/>
      <c r="H17230"/>
      <c r="I17230"/>
    </row>
    <row r="17231" spans="6:9" x14ac:dyDescent="0.3">
      <c r="F17231"/>
      <c r="G17231"/>
      <c r="H17231"/>
      <c r="I17231"/>
    </row>
    <row r="17232" spans="6:9" x14ac:dyDescent="0.3">
      <c r="F17232"/>
      <c r="G17232"/>
      <c r="H17232"/>
      <c r="I17232"/>
    </row>
    <row r="17233" spans="6:9" x14ac:dyDescent="0.3">
      <c r="F17233"/>
      <c r="G17233"/>
      <c r="H17233"/>
      <c r="I17233"/>
    </row>
    <row r="17234" spans="6:9" x14ac:dyDescent="0.3">
      <c r="F17234"/>
      <c r="G17234"/>
      <c r="H17234"/>
      <c r="I17234"/>
    </row>
    <row r="17235" spans="6:9" x14ac:dyDescent="0.3">
      <c r="F17235"/>
      <c r="G17235"/>
      <c r="H17235"/>
      <c r="I17235"/>
    </row>
    <row r="17236" spans="6:9" x14ac:dyDescent="0.3">
      <c r="F17236"/>
      <c r="G17236"/>
      <c r="H17236"/>
      <c r="I17236"/>
    </row>
    <row r="17237" spans="6:9" x14ac:dyDescent="0.3">
      <c r="F17237"/>
      <c r="G17237"/>
      <c r="H17237"/>
      <c r="I17237"/>
    </row>
    <row r="17238" spans="6:9" x14ac:dyDescent="0.3">
      <c r="F17238"/>
      <c r="G17238"/>
      <c r="H17238"/>
      <c r="I17238"/>
    </row>
    <row r="17239" spans="6:9" x14ac:dyDescent="0.3">
      <c r="F17239"/>
      <c r="G17239"/>
      <c r="H17239"/>
      <c r="I17239"/>
    </row>
    <row r="17240" spans="6:9" x14ac:dyDescent="0.3">
      <c r="F17240"/>
      <c r="G17240"/>
      <c r="H17240"/>
      <c r="I17240"/>
    </row>
    <row r="17241" spans="6:9" x14ac:dyDescent="0.3">
      <c r="F17241"/>
      <c r="G17241"/>
      <c r="H17241"/>
      <c r="I17241"/>
    </row>
    <row r="17242" spans="6:9" x14ac:dyDescent="0.3">
      <c r="F17242"/>
      <c r="G17242"/>
      <c r="H17242"/>
      <c r="I17242"/>
    </row>
    <row r="17243" spans="6:9" x14ac:dyDescent="0.3">
      <c r="F17243"/>
      <c r="G17243"/>
      <c r="H17243"/>
      <c r="I17243"/>
    </row>
    <row r="17244" spans="6:9" x14ac:dyDescent="0.3">
      <c r="F17244"/>
      <c r="G17244"/>
      <c r="H17244"/>
      <c r="I17244"/>
    </row>
    <row r="17245" spans="6:9" x14ac:dyDescent="0.3">
      <c r="F17245"/>
      <c r="G17245"/>
      <c r="H17245"/>
      <c r="I17245"/>
    </row>
    <row r="17246" spans="6:9" x14ac:dyDescent="0.3">
      <c r="F17246"/>
      <c r="G17246"/>
      <c r="H17246"/>
      <c r="I17246"/>
    </row>
    <row r="17247" spans="6:9" x14ac:dyDescent="0.3">
      <c r="F17247"/>
      <c r="G17247"/>
      <c r="H17247"/>
      <c r="I17247"/>
    </row>
    <row r="17248" spans="6:9" x14ac:dyDescent="0.3">
      <c r="F17248"/>
      <c r="G17248"/>
      <c r="H17248"/>
      <c r="I17248"/>
    </row>
    <row r="17249" spans="6:9" x14ac:dyDescent="0.3">
      <c r="F17249"/>
      <c r="G17249"/>
      <c r="H17249"/>
      <c r="I17249"/>
    </row>
    <row r="17250" spans="6:9" x14ac:dyDescent="0.3">
      <c r="F17250"/>
      <c r="G17250"/>
      <c r="H17250"/>
      <c r="I17250"/>
    </row>
    <row r="17251" spans="6:9" x14ac:dyDescent="0.3">
      <c r="F17251"/>
      <c r="G17251"/>
      <c r="H17251"/>
      <c r="I17251"/>
    </row>
    <row r="17252" spans="6:9" x14ac:dyDescent="0.3">
      <c r="F17252"/>
      <c r="G17252"/>
      <c r="H17252"/>
      <c r="I17252"/>
    </row>
    <row r="17253" spans="6:9" x14ac:dyDescent="0.3">
      <c r="F17253"/>
      <c r="G17253"/>
      <c r="H17253"/>
      <c r="I17253"/>
    </row>
    <row r="17254" spans="6:9" x14ac:dyDescent="0.3">
      <c r="F17254"/>
      <c r="G17254"/>
      <c r="H17254"/>
      <c r="I17254"/>
    </row>
    <row r="17255" spans="6:9" x14ac:dyDescent="0.3">
      <c r="F17255"/>
      <c r="G17255"/>
      <c r="H17255"/>
      <c r="I17255"/>
    </row>
    <row r="17256" spans="6:9" x14ac:dyDescent="0.3">
      <c r="F17256"/>
      <c r="G17256"/>
      <c r="H17256"/>
      <c r="I17256"/>
    </row>
    <row r="17257" spans="6:9" x14ac:dyDescent="0.3">
      <c r="F17257"/>
      <c r="G17257"/>
      <c r="H17257"/>
      <c r="I17257"/>
    </row>
    <row r="17258" spans="6:9" x14ac:dyDescent="0.3">
      <c r="F17258"/>
      <c r="G17258"/>
      <c r="H17258"/>
      <c r="I17258"/>
    </row>
    <row r="17259" spans="6:9" x14ac:dyDescent="0.3">
      <c r="F17259"/>
      <c r="G17259"/>
      <c r="H17259"/>
      <c r="I17259"/>
    </row>
    <row r="17260" spans="6:9" x14ac:dyDescent="0.3">
      <c r="F17260"/>
      <c r="G17260"/>
      <c r="H17260"/>
      <c r="I17260"/>
    </row>
    <row r="17261" spans="6:9" x14ac:dyDescent="0.3">
      <c r="F17261"/>
      <c r="G17261"/>
      <c r="H17261"/>
      <c r="I17261"/>
    </row>
    <row r="17262" spans="6:9" x14ac:dyDescent="0.3">
      <c r="F17262"/>
      <c r="G17262"/>
      <c r="H17262"/>
      <c r="I17262"/>
    </row>
    <row r="17263" spans="6:9" x14ac:dyDescent="0.3">
      <c r="F17263"/>
      <c r="G17263"/>
      <c r="H17263"/>
      <c r="I17263"/>
    </row>
    <row r="17264" spans="6:9" x14ac:dyDescent="0.3">
      <c r="F17264"/>
      <c r="G17264"/>
      <c r="H17264"/>
      <c r="I17264"/>
    </row>
    <row r="17265" spans="6:9" x14ac:dyDescent="0.3">
      <c r="F17265"/>
      <c r="G17265"/>
      <c r="H17265"/>
      <c r="I17265"/>
    </row>
    <row r="17266" spans="6:9" x14ac:dyDescent="0.3">
      <c r="F17266"/>
      <c r="G17266"/>
      <c r="H17266"/>
      <c r="I17266"/>
    </row>
    <row r="17267" spans="6:9" x14ac:dyDescent="0.3">
      <c r="F17267"/>
      <c r="G17267"/>
      <c r="H17267"/>
      <c r="I17267"/>
    </row>
    <row r="17268" spans="6:9" x14ac:dyDescent="0.3">
      <c r="F17268"/>
      <c r="G17268"/>
      <c r="H17268"/>
      <c r="I17268"/>
    </row>
    <row r="17269" spans="6:9" x14ac:dyDescent="0.3">
      <c r="F17269"/>
      <c r="G17269"/>
      <c r="H17269"/>
      <c r="I17269"/>
    </row>
    <row r="17270" spans="6:9" x14ac:dyDescent="0.3">
      <c r="F17270"/>
      <c r="G17270"/>
      <c r="H17270"/>
      <c r="I17270"/>
    </row>
    <row r="17271" spans="6:9" x14ac:dyDescent="0.3">
      <c r="F17271"/>
      <c r="G17271"/>
      <c r="H17271"/>
      <c r="I17271"/>
    </row>
    <row r="17272" spans="6:9" x14ac:dyDescent="0.3">
      <c r="F17272"/>
      <c r="G17272"/>
      <c r="H17272"/>
      <c r="I17272"/>
    </row>
    <row r="17273" spans="6:9" x14ac:dyDescent="0.3">
      <c r="F17273"/>
      <c r="G17273"/>
      <c r="H17273"/>
      <c r="I17273"/>
    </row>
    <row r="17274" spans="6:9" x14ac:dyDescent="0.3">
      <c r="F17274"/>
      <c r="G17274"/>
      <c r="H17274"/>
      <c r="I17274"/>
    </row>
    <row r="17275" spans="6:9" x14ac:dyDescent="0.3">
      <c r="F17275"/>
      <c r="G17275"/>
      <c r="H17275"/>
      <c r="I17275"/>
    </row>
    <row r="17276" spans="6:9" x14ac:dyDescent="0.3">
      <c r="F17276"/>
      <c r="G17276"/>
      <c r="H17276"/>
      <c r="I17276"/>
    </row>
    <row r="17277" spans="6:9" x14ac:dyDescent="0.3">
      <c r="F17277"/>
      <c r="G17277"/>
      <c r="H17277"/>
      <c r="I17277"/>
    </row>
    <row r="17278" spans="6:9" x14ac:dyDescent="0.3">
      <c r="F17278"/>
      <c r="G17278"/>
      <c r="H17278"/>
      <c r="I17278"/>
    </row>
    <row r="17279" spans="6:9" x14ac:dyDescent="0.3">
      <c r="F17279"/>
      <c r="G17279"/>
      <c r="H17279"/>
      <c r="I17279"/>
    </row>
    <row r="17280" spans="6:9" x14ac:dyDescent="0.3">
      <c r="F17280"/>
      <c r="G17280"/>
      <c r="H17280"/>
      <c r="I17280"/>
    </row>
    <row r="17281" spans="6:9" x14ac:dyDescent="0.3">
      <c r="F17281"/>
      <c r="G17281"/>
      <c r="H17281"/>
      <c r="I17281"/>
    </row>
    <row r="17282" spans="6:9" x14ac:dyDescent="0.3">
      <c r="F17282"/>
      <c r="G17282"/>
      <c r="H17282"/>
      <c r="I17282"/>
    </row>
    <row r="17283" spans="6:9" x14ac:dyDescent="0.3">
      <c r="F17283"/>
      <c r="G17283"/>
      <c r="H17283"/>
      <c r="I17283"/>
    </row>
    <row r="17284" spans="6:9" x14ac:dyDescent="0.3">
      <c r="F17284"/>
      <c r="G17284"/>
      <c r="H17284"/>
      <c r="I17284"/>
    </row>
    <row r="17285" spans="6:9" x14ac:dyDescent="0.3">
      <c r="F17285"/>
      <c r="G17285"/>
      <c r="H17285"/>
      <c r="I17285"/>
    </row>
    <row r="17286" spans="6:9" x14ac:dyDescent="0.3">
      <c r="F17286"/>
      <c r="G17286"/>
      <c r="H17286"/>
      <c r="I17286"/>
    </row>
    <row r="17287" spans="6:9" x14ac:dyDescent="0.3">
      <c r="F17287"/>
      <c r="G17287"/>
      <c r="H17287"/>
      <c r="I17287"/>
    </row>
    <row r="17288" spans="6:9" x14ac:dyDescent="0.3">
      <c r="F17288"/>
      <c r="G17288"/>
      <c r="H17288"/>
      <c r="I17288"/>
    </row>
    <row r="17289" spans="6:9" x14ac:dyDescent="0.3">
      <c r="F17289"/>
      <c r="G17289"/>
      <c r="H17289"/>
      <c r="I17289"/>
    </row>
    <row r="17290" spans="6:9" x14ac:dyDescent="0.3">
      <c r="F17290"/>
      <c r="G17290"/>
      <c r="H17290"/>
      <c r="I17290"/>
    </row>
    <row r="17291" spans="6:9" x14ac:dyDescent="0.3">
      <c r="F17291"/>
      <c r="G17291"/>
      <c r="H17291"/>
      <c r="I17291"/>
    </row>
    <row r="17292" spans="6:9" x14ac:dyDescent="0.3">
      <c r="F17292"/>
      <c r="G17292"/>
      <c r="H17292"/>
      <c r="I17292"/>
    </row>
    <row r="17293" spans="6:9" x14ac:dyDescent="0.3">
      <c r="F17293"/>
      <c r="G17293"/>
      <c r="H17293"/>
      <c r="I17293"/>
    </row>
    <row r="17294" spans="6:9" x14ac:dyDescent="0.3">
      <c r="F17294"/>
      <c r="G17294"/>
      <c r="H17294"/>
      <c r="I17294"/>
    </row>
    <row r="17295" spans="6:9" x14ac:dyDescent="0.3">
      <c r="F17295"/>
      <c r="G17295"/>
      <c r="H17295"/>
      <c r="I17295"/>
    </row>
    <row r="17296" spans="6:9" x14ac:dyDescent="0.3">
      <c r="F17296"/>
      <c r="G17296"/>
      <c r="H17296"/>
      <c r="I17296"/>
    </row>
    <row r="17297" spans="6:9" x14ac:dyDescent="0.3">
      <c r="F17297"/>
      <c r="G17297"/>
      <c r="H17297"/>
      <c r="I17297"/>
    </row>
    <row r="17298" spans="6:9" x14ac:dyDescent="0.3">
      <c r="F17298"/>
      <c r="G17298"/>
      <c r="H17298"/>
      <c r="I17298"/>
    </row>
    <row r="17299" spans="6:9" x14ac:dyDescent="0.3">
      <c r="F17299"/>
      <c r="G17299"/>
      <c r="H17299"/>
      <c r="I17299"/>
    </row>
    <row r="17300" spans="6:9" x14ac:dyDescent="0.3">
      <c r="F17300"/>
      <c r="G17300"/>
      <c r="H17300"/>
      <c r="I17300"/>
    </row>
    <row r="17301" spans="6:9" x14ac:dyDescent="0.3">
      <c r="F17301"/>
      <c r="G17301"/>
      <c r="H17301"/>
      <c r="I17301"/>
    </row>
    <row r="17302" spans="6:9" x14ac:dyDescent="0.3">
      <c r="F17302"/>
      <c r="G17302"/>
      <c r="H17302"/>
      <c r="I17302"/>
    </row>
    <row r="17303" spans="6:9" x14ac:dyDescent="0.3">
      <c r="F17303"/>
      <c r="G17303"/>
      <c r="H17303"/>
      <c r="I17303"/>
    </row>
    <row r="17304" spans="6:9" x14ac:dyDescent="0.3">
      <c r="F17304"/>
      <c r="G17304"/>
      <c r="H17304"/>
      <c r="I17304"/>
    </row>
    <row r="17305" spans="6:9" x14ac:dyDescent="0.3">
      <c r="F17305"/>
      <c r="G17305"/>
      <c r="H17305"/>
      <c r="I17305"/>
    </row>
    <row r="17306" spans="6:9" x14ac:dyDescent="0.3">
      <c r="F17306"/>
      <c r="G17306"/>
      <c r="H17306"/>
      <c r="I17306"/>
    </row>
    <row r="17307" spans="6:9" x14ac:dyDescent="0.3">
      <c r="F17307"/>
      <c r="G17307"/>
      <c r="H17307"/>
      <c r="I17307"/>
    </row>
    <row r="17308" spans="6:9" x14ac:dyDescent="0.3">
      <c r="F17308"/>
      <c r="G17308"/>
      <c r="H17308"/>
      <c r="I17308"/>
    </row>
    <row r="17309" spans="6:9" x14ac:dyDescent="0.3">
      <c r="F17309"/>
      <c r="G17309"/>
      <c r="H17309"/>
      <c r="I17309"/>
    </row>
    <row r="17310" spans="6:9" x14ac:dyDescent="0.3">
      <c r="F17310"/>
      <c r="G17310"/>
      <c r="H17310"/>
      <c r="I17310"/>
    </row>
    <row r="17311" spans="6:9" x14ac:dyDescent="0.3">
      <c r="F17311"/>
      <c r="G17311"/>
      <c r="H17311"/>
      <c r="I17311"/>
    </row>
    <row r="17312" spans="6:9" x14ac:dyDescent="0.3">
      <c r="F17312"/>
      <c r="G17312"/>
      <c r="H17312"/>
      <c r="I17312"/>
    </row>
    <row r="17313" spans="6:9" x14ac:dyDescent="0.3">
      <c r="F17313"/>
      <c r="G17313"/>
      <c r="H17313"/>
      <c r="I17313"/>
    </row>
    <row r="17314" spans="6:9" x14ac:dyDescent="0.3">
      <c r="F17314"/>
      <c r="G17314"/>
      <c r="H17314"/>
      <c r="I17314"/>
    </row>
    <row r="17315" spans="6:9" x14ac:dyDescent="0.3">
      <c r="F17315"/>
      <c r="G17315"/>
      <c r="H17315"/>
      <c r="I17315"/>
    </row>
    <row r="17316" spans="6:9" x14ac:dyDescent="0.3">
      <c r="F17316"/>
      <c r="G17316"/>
      <c r="H17316"/>
      <c r="I17316"/>
    </row>
    <row r="17317" spans="6:9" x14ac:dyDescent="0.3">
      <c r="F17317"/>
      <c r="G17317"/>
      <c r="H17317"/>
      <c r="I17317"/>
    </row>
    <row r="17318" spans="6:9" x14ac:dyDescent="0.3">
      <c r="F17318"/>
      <c r="G17318"/>
      <c r="H17318"/>
      <c r="I17318"/>
    </row>
    <row r="17319" spans="6:9" x14ac:dyDescent="0.3">
      <c r="F17319"/>
      <c r="G17319"/>
      <c r="H17319"/>
      <c r="I17319"/>
    </row>
    <row r="17320" spans="6:9" x14ac:dyDescent="0.3">
      <c r="F17320"/>
      <c r="G17320"/>
      <c r="H17320"/>
      <c r="I17320"/>
    </row>
    <row r="17321" spans="6:9" x14ac:dyDescent="0.3">
      <c r="F17321"/>
      <c r="G17321"/>
      <c r="H17321"/>
      <c r="I17321"/>
    </row>
    <row r="17322" spans="6:9" x14ac:dyDescent="0.3">
      <c r="F17322"/>
      <c r="G17322"/>
      <c r="H17322"/>
      <c r="I17322"/>
    </row>
    <row r="17323" spans="6:9" x14ac:dyDescent="0.3">
      <c r="F17323"/>
      <c r="G17323"/>
      <c r="H17323"/>
      <c r="I17323"/>
    </row>
    <row r="17324" spans="6:9" x14ac:dyDescent="0.3">
      <c r="F17324"/>
      <c r="G17324"/>
      <c r="H17324"/>
      <c r="I17324"/>
    </row>
    <row r="17325" spans="6:9" x14ac:dyDescent="0.3">
      <c r="F17325"/>
      <c r="G17325"/>
      <c r="H17325"/>
      <c r="I17325"/>
    </row>
    <row r="17326" spans="6:9" x14ac:dyDescent="0.3">
      <c r="F17326"/>
      <c r="G17326"/>
      <c r="H17326"/>
      <c r="I17326"/>
    </row>
    <row r="17327" spans="6:9" x14ac:dyDescent="0.3">
      <c r="F17327"/>
      <c r="G17327"/>
      <c r="H17327"/>
      <c r="I17327"/>
    </row>
    <row r="17328" spans="6:9" x14ac:dyDescent="0.3">
      <c r="F17328"/>
      <c r="G17328"/>
      <c r="H17328"/>
      <c r="I17328"/>
    </row>
    <row r="17329" spans="6:9" x14ac:dyDescent="0.3">
      <c r="F17329"/>
      <c r="G17329"/>
      <c r="H17329"/>
      <c r="I17329"/>
    </row>
    <row r="17330" spans="6:9" x14ac:dyDescent="0.3">
      <c r="F17330"/>
      <c r="G17330"/>
      <c r="H17330"/>
      <c r="I17330"/>
    </row>
    <row r="17331" spans="6:9" x14ac:dyDescent="0.3">
      <c r="F17331"/>
      <c r="G17331"/>
      <c r="H17331"/>
      <c r="I17331"/>
    </row>
    <row r="17332" spans="6:9" x14ac:dyDescent="0.3">
      <c r="F17332"/>
      <c r="G17332"/>
      <c r="H17332"/>
      <c r="I17332"/>
    </row>
    <row r="17333" spans="6:9" x14ac:dyDescent="0.3">
      <c r="F17333"/>
      <c r="G17333"/>
      <c r="H17333"/>
      <c r="I17333"/>
    </row>
    <row r="17334" spans="6:9" x14ac:dyDescent="0.3">
      <c r="F17334"/>
      <c r="G17334"/>
      <c r="H17334"/>
      <c r="I17334"/>
    </row>
    <row r="17335" spans="6:9" x14ac:dyDescent="0.3">
      <c r="F17335"/>
      <c r="G17335"/>
      <c r="H17335"/>
      <c r="I17335"/>
    </row>
    <row r="17336" spans="6:9" x14ac:dyDescent="0.3">
      <c r="F17336"/>
      <c r="G17336"/>
      <c r="H17336"/>
      <c r="I17336"/>
    </row>
    <row r="17337" spans="6:9" x14ac:dyDescent="0.3">
      <c r="F17337"/>
      <c r="G17337"/>
      <c r="H17337"/>
      <c r="I17337"/>
    </row>
    <row r="17338" spans="6:9" x14ac:dyDescent="0.3">
      <c r="F17338"/>
      <c r="G17338"/>
      <c r="H17338"/>
      <c r="I17338"/>
    </row>
    <row r="17339" spans="6:9" x14ac:dyDescent="0.3">
      <c r="F17339"/>
      <c r="G17339"/>
      <c r="H17339"/>
      <c r="I17339"/>
    </row>
    <row r="17340" spans="6:9" x14ac:dyDescent="0.3">
      <c r="F17340"/>
      <c r="G17340"/>
      <c r="H17340"/>
      <c r="I17340"/>
    </row>
    <row r="17341" spans="6:9" x14ac:dyDescent="0.3">
      <c r="F17341"/>
      <c r="G17341"/>
      <c r="H17341"/>
      <c r="I17341"/>
    </row>
    <row r="17342" spans="6:9" x14ac:dyDescent="0.3">
      <c r="F17342"/>
      <c r="G17342"/>
      <c r="H17342"/>
      <c r="I17342"/>
    </row>
    <row r="17343" spans="6:9" x14ac:dyDescent="0.3">
      <c r="F17343"/>
      <c r="G17343"/>
      <c r="H17343"/>
      <c r="I17343"/>
    </row>
    <row r="17344" spans="6:9" x14ac:dyDescent="0.3">
      <c r="F17344"/>
      <c r="G17344"/>
      <c r="H17344"/>
      <c r="I17344"/>
    </row>
    <row r="17345" spans="6:9" x14ac:dyDescent="0.3">
      <c r="F17345"/>
      <c r="G17345"/>
      <c r="H17345"/>
      <c r="I17345"/>
    </row>
    <row r="17346" spans="6:9" x14ac:dyDescent="0.3">
      <c r="F17346"/>
      <c r="G17346"/>
      <c r="H17346"/>
      <c r="I17346"/>
    </row>
    <row r="17347" spans="6:9" x14ac:dyDescent="0.3">
      <c r="F17347"/>
      <c r="G17347"/>
      <c r="H17347"/>
      <c r="I17347"/>
    </row>
    <row r="17348" spans="6:9" x14ac:dyDescent="0.3">
      <c r="F17348"/>
      <c r="G17348"/>
      <c r="H17348"/>
      <c r="I17348"/>
    </row>
    <row r="17349" spans="6:9" x14ac:dyDescent="0.3">
      <c r="F17349"/>
      <c r="G17349"/>
      <c r="H17349"/>
      <c r="I17349"/>
    </row>
    <row r="17350" spans="6:9" x14ac:dyDescent="0.3">
      <c r="F17350"/>
      <c r="G17350"/>
      <c r="H17350"/>
      <c r="I17350"/>
    </row>
    <row r="17351" spans="6:9" x14ac:dyDescent="0.3">
      <c r="F17351"/>
      <c r="G17351"/>
      <c r="H17351"/>
      <c r="I17351"/>
    </row>
    <row r="17352" spans="6:9" x14ac:dyDescent="0.3">
      <c r="F17352"/>
      <c r="G17352"/>
      <c r="H17352"/>
      <c r="I17352"/>
    </row>
    <row r="17353" spans="6:9" x14ac:dyDescent="0.3">
      <c r="F17353"/>
      <c r="G17353"/>
      <c r="H17353"/>
      <c r="I17353"/>
    </row>
    <row r="17354" spans="6:9" x14ac:dyDescent="0.3">
      <c r="F17354"/>
      <c r="G17354"/>
      <c r="H17354"/>
      <c r="I17354"/>
    </row>
    <row r="17355" spans="6:9" x14ac:dyDescent="0.3">
      <c r="F17355"/>
      <c r="G17355"/>
      <c r="H17355"/>
      <c r="I17355"/>
    </row>
    <row r="17356" spans="6:9" x14ac:dyDescent="0.3">
      <c r="F17356"/>
      <c r="G17356"/>
      <c r="H17356"/>
      <c r="I17356"/>
    </row>
    <row r="17357" spans="6:9" x14ac:dyDescent="0.3">
      <c r="F17357"/>
      <c r="G17357"/>
      <c r="H17357"/>
      <c r="I17357"/>
    </row>
    <row r="17358" spans="6:9" x14ac:dyDescent="0.3">
      <c r="F17358"/>
      <c r="G17358"/>
      <c r="H17358"/>
      <c r="I17358"/>
    </row>
    <row r="17359" spans="6:9" x14ac:dyDescent="0.3">
      <c r="F17359"/>
      <c r="G17359"/>
      <c r="H17359"/>
      <c r="I17359"/>
    </row>
    <row r="17360" spans="6:9" x14ac:dyDescent="0.3">
      <c r="F17360"/>
      <c r="G17360"/>
      <c r="H17360"/>
      <c r="I17360"/>
    </row>
    <row r="17361" spans="6:9" x14ac:dyDescent="0.3">
      <c r="F17361"/>
      <c r="G17361"/>
      <c r="H17361"/>
      <c r="I17361"/>
    </row>
    <row r="17362" spans="6:9" x14ac:dyDescent="0.3">
      <c r="F17362"/>
      <c r="G17362"/>
      <c r="H17362"/>
      <c r="I17362"/>
    </row>
    <row r="17363" spans="6:9" x14ac:dyDescent="0.3">
      <c r="F17363"/>
      <c r="G17363"/>
      <c r="H17363"/>
      <c r="I17363"/>
    </row>
    <row r="17364" spans="6:9" x14ac:dyDescent="0.3">
      <c r="F17364"/>
      <c r="G17364"/>
      <c r="H17364"/>
      <c r="I17364"/>
    </row>
    <row r="17365" spans="6:9" x14ac:dyDescent="0.3">
      <c r="F17365"/>
      <c r="G17365"/>
      <c r="H17365"/>
      <c r="I17365"/>
    </row>
    <row r="17366" spans="6:9" x14ac:dyDescent="0.3">
      <c r="F17366"/>
      <c r="G17366"/>
      <c r="H17366"/>
      <c r="I17366"/>
    </row>
    <row r="17367" spans="6:9" x14ac:dyDescent="0.3">
      <c r="F17367"/>
      <c r="G17367"/>
      <c r="H17367"/>
      <c r="I17367"/>
    </row>
    <row r="17368" spans="6:9" x14ac:dyDescent="0.3">
      <c r="F17368"/>
      <c r="G17368"/>
      <c r="H17368"/>
      <c r="I17368"/>
    </row>
    <row r="17369" spans="6:9" x14ac:dyDescent="0.3">
      <c r="F17369"/>
      <c r="G17369"/>
      <c r="H17369"/>
      <c r="I17369"/>
    </row>
    <row r="17370" spans="6:9" x14ac:dyDescent="0.3">
      <c r="F17370"/>
      <c r="G17370"/>
      <c r="H17370"/>
      <c r="I17370"/>
    </row>
    <row r="17371" spans="6:9" x14ac:dyDescent="0.3">
      <c r="F17371"/>
      <c r="G17371"/>
      <c r="H17371"/>
      <c r="I17371"/>
    </row>
    <row r="17372" spans="6:9" x14ac:dyDescent="0.3">
      <c r="F17372"/>
      <c r="G17372"/>
      <c r="H17372"/>
      <c r="I17372"/>
    </row>
    <row r="17373" spans="6:9" x14ac:dyDescent="0.3">
      <c r="F17373"/>
      <c r="G17373"/>
      <c r="H17373"/>
      <c r="I17373"/>
    </row>
    <row r="17374" spans="6:9" x14ac:dyDescent="0.3">
      <c r="F17374"/>
      <c r="G17374"/>
      <c r="H17374"/>
      <c r="I17374"/>
    </row>
    <row r="17375" spans="6:9" x14ac:dyDescent="0.3">
      <c r="F17375"/>
      <c r="G17375"/>
      <c r="H17375"/>
      <c r="I17375"/>
    </row>
    <row r="17376" spans="6:9" x14ac:dyDescent="0.3">
      <c r="F17376"/>
      <c r="G17376"/>
      <c r="H17376"/>
      <c r="I17376"/>
    </row>
    <row r="17377" spans="6:9" x14ac:dyDescent="0.3">
      <c r="F17377"/>
      <c r="G17377"/>
      <c r="H17377"/>
      <c r="I17377"/>
    </row>
    <row r="17378" spans="6:9" x14ac:dyDescent="0.3">
      <c r="F17378"/>
      <c r="G17378"/>
      <c r="H17378"/>
      <c r="I17378"/>
    </row>
    <row r="17379" spans="6:9" x14ac:dyDescent="0.3">
      <c r="F17379"/>
      <c r="G17379"/>
      <c r="H17379"/>
      <c r="I17379"/>
    </row>
    <row r="17380" spans="6:9" x14ac:dyDescent="0.3">
      <c r="F17380"/>
      <c r="G17380"/>
      <c r="H17380"/>
      <c r="I17380"/>
    </row>
    <row r="17381" spans="6:9" x14ac:dyDescent="0.3">
      <c r="F17381"/>
      <c r="G17381"/>
      <c r="H17381"/>
      <c r="I17381"/>
    </row>
    <row r="17382" spans="6:9" x14ac:dyDescent="0.3">
      <c r="F17382"/>
      <c r="G17382"/>
      <c r="H17382"/>
      <c r="I17382"/>
    </row>
    <row r="17383" spans="6:9" x14ac:dyDescent="0.3">
      <c r="F17383"/>
      <c r="G17383"/>
      <c r="H17383"/>
      <c r="I17383"/>
    </row>
    <row r="17384" spans="6:9" x14ac:dyDescent="0.3">
      <c r="F17384"/>
      <c r="G17384"/>
      <c r="H17384"/>
      <c r="I17384"/>
    </row>
    <row r="17385" spans="6:9" x14ac:dyDescent="0.3">
      <c r="F17385"/>
      <c r="G17385"/>
      <c r="H17385"/>
      <c r="I17385"/>
    </row>
    <row r="17386" spans="6:9" x14ac:dyDescent="0.3">
      <c r="F17386"/>
      <c r="G17386"/>
      <c r="H17386"/>
      <c r="I17386"/>
    </row>
    <row r="17387" spans="6:9" x14ac:dyDescent="0.3">
      <c r="F17387"/>
      <c r="G17387"/>
      <c r="H17387"/>
      <c r="I17387"/>
    </row>
    <row r="17388" spans="6:9" x14ac:dyDescent="0.3">
      <c r="F17388"/>
      <c r="G17388"/>
      <c r="H17388"/>
      <c r="I17388"/>
    </row>
    <row r="17389" spans="6:9" x14ac:dyDescent="0.3">
      <c r="F17389"/>
      <c r="G17389"/>
      <c r="H17389"/>
      <c r="I17389"/>
    </row>
    <row r="17390" spans="6:9" x14ac:dyDescent="0.3">
      <c r="F17390"/>
      <c r="G17390"/>
      <c r="H17390"/>
      <c r="I17390"/>
    </row>
    <row r="17391" spans="6:9" x14ac:dyDescent="0.3">
      <c r="F17391"/>
      <c r="G17391"/>
      <c r="H17391"/>
      <c r="I17391"/>
    </row>
    <row r="17392" spans="6:9" x14ac:dyDescent="0.3">
      <c r="F17392"/>
      <c r="G17392"/>
      <c r="H17392"/>
      <c r="I17392"/>
    </row>
    <row r="17393" spans="6:9" x14ac:dyDescent="0.3">
      <c r="F17393"/>
      <c r="G17393"/>
      <c r="H17393"/>
      <c r="I17393"/>
    </row>
    <row r="17394" spans="6:9" x14ac:dyDescent="0.3">
      <c r="F17394"/>
      <c r="G17394"/>
      <c r="H17394"/>
      <c r="I17394"/>
    </row>
    <row r="17395" spans="6:9" x14ac:dyDescent="0.3">
      <c r="F17395"/>
      <c r="G17395"/>
      <c r="H17395"/>
      <c r="I17395"/>
    </row>
    <row r="17396" spans="6:9" x14ac:dyDescent="0.3">
      <c r="F17396"/>
      <c r="G17396"/>
      <c r="H17396"/>
      <c r="I17396"/>
    </row>
    <row r="17397" spans="6:9" x14ac:dyDescent="0.3">
      <c r="F17397"/>
      <c r="G17397"/>
      <c r="H17397"/>
      <c r="I17397"/>
    </row>
    <row r="17398" spans="6:9" x14ac:dyDescent="0.3">
      <c r="F17398"/>
      <c r="G17398"/>
      <c r="H17398"/>
      <c r="I17398"/>
    </row>
    <row r="17399" spans="6:9" x14ac:dyDescent="0.3">
      <c r="F17399"/>
      <c r="G17399"/>
      <c r="H17399"/>
      <c r="I17399"/>
    </row>
    <row r="17400" spans="6:9" x14ac:dyDescent="0.3">
      <c r="F17400"/>
      <c r="G17400"/>
      <c r="H17400"/>
      <c r="I17400"/>
    </row>
    <row r="17401" spans="6:9" x14ac:dyDescent="0.3">
      <c r="F17401"/>
      <c r="G17401"/>
      <c r="H17401"/>
      <c r="I17401"/>
    </row>
    <row r="17402" spans="6:9" x14ac:dyDescent="0.3">
      <c r="F17402"/>
      <c r="G17402"/>
      <c r="H17402"/>
      <c r="I17402"/>
    </row>
    <row r="17403" spans="6:9" x14ac:dyDescent="0.3">
      <c r="F17403"/>
      <c r="G17403"/>
      <c r="H17403"/>
      <c r="I17403"/>
    </row>
    <row r="17404" spans="6:9" x14ac:dyDescent="0.3">
      <c r="F17404"/>
      <c r="G17404"/>
      <c r="H17404"/>
      <c r="I17404"/>
    </row>
    <row r="17405" spans="6:9" x14ac:dyDescent="0.3">
      <c r="F17405"/>
      <c r="G17405"/>
      <c r="H17405"/>
      <c r="I17405"/>
    </row>
    <row r="17406" spans="6:9" x14ac:dyDescent="0.3">
      <c r="F17406"/>
      <c r="G17406"/>
      <c r="H17406"/>
      <c r="I17406"/>
    </row>
    <row r="17407" spans="6:9" x14ac:dyDescent="0.3">
      <c r="F17407"/>
      <c r="G17407"/>
      <c r="H17407"/>
      <c r="I17407"/>
    </row>
    <row r="17408" spans="6:9" x14ac:dyDescent="0.3">
      <c r="F17408"/>
      <c r="G17408"/>
      <c r="H17408"/>
      <c r="I17408"/>
    </row>
    <row r="17409" spans="6:9" x14ac:dyDescent="0.3">
      <c r="F17409"/>
      <c r="G17409"/>
      <c r="H17409"/>
      <c r="I17409"/>
    </row>
    <row r="17410" spans="6:9" x14ac:dyDescent="0.3">
      <c r="F17410"/>
      <c r="G17410"/>
      <c r="H17410"/>
      <c r="I17410"/>
    </row>
    <row r="17411" spans="6:9" x14ac:dyDescent="0.3">
      <c r="F17411"/>
      <c r="G17411"/>
      <c r="H17411"/>
      <c r="I17411"/>
    </row>
    <row r="17412" spans="6:9" x14ac:dyDescent="0.3">
      <c r="F17412"/>
      <c r="G17412"/>
      <c r="H17412"/>
      <c r="I17412"/>
    </row>
    <row r="17413" spans="6:9" x14ac:dyDescent="0.3">
      <c r="F17413"/>
      <c r="G17413"/>
      <c r="H17413"/>
      <c r="I17413"/>
    </row>
    <row r="17414" spans="6:9" x14ac:dyDescent="0.3">
      <c r="F17414"/>
      <c r="G17414"/>
      <c r="H17414"/>
      <c r="I17414"/>
    </row>
    <row r="17415" spans="6:9" x14ac:dyDescent="0.3">
      <c r="F17415"/>
      <c r="G17415"/>
      <c r="H17415"/>
      <c r="I17415"/>
    </row>
    <row r="17416" spans="6:9" x14ac:dyDescent="0.3">
      <c r="F17416"/>
      <c r="G17416"/>
      <c r="H17416"/>
      <c r="I17416"/>
    </row>
    <row r="17417" spans="6:9" x14ac:dyDescent="0.3">
      <c r="F17417"/>
      <c r="G17417"/>
      <c r="H17417"/>
      <c r="I17417"/>
    </row>
    <row r="17418" spans="6:9" x14ac:dyDescent="0.3">
      <c r="F17418"/>
      <c r="G17418"/>
      <c r="H17418"/>
      <c r="I17418"/>
    </row>
    <row r="17419" spans="6:9" x14ac:dyDescent="0.3">
      <c r="F17419"/>
      <c r="G17419"/>
      <c r="H17419"/>
      <c r="I17419"/>
    </row>
    <row r="17420" spans="6:9" x14ac:dyDescent="0.3">
      <c r="F17420"/>
      <c r="G17420"/>
      <c r="H17420"/>
      <c r="I17420"/>
    </row>
    <row r="17421" spans="6:9" x14ac:dyDescent="0.3">
      <c r="F17421"/>
      <c r="G17421"/>
      <c r="H17421"/>
      <c r="I17421"/>
    </row>
    <row r="17422" spans="6:9" x14ac:dyDescent="0.3">
      <c r="F17422"/>
      <c r="G17422"/>
      <c r="H17422"/>
      <c r="I17422"/>
    </row>
    <row r="17423" spans="6:9" x14ac:dyDescent="0.3">
      <c r="F17423"/>
      <c r="G17423"/>
      <c r="H17423"/>
      <c r="I17423"/>
    </row>
    <row r="17424" spans="6:9" x14ac:dyDescent="0.3">
      <c r="F17424"/>
      <c r="G17424"/>
      <c r="H17424"/>
      <c r="I17424"/>
    </row>
    <row r="17425" spans="6:9" x14ac:dyDescent="0.3">
      <c r="F17425"/>
      <c r="G17425"/>
      <c r="H17425"/>
      <c r="I17425"/>
    </row>
    <row r="17426" spans="6:9" x14ac:dyDescent="0.3">
      <c r="F17426"/>
      <c r="G17426"/>
      <c r="H17426"/>
      <c r="I17426"/>
    </row>
    <row r="17427" spans="6:9" x14ac:dyDescent="0.3">
      <c r="F17427"/>
      <c r="G17427"/>
      <c r="H17427"/>
      <c r="I17427"/>
    </row>
    <row r="17428" spans="6:9" x14ac:dyDescent="0.3">
      <c r="F17428"/>
      <c r="G17428"/>
      <c r="H17428"/>
      <c r="I17428"/>
    </row>
    <row r="17429" spans="6:9" x14ac:dyDescent="0.3">
      <c r="F17429"/>
      <c r="G17429"/>
      <c r="H17429"/>
      <c r="I17429"/>
    </row>
    <row r="17430" spans="6:9" x14ac:dyDescent="0.3">
      <c r="F17430"/>
      <c r="G17430"/>
      <c r="H17430"/>
      <c r="I17430"/>
    </row>
    <row r="17431" spans="6:9" x14ac:dyDescent="0.3">
      <c r="F17431"/>
      <c r="G17431"/>
      <c r="H17431"/>
      <c r="I17431"/>
    </row>
    <row r="17432" spans="6:9" x14ac:dyDescent="0.3">
      <c r="F17432"/>
      <c r="G17432"/>
      <c r="H17432"/>
      <c r="I17432"/>
    </row>
    <row r="17433" spans="6:9" x14ac:dyDescent="0.3">
      <c r="F17433"/>
      <c r="G17433"/>
      <c r="H17433"/>
      <c r="I17433"/>
    </row>
    <row r="17434" spans="6:9" x14ac:dyDescent="0.3">
      <c r="F17434"/>
      <c r="G17434"/>
      <c r="H17434"/>
      <c r="I17434"/>
    </row>
    <row r="17435" spans="6:9" x14ac:dyDescent="0.3">
      <c r="F17435"/>
      <c r="G17435"/>
      <c r="H17435"/>
      <c r="I17435"/>
    </row>
    <row r="17436" spans="6:9" x14ac:dyDescent="0.3">
      <c r="F17436"/>
      <c r="G17436"/>
      <c r="H17436"/>
      <c r="I17436"/>
    </row>
    <row r="17437" spans="6:9" x14ac:dyDescent="0.3">
      <c r="F17437"/>
      <c r="G17437"/>
      <c r="H17437"/>
      <c r="I17437"/>
    </row>
    <row r="17438" spans="6:9" x14ac:dyDescent="0.3">
      <c r="F17438"/>
      <c r="G17438"/>
      <c r="H17438"/>
      <c r="I17438"/>
    </row>
    <row r="17439" spans="6:9" x14ac:dyDescent="0.3">
      <c r="F17439"/>
      <c r="G17439"/>
      <c r="H17439"/>
      <c r="I17439"/>
    </row>
    <row r="17440" spans="6:9" x14ac:dyDescent="0.3">
      <c r="F17440"/>
      <c r="G17440"/>
      <c r="H17440"/>
      <c r="I17440"/>
    </row>
    <row r="17441" spans="6:9" x14ac:dyDescent="0.3">
      <c r="F17441"/>
      <c r="G17441"/>
      <c r="H17441"/>
      <c r="I17441"/>
    </row>
    <row r="17442" spans="6:9" x14ac:dyDescent="0.3">
      <c r="F17442"/>
      <c r="G17442"/>
      <c r="H17442"/>
      <c r="I17442"/>
    </row>
    <row r="17443" spans="6:9" x14ac:dyDescent="0.3">
      <c r="F17443"/>
      <c r="G17443"/>
      <c r="H17443"/>
      <c r="I17443"/>
    </row>
    <row r="17444" spans="6:9" x14ac:dyDescent="0.3">
      <c r="F17444"/>
      <c r="G17444"/>
      <c r="H17444"/>
      <c r="I17444"/>
    </row>
    <row r="17445" spans="6:9" x14ac:dyDescent="0.3">
      <c r="F17445"/>
      <c r="G17445"/>
      <c r="H17445"/>
      <c r="I17445"/>
    </row>
    <row r="17446" spans="6:9" x14ac:dyDescent="0.3">
      <c r="F17446"/>
      <c r="G17446"/>
      <c r="H17446"/>
      <c r="I17446"/>
    </row>
    <row r="17447" spans="6:9" x14ac:dyDescent="0.3">
      <c r="F17447"/>
      <c r="G17447"/>
      <c r="H17447"/>
      <c r="I17447"/>
    </row>
    <row r="17448" spans="6:9" x14ac:dyDescent="0.3">
      <c r="F17448"/>
      <c r="G17448"/>
      <c r="H17448"/>
      <c r="I17448"/>
    </row>
    <row r="17449" spans="6:9" x14ac:dyDescent="0.3">
      <c r="F17449"/>
      <c r="G17449"/>
      <c r="H17449"/>
      <c r="I17449"/>
    </row>
    <row r="17450" spans="6:9" x14ac:dyDescent="0.3">
      <c r="F17450"/>
      <c r="G17450"/>
      <c r="H17450"/>
      <c r="I17450"/>
    </row>
    <row r="17451" spans="6:9" x14ac:dyDescent="0.3">
      <c r="F17451"/>
      <c r="G17451"/>
      <c r="H17451"/>
      <c r="I17451"/>
    </row>
    <row r="17452" spans="6:9" x14ac:dyDescent="0.3">
      <c r="F17452"/>
      <c r="G17452"/>
      <c r="H17452"/>
      <c r="I17452"/>
    </row>
    <row r="17453" spans="6:9" x14ac:dyDescent="0.3">
      <c r="F17453"/>
      <c r="G17453"/>
      <c r="H17453"/>
      <c r="I17453"/>
    </row>
    <row r="17454" spans="6:9" x14ac:dyDescent="0.3">
      <c r="F17454"/>
      <c r="G17454"/>
      <c r="H17454"/>
      <c r="I17454"/>
    </row>
    <row r="17455" spans="6:9" x14ac:dyDescent="0.3">
      <c r="F17455"/>
      <c r="G17455"/>
      <c r="H17455"/>
      <c r="I17455"/>
    </row>
    <row r="17456" spans="6:9" x14ac:dyDescent="0.3">
      <c r="F17456"/>
      <c r="G17456"/>
      <c r="H17456"/>
      <c r="I17456"/>
    </row>
    <row r="17457" spans="6:9" x14ac:dyDescent="0.3">
      <c r="F17457"/>
      <c r="G17457"/>
      <c r="H17457"/>
      <c r="I17457"/>
    </row>
    <row r="17458" spans="6:9" x14ac:dyDescent="0.3">
      <c r="F17458"/>
      <c r="G17458"/>
      <c r="H17458"/>
      <c r="I17458"/>
    </row>
    <row r="17459" spans="6:9" x14ac:dyDescent="0.3">
      <c r="F17459"/>
      <c r="G17459"/>
      <c r="H17459"/>
      <c r="I17459"/>
    </row>
    <row r="17460" spans="6:9" x14ac:dyDescent="0.3">
      <c r="F17460"/>
      <c r="G17460"/>
      <c r="H17460"/>
      <c r="I17460"/>
    </row>
    <row r="17461" spans="6:9" x14ac:dyDescent="0.3">
      <c r="F17461"/>
      <c r="G17461"/>
      <c r="H17461"/>
      <c r="I17461"/>
    </row>
    <row r="17462" spans="6:9" x14ac:dyDescent="0.3">
      <c r="F17462"/>
      <c r="G17462"/>
      <c r="H17462"/>
      <c r="I17462"/>
    </row>
    <row r="17463" spans="6:9" x14ac:dyDescent="0.3">
      <c r="F17463"/>
      <c r="G17463"/>
      <c r="H17463"/>
      <c r="I17463"/>
    </row>
    <row r="17464" spans="6:9" x14ac:dyDescent="0.3">
      <c r="F17464"/>
      <c r="G17464"/>
      <c r="H17464"/>
      <c r="I17464"/>
    </row>
    <row r="17465" spans="6:9" x14ac:dyDescent="0.3">
      <c r="F17465"/>
      <c r="G17465"/>
      <c r="H17465"/>
      <c r="I17465"/>
    </row>
    <row r="17466" spans="6:9" x14ac:dyDescent="0.3">
      <c r="F17466"/>
      <c r="G17466"/>
      <c r="H17466"/>
      <c r="I17466"/>
    </row>
    <row r="17467" spans="6:9" x14ac:dyDescent="0.3">
      <c r="F17467"/>
      <c r="G17467"/>
      <c r="H17467"/>
      <c r="I17467"/>
    </row>
    <row r="17468" spans="6:9" x14ac:dyDescent="0.3">
      <c r="F17468"/>
      <c r="G17468"/>
      <c r="H17468"/>
      <c r="I17468"/>
    </row>
    <row r="17469" spans="6:9" x14ac:dyDescent="0.3">
      <c r="F17469"/>
      <c r="G17469"/>
      <c r="H17469"/>
      <c r="I17469"/>
    </row>
    <row r="17470" spans="6:9" x14ac:dyDescent="0.3">
      <c r="F17470"/>
      <c r="G17470"/>
      <c r="H17470"/>
      <c r="I17470"/>
    </row>
    <row r="17471" spans="6:9" x14ac:dyDescent="0.3">
      <c r="F17471"/>
      <c r="G17471"/>
      <c r="H17471"/>
      <c r="I17471"/>
    </row>
    <row r="17472" spans="6:9" x14ac:dyDescent="0.3">
      <c r="F17472"/>
      <c r="G17472"/>
      <c r="H17472"/>
      <c r="I17472"/>
    </row>
    <row r="17473" spans="6:9" x14ac:dyDescent="0.3">
      <c r="F17473"/>
      <c r="G17473"/>
      <c r="H17473"/>
      <c r="I17473"/>
    </row>
    <row r="17474" spans="6:9" x14ac:dyDescent="0.3">
      <c r="F17474"/>
      <c r="G17474"/>
      <c r="H17474"/>
      <c r="I17474"/>
    </row>
    <row r="17475" spans="6:9" x14ac:dyDescent="0.3">
      <c r="F17475"/>
      <c r="G17475"/>
      <c r="H17475"/>
      <c r="I17475"/>
    </row>
    <row r="17476" spans="6:9" x14ac:dyDescent="0.3">
      <c r="F17476"/>
      <c r="G17476"/>
      <c r="H17476"/>
      <c r="I17476"/>
    </row>
    <row r="17477" spans="6:9" x14ac:dyDescent="0.3">
      <c r="F17477"/>
      <c r="G17477"/>
      <c r="H17477"/>
      <c r="I17477"/>
    </row>
    <row r="17478" spans="6:9" x14ac:dyDescent="0.3">
      <c r="F17478"/>
      <c r="G17478"/>
      <c r="H17478"/>
      <c r="I17478"/>
    </row>
    <row r="17479" spans="6:9" x14ac:dyDescent="0.3">
      <c r="F17479"/>
      <c r="G17479"/>
      <c r="H17479"/>
      <c r="I17479"/>
    </row>
    <row r="17480" spans="6:9" x14ac:dyDescent="0.3">
      <c r="F17480"/>
      <c r="G17480"/>
      <c r="H17480"/>
      <c r="I17480"/>
    </row>
    <row r="17481" spans="6:9" x14ac:dyDescent="0.3">
      <c r="F17481"/>
      <c r="G17481"/>
      <c r="H17481"/>
      <c r="I17481"/>
    </row>
    <row r="17482" spans="6:9" x14ac:dyDescent="0.3">
      <c r="F17482"/>
      <c r="G17482"/>
      <c r="H17482"/>
      <c r="I17482"/>
    </row>
    <row r="17483" spans="6:9" x14ac:dyDescent="0.3">
      <c r="F17483"/>
      <c r="G17483"/>
      <c r="H17483"/>
      <c r="I17483"/>
    </row>
    <row r="17484" spans="6:9" x14ac:dyDescent="0.3">
      <c r="F17484"/>
      <c r="G17484"/>
      <c r="H17484"/>
      <c r="I17484"/>
    </row>
    <row r="17485" spans="6:9" x14ac:dyDescent="0.3">
      <c r="F17485"/>
      <c r="G17485"/>
      <c r="H17485"/>
      <c r="I17485"/>
    </row>
    <row r="17486" spans="6:9" x14ac:dyDescent="0.3">
      <c r="F17486"/>
      <c r="G17486"/>
      <c r="H17486"/>
      <c r="I17486"/>
    </row>
    <row r="17487" spans="6:9" x14ac:dyDescent="0.3">
      <c r="F17487"/>
      <c r="G17487"/>
      <c r="H17487"/>
      <c r="I17487"/>
    </row>
    <row r="17488" spans="6:9" x14ac:dyDescent="0.3">
      <c r="F17488"/>
      <c r="G17488"/>
      <c r="H17488"/>
      <c r="I17488"/>
    </row>
    <row r="17489" spans="6:9" x14ac:dyDescent="0.3">
      <c r="F17489"/>
      <c r="G17489"/>
      <c r="H17489"/>
      <c r="I17489"/>
    </row>
    <row r="17490" spans="6:9" x14ac:dyDescent="0.3">
      <c r="F17490"/>
      <c r="G17490"/>
      <c r="H17490"/>
      <c r="I17490"/>
    </row>
    <row r="17491" spans="6:9" x14ac:dyDescent="0.3">
      <c r="F17491"/>
      <c r="G17491"/>
      <c r="H17491"/>
      <c r="I17491"/>
    </row>
    <row r="17492" spans="6:9" x14ac:dyDescent="0.3">
      <c r="F17492"/>
      <c r="G17492"/>
      <c r="H17492"/>
      <c r="I17492"/>
    </row>
    <row r="17493" spans="6:9" x14ac:dyDescent="0.3">
      <c r="F17493"/>
      <c r="G17493"/>
      <c r="H17493"/>
      <c r="I17493"/>
    </row>
    <row r="17494" spans="6:9" x14ac:dyDescent="0.3">
      <c r="F17494"/>
      <c r="G17494"/>
      <c r="H17494"/>
      <c r="I17494"/>
    </row>
    <row r="17495" spans="6:9" x14ac:dyDescent="0.3">
      <c r="F17495"/>
      <c r="G17495"/>
      <c r="H17495"/>
      <c r="I17495"/>
    </row>
    <row r="17496" spans="6:9" x14ac:dyDescent="0.3">
      <c r="F17496"/>
      <c r="G17496"/>
      <c r="H17496"/>
      <c r="I17496"/>
    </row>
    <row r="17497" spans="6:9" x14ac:dyDescent="0.3">
      <c r="F17497"/>
      <c r="G17497"/>
      <c r="H17497"/>
      <c r="I17497"/>
    </row>
    <row r="17498" spans="6:9" x14ac:dyDescent="0.3">
      <c r="F17498"/>
      <c r="G17498"/>
      <c r="H17498"/>
      <c r="I17498"/>
    </row>
    <row r="17499" spans="6:9" x14ac:dyDescent="0.3">
      <c r="F17499"/>
      <c r="G17499"/>
      <c r="H17499"/>
      <c r="I17499"/>
    </row>
    <row r="17500" spans="6:9" x14ac:dyDescent="0.3">
      <c r="F17500"/>
      <c r="G17500"/>
      <c r="H17500"/>
      <c r="I17500"/>
    </row>
    <row r="17501" spans="6:9" x14ac:dyDescent="0.3">
      <c r="F17501"/>
      <c r="G17501"/>
      <c r="H17501"/>
      <c r="I17501"/>
    </row>
    <row r="17502" spans="6:9" x14ac:dyDescent="0.3">
      <c r="F17502"/>
      <c r="G17502"/>
      <c r="H17502"/>
      <c r="I17502"/>
    </row>
    <row r="17503" spans="6:9" x14ac:dyDescent="0.3">
      <c r="F17503"/>
      <c r="G17503"/>
      <c r="H17503"/>
      <c r="I17503"/>
    </row>
    <row r="17504" spans="6:9" x14ac:dyDescent="0.3">
      <c r="F17504"/>
      <c r="G17504"/>
      <c r="H17504"/>
      <c r="I17504"/>
    </row>
    <row r="17505" spans="6:9" x14ac:dyDescent="0.3">
      <c r="F17505"/>
      <c r="G17505"/>
      <c r="H17505"/>
      <c r="I17505"/>
    </row>
    <row r="17506" spans="6:9" x14ac:dyDescent="0.3">
      <c r="F17506"/>
      <c r="G17506"/>
      <c r="H17506"/>
      <c r="I17506"/>
    </row>
    <row r="17507" spans="6:9" x14ac:dyDescent="0.3">
      <c r="F17507"/>
      <c r="G17507"/>
      <c r="H17507"/>
      <c r="I17507"/>
    </row>
    <row r="17508" spans="6:9" x14ac:dyDescent="0.3">
      <c r="F17508"/>
      <c r="G17508"/>
      <c r="H17508"/>
      <c r="I17508"/>
    </row>
    <row r="17509" spans="6:9" x14ac:dyDescent="0.3">
      <c r="F17509"/>
      <c r="G17509"/>
      <c r="H17509"/>
      <c r="I17509"/>
    </row>
    <row r="17510" spans="6:9" x14ac:dyDescent="0.3">
      <c r="F17510"/>
      <c r="G17510"/>
      <c r="H17510"/>
      <c r="I17510"/>
    </row>
    <row r="17511" spans="6:9" x14ac:dyDescent="0.3">
      <c r="F17511"/>
      <c r="G17511"/>
      <c r="H17511"/>
      <c r="I17511"/>
    </row>
    <row r="17512" spans="6:9" x14ac:dyDescent="0.3">
      <c r="F17512"/>
      <c r="G17512"/>
      <c r="H17512"/>
      <c r="I17512"/>
    </row>
    <row r="17513" spans="6:9" x14ac:dyDescent="0.3">
      <c r="F17513"/>
      <c r="G17513"/>
      <c r="H17513"/>
      <c r="I17513"/>
    </row>
    <row r="17514" spans="6:9" x14ac:dyDescent="0.3">
      <c r="F17514"/>
      <c r="G17514"/>
      <c r="H17514"/>
      <c r="I17514"/>
    </row>
    <row r="17515" spans="6:9" x14ac:dyDescent="0.3">
      <c r="F17515"/>
      <c r="G17515"/>
      <c r="H17515"/>
      <c r="I17515"/>
    </row>
    <row r="17516" spans="6:9" x14ac:dyDescent="0.3">
      <c r="F17516"/>
      <c r="G17516"/>
      <c r="H17516"/>
      <c r="I17516"/>
    </row>
    <row r="17517" spans="6:9" x14ac:dyDescent="0.3">
      <c r="F17517"/>
      <c r="G17517"/>
      <c r="H17517"/>
      <c r="I17517"/>
    </row>
    <row r="17518" spans="6:9" x14ac:dyDescent="0.3">
      <c r="F17518"/>
      <c r="G17518"/>
      <c r="H17518"/>
      <c r="I17518"/>
    </row>
    <row r="17519" spans="6:9" x14ac:dyDescent="0.3">
      <c r="F17519"/>
      <c r="G17519"/>
      <c r="H17519"/>
      <c r="I17519"/>
    </row>
    <row r="17520" spans="6:9" x14ac:dyDescent="0.3">
      <c r="F17520"/>
      <c r="G17520"/>
      <c r="H17520"/>
      <c r="I17520"/>
    </row>
    <row r="17521" spans="6:9" x14ac:dyDescent="0.3">
      <c r="F17521"/>
      <c r="G17521"/>
      <c r="H17521"/>
      <c r="I17521"/>
    </row>
    <row r="17522" spans="6:9" x14ac:dyDescent="0.3">
      <c r="F17522"/>
      <c r="G17522"/>
      <c r="H17522"/>
      <c r="I17522"/>
    </row>
    <row r="17523" spans="6:9" x14ac:dyDescent="0.3">
      <c r="F17523"/>
      <c r="G17523"/>
      <c r="H17523"/>
      <c r="I17523"/>
    </row>
    <row r="17524" spans="6:9" x14ac:dyDescent="0.3">
      <c r="F17524"/>
      <c r="G17524"/>
      <c r="H17524"/>
      <c r="I17524"/>
    </row>
    <row r="17525" spans="6:9" x14ac:dyDescent="0.3">
      <c r="F17525"/>
      <c r="G17525"/>
      <c r="H17525"/>
      <c r="I17525"/>
    </row>
    <row r="17526" spans="6:9" x14ac:dyDescent="0.3">
      <c r="F17526"/>
      <c r="G17526"/>
      <c r="H17526"/>
      <c r="I17526"/>
    </row>
    <row r="17527" spans="6:9" x14ac:dyDescent="0.3">
      <c r="F17527"/>
      <c r="G17527"/>
      <c r="H17527"/>
      <c r="I17527"/>
    </row>
    <row r="17528" spans="6:9" x14ac:dyDescent="0.3">
      <c r="F17528"/>
      <c r="G17528"/>
      <c r="H17528"/>
      <c r="I17528"/>
    </row>
    <row r="17529" spans="6:9" x14ac:dyDescent="0.3">
      <c r="F17529"/>
      <c r="G17529"/>
      <c r="H17529"/>
      <c r="I17529"/>
    </row>
    <row r="17530" spans="6:9" x14ac:dyDescent="0.3">
      <c r="F17530"/>
      <c r="G17530"/>
      <c r="H17530"/>
      <c r="I17530"/>
    </row>
    <row r="17531" spans="6:9" x14ac:dyDescent="0.3">
      <c r="F17531"/>
      <c r="G17531"/>
      <c r="H17531"/>
      <c r="I17531"/>
    </row>
    <row r="17532" spans="6:9" x14ac:dyDescent="0.3">
      <c r="F17532"/>
      <c r="G17532"/>
      <c r="H17532"/>
      <c r="I17532"/>
    </row>
    <row r="17533" spans="6:9" x14ac:dyDescent="0.3">
      <c r="F17533"/>
      <c r="G17533"/>
      <c r="H17533"/>
      <c r="I17533"/>
    </row>
    <row r="17534" spans="6:9" x14ac:dyDescent="0.3">
      <c r="F17534"/>
      <c r="G17534"/>
      <c r="H17534"/>
      <c r="I17534"/>
    </row>
    <row r="17535" spans="6:9" x14ac:dyDescent="0.3">
      <c r="F17535"/>
      <c r="G17535"/>
      <c r="H17535"/>
      <c r="I17535"/>
    </row>
    <row r="17536" spans="6:9" x14ac:dyDescent="0.3">
      <c r="F17536"/>
      <c r="G17536"/>
      <c r="H17536"/>
      <c r="I17536"/>
    </row>
    <row r="17537" spans="6:9" x14ac:dyDescent="0.3">
      <c r="F17537"/>
      <c r="G17537"/>
      <c r="H17537"/>
      <c r="I17537"/>
    </row>
    <row r="17538" spans="6:9" x14ac:dyDescent="0.3">
      <c r="F17538"/>
      <c r="G17538"/>
      <c r="H17538"/>
      <c r="I17538"/>
    </row>
    <row r="17539" spans="6:9" x14ac:dyDescent="0.3">
      <c r="F17539"/>
      <c r="G17539"/>
      <c r="H17539"/>
      <c r="I17539"/>
    </row>
    <row r="17540" spans="6:9" x14ac:dyDescent="0.3">
      <c r="F17540"/>
      <c r="G17540"/>
      <c r="H17540"/>
      <c r="I17540"/>
    </row>
    <row r="17541" spans="6:9" x14ac:dyDescent="0.3">
      <c r="F17541"/>
      <c r="G17541"/>
      <c r="H17541"/>
      <c r="I17541"/>
    </row>
    <row r="17542" spans="6:9" x14ac:dyDescent="0.3">
      <c r="F17542"/>
      <c r="G17542"/>
      <c r="H17542"/>
      <c r="I17542"/>
    </row>
    <row r="17543" spans="6:9" x14ac:dyDescent="0.3">
      <c r="F17543"/>
      <c r="G17543"/>
      <c r="H17543"/>
      <c r="I17543"/>
    </row>
    <row r="17544" spans="6:9" x14ac:dyDescent="0.3">
      <c r="F17544"/>
      <c r="G17544"/>
      <c r="H17544"/>
      <c r="I17544"/>
    </row>
    <row r="17545" spans="6:9" x14ac:dyDescent="0.3">
      <c r="F17545"/>
      <c r="G17545"/>
      <c r="H17545"/>
      <c r="I17545"/>
    </row>
    <row r="17546" spans="6:9" x14ac:dyDescent="0.3">
      <c r="F17546"/>
      <c r="G17546"/>
      <c r="H17546"/>
      <c r="I17546"/>
    </row>
    <row r="17547" spans="6:9" x14ac:dyDescent="0.3">
      <c r="F17547"/>
      <c r="G17547"/>
      <c r="H17547"/>
      <c r="I17547"/>
    </row>
    <row r="17548" spans="6:9" x14ac:dyDescent="0.3">
      <c r="F17548"/>
      <c r="G17548"/>
      <c r="H17548"/>
      <c r="I17548"/>
    </row>
    <row r="17549" spans="6:9" x14ac:dyDescent="0.3">
      <c r="F17549"/>
      <c r="G17549"/>
      <c r="H17549"/>
      <c r="I17549"/>
    </row>
    <row r="17550" spans="6:9" x14ac:dyDescent="0.3">
      <c r="F17550"/>
      <c r="G17550"/>
      <c r="H17550"/>
      <c r="I17550"/>
    </row>
    <row r="17551" spans="6:9" x14ac:dyDescent="0.3">
      <c r="F17551"/>
      <c r="G17551"/>
      <c r="H17551"/>
      <c r="I17551"/>
    </row>
    <row r="17552" spans="6:9" x14ac:dyDescent="0.3">
      <c r="F17552"/>
      <c r="G17552"/>
      <c r="H17552"/>
      <c r="I17552"/>
    </row>
    <row r="17553" spans="6:9" x14ac:dyDescent="0.3">
      <c r="F17553"/>
      <c r="G17553"/>
      <c r="H17553"/>
      <c r="I17553"/>
    </row>
    <row r="17554" spans="6:9" x14ac:dyDescent="0.3">
      <c r="F17554"/>
      <c r="G17554"/>
      <c r="H17554"/>
      <c r="I17554"/>
    </row>
    <row r="17555" spans="6:9" x14ac:dyDescent="0.3">
      <c r="F17555"/>
      <c r="G17555"/>
      <c r="H17555"/>
      <c r="I17555"/>
    </row>
    <row r="17556" spans="6:9" x14ac:dyDescent="0.3">
      <c r="F17556"/>
      <c r="G17556"/>
      <c r="H17556"/>
      <c r="I17556"/>
    </row>
    <row r="17557" spans="6:9" x14ac:dyDescent="0.3">
      <c r="F17557"/>
      <c r="G17557"/>
      <c r="H17557"/>
      <c r="I17557"/>
    </row>
    <row r="17558" spans="6:9" x14ac:dyDescent="0.3">
      <c r="F17558"/>
      <c r="G17558"/>
      <c r="H17558"/>
      <c r="I17558"/>
    </row>
    <row r="17559" spans="6:9" x14ac:dyDescent="0.3">
      <c r="F17559"/>
      <c r="G17559"/>
      <c r="H17559"/>
      <c r="I17559"/>
    </row>
    <row r="17560" spans="6:9" x14ac:dyDescent="0.3">
      <c r="F17560"/>
      <c r="G17560"/>
      <c r="H17560"/>
      <c r="I17560"/>
    </row>
    <row r="17561" spans="6:9" x14ac:dyDescent="0.3">
      <c r="F17561"/>
      <c r="G17561"/>
      <c r="H17561"/>
      <c r="I17561"/>
    </row>
    <row r="17562" spans="6:9" x14ac:dyDescent="0.3">
      <c r="F17562"/>
      <c r="G17562"/>
      <c r="H17562"/>
      <c r="I17562"/>
    </row>
    <row r="17563" spans="6:9" x14ac:dyDescent="0.3">
      <c r="F17563"/>
      <c r="G17563"/>
      <c r="H17563"/>
      <c r="I17563"/>
    </row>
    <row r="17564" spans="6:9" x14ac:dyDescent="0.3">
      <c r="F17564"/>
      <c r="G17564"/>
      <c r="H17564"/>
      <c r="I17564"/>
    </row>
    <row r="17565" spans="6:9" x14ac:dyDescent="0.3">
      <c r="F17565"/>
      <c r="G17565"/>
      <c r="H17565"/>
      <c r="I17565"/>
    </row>
    <row r="17566" spans="6:9" x14ac:dyDescent="0.3">
      <c r="F17566"/>
      <c r="G17566"/>
      <c r="H17566"/>
      <c r="I17566"/>
    </row>
    <row r="17567" spans="6:9" x14ac:dyDescent="0.3">
      <c r="F17567"/>
      <c r="G17567"/>
      <c r="H17567"/>
      <c r="I17567"/>
    </row>
    <row r="17568" spans="6:9" x14ac:dyDescent="0.3">
      <c r="F17568"/>
      <c r="G17568"/>
      <c r="H17568"/>
      <c r="I17568"/>
    </row>
    <row r="17569" spans="6:9" x14ac:dyDescent="0.3">
      <c r="F17569"/>
      <c r="G17569"/>
      <c r="H17569"/>
      <c r="I17569"/>
    </row>
    <row r="17570" spans="6:9" x14ac:dyDescent="0.3">
      <c r="F17570"/>
      <c r="G17570"/>
      <c r="H17570"/>
      <c r="I17570"/>
    </row>
    <row r="17571" spans="6:9" x14ac:dyDescent="0.3">
      <c r="F17571"/>
      <c r="G17571"/>
      <c r="H17571"/>
      <c r="I17571"/>
    </row>
    <row r="17572" spans="6:9" x14ac:dyDescent="0.3">
      <c r="F17572"/>
      <c r="G17572"/>
      <c r="H17572"/>
      <c r="I17572"/>
    </row>
    <row r="17573" spans="6:9" x14ac:dyDescent="0.3">
      <c r="F17573"/>
      <c r="G17573"/>
      <c r="H17573"/>
      <c r="I17573"/>
    </row>
    <row r="17574" spans="6:9" x14ac:dyDescent="0.3">
      <c r="F17574"/>
      <c r="G17574"/>
      <c r="H17574"/>
      <c r="I17574"/>
    </row>
    <row r="17575" spans="6:9" x14ac:dyDescent="0.3">
      <c r="F17575"/>
      <c r="G17575"/>
      <c r="H17575"/>
      <c r="I17575"/>
    </row>
    <row r="17576" spans="6:9" x14ac:dyDescent="0.3">
      <c r="F17576"/>
      <c r="G17576"/>
      <c r="H17576"/>
      <c r="I17576"/>
    </row>
    <row r="17577" spans="6:9" x14ac:dyDescent="0.3">
      <c r="F17577"/>
      <c r="G17577"/>
      <c r="H17577"/>
      <c r="I17577"/>
    </row>
    <row r="17578" spans="6:9" x14ac:dyDescent="0.3">
      <c r="F17578"/>
      <c r="G17578"/>
      <c r="H17578"/>
      <c r="I17578"/>
    </row>
    <row r="17579" spans="6:9" x14ac:dyDescent="0.3">
      <c r="F17579"/>
      <c r="G17579"/>
      <c r="H17579"/>
      <c r="I17579"/>
    </row>
    <row r="17580" spans="6:9" x14ac:dyDescent="0.3">
      <c r="F17580"/>
      <c r="G17580"/>
      <c r="H17580"/>
      <c r="I17580"/>
    </row>
    <row r="17581" spans="6:9" x14ac:dyDescent="0.3">
      <c r="F17581"/>
      <c r="G17581"/>
      <c r="H17581"/>
      <c r="I17581"/>
    </row>
    <row r="17582" spans="6:9" x14ac:dyDescent="0.3">
      <c r="F17582"/>
      <c r="G17582"/>
      <c r="H17582"/>
      <c r="I17582"/>
    </row>
    <row r="17583" spans="6:9" x14ac:dyDescent="0.3">
      <c r="F17583"/>
      <c r="G17583"/>
      <c r="H17583"/>
      <c r="I17583"/>
    </row>
    <row r="17584" spans="6:9" x14ac:dyDescent="0.3">
      <c r="F17584"/>
      <c r="G17584"/>
      <c r="H17584"/>
      <c r="I17584"/>
    </row>
    <row r="17585" spans="6:9" x14ac:dyDescent="0.3">
      <c r="F17585"/>
      <c r="G17585"/>
      <c r="H17585"/>
      <c r="I17585"/>
    </row>
    <row r="17586" spans="6:9" x14ac:dyDescent="0.3">
      <c r="F17586"/>
      <c r="G17586"/>
      <c r="H17586"/>
      <c r="I17586"/>
    </row>
    <row r="17587" spans="6:9" x14ac:dyDescent="0.3">
      <c r="F17587"/>
      <c r="G17587"/>
      <c r="H17587"/>
      <c r="I17587"/>
    </row>
    <row r="17588" spans="6:9" x14ac:dyDescent="0.3">
      <c r="F17588"/>
      <c r="G17588"/>
      <c r="H17588"/>
      <c r="I17588"/>
    </row>
    <row r="17589" spans="6:9" x14ac:dyDescent="0.3">
      <c r="F17589"/>
      <c r="G17589"/>
      <c r="H17589"/>
      <c r="I17589"/>
    </row>
    <row r="17590" spans="6:9" x14ac:dyDescent="0.3">
      <c r="F17590"/>
      <c r="G17590"/>
      <c r="H17590"/>
      <c r="I17590"/>
    </row>
    <row r="17591" spans="6:9" x14ac:dyDescent="0.3">
      <c r="F17591"/>
      <c r="G17591"/>
      <c r="H17591"/>
      <c r="I17591"/>
    </row>
    <row r="17592" spans="6:9" x14ac:dyDescent="0.3">
      <c r="F17592"/>
      <c r="G17592"/>
      <c r="H17592"/>
      <c r="I17592"/>
    </row>
    <row r="17593" spans="6:9" x14ac:dyDescent="0.3">
      <c r="F17593"/>
      <c r="G17593"/>
      <c r="H17593"/>
      <c r="I17593"/>
    </row>
    <row r="17594" spans="6:9" x14ac:dyDescent="0.3">
      <c r="F17594"/>
      <c r="G17594"/>
      <c r="H17594"/>
      <c r="I17594"/>
    </row>
    <row r="17595" spans="6:9" x14ac:dyDescent="0.3">
      <c r="F17595"/>
      <c r="G17595"/>
      <c r="H17595"/>
      <c r="I17595"/>
    </row>
    <row r="17596" spans="6:9" x14ac:dyDescent="0.3">
      <c r="F17596"/>
      <c r="G17596"/>
      <c r="H17596"/>
      <c r="I17596"/>
    </row>
    <row r="17597" spans="6:9" x14ac:dyDescent="0.3">
      <c r="F17597"/>
      <c r="G17597"/>
      <c r="H17597"/>
      <c r="I17597"/>
    </row>
    <row r="17598" spans="6:9" x14ac:dyDescent="0.3">
      <c r="F17598"/>
      <c r="G17598"/>
      <c r="H17598"/>
      <c r="I17598"/>
    </row>
    <row r="17599" spans="6:9" x14ac:dyDescent="0.3">
      <c r="F17599"/>
      <c r="G17599"/>
      <c r="H17599"/>
      <c r="I17599"/>
    </row>
    <row r="17600" spans="6:9" x14ac:dyDescent="0.3">
      <c r="F17600"/>
      <c r="G17600"/>
      <c r="H17600"/>
      <c r="I17600"/>
    </row>
    <row r="17601" spans="6:9" x14ac:dyDescent="0.3">
      <c r="F17601"/>
      <c r="G17601"/>
      <c r="H17601"/>
      <c r="I17601"/>
    </row>
    <row r="17602" spans="6:9" x14ac:dyDescent="0.3">
      <c r="F17602"/>
      <c r="G17602"/>
      <c r="H17602"/>
      <c r="I17602"/>
    </row>
    <row r="17603" spans="6:9" x14ac:dyDescent="0.3">
      <c r="F17603"/>
      <c r="G17603"/>
      <c r="H17603"/>
      <c r="I17603"/>
    </row>
    <row r="17604" spans="6:9" x14ac:dyDescent="0.3">
      <c r="F17604"/>
      <c r="G17604"/>
      <c r="H17604"/>
      <c r="I17604"/>
    </row>
    <row r="17605" spans="6:9" x14ac:dyDescent="0.3">
      <c r="F17605"/>
      <c r="G17605"/>
      <c r="H17605"/>
      <c r="I17605"/>
    </row>
    <row r="17606" spans="6:9" x14ac:dyDescent="0.3">
      <c r="F17606"/>
      <c r="G17606"/>
      <c r="H17606"/>
      <c r="I17606"/>
    </row>
    <row r="17607" spans="6:9" x14ac:dyDescent="0.3">
      <c r="F17607"/>
      <c r="G17607"/>
      <c r="H17607"/>
      <c r="I17607"/>
    </row>
    <row r="17608" spans="6:9" x14ac:dyDescent="0.3">
      <c r="F17608"/>
      <c r="G17608"/>
      <c r="H17608"/>
      <c r="I17608"/>
    </row>
    <row r="17609" spans="6:9" x14ac:dyDescent="0.3">
      <c r="F17609"/>
      <c r="G17609"/>
      <c r="H17609"/>
      <c r="I17609"/>
    </row>
    <row r="17610" spans="6:9" x14ac:dyDescent="0.3">
      <c r="F17610"/>
      <c r="G17610"/>
      <c r="H17610"/>
      <c r="I17610"/>
    </row>
    <row r="17611" spans="6:9" x14ac:dyDescent="0.3">
      <c r="F17611"/>
      <c r="G17611"/>
      <c r="H17611"/>
      <c r="I17611"/>
    </row>
    <row r="17612" spans="6:9" x14ac:dyDescent="0.3">
      <c r="F17612"/>
      <c r="G17612"/>
      <c r="H17612"/>
      <c r="I17612"/>
    </row>
    <row r="17613" spans="6:9" x14ac:dyDescent="0.3">
      <c r="F17613"/>
      <c r="G17613"/>
      <c r="H17613"/>
      <c r="I17613"/>
    </row>
    <row r="17614" spans="6:9" x14ac:dyDescent="0.3">
      <c r="F17614"/>
      <c r="G17614"/>
      <c r="H17614"/>
      <c r="I17614"/>
    </row>
    <row r="17615" spans="6:9" x14ac:dyDescent="0.3">
      <c r="F17615"/>
      <c r="G17615"/>
      <c r="H17615"/>
      <c r="I17615"/>
    </row>
    <row r="17616" spans="6:9" x14ac:dyDescent="0.3">
      <c r="F17616"/>
      <c r="G17616"/>
      <c r="H17616"/>
      <c r="I17616"/>
    </row>
    <row r="17617" spans="6:9" x14ac:dyDescent="0.3">
      <c r="F17617"/>
      <c r="G17617"/>
      <c r="H17617"/>
      <c r="I17617"/>
    </row>
    <row r="17618" spans="6:9" x14ac:dyDescent="0.3">
      <c r="F17618"/>
      <c r="G17618"/>
      <c r="H17618"/>
      <c r="I17618"/>
    </row>
    <row r="17619" spans="6:9" x14ac:dyDescent="0.3">
      <c r="F17619"/>
      <c r="G17619"/>
      <c r="H17619"/>
      <c r="I17619"/>
    </row>
    <row r="17620" spans="6:9" x14ac:dyDescent="0.3">
      <c r="F17620"/>
      <c r="G17620"/>
      <c r="H17620"/>
      <c r="I17620"/>
    </row>
    <row r="17621" spans="6:9" x14ac:dyDescent="0.3">
      <c r="F17621"/>
      <c r="G17621"/>
      <c r="H17621"/>
      <c r="I17621"/>
    </row>
    <row r="17622" spans="6:9" x14ac:dyDescent="0.3">
      <c r="F17622"/>
      <c r="G17622"/>
      <c r="H17622"/>
      <c r="I17622"/>
    </row>
    <row r="17623" spans="6:9" x14ac:dyDescent="0.3">
      <c r="F17623"/>
      <c r="G17623"/>
      <c r="H17623"/>
      <c r="I17623"/>
    </row>
    <row r="17624" spans="6:9" x14ac:dyDescent="0.3">
      <c r="F17624"/>
      <c r="G17624"/>
      <c r="H17624"/>
      <c r="I17624"/>
    </row>
    <row r="17625" spans="6:9" x14ac:dyDescent="0.3">
      <c r="F17625"/>
      <c r="G17625"/>
      <c r="H17625"/>
      <c r="I17625"/>
    </row>
    <row r="17626" spans="6:9" x14ac:dyDescent="0.3">
      <c r="F17626"/>
      <c r="G17626"/>
      <c r="H17626"/>
      <c r="I17626"/>
    </row>
    <row r="17627" spans="6:9" x14ac:dyDescent="0.3">
      <c r="F17627"/>
      <c r="G17627"/>
      <c r="H17627"/>
      <c r="I17627"/>
    </row>
    <row r="17628" spans="6:9" x14ac:dyDescent="0.3">
      <c r="F17628"/>
      <c r="G17628"/>
      <c r="H17628"/>
      <c r="I17628"/>
    </row>
    <row r="17629" spans="6:9" x14ac:dyDescent="0.3">
      <c r="F17629"/>
      <c r="G17629"/>
      <c r="H17629"/>
      <c r="I17629"/>
    </row>
    <row r="17630" spans="6:9" x14ac:dyDescent="0.3">
      <c r="F17630"/>
      <c r="G17630"/>
      <c r="H17630"/>
      <c r="I17630"/>
    </row>
    <row r="17631" spans="6:9" x14ac:dyDescent="0.3">
      <c r="F17631"/>
      <c r="G17631"/>
      <c r="H17631"/>
      <c r="I17631"/>
    </row>
    <row r="17632" spans="6:9" x14ac:dyDescent="0.3">
      <c r="F17632"/>
      <c r="G17632"/>
      <c r="H17632"/>
      <c r="I17632"/>
    </row>
    <row r="17633" spans="6:9" x14ac:dyDescent="0.3">
      <c r="F17633"/>
      <c r="G17633"/>
      <c r="H17633"/>
      <c r="I17633"/>
    </row>
    <row r="17634" spans="6:9" x14ac:dyDescent="0.3">
      <c r="F17634"/>
      <c r="G17634"/>
      <c r="H17634"/>
      <c r="I17634"/>
    </row>
    <row r="17635" spans="6:9" x14ac:dyDescent="0.3">
      <c r="F17635"/>
      <c r="G17635"/>
      <c r="H17635"/>
      <c r="I17635"/>
    </row>
    <row r="17636" spans="6:9" x14ac:dyDescent="0.3">
      <c r="F17636"/>
      <c r="G17636"/>
      <c r="H17636"/>
      <c r="I17636"/>
    </row>
    <row r="17637" spans="6:9" x14ac:dyDescent="0.3">
      <c r="F17637"/>
      <c r="G17637"/>
      <c r="H17637"/>
      <c r="I17637"/>
    </row>
    <row r="17638" spans="6:9" x14ac:dyDescent="0.3">
      <c r="F17638"/>
      <c r="G17638"/>
      <c r="H17638"/>
      <c r="I17638"/>
    </row>
    <row r="17639" spans="6:9" x14ac:dyDescent="0.3">
      <c r="F17639"/>
      <c r="G17639"/>
      <c r="H17639"/>
      <c r="I17639"/>
    </row>
    <row r="17640" spans="6:9" x14ac:dyDescent="0.3">
      <c r="F17640"/>
      <c r="G17640"/>
      <c r="H17640"/>
      <c r="I17640"/>
    </row>
    <row r="17641" spans="6:9" x14ac:dyDescent="0.3">
      <c r="F17641"/>
      <c r="G17641"/>
      <c r="H17641"/>
      <c r="I17641"/>
    </row>
    <row r="17642" spans="6:9" x14ac:dyDescent="0.3">
      <c r="F17642"/>
      <c r="G17642"/>
      <c r="H17642"/>
      <c r="I17642"/>
    </row>
    <row r="17643" spans="6:9" x14ac:dyDescent="0.3">
      <c r="F17643"/>
      <c r="G17643"/>
      <c r="H17643"/>
      <c r="I17643"/>
    </row>
    <row r="17644" spans="6:9" x14ac:dyDescent="0.3">
      <c r="F17644"/>
      <c r="G17644"/>
      <c r="H17644"/>
      <c r="I17644"/>
    </row>
    <row r="17645" spans="6:9" x14ac:dyDescent="0.3">
      <c r="F17645"/>
      <c r="G17645"/>
      <c r="H17645"/>
      <c r="I17645"/>
    </row>
    <row r="17646" spans="6:9" x14ac:dyDescent="0.3">
      <c r="F17646"/>
      <c r="G17646"/>
      <c r="H17646"/>
      <c r="I17646"/>
    </row>
    <row r="17647" spans="6:9" x14ac:dyDescent="0.3">
      <c r="F17647"/>
      <c r="G17647"/>
      <c r="H17647"/>
      <c r="I17647"/>
    </row>
    <row r="17648" spans="6:9" x14ac:dyDescent="0.3">
      <c r="F17648"/>
      <c r="G17648"/>
      <c r="H17648"/>
      <c r="I17648"/>
    </row>
    <row r="17649" spans="6:9" x14ac:dyDescent="0.3">
      <c r="F17649"/>
      <c r="G17649"/>
      <c r="H17649"/>
      <c r="I17649"/>
    </row>
    <row r="17650" spans="6:9" x14ac:dyDescent="0.3">
      <c r="F17650"/>
      <c r="G17650"/>
      <c r="H17650"/>
      <c r="I17650"/>
    </row>
    <row r="17651" spans="6:9" x14ac:dyDescent="0.3">
      <c r="F17651"/>
      <c r="G17651"/>
      <c r="H17651"/>
      <c r="I17651"/>
    </row>
    <row r="17652" spans="6:9" x14ac:dyDescent="0.3">
      <c r="F17652"/>
      <c r="G17652"/>
      <c r="H17652"/>
      <c r="I17652"/>
    </row>
    <row r="17653" spans="6:9" x14ac:dyDescent="0.3">
      <c r="F17653"/>
      <c r="G17653"/>
      <c r="H17653"/>
      <c r="I17653"/>
    </row>
    <row r="17654" spans="6:9" x14ac:dyDescent="0.3">
      <c r="F17654"/>
      <c r="G17654"/>
      <c r="H17654"/>
      <c r="I17654"/>
    </row>
    <row r="17655" spans="6:9" x14ac:dyDescent="0.3">
      <c r="F17655"/>
      <c r="G17655"/>
      <c r="H17655"/>
      <c r="I17655"/>
    </row>
    <row r="17656" spans="6:9" x14ac:dyDescent="0.3">
      <c r="F17656"/>
      <c r="G17656"/>
      <c r="H17656"/>
      <c r="I17656"/>
    </row>
    <row r="17657" spans="6:9" x14ac:dyDescent="0.3">
      <c r="F17657"/>
      <c r="G17657"/>
      <c r="H17657"/>
      <c r="I17657"/>
    </row>
    <row r="17658" spans="6:9" x14ac:dyDescent="0.3">
      <c r="F17658"/>
      <c r="G17658"/>
      <c r="H17658"/>
      <c r="I17658"/>
    </row>
    <row r="17659" spans="6:9" x14ac:dyDescent="0.3">
      <c r="F17659"/>
      <c r="G17659"/>
      <c r="H17659"/>
      <c r="I17659"/>
    </row>
    <row r="17660" spans="6:9" x14ac:dyDescent="0.3">
      <c r="F17660"/>
      <c r="G17660"/>
      <c r="H17660"/>
      <c r="I17660"/>
    </row>
    <row r="17661" spans="6:9" x14ac:dyDescent="0.3">
      <c r="F17661"/>
      <c r="G17661"/>
      <c r="H17661"/>
      <c r="I17661"/>
    </row>
    <row r="17662" spans="6:9" x14ac:dyDescent="0.3">
      <c r="F17662"/>
      <c r="G17662"/>
      <c r="H17662"/>
      <c r="I17662"/>
    </row>
    <row r="17663" spans="6:9" x14ac:dyDescent="0.3">
      <c r="F17663"/>
      <c r="G17663"/>
      <c r="H17663"/>
      <c r="I17663"/>
    </row>
    <row r="17664" spans="6:9" x14ac:dyDescent="0.3">
      <c r="F17664"/>
      <c r="G17664"/>
      <c r="H17664"/>
      <c r="I17664"/>
    </row>
    <row r="17665" spans="6:9" x14ac:dyDescent="0.3">
      <c r="F17665"/>
      <c r="G17665"/>
      <c r="H17665"/>
      <c r="I17665"/>
    </row>
    <row r="17666" spans="6:9" x14ac:dyDescent="0.3">
      <c r="F17666"/>
      <c r="G17666"/>
      <c r="H17666"/>
      <c r="I17666"/>
    </row>
    <row r="17667" spans="6:9" x14ac:dyDescent="0.3">
      <c r="F17667"/>
      <c r="G17667"/>
      <c r="H17667"/>
      <c r="I17667"/>
    </row>
    <row r="17668" spans="6:9" x14ac:dyDescent="0.3">
      <c r="F17668"/>
      <c r="G17668"/>
      <c r="H17668"/>
      <c r="I17668"/>
    </row>
    <row r="17669" spans="6:9" x14ac:dyDescent="0.3">
      <c r="F17669"/>
      <c r="G17669"/>
      <c r="H17669"/>
      <c r="I17669"/>
    </row>
    <row r="17670" spans="6:9" x14ac:dyDescent="0.3">
      <c r="F17670"/>
      <c r="G17670"/>
      <c r="H17670"/>
      <c r="I17670"/>
    </row>
    <row r="17671" spans="6:9" x14ac:dyDescent="0.3">
      <c r="F17671"/>
      <c r="G17671"/>
      <c r="H17671"/>
      <c r="I17671"/>
    </row>
    <row r="17672" spans="6:9" x14ac:dyDescent="0.3">
      <c r="F17672"/>
      <c r="G17672"/>
      <c r="H17672"/>
      <c r="I17672"/>
    </row>
    <row r="17673" spans="6:9" x14ac:dyDescent="0.3">
      <c r="F17673"/>
      <c r="G17673"/>
      <c r="H17673"/>
      <c r="I17673"/>
    </row>
    <row r="17674" spans="6:9" x14ac:dyDescent="0.3">
      <c r="F17674"/>
      <c r="G17674"/>
      <c r="H17674"/>
      <c r="I17674"/>
    </row>
    <row r="17675" spans="6:9" x14ac:dyDescent="0.3">
      <c r="F17675"/>
      <c r="G17675"/>
      <c r="H17675"/>
      <c r="I17675"/>
    </row>
    <row r="17676" spans="6:9" x14ac:dyDescent="0.3">
      <c r="F17676"/>
      <c r="G17676"/>
      <c r="H17676"/>
      <c r="I17676"/>
    </row>
    <row r="17677" spans="6:9" x14ac:dyDescent="0.3">
      <c r="F17677"/>
      <c r="G17677"/>
      <c r="H17677"/>
      <c r="I17677"/>
    </row>
    <row r="17678" spans="6:9" x14ac:dyDescent="0.3">
      <c r="F17678"/>
      <c r="G17678"/>
      <c r="H17678"/>
      <c r="I17678"/>
    </row>
    <row r="17679" spans="6:9" x14ac:dyDescent="0.3">
      <c r="F17679"/>
      <c r="G17679"/>
      <c r="H17679"/>
      <c r="I17679"/>
    </row>
    <row r="17680" spans="6:9" x14ac:dyDescent="0.3">
      <c r="F17680"/>
      <c r="G17680"/>
      <c r="H17680"/>
      <c r="I17680"/>
    </row>
    <row r="17681" spans="6:9" x14ac:dyDescent="0.3">
      <c r="F17681"/>
      <c r="G17681"/>
      <c r="H17681"/>
      <c r="I17681"/>
    </row>
    <row r="17682" spans="6:9" x14ac:dyDescent="0.3">
      <c r="F17682"/>
      <c r="G17682"/>
      <c r="H17682"/>
      <c r="I17682"/>
    </row>
    <row r="17683" spans="6:9" x14ac:dyDescent="0.3">
      <c r="F17683"/>
      <c r="G17683"/>
      <c r="H17683"/>
      <c r="I17683"/>
    </row>
    <row r="17684" spans="6:9" x14ac:dyDescent="0.3">
      <c r="F17684"/>
      <c r="G17684"/>
      <c r="H17684"/>
      <c r="I17684"/>
    </row>
    <row r="17685" spans="6:9" x14ac:dyDescent="0.3">
      <c r="F17685"/>
      <c r="G17685"/>
      <c r="H17685"/>
      <c r="I17685"/>
    </row>
    <row r="17686" spans="6:9" x14ac:dyDescent="0.3">
      <c r="F17686"/>
      <c r="G17686"/>
      <c r="H17686"/>
      <c r="I17686"/>
    </row>
    <row r="17687" spans="6:9" x14ac:dyDescent="0.3">
      <c r="F17687"/>
      <c r="G17687"/>
      <c r="H17687"/>
      <c r="I17687"/>
    </row>
    <row r="17688" spans="6:9" x14ac:dyDescent="0.3">
      <c r="F17688"/>
      <c r="G17688"/>
      <c r="H17688"/>
      <c r="I17688"/>
    </row>
    <row r="17689" spans="6:9" x14ac:dyDescent="0.3">
      <c r="F17689"/>
      <c r="G17689"/>
      <c r="H17689"/>
      <c r="I17689"/>
    </row>
    <row r="17690" spans="6:9" x14ac:dyDescent="0.3">
      <c r="F17690"/>
      <c r="G17690"/>
      <c r="H17690"/>
      <c r="I17690"/>
    </row>
    <row r="17691" spans="6:9" x14ac:dyDescent="0.3">
      <c r="F17691"/>
      <c r="G17691"/>
      <c r="H17691"/>
      <c r="I17691"/>
    </row>
    <row r="17692" spans="6:9" x14ac:dyDescent="0.3">
      <c r="F17692"/>
      <c r="G17692"/>
      <c r="H17692"/>
      <c r="I17692"/>
    </row>
    <row r="17693" spans="6:9" x14ac:dyDescent="0.3">
      <c r="F17693"/>
      <c r="G17693"/>
      <c r="H17693"/>
      <c r="I17693"/>
    </row>
    <row r="17694" spans="6:9" x14ac:dyDescent="0.3">
      <c r="F17694"/>
      <c r="G17694"/>
      <c r="H17694"/>
      <c r="I17694"/>
    </row>
    <row r="17695" spans="6:9" x14ac:dyDescent="0.3">
      <c r="F17695"/>
      <c r="G17695"/>
      <c r="H17695"/>
      <c r="I17695"/>
    </row>
    <row r="17696" spans="6:9" x14ac:dyDescent="0.3">
      <c r="F17696"/>
      <c r="G17696"/>
      <c r="H17696"/>
      <c r="I17696"/>
    </row>
    <row r="17697" spans="6:9" x14ac:dyDescent="0.3">
      <c r="F17697"/>
      <c r="G17697"/>
      <c r="H17697"/>
      <c r="I17697"/>
    </row>
    <row r="17698" spans="6:9" x14ac:dyDescent="0.3">
      <c r="F17698"/>
      <c r="G17698"/>
      <c r="H17698"/>
      <c r="I17698"/>
    </row>
    <row r="17699" spans="6:9" x14ac:dyDescent="0.3">
      <c r="F17699"/>
      <c r="G17699"/>
      <c r="H17699"/>
      <c r="I17699"/>
    </row>
    <row r="17700" spans="6:9" x14ac:dyDescent="0.3">
      <c r="F17700"/>
      <c r="G17700"/>
      <c r="H17700"/>
      <c r="I17700"/>
    </row>
    <row r="17701" spans="6:9" x14ac:dyDescent="0.3">
      <c r="F17701"/>
      <c r="G17701"/>
      <c r="H17701"/>
      <c r="I17701"/>
    </row>
    <row r="17702" spans="6:9" x14ac:dyDescent="0.3">
      <c r="F17702"/>
      <c r="G17702"/>
      <c r="H17702"/>
      <c r="I17702"/>
    </row>
    <row r="17703" spans="6:9" x14ac:dyDescent="0.3">
      <c r="F17703"/>
      <c r="G17703"/>
      <c r="H17703"/>
      <c r="I17703"/>
    </row>
    <row r="17704" spans="6:9" x14ac:dyDescent="0.3">
      <c r="F17704"/>
      <c r="G17704"/>
      <c r="H17704"/>
      <c r="I17704"/>
    </row>
    <row r="17705" spans="6:9" x14ac:dyDescent="0.3">
      <c r="F17705"/>
      <c r="G17705"/>
      <c r="H17705"/>
      <c r="I17705"/>
    </row>
    <row r="17706" spans="6:9" x14ac:dyDescent="0.3">
      <c r="F17706"/>
      <c r="G17706"/>
      <c r="H17706"/>
      <c r="I17706"/>
    </row>
    <row r="17707" spans="6:9" x14ac:dyDescent="0.3">
      <c r="F17707"/>
      <c r="G17707"/>
      <c r="H17707"/>
      <c r="I17707"/>
    </row>
    <row r="17708" spans="6:9" x14ac:dyDescent="0.3">
      <c r="F17708"/>
      <c r="G17708"/>
      <c r="H17708"/>
      <c r="I17708"/>
    </row>
    <row r="17709" spans="6:9" x14ac:dyDescent="0.3">
      <c r="F17709"/>
      <c r="G17709"/>
      <c r="H17709"/>
      <c r="I17709"/>
    </row>
    <row r="17710" spans="6:9" x14ac:dyDescent="0.3">
      <c r="F17710"/>
      <c r="G17710"/>
      <c r="H17710"/>
      <c r="I17710"/>
    </row>
    <row r="17711" spans="6:9" x14ac:dyDescent="0.3">
      <c r="F17711"/>
      <c r="G17711"/>
      <c r="H17711"/>
      <c r="I17711"/>
    </row>
    <row r="17712" spans="6:9" x14ac:dyDescent="0.3">
      <c r="F17712"/>
      <c r="G17712"/>
      <c r="H17712"/>
      <c r="I17712"/>
    </row>
    <row r="17713" spans="6:9" x14ac:dyDescent="0.3">
      <c r="F17713"/>
      <c r="G17713"/>
      <c r="H17713"/>
      <c r="I17713"/>
    </row>
    <row r="17714" spans="6:9" x14ac:dyDescent="0.3">
      <c r="F17714"/>
      <c r="G17714"/>
      <c r="H17714"/>
      <c r="I17714"/>
    </row>
    <row r="17715" spans="6:9" x14ac:dyDescent="0.3">
      <c r="F17715"/>
      <c r="G17715"/>
      <c r="H17715"/>
      <c r="I17715"/>
    </row>
    <row r="17716" spans="6:9" x14ac:dyDescent="0.3">
      <c r="F17716"/>
      <c r="G17716"/>
      <c r="H17716"/>
      <c r="I17716"/>
    </row>
    <row r="17717" spans="6:9" x14ac:dyDescent="0.3">
      <c r="F17717"/>
      <c r="G17717"/>
      <c r="H17717"/>
      <c r="I17717"/>
    </row>
    <row r="17718" spans="6:9" x14ac:dyDescent="0.3">
      <c r="F17718"/>
      <c r="G17718"/>
      <c r="H17718"/>
      <c r="I17718"/>
    </row>
    <row r="17719" spans="6:9" x14ac:dyDescent="0.3">
      <c r="F17719"/>
      <c r="G17719"/>
      <c r="H17719"/>
      <c r="I17719"/>
    </row>
    <row r="17720" spans="6:9" x14ac:dyDescent="0.3">
      <c r="F17720"/>
      <c r="G17720"/>
      <c r="H17720"/>
      <c r="I17720"/>
    </row>
    <row r="17721" spans="6:9" x14ac:dyDescent="0.3">
      <c r="F17721"/>
      <c r="G17721"/>
      <c r="H17721"/>
      <c r="I17721"/>
    </row>
    <row r="17722" spans="6:9" x14ac:dyDescent="0.3">
      <c r="F17722"/>
      <c r="G17722"/>
      <c r="H17722"/>
      <c r="I17722"/>
    </row>
    <row r="17723" spans="6:9" x14ac:dyDescent="0.3">
      <c r="F17723"/>
      <c r="G17723"/>
      <c r="H17723"/>
      <c r="I17723"/>
    </row>
    <row r="17724" spans="6:9" x14ac:dyDescent="0.3">
      <c r="F17724"/>
      <c r="G17724"/>
      <c r="H17724"/>
      <c r="I17724"/>
    </row>
    <row r="17725" spans="6:9" x14ac:dyDescent="0.3">
      <c r="F17725"/>
      <c r="G17725"/>
      <c r="H17725"/>
      <c r="I17725"/>
    </row>
    <row r="17726" spans="6:9" x14ac:dyDescent="0.3">
      <c r="F17726"/>
      <c r="G17726"/>
      <c r="H17726"/>
      <c r="I17726"/>
    </row>
    <row r="17727" spans="6:9" x14ac:dyDescent="0.3">
      <c r="F17727"/>
      <c r="G17727"/>
      <c r="H17727"/>
      <c r="I17727"/>
    </row>
    <row r="17728" spans="6:9" x14ac:dyDescent="0.3">
      <c r="F17728"/>
      <c r="G17728"/>
      <c r="H17728"/>
      <c r="I17728"/>
    </row>
    <row r="17729" spans="6:9" x14ac:dyDescent="0.3">
      <c r="F17729"/>
      <c r="G17729"/>
      <c r="H17729"/>
      <c r="I17729"/>
    </row>
    <row r="17730" spans="6:9" x14ac:dyDescent="0.3">
      <c r="F17730"/>
      <c r="G17730"/>
      <c r="H17730"/>
      <c r="I17730"/>
    </row>
    <row r="17731" spans="6:9" x14ac:dyDescent="0.3">
      <c r="F17731"/>
      <c r="G17731"/>
      <c r="H17731"/>
      <c r="I17731"/>
    </row>
    <row r="17732" spans="6:9" x14ac:dyDescent="0.3">
      <c r="F17732"/>
      <c r="G17732"/>
      <c r="H17732"/>
      <c r="I17732"/>
    </row>
    <row r="17733" spans="6:9" x14ac:dyDescent="0.3">
      <c r="F17733"/>
      <c r="G17733"/>
      <c r="H17733"/>
      <c r="I17733"/>
    </row>
    <row r="17734" spans="6:9" x14ac:dyDescent="0.3">
      <c r="F17734"/>
      <c r="G17734"/>
      <c r="H17734"/>
      <c r="I17734"/>
    </row>
    <row r="17735" spans="6:9" x14ac:dyDescent="0.3">
      <c r="F17735"/>
      <c r="G17735"/>
      <c r="H17735"/>
      <c r="I17735"/>
    </row>
    <row r="17736" spans="6:9" x14ac:dyDescent="0.3">
      <c r="F17736"/>
      <c r="G17736"/>
      <c r="H17736"/>
      <c r="I17736"/>
    </row>
    <row r="17737" spans="6:9" x14ac:dyDescent="0.3">
      <c r="F17737"/>
      <c r="G17737"/>
      <c r="H17737"/>
      <c r="I17737"/>
    </row>
    <row r="17738" spans="6:9" x14ac:dyDescent="0.3">
      <c r="F17738"/>
      <c r="G17738"/>
      <c r="H17738"/>
      <c r="I17738"/>
    </row>
    <row r="17739" spans="6:9" x14ac:dyDescent="0.3">
      <c r="F17739"/>
      <c r="G17739"/>
      <c r="H17739"/>
      <c r="I17739"/>
    </row>
    <row r="17740" spans="6:9" x14ac:dyDescent="0.3">
      <c r="F17740"/>
      <c r="G17740"/>
      <c r="H17740"/>
      <c r="I17740"/>
    </row>
    <row r="17741" spans="6:9" x14ac:dyDescent="0.3">
      <c r="F17741"/>
      <c r="G17741"/>
      <c r="H17741"/>
      <c r="I17741"/>
    </row>
    <row r="17742" spans="6:9" x14ac:dyDescent="0.3">
      <c r="F17742"/>
      <c r="G17742"/>
      <c r="H17742"/>
      <c r="I17742"/>
    </row>
    <row r="17743" spans="6:9" x14ac:dyDescent="0.3">
      <c r="F17743"/>
      <c r="G17743"/>
      <c r="H17743"/>
      <c r="I17743"/>
    </row>
    <row r="17744" spans="6:9" x14ac:dyDescent="0.3">
      <c r="F17744"/>
      <c r="G17744"/>
      <c r="H17744"/>
      <c r="I17744"/>
    </row>
    <row r="17745" spans="6:9" x14ac:dyDescent="0.3">
      <c r="F17745"/>
      <c r="G17745"/>
      <c r="H17745"/>
      <c r="I17745"/>
    </row>
    <row r="17746" spans="6:9" x14ac:dyDescent="0.3">
      <c r="F17746"/>
      <c r="G17746"/>
      <c r="H17746"/>
      <c r="I17746"/>
    </row>
    <row r="17747" spans="6:9" x14ac:dyDescent="0.3">
      <c r="F17747"/>
      <c r="G17747"/>
      <c r="H17747"/>
      <c r="I17747"/>
    </row>
    <row r="17748" spans="6:9" x14ac:dyDescent="0.3">
      <c r="F17748"/>
      <c r="G17748"/>
      <c r="H17748"/>
      <c r="I17748"/>
    </row>
    <row r="17749" spans="6:9" x14ac:dyDescent="0.3">
      <c r="F17749"/>
      <c r="G17749"/>
      <c r="H17749"/>
      <c r="I17749"/>
    </row>
    <row r="17750" spans="6:9" x14ac:dyDescent="0.3">
      <c r="F17750"/>
      <c r="G17750"/>
      <c r="H17750"/>
      <c r="I17750"/>
    </row>
    <row r="17751" spans="6:9" x14ac:dyDescent="0.3">
      <c r="F17751"/>
      <c r="G17751"/>
      <c r="H17751"/>
      <c r="I17751"/>
    </row>
    <row r="17752" spans="6:9" x14ac:dyDescent="0.3">
      <c r="F17752"/>
      <c r="G17752"/>
      <c r="H17752"/>
      <c r="I17752"/>
    </row>
    <row r="17753" spans="6:9" x14ac:dyDescent="0.3">
      <c r="F17753"/>
      <c r="G17753"/>
      <c r="H17753"/>
      <c r="I17753"/>
    </row>
    <row r="17754" spans="6:9" x14ac:dyDescent="0.3">
      <c r="F17754"/>
      <c r="G17754"/>
      <c r="H17754"/>
      <c r="I17754"/>
    </row>
    <row r="17755" spans="6:9" x14ac:dyDescent="0.3">
      <c r="F17755"/>
      <c r="G17755"/>
      <c r="H17755"/>
      <c r="I17755"/>
    </row>
    <row r="17756" spans="6:9" x14ac:dyDescent="0.3">
      <c r="F17756"/>
      <c r="G17756"/>
      <c r="H17756"/>
      <c r="I17756"/>
    </row>
    <row r="17757" spans="6:9" x14ac:dyDescent="0.3">
      <c r="F17757"/>
      <c r="G17757"/>
      <c r="H17757"/>
      <c r="I17757"/>
    </row>
    <row r="17758" spans="6:9" x14ac:dyDescent="0.3">
      <c r="F17758"/>
      <c r="G17758"/>
      <c r="H17758"/>
      <c r="I17758"/>
    </row>
    <row r="17759" spans="6:9" x14ac:dyDescent="0.3">
      <c r="F17759"/>
      <c r="G17759"/>
      <c r="H17759"/>
      <c r="I17759"/>
    </row>
    <row r="17760" spans="6:9" x14ac:dyDescent="0.3">
      <c r="F17760"/>
      <c r="G17760"/>
      <c r="H17760"/>
      <c r="I17760"/>
    </row>
    <row r="17761" spans="6:9" x14ac:dyDescent="0.3">
      <c r="F17761"/>
      <c r="G17761"/>
      <c r="H17761"/>
      <c r="I17761"/>
    </row>
    <row r="17762" spans="6:9" x14ac:dyDescent="0.3">
      <c r="F17762"/>
      <c r="G17762"/>
      <c r="H17762"/>
      <c r="I17762"/>
    </row>
    <row r="17763" spans="6:9" x14ac:dyDescent="0.3">
      <c r="F17763"/>
      <c r="G17763"/>
      <c r="H17763"/>
      <c r="I17763"/>
    </row>
    <row r="17764" spans="6:9" x14ac:dyDescent="0.3">
      <c r="F17764"/>
      <c r="G17764"/>
      <c r="H17764"/>
      <c r="I17764"/>
    </row>
    <row r="17765" spans="6:9" x14ac:dyDescent="0.3">
      <c r="F17765"/>
      <c r="G17765"/>
      <c r="H17765"/>
      <c r="I17765"/>
    </row>
    <row r="17766" spans="6:9" x14ac:dyDescent="0.3">
      <c r="F17766"/>
      <c r="G17766"/>
      <c r="H17766"/>
      <c r="I17766"/>
    </row>
    <row r="17767" spans="6:9" x14ac:dyDescent="0.3">
      <c r="F17767"/>
      <c r="G17767"/>
      <c r="H17767"/>
      <c r="I17767"/>
    </row>
    <row r="17768" spans="6:9" x14ac:dyDescent="0.3">
      <c r="F17768"/>
      <c r="G17768"/>
      <c r="H17768"/>
      <c r="I17768"/>
    </row>
    <row r="17769" spans="6:9" x14ac:dyDescent="0.3">
      <c r="F17769"/>
      <c r="G17769"/>
      <c r="H17769"/>
      <c r="I17769"/>
    </row>
    <row r="17770" spans="6:9" x14ac:dyDescent="0.3">
      <c r="F17770"/>
      <c r="G17770"/>
      <c r="H17770"/>
      <c r="I17770"/>
    </row>
    <row r="17771" spans="6:9" x14ac:dyDescent="0.3">
      <c r="F17771"/>
      <c r="G17771"/>
      <c r="H17771"/>
      <c r="I17771"/>
    </row>
    <row r="17772" spans="6:9" x14ac:dyDescent="0.3">
      <c r="F17772"/>
      <c r="G17772"/>
      <c r="H17772"/>
      <c r="I17772"/>
    </row>
    <row r="17773" spans="6:9" x14ac:dyDescent="0.3">
      <c r="F17773"/>
      <c r="G17773"/>
      <c r="H17773"/>
      <c r="I17773"/>
    </row>
    <row r="17774" spans="6:9" x14ac:dyDescent="0.3">
      <c r="F17774"/>
      <c r="G17774"/>
      <c r="H17774"/>
      <c r="I17774"/>
    </row>
    <row r="17775" spans="6:9" x14ac:dyDescent="0.3">
      <c r="F17775"/>
      <c r="G17775"/>
      <c r="H17775"/>
      <c r="I17775"/>
    </row>
    <row r="17776" spans="6:9" x14ac:dyDescent="0.3">
      <c r="F17776"/>
      <c r="G17776"/>
      <c r="H17776"/>
      <c r="I17776"/>
    </row>
    <row r="17777" spans="6:9" x14ac:dyDescent="0.3">
      <c r="F17777"/>
      <c r="G17777"/>
      <c r="H17777"/>
      <c r="I17777"/>
    </row>
    <row r="17778" spans="6:9" x14ac:dyDescent="0.3">
      <c r="F17778"/>
      <c r="G17778"/>
      <c r="H17778"/>
      <c r="I17778"/>
    </row>
    <row r="17779" spans="6:9" x14ac:dyDescent="0.3">
      <c r="F17779"/>
      <c r="G17779"/>
      <c r="H17779"/>
      <c r="I17779"/>
    </row>
    <row r="17780" spans="6:9" x14ac:dyDescent="0.3">
      <c r="F17780"/>
      <c r="G17780"/>
      <c r="H17780"/>
      <c r="I17780"/>
    </row>
    <row r="17781" spans="6:9" x14ac:dyDescent="0.3">
      <c r="F17781"/>
      <c r="G17781"/>
      <c r="H17781"/>
      <c r="I17781"/>
    </row>
    <row r="17782" spans="6:9" x14ac:dyDescent="0.3">
      <c r="F17782"/>
      <c r="G17782"/>
      <c r="H17782"/>
      <c r="I17782"/>
    </row>
    <row r="17783" spans="6:9" x14ac:dyDescent="0.3">
      <c r="F17783"/>
      <c r="G17783"/>
      <c r="H17783"/>
      <c r="I17783"/>
    </row>
    <row r="17784" spans="6:9" x14ac:dyDescent="0.3">
      <c r="F17784"/>
      <c r="G17784"/>
      <c r="H17784"/>
      <c r="I17784"/>
    </row>
    <row r="17785" spans="6:9" x14ac:dyDescent="0.3">
      <c r="F17785"/>
      <c r="G17785"/>
      <c r="H17785"/>
      <c r="I17785"/>
    </row>
    <row r="17786" spans="6:9" x14ac:dyDescent="0.3">
      <c r="F17786"/>
      <c r="G17786"/>
      <c r="H17786"/>
      <c r="I17786"/>
    </row>
    <row r="17787" spans="6:9" x14ac:dyDescent="0.3">
      <c r="F17787"/>
      <c r="G17787"/>
      <c r="H17787"/>
      <c r="I17787"/>
    </row>
    <row r="17788" spans="6:9" x14ac:dyDescent="0.3">
      <c r="F17788"/>
      <c r="G17788"/>
      <c r="H17788"/>
      <c r="I17788"/>
    </row>
    <row r="17789" spans="6:9" x14ac:dyDescent="0.3">
      <c r="F17789"/>
      <c r="G17789"/>
      <c r="H17789"/>
      <c r="I17789"/>
    </row>
    <row r="17790" spans="6:9" x14ac:dyDescent="0.3">
      <c r="F17790"/>
      <c r="G17790"/>
      <c r="H17790"/>
      <c r="I17790"/>
    </row>
    <row r="17791" spans="6:9" x14ac:dyDescent="0.3">
      <c r="F17791"/>
      <c r="G17791"/>
      <c r="H17791"/>
      <c r="I17791"/>
    </row>
    <row r="17792" spans="6:9" x14ac:dyDescent="0.3">
      <c r="F17792"/>
      <c r="G17792"/>
      <c r="H17792"/>
      <c r="I17792"/>
    </row>
    <row r="17793" spans="6:9" x14ac:dyDescent="0.3">
      <c r="F17793"/>
      <c r="G17793"/>
      <c r="H17793"/>
      <c r="I17793"/>
    </row>
    <row r="17794" spans="6:9" x14ac:dyDescent="0.3">
      <c r="F17794"/>
      <c r="G17794"/>
      <c r="H17794"/>
      <c r="I17794"/>
    </row>
    <row r="17795" spans="6:9" x14ac:dyDescent="0.3">
      <c r="F17795"/>
      <c r="G17795"/>
      <c r="H17795"/>
      <c r="I17795"/>
    </row>
    <row r="17796" spans="6:9" x14ac:dyDescent="0.3">
      <c r="F17796"/>
      <c r="G17796"/>
      <c r="H17796"/>
      <c r="I17796"/>
    </row>
    <row r="17797" spans="6:9" x14ac:dyDescent="0.3">
      <c r="F17797"/>
      <c r="G17797"/>
      <c r="H17797"/>
      <c r="I17797"/>
    </row>
    <row r="17798" spans="6:9" x14ac:dyDescent="0.3">
      <c r="F17798"/>
      <c r="G17798"/>
      <c r="H17798"/>
      <c r="I17798"/>
    </row>
    <row r="17799" spans="6:9" x14ac:dyDescent="0.3">
      <c r="F17799"/>
      <c r="G17799"/>
      <c r="H17799"/>
      <c r="I17799"/>
    </row>
    <row r="17800" spans="6:9" x14ac:dyDescent="0.3">
      <c r="F17800"/>
      <c r="G17800"/>
      <c r="H17800"/>
      <c r="I17800"/>
    </row>
    <row r="17801" spans="6:9" x14ac:dyDescent="0.3">
      <c r="F17801"/>
      <c r="G17801"/>
      <c r="H17801"/>
      <c r="I17801"/>
    </row>
    <row r="17802" spans="6:9" x14ac:dyDescent="0.3">
      <c r="F17802"/>
      <c r="G17802"/>
      <c r="H17802"/>
      <c r="I17802"/>
    </row>
    <row r="17803" spans="6:9" x14ac:dyDescent="0.3">
      <c r="F17803"/>
      <c r="G17803"/>
      <c r="H17803"/>
      <c r="I17803"/>
    </row>
    <row r="17804" spans="6:9" x14ac:dyDescent="0.3">
      <c r="F17804"/>
      <c r="G17804"/>
      <c r="H17804"/>
      <c r="I17804"/>
    </row>
    <row r="17805" spans="6:9" x14ac:dyDescent="0.3">
      <c r="F17805"/>
      <c r="G17805"/>
      <c r="H17805"/>
      <c r="I17805"/>
    </row>
    <row r="17806" spans="6:9" x14ac:dyDescent="0.3">
      <c r="F17806"/>
      <c r="G17806"/>
      <c r="H17806"/>
      <c r="I17806"/>
    </row>
    <row r="17807" spans="6:9" x14ac:dyDescent="0.3">
      <c r="F17807"/>
      <c r="G17807"/>
      <c r="H17807"/>
      <c r="I17807"/>
    </row>
    <row r="17808" spans="6:9" x14ac:dyDescent="0.3">
      <c r="F17808"/>
      <c r="G17808"/>
      <c r="H17808"/>
      <c r="I17808"/>
    </row>
    <row r="17809" spans="6:9" x14ac:dyDescent="0.3">
      <c r="F17809"/>
      <c r="G17809"/>
      <c r="H17809"/>
      <c r="I17809"/>
    </row>
    <row r="17810" spans="6:9" x14ac:dyDescent="0.3">
      <c r="F17810"/>
      <c r="G17810"/>
      <c r="H17810"/>
      <c r="I17810"/>
    </row>
    <row r="17811" spans="6:9" x14ac:dyDescent="0.3">
      <c r="F17811"/>
      <c r="G17811"/>
      <c r="H17811"/>
      <c r="I17811"/>
    </row>
    <row r="17812" spans="6:9" x14ac:dyDescent="0.3">
      <c r="F17812"/>
      <c r="G17812"/>
      <c r="H17812"/>
      <c r="I17812"/>
    </row>
    <row r="17813" spans="6:9" x14ac:dyDescent="0.3">
      <c r="F17813"/>
      <c r="G17813"/>
      <c r="H17813"/>
      <c r="I17813"/>
    </row>
    <row r="17814" spans="6:9" x14ac:dyDescent="0.3">
      <c r="F17814"/>
      <c r="G17814"/>
      <c r="H17814"/>
      <c r="I17814"/>
    </row>
    <row r="17815" spans="6:9" x14ac:dyDescent="0.3">
      <c r="F17815"/>
      <c r="G17815"/>
      <c r="H17815"/>
      <c r="I17815"/>
    </row>
    <row r="17816" spans="6:9" x14ac:dyDescent="0.3">
      <c r="F17816"/>
      <c r="G17816"/>
      <c r="H17816"/>
      <c r="I17816"/>
    </row>
    <row r="17817" spans="6:9" x14ac:dyDescent="0.3">
      <c r="F17817"/>
      <c r="G17817"/>
      <c r="H17817"/>
      <c r="I17817"/>
    </row>
    <row r="17818" spans="6:9" x14ac:dyDescent="0.3">
      <c r="F17818"/>
      <c r="G17818"/>
      <c r="H17818"/>
      <c r="I17818"/>
    </row>
    <row r="17819" spans="6:9" x14ac:dyDescent="0.3">
      <c r="F17819"/>
      <c r="G17819"/>
      <c r="H17819"/>
      <c r="I17819"/>
    </row>
    <row r="17820" spans="6:9" x14ac:dyDescent="0.3">
      <c r="F17820"/>
      <c r="G17820"/>
      <c r="H17820"/>
      <c r="I17820"/>
    </row>
    <row r="17821" spans="6:9" x14ac:dyDescent="0.3">
      <c r="F17821"/>
      <c r="G17821"/>
      <c r="H17821"/>
      <c r="I17821"/>
    </row>
    <row r="17822" spans="6:9" x14ac:dyDescent="0.3">
      <c r="F17822"/>
      <c r="G17822"/>
      <c r="H17822"/>
      <c r="I17822"/>
    </row>
    <row r="17823" spans="6:9" x14ac:dyDescent="0.3">
      <c r="F17823"/>
      <c r="G17823"/>
      <c r="H17823"/>
      <c r="I17823"/>
    </row>
    <row r="17824" spans="6:9" x14ac:dyDescent="0.3">
      <c r="F17824"/>
      <c r="G17824"/>
      <c r="H17824"/>
      <c r="I17824"/>
    </row>
    <row r="17825" spans="6:9" x14ac:dyDescent="0.3">
      <c r="F17825"/>
      <c r="G17825"/>
      <c r="H17825"/>
      <c r="I17825"/>
    </row>
    <row r="17826" spans="6:9" x14ac:dyDescent="0.3">
      <c r="F17826"/>
      <c r="G17826"/>
      <c r="H17826"/>
      <c r="I17826"/>
    </row>
    <row r="17827" spans="6:9" x14ac:dyDescent="0.3">
      <c r="F17827"/>
      <c r="G17827"/>
      <c r="H17827"/>
      <c r="I17827"/>
    </row>
    <row r="17828" spans="6:9" x14ac:dyDescent="0.3">
      <c r="F17828"/>
      <c r="G17828"/>
      <c r="H17828"/>
      <c r="I17828"/>
    </row>
    <row r="17829" spans="6:9" x14ac:dyDescent="0.3">
      <c r="F17829"/>
      <c r="G17829"/>
      <c r="H17829"/>
      <c r="I17829"/>
    </row>
    <row r="17830" spans="6:9" x14ac:dyDescent="0.3">
      <c r="F17830"/>
      <c r="G17830"/>
      <c r="H17830"/>
      <c r="I17830"/>
    </row>
    <row r="17831" spans="6:9" x14ac:dyDescent="0.3">
      <c r="F17831"/>
      <c r="G17831"/>
      <c r="H17831"/>
      <c r="I17831"/>
    </row>
    <row r="17832" spans="6:9" x14ac:dyDescent="0.3">
      <c r="F17832"/>
      <c r="G17832"/>
      <c r="H17832"/>
      <c r="I17832"/>
    </row>
    <row r="17833" spans="6:9" x14ac:dyDescent="0.3">
      <c r="F17833"/>
      <c r="G17833"/>
      <c r="H17833"/>
      <c r="I17833"/>
    </row>
    <row r="17834" spans="6:9" x14ac:dyDescent="0.3">
      <c r="F17834"/>
      <c r="G17834"/>
      <c r="H17834"/>
      <c r="I17834"/>
    </row>
    <row r="17835" spans="6:9" x14ac:dyDescent="0.3">
      <c r="F17835"/>
      <c r="G17835"/>
      <c r="H17835"/>
      <c r="I17835"/>
    </row>
    <row r="17836" spans="6:9" x14ac:dyDescent="0.3">
      <c r="F17836"/>
      <c r="G17836"/>
      <c r="H17836"/>
      <c r="I17836"/>
    </row>
    <row r="17837" spans="6:9" x14ac:dyDescent="0.3">
      <c r="F17837"/>
      <c r="G17837"/>
      <c r="H17837"/>
      <c r="I17837"/>
    </row>
    <row r="17838" spans="6:9" x14ac:dyDescent="0.3">
      <c r="F17838"/>
      <c r="G17838"/>
      <c r="H17838"/>
      <c r="I17838"/>
    </row>
    <row r="17839" spans="6:9" x14ac:dyDescent="0.3">
      <c r="F17839"/>
      <c r="G17839"/>
      <c r="H17839"/>
      <c r="I17839"/>
    </row>
    <row r="17840" spans="6:9" x14ac:dyDescent="0.3">
      <c r="F17840"/>
      <c r="G17840"/>
      <c r="H17840"/>
      <c r="I17840"/>
    </row>
    <row r="17841" spans="6:9" x14ac:dyDescent="0.3">
      <c r="F17841"/>
      <c r="G17841"/>
      <c r="H17841"/>
      <c r="I17841"/>
    </row>
    <row r="17842" spans="6:9" x14ac:dyDescent="0.3">
      <c r="F17842"/>
      <c r="G17842"/>
      <c r="H17842"/>
      <c r="I17842"/>
    </row>
    <row r="17843" spans="6:9" x14ac:dyDescent="0.3">
      <c r="F17843"/>
      <c r="G17843"/>
      <c r="H17843"/>
      <c r="I17843"/>
    </row>
    <row r="17844" spans="6:9" x14ac:dyDescent="0.3">
      <c r="F17844"/>
      <c r="G17844"/>
      <c r="H17844"/>
      <c r="I17844"/>
    </row>
    <row r="17845" spans="6:9" x14ac:dyDescent="0.3">
      <c r="F17845"/>
      <c r="G17845"/>
      <c r="H17845"/>
      <c r="I17845"/>
    </row>
    <row r="17846" spans="6:9" x14ac:dyDescent="0.3">
      <c r="F17846"/>
      <c r="G17846"/>
      <c r="H17846"/>
      <c r="I17846"/>
    </row>
    <row r="17847" spans="6:9" x14ac:dyDescent="0.3">
      <c r="F17847"/>
      <c r="G17847"/>
      <c r="H17847"/>
      <c r="I17847"/>
    </row>
    <row r="17848" spans="6:9" x14ac:dyDescent="0.3">
      <c r="F17848"/>
      <c r="G17848"/>
      <c r="H17848"/>
      <c r="I17848"/>
    </row>
    <row r="17849" spans="6:9" x14ac:dyDescent="0.3">
      <c r="F17849"/>
      <c r="G17849"/>
      <c r="H17849"/>
      <c r="I17849"/>
    </row>
    <row r="17850" spans="6:9" x14ac:dyDescent="0.3">
      <c r="F17850"/>
      <c r="G17850"/>
      <c r="H17850"/>
      <c r="I17850"/>
    </row>
    <row r="17851" spans="6:9" x14ac:dyDescent="0.3">
      <c r="F17851"/>
      <c r="G17851"/>
      <c r="H17851"/>
      <c r="I17851"/>
    </row>
    <row r="17852" spans="6:9" x14ac:dyDescent="0.3">
      <c r="F17852"/>
      <c r="G17852"/>
      <c r="H17852"/>
      <c r="I17852"/>
    </row>
    <row r="17853" spans="6:9" x14ac:dyDescent="0.3">
      <c r="F17853"/>
      <c r="G17853"/>
      <c r="H17853"/>
      <c r="I17853"/>
    </row>
    <row r="17854" spans="6:9" x14ac:dyDescent="0.3">
      <c r="F17854"/>
      <c r="G17854"/>
      <c r="H17854"/>
      <c r="I17854"/>
    </row>
    <row r="17855" spans="6:9" x14ac:dyDescent="0.3">
      <c r="F17855"/>
      <c r="G17855"/>
      <c r="H17855"/>
      <c r="I17855"/>
    </row>
    <row r="17856" spans="6:9" x14ac:dyDescent="0.3">
      <c r="F17856"/>
      <c r="G17856"/>
      <c r="H17856"/>
      <c r="I17856"/>
    </row>
    <row r="17857" spans="6:9" x14ac:dyDescent="0.3">
      <c r="F17857"/>
      <c r="G17857"/>
      <c r="H17857"/>
      <c r="I17857"/>
    </row>
    <row r="17858" spans="6:9" x14ac:dyDescent="0.3">
      <c r="F17858"/>
      <c r="G17858"/>
      <c r="H17858"/>
      <c r="I17858"/>
    </row>
    <row r="17859" spans="6:9" x14ac:dyDescent="0.3">
      <c r="F17859"/>
      <c r="G17859"/>
      <c r="H17859"/>
      <c r="I17859"/>
    </row>
    <row r="17860" spans="6:9" x14ac:dyDescent="0.3">
      <c r="F17860"/>
      <c r="G17860"/>
      <c r="H17860"/>
      <c r="I17860"/>
    </row>
    <row r="17861" spans="6:9" x14ac:dyDescent="0.3">
      <c r="F17861"/>
      <c r="G17861"/>
      <c r="H17861"/>
      <c r="I17861"/>
    </row>
    <row r="17862" spans="6:9" x14ac:dyDescent="0.3">
      <c r="F17862"/>
      <c r="G17862"/>
      <c r="H17862"/>
      <c r="I17862"/>
    </row>
    <row r="17863" spans="6:9" x14ac:dyDescent="0.3">
      <c r="F17863"/>
      <c r="G17863"/>
      <c r="H17863"/>
      <c r="I17863"/>
    </row>
    <row r="17864" spans="6:9" x14ac:dyDescent="0.3">
      <c r="F17864"/>
      <c r="G17864"/>
      <c r="H17864"/>
      <c r="I17864"/>
    </row>
    <row r="17865" spans="6:9" x14ac:dyDescent="0.3">
      <c r="F17865"/>
      <c r="G17865"/>
      <c r="H17865"/>
      <c r="I17865"/>
    </row>
    <row r="17866" spans="6:9" x14ac:dyDescent="0.3">
      <c r="F17866"/>
      <c r="G17866"/>
      <c r="H17866"/>
      <c r="I17866"/>
    </row>
    <row r="17867" spans="6:9" x14ac:dyDescent="0.3">
      <c r="F17867"/>
      <c r="G17867"/>
      <c r="H17867"/>
      <c r="I17867"/>
    </row>
    <row r="17868" spans="6:9" x14ac:dyDescent="0.3">
      <c r="F17868"/>
      <c r="G17868"/>
      <c r="H17868"/>
      <c r="I17868"/>
    </row>
    <row r="17869" spans="6:9" x14ac:dyDescent="0.3">
      <c r="F17869"/>
      <c r="G17869"/>
      <c r="H17869"/>
      <c r="I17869"/>
    </row>
    <row r="17870" spans="6:9" x14ac:dyDescent="0.3">
      <c r="F17870"/>
      <c r="G17870"/>
      <c r="H17870"/>
      <c r="I17870"/>
    </row>
    <row r="17871" spans="6:9" x14ac:dyDescent="0.3">
      <c r="F17871"/>
      <c r="G17871"/>
      <c r="H17871"/>
      <c r="I17871"/>
    </row>
    <row r="17872" spans="6:9" x14ac:dyDescent="0.3">
      <c r="F17872"/>
      <c r="G17872"/>
      <c r="H17872"/>
      <c r="I17872"/>
    </row>
    <row r="17873" spans="6:9" x14ac:dyDescent="0.3">
      <c r="F17873"/>
      <c r="G17873"/>
      <c r="H17873"/>
      <c r="I17873"/>
    </row>
    <row r="17874" spans="6:9" x14ac:dyDescent="0.3">
      <c r="F17874"/>
      <c r="G17874"/>
      <c r="H17874"/>
      <c r="I17874"/>
    </row>
    <row r="17875" spans="6:9" x14ac:dyDescent="0.3">
      <c r="F17875"/>
      <c r="G17875"/>
      <c r="H17875"/>
      <c r="I17875"/>
    </row>
    <row r="17876" spans="6:9" x14ac:dyDescent="0.3">
      <c r="F17876"/>
      <c r="G17876"/>
      <c r="H17876"/>
      <c r="I17876"/>
    </row>
    <row r="17877" spans="6:9" x14ac:dyDescent="0.3">
      <c r="F17877"/>
      <c r="G17877"/>
      <c r="H17877"/>
      <c r="I17877"/>
    </row>
    <row r="17878" spans="6:9" x14ac:dyDescent="0.3">
      <c r="F17878"/>
      <c r="G17878"/>
      <c r="H17878"/>
      <c r="I17878"/>
    </row>
    <row r="17879" spans="6:9" x14ac:dyDescent="0.3">
      <c r="F17879"/>
      <c r="G17879"/>
      <c r="H17879"/>
      <c r="I17879"/>
    </row>
    <row r="17880" spans="6:9" x14ac:dyDescent="0.3">
      <c r="F17880"/>
      <c r="G17880"/>
      <c r="H17880"/>
      <c r="I17880"/>
    </row>
    <row r="17881" spans="6:9" x14ac:dyDescent="0.3">
      <c r="F17881"/>
      <c r="G17881"/>
      <c r="H17881"/>
      <c r="I17881"/>
    </row>
    <row r="17882" spans="6:9" x14ac:dyDescent="0.3">
      <c r="F17882"/>
      <c r="G17882"/>
      <c r="H17882"/>
      <c r="I17882"/>
    </row>
    <row r="17883" spans="6:9" x14ac:dyDescent="0.3">
      <c r="F17883"/>
      <c r="G17883"/>
      <c r="H17883"/>
      <c r="I17883"/>
    </row>
    <row r="17884" spans="6:9" x14ac:dyDescent="0.3">
      <c r="F17884"/>
      <c r="G17884"/>
      <c r="H17884"/>
      <c r="I17884"/>
    </row>
    <row r="17885" spans="6:9" x14ac:dyDescent="0.3">
      <c r="F17885"/>
      <c r="G17885"/>
      <c r="H17885"/>
      <c r="I17885"/>
    </row>
    <row r="17886" spans="6:9" x14ac:dyDescent="0.3">
      <c r="F17886"/>
      <c r="G17886"/>
      <c r="H17886"/>
      <c r="I17886"/>
    </row>
    <row r="17887" spans="6:9" x14ac:dyDescent="0.3">
      <c r="F17887"/>
      <c r="G17887"/>
      <c r="H17887"/>
      <c r="I17887"/>
    </row>
    <row r="17888" spans="6:9" x14ac:dyDescent="0.3">
      <c r="F17888"/>
      <c r="G17888"/>
      <c r="H17888"/>
      <c r="I17888"/>
    </row>
    <row r="17889" spans="6:9" x14ac:dyDescent="0.3">
      <c r="F17889"/>
      <c r="G17889"/>
      <c r="H17889"/>
      <c r="I17889"/>
    </row>
    <row r="17890" spans="6:9" x14ac:dyDescent="0.3">
      <c r="F17890"/>
      <c r="G17890"/>
      <c r="H17890"/>
      <c r="I17890"/>
    </row>
    <row r="17891" spans="6:9" x14ac:dyDescent="0.3">
      <c r="F17891"/>
      <c r="G17891"/>
      <c r="H17891"/>
      <c r="I17891"/>
    </row>
    <row r="17892" spans="6:9" x14ac:dyDescent="0.3">
      <c r="F17892"/>
      <c r="G17892"/>
      <c r="H17892"/>
      <c r="I17892"/>
    </row>
    <row r="17893" spans="6:9" x14ac:dyDescent="0.3">
      <c r="F17893"/>
      <c r="G17893"/>
      <c r="H17893"/>
      <c r="I17893"/>
    </row>
    <row r="17894" spans="6:9" x14ac:dyDescent="0.3">
      <c r="F17894"/>
      <c r="G17894"/>
      <c r="H17894"/>
      <c r="I17894"/>
    </row>
    <row r="17895" spans="6:9" x14ac:dyDescent="0.3">
      <c r="F17895"/>
      <c r="G17895"/>
      <c r="H17895"/>
      <c r="I17895"/>
    </row>
    <row r="17896" spans="6:9" x14ac:dyDescent="0.3">
      <c r="F17896"/>
      <c r="G17896"/>
      <c r="H17896"/>
      <c r="I17896"/>
    </row>
    <row r="17897" spans="6:9" x14ac:dyDescent="0.3">
      <c r="F17897"/>
      <c r="G17897"/>
      <c r="H17897"/>
      <c r="I17897"/>
    </row>
    <row r="17898" spans="6:9" x14ac:dyDescent="0.3">
      <c r="F17898"/>
      <c r="G17898"/>
      <c r="H17898"/>
      <c r="I17898"/>
    </row>
    <row r="17899" spans="6:9" x14ac:dyDescent="0.3">
      <c r="F17899"/>
      <c r="G17899"/>
      <c r="H17899"/>
      <c r="I17899"/>
    </row>
    <row r="17900" spans="6:9" x14ac:dyDescent="0.3">
      <c r="F17900"/>
      <c r="G17900"/>
      <c r="H17900"/>
      <c r="I17900"/>
    </row>
    <row r="17901" spans="6:9" x14ac:dyDescent="0.3">
      <c r="F17901"/>
      <c r="G17901"/>
      <c r="H17901"/>
      <c r="I17901"/>
    </row>
    <row r="17902" spans="6:9" x14ac:dyDescent="0.3">
      <c r="F17902"/>
      <c r="G17902"/>
      <c r="H17902"/>
      <c r="I17902"/>
    </row>
    <row r="17903" spans="6:9" x14ac:dyDescent="0.3">
      <c r="F17903"/>
      <c r="G17903"/>
      <c r="H17903"/>
      <c r="I17903"/>
    </row>
    <row r="17904" spans="6:9" x14ac:dyDescent="0.3">
      <c r="F17904"/>
      <c r="G17904"/>
      <c r="H17904"/>
      <c r="I17904"/>
    </row>
    <row r="17905" spans="6:9" x14ac:dyDescent="0.3">
      <c r="F17905"/>
      <c r="G17905"/>
      <c r="H17905"/>
      <c r="I17905"/>
    </row>
    <row r="17906" spans="6:9" x14ac:dyDescent="0.3">
      <c r="F17906"/>
      <c r="G17906"/>
      <c r="H17906"/>
      <c r="I17906"/>
    </row>
    <row r="17907" spans="6:9" x14ac:dyDescent="0.3">
      <c r="F17907"/>
      <c r="G17907"/>
      <c r="H17907"/>
      <c r="I17907"/>
    </row>
    <row r="17908" spans="6:9" x14ac:dyDescent="0.3">
      <c r="F17908"/>
      <c r="G17908"/>
      <c r="H17908"/>
      <c r="I17908"/>
    </row>
    <row r="17909" spans="6:9" x14ac:dyDescent="0.3">
      <c r="F17909"/>
      <c r="G17909"/>
      <c r="H17909"/>
      <c r="I17909"/>
    </row>
    <row r="17910" spans="6:9" x14ac:dyDescent="0.3">
      <c r="F17910"/>
      <c r="G17910"/>
      <c r="H17910"/>
      <c r="I17910"/>
    </row>
    <row r="17911" spans="6:9" x14ac:dyDescent="0.3">
      <c r="F17911"/>
      <c r="G17911"/>
      <c r="H17911"/>
      <c r="I17911"/>
    </row>
    <row r="17912" spans="6:9" x14ac:dyDescent="0.3">
      <c r="F17912"/>
      <c r="G17912"/>
      <c r="H17912"/>
      <c r="I17912"/>
    </row>
    <row r="17913" spans="6:9" x14ac:dyDescent="0.3">
      <c r="F17913"/>
      <c r="G17913"/>
      <c r="H17913"/>
      <c r="I17913"/>
    </row>
    <row r="17914" spans="6:9" x14ac:dyDescent="0.3">
      <c r="F17914"/>
      <c r="G17914"/>
      <c r="H17914"/>
      <c r="I17914"/>
    </row>
    <row r="17915" spans="6:9" x14ac:dyDescent="0.3">
      <c r="F17915"/>
      <c r="G17915"/>
      <c r="H17915"/>
      <c r="I17915"/>
    </row>
    <row r="17916" spans="6:9" x14ac:dyDescent="0.3">
      <c r="F17916"/>
      <c r="G17916"/>
      <c r="H17916"/>
      <c r="I17916"/>
    </row>
    <row r="17917" spans="6:9" x14ac:dyDescent="0.3">
      <c r="F17917"/>
      <c r="G17917"/>
      <c r="H17917"/>
      <c r="I17917"/>
    </row>
    <row r="17918" spans="6:9" x14ac:dyDescent="0.3">
      <c r="F17918"/>
      <c r="G17918"/>
      <c r="H17918"/>
      <c r="I17918"/>
    </row>
    <row r="17919" spans="6:9" x14ac:dyDescent="0.3">
      <c r="F17919"/>
      <c r="G17919"/>
      <c r="H17919"/>
      <c r="I17919"/>
    </row>
    <row r="17920" spans="6:9" x14ac:dyDescent="0.3">
      <c r="F17920"/>
      <c r="G17920"/>
      <c r="H17920"/>
      <c r="I17920"/>
    </row>
    <row r="17921" spans="6:9" x14ac:dyDescent="0.3">
      <c r="F17921"/>
      <c r="G17921"/>
      <c r="H17921"/>
      <c r="I17921"/>
    </row>
    <row r="17922" spans="6:9" x14ac:dyDescent="0.3">
      <c r="F17922"/>
      <c r="G17922"/>
      <c r="H17922"/>
      <c r="I17922"/>
    </row>
    <row r="17923" spans="6:9" x14ac:dyDescent="0.3">
      <c r="F17923"/>
      <c r="G17923"/>
      <c r="H17923"/>
      <c r="I17923"/>
    </row>
    <row r="17924" spans="6:9" x14ac:dyDescent="0.3">
      <c r="F17924"/>
      <c r="G17924"/>
      <c r="H17924"/>
      <c r="I17924"/>
    </row>
    <row r="17925" spans="6:9" x14ac:dyDescent="0.3">
      <c r="F17925"/>
      <c r="G17925"/>
      <c r="H17925"/>
      <c r="I17925"/>
    </row>
    <row r="17926" spans="6:9" x14ac:dyDescent="0.3">
      <c r="F17926"/>
      <c r="G17926"/>
      <c r="H17926"/>
      <c r="I17926"/>
    </row>
    <row r="17927" spans="6:9" x14ac:dyDescent="0.3">
      <c r="F17927"/>
      <c r="G17927"/>
      <c r="H17927"/>
      <c r="I17927"/>
    </row>
    <row r="17928" spans="6:9" x14ac:dyDescent="0.3">
      <c r="F17928"/>
      <c r="G17928"/>
      <c r="H17928"/>
      <c r="I17928"/>
    </row>
    <row r="17929" spans="6:9" x14ac:dyDescent="0.3">
      <c r="F17929"/>
      <c r="G17929"/>
      <c r="H17929"/>
      <c r="I17929"/>
    </row>
    <row r="17930" spans="6:9" x14ac:dyDescent="0.3">
      <c r="F17930"/>
      <c r="G17930"/>
      <c r="H17930"/>
      <c r="I17930"/>
    </row>
    <row r="17931" spans="6:9" x14ac:dyDescent="0.3">
      <c r="F17931"/>
      <c r="G17931"/>
      <c r="H17931"/>
      <c r="I17931"/>
    </row>
    <row r="17932" spans="6:9" x14ac:dyDescent="0.3">
      <c r="F17932"/>
      <c r="G17932"/>
      <c r="H17932"/>
      <c r="I17932"/>
    </row>
    <row r="17933" spans="6:9" x14ac:dyDescent="0.3">
      <c r="F17933"/>
      <c r="G17933"/>
      <c r="H17933"/>
      <c r="I17933"/>
    </row>
    <row r="17934" spans="6:9" x14ac:dyDescent="0.3">
      <c r="F17934"/>
      <c r="G17934"/>
      <c r="H17934"/>
      <c r="I17934"/>
    </row>
    <row r="17935" spans="6:9" x14ac:dyDescent="0.3">
      <c r="F17935"/>
      <c r="G17935"/>
      <c r="H17935"/>
      <c r="I17935"/>
    </row>
    <row r="17936" spans="6:9" x14ac:dyDescent="0.3">
      <c r="F17936"/>
      <c r="G17936"/>
      <c r="H17936"/>
      <c r="I17936"/>
    </row>
    <row r="17937" spans="6:9" x14ac:dyDescent="0.3">
      <c r="F17937"/>
      <c r="G17937"/>
      <c r="H17937"/>
      <c r="I17937"/>
    </row>
    <row r="17938" spans="6:9" x14ac:dyDescent="0.3">
      <c r="F17938"/>
      <c r="G17938"/>
      <c r="H17938"/>
      <c r="I17938"/>
    </row>
    <row r="17939" spans="6:9" x14ac:dyDescent="0.3">
      <c r="F17939"/>
      <c r="G17939"/>
      <c r="H17939"/>
      <c r="I17939"/>
    </row>
    <row r="17940" spans="6:9" x14ac:dyDescent="0.3">
      <c r="F17940"/>
      <c r="G17940"/>
      <c r="H17940"/>
      <c r="I17940"/>
    </row>
    <row r="17941" spans="6:9" x14ac:dyDescent="0.3">
      <c r="F17941"/>
      <c r="G17941"/>
      <c r="H17941"/>
      <c r="I17941"/>
    </row>
    <row r="17942" spans="6:9" x14ac:dyDescent="0.3">
      <c r="F17942"/>
      <c r="G17942"/>
      <c r="H17942"/>
      <c r="I17942"/>
    </row>
    <row r="17943" spans="6:9" x14ac:dyDescent="0.3">
      <c r="F17943"/>
      <c r="G17943"/>
      <c r="H17943"/>
      <c r="I17943"/>
    </row>
    <row r="17944" spans="6:9" x14ac:dyDescent="0.3">
      <c r="F17944"/>
      <c r="G17944"/>
      <c r="H17944"/>
      <c r="I17944"/>
    </row>
    <row r="17945" spans="6:9" x14ac:dyDescent="0.3">
      <c r="F17945"/>
      <c r="G17945"/>
      <c r="H17945"/>
      <c r="I17945"/>
    </row>
    <row r="17946" spans="6:9" x14ac:dyDescent="0.3">
      <c r="F17946"/>
      <c r="G17946"/>
      <c r="H17946"/>
      <c r="I17946"/>
    </row>
    <row r="17947" spans="6:9" x14ac:dyDescent="0.3">
      <c r="F17947"/>
      <c r="G17947"/>
      <c r="H17947"/>
      <c r="I17947"/>
    </row>
    <row r="17948" spans="6:9" x14ac:dyDescent="0.3">
      <c r="F17948"/>
      <c r="G17948"/>
      <c r="H17948"/>
      <c r="I17948"/>
    </row>
    <row r="17949" spans="6:9" x14ac:dyDescent="0.3">
      <c r="F17949"/>
      <c r="G17949"/>
      <c r="H17949"/>
      <c r="I17949"/>
    </row>
    <row r="17950" spans="6:9" x14ac:dyDescent="0.3">
      <c r="F17950"/>
      <c r="G17950"/>
      <c r="H17950"/>
      <c r="I17950"/>
    </row>
    <row r="17951" spans="6:9" x14ac:dyDescent="0.3">
      <c r="F17951"/>
      <c r="G17951"/>
      <c r="H17951"/>
      <c r="I17951"/>
    </row>
    <row r="17952" spans="6:9" x14ac:dyDescent="0.3">
      <c r="F17952"/>
      <c r="G17952"/>
      <c r="H17952"/>
      <c r="I17952"/>
    </row>
    <row r="17953" spans="6:9" x14ac:dyDescent="0.3">
      <c r="F17953"/>
      <c r="G17953"/>
      <c r="H17953"/>
      <c r="I17953"/>
    </row>
    <row r="17954" spans="6:9" x14ac:dyDescent="0.3">
      <c r="F17954"/>
      <c r="G17954"/>
      <c r="H17954"/>
      <c r="I17954"/>
    </row>
    <row r="17955" spans="6:9" x14ac:dyDescent="0.3">
      <c r="F17955"/>
      <c r="G17955"/>
      <c r="H17955"/>
      <c r="I17955"/>
    </row>
    <row r="17956" spans="6:9" x14ac:dyDescent="0.3">
      <c r="F17956"/>
      <c r="G17956"/>
      <c r="H17956"/>
      <c r="I17956"/>
    </row>
    <row r="17957" spans="6:9" x14ac:dyDescent="0.3">
      <c r="F17957"/>
      <c r="G17957"/>
      <c r="H17957"/>
      <c r="I17957"/>
    </row>
    <row r="17958" spans="6:9" x14ac:dyDescent="0.3">
      <c r="F17958"/>
      <c r="G17958"/>
      <c r="H17958"/>
      <c r="I17958"/>
    </row>
    <row r="17959" spans="6:9" x14ac:dyDescent="0.3">
      <c r="F17959"/>
      <c r="G17959"/>
      <c r="H17959"/>
      <c r="I17959"/>
    </row>
    <row r="17960" spans="6:9" x14ac:dyDescent="0.3">
      <c r="F17960"/>
      <c r="G17960"/>
      <c r="H17960"/>
      <c r="I17960"/>
    </row>
    <row r="17961" spans="6:9" x14ac:dyDescent="0.3">
      <c r="F17961"/>
      <c r="G17961"/>
      <c r="H17961"/>
      <c r="I17961"/>
    </row>
    <row r="17962" spans="6:9" x14ac:dyDescent="0.3">
      <c r="F17962"/>
      <c r="G17962"/>
      <c r="H17962"/>
      <c r="I17962"/>
    </row>
    <row r="17963" spans="6:9" x14ac:dyDescent="0.3">
      <c r="F17963"/>
      <c r="G17963"/>
      <c r="H17963"/>
      <c r="I17963"/>
    </row>
    <row r="17964" spans="6:9" x14ac:dyDescent="0.3">
      <c r="F17964"/>
      <c r="G17964"/>
      <c r="H17964"/>
      <c r="I17964"/>
    </row>
    <row r="17965" spans="6:9" x14ac:dyDescent="0.3">
      <c r="F17965"/>
      <c r="G17965"/>
      <c r="H17965"/>
      <c r="I17965"/>
    </row>
    <row r="17966" spans="6:9" x14ac:dyDescent="0.3">
      <c r="F17966"/>
      <c r="G17966"/>
      <c r="H17966"/>
      <c r="I17966"/>
    </row>
    <row r="17967" spans="6:9" x14ac:dyDescent="0.3">
      <c r="F17967"/>
      <c r="G17967"/>
      <c r="H17967"/>
      <c r="I17967"/>
    </row>
    <row r="17968" spans="6:9" x14ac:dyDescent="0.3">
      <c r="F17968"/>
      <c r="G17968"/>
      <c r="H17968"/>
      <c r="I17968"/>
    </row>
    <row r="17969" spans="6:9" x14ac:dyDescent="0.3">
      <c r="F17969"/>
      <c r="G17969"/>
      <c r="H17969"/>
      <c r="I17969"/>
    </row>
    <row r="17970" spans="6:9" x14ac:dyDescent="0.3">
      <c r="F17970"/>
      <c r="G17970"/>
      <c r="H17970"/>
      <c r="I17970"/>
    </row>
    <row r="17971" spans="6:9" x14ac:dyDescent="0.3">
      <c r="F17971"/>
      <c r="G17971"/>
      <c r="H17971"/>
      <c r="I17971"/>
    </row>
    <row r="17972" spans="6:9" x14ac:dyDescent="0.3">
      <c r="F17972"/>
      <c r="G17972"/>
      <c r="H17972"/>
      <c r="I17972"/>
    </row>
    <row r="17973" spans="6:9" x14ac:dyDescent="0.3">
      <c r="F17973"/>
      <c r="G17973"/>
      <c r="H17973"/>
      <c r="I17973"/>
    </row>
    <row r="17974" spans="6:9" x14ac:dyDescent="0.3">
      <c r="F17974"/>
      <c r="G17974"/>
      <c r="H17974"/>
      <c r="I17974"/>
    </row>
    <row r="17975" spans="6:9" x14ac:dyDescent="0.3">
      <c r="F17975"/>
      <c r="G17975"/>
      <c r="H17975"/>
      <c r="I17975"/>
    </row>
    <row r="17976" spans="6:9" x14ac:dyDescent="0.3">
      <c r="F17976"/>
      <c r="G17976"/>
      <c r="H17976"/>
      <c r="I17976"/>
    </row>
    <row r="17977" spans="6:9" x14ac:dyDescent="0.3">
      <c r="F17977"/>
      <c r="G17977"/>
      <c r="H17977"/>
      <c r="I17977"/>
    </row>
    <row r="17978" spans="6:9" x14ac:dyDescent="0.3">
      <c r="F17978"/>
      <c r="G17978"/>
      <c r="H17978"/>
      <c r="I17978"/>
    </row>
    <row r="17979" spans="6:9" x14ac:dyDescent="0.3">
      <c r="F17979"/>
      <c r="G17979"/>
      <c r="H17979"/>
      <c r="I17979"/>
    </row>
    <row r="17980" spans="6:9" x14ac:dyDescent="0.3">
      <c r="F17980"/>
      <c r="G17980"/>
      <c r="H17980"/>
      <c r="I17980"/>
    </row>
    <row r="17981" spans="6:9" x14ac:dyDescent="0.3">
      <c r="F17981"/>
      <c r="G17981"/>
      <c r="H17981"/>
      <c r="I17981"/>
    </row>
    <row r="17982" spans="6:9" x14ac:dyDescent="0.3">
      <c r="F17982"/>
      <c r="G17982"/>
      <c r="H17982"/>
      <c r="I17982"/>
    </row>
    <row r="17983" spans="6:9" x14ac:dyDescent="0.3">
      <c r="F17983"/>
      <c r="G17983"/>
      <c r="H17983"/>
      <c r="I17983"/>
    </row>
    <row r="17984" spans="6:9" x14ac:dyDescent="0.3">
      <c r="F17984"/>
      <c r="G17984"/>
      <c r="H17984"/>
      <c r="I17984"/>
    </row>
    <row r="17985" spans="6:9" x14ac:dyDescent="0.3">
      <c r="F17985"/>
      <c r="G17985"/>
      <c r="H17985"/>
      <c r="I17985"/>
    </row>
    <row r="17986" spans="6:9" x14ac:dyDescent="0.3">
      <c r="F17986"/>
      <c r="G17986"/>
      <c r="H17986"/>
      <c r="I17986"/>
    </row>
    <row r="17987" spans="6:9" x14ac:dyDescent="0.3">
      <c r="F17987"/>
      <c r="G17987"/>
      <c r="H17987"/>
      <c r="I17987"/>
    </row>
    <row r="17988" spans="6:9" x14ac:dyDescent="0.3">
      <c r="F17988"/>
      <c r="G17988"/>
      <c r="H17988"/>
      <c r="I17988"/>
    </row>
    <row r="17989" spans="6:9" x14ac:dyDescent="0.3">
      <c r="F17989"/>
      <c r="G17989"/>
      <c r="H17989"/>
      <c r="I17989"/>
    </row>
    <row r="17990" spans="6:9" x14ac:dyDescent="0.3">
      <c r="F17990"/>
      <c r="G17990"/>
      <c r="H17990"/>
      <c r="I17990"/>
    </row>
    <row r="17991" spans="6:9" x14ac:dyDescent="0.3">
      <c r="F17991"/>
      <c r="G17991"/>
      <c r="H17991"/>
      <c r="I17991"/>
    </row>
    <row r="17992" spans="6:9" x14ac:dyDescent="0.3">
      <c r="F17992"/>
      <c r="G17992"/>
      <c r="H17992"/>
      <c r="I17992"/>
    </row>
    <row r="17993" spans="6:9" x14ac:dyDescent="0.3">
      <c r="F17993"/>
      <c r="G17993"/>
      <c r="H17993"/>
      <c r="I17993"/>
    </row>
    <row r="17994" spans="6:9" x14ac:dyDescent="0.3">
      <c r="F17994"/>
      <c r="G17994"/>
      <c r="H17994"/>
      <c r="I17994"/>
    </row>
    <row r="17995" spans="6:9" x14ac:dyDescent="0.3">
      <c r="F17995"/>
      <c r="G17995"/>
      <c r="H17995"/>
      <c r="I17995"/>
    </row>
    <row r="17996" spans="6:9" x14ac:dyDescent="0.3">
      <c r="F17996"/>
      <c r="G17996"/>
      <c r="H17996"/>
      <c r="I17996"/>
    </row>
    <row r="17997" spans="6:9" x14ac:dyDescent="0.3">
      <c r="F17997"/>
      <c r="G17997"/>
      <c r="H17997"/>
      <c r="I17997"/>
    </row>
    <row r="17998" spans="6:9" x14ac:dyDescent="0.3">
      <c r="F17998"/>
      <c r="G17998"/>
      <c r="H17998"/>
      <c r="I17998"/>
    </row>
    <row r="17999" spans="6:9" x14ac:dyDescent="0.3">
      <c r="F17999"/>
      <c r="G17999"/>
      <c r="H17999"/>
      <c r="I17999"/>
    </row>
    <row r="18000" spans="6:9" x14ac:dyDescent="0.3">
      <c r="F18000"/>
      <c r="G18000"/>
      <c r="H18000"/>
      <c r="I18000"/>
    </row>
    <row r="18001" spans="6:9" x14ac:dyDescent="0.3">
      <c r="F18001"/>
      <c r="G18001"/>
      <c r="H18001"/>
      <c r="I18001"/>
    </row>
    <row r="18002" spans="6:9" x14ac:dyDescent="0.3">
      <c r="F18002"/>
      <c r="G18002"/>
      <c r="H18002"/>
      <c r="I18002"/>
    </row>
    <row r="18003" spans="6:9" x14ac:dyDescent="0.3">
      <c r="F18003"/>
      <c r="G18003"/>
      <c r="H18003"/>
      <c r="I18003"/>
    </row>
    <row r="18004" spans="6:9" x14ac:dyDescent="0.3">
      <c r="F18004"/>
      <c r="G18004"/>
      <c r="H18004"/>
      <c r="I18004"/>
    </row>
    <row r="18005" spans="6:9" x14ac:dyDescent="0.3">
      <c r="F18005"/>
      <c r="G18005"/>
      <c r="H18005"/>
      <c r="I18005"/>
    </row>
    <row r="18006" spans="6:9" x14ac:dyDescent="0.3">
      <c r="F18006"/>
      <c r="G18006"/>
      <c r="H18006"/>
      <c r="I18006"/>
    </row>
    <row r="18007" spans="6:9" x14ac:dyDescent="0.3">
      <c r="F18007"/>
      <c r="G18007"/>
      <c r="H18007"/>
      <c r="I18007"/>
    </row>
    <row r="18008" spans="6:9" x14ac:dyDescent="0.3">
      <c r="F18008"/>
      <c r="G18008"/>
      <c r="H18008"/>
      <c r="I18008"/>
    </row>
    <row r="18009" spans="6:9" x14ac:dyDescent="0.3">
      <c r="F18009"/>
      <c r="G18009"/>
      <c r="H18009"/>
      <c r="I18009"/>
    </row>
    <row r="18010" spans="6:9" x14ac:dyDescent="0.3">
      <c r="F18010"/>
      <c r="G18010"/>
      <c r="H18010"/>
      <c r="I18010"/>
    </row>
    <row r="18011" spans="6:9" x14ac:dyDescent="0.3">
      <c r="F18011"/>
      <c r="G18011"/>
      <c r="H18011"/>
      <c r="I18011"/>
    </row>
    <row r="18012" spans="6:9" x14ac:dyDescent="0.3">
      <c r="F18012"/>
      <c r="G18012"/>
      <c r="H18012"/>
      <c r="I18012"/>
    </row>
    <row r="18013" spans="6:9" x14ac:dyDescent="0.3">
      <c r="F18013"/>
      <c r="G18013"/>
      <c r="H18013"/>
      <c r="I18013"/>
    </row>
    <row r="18014" spans="6:9" x14ac:dyDescent="0.3">
      <c r="F18014"/>
      <c r="G18014"/>
      <c r="H18014"/>
      <c r="I18014"/>
    </row>
    <row r="18015" spans="6:9" x14ac:dyDescent="0.3">
      <c r="F18015"/>
      <c r="G18015"/>
      <c r="H18015"/>
      <c r="I18015"/>
    </row>
    <row r="18016" spans="6:9" x14ac:dyDescent="0.3">
      <c r="F18016"/>
      <c r="G18016"/>
      <c r="H18016"/>
      <c r="I18016"/>
    </row>
    <row r="18017" spans="6:9" x14ac:dyDescent="0.3">
      <c r="F18017"/>
      <c r="G18017"/>
      <c r="H18017"/>
      <c r="I18017"/>
    </row>
    <row r="18018" spans="6:9" x14ac:dyDescent="0.3">
      <c r="F18018"/>
      <c r="G18018"/>
      <c r="H18018"/>
      <c r="I18018"/>
    </row>
    <row r="18019" spans="6:9" x14ac:dyDescent="0.3">
      <c r="F18019"/>
      <c r="G18019"/>
      <c r="H18019"/>
      <c r="I18019"/>
    </row>
    <row r="18020" spans="6:9" x14ac:dyDescent="0.3">
      <c r="F18020"/>
      <c r="G18020"/>
      <c r="H18020"/>
      <c r="I18020"/>
    </row>
    <row r="18021" spans="6:9" x14ac:dyDescent="0.3">
      <c r="F18021"/>
      <c r="G18021"/>
      <c r="H18021"/>
      <c r="I18021"/>
    </row>
    <row r="18022" spans="6:9" x14ac:dyDescent="0.3">
      <c r="F18022"/>
      <c r="G18022"/>
      <c r="H18022"/>
      <c r="I18022"/>
    </row>
    <row r="18023" spans="6:9" x14ac:dyDescent="0.3">
      <c r="F18023"/>
      <c r="G18023"/>
      <c r="H18023"/>
      <c r="I18023"/>
    </row>
    <row r="18024" spans="6:9" x14ac:dyDescent="0.3">
      <c r="F18024"/>
      <c r="G18024"/>
      <c r="H18024"/>
      <c r="I18024"/>
    </row>
    <row r="18025" spans="6:9" x14ac:dyDescent="0.3">
      <c r="F18025"/>
      <c r="G18025"/>
      <c r="H18025"/>
      <c r="I18025"/>
    </row>
    <row r="18026" spans="6:9" x14ac:dyDescent="0.3">
      <c r="F18026"/>
      <c r="G18026"/>
      <c r="H18026"/>
      <c r="I18026"/>
    </row>
    <row r="18027" spans="6:9" x14ac:dyDescent="0.3">
      <c r="F18027"/>
      <c r="G18027"/>
      <c r="H18027"/>
      <c r="I18027"/>
    </row>
    <row r="18028" spans="6:9" x14ac:dyDescent="0.3">
      <c r="F18028"/>
      <c r="G18028"/>
      <c r="H18028"/>
      <c r="I18028"/>
    </row>
    <row r="18029" spans="6:9" x14ac:dyDescent="0.3">
      <c r="F18029"/>
      <c r="G18029"/>
      <c r="H18029"/>
      <c r="I18029"/>
    </row>
    <row r="18030" spans="6:9" x14ac:dyDescent="0.3">
      <c r="F18030"/>
      <c r="G18030"/>
      <c r="H18030"/>
      <c r="I18030"/>
    </row>
    <row r="18031" spans="6:9" x14ac:dyDescent="0.3">
      <c r="F18031"/>
      <c r="G18031"/>
      <c r="H18031"/>
      <c r="I18031"/>
    </row>
    <row r="18032" spans="6:9" x14ac:dyDescent="0.3">
      <c r="F18032"/>
      <c r="G18032"/>
      <c r="H18032"/>
      <c r="I18032"/>
    </row>
    <row r="18033" spans="6:9" x14ac:dyDescent="0.3">
      <c r="F18033"/>
      <c r="G18033"/>
      <c r="H18033"/>
      <c r="I18033"/>
    </row>
    <row r="18034" spans="6:9" x14ac:dyDescent="0.3">
      <c r="F18034"/>
      <c r="G18034"/>
      <c r="H18034"/>
      <c r="I18034"/>
    </row>
    <row r="18035" spans="6:9" x14ac:dyDescent="0.3">
      <c r="F18035"/>
      <c r="G18035"/>
      <c r="H18035"/>
      <c r="I18035"/>
    </row>
    <row r="18036" spans="6:9" x14ac:dyDescent="0.3">
      <c r="F18036"/>
      <c r="G18036"/>
      <c r="H18036"/>
      <c r="I18036"/>
    </row>
    <row r="18037" spans="6:9" x14ac:dyDescent="0.3">
      <c r="F18037"/>
      <c r="G18037"/>
      <c r="H18037"/>
      <c r="I18037"/>
    </row>
    <row r="18038" spans="6:9" x14ac:dyDescent="0.3">
      <c r="F18038"/>
      <c r="G18038"/>
      <c r="H18038"/>
      <c r="I18038"/>
    </row>
    <row r="18039" spans="6:9" x14ac:dyDescent="0.3">
      <c r="F18039"/>
      <c r="G18039"/>
      <c r="H18039"/>
      <c r="I18039"/>
    </row>
    <row r="18040" spans="6:9" x14ac:dyDescent="0.3">
      <c r="F18040"/>
      <c r="G18040"/>
      <c r="H18040"/>
      <c r="I18040"/>
    </row>
    <row r="18041" spans="6:9" x14ac:dyDescent="0.3">
      <c r="F18041"/>
      <c r="G18041"/>
      <c r="H18041"/>
      <c r="I18041"/>
    </row>
    <row r="18042" spans="6:9" x14ac:dyDescent="0.3">
      <c r="F18042"/>
      <c r="G18042"/>
      <c r="H18042"/>
      <c r="I18042"/>
    </row>
    <row r="18043" spans="6:9" x14ac:dyDescent="0.3">
      <c r="F18043"/>
      <c r="G18043"/>
      <c r="H18043"/>
      <c r="I18043"/>
    </row>
    <row r="18044" spans="6:9" x14ac:dyDescent="0.3">
      <c r="F18044"/>
      <c r="G18044"/>
      <c r="H18044"/>
      <c r="I18044"/>
    </row>
    <row r="18045" spans="6:9" x14ac:dyDescent="0.3">
      <c r="F18045"/>
      <c r="G18045"/>
      <c r="H18045"/>
      <c r="I18045"/>
    </row>
    <row r="18046" spans="6:9" x14ac:dyDescent="0.3">
      <c r="F18046"/>
      <c r="G18046"/>
      <c r="H18046"/>
      <c r="I18046"/>
    </row>
    <row r="18047" spans="6:9" x14ac:dyDescent="0.3">
      <c r="F18047"/>
      <c r="G18047"/>
      <c r="H18047"/>
      <c r="I18047"/>
    </row>
    <row r="18048" spans="6:9" x14ac:dyDescent="0.3">
      <c r="F18048"/>
      <c r="G18048"/>
      <c r="H18048"/>
      <c r="I18048"/>
    </row>
    <row r="18049" spans="6:9" x14ac:dyDescent="0.3">
      <c r="F18049"/>
      <c r="G18049"/>
      <c r="H18049"/>
      <c r="I18049"/>
    </row>
    <row r="18050" spans="6:9" x14ac:dyDescent="0.3">
      <c r="F18050"/>
      <c r="G18050"/>
      <c r="H18050"/>
      <c r="I18050"/>
    </row>
    <row r="18051" spans="6:9" x14ac:dyDescent="0.3">
      <c r="F18051"/>
      <c r="G18051"/>
      <c r="H18051"/>
      <c r="I18051"/>
    </row>
    <row r="18052" spans="6:9" x14ac:dyDescent="0.3">
      <c r="F18052"/>
      <c r="G18052"/>
      <c r="H18052"/>
      <c r="I18052"/>
    </row>
    <row r="18053" spans="6:9" x14ac:dyDescent="0.3">
      <c r="F18053"/>
      <c r="G18053"/>
      <c r="H18053"/>
      <c r="I18053"/>
    </row>
    <row r="18054" spans="6:9" x14ac:dyDescent="0.3">
      <c r="F18054"/>
      <c r="G18054"/>
      <c r="H18054"/>
      <c r="I18054"/>
    </row>
    <row r="18055" spans="6:9" x14ac:dyDescent="0.3">
      <c r="F18055"/>
      <c r="G18055"/>
      <c r="H18055"/>
      <c r="I18055"/>
    </row>
    <row r="18056" spans="6:9" x14ac:dyDescent="0.3">
      <c r="F18056"/>
      <c r="G18056"/>
      <c r="H18056"/>
      <c r="I18056"/>
    </row>
    <row r="18057" spans="6:9" x14ac:dyDescent="0.3">
      <c r="F18057"/>
      <c r="G18057"/>
      <c r="H18057"/>
      <c r="I18057"/>
    </row>
    <row r="18058" spans="6:9" x14ac:dyDescent="0.3">
      <c r="F18058"/>
      <c r="G18058"/>
      <c r="H18058"/>
      <c r="I18058"/>
    </row>
    <row r="18059" spans="6:9" x14ac:dyDescent="0.3">
      <c r="F18059"/>
      <c r="G18059"/>
      <c r="H18059"/>
      <c r="I18059"/>
    </row>
    <row r="18060" spans="6:9" x14ac:dyDescent="0.3">
      <c r="F18060"/>
      <c r="G18060"/>
      <c r="H18060"/>
      <c r="I18060"/>
    </row>
    <row r="18061" spans="6:9" x14ac:dyDescent="0.3">
      <c r="F18061"/>
      <c r="G18061"/>
      <c r="H18061"/>
      <c r="I18061"/>
    </row>
    <row r="18062" spans="6:9" x14ac:dyDescent="0.3">
      <c r="F18062"/>
      <c r="G18062"/>
      <c r="H18062"/>
      <c r="I18062"/>
    </row>
    <row r="18063" spans="6:9" x14ac:dyDescent="0.3">
      <c r="F18063"/>
      <c r="G18063"/>
      <c r="H18063"/>
      <c r="I18063"/>
    </row>
    <row r="18064" spans="6:9" x14ac:dyDescent="0.3">
      <c r="F18064"/>
      <c r="G18064"/>
      <c r="H18064"/>
      <c r="I18064"/>
    </row>
    <row r="18065" spans="6:9" x14ac:dyDescent="0.3">
      <c r="F18065"/>
      <c r="G18065"/>
      <c r="H18065"/>
      <c r="I18065"/>
    </row>
    <row r="18066" spans="6:9" x14ac:dyDescent="0.3">
      <c r="F18066"/>
      <c r="G18066"/>
      <c r="H18066"/>
      <c r="I18066"/>
    </row>
    <row r="18067" spans="6:9" x14ac:dyDescent="0.3">
      <c r="F18067"/>
      <c r="G18067"/>
      <c r="H18067"/>
      <c r="I18067"/>
    </row>
    <row r="18068" spans="6:9" x14ac:dyDescent="0.3">
      <c r="F18068"/>
      <c r="G18068"/>
      <c r="H18068"/>
      <c r="I18068"/>
    </row>
    <row r="18069" spans="6:9" x14ac:dyDescent="0.3">
      <c r="F18069"/>
      <c r="G18069"/>
      <c r="H18069"/>
      <c r="I18069"/>
    </row>
    <row r="18070" spans="6:9" x14ac:dyDescent="0.3">
      <c r="F18070"/>
      <c r="G18070"/>
      <c r="H18070"/>
      <c r="I18070"/>
    </row>
    <row r="18071" spans="6:9" x14ac:dyDescent="0.3">
      <c r="F18071"/>
      <c r="G18071"/>
      <c r="H18071"/>
      <c r="I18071"/>
    </row>
    <row r="18072" spans="6:9" x14ac:dyDescent="0.3">
      <c r="F18072"/>
      <c r="G18072"/>
      <c r="H18072"/>
      <c r="I18072"/>
    </row>
    <row r="18073" spans="6:9" x14ac:dyDescent="0.3">
      <c r="F18073"/>
      <c r="G18073"/>
      <c r="H18073"/>
      <c r="I18073"/>
    </row>
    <row r="18074" spans="6:9" x14ac:dyDescent="0.3">
      <c r="F18074"/>
      <c r="G18074"/>
      <c r="H18074"/>
      <c r="I18074"/>
    </row>
    <row r="18075" spans="6:9" x14ac:dyDescent="0.3">
      <c r="F18075"/>
      <c r="G18075"/>
      <c r="H18075"/>
      <c r="I18075"/>
    </row>
    <row r="18076" spans="6:9" x14ac:dyDescent="0.3">
      <c r="F18076"/>
      <c r="G18076"/>
      <c r="H18076"/>
      <c r="I18076"/>
    </row>
    <row r="18077" spans="6:9" x14ac:dyDescent="0.3">
      <c r="F18077"/>
      <c r="G18077"/>
      <c r="H18077"/>
      <c r="I18077"/>
    </row>
    <row r="18078" spans="6:9" x14ac:dyDescent="0.3">
      <c r="F18078"/>
      <c r="G18078"/>
      <c r="H18078"/>
      <c r="I18078"/>
    </row>
    <row r="18079" spans="6:9" x14ac:dyDescent="0.3">
      <c r="F18079"/>
      <c r="G18079"/>
      <c r="H18079"/>
      <c r="I18079"/>
    </row>
    <row r="18080" spans="6:9" x14ac:dyDescent="0.3">
      <c r="F18080"/>
      <c r="G18080"/>
      <c r="H18080"/>
      <c r="I18080"/>
    </row>
    <row r="18081" spans="6:9" x14ac:dyDescent="0.3">
      <c r="F18081"/>
      <c r="G18081"/>
      <c r="H18081"/>
      <c r="I18081"/>
    </row>
    <row r="18082" spans="6:9" x14ac:dyDescent="0.3">
      <c r="F18082"/>
      <c r="G18082"/>
      <c r="H18082"/>
      <c r="I18082"/>
    </row>
    <row r="18083" spans="6:9" x14ac:dyDescent="0.3">
      <c r="F18083"/>
      <c r="G18083"/>
      <c r="H18083"/>
      <c r="I18083"/>
    </row>
    <row r="18084" spans="6:9" x14ac:dyDescent="0.3">
      <c r="F18084"/>
      <c r="G18084"/>
      <c r="H18084"/>
      <c r="I18084"/>
    </row>
    <row r="18085" spans="6:9" x14ac:dyDescent="0.3">
      <c r="F18085"/>
      <c r="G18085"/>
      <c r="H18085"/>
      <c r="I18085"/>
    </row>
    <row r="18086" spans="6:9" x14ac:dyDescent="0.3">
      <c r="F18086"/>
      <c r="G18086"/>
      <c r="H18086"/>
      <c r="I18086"/>
    </row>
    <row r="18087" spans="6:9" x14ac:dyDescent="0.3">
      <c r="F18087"/>
      <c r="G18087"/>
      <c r="H18087"/>
      <c r="I18087"/>
    </row>
    <row r="18088" spans="6:9" x14ac:dyDescent="0.3">
      <c r="F18088"/>
      <c r="G18088"/>
      <c r="H18088"/>
      <c r="I18088"/>
    </row>
    <row r="18089" spans="6:9" x14ac:dyDescent="0.3">
      <c r="F18089"/>
      <c r="G18089"/>
      <c r="H18089"/>
      <c r="I18089"/>
    </row>
    <row r="18090" spans="6:9" x14ac:dyDescent="0.3">
      <c r="F18090"/>
      <c r="G18090"/>
      <c r="H18090"/>
      <c r="I18090"/>
    </row>
    <row r="18091" spans="6:9" x14ac:dyDescent="0.3">
      <c r="F18091"/>
      <c r="G18091"/>
      <c r="H18091"/>
      <c r="I18091"/>
    </row>
    <row r="18092" spans="6:9" x14ac:dyDescent="0.3">
      <c r="F18092"/>
      <c r="G18092"/>
      <c r="H18092"/>
      <c r="I18092"/>
    </row>
    <row r="18093" spans="6:9" x14ac:dyDescent="0.3">
      <c r="F18093"/>
      <c r="G18093"/>
      <c r="H18093"/>
      <c r="I18093"/>
    </row>
    <row r="18094" spans="6:9" x14ac:dyDescent="0.3">
      <c r="F18094"/>
      <c r="G18094"/>
      <c r="H18094"/>
      <c r="I18094"/>
    </row>
    <row r="18095" spans="6:9" x14ac:dyDescent="0.3">
      <c r="F18095"/>
      <c r="G18095"/>
      <c r="H18095"/>
      <c r="I18095"/>
    </row>
    <row r="18096" spans="6:9" x14ac:dyDescent="0.3">
      <c r="F18096"/>
      <c r="G18096"/>
      <c r="H18096"/>
      <c r="I18096"/>
    </row>
    <row r="18097" spans="6:9" x14ac:dyDescent="0.3">
      <c r="F18097"/>
      <c r="G18097"/>
      <c r="H18097"/>
      <c r="I18097"/>
    </row>
    <row r="18098" spans="6:9" x14ac:dyDescent="0.3">
      <c r="F18098"/>
      <c r="G18098"/>
      <c r="H18098"/>
      <c r="I18098"/>
    </row>
    <row r="18099" spans="6:9" x14ac:dyDescent="0.3">
      <c r="F18099"/>
      <c r="G18099"/>
      <c r="H18099"/>
      <c r="I18099"/>
    </row>
    <row r="18100" spans="6:9" x14ac:dyDescent="0.3">
      <c r="F18100"/>
      <c r="G18100"/>
      <c r="H18100"/>
      <c r="I18100"/>
    </row>
    <row r="18101" spans="6:9" x14ac:dyDescent="0.3">
      <c r="F18101"/>
      <c r="G18101"/>
      <c r="H18101"/>
      <c r="I18101"/>
    </row>
    <row r="18102" spans="6:9" x14ac:dyDescent="0.3">
      <c r="F18102"/>
      <c r="G18102"/>
      <c r="H18102"/>
      <c r="I18102"/>
    </row>
    <row r="18103" spans="6:9" x14ac:dyDescent="0.3">
      <c r="F18103"/>
      <c r="G18103"/>
      <c r="H18103"/>
      <c r="I18103"/>
    </row>
    <row r="18104" spans="6:9" x14ac:dyDescent="0.3">
      <c r="F18104"/>
      <c r="G18104"/>
      <c r="H18104"/>
      <c r="I18104"/>
    </row>
    <row r="18105" spans="6:9" x14ac:dyDescent="0.3">
      <c r="F18105"/>
      <c r="G18105"/>
      <c r="H18105"/>
      <c r="I18105"/>
    </row>
    <row r="18106" spans="6:9" x14ac:dyDescent="0.3">
      <c r="F18106"/>
      <c r="G18106"/>
      <c r="H18106"/>
      <c r="I18106"/>
    </row>
    <row r="18107" spans="6:9" x14ac:dyDescent="0.3">
      <c r="F18107"/>
      <c r="G18107"/>
      <c r="H18107"/>
      <c r="I18107"/>
    </row>
    <row r="18108" spans="6:9" x14ac:dyDescent="0.3">
      <c r="F18108"/>
      <c r="G18108"/>
      <c r="H18108"/>
      <c r="I18108"/>
    </row>
    <row r="18109" spans="6:9" x14ac:dyDescent="0.3">
      <c r="F18109"/>
      <c r="G18109"/>
      <c r="H18109"/>
      <c r="I18109"/>
    </row>
    <row r="18110" spans="6:9" x14ac:dyDescent="0.3">
      <c r="F18110"/>
      <c r="G18110"/>
      <c r="H18110"/>
      <c r="I18110"/>
    </row>
    <row r="18111" spans="6:9" x14ac:dyDescent="0.3">
      <c r="F18111"/>
      <c r="G18111"/>
      <c r="H18111"/>
      <c r="I18111"/>
    </row>
    <row r="18112" spans="6:9" x14ac:dyDescent="0.3">
      <c r="F18112"/>
      <c r="G18112"/>
      <c r="H18112"/>
      <c r="I18112"/>
    </row>
    <row r="18113" spans="6:9" x14ac:dyDescent="0.3">
      <c r="F18113"/>
      <c r="G18113"/>
      <c r="H18113"/>
      <c r="I18113"/>
    </row>
    <row r="18114" spans="6:9" x14ac:dyDescent="0.3">
      <c r="F18114"/>
      <c r="G18114"/>
      <c r="H18114"/>
      <c r="I18114"/>
    </row>
    <row r="18115" spans="6:9" x14ac:dyDescent="0.3">
      <c r="F18115"/>
      <c r="G18115"/>
      <c r="H18115"/>
      <c r="I18115"/>
    </row>
    <row r="18116" spans="6:9" x14ac:dyDescent="0.3">
      <c r="F18116"/>
      <c r="G18116"/>
      <c r="H18116"/>
      <c r="I18116"/>
    </row>
    <row r="18117" spans="6:9" x14ac:dyDescent="0.3">
      <c r="F18117"/>
      <c r="G18117"/>
      <c r="H18117"/>
      <c r="I18117"/>
    </row>
    <row r="18118" spans="6:9" x14ac:dyDescent="0.3">
      <c r="F18118"/>
      <c r="G18118"/>
      <c r="H18118"/>
      <c r="I18118"/>
    </row>
    <row r="18119" spans="6:9" x14ac:dyDescent="0.3">
      <c r="F18119"/>
      <c r="G18119"/>
      <c r="H18119"/>
      <c r="I18119"/>
    </row>
    <row r="18120" spans="6:9" x14ac:dyDescent="0.3">
      <c r="F18120"/>
      <c r="G18120"/>
      <c r="H18120"/>
      <c r="I18120"/>
    </row>
    <row r="18121" spans="6:9" x14ac:dyDescent="0.3">
      <c r="F18121"/>
      <c r="G18121"/>
      <c r="H18121"/>
      <c r="I18121"/>
    </row>
    <row r="18122" spans="6:9" x14ac:dyDescent="0.3">
      <c r="F18122"/>
      <c r="G18122"/>
      <c r="H18122"/>
      <c r="I18122"/>
    </row>
    <row r="18123" spans="6:9" x14ac:dyDescent="0.3">
      <c r="F18123"/>
      <c r="G18123"/>
      <c r="H18123"/>
      <c r="I18123"/>
    </row>
    <row r="18124" spans="6:9" x14ac:dyDescent="0.3">
      <c r="F18124"/>
      <c r="G18124"/>
      <c r="H18124"/>
      <c r="I18124"/>
    </row>
    <row r="18125" spans="6:9" x14ac:dyDescent="0.3">
      <c r="F18125"/>
      <c r="G18125"/>
      <c r="H18125"/>
      <c r="I18125"/>
    </row>
    <row r="18126" spans="6:9" x14ac:dyDescent="0.3">
      <c r="F18126"/>
      <c r="G18126"/>
      <c r="H18126"/>
      <c r="I18126"/>
    </row>
    <row r="18127" spans="6:9" x14ac:dyDescent="0.3">
      <c r="F18127"/>
      <c r="G18127"/>
      <c r="H18127"/>
      <c r="I18127"/>
    </row>
    <row r="18128" spans="6:9" x14ac:dyDescent="0.3">
      <c r="F18128"/>
      <c r="G18128"/>
      <c r="H18128"/>
      <c r="I18128"/>
    </row>
    <row r="18129" spans="6:9" x14ac:dyDescent="0.3">
      <c r="F18129"/>
      <c r="G18129"/>
      <c r="H18129"/>
      <c r="I18129"/>
    </row>
    <row r="18130" spans="6:9" x14ac:dyDescent="0.3">
      <c r="F18130"/>
      <c r="G18130"/>
      <c r="H18130"/>
      <c r="I18130"/>
    </row>
    <row r="18131" spans="6:9" x14ac:dyDescent="0.3">
      <c r="F18131"/>
      <c r="G18131"/>
      <c r="H18131"/>
      <c r="I18131"/>
    </row>
    <row r="18132" spans="6:9" x14ac:dyDescent="0.3">
      <c r="F18132"/>
      <c r="G18132"/>
      <c r="H18132"/>
      <c r="I18132"/>
    </row>
    <row r="18133" spans="6:9" x14ac:dyDescent="0.3">
      <c r="F18133"/>
      <c r="G18133"/>
      <c r="H18133"/>
      <c r="I18133"/>
    </row>
    <row r="18134" spans="6:9" x14ac:dyDescent="0.3">
      <c r="F18134"/>
      <c r="G18134"/>
      <c r="H18134"/>
      <c r="I18134"/>
    </row>
    <row r="18135" spans="6:9" x14ac:dyDescent="0.3">
      <c r="F18135"/>
      <c r="G18135"/>
      <c r="H18135"/>
      <c r="I18135"/>
    </row>
    <row r="18136" spans="6:9" x14ac:dyDescent="0.3">
      <c r="F18136"/>
      <c r="G18136"/>
      <c r="H18136"/>
      <c r="I18136"/>
    </row>
    <row r="18137" spans="6:9" x14ac:dyDescent="0.3">
      <c r="F18137"/>
      <c r="G18137"/>
      <c r="H18137"/>
      <c r="I18137"/>
    </row>
    <row r="18138" spans="6:9" x14ac:dyDescent="0.3">
      <c r="F18138"/>
      <c r="G18138"/>
      <c r="H18138"/>
      <c r="I18138"/>
    </row>
    <row r="18139" spans="6:9" x14ac:dyDescent="0.3">
      <c r="F18139"/>
      <c r="G18139"/>
      <c r="H18139"/>
      <c r="I18139"/>
    </row>
    <row r="18140" spans="6:9" x14ac:dyDescent="0.3">
      <c r="F18140"/>
      <c r="G18140"/>
      <c r="H18140"/>
      <c r="I18140"/>
    </row>
    <row r="18141" spans="6:9" x14ac:dyDescent="0.3">
      <c r="F18141"/>
      <c r="G18141"/>
      <c r="H18141"/>
      <c r="I18141"/>
    </row>
    <row r="18142" spans="6:9" x14ac:dyDescent="0.3">
      <c r="F18142"/>
      <c r="G18142"/>
      <c r="H18142"/>
      <c r="I18142"/>
    </row>
    <row r="18143" spans="6:9" x14ac:dyDescent="0.3">
      <c r="F18143"/>
      <c r="G18143"/>
      <c r="H18143"/>
      <c r="I18143"/>
    </row>
    <row r="18144" spans="6:9" x14ac:dyDescent="0.3">
      <c r="F18144"/>
      <c r="G18144"/>
      <c r="H18144"/>
      <c r="I18144"/>
    </row>
    <row r="18145" spans="6:9" x14ac:dyDescent="0.3">
      <c r="F18145"/>
      <c r="G18145"/>
      <c r="H18145"/>
      <c r="I18145"/>
    </row>
    <row r="18146" spans="6:9" x14ac:dyDescent="0.3">
      <c r="F18146"/>
      <c r="G18146"/>
      <c r="H18146"/>
      <c r="I18146"/>
    </row>
    <row r="18147" spans="6:9" x14ac:dyDescent="0.3">
      <c r="F18147"/>
      <c r="G18147"/>
      <c r="H18147"/>
      <c r="I18147"/>
    </row>
    <row r="18148" spans="6:9" x14ac:dyDescent="0.3">
      <c r="F18148"/>
      <c r="G18148"/>
      <c r="H18148"/>
      <c r="I18148"/>
    </row>
    <row r="18149" spans="6:9" x14ac:dyDescent="0.3">
      <c r="F18149"/>
      <c r="G18149"/>
      <c r="H18149"/>
      <c r="I18149"/>
    </row>
    <row r="18150" spans="6:9" x14ac:dyDescent="0.3">
      <c r="F18150"/>
      <c r="G18150"/>
      <c r="H18150"/>
      <c r="I18150"/>
    </row>
    <row r="18151" spans="6:9" x14ac:dyDescent="0.3">
      <c r="F18151"/>
      <c r="G18151"/>
      <c r="H18151"/>
      <c r="I18151"/>
    </row>
    <row r="18152" spans="6:9" x14ac:dyDescent="0.3">
      <c r="F18152"/>
      <c r="G18152"/>
      <c r="H18152"/>
      <c r="I18152"/>
    </row>
    <row r="18153" spans="6:9" x14ac:dyDescent="0.3">
      <c r="F18153"/>
      <c r="G18153"/>
      <c r="H18153"/>
      <c r="I18153"/>
    </row>
    <row r="18154" spans="6:9" x14ac:dyDescent="0.3">
      <c r="F18154"/>
      <c r="G18154"/>
      <c r="H18154"/>
      <c r="I18154"/>
    </row>
    <row r="18155" spans="6:9" x14ac:dyDescent="0.3">
      <c r="F18155"/>
      <c r="G18155"/>
      <c r="H18155"/>
      <c r="I18155"/>
    </row>
    <row r="18156" spans="6:9" x14ac:dyDescent="0.3">
      <c r="F18156"/>
      <c r="G18156"/>
      <c r="H18156"/>
      <c r="I18156"/>
    </row>
    <row r="18157" spans="6:9" x14ac:dyDescent="0.3">
      <c r="F18157"/>
      <c r="G18157"/>
      <c r="H18157"/>
      <c r="I18157"/>
    </row>
    <row r="18158" spans="6:9" x14ac:dyDescent="0.3">
      <c r="F18158"/>
      <c r="G18158"/>
      <c r="H18158"/>
      <c r="I18158"/>
    </row>
    <row r="18159" spans="6:9" x14ac:dyDescent="0.3">
      <c r="F18159"/>
      <c r="G18159"/>
      <c r="H18159"/>
      <c r="I18159"/>
    </row>
    <row r="18160" spans="6:9" x14ac:dyDescent="0.3">
      <c r="F18160"/>
      <c r="G18160"/>
      <c r="H18160"/>
      <c r="I18160"/>
    </row>
    <row r="18161" spans="6:9" x14ac:dyDescent="0.3">
      <c r="F18161"/>
      <c r="G18161"/>
      <c r="H18161"/>
      <c r="I18161"/>
    </row>
    <row r="18162" spans="6:9" x14ac:dyDescent="0.3">
      <c r="F18162"/>
      <c r="G18162"/>
      <c r="H18162"/>
      <c r="I18162"/>
    </row>
    <row r="18163" spans="6:9" x14ac:dyDescent="0.3">
      <c r="F18163"/>
      <c r="G18163"/>
      <c r="H18163"/>
      <c r="I18163"/>
    </row>
    <row r="18164" spans="6:9" x14ac:dyDescent="0.3">
      <c r="F18164"/>
      <c r="G18164"/>
      <c r="H18164"/>
      <c r="I18164"/>
    </row>
    <row r="18165" spans="6:9" x14ac:dyDescent="0.3">
      <c r="F18165"/>
      <c r="G18165"/>
      <c r="H18165"/>
      <c r="I18165"/>
    </row>
    <row r="18166" spans="6:9" x14ac:dyDescent="0.3">
      <c r="F18166"/>
      <c r="G18166"/>
      <c r="H18166"/>
      <c r="I18166"/>
    </row>
    <row r="18167" spans="6:9" x14ac:dyDescent="0.3">
      <c r="F18167"/>
      <c r="G18167"/>
      <c r="H18167"/>
      <c r="I18167"/>
    </row>
    <row r="18168" spans="6:9" x14ac:dyDescent="0.3">
      <c r="F18168"/>
      <c r="G18168"/>
      <c r="H18168"/>
      <c r="I18168"/>
    </row>
    <row r="18169" spans="6:9" x14ac:dyDescent="0.3">
      <c r="F18169"/>
      <c r="G18169"/>
      <c r="H18169"/>
      <c r="I18169"/>
    </row>
    <row r="18170" spans="6:9" x14ac:dyDescent="0.3">
      <c r="F18170"/>
      <c r="G18170"/>
      <c r="H18170"/>
      <c r="I18170"/>
    </row>
    <row r="18171" spans="6:9" x14ac:dyDescent="0.3">
      <c r="F18171"/>
      <c r="G18171"/>
      <c r="H18171"/>
      <c r="I18171"/>
    </row>
    <row r="18172" spans="6:9" x14ac:dyDescent="0.3">
      <c r="F18172"/>
      <c r="G18172"/>
      <c r="H18172"/>
      <c r="I18172"/>
    </row>
    <row r="18173" spans="6:9" x14ac:dyDescent="0.3">
      <c r="F18173"/>
      <c r="G18173"/>
      <c r="H18173"/>
      <c r="I18173"/>
    </row>
    <row r="18174" spans="6:9" x14ac:dyDescent="0.3">
      <c r="F18174"/>
      <c r="G18174"/>
      <c r="H18174"/>
      <c r="I18174"/>
    </row>
    <row r="18175" spans="6:9" x14ac:dyDescent="0.3">
      <c r="F18175"/>
      <c r="G18175"/>
      <c r="H18175"/>
      <c r="I18175"/>
    </row>
    <row r="18176" spans="6:9" x14ac:dyDescent="0.3">
      <c r="F18176"/>
      <c r="G18176"/>
      <c r="H18176"/>
      <c r="I18176"/>
    </row>
    <row r="18177" spans="6:9" x14ac:dyDescent="0.3">
      <c r="F18177"/>
      <c r="G18177"/>
      <c r="H18177"/>
      <c r="I18177"/>
    </row>
    <row r="18178" spans="6:9" x14ac:dyDescent="0.3">
      <c r="F18178"/>
      <c r="G18178"/>
      <c r="H18178"/>
      <c r="I18178"/>
    </row>
    <row r="18179" spans="6:9" x14ac:dyDescent="0.3">
      <c r="F18179"/>
      <c r="G18179"/>
      <c r="H18179"/>
      <c r="I18179"/>
    </row>
    <row r="18180" spans="6:9" x14ac:dyDescent="0.3">
      <c r="F18180"/>
      <c r="G18180"/>
      <c r="H18180"/>
      <c r="I18180"/>
    </row>
    <row r="18181" spans="6:9" x14ac:dyDescent="0.3">
      <c r="F18181"/>
      <c r="G18181"/>
      <c r="H18181"/>
      <c r="I18181"/>
    </row>
    <row r="18182" spans="6:9" x14ac:dyDescent="0.3">
      <c r="F18182"/>
      <c r="G18182"/>
      <c r="H18182"/>
      <c r="I18182"/>
    </row>
    <row r="18183" spans="6:9" x14ac:dyDescent="0.3">
      <c r="F18183"/>
      <c r="G18183"/>
      <c r="H18183"/>
      <c r="I18183"/>
    </row>
    <row r="18184" spans="6:9" x14ac:dyDescent="0.3">
      <c r="F18184"/>
      <c r="G18184"/>
      <c r="H18184"/>
      <c r="I18184"/>
    </row>
    <row r="18185" spans="6:9" x14ac:dyDescent="0.3">
      <c r="F18185"/>
      <c r="G18185"/>
      <c r="H18185"/>
      <c r="I18185"/>
    </row>
    <row r="18186" spans="6:9" x14ac:dyDescent="0.3">
      <c r="F18186"/>
      <c r="G18186"/>
      <c r="H18186"/>
      <c r="I18186"/>
    </row>
    <row r="18187" spans="6:9" x14ac:dyDescent="0.3">
      <c r="F18187"/>
      <c r="G18187"/>
      <c r="H18187"/>
      <c r="I18187"/>
    </row>
    <row r="18188" spans="6:9" x14ac:dyDescent="0.3">
      <c r="F18188"/>
      <c r="G18188"/>
      <c r="H18188"/>
      <c r="I18188"/>
    </row>
    <row r="18189" spans="6:9" x14ac:dyDescent="0.3">
      <c r="F18189"/>
      <c r="G18189"/>
      <c r="H18189"/>
      <c r="I18189"/>
    </row>
    <row r="18190" spans="6:9" x14ac:dyDescent="0.3">
      <c r="F18190"/>
      <c r="G18190"/>
      <c r="H18190"/>
      <c r="I18190"/>
    </row>
    <row r="18191" spans="6:9" x14ac:dyDescent="0.3">
      <c r="F18191"/>
      <c r="G18191"/>
      <c r="H18191"/>
      <c r="I18191"/>
    </row>
    <row r="18192" spans="6:9" x14ac:dyDescent="0.3">
      <c r="F18192"/>
      <c r="G18192"/>
      <c r="H18192"/>
      <c r="I18192"/>
    </row>
    <row r="18193" spans="6:9" x14ac:dyDescent="0.3">
      <c r="F18193"/>
      <c r="G18193"/>
      <c r="H18193"/>
      <c r="I18193"/>
    </row>
    <row r="18194" spans="6:9" x14ac:dyDescent="0.3">
      <c r="F18194"/>
      <c r="G18194"/>
      <c r="H18194"/>
      <c r="I18194"/>
    </row>
    <row r="18195" spans="6:9" x14ac:dyDescent="0.3">
      <c r="F18195"/>
      <c r="G18195"/>
      <c r="H18195"/>
      <c r="I18195"/>
    </row>
    <row r="18196" spans="6:9" x14ac:dyDescent="0.3">
      <c r="F18196"/>
      <c r="G18196"/>
      <c r="H18196"/>
      <c r="I18196"/>
    </row>
    <row r="18197" spans="6:9" x14ac:dyDescent="0.3">
      <c r="F18197"/>
      <c r="G18197"/>
      <c r="H18197"/>
      <c r="I18197"/>
    </row>
    <row r="18198" spans="6:9" x14ac:dyDescent="0.3">
      <c r="F18198"/>
      <c r="G18198"/>
      <c r="H18198"/>
      <c r="I18198"/>
    </row>
    <row r="18199" spans="6:9" x14ac:dyDescent="0.3">
      <c r="F18199"/>
      <c r="G18199"/>
      <c r="H18199"/>
      <c r="I18199"/>
    </row>
    <row r="18200" spans="6:9" x14ac:dyDescent="0.3">
      <c r="F18200"/>
      <c r="G18200"/>
      <c r="H18200"/>
      <c r="I18200"/>
    </row>
    <row r="18201" spans="6:9" x14ac:dyDescent="0.3">
      <c r="F18201"/>
      <c r="G18201"/>
      <c r="H18201"/>
      <c r="I18201"/>
    </row>
    <row r="18202" spans="6:9" x14ac:dyDescent="0.3">
      <c r="F18202"/>
      <c r="G18202"/>
      <c r="H18202"/>
      <c r="I18202"/>
    </row>
    <row r="18203" spans="6:9" x14ac:dyDescent="0.3">
      <c r="F18203"/>
      <c r="G18203"/>
      <c r="H18203"/>
      <c r="I18203"/>
    </row>
    <row r="18204" spans="6:9" x14ac:dyDescent="0.3">
      <c r="F18204"/>
      <c r="G18204"/>
      <c r="H18204"/>
      <c r="I18204"/>
    </row>
    <row r="18205" spans="6:9" x14ac:dyDescent="0.3">
      <c r="F18205"/>
      <c r="G18205"/>
      <c r="H18205"/>
      <c r="I18205"/>
    </row>
    <row r="18206" spans="6:9" x14ac:dyDescent="0.3">
      <c r="F18206"/>
      <c r="G18206"/>
      <c r="H18206"/>
      <c r="I18206"/>
    </row>
    <row r="18207" spans="6:9" x14ac:dyDescent="0.3">
      <c r="F18207"/>
      <c r="G18207"/>
      <c r="H18207"/>
      <c r="I18207"/>
    </row>
    <row r="18208" spans="6:9" x14ac:dyDescent="0.3">
      <c r="F18208"/>
      <c r="G18208"/>
      <c r="H18208"/>
      <c r="I18208"/>
    </row>
    <row r="18209" spans="6:9" x14ac:dyDescent="0.3">
      <c r="F18209"/>
      <c r="G18209"/>
      <c r="H18209"/>
      <c r="I18209"/>
    </row>
    <row r="18210" spans="6:9" x14ac:dyDescent="0.3">
      <c r="F18210"/>
      <c r="G18210"/>
      <c r="H18210"/>
      <c r="I18210"/>
    </row>
    <row r="18211" spans="6:9" x14ac:dyDescent="0.3">
      <c r="F18211"/>
      <c r="G18211"/>
      <c r="H18211"/>
      <c r="I18211"/>
    </row>
    <row r="18212" spans="6:9" x14ac:dyDescent="0.3">
      <c r="F18212"/>
      <c r="G18212"/>
      <c r="H18212"/>
      <c r="I18212"/>
    </row>
    <row r="18213" spans="6:9" x14ac:dyDescent="0.3">
      <c r="F18213"/>
      <c r="G18213"/>
      <c r="H18213"/>
      <c r="I18213"/>
    </row>
    <row r="18214" spans="6:9" x14ac:dyDescent="0.3">
      <c r="F18214"/>
      <c r="G18214"/>
      <c r="H18214"/>
      <c r="I18214"/>
    </row>
    <row r="18215" spans="6:9" x14ac:dyDescent="0.3">
      <c r="F18215"/>
      <c r="G18215"/>
      <c r="H18215"/>
      <c r="I18215"/>
    </row>
    <row r="18216" spans="6:9" x14ac:dyDescent="0.3">
      <c r="F18216"/>
      <c r="G18216"/>
      <c r="H18216"/>
      <c r="I18216"/>
    </row>
    <row r="18217" spans="6:9" x14ac:dyDescent="0.3">
      <c r="F18217"/>
      <c r="G18217"/>
      <c r="H18217"/>
      <c r="I18217"/>
    </row>
    <row r="18218" spans="6:9" x14ac:dyDescent="0.3">
      <c r="F18218"/>
      <c r="G18218"/>
      <c r="H18218"/>
      <c r="I18218"/>
    </row>
    <row r="18219" spans="6:9" x14ac:dyDescent="0.3">
      <c r="F18219"/>
      <c r="G18219"/>
      <c r="H18219"/>
      <c r="I18219"/>
    </row>
    <row r="18220" spans="6:9" x14ac:dyDescent="0.3">
      <c r="F18220"/>
      <c r="G18220"/>
      <c r="H18220"/>
      <c r="I18220"/>
    </row>
    <row r="18221" spans="6:9" x14ac:dyDescent="0.3">
      <c r="F18221"/>
      <c r="G18221"/>
      <c r="H18221"/>
      <c r="I18221"/>
    </row>
    <row r="18222" spans="6:9" x14ac:dyDescent="0.3">
      <c r="F18222"/>
      <c r="G18222"/>
      <c r="H18222"/>
      <c r="I18222"/>
    </row>
    <row r="18223" spans="6:9" x14ac:dyDescent="0.3">
      <c r="F18223"/>
      <c r="G18223"/>
      <c r="H18223"/>
      <c r="I18223"/>
    </row>
    <row r="18224" spans="6:9" x14ac:dyDescent="0.3">
      <c r="F18224"/>
      <c r="G18224"/>
      <c r="H18224"/>
      <c r="I18224"/>
    </row>
    <row r="18225" spans="6:9" x14ac:dyDescent="0.3">
      <c r="F18225"/>
      <c r="G18225"/>
      <c r="H18225"/>
      <c r="I18225"/>
    </row>
    <row r="18226" spans="6:9" x14ac:dyDescent="0.3">
      <c r="F18226"/>
      <c r="G18226"/>
      <c r="H18226"/>
      <c r="I18226"/>
    </row>
    <row r="18227" spans="6:9" x14ac:dyDescent="0.3">
      <c r="F18227"/>
      <c r="G18227"/>
      <c r="H18227"/>
      <c r="I18227"/>
    </row>
    <row r="18228" spans="6:9" x14ac:dyDescent="0.3">
      <c r="F18228"/>
      <c r="G18228"/>
      <c r="H18228"/>
      <c r="I18228"/>
    </row>
    <row r="18229" spans="6:9" x14ac:dyDescent="0.3">
      <c r="F18229"/>
      <c r="G18229"/>
      <c r="H18229"/>
      <c r="I18229"/>
    </row>
    <row r="18230" spans="6:9" x14ac:dyDescent="0.3">
      <c r="F18230"/>
      <c r="G18230"/>
      <c r="H18230"/>
      <c r="I18230"/>
    </row>
    <row r="18231" spans="6:9" x14ac:dyDescent="0.3">
      <c r="F18231"/>
      <c r="G18231"/>
      <c r="H18231"/>
      <c r="I18231"/>
    </row>
    <row r="18232" spans="6:9" x14ac:dyDescent="0.3">
      <c r="F18232"/>
      <c r="G18232"/>
      <c r="H18232"/>
      <c r="I18232"/>
    </row>
    <row r="18233" spans="6:9" x14ac:dyDescent="0.3">
      <c r="F18233"/>
      <c r="G18233"/>
      <c r="H18233"/>
      <c r="I18233"/>
    </row>
    <row r="18234" spans="6:9" x14ac:dyDescent="0.3">
      <c r="F18234"/>
      <c r="G18234"/>
      <c r="H18234"/>
      <c r="I18234"/>
    </row>
    <row r="18235" spans="6:9" x14ac:dyDescent="0.3">
      <c r="F18235"/>
      <c r="G18235"/>
      <c r="H18235"/>
      <c r="I18235"/>
    </row>
    <row r="18236" spans="6:9" x14ac:dyDescent="0.3">
      <c r="F18236"/>
      <c r="G18236"/>
      <c r="H18236"/>
      <c r="I18236"/>
    </row>
    <row r="18237" spans="6:9" x14ac:dyDescent="0.3">
      <c r="F18237"/>
      <c r="G18237"/>
      <c r="H18237"/>
      <c r="I18237"/>
    </row>
    <row r="18238" spans="6:9" x14ac:dyDescent="0.3">
      <c r="F18238"/>
      <c r="G18238"/>
      <c r="H18238"/>
      <c r="I18238"/>
    </row>
    <row r="18239" spans="6:9" x14ac:dyDescent="0.3">
      <c r="F18239"/>
      <c r="G18239"/>
      <c r="H18239"/>
      <c r="I18239"/>
    </row>
    <row r="18240" spans="6:9" x14ac:dyDescent="0.3">
      <c r="F18240"/>
      <c r="G18240"/>
      <c r="H18240"/>
      <c r="I18240"/>
    </row>
    <row r="18241" spans="6:9" x14ac:dyDescent="0.3">
      <c r="F18241"/>
      <c r="G18241"/>
      <c r="H18241"/>
      <c r="I18241"/>
    </row>
    <row r="18242" spans="6:9" x14ac:dyDescent="0.3">
      <c r="F18242"/>
      <c r="G18242"/>
      <c r="H18242"/>
      <c r="I18242"/>
    </row>
    <row r="18243" spans="6:9" x14ac:dyDescent="0.3">
      <c r="F18243"/>
      <c r="G18243"/>
      <c r="H18243"/>
      <c r="I18243"/>
    </row>
    <row r="18244" spans="6:9" x14ac:dyDescent="0.3">
      <c r="F18244"/>
      <c r="G18244"/>
      <c r="H18244"/>
      <c r="I18244"/>
    </row>
    <row r="18245" spans="6:9" x14ac:dyDescent="0.3">
      <c r="F18245"/>
      <c r="G18245"/>
      <c r="H18245"/>
      <c r="I18245"/>
    </row>
    <row r="18246" spans="6:9" x14ac:dyDescent="0.3">
      <c r="F18246"/>
      <c r="G18246"/>
      <c r="H18246"/>
      <c r="I18246"/>
    </row>
    <row r="18247" spans="6:9" x14ac:dyDescent="0.3">
      <c r="F18247"/>
      <c r="G18247"/>
      <c r="H18247"/>
      <c r="I18247"/>
    </row>
    <row r="18248" spans="6:9" x14ac:dyDescent="0.3">
      <c r="F18248"/>
      <c r="G18248"/>
      <c r="H18248"/>
      <c r="I18248"/>
    </row>
    <row r="18249" spans="6:9" x14ac:dyDescent="0.3">
      <c r="F18249"/>
      <c r="G18249"/>
      <c r="H18249"/>
      <c r="I18249"/>
    </row>
    <row r="18250" spans="6:9" x14ac:dyDescent="0.3">
      <c r="F18250"/>
      <c r="G18250"/>
      <c r="H18250"/>
      <c r="I18250"/>
    </row>
    <row r="18251" spans="6:9" x14ac:dyDescent="0.3">
      <c r="F18251"/>
      <c r="G18251"/>
      <c r="H18251"/>
      <c r="I18251"/>
    </row>
    <row r="18252" spans="6:9" x14ac:dyDescent="0.3">
      <c r="F18252"/>
      <c r="G18252"/>
      <c r="H18252"/>
      <c r="I18252"/>
    </row>
    <row r="18253" spans="6:9" x14ac:dyDescent="0.3">
      <c r="F18253"/>
      <c r="G18253"/>
      <c r="H18253"/>
      <c r="I18253"/>
    </row>
    <row r="18254" spans="6:9" x14ac:dyDescent="0.3">
      <c r="F18254"/>
      <c r="G18254"/>
      <c r="H18254"/>
      <c r="I18254"/>
    </row>
    <row r="18255" spans="6:9" x14ac:dyDescent="0.3">
      <c r="F18255"/>
      <c r="G18255"/>
      <c r="H18255"/>
      <c r="I18255"/>
    </row>
    <row r="18256" spans="6:9" x14ac:dyDescent="0.3">
      <c r="F18256"/>
      <c r="G18256"/>
      <c r="H18256"/>
      <c r="I18256"/>
    </row>
    <row r="18257" spans="6:9" x14ac:dyDescent="0.3">
      <c r="F18257"/>
      <c r="G18257"/>
      <c r="H18257"/>
      <c r="I18257"/>
    </row>
    <row r="18258" spans="6:9" x14ac:dyDescent="0.3">
      <c r="F18258"/>
      <c r="G18258"/>
      <c r="H18258"/>
      <c r="I18258"/>
    </row>
    <row r="18259" spans="6:9" x14ac:dyDescent="0.3">
      <c r="F18259"/>
      <c r="G18259"/>
      <c r="H18259"/>
      <c r="I18259"/>
    </row>
    <row r="18260" spans="6:9" x14ac:dyDescent="0.3">
      <c r="F18260"/>
      <c r="G18260"/>
      <c r="H18260"/>
      <c r="I18260"/>
    </row>
    <row r="18261" spans="6:9" x14ac:dyDescent="0.3">
      <c r="F18261"/>
      <c r="G18261"/>
      <c r="H18261"/>
      <c r="I18261"/>
    </row>
    <row r="18262" spans="6:9" x14ac:dyDescent="0.3">
      <c r="F18262"/>
      <c r="G18262"/>
      <c r="H18262"/>
      <c r="I18262"/>
    </row>
    <row r="18263" spans="6:9" x14ac:dyDescent="0.3">
      <c r="F18263"/>
      <c r="G18263"/>
      <c r="H18263"/>
      <c r="I18263"/>
    </row>
    <row r="18264" spans="6:9" x14ac:dyDescent="0.3">
      <c r="F18264"/>
      <c r="G18264"/>
      <c r="H18264"/>
      <c r="I18264"/>
    </row>
    <row r="18265" spans="6:9" x14ac:dyDescent="0.3">
      <c r="F18265"/>
      <c r="G18265"/>
      <c r="H18265"/>
      <c r="I18265"/>
    </row>
    <row r="18266" spans="6:9" x14ac:dyDescent="0.3">
      <c r="F18266"/>
      <c r="G18266"/>
      <c r="H18266"/>
      <c r="I18266"/>
    </row>
    <row r="18267" spans="6:9" x14ac:dyDescent="0.3">
      <c r="F18267"/>
      <c r="G18267"/>
      <c r="H18267"/>
      <c r="I18267"/>
    </row>
    <row r="18268" spans="6:9" x14ac:dyDescent="0.3">
      <c r="F18268"/>
      <c r="G18268"/>
      <c r="H18268"/>
      <c r="I18268"/>
    </row>
    <row r="18269" spans="6:9" x14ac:dyDescent="0.3">
      <c r="F18269"/>
      <c r="G18269"/>
      <c r="H18269"/>
      <c r="I18269"/>
    </row>
    <row r="18270" spans="6:9" x14ac:dyDescent="0.3">
      <c r="F18270"/>
      <c r="G18270"/>
      <c r="H18270"/>
      <c r="I18270"/>
    </row>
    <row r="18271" spans="6:9" x14ac:dyDescent="0.3">
      <c r="F18271"/>
      <c r="G18271"/>
      <c r="H18271"/>
      <c r="I18271"/>
    </row>
    <row r="18272" spans="6:9" x14ac:dyDescent="0.3">
      <c r="F18272"/>
      <c r="G18272"/>
      <c r="H18272"/>
      <c r="I18272"/>
    </row>
    <row r="18273" spans="6:9" x14ac:dyDescent="0.3">
      <c r="F18273"/>
      <c r="G18273"/>
      <c r="H18273"/>
      <c r="I18273"/>
    </row>
    <row r="18274" spans="6:9" x14ac:dyDescent="0.3">
      <c r="F18274"/>
      <c r="G18274"/>
      <c r="H18274"/>
      <c r="I18274"/>
    </row>
    <row r="18275" spans="6:9" x14ac:dyDescent="0.3">
      <c r="F18275"/>
      <c r="G18275"/>
      <c r="H18275"/>
      <c r="I18275"/>
    </row>
    <row r="18276" spans="6:9" x14ac:dyDescent="0.3">
      <c r="F18276"/>
      <c r="G18276"/>
      <c r="H18276"/>
      <c r="I18276"/>
    </row>
    <row r="18277" spans="6:9" x14ac:dyDescent="0.3">
      <c r="F18277"/>
      <c r="G18277"/>
      <c r="H18277"/>
      <c r="I18277"/>
    </row>
    <row r="18278" spans="6:9" x14ac:dyDescent="0.3">
      <c r="F18278"/>
      <c r="G18278"/>
      <c r="H18278"/>
      <c r="I18278"/>
    </row>
    <row r="18279" spans="6:9" x14ac:dyDescent="0.3">
      <c r="F18279"/>
      <c r="G18279"/>
      <c r="H18279"/>
      <c r="I18279"/>
    </row>
    <row r="18280" spans="6:9" x14ac:dyDescent="0.3">
      <c r="F18280"/>
      <c r="G18280"/>
      <c r="H18280"/>
      <c r="I18280"/>
    </row>
    <row r="18281" spans="6:9" x14ac:dyDescent="0.3">
      <c r="F18281"/>
      <c r="G18281"/>
      <c r="H18281"/>
      <c r="I18281"/>
    </row>
    <row r="18282" spans="6:9" x14ac:dyDescent="0.3">
      <c r="F18282"/>
      <c r="G18282"/>
      <c r="H18282"/>
      <c r="I18282"/>
    </row>
    <row r="18283" spans="6:9" x14ac:dyDescent="0.3">
      <c r="F18283"/>
      <c r="G18283"/>
      <c r="H18283"/>
      <c r="I18283"/>
    </row>
    <row r="18284" spans="6:9" x14ac:dyDescent="0.3">
      <c r="F18284"/>
      <c r="G18284"/>
      <c r="H18284"/>
      <c r="I18284"/>
    </row>
    <row r="18285" spans="6:9" x14ac:dyDescent="0.3">
      <c r="F18285"/>
      <c r="G18285"/>
      <c r="H18285"/>
      <c r="I18285"/>
    </row>
    <row r="18286" spans="6:9" x14ac:dyDescent="0.3">
      <c r="F18286"/>
      <c r="G18286"/>
      <c r="H18286"/>
      <c r="I18286"/>
    </row>
    <row r="18287" spans="6:9" x14ac:dyDescent="0.3">
      <c r="F18287"/>
      <c r="G18287"/>
      <c r="H18287"/>
      <c r="I18287"/>
    </row>
    <row r="18288" spans="6:9" x14ac:dyDescent="0.3">
      <c r="F18288"/>
      <c r="G18288"/>
      <c r="H18288"/>
      <c r="I18288"/>
    </row>
    <row r="18289" spans="6:9" x14ac:dyDescent="0.3">
      <c r="F18289"/>
      <c r="G18289"/>
      <c r="H18289"/>
      <c r="I18289"/>
    </row>
    <row r="18290" spans="6:9" x14ac:dyDescent="0.3">
      <c r="F18290"/>
      <c r="G18290"/>
      <c r="H18290"/>
      <c r="I18290"/>
    </row>
    <row r="18291" spans="6:9" x14ac:dyDescent="0.3">
      <c r="F18291"/>
      <c r="G18291"/>
      <c r="H18291"/>
      <c r="I18291"/>
    </row>
    <row r="18292" spans="6:9" x14ac:dyDescent="0.3">
      <c r="F18292"/>
      <c r="G18292"/>
      <c r="H18292"/>
      <c r="I18292"/>
    </row>
    <row r="18293" spans="6:9" x14ac:dyDescent="0.3">
      <c r="F18293"/>
      <c r="G18293"/>
      <c r="H18293"/>
      <c r="I18293"/>
    </row>
    <row r="18294" spans="6:9" x14ac:dyDescent="0.3">
      <c r="F18294"/>
      <c r="G18294"/>
      <c r="H18294"/>
      <c r="I18294"/>
    </row>
    <row r="18295" spans="6:9" x14ac:dyDescent="0.3">
      <c r="F18295"/>
      <c r="G18295"/>
      <c r="H18295"/>
      <c r="I18295"/>
    </row>
    <row r="18296" spans="6:9" x14ac:dyDescent="0.3">
      <c r="F18296"/>
      <c r="G18296"/>
      <c r="H18296"/>
      <c r="I18296"/>
    </row>
    <row r="18297" spans="6:9" x14ac:dyDescent="0.3">
      <c r="F18297"/>
      <c r="G18297"/>
      <c r="H18297"/>
      <c r="I18297"/>
    </row>
    <row r="18298" spans="6:9" x14ac:dyDescent="0.3">
      <c r="F18298"/>
      <c r="G18298"/>
      <c r="H18298"/>
      <c r="I18298"/>
    </row>
    <row r="18299" spans="6:9" x14ac:dyDescent="0.3">
      <c r="F18299"/>
      <c r="G18299"/>
      <c r="H18299"/>
      <c r="I18299"/>
    </row>
    <row r="18300" spans="6:9" x14ac:dyDescent="0.3">
      <c r="F18300"/>
      <c r="G18300"/>
      <c r="H18300"/>
      <c r="I18300"/>
    </row>
    <row r="18301" spans="6:9" x14ac:dyDescent="0.3">
      <c r="F18301"/>
      <c r="G18301"/>
      <c r="H18301"/>
      <c r="I18301"/>
    </row>
    <row r="18302" spans="6:9" x14ac:dyDescent="0.3">
      <c r="F18302"/>
      <c r="G18302"/>
      <c r="H18302"/>
      <c r="I18302"/>
    </row>
    <row r="18303" spans="6:9" x14ac:dyDescent="0.3">
      <c r="F18303"/>
      <c r="G18303"/>
      <c r="H18303"/>
      <c r="I18303"/>
    </row>
    <row r="18304" spans="6:9" x14ac:dyDescent="0.3">
      <c r="F18304"/>
      <c r="G18304"/>
      <c r="H18304"/>
      <c r="I18304"/>
    </row>
    <row r="18305" spans="6:9" x14ac:dyDescent="0.3">
      <c r="F18305"/>
      <c r="G18305"/>
      <c r="H18305"/>
      <c r="I18305"/>
    </row>
    <row r="18306" spans="6:9" x14ac:dyDescent="0.3">
      <c r="F18306"/>
      <c r="G18306"/>
      <c r="H18306"/>
      <c r="I18306"/>
    </row>
    <row r="18307" spans="6:9" x14ac:dyDescent="0.3">
      <c r="F18307"/>
      <c r="G18307"/>
      <c r="H18307"/>
      <c r="I18307"/>
    </row>
    <row r="18308" spans="6:9" x14ac:dyDescent="0.3">
      <c r="F18308"/>
      <c r="G18308"/>
      <c r="H18308"/>
      <c r="I18308"/>
    </row>
    <row r="18309" spans="6:9" x14ac:dyDescent="0.3">
      <c r="F18309"/>
      <c r="G18309"/>
      <c r="H18309"/>
      <c r="I18309"/>
    </row>
    <row r="18310" spans="6:9" x14ac:dyDescent="0.3">
      <c r="F18310"/>
      <c r="G18310"/>
      <c r="H18310"/>
      <c r="I18310"/>
    </row>
    <row r="18311" spans="6:9" x14ac:dyDescent="0.3">
      <c r="F18311"/>
      <c r="G18311"/>
      <c r="H18311"/>
      <c r="I18311"/>
    </row>
    <row r="18312" spans="6:9" x14ac:dyDescent="0.3">
      <c r="F18312"/>
      <c r="G18312"/>
      <c r="H18312"/>
      <c r="I18312"/>
    </row>
    <row r="18313" spans="6:9" x14ac:dyDescent="0.3">
      <c r="F18313"/>
      <c r="G18313"/>
      <c r="H18313"/>
      <c r="I18313"/>
    </row>
    <row r="18314" spans="6:9" x14ac:dyDescent="0.3">
      <c r="F18314"/>
      <c r="G18314"/>
      <c r="H18314"/>
      <c r="I18314"/>
    </row>
    <row r="18315" spans="6:9" x14ac:dyDescent="0.3">
      <c r="F18315"/>
      <c r="G18315"/>
      <c r="H18315"/>
      <c r="I18315"/>
    </row>
    <row r="18316" spans="6:9" x14ac:dyDescent="0.3">
      <c r="F18316"/>
      <c r="G18316"/>
      <c r="H18316"/>
      <c r="I18316"/>
    </row>
    <row r="18317" spans="6:9" x14ac:dyDescent="0.3">
      <c r="F18317"/>
      <c r="G18317"/>
      <c r="H18317"/>
      <c r="I18317"/>
    </row>
    <row r="18318" spans="6:9" x14ac:dyDescent="0.3">
      <c r="F18318"/>
      <c r="G18318"/>
      <c r="H18318"/>
      <c r="I18318"/>
    </row>
    <row r="18319" spans="6:9" x14ac:dyDescent="0.3">
      <c r="F18319"/>
      <c r="G18319"/>
      <c r="H18319"/>
      <c r="I18319"/>
    </row>
    <row r="18320" spans="6:9" x14ac:dyDescent="0.3">
      <c r="F18320"/>
      <c r="G18320"/>
      <c r="H18320"/>
      <c r="I18320"/>
    </row>
    <row r="18321" spans="6:9" x14ac:dyDescent="0.3">
      <c r="F18321"/>
      <c r="G18321"/>
      <c r="H18321"/>
      <c r="I18321"/>
    </row>
    <row r="18322" spans="6:9" x14ac:dyDescent="0.3">
      <c r="F18322"/>
      <c r="G18322"/>
      <c r="H18322"/>
      <c r="I18322"/>
    </row>
    <row r="18323" spans="6:9" x14ac:dyDescent="0.3">
      <c r="F18323"/>
      <c r="G18323"/>
      <c r="H18323"/>
      <c r="I18323"/>
    </row>
    <row r="18324" spans="6:9" x14ac:dyDescent="0.3">
      <c r="F18324"/>
      <c r="G18324"/>
      <c r="H18324"/>
      <c r="I18324"/>
    </row>
    <row r="18325" spans="6:9" x14ac:dyDescent="0.3">
      <c r="F18325"/>
      <c r="G18325"/>
      <c r="H18325"/>
      <c r="I18325"/>
    </row>
    <row r="18326" spans="6:9" x14ac:dyDescent="0.3">
      <c r="F18326"/>
      <c r="G18326"/>
      <c r="H18326"/>
      <c r="I18326"/>
    </row>
    <row r="18327" spans="6:9" x14ac:dyDescent="0.3">
      <c r="F18327"/>
      <c r="G18327"/>
      <c r="H18327"/>
      <c r="I18327"/>
    </row>
    <row r="18328" spans="6:9" x14ac:dyDescent="0.3">
      <c r="F18328"/>
      <c r="G18328"/>
      <c r="H18328"/>
      <c r="I18328"/>
    </row>
    <row r="18329" spans="6:9" x14ac:dyDescent="0.3">
      <c r="F18329"/>
      <c r="G18329"/>
      <c r="H18329"/>
      <c r="I18329"/>
    </row>
    <row r="18330" spans="6:9" x14ac:dyDescent="0.3">
      <c r="F18330"/>
      <c r="G18330"/>
      <c r="H18330"/>
      <c r="I18330"/>
    </row>
    <row r="18331" spans="6:9" x14ac:dyDescent="0.3">
      <c r="F18331"/>
      <c r="G18331"/>
      <c r="H18331"/>
      <c r="I18331"/>
    </row>
    <row r="18332" spans="6:9" x14ac:dyDescent="0.3">
      <c r="F18332"/>
      <c r="G18332"/>
      <c r="H18332"/>
      <c r="I18332"/>
    </row>
    <row r="18333" spans="6:9" x14ac:dyDescent="0.3">
      <c r="F18333"/>
      <c r="G18333"/>
      <c r="H18333"/>
      <c r="I18333"/>
    </row>
    <row r="18334" spans="6:9" x14ac:dyDescent="0.3">
      <c r="F18334"/>
      <c r="G18334"/>
      <c r="H18334"/>
      <c r="I18334"/>
    </row>
    <row r="18335" spans="6:9" x14ac:dyDescent="0.3">
      <c r="F18335"/>
      <c r="G18335"/>
      <c r="H18335"/>
      <c r="I18335"/>
    </row>
    <row r="18336" spans="6:9" x14ac:dyDescent="0.3">
      <c r="F18336"/>
      <c r="G18336"/>
      <c r="H18336"/>
      <c r="I18336"/>
    </row>
    <row r="18337" spans="6:9" x14ac:dyDescent="0.3">
      <c r="F18337"/>
      <c r="G18337"/>
      <c r="H18337"/>
      <c r="I18337"/>
    </row>
    <row r="18338" spans="6:9" x14ac:dyDescent="0.3">
      <c r="F18338"/>
      <c r="G18338"/>
      <c r="H18338"/>
      <c r="I18338"/>
    </row>
    <row r="18339" spans="6:9" x14ac:dyDescent="0.3">
      <c r="F18339"/>
      <c r="G18339"/>
      <c r="H18339"/>
      <c r="I18339"/>
    </row>
    <row r="18340" spans="6:9" x14ac:dyDescent="0.3">
      <c r="F18340"/>
      <c r="G18340"/>
      <c r="H18340"/>
      <c r="I18340"/>
    </row>
    <row r="18341" spans="6:9" x14ac:dyDescent="0.3">
      <c r="F18341"/>
      <c r="G18341"/>
      <c r="H18341"/>
      <c r="I18341"/>
    </row>
    <row r="18342" spans="6:9" x14ac:dyDescent="0.3">
      <c r="F18342"/>
      <c r="G18342"/>
      <c r="H18342"/>
      <c r="I18342"/>
    </row>
    <row r="18343" spans="6:9" x14ac:dyDescent="0.3">
      <c r="F18343"/>
      <c r="G18343"/>
      <c r="H18343"/>
      <c r="I18343"/>
    </row>
    <row r="18344" spans="6:9" x14ac:dyDescent="0.3">
      <c r="F18344"/>
      <c r="G18344"/>
      <c r="H18344"/>
      <c r="I18344"/>
    </row>
    <row r="18345" spans="6:9" x14ac:dyDescent="0.3">
      <c r="F18345"/>
      <c r="G18345"/>
      <c r="H18345"/>
      <c r="I18345"/>
    </row>
    <row r="18346" spans="6:9" x14ac:dyDescent="0.3">
      <c r="F18346"/>
      <c r="G18346"/>
      <c r="H18346"/>
      <c r="I18346"/>
    </row>
    <row r="18347" spans="6:9" x14ac:dyDescent="0.3">
      <c r="F18347"/>
      <c r="G18347"/>
      <c r="H18347"/>
      <c r="I18347"/>
    </row>
    <row r="18348" spans="6:9" x14ac:dyDescent="0.3">
      <c r="F18348"/>
      <c r="G18348"/>
      <c r="H18348"/>
      <c r="I18348"/>
    </row>
    <row r="18349" spans="6:9" x14ac:dyDescent="0.3">
      <c r="F18349"/>
      <c r="G18349"/>
      <c r="H18349"/>
      <c r="I18349"/>
    </row>
    <row r="18350" spans="6:9" x14ac:dyDescent="0.3">
      <c r="F18350"/>
      <c r="G18350"/>
      <c r="H18350"/>
      <c r="I18350"/>
    </row>
    <row r="18351" spans="6:9" x14ac:dyDescent="0.3">
      <c r="F18351"/>
      <c r="G18351"/>
      <c r="H18351"/>
      <c r="I18351"/>
    </row>
    <row r="18352" spans="6:9" x14ac:dyDescent="0.3">
      <c r="F18352"/>
      <c r="G18352"/>
      <c r="H18352"/>
      <c r="I18352"/>
    </row>
    <row r="18353" spans="6:9" x14ac:dyDescent="0.3">
      <c r="F18353"/>
      <c r="G18353"/>
      <c r="H18353"/>
      <c r="I18353"/>
    </row>
    <row r="18354" spans="6:9" x14ac:dyDescent="0.3">
      <c r="F18354"/>
      <c r="G18354"/>
      <c r="H18354"/>
      <c r="I18354"/>
    </row>
    <row r="18355" spans="6:9" x14ac:dyDescent="0.3">
      <c r="F18355"/>
      <c r="G18355"/>
      <c r="H18355"/>
      <c r="I18355"/>
    </row>
    <row r="18356" spans="6:9" x14ac:dyDescent="0.3">
      <c r="F18356"/>
      <c r="G18356"/>
      <c r="H18356"/>
      <c r="I18356"/>
    </row>
    <row r="18357" spans="6:9" x14ac:dyDescent="0.3">
      <c r="F18357"/>
      <c r="G18357"/>
      <c r="H18357"/>
      <c r="I18357"/>
    </row>
    <row r="18358" spans="6:9" x14ac:dyDescent="0.3">
      <c r="F18358"/>
      <c r="G18358"/>
      <c r="H18358"/>
      <c r="I18358"/>
    </row>
    <row r="18359" spans="6:9" x14ac:dyDescent="0.3">
      <c r="F18359"/>
      <c r="G18359"/>
      <c r="H18359"/>
      <c r="I18359"/>
    </row>
    <row r="18360" spans="6:9" x14ac:dyDescent="0.3">
      <c r="F18360"/>
      <c r="G18360"/>
      <c r="H18360"/>
      <c r="I18360"/>
    </row>
    <row r="18361" spans="6:9" x14ac:dyDescent="0.3">
      <c r="F18361"/>
      <c r="G18361"/>
      <c r="H18361"/>
      <c r="I18361"/>
    </row>
    <row r="18362" spans="6:9" x14ac:dyDescent="0.3">
      <c r="F18362"/>
      <c r="G18362"/>
      <c r="H18362"/>
      <c r="I18362"/>
    </row>
    <row r="18363" spans="6:9" x14ac:dyDescent="0.3">
      <c r="F18363"/>
      <c r="G18363"/>
      <c r="H18363"/>
      <c r="I18363"/>
    </row>
    <row r="18364" spans="6:9" x14ac:dyDescent="0.3">
      <c r="F18364"/>
      <c r="G18364"/>
      <c r="H18364"/>
      <c r="I18364"/>
    </row>
    <row r="18365" spans="6:9" x14ac:dyDescent="0.3">
      <c r="F18365"/>
      <c r="G18365"/>
      <c r="H18365"/>
      <c r="I18365"/>
    </row>
    <row r="18366" spans="6:9" x14ac:dyDescent="0.3">
      <c r="F18366"/>
      <c r="G18366"/>
      <c r="H18366"/>
      <c r="I18366"/>
    </row>
    <row r="18367" spans="6:9" x14ac:dyDescent="0.3">
      <c r="F18367"/>
      <c r="G18367"/>
      <c r="H18367"/>
      <c r="I18367"/>
    </row>
    <row r="18368" spans="6:9" x14ac:dyDescent="0.3">
      <c r="F18368"/>
      <c r="G18368"/>
      <c r="H18368"/>
      <c r="I18368"/>
    </row>
    <row r="18369" spans="6:9" x14ac:dyDescent="0.3">
      <c r="F18369"/>
      <c r="G18369"/>
      <c r="H18369"/>
      <c r="I18369"/>
    </row>
    <row r="18370" spans="6:9" x14ac:dyDescent="0.3">
      <c r="F18370"/>
      <c r="G18370"/>
      <c r="H18370"/>
      <c r="I18370"/>
    </row>
    <row r="18371" spans="6:9" x14ac:dyDescent="0.3">
      <c r="F18371"/>
      <c r="G18371"/>
      <c r="H18371"/>
      <c r="I18371"/>
    </row>
    <row r="18372" spans="6:9" x14ac:dyDescent="0.3">
      <c r="F18372"/>
      <c r="G18372"/>
      <c r="H18372"/>
      <c r="I18372"/>
    </row>
    <row r="18373" spans="6:9" x14ac:dyDescent="0.3">
      <c r="F18373"/>
      <c r="G18373"/>
      <c r="H18373"/>
      <c r="I18373"/>
    </row>
    <row r="18374" spans="6:9" x14ac:dyDescent="0.3">
      <c r="F18374"/>
      <c r="G18374"/>
      <c r="H18374"/>
      <c r="I18374"/>
    </row>
    <row r="18375" spans="6:9" x14ac:dyDescent="0.3">
      <c r="F18375"/>
      <c r="G18375"/>
      <c r="H18375"/>
      <c r="I18375"/>
    </row>
    <row r="18376" spans="6:9" x14ac:dyDescent="0.3">
      <c r="F18376"/>
      <c r="G18376"/>
      <c r="H18376"/>
      <c r="I18376"/>
    </row>
    <row r="18377" spans="6:9" x14ac:dyDescent="0.3">
      <c r="F18377"/>
      <c r="G18377"/>
      <c r="H18377"/>
      <c r="I18377"/>
    </row>
    <row r="18378" spans="6:9" x14ac:dyDescent="0.3">
      <c r="F18378"/>
      <c r="G18378"/>
      <c r="H18378"/>
      <c r="I18378"/>
    </row>
    <row r="18379" spans="6:9" x14ac:dyDescent="0.3">
      <c r="F18379"/>
      <c r="G18379"/>
      <c r="H18379"/>
      <c r="I18379"/>
    </row>
    <row r="18380" spans="6:9" x14ac:dyDescent="0.3">
      <c r="F18380"/>
      <c r="G18380"/>
      <c r="H18380"/>
      <c r="I18380"/>
    </row>
    <row r="18381" spans="6:9" x14ac:dyDescent="0.3">
      <c r="F18381"/>
      <c r="G18381"/>
      <c r="H18381"/>
      <c r="I18381"/>
    </row>
    <row r="18382" spans="6:9" x14ac:dyDescent="0.3">
      <c r="F18382"/>
      <c r="G18382"/>
      <c r="H18382"/>
      <c r="I18382"/>
    </row>
    <row r="18383" spans="6:9" x14ac:dyDescent="0.3">
      <c r="F18383"/>
      <c r="G18383"/>
      <c r="H18383"/>
      <c r="I18383"/>
    </row>
    <row r="18384" spans="6:9" x14ac:dyDescent="0.3">
      <c r="F18384"/>
      <c r="G18384"/>
      <c r="H18384"/>
      <c r="I18384"/>
    </row>
    <row r="18385" spans="6:9" x14ac:dyDescent="0.3">
      <c r="F18385"/>
      <c r="G18385"/>
      <c r="H18385"/>
      <c r="I18385"/>
    </row>
    <row r="18386" spans="6:9" x14ac:dyDescent="0.3">
      <c r="F18386"/>
      <c r="G18386"/>
      <c r="H18386"/>
      <c r="I18386"/>
    </row>
    <row r="18387" spans="6:9" x14ac:dyDescent="0.3">
      <c r="F18387"/>
      <c r="G18387"/>
      <c r="H18387"/>
      <c r="I18387"/>
    </row>
    <row r="18388" spans="6:9" x14ac:dyDescent="0.3">
      <c r="F18388"/>
      <c r="G18388"/>
      <c r="H18388"/>
      <c r="I18388"/>
    </row>
    <row r="18389" spans="6:9" x14ac:dyDescent="0.3">
      <c r="F18389"/>
      <c r="G18389"/>
      <c r="H18389"/>
      <c r="I18389"/>
    </row>
    <row r="18390" spans="6:9" x14ac:dyDescent="0.3">
      <c r="F18390"/>
      <c r="G18390"/>
      <c r="H18390"/>
      <c r="I18390"/>
    </row>
    <row r="18391" spans="6:9" x14ac:dyDescent="0.3">
      <c r="F18391"/>
      <c r="G18391"/>
      <c r="H18391"/>
      <c r="I18391"/>
    </row>
    <row r="18392" spans="6:9" x14ac:dyDescent="0.3">
      <c r="F18392"/>
      <c r="G18392"/>
      <c r="H18392"/>
      <c r="I18392"/>
    </row>
    <row r="18393" spans="6:9" x14ac:dyDescent="0.3">
      <c r="F18393"/>
      <c r="G18393"/>
      <c r="H18393"/>
      <c r="I18393"/>
    </row>
    <row r="18394" spans="6:9" x14ac:dyDescent="0.3">
      <c r="F18394"/>
      <c r="G18394"/>
      <c r="H18394"/>
      <c r="I18394"/>
    </row>
    <row r="18395" spans="6:9" x14ac:dyDescent="0.3">
      <c r="F18395"/>
      <c r="G18395"/>
      <c r="H18395"/>
      <c r="I18395"/>
    </row>
    <row r="18396" spans="6:9" x14ac:dyDescent="0.3">
      <c r="F18396"/>
      <c r="G18396"/>
      <c r="H18396"/>
      <c r="I18396"/>
    </row>
    <row r="18397" spans="6:9" x14ac:dyDescent="0.3">
      <c r="F18397"/>
      <c r="G18397"/>
      <c r="H18397"/>
      <c r="I18397"/>
    </row>
    <row r="18398" spans="6:9" x14ac:dyDescent="0.3">
      <c r="F18398"/>
      <c r="G18398"/>
      <c r="H18398"/>
      <c r="I18398"/>
    </row>
    <row r="18399" spans="6:9" x14ac:dyDescent="0.3">
      <c r="F18399"/>
      <c r="G18399"/>
      <c r="H18399"/>
      <c r="I18399"/>
    </row>
    <row r="18400" spans="6:9" x14ac:dyDescent="0.3">
      <c r="F18400"/>
      <c r="G18400"/>
      <c r="H18400"/>
      <c r="I18400"/>
    </row>
    <row r="18401" spans="6:9" x14ac:dyDescent="0.3">
      <c r="F18401"/>
      <c r="G18401"/>
      <c r="H18401"/>
      <c r="I18401"/>
    </row>
    <row r="18402" spans="6:9" x14ac:dyDescent="0.3">
      <c r="F18402"/>
      <c r="G18402"/>
      <c r="H18402"/>
      <c r="I18402"/>
    </row>
    <row r="18403" spans="6:9" x14ac:dyDescent="0.3">
      <c r="F18403"/>
      <c r="G18403"/>
      <c r="H18403"/>
      <c r="I18403"/>
    </row>
    <row r="18404" spans="6:9" x14ac:dyDescent="0.3">
      <c r="F18404"/>
      <c r="G18404"/>
      <c r="H18404"/>
      <c r="I18404"/>
    </row>
    <row r="18405" spans="6:9" x14ac:dyDescent="0.3">
      <c r="F18405"/>
      <c r="G18405"/>
      <c r="H18405"/>
      <c r="I18405"/>
    </row>
    <row r="18406" spans="6:9" x14ac:dyDescent="0.3">
      <c r="F18406"/>
      <c r="G18406"/>
      <c r="H18406"/>
      <c r="I18406"/>
    </row>
    <row r="18407" spans="6:9" x14ac:dyDescent="0.3">
      <c r="F18407"/>
      <c r="G18407"/>
      <c r="H18407"/>
      <c r="I18407"/>
    </row>
    <row r="18408" spans="6:9" x14ac:dyDescent="0.3">
      <c r="F18408"/>
      <c r="G18408"/>
      <c r="H18408"/>
      <c r="I18408"/>
    </row>
    <row r="18409" spans="6:9" x14ac:dyDescent="0.3">
      <c r="F18409"/>
      <c r="G18409"/>
      <c r="H18409"/>
      <c r="I18409"/>
    </row>
    <row r="18410" spans="6:9" x14ac:dyDescent="0.3">
      <c r="F18410"/>
      <c r="G18410"/>
      <c r="H18410"/>
      <c r="I18410"/>
    </row>
    <row r="18411" spans="6:9" x14ac:dyDescent="0.3">
      <c r="F18411"/>
      <c r="G18411"/>
      <c r="H18411"/>
      <c r="I18411"/>
    </row>
    <row r="18412" spans="6:9" x14ac:dyDescent="0.3">
      <c r="F18412"/>
      <c r="G18412"/>
      <c r="H18412"/>
      <c r="I18412"/>
    </row>
    <row r="18413" spans="6:9" x14ac:dyDescent="0.3">
      <c r="F18413"/>
      <c r="G18413"/>
      <c r="H18413"/>
      <c r="I18413"/>
    </row>
    <row r="18414" spans="6:9" x14ac:dyDescent="0.3">
      <c r="F18414"/>
      <c r="G18414"/>
      <c r="H18414"/>
      <c r="I18414"/>
    </row>
    <row r="18415" spans="6:9" x14ac:dyDescent="0.3">
      <c r="F18415"/>
      <c r="G18415"/>
      <c r="H18415"/>
      <c r="I18415"/>
    </row>
    <row r="18416" spans="6:9" x14ac:dyDescent="0.3">
      <c r="F18416"/>
      <c r="G18416"/>
      <c r="H18416"/>
      <c r="I18416"/>
    </row>
    <row r="18417" spans="6:9" x14ac:dyDescent="0.3">
      <c r="F18417"/>
      <c r="G18417"/>
      <c r="H18417"/>
      <c r="I18417"/>
    </row>
    <row r="18418" spans="6:9" x14ac:dyDescent="0.3">
      <c r="F18418"/>
      <c r="G18418"/>
      <c r="H18418"/>
      <c r="I18418"/>
    </row>
    <row r="18419" spans="6:9" x14ac:dyDescent="0.3">
      <c r="F18419"/>
      <c r="G18419"/>
      <c r="H18419"/>
      <c r="I18419"/>
    </row>
    <row r="18420" spans="6:9" x14ac:dyDescent="0.3">
      <c r="F18420"/>
      <c r="G18420"/>
      <c r="H18420"/>
      <c r="I18420"/>
    </row>
    <row r="18421" spans="6:9" x14ac:dyDescent="0.3">
      <c r="F18421"/>
      <c r="G18421"/>
      <c r="H18421"/>
      <c r="I18421"/>
    </row>
    <row r="18422" spans="6:9" x14ac:dyDescent="0.3">
      <c r="F18422"/>
      <c r="G18422"/>
      <c r="H18422"/>
      <c r="I18422"/>
    </row>
    <row r="18423" spans="6:9" x14ac:dyDescent="0.3">
      <c r="F18423"/>
      <c r="G18423"/>
      <c r="H18423"/>
      <c r="I18423"/>
    </row>
    <row r="18424" spans="6:9" x14ac:dyDescent="0.3">
      <c r="F18424"/>
      <c r="G18424"/>
      <c r="H18424"/>
      <c r="I18424"/>
    </row>
    <row r="18425" spans="6:9" x14ac:dyDescent="0.3">
      <c r="F18425"/>
      <c r="G18425"/>
      <c r="H18425"/>
      <c r="I18425"/>
    </row>
    <row r="18426" spans="6:9" x14ac:dyDescent="0.3">
      <c r="F18426"/>
      <c r="G18426"/>
      <c r="H18426"/>
      <c r="I18426"/>
    </row>
    <row r="18427" spans="6:9" x14ac:dyDescent="0.3">
      <c r="F18427"/>
      <c r="G18427"/>
      <c r="H18427"/>
      <c r="I18427"/>
    </row>
    <row r="18428" spans="6:9" x14ac:dyDescent="0.3">
      <c r="F18428"/>
      <c r="G18428"/>
      <c r="H18428"/>
      <c r="I18428"/>
    </row>
    <row r="18429" spans="6:9" x14ac:dyDescent="0.3">
      <c r="F18429"/>
      <c r="G18429"/>
      <c r="H18429"/>
      <c r="I18429"/>
    </row>
    <row r="18430" spans="6:9" x14ac:dyDescent="0.3">
      <c r="F18430"/>
      <c r="G18430"/>
      <c r="H18430"/>
      <c r="I18430"/>
    </row>
    <row r="18431" spans="6:9" x14ac:dyDescent="0.3">
      <c r="F18431"/>
      <c r="G18431"/>
      <c r="H18431"/>
      <c r="I18431"/>
    </row>
    <row r="18432" spans="6:9" x14ac:dyDescent="0.3">
      <c r="F18432"/>
      <c r="G18432"/>
      <c r="H18432"/>
      <c r="I18432"/>
    </row>
    <row r="18433" spans="6:9" x14ac:dyDescent="0.3">
      <c r="F18433"/>
      <c r="G18433"/>
      <c r="H18433"/>
      <c r="I18433"/>
    </row>
    <row r="18434" spans="6:9" x14ac:dyDescent="0.3">
      <c r="F18434"/>
      <c r="G18434"/>
      <c r="H18434"/>
      <c r="I18434"/>
    </row>
    <row r="18435" spans="6:9" x14ac:dyDescent="0.3">
      <c r="F18435"/>
      <c r="G18435"/>
      <c r="H18435"/>
      <c r="I18435"/>
    </row>
    <row r="18436" spans="6:9" x14ac:dyDescent="0.3">
      <c r="F18436"/>
      <c r="G18436"/>
      <c r="H18436"/>
      <c r="I18436"/>
    </row>
    <row r="18437" spans="6:9" x14ac:dyDescent="0.3">
      <c r="F18437"/>
      <c r="G18437"/>
      <c r="H18437"/>
      <c r="I18437"/>
    </row>
    <row r="18438" spans="6:9" x14ac:dyDescent="0.3">
      <c r="F18438"/>
      <c r="G18438"/>
      <c r="H18438"/>
      <c r="I18438"/>
    </row>
    <row r="18439" spans="6:9" x14ac:dyDescent="0.3">
      <c r="F18439"/>
      <c r="G18439"/>
      <c r="H18439"/>
      <c r="I18439"/>
    </row>
    <row r="18440" spans="6:9" x14ac:dyDescent="0.3">
      <c r="F18440"/>
      <c r="G18440"/>
      <c r="H18440"/>
      <c r="I18440"/>
    </row>
    <row r="18441" spans="6:9" x14ac:dyDescent="0.3">
      <c r="F18441"/>
      <c r="G18441"/>
      <c r="H18441"/>
      <c r="I18441"/>
    </row>
    <row r="18442" spans="6:9" x14ac:dyDescent="0.3">
      <c r="F18442"/>
      <c r="G18442"/>
      <c r="H18442"/>
      <c r="I18442"/>
    </row>
    <row r="18443" spans="6:9" x14ac:dyDescent="0.3">
      <c r="F18443"/>
      <c r="G18443"/>
      <c r="H18443"/>
      <c r="I18443"/>
    </row>
    <row r="18444" spans="6:9" x14ac:dyDescent="0.3">
      <c r="F18444"/>
      <c r="G18444"/>
      <c r="H18444"/>
      <c r="I18444"/>
    </row>
    <row r="18445" spans="6:9" x14ac:dyDescent="0.3">
      <c r="F18445"/>
      <c r="G18445"/>
      <c r="H18445"/>
      <c r="I18445"/>
    </row>
    <row r="18446" spans="6:9" x14ac:dyDescent="0.3">
      <c r="F18446"/>
      <c r="G18446"/>
      <c r="H18446"/>
      <c r="I18446"/>
    </row>
    <row r="18447" spans="6:9" x14ac:dyDescent="0.3">
      <c r="F18447"/>
      <c r="G18447"/>
      <c r="H18447"/>
      <c r="I18447"/>
    </row>
    <row r="18448" spans="6:9" x14ac:dyDescent="0.3">
      <c r="F18448"/>
      <c r="G18448"/>
      <c r="H18448"/>
      <c r="I18448"/>
    </row>
    <row r="18449" spans="6:9" x14ac:dyDescent="0.3">
      <c r="F18449"/>
      <c r="G18449"/>
      <c r="H18449"/>
      <c r="I18449"/>
    </row>
    <row r="18450" spans="6:9" x14ac:dyDescent="0.3">
      <c r="F18450"/>
      <c r="G18450"/>
      <c r="H18450"/>
      <c r="I18450"/>
    </row>
    <row r="18451" spans="6:9" x14ac:dyDescent="0.3">
      <c r="F18451"/>
      <c r="G18451"/>
      <c r="H18451"/>
      <c r="I18451"/>
    </row>
    <row r="18452" spans="6:9" x14ac:dyDescent="0.3">
      <c r="F18452"/>
      <c r="G18452"/>
      <c r="H18452"/>
      <c r="I18452"/>
    </row>
    <row r="18453" spans="6:9" x14ac:dyDescent="0.3">
      <c r="F18453"/>
      <c r="G18453"/>
      <c r="H18453"/>
      <c r="I18453"/>
    </row>
    <row r="18454" spans="6:9" x14ac:dyDescent="0.3">
      <c r="F18454"/>
      <c r="G18454"/>
      <c r="H18454"/>
      <c r="I18454"/>
    </row>
    <row r="18455" spans="6:9" x14ac:dyDescent="0.3">
      <c r="F18455"/>
      <c r="G18455"/>
      <c r="H18455"/>
      <c r="I18455"/>
    </row>
    <row r="18456" spans="6:9" x14ac:dyDescent="0.3">
      <c r="F18456"/>
      <c r="G18456"/>
      <c r="H18456"/>
      <c r="I18456"/>
    </row>
    <row r="18457" spans="6:9" x14ac:dyDescent="0.3">
      <c r="F18457"/>
      <c r="G18457"/>
      <c r="H18457"/>
      <c r="I18457"/>
    </row>
    <row r="18458" spans="6:9" x14ac:dyDescent="0.3">
      <c r="F18458"/>
      <c r="G18458"/>
      <c r="H18458"/>
      <c r="I18458"/>
    </row>
    <row r="18459" spans="6:9" x14ac:dyDescent="0.3">
      <c r="F18459"/>
      <c r="G18459"/>
      <c r="H18459"/>
      <c r="I18459"/>
    </row>
    <row r="18460" spans="6:9" x14ac:dyDescent="0.3">
      <c r="F18460"/>
      <c r="G18460"/>
      <c r="H18460"/>
      <c r="I18460"/>
    </row>
    <row r="18461" spans="6:9" x14ac:dyDescent="0.3">
      <c r="F18461"/>
      <c r="G18461"/>
      <c r="H18461"/>
      <c r="I18461"/>
    </row>
    <row r="18462" spans="6:9" x14ac:dyDescent="0.3">
      <c r="F18462"/>
      <c r="G18462"/>
      <c r="H18462"/>
      <c r="I18462"/>
    </row>
    <row r="18463" spans="6:9" x14ac:dyDescent="0.3">
      <c r="F18463"/>
      <c r="G18463"/>
      <c r="H18463"/>
      <c r="I18463"/>
    </row>
    <row r="18464" spans="6:9" x14ac:dyDescent="0.3">
      <c r="F18464"/>
      <c r="G18464"/>
      <c r="H18464"/>
      <c r="I18464"/>
    </row>
    <row r="18465" spans="6:9" x14ac:dyDescent="0.3">
      <c r="F18465"/>
      <c r="G18465"/>
      <c r="H18465"/>
      <c r="I18465"/>
    </row>
    <row r="18466" spans="6:9" x14ac:dyDescent="0.3">
      <c r="F18466"/>
      <c r="G18466"/>
      <c r="H18466"/>
      <c r="I18466"/>
    </row>
    <row r="18467" spans="6:9" x14ac:dyDescent="0.3">
      <c r="F18467"/>
      <c r="G18467"/>
      <c r="H18467"/>
      <c r="I18467"/>
    </row>
    <row r="18468" spans="6:9" x14ac:dyDescent="0.3">
      <c r="F18468"/>
      <c r="G18468"/>
      <c r="H18468"/>
      <c r="I18468"/>
    </row>
    <row r="18469" spans="6:9" x14ac:dyDescent="0.3">
      <c r="F18469"/>
      <c r="G18469"/>
      <c r="H18469"/>
      <c r="I18469"/>
    </row>
    <row r="18470" spans="6:9" x14ac:dyDescent="0.3">
      <c r="F18470"/>
      <c r="G18470"/>
      <c r="H18470"/>
      <c r="I18470"/>
    </row>
    <row r="18471" spans="6:9" x14ac:dyDescent="0.3">
      <c r="F18471"/>
      <c r="G18471"/>
      <c r="H18471"/>
      <c r="I18471"/>
    </row>
    <row r="18472" spans="6:9" x14ac:dyDescent="0.3">
      <c r="F18472"/>
      <c r="G18472"/>
      <c r="H18472"/>
      <c r="I18472"/>
    </row>
    <row r="18473" spans="6:9" x14ac:dyDescent="0.3">
      <c r="F18473"/>
      <c r="G18473"/>
      <c r="H18473"/>
      <c r="I18473"/>
    </row>
    <row r="18474" spans="6:9" x14ac:dyDescent="0.3">
      <c r="F18474"/>
      <c r="G18474"/>
      <c r="H18474"/>
      <c r="I18474"/>
    </row>
    <row r="18475" spans="6:9" x14ac:dyDescent="0.3">
      <c r="F18475"/>
      <c r="G18475"/>
      <c r="H18475"/>
      <c r="I18475"/>
    </row>
    <row r="18476" spans="6:9" x14ac:dyDescent="0.3">
      <c r="F18476"/>
      <c r="G18476"/>
      <c r="H18476"/>
      <c r="I18476"/>
    </row>
    <row r="18477" spans="6:9" x14ac:dyDescent="0.3">
      <c r="F18477"/>
      <c r="G18477"/>
      <c r="H18477"/>
      <c r="I18477"/>
    </row>
    <row r="18478" spans="6:9" x14ac:dyDescent="0.3">
      <c r="F18478"/>
      <c r="G18478"/>
      <c r="H18478"/>
      <c r="I18478"/>
    </row>
    <row r="18479" spans="6:9" x14ac:dyDescent="0.3">
      <c r="F18479"/>
      <c r="G18479"/>
      <c r="H18479"/>
      <c r="I18479"/>
    </row>
    <row r="18480" spans="6:9" x14ac:dyDescent="0.3">
      <c r="F18480"/>
      <c r="G18480"/>
      <c r="H18480"/>
      <c r="I18480"/>
    </row>
    <row r="18481" spans="6:9" x14ac:dyDescent="0.3">
      <c r="F18481"/>
      <c r="G18481"/>
      <c r="H18481"/>
      <c r="I18481"/>
    </row>
    <row r="18482" spans="6:9" x14ac:dyDescent="0.3">
      <c r="F18482"/>
      <c r="G18482"/>
      <c r="H18482"/>
      <c r="I18482"/>
    </row>
    <row r="18483" spans="6:9" x14ac:dyDescent="0.3">
      <c r="F18483"/>
      <c r="G18483"/>
      <c r="H18483"/>
      <c r="I18483"/>
    </row>
    <row r="18484" spans="6:9" x14ac:dyDescent="0.3">
      <c r="F18484"/>
      <c r="G18484"/>
      <c r="H18484"/>
      <c r="I18484"/>
    </row>
    <row r="18485" spans="6:9" x14ac:dyDescent="0.3">
      <c r="F18485"/>
      <c r="G18485"/>
      <c r="H18485"/>
      <c r="I18485"/>
    </row>
    <row r="18486" spans="6:9" x14ac:dyDescent="0.3">
      <c r="F18486"/>
      <c r="G18486"/>
      <c r="H18486"/>
      <c r="I18486"/>
    </row>
    <row r="18487" spans="6:9" x14ac:dyDescent="0.3">
      <c r="F18487"/>
      <c r="G18487"/>
      <c r="H18487"/>
      <c r="I18487"/>
    </row>
    <row r="18488" spans="6:9" x14ac:dyDescent="0.3">
      <c r="F18488"/>
      <c r="G18488"/>
      <c r="H18488"/>
      <c r="I18488"/>
    </row>
    <row r="18489" spans="6:9" x14ac:dyDescent="0.3">
      <c r="F18489"/>
      <c r="G18489"/>
      <c r="H18489"/>
      <c r="I18489"/>
    </row>
    <row r="18490" spans="6:9" x14ac:dyDescent="0.3">
      <c r="F18490"/>
      <c r="G18490"/>
      <c r="H18490"/>
      <c r="I18490"/>
    </row>
    <row r="18491" spans="6:9" x14ac:dyDescent="0.3">
      <c r="F18491"/>
      <c r="G18491"/>
      <c r="H18491"/>
      <c r="I18491"/>
    </row>
    <row r="18492" spans="6:9" x14ac:dyDescent="0.3">
      <c r="F18492"/>
      <c r="G18492"/>
      <c r="H18492"/>
      <c r="I18492"/>
    </row>
    <row r="18493" spans="6:9" x14ac:dyDescent="0.3">
      <c r="F18493"/>
      <c r="G18493"/>
      <c r="H18493"/>
      <c r="I18493"/>
    </row>
    <row r="18494" spans="6:9" x14ac:dyDescent="0.3">
      <c r="F18494"/>
      <c r="G18494"/>
      <c r="H18494"/>
      <c r="I18494"/>
    </row>
    <row r="18495" spans="6:9" x14ac:dyDescent="0.3">
      <c r="F18495"/>
      <c r="G18495"/>
      <c r="H18495"/>
      <c r="I18495"/>
    </row>
    <row r="18496" spans="6:9" x14ac:dyDescent="0.3">
      <c r="F18496"/>
      <c r="G18496"/>
      <c r="H18496"/>
      <c r="I18496"/>
    </row>
    <row r="18497" spans="6:9" x14ac:dyDescent="0.3">
      <c r="F18497"/>
      <c r="G18497"/>
      <c r="H18497"/>
      <c r="I18497"/>
    </row>
    <row r="18498" spans="6:9" x14ac:dyDescent="0.3">
      <c r="F18498"/>
      <c r="G18498"/>
      <c r="H18498"/>
      <c r="I18498"/>
    </row>
    <row r="18499" spans="6:9" x14ac:dyDescent="0.3">
      <c r="F18499"/>
      <c r="G18499"/>
      <c r="H18499"/>
      <c r="I18499"/>
    </row>
    <row r="18500" spans="6:9" x14ac:dyDescent="0.3">
      <c r="F18500"/>
      <c r="G18500"/>
      <c r="H18500"/>
      <c r="I18500"/>
    </row>
    <row r="18501" spans="6:9" x14ac:dyDescent="0.3">
      <c r="F18501"/>
      <c r="G18501"/>
      <c r="H18501"/>
      <c r="I18501"/>
    </row>
    <row r="18502" spans="6:9" x14ac:dyDescent="0.3">
      <c r="F18502"/>
      <c r="G18502"/>
      <c r="H18502"/>
      <c r="I18502"/>
    </row>
    <row r="18503" spans="6:9" x14ac:dyDescent="0.3">
      <c r="F18503"/>
      <c r="G18503"/>
      <c r="H18503"/>
      <c r="I18503"/>
    </row>
    <row r="18504" spans="6:9" x14ac:dyDescent="0.3">
      <c r="F18504"/>
      <c r="G18504"/>
      <c r="H18504"/>
      <c r="I18504"/>
    </row>
    <row r="18505" spans="6:9" x14ac:dyDescent="0.3">
      <c r="F18505"/>
      <c r="G18505"/>
      <c r="H18505"/>
      <c r="I18505"/>
    </row>
    <row r="18506" spans="6:9" x14ac:dyDescent="0.3">
      <c r="F18506"/>
      <c r="G18506"/>
      <c r="H18506"/>
      <c r="I18506"/>
    </row>
    <row r="18507" spans="6:9" x14ac:dyDescent="0.3">
      <c r="F18507"/>
      <c r="G18507"/>
      <c r="H18507"/>
      <c r="I18507"/>
    </row>
    <row r="18508" spans="6:9" x14ac:dyDescent="0.3">
      <c r="F18508"/>
      <c r="G18508"/>
      <c r="H18508"/>
      <c r="I18508"/>
    </row>
    <row r="18509" spans="6:9" x14ac:dyDescent="0.3">
      <c r="F18509"/>
      <c r="G18509"/>
      <c r="H18509"/>
      <c r="I18509"/>
    </row>
    <row r="18510" spans="6:9" x14ac:dyDescent="0.3">
      <c r="F18510"/>
      <c r="G18510"/>
      <c r="H18510"/>
      <c r="I18510"/>
    </row>
    <row r="18511" spans="6:9" x14ac:dyDescent="0.3">
      <c r="F18511"/>
      <c r="G18511"/>
      <c r="H18511"/>
      <c r="I18511"/>
    </row>
    <row r="18512" spans="6:9" x14ac:dyDescent="0.3">
      <c r="F18512"/>
      <c r="G18512"/>
      <c r="H18512"/>
      <c r="I18512"/>
    </row>
    <row r="18513" spans="6:9" x14ac:dyDescent="0.3">
      <c r="F18513"/>
      <c r="G18513"/>
      <c r="H18513"/>
      <c r="I18513"/>
    </row>
    <row r="18514" spans="6:9" x14ac:dyDescent="0.3">
      <c r="F18514"/>
      <c r="G18514"/>
      <c r="H18514"/>
      <c r="I18514"/>
    </row>
    <row r="18515" spans="6:9" x14ac:dyDescent="0.3">
      <c r="F18515"/>
      <c r="G18515"/>
      <c r="H18515"/>
      <c r="I18515"/>
    </row>
    <row r="18516" spans="6:9" x14ac:dyDescent="0.3">
      <c r="F18516"/>
      <c r="G18516"/>
      <c r="H18516"/>
      <c r="I18516"/>
    </row>
    <row r="18517" spans="6:9" x14ac:dyDescent="0.3">
      <c r="F18517"/>
      <c r="G18517"/>
      <c r="H18517"/>
      <c r="I18517"/>
    </row>
    <row r="18518" spans="6:9" x14ac:dyDescent="0.3">
      <c r="F18518"/>
      <c r="G18518"/>
      <c r="H18518"/>
      <c r="I18518"/>
    </row>
    <row r="18519" spans="6:9" x14ac:dyDescent="0.3">
      <c r="F18519"/>
      <c r="G18519"/>
      <c r="H18519"/>
      <c r="I18519"/>
    </row>
    <row r="18520" spans="6:9" x14ac:dyDescent="0.3">
      <c r="F18520"/>
      <c r="G18520"/>
      <c r="H18520"/>
      <c r="I18520"/>
    </row>
    <row r="18521" spans="6:9" x14ac:dyDescent="0.3">
      <c r="F18521"/>
      <c r="G18521"/>
      <c r="H18521"/>
      <c r="I18521"/>
    </row>
    <row r="18522" spans="6:9" x14ac:dyDescent="0.3">
      <c r="F18522"/>
      <c r="G18522"/>
      <c r="H18522"/>
      <c r="I18522"/>
    </row>
    <row r="18523" spans="6:9" x14ac:dyDescent="0.3">
      <c r="F18523"/>
      <c r="G18523"/>
      <c r="H18523"/>
      <c r="I18523"/>
    </row>
    <row r="18524" spans="6:9" x14ac:dyDescent="0.3">
      <c r="F18524"/>
      <c r="G18524"/>
      <c r="H18524"/>
      <c r="I18524"/>
    </row>
    <row r="18525" spans="6:9" x14ac:dyDescent="0.3">
      <c r="F18525"/>
      <c r="G18525"/>
      <c r="H18525"/>
      <c r="I18525"/>
    </row>
    <row r="18526" spans="6:9" x14ac:dyDescent="0.3">
      <c r="F18526"/>
      <c r="G18526"/>
      <c r="H18526"/>
      <c r="I18526"/>
    </row>
    <row r="18527" spans="6:9" x14ac:dyDescent="0.3">
      <c r="F18527"/>
      <c r="G18527"/>
      <c r="H18527"/>
      <c r="I18527"/>
    </row>
    <row r="18528" spans="6:9" x14ac:dyDescent="0.3">
      <c r="F18528"/>
      <c r="G18528"/>
      <c r="H18528"/>
      <c r="I18528"/>
    </row>
    <row r="18529" spans="6:9" x14ac:dyDescent="0.3">
      <c r="F18529"/>
      <c r="G18529"/>
      <c r="H18529"/>
      <c r="I18529"/>
    </row>
    <row r="18530" spans="6:9" x14ac:dyDescent="0.3">
      <c r="F18530"/>
      <c r="G18530"/>
      <c r="H18530"/>
      <c r="I18530"/>
    </row>
    <row r="18531" spans="6:9" x14ac:dyDescent="0.3">
      <c r="F18531"/>
      <c r="G18531"/>
      <c r="H18531"/>
      <c r="I18531"/>
    </row>
    <row r="18532" spans="6:9" x14ac:dyDescent="0.3">
      <c r="F18532"/>
      <c r="G18532"/>
      <c r="H18532"/>
      <c r="I18532"/>
    </row>
    <row r="18533" spans="6:9" x14ac:dyDescent="0.3">
      <c r="F18533"/>
      <c r="G18533"/>
      <c r="H18533"/>
      <c r="I18533"/>
    </row>
    <row r="18534" spans="6:9" x14ac:dyDescent="0.3">
      <c r="F18534"/>
      <c r="G18534"/>
      <c r="H18534"/>
      <c r="I18534"/>
    </row>
    <row r="18535" spans="6:9" x14ac:dyDescent="0.3">
      <c r="F18535"/>
      <c r="G18535"/>
      <c r="H18535"/>
      <c r="I18535"/>
    </row>
    <row r="18536" spans="6:9" x14ac:dyDescent="0.3">
      <c r="F18536"/>
      <c r="G18536"/>
      <c r="H18536"/>
      <c r="I18536"/>
    </row>
    <row r="18537" spans="6:9" x14ac:dyDescent="0.3">
      <c r="F18537"/>
      <c r="G18537"/>
      <c r="H18537"/>
      <c r="I18537"/>
    </row>
    <row r="18538" spans="6:9" x14ac:dyDescent="0.3">
      <c r="F18538"/>
      <c r="G18538"/>
      <c r="H18538"/>
      <c r="I18538"/>
    </row>
    <row r="18539" spans="6:9" x14ac:dyDescent="0.3">
      <c r="F18539"/>
      <c r="G18539"/>
      <c r="H18539"/>
      <c r="I18539"/>
    </row>
    <row r="18540" spans="6:9" x14ac:dyDescent="0.3">
      <c r="F18540"/>
      <c r="G18540"/>
      <c r="H18540"/>
      <c r="I18540"/>
    </row>
    <row r="18541" spans="6:9" x14ac:dyDescent="0.3">
      <c r="F18541"/>
      <c r="G18541"/>
      <c r="H18541"/>
      <c r="I18541"/>
    </row>
    <row r="18542" spans="6:9" x14ac:dyDescent="0.3">
      <c r="F18542"/>
      <c r="G18542"/>
      <c r="H18542"/>
      <c r="I18542"/>
    </row>
    <row r="18543" spans="6:9" x14ac:dyDescent="0.3">
      <c r="F18543"/>
      <c r="G18543"/>
      <c r="H18543"/>
      <c r="I18543"/>
    </row>
    <row r="18544" spans="6:9" x14ac:dyDescent="0.3">
      <c r="F18544"/>
      <c r="G18544"/>
      <c r="H18544"/>
      <c r="I18544"/>
    </row>
    <row r="18545" spans="6:9" x14ac:dyDescent="0.3">
      <c r="F18545"/>
      <c r="G18545"/>
      <c r="H18545"/>
      <c r="I18545"/>
    </row>
    <row r="18546" spans="6:9" x14ac:dyDescent="0.3">
      <c r="F18546"/>
      <c r="G18546"/>
      <c r="H18546"/>
      <c r="I18546"/>
    </row>
    <row r="18547" spans="6:9" x14ac:dyDescent="0.3">
      <c r="F18547"/>
      <c r="G18547"/>
      <c r="H18547"/>
      <c r="I18547"/>
    </row>
    <row r="18548" spans="6:9" x14ac:dyDescent="0.3">
      <c r="F18548"/>
      <c r="G18548"/>
      <c r="H18548"/>
      <c r="I18548"/>
    </row>
    <row r="18549" spans="6:9" x14ac:dyDescent="0.3">
      <c r="F18549"/>
      <c r="G18549"/>
      <c r="H18549"/>
      <c r="I18549"/>
    </row>
    <row r="18550" spans="6:9" x14ac:dyDescent="0.3">
      <c r="F18550"/>
      <c r="G18550"/>
      <c r="H18550"/>
      <c r="I18550"/>
    </row>
    <row r="18551" spans="6:9" x14ac:dyDescent="0.3">
      <c r="F18551"/>
      <c r="G18551"/>
      <c r="H18551"/>
      <c r="I18551"/>
    </row>
    <row r="18552" spans="6:9" x14ac:dyDescent="0.3">
      <c r="F18552"/>
      <c r="G18552"/>
      <c r="H18552"/>
      <c r="I18552"/>
    </row>
    <row r="18553" spans="6:9" x14ac:dyDescent="0.3">
      <c r="F18553"/>
      <c r="G18553"/>
      <c r="H18553"/>
      <c r="I18553"/>
    </row>
    <row r="18554" spans="6:9" x14ac:dyDescent="0.3">
      <c r="F18554"/>
      <c r="G18554"/>
      <c r="H18554"/>
      <c r="I18554"/>
    </row>
    <row r="18555" spans="6:9" x14ac:dyDescent="0.3">
      <c r="F18555"/>
      <c r="G18555"/>
      <c r="H18555"/>
      <c r="I18555"/>
    </row>
    <row r="18556" spans="6:9" x14ac:dyDescent="0.3">
      <c r="F18556"/>
      <c r="G18556"/>
      <c r="H18556"/>
      <c r="I18556"/>
    </row>
    <row r="18557" spans="6:9" x14ac:dyDescent="0.3">
      <c r="F18557"/>
      <c r="G18557"/>
      <c r="H18557"/>
      <c r="I18557"/>
    </row>
    <row r="18558" spans="6:9" x14ac:dyDescent="0.3">
      <c r="F18558"/>
      <c r="G18558"/>
      <c r="H18558"/>
      <c r="I18558"/>
    </row>
    <row r="18559" spans="6:9" x14ac:dyDescent="0.3">
      <c r="F18559"/>
      <c r="G18559"/>
      <c r="H18559"/>
      <c r="I18559"/>
    </row>
    <row r="18560" spans="6:9" x14ac:dyDescent="0.3">
      <c r="F18560"/>
      <c r="G18560"/>
      <c r="H18560"/>
      <c r="I18560"/>
    </row>
    <row r="18561" spans="6:9" x14ac:dyDescent="0.3">
      <c r="F18561"/>
      <c r="G18561"/>
      <c r="H18561"/>
      <c r="I18561"/>
    </row>
    <row r="18562" spans="6:9" x14ac:dyDescent="0.3">
      <c r="F18562"/>
      <c r="G18562"/>
      <c r="H18562"/>
      <c r="I18562"/>
    </row>
    <row r="18563" spans="6:9" x14ac:dyDescent="0.3">
      <c r="F18563"/>
      <c r="G18563"/>
      <c r="H18563"/>
      <c r="I18563"/>
    </row>
    <row r="18564" spans="6:9" x14ac:dyDescent="0.3">
      <c r="F18564"/>
      <c r="G18564"/>
      <c r="H18564"/>
      <c r="I18564"/>
    </row>
    <row r="18565" spans="6:9" x14ac:dyDescent="0.3">
      <c r="F18565"/>
      <c r="G18565"/>
      <c r="H18565"/>
      <c r="I18565"/>
    </row>
    <row r="18566" spans="6:9" x14ac:dyDescent="0.3">
      <c r="F18566"/>
      <c r="G18566"/>
      <c r="H18566"/>
      <c r="I18566"/>
    </row>
    <row r="18567" spans="6:9" x14ac:dyDescent="0.3">
      <c r="F18567"/>
      <c r="G18567"/>
      <c r="H18567"/>
      <c r="I18567"/>
    </row>
    <row r="18568" spans="6:9" x14ac:dyDescent="0.3">
      <c r="F18568"/>
      <c r="G18568"/>
      <c r="H18568"/>
      <c r="I18568"/>
    </row>
    <row r="18569" spans="6:9" x14ac:dyDescent="0.3">
      <c r="F18569"/>
      <c r="G18569"/>
      <c r="H18569"/>
      <c r="I18569"/>
    </row>
    <row r="18570" spans="6:9" x14ac:dyDescent="0.3">
      <c r="F18570"/>
      <c r="G18570"/>
      <c r="H18570"/>
      <c r="I18570"/>
    </row>
    <row r="18571" spans="6:9" x14ac:dyDescent="0.3">
      <c r="F18571"/>
      <c r="G18571"/>
      <c r="H18571"/>
      <c r="I18571"/>
    </row>
    <row r="18572" spans="6:9" x14ac:dyDescent="0.3">
      <c r="F18572"/>
      <c r="G18572"/>
      <c r="H18572"/>
      <c r="I18572"/>
    </row>
    <row r="18573" spans="6:9" x14ac:dyDescent="0.3">
      <c r="F18573"/>
      <c r="G18573"/>
      <c r="H18573"/>
      <c r="I18573"/>
    </row>
    <row r="18574" spans="6:9" x14ac:dyDescent="0.3">
      <c r="F18574"/>
      <c r="G18574"/>
      <c r="H18574"/>
      <c r="I18574"/>
    </row>
    <row r="18575" spans="6:9" x14ac:dyDescent="0.3">
      <c r="F18575"/>
      <c r="G18575"/>
      <c r="H18575"/>
      <c r="I18575"/>
    </row>
    <row r="18576" spans="6:9" x14ac:dyDescent="0.3">
      <c r="F18576"/>
      <c r="G18576"/>
      <c r="H18576"/>
      <c r="I18576"/>
    </row>
    <row r="18577" spans="6:9" x14ac:dyDescent="0.3">
      <c r="F18577"/>
      <c r="G18577"/>
      <c r="H18577"/>
      <c r="I18577"/>
    </row>
    <row r="18578" spans="6:9" x14ac:dyDescent="0.3">
      <c r="F18578"/>
      <c r="G18578"/>
      <c r="H18578"/>
      <c r="I18578"/>
    </row>
    <row r="18579" spans="6:9" x14ac:dyDescent="0.3">
      <c r="F18579"/>
      <c r="G18579"/>
      <c r="H18579"/>
      <c r="I18579"/>
    </row>
    <row r="18580" spans="6:9" x14ac:dyDescent="0.3">
      <c r="F18580"/>
      <c r="G18580"/>
      <c r="H18580"/>
      <c r="I18580"/>
    </row>
    <row r="18581" spans="6:9" x14ac:dyDescent="0.3">
      <c r="F18581"/>
      <c r="G18581"/>
      <c r="H18581"/>
      <c r="I18581"/>
    </row>
    <row r="18582" spans="6:9" x14ac:dyDescent="0.3">
      <c r="F18582"/>
      <c r="G18582"/>
      <c r="H18582"/>
      <c r="I18582"/>
    </row>
    <row r="18583" spans="6:9" x14ac:dyDescent="0.3">
      <c r="F18583"/>
      <c r="G18583"/>
      <c r="H18583"/>
      <c r="I18583"/>
    </row>
    <row r="18584" spans="6:9" x14ac:dyDescent="0.3">
      <c r="F18584"/>
      <c r="G18584"/>
      <c r="H18584"/>
      <c r="I18584"/>
    </row>
    <row r="18585" spans="6:9" x14ac:dyDescent="0.3">
      <c r="F18585"/>
      <c r="G18585"/>
      <c r="H18585"/>
      <c r="I18585"/>
    </row>
    <row r="18586" spans="6:9" x14ac:dyDescent="0.3">
      <c r="F18586"/>
      <c r="G18586"/>
      <c r="H18586"/>
      <c r="I18586"/>
    </row>
    <row r="18587" spans="6:9" x14ac:dyDescent="0.3">
      <c r="F18587"/>
      <c r="G18587"/>
      <c r="H18587"/>
      <c r="I18587"/>
    </row>
    <row r="18588" spans="6:9" x14ac:dyDescent="0.3">
      <c r="F18588"/>
      <c r="G18588"/>
      <c r="H18588"/>
      <c r="I18588"/>
    </row>
    <row r="18589" spans="6:9" x14ac:dyDescent="0.3">
      <c r="F18589"/>
      <c r="G18589"/>
      <c r="H18589"/>
      <c r="I18589"/>
    </row>
    <row r="18590" spans="6:9" x14ac:dyDescent="0.3">
      <c r="F18590"/>
      <c r="G18590"/>
      <c r="H18590"/>
      <c r="I18590"/>
    </row>
    <row r="18591" spans="6:9" x14ac:dyDescent="0.3">
      <c r="F18591"/>
      <c r="G18591"/>
      <c r="H18591"/>
      <c r="I18591"/>
    </row>
    <row r="18592" spans="6:9" x14ac:dyDescent="0.3">
      <c r="F18592"/>
      <c r="G18592"/>
      <c r="H18592"/>
      <c r="I18592"/>
    </row>
    <row r="18593" spans="6:9" x14ac:dyDescent="0.3">
      <c r="F18593"/>
      <c r="G18593"/>
      <c r="H18593"/>
      <c r="I18593"/>
    </row>
    <row r="18594" spans="6:9" x14ac:dyDescent="0.3">
      <c r="F18594"/>
      <c r="G18594"/>
      <c r="H18594"/>
      <c r="I18594"/>
    </row>
    <row r="18595" spans="6:9" x14ac:dyDescent="0.3">
      <c r="F18595"/>
      <c r="G18595"/>
      <c r="H18595"/>
      <c r="I18595"/>
    </row>
    <row r="18596" spans="6:9" x14ac:dyDescent="0.3">
      <c r="F18596"/>
      <c r="G18596"/>
      <c r="H18596"/>
      <c r="I18596"/>
    </row>
    <row r="18597" spans="6:9" x14ac:dyDescent="0.3">
      <c r="F18597"/>
      <c r="G18597"/>
      <c r="H18597"/>
      <c r="I18597"/>
    </row>
    <row r="18598" spans="6:9" x14ac:dyDescent="0.3">
      <c r="F18598"/>
      <c r="G18598"/>
      <c r="H18598"/>
      <c r="I18598"/>
    </row>
    <row r="18599" spans="6:9" x14ac:dyDescent="0.3">
      <c r="F18599"/>
      <c r="G18599"/>
      <c r="H18599"/>
      <c r="I18599"/>
    </row>
    <row r="18600" spans="6:9" x14ac:dyDescent="0.3">
      <c r="F18600"/>
      <c r="G18600"/>
      <c r="H18600"/>
      <c r="I18600"/>
    </row>
    <row r="18601" spans="6:9" x14ac:dyDescent="0.3">
      <c r="F18601"/>
      <c r="G18601"/>
      <c r="H18601"/>
      <c r="I18601"/>
    </row>
    <row r="18602" spans="6:9" x14ac:dyDescent="0.3">
      <c r="F18602"/>
      <c r="G18602"/>
      <c r="H18602"/>
      <c r="I18602"/>
    </row>
    <row r="18603" spans="6:9" x14ac:dyDescent="0.3">
      <c r="F18603"/>
      <c r="G18603"/>
      <c r="H18603"/>
      <c r="I18603"/>
    </row>
    <row r="18604" spans="6:9" x14ac:dyDescent="0.3">
      <c r="F18604"/>
      <c r="G18604"/>
      <c r="H18604"/>
      <c r="I18604"/>
    </row>
    <row r="18605" spans="6:9" x14ac:dyDescent="0.3">
      <c r="F18605"/>
      <c r="G18605"/>
      <c r="H18605"/>
      <c r="I18605"/>
    </row>
    <row r="18606" spans="6:9" x14ac:dyDescent="0.3">
      <c r="F18606"/>
      <c r="G18606"/>
      <c r="H18606"/>
      <c r="I18606"/>
    </row>
    <row r="18607" spans="6:9" x14ac:dyDescent="0.3">
      <c r="F18607"/>
      <c r="G18607"/>
      <c r="H18607"/>
      <c r="I18607"/>
    </row>
    <row r="18608" spans="6:9" x14ac:dyDescent="0.3">
      <c r="F18608"/>
      <c r="G18608"/>
      <c r="H18608"/>
      <c r="I18608"/>
    </row>
    <row r="18609" spans="6:9" x14ac:dyDescent="0.3">
      <c r="F18609"/>
      <c r="G18609"/>
      <c r="H18609"/>
      <c r="I18609"/>
    </row>
    <row r="18610" spans="6:9" x14ac:dyDescent="0.3">
      <c r="F18610"/>
      <c r="G18610"/>
      <c r="H18610"/>
      <c r="I18610"/>
    </row>
    <row r="18611" spans="6:9" x14ac:dyDescent="0.3">
      <c r="F18611"/>
      <c r="G18611"/>
      <c r="H18611"/>
      <c r="I18611"/>
    </row>
    <row r="18612" spans="6:9" x14ac:dyDescent="0.3">
      <c r="F18612"/>
      <c r="G18612"/>
      <c r="H18612"/>
      <c r="I18612"/>
    </row>
    <row r="18613" spans="6:9" x14ac:dyDescent="0.3">
      <c r="F18613"/>
      <c r="G18613"/>
      <c r="H18613"/>
      <c r="I18613"/>
    </row>
    <row r="18614" spans="6:9" x14ac:dyDescent="0.3">
      <c r="F18614"/>
      <c r="G18614"/>
      <c r="H18614"/>
      <c r="I18614"/>
    </row>
    <row r="18615" spans="6:9" x14ac:dyDescent="0.3">
      <c r="F18615"/>
      <c r="G18615"/>
      <c r="H18615"/>
      <c r="I18615"/>
    </row>
    <row r="18616" spans="6:9" x14ac:dyDescent="0.3">
      <c r="F18616"/>
      <c r="G18616"/>
      <c r="H18616"/>
      <c r="I18616"/>
    </row>
    <row r="18617" spans="6:9" x14ac:dyDescent="0.3">
      <c r="F18617"/>
      <c r="G18617"/>
      <c r="H18617"/>
      <c r="I18617"/>
    </row>
    <row r="18618" spans="6:9" x14ac:dyDescent="0.3">
      <c r="F18618"/>
      <c r="G18618"/>
      <c r="H18618"/>
      <c r="I18618"/>
    </row>
    <row r="18619" spans="6:9" x14ac:dyDescent="0.3">
      <c r="F18619"/>
      <c r="G18619"/>
      <c r="H18619"/>
      <c r="I18619"/>
    </row>
    <row r="18620" spans="6:9" x14ac:dyDescent="0.3">
      <c r="F18620"/>
      <c r="G18620"/>
      <c r="H18620"/>
      <c r="I18620"/>
    </row>
    <row r="18621" spans="6:9" x14ac:dyDescent="0.3">
      <c r="F18621"/>
      <c r="G18621"/>
      <c r="H18621"/>
      <c r="I18621"/>
    </row>
    <row r="18622" spans="6:9" x14ac:dyDescent="0.3">
      <c r="F18622"/>
      <c r="G18622"/>
      <c r="H18622"/>
      <c r="I18622"/>
    </row>
    <row r="18623" spans="6:9" x14ac:dyDescent="0.3">
      <c r="F18623"/>
      <c r="G18623"/>
      <c r="H18623"/>
      <c r="I18623"/>
    </row>
    <row r="18624" spans="6:9" x14ac:dyDescent="0.3">
      <c r="F18624"/>
      <c r="G18624"/>
      <c r="H18624"/>
      <c r="I18624"/>
    </row>
    <row r="18625" spans="6:9" x14ac:dyDescent="0.3">
      <c r="F18625"/>
      <c r="G18625"/>
      <c r="H18625"/>
      <c r="I18625"/>
    </row>
    <row r="18626" spans="6:9" x14ac:dyDescent="0.3">
      <c r="F18626"/>
      <c r="G18626"/>
      <c r="H18626"/>
      <c r="I18626"/>
    </row>
    <row r="18627" spans="6:9" x14ac:dyDescent="0.3">
      <c r="F18627"/>
      <c r="G18627"/>
      <c r="H18627"/>
      <c r="I18627"/>
    </row>
    <row r="18628" spans="6:9" x14ac:dyDescent="0.3">
      <c r="F18628"/>
      <c r="G18628"/>
      <c r="H18628"/>
      <c r="I18628"/>
    </row>
    <row r="18629" spans="6:9" x14ac:dyDescent="0.3">
      <c r="F18629"/>
      <c r="G18629"/>
      <c r="H18629"/>
      <c r="I18629"/>
    </row>
    <row r="18630" spans="6:9" x14ac:dyDescent="0.3">
      <c r="F18630"/>
      <c r="G18630"/>
      <c r="H18630"/>
      <c r="I18630"/>
    </row>
    <row r="18631" spans="6:9" x14ac:dyDescent="0.3">
      <c r="F18631"/>
      <c r="G18631"/>
      <c r="H18631"/>
      <c r="I18631"/>
    </row>
    <row r="18632" spans="6:9" x14ac:dyDescent="0.3">
      <c r="F18632"/>
      <c r="G18632"/>
      <c r="H18632"/>
      <c r="I18632"/>
    </row>
    <row r="18633" spans="6:9" x14ac:dyDescent="0.3">
      <c r="F18633"/>
      <c r="G18633"/>
      <c r="H18633"/>
      <c r="I18633"/>
    </row>
    <row r="18634" spans="6:9" x14ac:dyDescent="0.3">
      <c r="F18634"/>
      <c r="G18634"/>
      <c r="H18634"/>
      <c r="I18634"/>
    </row>
    <row r="18635" spans="6:9" x14ac:dyDescent="0.3">
      <c r="F18635"/>
      <c r="G18635"/>
      <c r="H18635"/>
      <c r="I18635"/>
    </row>
    <row r="18636" spans="6:9" x14ac:dyDescent="0.3">
      <c r="F18636"/>
      <c r="G18636"/>
      <c r="H18636"/>
      <c r="I18636"/>
    </row>
    <row r="18637" spans="6:9" x14ac:dyDescent="0.3">
      <c r="F18637"/>
      <c r="G18637"/>
      <c r="H18637"/>
      <c r="I18637"/>
    </row>
    <row r="18638" spans="6:9" x14ac:dyDescent="0.3">
      <c r="F18638"/>
      <c r="G18638"/>
      <c r="H18638"/>
      <c r="I18638"/>
    </row>
    <row r="18639" spans="6:9" x14ac:dyDescent="0.3">
      <c r="F18639"/>
      <c r="G18639"/>
      <c r="H18639"/>
      <c r="I18639"/>
    </row>
    <row r="18640" spans="6:9" x14ac:dyDescent="0.3">
      <c r="F18640"/>
      <c r="G18640"/>
      <c r="H18640"/>
      <c r="I18640"/>
    </row>
    <row r="18641" spans="6:9" x14ac:dyDescent="0.3">
      <c r="F18641"/>
      <c r="G18641"/>
      <c r="H18641"/>
      <c r="I18641"/>
    </row>
    <row r="18642" spans="6:9" x14ac:dyDescent="0.3">
      <c r="F18642"/>
      <c r="G18642"/>
      <c r="H18642"/>
      <c r="I18642"/>
    </row>
    <row r="18643" spans="6:9" x14ac:dyDescent="0.3">
      <c r="F18643"/>
      <c r="G18643"/>
      <c r="H18643"/>
      <c r="I18643"/>
    </row>
    <row r="18644" spans="6:9" x14ac:dyDescent="0.3">
      <c r="F18644"/>
      <c r="G18644"/>
      <c r="H18644"/>
      <c r="I18644"/>
    </row>
    <row r="18645" spans="6:9" x14ac:dyDescent="0.3">
      <c r="F18645"/>
      <c r="G18645"/>
      <c r="H18645"/>
      <c r="I18645"/>
    </row>
    <row r="18646" spans="6:9" x14ac:dyDescent="0.3">
      <c r="F18646"/>
      <c r="G18646"/>
      <c r="H18646"/>
      <c r="I18646"/>
    </row>
    <row r="18647" spans="6:9" x14ac:dyDescent="0.3">
      <c r="F18647"/>
      <c r="G18647"/>
      <c r="H18647"/>
      <c r="I18647"/>
    </row>
    <row r="18648" spans="6:9" x14ac:dyDescent="0.3">
      <c r="F18648"/>
      <c r="G18648"/>
      <c r="H18648"/>
      <c r="I18648"/>
    </row>
    <row r="18649" spans="6:9" x14ac:dyDescent="0.3">
      <c r="F18649"/>
      <c r="G18649"/>
      <c r="H18649"/>
      <c r="I18649"/>
    </row>
    <row r="18650" spans="6:9" x14ac:dyDescent="0.3">
      <c r="F18650"/>
      <c r="G18650"/>
      <c r="H18650"/>
      <c r="I18650"/>
    </row>
    <row r="18651" spans="6:9" x14ac:dyDescent="0.3">
      <c r="F18651"/>
      <c r="G18651"/>
      <c r="H18651"/>
      <c r="I18651"/>
    </row>
    <row r="18652" spans="6:9" x14ac:dyDescent="0.3">
      <c r="F18652"/>
      <c r="G18652"/>
      <c r="H18652"/>
      <c r="I18652"/>
    </row>
    <row r="18653" spans="6:9" x14ac:dyDescent="0.3">
      <c r="F18653"/>
      <c r="G18653"/>
      <c r="H18653"/>
      <c r="I18653"/>
    </row>
    <row r="18654" spans="6:9" x14ac:dyDescent="0.3">
      <c r="F18654"/>
      <c r="G18654"/>
      <c r="H18654"/>
      <c r="I18654"/>
    </row>
    <row r="18655" spans="6:9" x14ac:dyDescent="0.3">
      <c r="F18655"/>
      <c r="G18655"/>
      <c r="H18655"/>
      <c r="I18655"/>
    </row>
    <row r="18656" spans="6:9" x14ac:dyDescent="0.3">
      <c r="F18656"/>
      <c r="G18656"/>
      <c r="H18656"/>
      <c r="I18656"/>
    </row>
    <row r="18657" spans="6:9" x14ac:dyDescent="0.3">
      <c r="F18657"/>
      <c r="G18657"/>
      <c r="H18657"/>
      <c r="I18657"/>
    </row>
    <row r="18658" spans="6:9" x14ac:dyDescent="0.3">
      <c r="F18658"/>
      <c r="G18658"/>
      <c r="H18658"/>
      <c r="I18658"/>
    </row>
    <row r="18659" spans="6:9" x14ac:dyDescent="0.3">
      <c r="F18659"/>
      <c r="G18659"/>
      <c r="H18659"/>
      <c r="I18659"/>
    </row>
    <row r="18660" spans="6:9" x14ac:dyDescent="0.3">
      <c r="F18660"/>
      <c r="G18660"/>
      <c r="H18660"/>
      <c r="I18660"/>
    </row>
    <row r="18661" spans="6:9" x14ac:dyDescent="0.3">
      <c r="F18661"/>
      <c r="G18661"/>
      <c r="H18661"/>
      <c r="I18661"/>
    </row>
    <row r="18662" spans="6:9" x14ac:dyDescent="0.3">
      <c r="F18662"/>
      <c r="G18662"/>
      <c r="H18662"/>
      <c r="I18662"/>
    </row>
    <row r="18663" spans="6:9" x14ac:dyDescent="0.3">
      <c r="F18663"/>
      <c r="G18663"/>
      <c r="H18663"/>
      <c r="I18663"/>
    </row>
    <row r="18664" spans="6:9" x14ac:dyDescent="0.3">
      <c r="F18664"/>
      <c r="G18664"/>
      <c r="H18664"/>
      <c r="I18664"/>
    </row>
    <row r="18665" spans="6:9" x14ac:dyDescent="0.3">
      <c r="F18665"/>
      <c r="G18665"/>
      <c r="H18665"/>
      <c r="I18665"/>
    </row>
    <row r="18666" spans="6:9" x14ac:dyDescent="0.3">
      <c r="F18666"/>
      <c r="G18666"/>
      <c r="H18666"/>
      <c r="I18666"/>
    </row>
    <row r="18667" spans="6:9" x14ac:dyDescent="0.3">
      <c r="F18667"/>
      <c r="G18667"/>
      <c r="H18667"/>
      <c r="I18667"/>
    </row>
    <row r="18668" spans="6:9" x14ac:dyDescent="0.3">
      <c r="F18668"/>
      <c r="G18668"/>
      <c r="H18668"/>
      <c r="I18668"/>
    </row>
    <row r="18669" spans="6:9" x14ac:dyDescent="0.3">
      <c r="F18669"/>
      <c r="G18669"/>
      <c r="H18669"/>
      <c r="I18669"/>
    </row>
    <row r="18670" spans="6:9" x14ac:dyDescent="0.3">
      <c r="F18670"/>
      <c r="G18670"/>
      <c r="H18670"/>
      <c r="I18670"/>
    </row>
    <row r="18671" spans="6:9" x14ac:dyDescent="0.3">
      <c r="F18671"/>
      <c r="G18671"/>
      <c r="H18671"/>
      <c r="I18671"/>
    </row>
    <row r="18672" spans="6:9" x14ac:dyDescent="0.3">
      <c r="F18672"/>
      <c r="G18672"/>
      <c r="H18672"/>
      <c r="I18672"/>
    </row>
    <row r="18673" spans="6:9" x14ac:dyDescent="0.3">
      <c r="F18673"/>
      <c r="G18673"/>
      <c r="H18673"/>
      <c r="I18673"/>
    </row>
    <row r="18674" spans="6:9" x14ac:dyDescent="0.3">
      <c r="F18674"/>
      <c r="G18674"/>
      <c r="H18674"/>
      <c r="I18674"/>
    </row>
    <row r="18675" spans="6:9" x14ac:dyDescent="0.3">
      <c r="F18675"/>
      <c r="G18675"/>
      <c r="H18675"/>
      <c r="I18675"/>
    </row>
    <row r="18676" spans="6:9" x14ac:dyDescent="0.3">
      <c r="F18676"/>
      <c r="G18676"/>
      <c r="H18676"/>
      <c r="I18676"/>
    </row>
    <row r="18677" spans="6:9" x14ac:dyDescent="0.3">
      <c r="F18677"/>
      <c r="G18677"/>
      <c r="H18677"/>
      <c r="I18677"/>
    </row>
    <row r="18678" spans="6:9" x14ac:dyDescent="0.3">
      <c r="F18678"/>
      <c r="G18678"/>
      <c r="H18678"/>
      <c r="I18678"/>
    </row>
    <row r="18679" spans="6:9" x14ac:dyDescent="0.3">
      <c r="F18679"/>
      <c r="G18679"/>
      <c r="H18679"/>
      <c r="I18679"/>
    </row>
    <row r="18680" spans="6:9" x14ac:dyDescent="0.3">
      <c r="F18680"/>
      <c r="G18680"/>
      <c r="H18680"/>
      <c r="I18680"/>
    </row>
    <row r="18681" spans="6:9" x14ac:dyDescent="0.3">
      <c r="F18681"/>
      <c r="G18681"/>
      <c r="H18681"/>
      <c r="I18681"/>
    </row>
    <row r="18682" spans="6:9" x14ac:dyDescent="0.3">
      <c r="F18682"/>
      <c r="G18682"/>
      <c r="H18682"/>
      <c r="I18682"/>
    </row>
    <row r="18683" spans="6:9" x14ac:dyDescent="0.3">
      <c r="F18683"/>
      <c r="G18683"/>
      <c r="H18683"/>
      <c r="I18683"/>
    </row>
    <row r="18684" spans="6:9" x14ac:dyDescent="0.3">
      <c r="F18684"/>
      <c r="G18684"/>
      <c r="H18684"/>
      <c r="I18684"/>
    </row>
    <row r="18685" spans="6:9" x14ac:dyDescent="0.3">
      <c r="F18685"/>
      <c r="G18685"/>
      <c r="H18685"/>
      <c r="I18685"/>
    </row>
    <row r="18686" spans="6:9" x14ac:dyDescent="0.3">
      <c r="F18686"/>
      <c r="G18686"/>
      <c r="H18686"/>
      <c r="I18686"/>
    </row>
    <row r="18687" spans="6:9" x14ac:dyDescent="0.3">
      <c r="F18687"/>
      <c r="G18687"/>
      <c r="H18687"/>
      <c r="I18687"/>
    </row>
    <row r="18688" spans="6:9" x14ac:dyDescent="0.3">
      <c r="F18688"/>
      <c r="G18688"/>
      <c r="H18688"/>
      <c r="I18688"/>
    </row>
    <row r="18689" spans="6:9" x14ac:dyDescent="0.3">
      <c r="F18689"/>
      <c r="G18689"/>
      <c r="H18689"/>
      <c r="I18689"/>
    </row>
    <row r="18690" spans="6:9" x14ac:dyDescent="0.3">
      <c r="F18690"/>
      <c r="G18690"/>
      <c r="H18690"/>
      <c r="I18690"/>
    </row>
    <row r="18691" spans="6:9" x14ac:dyDescent="0.3">
      <c r="F18691"/>
      <c r="G18691"/>
      <c r="H18691"/>
      <c r="I18691"/>
    </row>
    <row r="18692" spans="6:9" x14ac:dyDescent="0.3">
      <c r="F18692"/>
      <c r="G18692"/>
      <c r="H18692"/>
      <c r="I18692"/>
    </row>
    <row r="18693" spans="6:9" x14ac:dyDescent="0.3">
      <c r="F18693"/>
      <c r="G18693"/>
      <c r="H18693"/>
      <c r="I18693"/>
    </row>
    <row r="18694" spans="6:9" x14ac:dyDescent="0.3">
      <c r="F18694"/>
      <c r="G18694"/>
      <c r="H18694"/>
      <c r="I18694"/>
    </row>
    <row r="18695" spans="6:9" x14ac:dyDescent="0.3">
      <c r="F18695"/>
      <c r="G18695"/>
      <c r="H18695"/>
      <c r="I18695"/>
    </row>
    <row r="18696" spans="6:9" x14ac:dyDescent="0.3">
      <c r="F18696"/>
      <c r="G18696"/>
      <c r="H18696"/>
      <c r="I18696"/>
    </row>
    <row r="18697" spans="6:9" x14ac:dyDescent="0.3">
      <c r="F18697"/>
      <c r="G18697"/>
      <c r="H18697"/>
      <c r="I18697"/>
    </row>
    <row r="18698" spans="6:9" x14ac:dyDescent="0.3">
      <c r="F18698"/>
      <c r="G18698"/>
      <c r="H18698"/>
      <c r="I18698"/>
    </row>
    <row r="18699" spans="6:9" x14ac:dyDescent="0.3">
      <c r="F18699"/>
      <c r="G18699"/>
      <c r="H18699"/>
      <c r="I18699"/>
    </row>
    <row r="18700" spans="6:9" x14ac:dyDescent="0.3">
      <c r="F18700"/>
      <c r="G18700"/>
      <c r="H18700"/>
      <c r="I18700"/>
    </row>
    <row r="18701" spans="6:9" x14ac:dyDescent="0.3">
      <c r="F18701"/>
      <c r="G18701"/>
      <c r="H18701"/>
      <c r="I18701"/>
    </row>
    <row r="18702" spans="6:9" x14ac:dyDescent="0.3">
      <c r="F18702"/>
      <c r="G18702"/>
      <c r="H18702"/>
      <c r="I18702"/>
    </row>
    <row r="18703" spans="6:9" x14ac:dyDescent="0.3">
      <c r="F18703"/>
      <c r="G18703"/>
      <c r="H18703"/>
      <c r="I18703"/>
    </row>
    <row r="18704" spans="6:9" x14ac:dyDescent="0.3">
      <c r="F18704"/>
      <c r="G18704"/>
      <c r="H18704"/>
      <c r="I18704"/>
    </row>
    <row r="18705" spans="6:9" x14ac:dyDescent="0.3">
      <c r="F18705"/>
      <c r="G18705"/>
      <c r="H18705"/>
      <c r="I18705"/>
    </row>
    <row r="18706" spans="6:9" x14ac:dyDescent="0.3">
      <c r="F18706"/>
      <c r="G18706"/>
      <c r="H18706"/>
      <c r="I18706"/>
    </row>
    <row r="18707" spans="6:9" x14ac:dyDescent="0.3">
      <c r="F18707"/>
      <c r="G18707"/>
      <c r="H18707"/>
      <c r="I18707"/>
    </row>
    <row r="18708" spans="6:9" x14ac:dyDescent="0.3">
      <c r="F18708"/>
      <c r="G18708"/>
      <c r="H18708"/>
      <c r="I18708"/>
    </row>
    <row r="18709" spans="6:9" x14ac:dyDescent="0.3">
      <c r="F18709"/>
      <c r="G18709"/>
      <c r="H18709"/>
      <c r="I18709"/>
    </row>
    <row r="18710" spans="6:9" x14ac:dyDescent="0.3">
      <c r="F18710"/>
      <c r="G18710"/>
      <c r="H18710"/>
      <c r="I18710"/>
    </row>
    <row r="18711" spans="6:9" x14ac:dyDescent="0.3">
      <c r="F18711"/>
      <c r="G18711"/>
      <c r="H18711"/>
      <c r="I18711"/>
    </row>
    <row r="18712" spans="6:9" x14ac:dyDescent="0.3">
      <c r="F18712"/>
      <c r="G18712"/>
      <c r="H18712"/>
      <c r="I18712"/>
    </row>
    <row r="18713" spans="6:9" x14ac:dyDescent="0.3">
      <c r="F18713"/>
      <c r="G18713"/>
      <c r="H18713"/>
      <c r="I18713"/>
    </row>
    <row r="18714" spans="6:9" x14ac:dyDescent="0.3">
      <c r="F18714"/>
      <c r="G18714"/>
      <c r="H18714"/>
      <c r="I18714"/>
    </row>
    <row r="18715" spans="6:9" x14ac:dyDescent="0.3">
      <c r="F18715"/>
      <c r="G18715"/>
      <c r="H18715"/>
      <c r="I18715"/>
    </row>
    <row r="18716" spans="6:9" x14ac:dyDescent="0.3">
      <c r="F18716"/>
      <c r="G18716"/>
      <c r="H18716"/>
      <c r="I18716"/>
    </row>
    <row r="18717" spans="6:9" x14ac:dyDescent="0.3">
      <c r="F18717"/>
      <c r="G18717"/>
      <c r="H18717"/>
      <c r="I18717"/>
    </row>
    <row r="18718" spans="6:9" x14ac:dyDescent="0.3">
      <c r="F18718"/>
      <c r="G18718"/>
      <c r="H18718"/>
      <c r="I18718"/>
    </row>
    <row r="18719" spans="6:9" x14ac:dyDescent="0.3">
      <c r="F18719"/>
      <c r="G18719"/>
      <c r="H18719"/>
      <c r="I18719"/>
    </row>
    <row r="18720" spans="6:9" x14ac:dyDescent="0.3">
      <c r="F18720"/>
      <c r="G18720"/>
      <c r="H18720"/>
      <c r="I18720"/>
    </row>
    <row r="18721" spans="6:9" x14ac:dyDescent="0.3">
      <c r="F18721"/>
      <c r="G18721"/>
      <c r="H18721"/>
      <c r="I18721"/>
    </row>
    <row r="18722" spans="6:9" x14ac:dyDescent="0.3">
      <c r="F18722"/>
      <c r="G18722"/>
      <c r="H18722"/>
      <c r="I18722"/>
    </row>
    <row r="18723" spans="6:9" x14ac:dyDescent="0.3">
      <c r="F18723"/>
      <c r="G18723"/>
      <c r="H18723"/>
      <c r="I18723"/>
    </row>
    <row r="18724" spans="6:9" x14ac:dyDescent="0.3">
      <c r="F18724"/>
      <c r="G18724"/>
      <c r="H18724"/>
      <c r="I18724"/>
    </row>
    <row r="18725" spans="6:9" x14ac:dyDescent="0.3">
      <c r="F18725"/>
      <c r="G18725"/>
      <c r="H18725"/>
      <c r="I18725"/>
    </row>
    <row r="18726" spans="6:9" x14ac:dyDescent="0.3">
      <c r="F18726"/>
      <c r="G18726"/>
      <c r="H18726"/>
      <c r="I18726"/>
    </row>
    <row r="18727" spans="6:9" x14ac:dyDescent="0.3">
      <c r="F18727"/>
      <c r="G18727"/>
      <c r="H18727"/>
      <c r="I18727"/>
    </row>
    <row r="18728" spans="6:9" x14ac:dyDescent="0.3">
      <c r="F18728"/>
      <c r="G18728"/>
      <c r="H18728"/>
      <c r="I18728"/>
    </row>
    <row r="18729" spans="6:9" x14ac:dyDescent="0.3">
      <c r="F18729"/>
      <c r="G18729"/>
      <c r="H18729"/>
      <c r="I18729"/>
    </row>
    <row r="18730" spans="6:9" x14ac:dyDescent="0.3">
      <c r="F18730"/>
      <c r="G18730"/>
      <c r="H18730"/>
      <c r="I18730"/>
    </row>
    <row r="18731" spans="6:9" x14ac:dyDescent="0.3">
      <c r="F18731"/>
      <c r="G18731"/>
      <c r="H18731"/>
      <c r="I18731"/>
    </row>
    <row r="18732" spans="6:9" x14ac:dyDescent="0.3">
      <c r="F18732"/>
      <c r="G18732"/>
      <c r="H18732"/>
      <c r="I18732"/>
    </row>
    <row r="18733" spans="6:9" x14ac:dyDescent="0.3">
      <c r="F18733"/>
      <c r="G18733"/>
      <c r="H18733"/>
      <c r="I18733"/>
    </row>
    <row r="18734" spans="6:9" x14ac:dyDescent="0.3">
      <c r="F18734"/>
      <c r="G18734"/>
      <c r="H18734"/>
      <c r="I18734"/>
    </row>
    <row r="18735" spans="6:9" x14ac:dyDescent="0.3">
      <c r="F18735"/>
      <c r="G18735"/>
      <c r="H18735"/>
      <c r="I18735"/>
    </row>
    <row r="18736" spans="6:9" x14ac:dyDescent="0.3">
      <c r="F18736"/>
      <c r="G18736"/>
      <c r="H18736"/>
      <c r="I18736"/>
    </row>
    <row r="18737" spans="6:9" x14ac:dyDescent="0.3">
      <c r="F18737"/>
      <c r="G18737"/>
      <c r="H18737"/>
      <c r="I18737"/>
    </row>
    <row r="18738" spans="6:9" x14ac:dyDescent="0.3">
      <c r="F18738"/>
      <c r="G18738"/>
      <c r="H18738"/>
      <c r="I18738"/>
    </row>
    <row r="18739" spans="6:9" x14ac:dyDescent="0.3">
      <c r="F18739"/>
      <c r="G18739"/>
      <c r="H18739"/>
      <c r="I18739"/>
    </row>
    <row r="18740" spans="6:9" x14ac:dyDescent="0.3">
      <c r="F18740"/>
      <c r="G18740"/>
      <c r="H18740"/>
      <c r="I18740"/>
    </row>
    <row r="18741" spans="6:9" x14ac:dyDescent="0.3">
      <c r="F18741"/>
      <c r="G18741"/>
      <c r="H18741"/>
      <c r="I18741"/>
    </row>
    <row r="18742" spans="6:9" x14ac:dyDescent="0.3">
      <c r="F18742"/>
      <c r="G18742"/>
      <c r="H18742"/>
      <c r="I18742"/>
    </row>
    <row r="18743" spans="6:9" x14ac:dyDescent="0.3">
      <c r="F18743"/>
      <c r="G18743"/>
      <c r="H18743"/>
      <c r="I18743"/>
    </row>
    <row r="18744" spans="6:9" x14ac:dyDescent="0.3">
      <c r="F18744"/>
      <c r="G18744"/>
      <c r="H18744"/>
      <c r="I18744"/>
    </row>
    <row r="18745" spans="6:9" x14ac:dyDescent="0.3">
      <c r="F18745"/>
      <c r="G18745"/>
      <c r="H18745"/>
      <c r="I18745"/>
    </row>
    <row r="18746" spans="6:9" x14ac:dyDescent="0.3">
      <c r="F18746"/>
      <c r="G18746"/>
      <c r="H18746"/>
      <c r="I18746"/>
    </row>
    <row r="18747" spans="6:9" x14ac:dyDescent="0.3">
      <c r="F18747"/>
      <c r="G18747"/>
      <c r="H18747"/>
      <c r="I18747"/>
    </row>
    <row r="18748" spans="6:9" x14ac:dyDescent="0.3">
      <c r="F18748"/>
      <c r="G18748"/>
      <c r="H18748"/>
      <c r="I18748"/>
    </row>
    <row r="18749" spans="6:9" x14ac:dyDescent="0.3">
      <c r="F18749"/>
      <c r="G18749"/>
      <c r="H18749"/>
      <c r="I18749"/>
    </row>
    <row r="18750" spans="6:9" x14ac:dyDescent="0.3">
      <c r="F18750"/>
      <c r="G18750"/>
      <c r="H18750"/>
      <c r="I18750"/>
    </row>
    <row r="18751" spans="6:9" x14ac:dyDescent="0.3">
      <c r="F18751"/>
      <c r="G18751"/>
      <c r="H18751"/>
      <c r="I18751"/>
    </row>
    <row r="18752" spans="6:9" x14ac:dyDescent="0.3">
      <c r="F18752"/>
      <c r="G18752"/>
      <c r="H18752"/>
      <c r="I18752"/>
    </row>
    <row r="18753" spans="6:9" x14ac:dyDescent="0.3">
      <c r="F18753"/>
      <c r="G18753"/>
      <c r="H18753"/>
      <c r="I18753"/>
    </row>
    <row r="18754" spans="6:9" x14ac:dyDescent="0.3">
      <c r="F18754"/>
      <c r="G18754"/>
      <c r="H18754"/>
      <c r="I18754"/>
    </row>
    <row r="18755" spans="6:9" x14ac:dyDescent="0.3">
      <c r="F18755"/>
      <c r="G18755"/>
      <c r="H18755"/>
      <c r="I18755"/>
    </row>
    <row r="18756" spans="6:9" x14ac:dyDescent="0.3">
      <c r="F18756"/>
      <c r="G18756"/>
      <c r="H18756"/>
      <c r="I18756"/>
    </row>
    <row r="18757" spans="6:9" x14ac:dyDescent="0.3">
      <c r="F18757"/>
      <c r="G18757"/>
      <c r="H18757"/>
      <c r="I18757"/>
    </row>
    <row r="18758" spans="6:9" x14ac:dyDescent="0.3">
      <c r="F18758"/>
      <c r="G18758"/>
      <c r="H18758"/>
      <c r="I18758"/>
    </row>
    <row r="18759" spans="6:9" x14ac:dyDescent="0.3">
      <c r="F18759"/>
      <c r="G18759"/>
      <c r="H18759"/>
      <c r="I18759"/>
    </row>
    <row r="18760" spans="6:9" x14ac:dyDescent="0.3">
      <c r="F18760"/>
      <c r="G18760"/>
      <c r="H18760"/>
      <c r="I18760"/>
    </row>
    <row r="18761" spans="6:9" x14ac:dyDescent="0.3">
      <c r="F18761"/>
      <c r="G18761"/>
      <c r="H18761"/>
      <c r="I18761"/>
    </row>
    <row r="18762" spans="6:9" x14ac:dyDescent="0.3">
      <c r="F18762"/>
      <c r="G18762"/>
      <c r="H18762"/>
      <c r="I18762"/>
    </row>
    <row r="18763" spans="6:9" x14ac:dyDescent="0.3">
      <c r="F18763"/>
      <c r="G18763"/>
      <c r="H18763"/>
      <c r="I18763"/>
    </row>
    <row r="18764" spans="6:9" x14ac:dyDescent="0.3">
      <c r="F18764"/>
      <c r="G18764"/>
      <c r="H18764"/>
      <c r="I18764"/>
    </row>
    <row r="18765" spans="6:9" x14ac:dyDescent="0.3">
      <c r="F18765"/>
      <c r="G18765"/>
      <c r="H18765"/>
      <c r="I18765"/>
    </row>
    <row r="18766" spans="6:9" x14ac:dyDescent="0.3">
      <c r="F18766"/>
      <c r="G18766"/>
      <c r="H18766"/>
      <c r="I18766"/>
    </row>
    <row r="18767" spans="6:9" x14ac:dyDescent="0.3">
      <c r="F18767"/>
      <c r="G18767"/>
      <c r="H18767"/>
      <c r="I18767"/>
    </row>
    <row r="18768" spans="6:9" x14ac:dyDescent="0.3">
      <c r="F18768"/>
      <c r="G18768"/>
      <c r="H18768"/>
      <c r="I18768"/>
    </row>
    <row r="18769" spans="6:9" x14ac:dyDescent="0.3">
      <c r="F18769"/>
      <c r="G18769"/>
      <c r="H18769"/>
      <c r="I18769"/>
    </row>
    <row r="18770" spans="6:9" x14ac:dyDescent="0.3">
      <c r="F18770"/>
      <c r="G18770"/>
      <c r="H18770"/>
      <c r="I18770"/>
    </row>
    <row r="18771" spans="6:9" x14ac:dyDescent="0.3">
      <c r="F18771"/>
      <c r="G18771"/>
      <c r="H18771"/>
      <c r="I18771"/>
    </row>
    <row r="18772" spans="6:9" x14ac:dyDescent="0.3">
      <c r="F18772"/>
      <c r="G18772"/>
      <c r="H18772"/>
      <c r="I18772"/>
    </row>
    <row r="18773" spans="6:9" x14ac:dyDescent="0.3">
      <c r="F18773"/>
      <c r="G18773"/>
      <c r="H18773"/>
      <c r="I18773"/>
    </row>
    <row r="18774" spans="6:9" x14ac:dyDescent="0.3">
      <c r="F18774"/>
      <c r="G18774"/>
      <c r="H18774"/>
      <c r="I18774"/>
    </row>
    <row r="18775" spans="6:9" x14ac:dyDescent="0.3">
      <c r="F18775"/>
      <c r="G18775"/>
      <c r="H18775"/>
      <c r="I18775"/>
    </row>
    <row r="18776" spans="6:9" x14ac:dyDescent="0.3">
      <c r="F18776"/>
      <c r="G18776"/>
      <c r="H18776"/>
      <c r="I18776"/>
    </row>
    <row r="18777" spans="6:9" x14ac:dyDescent="0.3">
      <c r="F18777"/>
      <c r="G18777"/>
      <c r="H18777"/>
      <c r="I18777"/>
    </row>
    <row r="18778" spans="6:9" x14ac:dyDescent="0.3">
      <c r="F18778"/>
      <c r="G18778"/>
      <c r="H18778"/>
      <c r="I18778"/>
    </row>
    <row r="18779" spans="6:9" x14ac:dyDescent="0.3">
      <c r="F18779"/>
      <c r="G18779"/>
      <c r="H18779"/>
      <c r="I18779"/>
    </row>
    <row r="18780" spans="6:9" x14ac:dyDescent="0.3">
      <c r="F18780"/>
      <c r="G18780"/>
      <c r="H18780"/>
      <c r="I18780"/>
    </row>
    <row r="18781" spans="6:9" x14ac:dyDescent="0.3">
      <c r="F18781"/>
      <c r="G18781"/>
      <c r="H18781"/>
      <c r="I18781"/>
    </row>
    <row r="18782" spans="6:9" x14ac:dyDescent="0.3">
      <c r="F18782"/>
      <c r="G18782"/>
      <c r="H18782"/>
      <c r="I18782"/>
    </row>
    <row r="18783" spans="6:9" x14ac:dyDescent="0.3">
      <c r="F18783"/>
      <c r="G18783"/>
      <c r="H18783"/>
      <c r="I18783"/>
    </row>
    <row r="18784" spans="6:9" x14ac:dyDescent="0.3">
      <c r="F18784"/>
      <c r="G18784"/>
      <c r="H18784"/>
      <c r="I18784"/>
    </row>
    <row r="18785" spans="6:9" x14ac:dyDescent="0.3">
      <c r="F18785"/>
      <c r="G18785"/>
      <c r="H18785"/>
      <c r="I18785"/>
    </row>
    <row r="18786" spans="6:9" x14ac:dyDescent="0.3">
      <c r="F18786"/>
      <c r="G18786"/>
      <c r="H18786"/>
      <c r="I18786"/>
    </row>
    <row r="18787" spans="6:9" x14ac:dyDescent="0.3">
      <c r="F18787"/>
      <c r="G18787"/>
      <c r="H18787"/>
      <c r="I18787"/>
    </row>
    <row r="18788" spans="6:9" x14ac:dyDescent="0.3">
      <c r="F18788"/>
      <c r="G18788"/>
      <c r="H18788"/>
      <c r="I18788"/>
    </row>
    <row r="18789" spans="6:9" x14ac:dyDescent="0.3">
      <c r="F18789"/>
      <c r="G18789"/>
      <c r="H18789"/>
      <c r="I18789"/>
    </row>
    <row r="18790" spans="6:9" x14ac:dyDescent="0.3">
      <c r="F18790"/>
      <c r="G18790"/>
      <c r="H18790"/>
      <c r="I18790"/>
    </row>
    <row r="18791" spans="6:9" x14ac:dyDescent="0.3">
      <c r="F18791"/>
      <c r="G18791"/>
      <c r="H18791"/>
      <c r="I18791"/>
    </row>
    <row r="18792" spans="6:9" x14ac:dyDescent="0.3">
      <c r="F18792"/>
      <c r="G18792"/>
      <c r="H18792"/>
      <c r="I18792"/>
    </row>
    <row r="18793" spans="6:9" x14ac:dyDescent="0.3">
      <c r="F18793"/>
      <c r="G18793"/>
      <c r="H18793"/>
      <c r="I18793"/>
    </row>
    <row r="18794" spans="6:9" x14ac:dyDescent="0.3">
      <c r="F18794"/>
      <c r="G18794"/>
      <c r="H18794"/>
      <c r="I18794"/>
    </row>
    <row r="18795" spans="6:9" x14ac:dyDescent="0.3">
      <c r="F18795"/>
      <c r="G18795"/>
      <c r="H18795"/>
      <c r="I18795"/>
    </row>
    <row r="18796" spans="6:9" x14ac:dyDescent="0.3">
      <c r="F18796"/>
      <c r="G18796"/>
      <c r="H18796"/>
      <c r="I18796"/>
    </row>
    <row r="18797" spans="6:9" x14ac:dyDescent="0.3">
      <c r="F18797"/>
      <c r="G18797"/>
      <c r="H18797"/>
      <c r="I18797"/>
    </row>
    <row r="18798" spans="6:9" x14ac:dyDescent="0.3">
      <c r="F18798"/>
      <c r="G18798"/>
      <c r="H18798"/>
      <c r="I18798"/>
    </row>
    <row r="18799" spans="6:9" x14ac:dyDescent="0.3">
      <c r="F18799"/>
      <c r="G18799"/>
      <c r="H18799"/>
      <c r="I18799"/>
    </row>
    <row r="18800" spans="6:9" x14ac:dyDescent="0.3">
      <c r="F18800"/>
      <c r="G18800"/>
      <c r="H18800"/>
      <c r="I18800"/>
    </row>
    <row r="18801" spans="6:9" x14ac:dyDescent="0.3">
      <c r="F18801"/>
      <c r="G18801"/>
      <c r="H18801"/>
      <c r="I18801"/>
    </row>
    <row r="18802" spans="6:9" x14ac:dyDescent="0.3">
      <c r="F18802"/>
      <c r="G18802"/>
      <c r="H18802"/>
      <c r="I18802"/>
    </row>
    <row r="18803" spans="6:9" x14ac:dyDescent="0.3">
      <c r="F18803"/>
      <c r="G18803"/>
      <c r="H18803"/>
      <c r="I18803"/>
    </row>
    <row r="18804" spans="6:9" x14ac:dyDescent="0.3">
      <c r="F18804"/>
      <c r="G18804"/>
      <c r="H18804"/>
      <c r="I18804"/>
    </row>
    <row r="18805" spans="6:9" x14ac:dyDescent="0.3">
      <c r="F18805"/>
      <c r="G18805"/>
      <c r="H18805"/>
      <c r="I18805"/>
    </row>
    <row r="18806" spans="6:9" x14ac:dyDescent="0.3">
      <c r="F18806"/>
      <c r="G18806"/>
      <c r="H18806"/>
      <c r="I18806"/>
    </row>
    <row r="18807" spans="6:9" x14ac:dyDescent="0.3">
      <c r="F18807"/>
      <c r="G18807"/>
      <c r="H18807"/>
      <c r="I18807"/>
    </row>
    <row r="18808" spans="6:9" x14ac:dyDescent="0.3">
      <c r="F18808"/>
      <c r="G18808"/>
      <c r="H18808"/>
      <c r="I18808"/>
    </row>
    <row r="18809" spans="6:9" x14ac:dyDescent="0.3">
      <c r="F18809"/>
      <c r="G18809"/>
      <c r="H18809"/>
      <c r="I18809"/>
    </row>
    <row r="18810" spans="6:9" x14ac:dyDescent="0.3">
      <c r="F18810"/>
      <c r="G18810"/>
      <c r="H18810"/>
      <c r="I18810"/>
    </row>
    <row r="18811" spans="6:9" x14ac:dyDescent="0.3">
      <c r="F18811"/>
      <c r="G18811"/>
      <c r="H18811"/>
      <c r="I18811"/>
    </row>
    <row r="18812" spans="6:9" x14ac:dyDescent="0.3">
      <c r="F18812"/>
      <c r="G18812"/>
      <c r="H18812"/>
      <c r="I18812"/>
    </row>
    <row r="18813" spans="6:9" x14ac:dyDescent="0.3">
      <c r="F18813"/>
      <c r="G18813"/>
      <c r="H18813"/>
      <c r="I18813"/>
    </row>
    <row r="18814" spans="6:9" x14ac:dyDescent="0.3">
      <c r="F18814"/>
      <c r="G18814"/>
      <c r="H18814"/>
      <c r="I18814"/>
    </row>
    <row r="18815" spans="6:9" x14ac:dyDescent="0.3">
      <c r="F18815"/>
      <c r="G18815"/>
      <c r="H18815"/>
      <c r="I18815"/>
    </row>
    <row r="18816" spans="6:9" x14ac:dyDescent="0.3">
      <c r="F18816"/>
      <c r="G18816"/>
      <c r="H18816"/>
      <c r="I18816"/>
    </row>
    <row r="18817" spans="6:9" x14ac:dyDescent="0.3">
      <c r="F18817"/>
      <c r="G18817"/>
      <c r="H18817"/>
      <c r="I18817"/>
    </row>
    <row r="18818" spans="6:9" x14ac:dyDescent="0.3">
      <c r="F18818"/>
      <c r="G18818"/>
      <c r="H18818"/>
      <c r="I18818"/>
    </row>
    <row r="18819" spans="6:9" x14ac:dyDescent="0.3">
      <c r="F18819"/>
      <c r="G18819"/>
      <c r="H18819"/>
      <c r="I18819"/>
    </row>
    <row r="18820" spans="6:9" x14ac:dyDescent="0.3">
      <c r="F18820"/>
      <c r="G18820"/>
      <c r="H18820"/>
      <c r="I18820"/>
    </row>
    <row r="18821" spans="6:9" x14ac:dyDescent="0.3">
      <c r="F18821"/>
      <c r="G18821"/>
      <c r="H18821"/>
      <c r="I18821"/>
    </row>
    <row r="18822" spans="6:9" x14ac:dyDescent="0.3">
      <c r="F18822"/>
      <c r="G18822"/>
      <c r="H18822"/>
      <c r="I18822"/>
    </row>
    <row r="18823" spans="6:9" x14ac:dyDescent="0.3">
      <c r="F18823"/>
      <c r="G18823"/>
      <c r="H18823"/>
      <c r="I18823"/>
    </row>
    <row r="18824" spans="6:9" x14ac:dyDescent="0.3">
      <c r="F18824"/>
      <c r="G18824"/>
      <c r="H18824"/>
      <c r="I18824"/>
    </row>
    <row r="18825" spans="6:9" x14ac:dyDescent="0.3">
      <c r="F18825"/>
      <c r="G18825"/>
      <c r="H18825"/>
      <c r="I18825"/>
    </row>
    <row r="18826" spans="6:9" x14ac:dyDescent="0.3">
      <c r="F18826"/>
      <c r="G18826"/>
      <c r="H18826"/>
      <c r="I18826"/>
    </row>
    <row r="18827" spans="6:9" x14ac:dyDescent="0.3">
      <c r="F18827"/>
      <c r="G18827"/>
      <c r="H18827"/>
      <c r="I18827"/>
    </row>
    <row r="18828" spans="6:9" x14ac:dyDescent="0.3">
      <c r="F18828"/>
      <c r="G18828"/>
      <c r="H18828"/>
      <c r="I18828"/>
    </row>
    <row r="18829" spans="6:9" x14ac:dyDescent="0.3">
      <c r="F18829"/>
      <c r="G18829"/>
      <c r="H18829"/>
      <c r="I18829"/>
    </row>
    <row r="18830" spans="6:9" x14ac:dyDescent="0.3">
      <c r="F18830"/>
      <c r="G18830"/>
      <c r="H18830"/>
      <c r="I18830"/>
    </row>
    <row r="18831" spans="6:9" x14ac:dyDescent="0.3">
      <c r="F18831"/>
      <c r="G18831"/>
      <c r="H18831"/>
      <c r="I18831"/>
    </row>
    <row r="18832" spans="6:9" x14ac:dyDescent="0.3">
      <c r="F18832"/>
      <c r="G18832"/>
      <c r="H18832"/>
      <c r="I18832"/>
    </row>
    <row r="18833" spans="6:9" x14ac:dyDescent="0.3">
      <c r="F18833"/>
      <c r="G18833"/>
      <c r="H18833"/>
      <c r="I18833"/>
    </row>
    <row r="18834" spans="6:9" x14ac:dyDescent="0.3">
      <c r="F18834"/>
      <c r="G18834"/>
      <c r="H18834"/>
      <c r="I18834"/>
    </row>
    <row r="18835" spans="6:9" x14ac:dyDescent="0.3">
      <c r="F18835"/>
      <c r="G18835"/>
      <c r="H18835"/>
      <c r="I18835"/>
    </row>
    <row r="18836" spans="6:9" x14ac:dyDescent="0.3">
      <c r="F18836"/>
      <c r="G18836"/>
      <c r="H18836"/>
      <c r="I18836"/>
    </row>
    <row r="18837" spans="6:9" x14ac:dyDescent="0.3">
      <c r="F18837"/>
      <c r="G18837"/>
      <c r="H18837"/>
      <c r="I18837"/>
    </row>
    <row r="18838" spans="6:9" x14ac:dyDescent="0.3">
      <c r="F18838"/>
      <c r="G18838"/>
      <c r="H18838"/>
      <c r="I18838"/>
    </row>
    <row r="18839" spans="6:9" x14ac:dyDescent="0.3">
      <c r="F18839"/>
      <c r="G18839"/>
      <c r="H18839"/>
      <c r="I18839"/>
    </row>
    <row r="18840" spans="6:9" x14ac:dyDescent="0.3">
      <c r="F18840"/>
      <c r="G18840"/>
      <c r="H18840"/>
      <c r="I18840"/>
    </row>
    <row r="18841" spans="6:9" x14ac:dyDescent="0.3">
      <c r="F18841"/>
      <c r="G18841"/>
      <c r="H18841"/>
      <c r="I18841"/>
    </row>
    <row r="18842" spans="6:9" x14ac:dyDescent="0.3">
      <c r="F18842"/>
      <c r="G18842"/>
      <c r="H18842"/>
      <c r="I18842"/>
    </row>
    <row r="18843" spans="6:9" x14ac:dyDescent="0.3">
      <c r="F18843"/>
      <c r="G18843"/>
      <c r="H18843"/>
      <c r="I18843"/>
    </row>
    <row r="18844" spans="6:9" x14ac:dyDescent="0.3">
      <c r="F18844"/>
      <c r="G18844"/>
      <c r="H18844"/>
      <c r="I18844"/>
    </row>
    <row r="18845" spans="6:9" x14ac:dyDescent="0.3">
      <c r="F18845"/>
      <c r="G18845"/>
      <c r="H18845"/>
      <c r="I18845"/>
    </row>
    <row r="18846" spans="6:9" x14ac:dyDescent="0.3">
      <c r="F18846"/>
      <c r="G18846"/>
      <c r="H18846"/>
      <c r="I18846"/>
    </row>
    <row r="18847" spans="6:9" x14ac:dyDescent="0.3">
      <c r="F18847"/>
      <c r="G18847"/>
      <c r="H18847"/>
      <c r="I18847"/>
    </row>
    <row r="18848" spans="6:9" x14ac:dyDescent="0.3">
      <c r="F18848"/>
      <c r="G18848"/>
      <c r="H18848"/>
      <c r="I18848"/>
    </row>
    <row r="18849" spans="6:9" x14ac:dyDescent="0.3">
      <c r="F18849"/>
      <c r="G18849"/>
      <c r="H18849"/>
      <c r="I18849"/>
    </row>
    <row r="18850" spans="6:9" x14ac:dyDescent="0.3">
      <c r="F18850"/>
      <c r="G18850"/>
      <c r="H18850"/>
      <c r="I18850"/>
    </row>
    <row r="18851" spans="6:9" x14ac:dyDescent="0.3">
      <c r="F18851"/>
      <c r="G18851"/>
      <c r="H18851"/>
      <c r="I18851"/>
    </row>
    <row r="18852" spans="6:9" x14ac:dyDescent="0.3">
      <c r="F18852"/>
      <c r="G18852"/>
      <c r="H18852"/>
      <c r="I18852"/>
    </row>
    <row r="18853" spans="6:9" x14ac:dyDescent="0.3">
      <c r="F18853"/>
      <c r="G18853"/>
      <c r="H18853"/>
      <c r="I18853"/>
    </row>
    <row r="18854" spans="6:9" x14ac:dyDescent="0.3">
      <c r="F18854"/>
      <c r="G18854"/>
      <c r="H18854"/>
      <c r="I18854"/>
    </row>
    <row r="18855" spans="6:9" x14ac:dyDescent="0.3">
      <c r="F18855"/>
      <c r="G18855"/>
      <c r="H18855"/>
      <c r="I18855"/>
    </row>
    <row r="18856" spans="6:9" x14ac:dyDescent="0.3">
      <c r="F18856"/>
      <c r="G18856"/>
      <c r="H18856"/>
      <c r="I18856"/>
    </row>
    <row r="18857" spans="6:9" x14ac:dyDescent="0.3">
      <c r="F18857"/>
      <c r="G18857"/>
      <c r="H18857"/>
      <c r="I18857"/>
    </row>
    <row r="18858" spans="6:9" x14ac:dyDescent="0.3">
      <c r="F18858"/>
      <c r="G18858"/>
      <c r="H18858"/>
      <c r="I18858"/>
    </row>
    <row r="18859" spans="6:9" x14ac:dyDescent="0.3">
      <c r="F18859"/>
      <c r="G18859"/>
      <c r="H18859"/>
      <c r="I18859"/>
    </row>
    <row r="18860" spans="6:9" x14ac:dyDescent="0.3">
      <c r="F18860"/>
      <c r="G18860"/>
      <c r="H18860"/>
      <c r="I18860"/>
    </row>
    <row r="18861" spans="6:9" x14ac:dyDescent="0.3">
      <c r="F18861"/>
      <c r="G18861"/>
      <c r="H18861"/>
      <c r="I18861"/>
    </row>
    <row r="18862" spans="6:9" x14ac:dyDescent="0.3">
      <c r="F18862"/>
      <c r="G18862"/>
      <c r="H18862"/>
      <c r="I18862"/>
    </row>
    <row r="18863" spans="6:9" x14ac:dyDescent="0.3">
      <c r="F18863"/>
      <c r="G18863"/>
      <c r="H18863"/>
      <c r="I18863"/>
    </row>
    <row r="18864" spans="6:9" x14ac:dyDescent="0.3">
      <c r="F18864"/>
      <c r="G18864"/>
      <c r="H18864"/>
      <c r="I18864"/>
    </row>
    <row r="18865" spans="6:9" x14ac:dyDescent="0.3">
      <c r="F18865"/>
      <c r="G18865"/>
      <c r="H18865"/>
      <c r="I18865"/>
    </row>
    <row r="18866" spans="6:9" x14ac:dyDescent="0.3">
      <c r="F18866"/>
      <c r="G18866"/>
      <c r="H18866"/>
      <c r="I18866"/>
    </row>
    <row r="18867" spans="6:9" x14ac:dyDescent="0.3">
      <c r="F18867"/>
      <c r="G18867"/>
      <c r="H18867"/>
      <c r="I18867"/>
    </row>
    <row r="18868" spans="6:9" x14ac:dyDescent="0.3">
      <c r="F18868"/>
      <c r="G18868"/>
      <c r="H18868"/>
      <c r="I18868"/>
    </row>
    <row r="18869" spans="6:9" x14ac:dyDescent="0.3">
      <c r="F18869"/>
      <c r="G18869"/>
      <c r="H18869"/>
      <c r="I18869"/>
    </row>
    <row r="18870" spans="6:9" x14ac:dyDescent="0.3">
      <c r="F18870"/>
      <c r="G18870"/>
      <c r="H18870"/>
      <c r="I18870"/>
    </row>
    <row r="18871" spans="6:9" x14ac:dyDescent="0.3">
      <c r="F18871"/>
      <c r="G18871"/>
      <c r="H18871"/>
      <c r="I18871"/>
    </row>
    <row r="18872" spans="6:9" x14ac:dyDescent="0.3">
      <c r="F18872"/>
      <c r="G18872"/>
      <c r="H18872"/>
      <c r="I18872"/>
    </row>
    <row r="18873" spans="6:9" x14ac:dyDescent="0.3">
      <c r="F18873"/>
      <c r="G18873"/>
      <c r="H18873"/>
      <c r="I18873"/>
    </row>
    <row r="18874" spans="6:9" x14ac:dyDescent="0.3">
      <c r="F18874"/>
      <c r="G18874"/>
      <c r="H18874"/>
      <c r="I18874"/>
    </row>
    <row r="18875" spans="6:9" x14ac:dyDescent="0.3">
      <c r="F18875"/>
      <c r="G18875"/>
      <c r="H18875"/>
      <c r="I18875"/>
    </row>
    <row r="18876" spans="6:9" x14ac:dyDescent="0.3">
      <c r="F18876"/>
      <c r="G18876"/>
      <c r="H18876"/>
      <c r="I18876"/>
    </row>
    <row r="18877" spans="6:9" x14ac:dyDescent="0.3">
      <c r="F18877"/>
      <c r="G18877"/>
      <c r="H18877"/>
      <c r="I18877"/>
    </row>
    <row r="18878" spans="6:9" x14ac:dyDescent="0.3">
      <c r="F18878"/>
      <c r="G18878"/>
      <c r="H18878"/>
      <c r="I18878"/>
    </row>
    <row r="18879" spans="6:9" x14ac:dyDescent="0.3">
      <c r="F18879"/>
      <c r="G18879"/>
      <c r="H18879"/>
      <c r="I18879"/>
    </row>
    <row r="18880" spans="6:9" x14ac:dyDescent="0.3">
      <c r="F18880"/>
      <c r="G18880"/>
      <c r="H18880"/>
      <c r="I18880"/>
    </row>
    <row r="18881" spans="6:9" x14ac:dyDescent="0.3">
      <c r="F18881"/>
      <c r="G18881"/>
      <c r="H18881"/>
      <c r="I18881"/>
    </row>
    <row r="18882" spans="6:9" x14ac:dyDescent="0.3">
      <c r="F18882"/>
      <c r="G18882"/>
      <c r="H18882"/>
      <c r="I18882"/>
    </row>
    <row r="18883" spans="6:9" x14ac:dyDescent="0.3">
      <c r="F18883"/>
      <c r="G18883"/>
      <c r="H18883"/>
      <c r="I18883"/>
    </row>
    <row r="18884" spans="6:9" x14ac:dyDescent="0.3">
      <c r="F18884"/>
      <c r="G18884"/>
      <c r="H18884"/>
      <c r="I18884"/>
    </row>
    <row r="18885" spans="6:9" x14ac:dyDescent="0.3">
      <c r="F18885"/>
      <c r="G18885"/>
      <c r="H18885"/>
      <c r="I18885"/>
    </row>
    <row r="18886" spans="6:9" x14ac:dyDescent="0.3">
      <c r="F18886"/>
      <c r="G18886"/>
      <c r="H18886"/>
      <c r="I18886"/>
    </row>
    <row r="18887" spans="6:9" x14ac:dyDescent="0.3">
      <c r="F18887"/>
      <c r="G18887"/>
      <c r="H18887"/>
      <c r="I18887"/>
    </row>
    <row r="18888" spans="6:9" x14ac:dyDescent="0.3">
      <c r="F18888"/>
      <c r="G18888"/>
      <c r="H18888"/>
      <c r="I18888"/>
    </row>
    <row r="18889" spans="6:9" x14ac:dyDescent="0.3">
      <c r="F18889"/>
      <c r="G18889"/>
      <c r="H18889"/>
      <c r="I18889"/>
    </row>
    <row r="18890" spans="6:9" x14ac:dyDescent="0.3">
      <c r="F18890"/>
      <c r="G18890"/>
      <c r="H18890"/>
      <c r="I18890"/>
    </row>
    <row r="18891" spans="6:9" x14ac:dyDescent="0.3">
      <c r="F18891"/>
      <c r="G18891"/>
      <c r="H18891"/>
      <c r="I18891"/>
    </row>
    <row r="18892" spans="6:9" x14ac:dyDescent="0.3">
      <c r="F18892"/>
      <c r="G18892"/>
      <c r="H18892"/>
      <c r="I18892"/>
    </row>
    <row r="18893" spans="6:9" x14ac:dyDescent="0.3">
      <c r="F18893"/>
      <c r="G18893"/>
      <c r="H18893"/>
      <c r="I18893"/>
    </row>
    <row r="18894" spans="6:9" x14ac:dyDescent="0.3">
      <c r="F18894"/>
      <c r="G18894"/>
      <c r="H18894"/>
      <c r="I18894"/>
    </row>
    <row r="18895" spans="6:9" x14ac:dyDescent="0.3">
      <c r="F18895"/>
      <c r="G18895"/>
      <c r="H18895"/>
      <c r="I18895"/>
    </row>
    <row r="18896" spans="6:9" x14ac:dyDescent="0.3">
      <c r="F18896"/>
      <c r="G18896"/>
      <c r="H18896"/>
      <c r="I18896"/>
    </row>
    <row r="18897" spans="6:9" x14ac:dyDescent="0.3">
      <c r="F18897"/>
      <c r="G18897"/>
      <c r="H18897"/>
      <c r="I18897"/>
    </row>
    <row r="18898" spans="6:9" x14ac:dyDescent="0.3">
      <c r="F18898"/>
      <c r="G18898"/>
      <c r="H18898"/>
      <c r="I18898"/>
    </row>
    <row r="18899" spans="6:9" x14ac:dyDescent="0.3">
      <c r="F18899"/>
      <c r="G18899"/>
      <c r="H18899"/>
      <c r="I18899"/>
    </row>
    <row r="18900" spans="6:9" x14ac:dyDescent="0.3">
      <c r="F18900"/>
      <c r="G18900"/>
      <c r="H18900"/>
      <c r="I18900"/>
    </row>
    <row r="18901" spans="6:9" x14ac:dyDescent="0.3">
      <c r="F18901"/>
      <c r="G18901"/>
      <c r="H18901"/>
      <c r="I18901"/>
    </row>
    <row r="18902" spans="6:9" x14ac:dyDescent="0.3">
      <c r="F18902"/>
      <c r="G18902"/>
      <c r="H18902"/>
      <c r="I18902"/>
    </row>
    <row r="18903" spans="6:9" x14ac:dyDescent="0.3">
      <c r="F18903"/>
      <c r="G18903"/>
      <c r="H18903"/>
      <c r="I18903"/>
    </row>
    <row r="18904" spans="6:9" x14ac:dyDescent="0.3">
      <c r="F18904"/>
      <c r="G18904"/>
      <c r="H18904"/>
      <c r="I18904"/>
    </row>
    <row r="18905" spans="6:9" x14ac:dyDescent="0.3">
      <c r="F18905"/>
      <c r="G18905"/>
      <c r="H18905"/>
      <c r="I18905"/>
    </row>
    <row r="18906" spans="6:9" x14ac:dyDescent="0.3">
      <c r="F18906"/>
      <c r="G18906"/>
      <c r="H18906"/>
      <c r="I18906"/>
    </row>
    <row r="18907" spans="6:9" x14ac:dyDescent="0.3">
      <c r="F18907"/>
      <c r="G18907"/>
      <c r="H18907"/>
      <c r="I18907"/>
    </row>
    <row r="18908" spans="6:9" x14ac:dyDescent="0.3">
      <c r="F18908"/>
      <c r="G18908"/>
      <c r="H18908"/>
      <c r="I18908"/>
    </row>
    <row r="18909" spans="6:9" x14ac:dyDescent="0.3">
      <c r="F18909"/>
      <c r="G18909"/>
      <c r="H18909"/>
      <c r="I18909"/>
    </row>
    <row r="18910" spans="6:9" x14ac:dyDescent="0.3">
      <c r="F18910"/>
      <c r="G18910"/>
      <c r="H18910"/>
      <c r="I18910"/>
    </row>
    <row r="18911" spans="6:9" x14ac:dyDescent="0.3">
      <c r="F18911"/>
      <c r="G18911"/>
      <c r="H18911"/>
      <c r="I18911"/>
    </row>
    <row r="18912" spans="6:9" x14ac:dyDescent="0.3">
      <c r="F18912"/>
      <c r="G18912"/>
      <c r="H18912"/>
      <c r="I18912"/>
    </row>
    <row r="18913" spans="6:9" x14ac:dyDescent="0.3">
      <c r="F18913"/>
      <c r="G18913"/>
      <c r="H18913"/>
      <c r="I18913"/>
    </row>
    <row r="18914" spans="6:9" x14ac:dyDescent="0.3">
      <c r="F18914"/>
      <c r="G18914"/>
      <c r="H18914"/>
      <c r="I18914"/>
    </row>
    <row r="18915" spans="6:9" x14ac:dyDescent="0.3">
      <c r="F18915"/>
      <c r="G18915"/>
      <c r="H18915"/>
      <c r="I18915"/>
    </row>
    <row r="18916" spans="6:9" x14ac:dyDescent="0.3">
      <c r="F18916"/>
      <c r="G18916"/>
      <c r="H18916"/>
      <c r="I18916"/>
    </row>
    <row r="18917" spans="6:9" x14ac:dyDescent="0.3">
      <c r="F18917"/>
      <c r="G18917"/>
      <c r="H18917"/>
      <c r="I18917"/>
    </row>
    <row r="18918" spans="6:9" x14ac:dyDescent="0.3">
      <c r="F18918"/>
      <c r="G18918"/>
      <c r="H18918"/>
      <c r="I18918"/>
    </row>
    <row r="18919" spans="6:9" x14ac:dyDescent="0.3">
      <c r="F18919"/>
      <c r="G18919"/>
      <c r="H18919"/>
      <c r="I18919"/>
    </row>
    <row r="18920" spans="6:9" x14ac:dyDescent="0.3">
      <c r="F18920"/>
      <c r="G18920"/>
      <c r="H18920"/>
      <c r="I18920"/>
    </row>
    <row r="18921" spans="6:9" x14ac:dyDescent="0.3">
      <c r="F18921"/>
      <c r="G18921"/>
      <c r="H18921"/>
      <c r="I18921"/>
    </row>
    <row r="18922" spans="6:9" x14ac:dyDescent="0.3">
      <c r="F18922"/>
      <c r="G18922"/>
      <c r="H18922"/>
      <c r="I18922"/>
    </row>
    <row r="18923" spans="6:9" x14ac:dyDescent="0.3">
      <c r="F18923"/>
      <c r="G18923"/>
      <c r="H18923"/>
      <c r="I18923"/>
    </row>
    <row r="18924" spans="6:9" x14ac:dyDescent="0.3">
      <c r="F18924"/>
      <c r="G18924"/>
      <c r="H18924"/>
      <c r="I18924"/>
    </row>
    <row r="18925" spans="6:9" x14ac:dyDescent="0.3">
      <c r="F18925"/>
      <c r="G18925"/>
      <c r="H18925"/>
      <c r="I18925"/>
    </row>
    <row r="18926" spans="6:9" x14ac:dyDescent="0.3">
      <c r="F18926"/>
      <c r="G18926"/>
      <c r="H18926"/>
      <c r="I18926"/>
    </row>
    <row r="18927" spans="6:9" x14ac:dyDescent="0.3">
      <c r="F18927"/>
      <c r="G18927"/>
      <c r="H18927"/>
      <c r="I18927"/>
    </row>
    <row r="18928" spans="6:9" x14ac:dyDescent="0.3">
      <c r="F18928"/>
      <c r="G18928"/>
      <c r="H18928"/>
      <c r="I18928"/>
    </row>
    <row r="18929" spans="6:9" x14ac:dyDescent="0.3">
      <c r="F18929"/>
      <c r="G18929"/>
      <c r="H18929"/>
      <c r="I18929"/>
    </row>
    <row r="18930" spans="6:9" x14ac:dyDescent="0.3">
      <c r="F18930"/>
      <c r="G18930"/>
      <c r="H18930"/>
      <c r="I18930"/>
    </row>
    <row r="18931" spans="6:9" x14ac:dyDescent="0.3">
      <c r="F18931"/>
      <c r="G18931"/>
      <c r="H18931"/>
      <c r="I18931"/>
    </row>
    <row r="18932" spans="6:9" x14ac:dyDescent="0.3">
      <c r="F18932"/>
      <c r="G18932"/>
      <c r="H18932"/>
      <c r="I18932"/>
    </row>
    <row r="18933" spans="6:9" x14ac:dyDescent="0.3">
      <c r="F18933"/>
      <c r="G18933"/>
      <c r="H18933"/>
      <c r="I18933"/>
    </row>
    <row r="18934" spans="6:9" x14ac:dyDescent="0.3">
      <c r="F18934"/>
      <c r="G18934"/>
      <c r="H18934"/>
      <c r="I18934"/>
    </row>
    <row r="18935" spans="6:9" x14ac:dyDescent="0.3">
      <c r="F18935"/>
      <c r="G18935"/>
      <c r="H18935"/>
      <c r="I18935"/>
    </row>
    <row r="18936" spans="6:9" x14ac:dyDescent="0.3">
      <c r="F18936"/>
      <c r="G18936"/>
      <c r="H18936"/>
      <c r="I18936"/>
    </row>
    <row r="18937" spans="6:9" x14ac:dyDescent="0.3">
      <c r="F18937"/>
      <c r="G18937"/>
      <c r="H18937"/>
      <c r="I18937"/>
    </row>
    <row r="18938" spans="6:9" x14ac:dyDescent="0.3">
      <c r="F18938"/>
      <c r="G18938"/>
      <c r="H18938"/>
      <c r="I18938"/>
    </row>
    <row r="18939" spans="6:9" x14ac:dyDescent="0.3">
      <c r="F18939"/>
      <c r="G18939"/>
      <c r="H18939"/>
      <c r="I18939"/>
    </row>
    <row r="18940" spans="6:9" x14ac:dyDescent="0.3">
      <c r="F18940"/>
      <c r="G18940"/>
      <c r="H18940"/>
      <c r="I18940"/>
    </row>
    <row r="18941" spans="6:9" x14ac:dyDescent="0.3">
      <c r="F18941"/>
      <c r="G18941"/>
      <c r="H18941"/>
      <c r="I18941"/>
    </row>
    <row r="18942" spans="6:9" x14ac:dyDescent="0.3">
      <c r="F18942"/>
      <c r="G18942"/>
      <c r="H18942"/>
      <c r="I18942"/>
    </row>
    <row r="18943" spans="6:9" x14ac:dyDescent="0.3">
      <c r="F18943"/>
      <c r="G18943"/>
      <c r="H18943"/>
      <c r="I18943"/>
    </row>
    <row r="18944" spans="6:9" x14ac:dyDescent="0.3">
      <c r="F18944"/>
      <c r="G18944"/>
      <c r="H18944"/>
      <c r="I18944"/>
    </row>
    <row r="18945" spans="6:9" x14ac:dyDescent="0.3">
      <c r="F18945"/>
      <c r="G18945"/>
      <c r="H18945"/>
      <c r="I18945"/>
    </row>
    <row r="18946" spans="6:9" x14ac:dyDescent="0.3">
      <c r="F18946"/>
      <c r="G18946"/>
      <c r="H18946"/>
      <c r="I18946"/>
    </row>
    <row r="18947" spans="6:9" x14ac:dyDescent="0.3">
      <c r="F18947"/>
      <c r="G18947"/>
      <c r="H18947"/>
      <c r="I18947"/>
    </row>
    <row r="18948" spans="6:9" x14ac:dyDescent="0.3">
      <c r="F18948"/>
      <c r="G18948"/>
      <c r="H18948"/>
      <c r="I18948"/>
    </row>
    <row r="18949" spans="6:9" x14ac:dyDescent="0.3">
      <c r="F18949"/>
      <c r="G18949"/>
      <c r="H18949"/>
      <c r="I18949"/>
    </row>
    <row r="18950" spans="6:9" x14ac:dyDescent="0.3">
      <c r="F18950"/>
      <c r="G18950"/>
      <c r="H18950"/>
      <c r="I18950"/>
    </row>
    <row r="18951" spans="6:9" x14ac:dyDescent="0.3">
      <c r="F18951"/>
      <c r="G18951"/>
      <c r="H18951"/>
      <c r="I18951"/>
    </row>
    <row r="18952" spans="6:9" x14ac:dyDescent="0.3">
      <c r="F18952"/>
      <c r="G18952"/>
      <c r="H18952"/>
      <c r="I18952"/>
    </row>
    <row r="18953" spans="6:9" x14ac:dyDescent="0.3">
      <c r="F18953"/>
      <c r="G18953"/>
      <c r="H18953"/>
      <c r="I18953"/>
    </row>
    <row r="18954" spans="6:9" x14ac:dyDescent="0.3">
      <c r="F18954"/>
      <c r="G18954"/>
      <c r="H18954"/>
      <c r="I18954"/>
    </row>
    <row r="18955" spans="6:9" x14ac:dyDescent="0.3">
      <c r="F18955"/>
      <c r="G18955"/>
      <c r="H18955"/>
      <c r="I18955"/>
    </row>
    <row r="18956" spans="6:9" x14ac:dyDescent="0.3">
      <c r="F18956"/>
      <c r="G18956"/>
      <c r="H18956"/>
      <c r="I18956"/>
    </row>
    <row r="18957" spans="6:9" x14ac:dyDescent="0.3">
      <c r="F18957"/>
      <c r="G18957"/>
      <c r="H18957"/>
      <c r="I18957"/>
    </row>
    <row r="18958" spans="6:9" x14ac:dyDescent="0.3">
      <c r="F18958"/>
      <c r="G18958"/>
      <c r="H18958"/>
      <c r="I18958"/>
    </row>
    <row r="18959" spans="6:9" x14ac:dyDescent="0.3">
      <c r="F18959"/>
      <c r="G18959"/>
      <c r="H18959"/>
      <c r="I18959"/>
    </row>
    <row r="18960" spans="6:9" x14ac:dyDescent="0.3">
      <c r="F18960"/>
      <c r="G18960"/>
      <c r="H18960"/>
      <c r="I18960"/>
    </row>
    <row r="18961" spans="6:9" x14ac:dyDescent="0.3">
      <c r="F18961"/>
      <c r="G18961"/>
      <c r="H18961"/>
      <c r="I18961"/>
    </row>
    <row r="18962" spans="6:9" x14ac:dyDescent="0.3">
      <c r="F18962"/>
      <c r="G18962"/>
      <c r="H18962"/>
      <c r="I18962"/>
    </row>
    <row r="18963" spans="6:9" x14ac:dyDescent="0.3">
      <c r="F18963"/>
      <c r="G18963"/>
      <c r="H18963"/>
      <c r="I18963"/>
    </row>
    <row r="18964" spans="6:9" x14ac:dyDescent="0.3">
      <c r="F18964"/>
      <c r="G18964"/>
      <c r="H18964"/>
      <c r="I18964"/>
    </row>
    <row r="18965" spans="6:9" x14ac:dyDescent="0.3">
      <c r="F18965"/>
      <c r="G18965"/>
      <c r="H18965"/>
      <c r="I18965"/>
    </row>
    <row r="18966" spans="6:9" x14ac:dyDescent="0.3">
      <c r="F18966"/>
      <c r="G18966"/>
      <c r="H18966"/>
      <c r="I18966"/>
    </row>
    <row r="18967" spans="6:9" x14ac:dyDescent="0.3">
      <c r="F18967"/>
      <c r="G18967"/>
      <c r="H18967"/>
      <c r="I18967"/>
    </row>
    <row r="18968" spans="6:9" x14ac:dyDescent="0.3">
      <c r="F18968"/>
      <c r="G18968"/>
      <c r="H18968"/>
      <c r="I18968"/>
    </row>
    <row r="18969" spans="6:9" x14ac:dyDescent="0.3">
      <c r="F18969"/>
      <c r="G18969"/>
      <c r="H18969"/>
      <c r="I18969"/>
    </row>
    <row r="18970" spans="6:9" x14ac:dyDescent="0.3">
      <c r="F18970"/>
      <c r="G18970"/>
      <c r="H18970"/>
      <c r="I18970"/>
    </row>
    <row r="18971" spans="6:9" x14ac:dyDescent="0.3">
      <c r="F18971"/>
      <c r="G18971"/>
      <c r="H18971"/>
      <c r="I18971"/>
    </row>
    <row r="18972" spans="6:9" x14ac:dyDescent="0.3">
      <c r="F18972"/>
      <c r="G18972"/>
      <c r="H18972"/>
      <c r="I18972"/>
    </row>
    <row r="18973" spans="6:9" x14ac:dyDescent="0.3">
      <c r="F18973"/>
      <c r="G18973"/>
      <c r="H18973"/>
      <c r="I18973"/>
    </row>
    <row r="18974" spans="6:9" x14ac:dyDescent="0.3">
      <c r="F18974"/>
      <c r="G18974"/>
      <c r="H18974"/>
      <c r="I18974"/>
    </row>
    <row r="18975" spans="6:9" x14ac:dyDescent="0.3">
      <c r="F18975"/>
      <c r="G18975"/>
      <c r="H18975"/>
      <c r="I18975"/>
    </row>
    <row r="18976" spans="6:9" x14ac:dyDescent="0.3">
      <c r="F18976"/>
      <c r="G18976"/>
      <c r="H18976"/>
      <c r="I18976"/>
    </row>
    <row r="18977" spans="6:9" x14ac:dyDescent="0.3">
      <c r="F18977"/>
      <c r="G18977"/>
      <c r="H18977"/>
      <c r="I18977"/>
    </row>
    <row r="18978" spans="6:9" x14ac:dyDescent="0.3">
      <c r="F18978"/>
      <c r="G18978"/>
      <c r="H18978"/>
      <c r="I18978"/>
    </row>
    <row r="18979" spans="6:9" x14ac:dyDescent="0.3">
      <c r="F18979"/>
      <c r="G18979"/>
      <c r="H18979"/>
      <c r="I18979"/>
    </row>
    <row r="18980" spans="6:9" x14ac:dyDescent="0.3">
      <c r="F18980"/>
      <c r="G18980"/>
      <c r="H18980"/>
      <c r="I18980"/>
    </row>
    <row r="18981" spans="6:9" x14ac:dyDescent="0.3">
      <c r="F18981"/>
      <c r="G18981"/>
      <c r="H18981"/>
      <c r="I18981"/>
    </row>
    <row r="18982" spans="6:9" x14ac:dyDescent="0.3">
      <c r="F18982"/>
      <c r="G18982"/>
      <c r="H18982"/>
      <c r="I18982"/>
    </row>
    <row r="18983" spans="6:9" x14ac:dyDescent="0.3">
      <c r="F18983"/>
      <c r="G18983"/>
      <c r="H18983"/>
      <c r="I18983"/>
    </row>
    <row r="18984" spans="6:9" x14ac:dyDescent="0.3">
      <c r="F18984"/>
      <c r="G18984"/>
      <c r="H18984"/>
      <c r="I18984"/>
    </row>
    <row r="18985" spans="6:9" x14ac:dyDescent="0.3">
      <c r="F18985"/>
      <c r="G18985"/>
      <c r="H18985"/>
      <c r="I18985"/>
    </row>
    <row r="18986" spans="6:9" x14ac:dyDescent="0.3">
      <c r="F18986"/>
      <c r="G18986"/>
      <c r="H18986"/>
      <c r="I18986"/>
    </row>
    <row r="18987" spans="6:9" x14ac:dyDescent="0.3">
      <c r="F18987"/>
      <c r="G18987"/>
      <c r="H18987"/>
      <c r="I18987"/>
    </row>
    <row r="18988" spans="6:9" x14ac:dyDescent="0.3">
      <c r="F18988"/>
      <c r="G18988"/>
      <c r="H18988"/>
      <c r="I18988"/>
    </row>
    <row r="18989" spans="6:9" x14ac:dyDescent="0.3">
      <c r="F18989"/>
      <c r="G18989"/>
      <c r="H18989"/>
      <c r="I18989"/>
    </row>
    <row r="18990" spans="6:9" x14ac:dyDescent="0.3">
      <c r="F18990"/>
      <c r="G18990"/>
      <c r="H18990"/>
      <c r="I18990"/>
    </row>
    <row r="18991" spans="6:9" x14ac:dyDescent="0.3">
      <c r="F18991"/>
      <c r="G18991"/>
      <c r="H18991"/>
      <c r="I18991"/>
    </row>
    <row r="18992" spans="6:9" x14ac:dyDescent="0.3">
      <c r="F18992"/>
      <c r="G18992"/>
      <c r="H18992"/>
      <c r="I18992"/>
    </row>
    <row r="18993" spans="6:9" x14ac:dyDescent="0.3">
      <c r="F18993"/>
      <c r="G18993"/>
      <c r="H18993"/>
      <c r="I18993"/>
    </row>
    <row r="18994" spans="6:9" x14ac:dyDescent="0.3">
      <c r="F18994"/>
      <c r="G18994"/>
      <c r="H18994"/>
      <c r="I18994"/>
    </row>
    <row r="18995" spans="6:9" x14ac:dyDescent="0.3">
      <c r="F18995"/>
      <c r="G18995"/>
      <c r="H18995"/>
      <c r="I18995"/>
    </row>
    <row r="18996" spans="6:9" x14ac:dyDescent="0.3">
      <c r="F18996"/>
      <c r="G18996"/>
      <c r="H18996"/>
      <c r="I18996"/>
    </row>
    <row r="18997" spans="6:9" x14ac:dyDescent="0.3">
      <c r="F18997"/>
      <c r="G18997"/>
      <c r="H18997"/>
      <c r="I18997"/>
    </row>
    <row r="18998" spans="6:9" x14ac:dyDescent="0.3">
      <c r="F18998"/>
      <c r="G18998"/>
      <c r="H18998"/>
      <c r="I18998"/>
    </row>
    <row r="18999" spans="6:9" x14ac:dyDescent="0.3">
      <c r="F18999"/>
      <c r="G18999"/>
      <c r="H18999"/>
      <c r="I18999"/>
    </row>
    <row r="19000" spans="6:9" x14ac:dyDescent="0.3">
      <c r="F19000"/>
      <c r="G19000"/>
      <c r="H19000"/>
      <c r="I19000"/>
    </row>
    <row r="19001" spans="6:9" x14ac:dyDescent="0.3">
      <c r="F19001"/>
      <c r="G19001"/>
      <c r="H19001"/>
      <c r="I19001"/>
    </row>
    <row r="19002" spans="6:9" x14ac:dyDescent="0.3">
      <c r="F19002"/>
      <c r="G19002"/>
      <c r="H19002"/>
      <c r="I19002"/>
    </row>
    <row r="19003" spans="6:9" x14ac:dyDescent="0.3">
      <c r="F19003"/>
      <c r="G19003"/>
      <c r="H19003"/>
      <c r="I19003"/>
    </row>
    <row r="19004" spans="6:9" x14ac:dyDescent="0.3">
      <c r="F19004"/>
      <c r="G19004"/>
      <c r="H19004"/>
      <c r="I19004"/>
    </row>
    <row r="19005" spans="6:9" x14ac:dyDescent="0.3">
      <c r="F19005"/>
      <c r="G19005"/>
      <c r="H19005"/>
      <c r="I19005"/>
    </row>
    <row r="19006" spans="6:9" x14ac:dyDescent="0.3">
      <c r="F19006"/>
      <c r="G19006"/>
      <c r="H19006"/>
      <c r="I19006"/>
    </row>
    <row r="19007" spans="6:9" x14ac:dyDescent="0.3">
      <c r="F19007"/>
      <c r="G19007"/>
      <c r="H19007"/>
      <c r="I19007"/>
    </row>
    <row r="19008" spans="6:9" x14ac:dyDescent="0.3">
      <c r="F19008"/>
      <c r="G19008"/>
      <c r="H19008"/>
      <c r="I19008"/>
    </row>
    <row r="19009" spans="6:9" x14ac:dyDescent="0.3">
      <c r="F19009"/>
      <c r="G19009"/>
      <c r="H19009"/>
      <c r="I19009"/>
    </row>
    <row r="19010" spans="6:9" x14ac:dyDescent="0.3">
      <c r="F19010"/>
      <c r="G19010"/>
      <c r="H19010"/>
      <c r="I19010"/>
    </row>
    <row r="19011" spans="6:9" x14ac:dyDescent="0.3">
      <c r="F19011"/>
      <c r="G19011"/>
      <c r="H19011"/>
      <c r="I19011"/>
    </row>
    <row r="19012" spans="6:9" x14ac:dyDescent="0.3">
      <c r="F19012"/>
      <c r="G19012"/>
      <c r="H19012"/>
      <c r="I19012"/>
    </row>
    <row r="19013" spans="6:9" x14ac:dyDescent="0.3">
      <c r="F19013"/>
      <c r="G19013"/>
      <c r="H19013"/>
      <c r="I19013"/>
    </row>
    <row r="19014" spans="6:9" x14ac:dyDescent="0.3">
      <c r="F19014"/>
      <c r="G19014"/>
      <c r="H19014"/>
      <c r="I19014"/>
    </row>
    <row r="19015" spans="6:9" x14ac:dyDescent="0.3">
      <c r="F19015"/>
      <c r="G19015"/>
      <c r="H19015"/>
      <c r="I19015"/>
    </row>
    <row r="19016" spans="6:9" x14ac:dyDescent="0.3">
      <c r="F19016"/>
      <c r="G19016"/>
      <c r="H19016"/>
      <c r="I19016"/>
    </row>
    <row r="19017" spans="6:9" x14ac:dyDescent="0.3">
      <c r="F19017"/>
      <c r="G19017"/>
      <c r="H19017"/>
      <c r="I19017"/>
    </row>
    <row r="19018" spans="6:9" x14ac:dyDescent="0.3">
      <c r="F19018"/>
      <c r="G19018"/>
      <c r="H19018"/>
      <c r="I19018"/>
    </row>
    <row r="19019" spans="6:9" x14ac:dyDescent="0.3">
      <c r="F19019"/>
      <c r="G19019"/>
      <c r="H19019"/>
      <c r="I19019"/>
    </row>
    <row r="19020" spans="6:9" x14ac:dyDescent="0.3">
      <c r="F19020"/>
      <c r="G19020"/>
      <c r="H19020"/>
      <c r="I19020"/>
    </row>
    <row r="19021" spans="6:9" x14ac:dyDescent="0.3">
      <c r="F19021"/>
      <c r="G19021"/>
      <c r="H19021"/>
      <c r="I19021"/>
    </row>
    <row r="19022" spans="6:9" x14ac:dyDescent="0.3">
      <c r="F19022"/>
      <c r="G19022"/>
      <c r="H19022"/>
      <c r="I19022"/>
    </row>
    <row r="19023" spans="6:9" x14ac:dyDescent="0.3">
      <c r="F19023"/>
      <c r="G19023"/>
      <c r="H19023"/>
      <c r="I19023"/>
    </row>
    <row r="19024" spans="6:9" x14ac:dyDescent="0.3">
      <c r="F19024"/>
      <c r="G19024"/>
      <c r="H19024"/>
      <c r="I19024"/>
    </row>
    <row r="19025" spans="6:9" x14ac:dyDescent="0.3">
      <c r="F19025"/>
      <c r="G19025"/>
      <c r="H19025"/>
      <c r="I19025"/>
    </row>
    <row r="19026" spans="6:9" x14ac:dyDescent="0.3">
      <c r="F19026"/>
      <c r="G19026"/>
      <c r="H19026"/>
      <c r="I19026"/>
    </row>
    <row r="19027" spans="6:9" x14ac:dyDescent="0.3">
      <c r="F19027"/>
      <c r="G19027"/>
      <c r="H19027"/>
      <c r="I19027"/>
    </row>
    <row r="19028" spans="6:9" x14ac:dyDescent="0.3">
      <c r="F19028"/>
      <c r="G19028"/>
      <c r="H19028"/>
      <c r="I19028"/>
    </row>
    <row r="19029" spans="6:9" x14ac:dyDescent="0.3">
      <c r="F19029"/>
      <c r="G19029"/>
      <c r="H19029"/>
      <c r="I19029"/>
    </row>
    <row r="19030" spans="6:9" x14ac:dyDescent="0.3">
      <c r="F19030"/>
      <c r="G19030"/>
      <c r="H19030"/>
      <c r="I19030"/>
    </row>
    <row r="19031" spans="6:9" x14ac:dyDescent="0.3">
      <c r="F19031"/>
      <c r="G19031"/>
      <c r="H19031"/>
      <c r="I19031"/>
    </row>
    <row r="19032" spans="6:9" x14ac:dyDescent="0.3">
      <c r="F19032"/>
      <c r="G19032"/>
      <c r="H19032"/>
      <c r="I19032"/>
    </row>
    <row r="19033" spans="6:9" x14ac:dyDescent="0.3">
      <c r="F19033"/>
      <c r="G19033"/>
      <c r="H19033"/>
      <c r="I19033"/>
    </row>
    <row r="19034" spans="6:9" x14ac:dyDescent="0.3">
      <c r="F19034"/>
      <c r="G19034"/>
      <c r="H19034"/>
      <c r="I19034"/>
    </row>
    <row r="19035" spans="6:9" x14ac:dyDescent="0.3">
      <c r="F19035"/>
      <c r="G19035"/>
      <c r="H19035"/>
      <c r="I19035"/>
    </row>
    <row r="19036" spans="6:9" x14ac:dyDescent="0.3">
      <c r="F19036"/>
      <c r="G19036"/>
      <c r="H19036"/>
      <c r="I19036"/>
    </row>
    <row r="19037" spans="6:9" x14ac:dyDescent="0.3">
      <c r="F19037"/>
      <c r="G19037"/>
      <c r="H19037"/>
      <c r="I19037"/>
    </row>
    <row r="19038" spans="6:9" x14ac:dyDescent="0.3">
      <c r="F19038"/>
      <c r="G19038"/>
      <c r="H19038"/>
      <c r="I19038"/>
    </row>
    <row r="19039" spans="6:9" x14ac:dyDescent="0.3">
      <c r="F19039"/>
      <c r="G19039"/>
      <c r="H19039"/>
      <c r="I19039"/>
    </row>
    <row r="19040" spans="6:9" x14ac:dyDescent="0.3">
      <c r="F19040"/>
      <c r="G19040"/>
      <c r="H19040"/>
      <c r="I19040"/>
    </row>
    <row r="19041" spans="6:9" x14ac:dyDescent="0.3">
      <c r="F19041"/>
      <c r="G19041"/>
      <c r="H19041"/>
      <c r="I19041"/>
    </row>
    <row r="19042" spans="6:9" x14ac:dyDescent="0.3">
      <c r="F19042"/>
      <c r="G19042"/>
      <c r="H19042"/>
      <c r="I19042"/>
    </row>
    <row r="19043" spans="6:9" x14ac:dyDescent="0.3">
      <c r="F19043"/>
      <c r="G19043"/>
      <c r="H19043"/>
      <c r="I19043"/>
    </row>
    <row r="19044" spans="6:9" x14ac:dyDescent="0.3">
      <c r="F19044"/>
      <c r="G19044"/>
      <c r="H19044"/>
      <c r="I19044"/>
    </row>
    <row r="19045" spans="6:9" x14ac:dyDescent="0.3">
      <c r="F19045"/>
      <c r="G19045"/>
      <c r="H19045"/>
      <c r="I19045"/>
    </row>
    <row r="19046" spans="6:9" x14ac:dyDescent="0.3">
      <c r="F19046"/>
      <c r="G19046"/>
      <c r="H19046"/>
      <c r="I19046"/>
    </row>
    <row r="19047" spans="6:9" x14ac:dyDescent="0.3">
      <c r="F19047"/>
      <c r="G19047"/>
      <c r="H19047"/>
      <c r="I19047"/>
    </row>
    <row r="19048" spans="6:9" x14ac:dyDescent="0.3">
      <c r="F19048"/>
      <c r="G19048"/>
      <c r="H19048"/>
      <c r="I19048"/>
    </row>
    <row r="19049" spans="6:9" x14ac:dyDescent="0.3">
      <c r="F19049"/>
      <c r="G19049"/>
      <c r="H19049"/>
      <c r="I19049"/>
    </row>
    <row r="19050" spans="6:9" x14ac:dyDescent="0.3">
      <c r="F19050"/>
      <c r="G19050"/>
      <c r="H19050"/>
      <c r="I19050"/>
    </row>
    <row r="19051" spans="6:9" x14ac:dyDescent="0.3">
      <c r="F19051"/>
      <c r="G19051"/>
      <c r="H19051"/>
      <c r="I19051"/>
    </row>
    <row r="19052" spans="6:9" x14ac:dyDescent="0.3">
      <c r="F19052"/>
      <c r="G19052"/>
      <c r="H19052"/>
      <c r="I19052"/>
    </row>
    <row r="19053" spans="6:9" x14ac:dyDescent="0.3">
      <c r="F19053"/>
      <c r="G19053"/>
      <c r="H19053"/>
      <c r="I19053"/>
    </row>
    <row r="19054" spans="6:9" x14ac:dyDescent="0.3">
      <c r="F19054"/>
      <c r="G19054"/>
      <c r="H19054"/>
      <c r="I19054"/>
    </row>
    <row r="19055" spans="6:9" x14ac:dyDescent="0.3">
      <c r="F19055"/>
      <c r="G19055"/>
      <c r="H19055"/>
      <c r="I19055"/>
    </row>
    <row r="19056" spans="6:9" x14ac:dyDescent="0.3">
      <c r="F19056"/>
      <c r="G19056"/>
      <c r="H19056"/>
      <c r="I19056"/>
    </row>
    <row r="19057" spans="6:9" x14ac:dyDescent="0.3">
      <c r="F19057"/>
      <c r="G19057"/>
      <c r="H19057"/>
      <c r="I19057"/>
    </row>
    <row r="19058" spans="6:9" x14ac:dyDescent="0.3">
      <c r="F19058"/>
      <c r="G19058"/>
      <c r="H19058"/>
      <c r="I19058"/>
    </row>
    <row r="19059" spans="6:9" x14ac:dyDescent="0.3">
      <c r="F19059"/>
      <c r="G19059"/>
      <c r="H19059"/>
      <c r="I19059"/>
    </row>
    <row r="19060" spans="6:9" x14ac:dyDescent="0.3">
      <c r="F19060"/>
      <c r="G19060"/>
      <c r="H19060"/>
      <c r="I19060"/>
    </row>
    <row r="19061" spans="6:9" x14ac:dyDescent="0.3">
      <c r="F19061"/>
      <c r="G19061"/>
      <c r="H19061"/>
      <c r="I19061"/>
    </row>
    <row r="19062" spans="6:9" x14ac:dyDescent="0.3">
      <c r="F19062"/>
      <c r="G19062"/>
      <c r="H19062"/>
      <c r="I19062"/>
    </row>
    <row r="19063" spans="6:9" x14ac:dyDescent="0.3">
      <c r="F19063"/>
      <c r="G19063"/>
      <c r="H19063"/>
      <c r="I19063"/>
    </row>
    <row r="19064" spans="6:9" x14ac:dyDescent="0.3">
      <c r="F19064"/>
      <c r="G19064"/>
      <c r="H19064"/>
      <c r="I19064"/>
    </row>
    <row r="19065" spans="6:9" x14ac:dyDescent="0.3">
      <c r="F19065"/>
      <c r="G19065"/>
      <c r="H19065"/>
      <c r="I19065"/>
    </row>
    <row r="19066" spans="6:9" x14ac:dyDescent="0.3">
      <c r="F19066"/>
      <c r="G19066"/>
      <c r="H19066"/>
      <c r="I19066"/>
    </row>
    <row r="19067" spans="6:9" x14ac:dyDescent="0.3">
      <c r="F19067"/>
      <c r="G19067"/>
      <c r="H19067"/>
      <c r="I19067"/>
    </row>
    <row r="19068" spans="6:9" x14ac:dyDescent="0.3">
      <c r="F19068"/>
      <c r="G19068"/>
      <c r="H19068"/>
      <c r="I19068"/>
    </row>
    <row r="19069" spans="6:9" x14ac:dyDescent="0.3">
      <c r="F19069"/>
      <c r="G19069"/>
      <c r="H19069"/>
      <c r="I19069"/>
    </row>
    <row r="19070" spans="6:9" x14ac:dyDescent="0.3">
      <c r="F19070"/>
      <c r="G19070"/>
      <c r="H19070"/>
      <c r="I19070"/>
    </row>
    <row r="19071" spans="6:9" x14ac:dyDescent="0.3">
      <c r="F19071"/>
      <c r="G19071"/>
      <c r="H19071"/>
      <c r="I19071"/>
    </row>
    <row r="19072" spans="6:9" x14ac:dyDescent="0.3">
      <c r="F19072"/>
      <c r="G19072"/>
      <c r="H19072"/>
      <c r="I19072"/>
    </row>
    <row r="19073" spans="6:9" x14ac:dyDescent="0.3">
      <c r="F19073"/>
      <c r="G19073"/>
      <c r="H19073"/>
      <c r="I19073"/>
    </row>
    <row r="19074" spans="6:9" x14ac:dyDescent="0.3">
      <c r="F19074"/>
      <c r="G19074"/>
      <c r="H19074"/>
      <c r="I19074"/>
    </row>
    <row r="19075" spans="6:9" x14ac:dyDescent="0.3">
      <c r="F19075"/>
      <c r="G19075"/>
      <c r="H19075"/>
      <c r="I19075"/>
    </row>
    <row r="19076" spans="6:9" x14ac:dyDescent="0.3">
      <c r="F19076"/>
      <c r="G19076"/>
      <c r="H19076"/>
      <c r="I19076"/>
    </row>
    <row r="19077" spans="6:9" x14ac:dyDescent="0.3">
      <c r="F19077"/>
      <c r="G19077"/>
      <c r="H19077"/>
      <c r="I19077"/>
    </row>
    <row r="19078" spans="6:9" x14ac:dyDescent="0.3">
      <c r="F19078"/>
      <c r="G19078"/>
      <c r="H19078"/>
      <c r="I19078"/>
    </row>
    <row r="19079" spans="6:9" x14ac:dyDescent="0.3">
      <c r="F19079"/>
      <c r="G19079"/>
      <c r="H19079"/>
      <c r="I19079"/>
    </row>
    <row r="19080" spans="6:9" x14ac:dyDescent="0.3">
      <c r="F19080"/>
      <c r="G19080"/>
      <c r="H19080"/>
      <c r="I19080"/>
    </row>
    <row r="19081" spans="6:9" x14ac:dyDescent="0.3">
      <c r="F19081"/>
      <c r="G19081"/>
      <c r="H19081"/>
      <c r="I19081"/>
    </row>
    <row r="19082" spans="6:9" x14ac:dyDescent="0.3">
      <c r="F19082"/>
      <c r="G19082"/>
      <c r="H19082"/>
      <c r="I19082"/>
    </row>
    <row r="19083" spans="6:9" x14ac:dyDescent="0.3">
      <c r="F19083"/>
      <c r="G19083"/>
      <c r="H19083"/>
      <c r="I19083"/>
    </row>
    <row r="19084" spans="6:9" x14ac:dyDescent="0.3">
      <c r="F19084"/>
      <c r="G19084"/>
      <c r="H19084"/>
      <c r="I19084"/>
    </row>
    <row r="19085" spans="6:9" x14ac:dyDescent="0.3">
      <c r="F19085"/>
      <c r="G19085"/>
      <c r="H19085"/>
      <c r="I19085"/>
    </row>
    <row r="19086" spans="6:9" x14ac:dyDescent="0.3">
      <c r="F19086"/>
      <c r="G19086"/>
      <c r="H19086"/>
      <c r="I19086"/>
    </row>
    <row r="19087" spans="6:9" x14ac:dyDescent="0.3">
      <c r="F19087"/>
      <c r="G19087"/>
      <c r="H19087"/>
      <c r="I19087"/>
    </row>
    <row r="19088" spans="6:9" x14ac:dyDescent="0.3">
      <c r="F19088"/>
      <c r="G19088"/>
      <c r="H19088"/>
      <c r="I19088"/>
    </row>
    <row r="19089" spans="6:9" x14ac:dyDescent="0.3">
      <c r="F19089"/>
      <c r="G19089"/>
      <c r="H19089"/>
      <c r="I19089"/>
    </row>
    <row r="19090" spans="6:9" x14ac:dyDescent="0.3">
      <c r="F19090"/>
      <c r="G19090"/>
      <c r="H19090"/>
      <c r="I19090"/>
    </row>
    <row r="19091" spans="6:9" x14ac:dyDescent="0.3">
      <c r="F19091"/>
      <c r="G19091"/>
      <c r="H19091"/>
      <c r="I19091"/>
    </row>
    <row r="19092" spans="6:9" x14ac:dyDescent="0.3">
      <c r="F19092"/>
      <c r="G19092"/>
      <c r="H19092"/>
      <c r="I19092"/>
    </row>
    <row r="19093" spans="6:9" x14ac:dyDescent="0.3">
      <c r="F19093"/>
      <c r="G19093"/>
      <c r="H19093"/>
      <c r="I19093"/>
    </row>
    <row r="19094" spans="6:9" x14ac:dyDescent="0.3">
      <c r="F19094"/>
      <c r="G19094"/>
      <c r="H19094"/>
      <c r="I19094"/>
    </row>
    <row r="19095" spans="6:9" x14ac:dyDescent="0.3">
      <c r="F19095"/>
      <c r="G19095"/>
      <c r="H19095"/>
      <c r="I19095"/>
    </row>
    <row r="19096" spans="6:9" x14ac:dyDescent="0.3">
      <c r="F19096"/>
      <c r="G19096"/>
      <c r="H19096"/>
      <c r="I19096"/>
    </row>
    <row r="19097" spans="6:9" x14ac:dyDescent="0.3">
      <c r="F19097"/>
      <c r="G19097"/>
      <c r="H19097"/>
      <c r="I19097"/>
    </row>
    <row r="19098" spans="6:9" x14ac:dyDescent="0.3">
      <c r="F19098"/>
      <c r="G19098"/>
      <c r="H19098"/>
      <c r="I19098"/>
    </row>
    <row r="19099" spans="6:9" x14ac:dyDescent="0.3">
      <c r="F19099"/>
      <c r="G19099"/>
      <c r="H19099"/>
      <c r="I19099"/>
    </row>
    <row r="19100" spans="6:9" x14ac:dyDescent="0.3">
      <c r="F19100"/>
      <c r="G19100"/>
      <c r="H19100"/>
      <c r="I19100"/>
    </row>
    <row r="19101" spans="6:9" x14ac:dyDescent="0.3">
      <c r="F19101"/>
      <c r="G19101"/>
      <c r="H19101"/>
      <c r="I19101"/>
    </row>
    <row r="19102" spans="6:9" x14ac:dyDescent="0.3">
      <c r="F19102"/>
      <c r="G19102"/>
      <c r="H19102"/>
      <c r="I19102"/>
    </row>
    <row r="19103" spans="6:9" x14ac:dyDescent="0.3">
      <c r="F19103"/>
      <c r="G19103"/>
      <c r="H19103"/>
      <c r="I19103"/>
    </row>
    <row r="19104" spans="6:9" x14ac:dyDescent="0.3">
      <c r="F19104"/>
      <c r="G19104"/>
      <c r="H19104"/>
      <c r="I19104"/>
    </row>
    <row r="19105" spans="6:9" x14ac:dyDescent="0.3">
      <c r="F19105"/>
      <c r="G19105"/>
      <c r="H19105"/>
      <c r="I19105"/>
    </row>
    <row r="19106" spans="6:9" x14ac:dyDescent="0.3">
      <c r="F19106"/>
      <c r="G19106"/>
      <c r="H19106"/>
      <c r="I19106"/>
    </row>
    <row r="19107" spans="6:9" x14ac:dyDescent="0.3">
      <c r="F19107"/>
      <c r="G19107"/>
      <c r="H19107"/>
      <c r="I19107"/>
    </row>
    <row r="19108" spans="6:9" x14ac:dyDescent="0.3">
      <c r="F19108"/>
      <c r="G19108"/>
      <c r="H19108"/>
      <c r="I19108"/>
    </row>
    <row r="19109" spans="6:9" x14ac:dyDescent="0.3">
      <c r="F19109"/>
      <c r="G19109"/>
      <c r="H19109"/>
      <c r="I19109"/>
    </row>
    <row r="19110" spans="6:9" x14ac:dyDescent="0.3">
      <c r="F19110"/>
      <c r="G19110"/>
      <c r="H19110"/>
      <c r="I19110"/>
    </row>
    <row r="19111" spans="6:9" x14ac:dyDescent="0.3">
      <c r="F19111"/>
      <c r="G19111"/>
      <c r="H19111"/>
      <c r="I19111"/>
    </row>
    <row r="19112" spans="6:9" x14ac:dyDescent="0.3">
      <c r="F19112"/>
      <c r="G19112"/>
      <c r="H19112"/>
      <c r="I19112"/>
    </row>
    <row r="19113" spans="6:9" x14ac:dyDescent="0.3">
      <c r="F19113"/>
      <c r="G19113"/>
      <c r="H19113"/>
      <c r="I19113"/>
    </row>
    <row r="19114" spans="6:9" x14ac:dyDescent="0.3">
      <c r="F19114"/>
      <c r="G19114"/>
      <c r="H19114"/>
      <c r="I19114"/>
    </row>
    <row r="19115" spans="6:9" x14ac:dyDescent="0.3">
      <c r="F19115"/>
      <c r="G19115"/>
      <c r="H19115"/>
      <c r="I19115"/>
    </row>
    <row r="19116" spans="6:9" x14ac:dyDescent="0.3">
      <c r="F19116"/>
      <c r="G19116"/>
      <c r="H19116"/>
      <c r="I19116"/>
    </row>
    <row r="19117" spans="6:9" x14ac:dyDescent="0.3">
      <c r="F19117"/>
      <c r="G19117"/>
      <c r="H19117"/>
      <c r="I19117"/>
    </row>
    <row r="19118" spans="6:9" x14ac:dyDescent="0.3">
      <c r="F19118"/>
      <c r="G19118"/>
      <c r="H19118"/>
      <c r="I19118"/>
    </row>
    <row r="19119" spans="6:9" x14ac:dyDescent="0.3">
      <c r="F19119"/>
      <c r="G19119"/>
      <c r="H19119"/>
      <c r="I19119"/>
    </row>
    <row r="19120" spans="6:9" x14ac:dyDescent="0.3">
      <c r="F19120"/>
      <c r="G19120"/>
      <c r="H19120"/>
      <c r="I19120"/>
    </row>
    <row r="19121" spans="6:9" x14ac:dyDescent="0.3">
      <c r="F19121"/>
      <c r="G19121"/>
      <c r="H19121"/>
      <c r="I19121"/>
    </row>
    <row r="19122" spans="6:9" x14ac:dyDescent="0.3">
      <c r="F19122"/>
      <c r="G19122"/>
      <c r="H19122"/>
      <c r="I19122"/>
    </row>
    <row r="19123" spans="6:9" x14ac:dyDescent="0.3">
      <c r="F19123"/>
      <c r="G19123"/>
      <c r="H19123"/>
      <c r="I19123"/>
    </row>
    <row r="19124" spans="6:9" x14ac:dyDescent="0.3">
      <c r="F19124"/>
      <c r="G19124"/>
      <c r="H19124"/>
      <c r="I19124"/>
    </row>
    <row r="19125" spans="6:9" x14ac:dyDescent="0.3">
      <c r="F19125"/>
      <c r="G19125"/>
      <c r="H19125"/>
      <c r="I19125"/>
    </row>
    <row r="19126" spans="6:9" x14ac:dyDescent="0.3">
      <c r="F19126"/>
      <c r="G19126"/>
      <c r="H19126"/>
      <c r="I19126"/>
    </row>
    <row r="19127" spans="6:9" x14ac:dyDescent="0.3">
      <c r="F19127"/>
      <c r="G19127"/>
      <c r="H19127"/>
      <c r="I19127"/>
    </row>
    <row r="19128" spans="6:9" x14ac:dyDescent="0.3">
      <c r="F19128"/>
      <c r="G19128"/>
      <c r="H19128"/>
      <c r="I19128"/>
    </row>
    <row r="19129" spans="6:9" x14ac:dyDescent="0.3">
      <c r="F19129"/>
      <c r="G19129"/>
      <c r="H19129"/>
      <c r="I19129"/>
    </row>
    <row r="19130" spans="6:9" x14ac:dyDescent="0.3">
      <c r="F19130"/>
      <c r="G19130"/>
      <c r="H19130"/>
      <c r="I19130"/>
    </row>
    <row r="19131" spans="6:9" x14ac:dyDescent="0.3">
      <c r="F19131"/>
      <c r="G19131"/>
      <c r="H19131"/>
      <c r="I19131"/>
    </row>
    <row r="19132" spans="6:9" x14ac:dyDescent="0.3">
      <c r="F19132"/>
      <c r="G19132"/>
      <c r="H19132"/>
      <c r="I19132"/>
    </row>
    <row r="19133" spans="6:9" x14ac:dyDescent="0.3">
      <c r="F19133"/>
      <c r="G19133"/>
      <c r="H19133"/>
      <c r="I19133"/>
    </row>
    <row r="19134" spans="6:9" x14ac:dyDescent="0.3">
      <c r="F19134"/>
      <c r="G19134"/>
      <c r="H19134"/>
      <c r="I19134"/>
    </row>
    <row r="19135" spans="6:9" x14ac:dyDescent="0.3">
      <c r="F19135"/>
      <c r="G19135"/>
      <c r="H19135"/>
      <c r="I19135"/>
    </row>
    <row r="19136" spans="6:9" x14ac:dyDescent="0.3">
      <c r="F19136"/>
      <c r="G19136"/>
      <c r="H19136"/>
      <c r="I19136"/>
    </row>
    <row r="19137" spans="6:9" x14ac:dyDescent="0.3">
      <c r="F19137"/>
      <c r="G19137"/>
      <c r="H19137"/>
      <c r="I19137"/>
    </row>
    <row r="19138" spans="6:9" x14ac:dyDescent="0.3">
      <c r="F19138"/>
      <c r="G19138"/>
      <c r="H19138"/>
      <c r="I19138"/>
    </row>
    <row r="19139" spans="6:9" x14ac:dyDescent="0.3">
      <c r="F19139"/>
      <c r="G19139"/>
      <c r="H19139"/>
      <c r="I19139"/>
    </row>
    <row r="19140" spans="6:9" x14ac:dyDescent="0.3">
      <c r="F19140"/>
      <c r="G19140"/>
      <c r="H19140"/>
      <c r="I19140"/>
    </row>
    <row r="19141" spans="6:9" x14ac:dyDescent="0.3">
      <c r="F19141"/>
      <c r="G19141"/>
      <c r="H19141"/>
      <c r="I19141"/>
    </row>
    <row r="19142" spans="6:9" x14ac:dyDescent="0.3">
      <c r="F19142"/>
      <c r="G19142"/>
      <c r="H19142"/>
      <c r="I19142"/>
    </row>
    <row r="19143" spans="6:9" x14ac:dyDescent="0.3">
      <c r="F19143"/>
      <c r="G19143"/>
      <c r="H19143"/>
      <c r="I19143"/>
    </row>
    <row r="19144" spans="6:9" x14ac:dyDescent="0.3">
      <c r="F19144"/>
      <c r="G19144"/>
      <c r="H19144"/>
      <c r="I19144"/>
    </row>
    <row r="19145" spans="6:9" x14ac:dyDescent="0.3">
      <c r="F19145"/>
      <c r="G19145"/>
      <c r="H19145"/>
      <c r="I19145"/>
    </row>
    <row r="19146" spans="6:9" x14ac:dyDescent="0.3">
      <c r="F19146"/>
      <c r="G19146"/>
      <c r="H19146"/>
      <c r="I19146"/>
    </row>
    <row r="19147" spans="6:9" x14ac:dyDescent="0.3">
      <c r="F19147"/>
      <c r="G19147"/>
      <c r="H19147"/>
      <c r="I19147"/>
    </row>
    <row r="19148" spans="6:9" x14ac:dyDescent="0.3">
      <c r="F19148"/>
      <c r="G19148"/>
      <c r="H19148"/>
      <c r="I19148"/>
    </row>
    <row r="19149" spans="6:9" x14ac:dyDescent="0.3">
      <c r="F19149"/>
      <c r="G19149"/>
      <c r="H19149"/>
      <c r="I19149"/>
    </row>
    <row r="19150" spans="6:9" x14ac:dyDescent="0.3">
      <c r="F19150"/>
      <c r="G19150"/>
      <c r="H19150"/>
      <c r="I19150"/>
    </row>
    <row r="19151" spans="6:9" x14ac:dyDescent="0.3">
      <c r="F19151"/>
      <c r="G19151"/>
      <c r="H19151"/>
      <c r="I19151"/>
    </row>
    <row r="19152" spans="6:9" x14ac:dyDescent="0.3">
      <c r="F19152"/>
      <c r="G19152"/>
      <c r="H19152"/>
      <c r="I19152"/>
    </row>
    <row r="19153" spans="6:9" x14ac:dyDescent="0.3">
      <c r="F19153"/>
      <c r="G19153"/>
      <c r="H19153"/>
      <c r="I19153"/>
    </row>
    <row r="19154" spans="6:9" x14ac:dyDescent="0.3">
      <c r="F19154"/>
      <c r="G19154"/>
      <c r="H19154"/>
      <c r="I19154"/>
    </row>
    <row r="19155" spans="6:9" x14ac:dyDescent="0.3">
      <c r="F19155"/>
      <c r="G19155"/>
      <c r="H19155"/>
      <c r="I19155"/>
    </row>
    <row r="19156" spans="6:9" x14ac:dyDescent="0.3">
      <c r="F19156"/>
      <c r="G19156"/>
      <c r="H19156"/>
      <c r="I19156"/>
    </row>
    <row r="19157" spans="6:9" x14ac:dyDescent="0.3">
      <c r="F19157"/>
      <c r="G19157"/>
      <c r="H19157"/>
      <c r="I19157"/>
    </row>
    <row r="19158" spans="6:9" x14ac:dyDescent="0.3">
      <c r="F19158"/>
      <c r="G19158"/>
      <c r="H19158"/>
      <c r="I19158"/>
    </row>
    <row r="19159" spans="6:9" x14ac:dyDescent="0.3">
      <c r="F19159"/>
      <c r="G19159"/>
      <c r="H19159"/>
      <c r="I19159"/>
    </row>
    <row r="19160" spans="6:9" x14ac:dyDescent="0.3">
      <c r="F19160"/>
      <c r="G19160"/>
      <c r="H19160"/>
      <c r="I19160"/>
    </row>
    <row r="19161" spans="6:9" x14ac:dyDescent="0.3">
      <c r="F19161"/>
      <c r="G19161"/>
      <c r="H19161"/>
      <c r="I19161"/>
    </row>
    <row r="19162" spans="6:9" x14ac:dyDescent="0.3">
      <c r="F19162"/>
      <c r="G19162"/>
      <c r="H19162"/>
      <c r="I19162"/>
    </row>
    <row r="19163" spans="6:9" x14ac:dyDescent="0.3">
      <c r="F19163"/>
      <c r="G19163"/>
      <c r="H19163"/>
      <c r="I19163"/>
    </row>
    <row r="19164" spans="6:9" x14ac:dyDescent="0.3">
      <c r="F19164"/>
      <c r="G19164"/>
      <c r="H19164"/>
      <c r="I19164"/>
    </row>
    <row r="19165" spans="6:9" x14ac:dyDescent="0.3">
      <c r="F19165"/>
      <c r="G19165"/>
      <c r="H19165"/>
      <c r="I19165"/>
    </row>
    <row r="19166" spans="6:9" x14ac:dyDescent="0.3">
      <c r="F19166"/>
      <c r="G19166"/>
      <c r="H19166"/>
      <c r="I19166"/>
    </row>
    <row r="19167" spans="6:9" x14ac:dyDescent="0.3">
      <c r="F19167"/>
      <c r="G19167"/>
      <c r="H19167"/>
      <c r="I19167"/>
    </row>
    <row r="19168" spans="6:9" x14ac:dyDescent="0.3">
      <c r="F19168"/>
      <c r="G19168"/>
      <c r="H19168"/>
      <c r="I19168"/>
    </row>
    <row r="19169" spans="6:9" x14ac:dyDescent="0.3">
      <c r="F19169"/>
      <c r="G19169"/>
      <c r="H19169"/>
      <c r="I19169"/>
    </row>
    <row r="19170" spans="6:9" x14ac:dyDescent="0.3">
      <c r="F19170"/>
      <c r="G19170"/>
      <c r="H19170"/>
      <c r="I19170"/>
    </row>
    <row r="19171" spans="6:9" x14ac:dyDescent="0.3">
      <c r="F19171"/>
      <c r="G19171"/>
      <c r="H19171"/>
      <c r="I19171"/>
    </row>
    <row r="19172" spans="6:9" x14ac:dyDescent="0.3">
      <c r="F19172"/>
      <c r="G19172"/>
      <c r="H19172"/>
      <c r="I19172"/>
    </row>
    <row r="19173" spans="6:9" x14ac:dyDescent="0.3">
      <c r="F19173"/>
      <c r="G19173"/>
      <c r="H19173"/>
      <c r="I19173"/>
    </row>
    <row r="19174" spans="6:9" x14ac:dyDescent="0.3">
      <c r="F19174"/>
      <c r="G19174"/>
      <c r="H19174"/>
      <c r="I19174"/>
    </row>
    <row r="19175" spans="6:9" x14ac:dyDescent="0.3">
      <c r="F19175"/>
      <c r="G19175"/>
      <c r="H19175"/>
      <c r="I19175"/>
    </row>
    <row r="19176" spans="6:9" x14ac:dyDescent="0.3">
      <c r="F19176"/>
      <c r="G19176"/>
      <c r="H19176"/>
      <c r="I19176"/>
    </row>
    <row r="19177" spans="6:9" x14ac:dyDescent="0.3">
      <c r="F19177"/>
      <c r="G19177"/>
      <c r="H19177"/>
      <c r="I19177"/>
    </row>
    <row r="19178" spans="6:9" x14ac:dyDescent="0.3">
      <c r="F19178"/>
      <c r="G19178"/>
      <c r="H19178"/>
      <c r="I19178"/>
    </row>
    <row r="19179" spans="6:9" x14ac:dyDescent="0.3">
      <c r="F19179"/>
      <c r="G19179"/>
      <c r="H19179"/>
      <c r="I19179"/>
    </row>
    <row r="19180" spans="6:9" x14ac:dyDescent="0.3">
      <c r="F19180"/>
      <c r="G19180"/>
      <c r="H19180"/>
      <c r="I19180"/>
    </row>
    <row r="19181" spans="6:9" x14ac:dyDescent="0.3">
      <c r="F19181"/>
      <c r="G19181"/>
      <c r="H19181"/>
      <c r="I19181"/>
    </row>
    <row r="19182" spans="6:9" x14ac:dyDescent="0.3">
      <c r="F19182"/>
      <c r="G19182"/>
      <c r="H19182"/>
      <c r="I19182"/>
    </row>
    <row r="19183" spans="6:9" x14ac:dyDescent="0.3">
      <c r="F19183"/>
      <c r="G19183"/>
      <c r="H19183"/>
      <c r="I19183"/>
    </row>
    <row r="19184" spans="6:9" x14ac:dyDescent="0.3">
      <c r="F19184"/>
      <c r="G19184"/>
      <c r="H19184"/>
      <c r="I19184"/>
    </row>
    <row r="19185" spans="6:9" x14ac:dyDescent="0.3">
      <c r="F19185"/>
      <c r="G19185"/>
      <c r="H19185"/>
      <c r="I19185"/>
    </row>
    <row r="19186" spans="6:9" x14ac:dyDescent="0.3">
      <c r="F19186"/>
      <c r="G19186"/>
      <c r="H19186"/>
      <c r="I19186"/>
    </row>
    <row r="19187" spans="6:9" x14ac:dyDescent="0.3">
      <c r="F19187"/>
      <c r="G19187"/>
      <c r="H19187"/>
      <c r="I19187"/>
    </row>
    <row r="19188" spans="6:9" x14ac:dyDescent="0.3">
      <c r="F19188"/>
      <c r="G19188"/>
      <c r="H19188"/>
      <c r="I19188"/>
    </row>
    <row r="19189" spans="6:9" x14ac:dyDescent="0.3">
      <c r="F19189"/>
      <c r="G19189"/>
      <c r="H19189"/>
      <c r="I19189"/>
    </row>
    <row r="19190" spans="6:9" x14ac:dyDescent="0.3">
      <c r="F19190"/>
      <c r="G19190"/>
      <c r="H19190"/>
      <c r="I19190"/>
    </row>
    <row r="19191" spans="6:9" x14ac:dyDescent="0.3">
      <c r="F19191"/>
      <c r="G19191"/>
      <c r="H19191"/>
      <c r="I19191"/>
    </row>
    <row r="19192" spans="6:9" x14ac:dyDescent="0.3">
      <c r="F19192"/>
      <c r="G19192"/>
      <c r="H19192"/>
      <c r="I19192"/>
    </row>
    <row r="19193" spans="6:9" x14ac:dyDescent="0.3">
      <c r="F19193"/>
      <c r="G19193"/>
      <c r="H19193"/>
      <c r="I19193"/>
    </row>
    <row r="19194" spans="6:9" x14ac:dyDescent="0.3">
      <c r="F19194"/>
      <c r="G19194"/>
      <c r="H19194"/>
      <c r="I19194"/>
    </row>
    <row r="19195" spans="6:9" x14ac:dyDescent="0.3">
      <c r="F19195"/>
      <c r="G19195"/>
      <c r="H19195"/>
      <c r="I19195"/>
    </row>
    <row r="19196" spans="6:9" x14ac:dyDescent="0.3">
      <c r="F19196"/>
      <c r="G19196"/>
      <c r="H19196"/>
      <c r="I19196"/>
    </row>
    <row r="19197" spans="6:9" x14ac:dyDescent="0.3">
      <c r="F19197"/>
      <c r="G19197"/>
      <c r="H19197"/>
      <c r="I19197"/>
    </row>
    <row r="19198" spans="6:9" x14ac:dyDescent="0.3">
      <c r="F19198"/>
      <c r="G19198"/>
      <c r="H19198"/>
      <c r="I19198"/>
    </row>
    <row r="19199" spans="6:9" x14ac:dyDescent="0.3">
      <c r="F19199"/>
      <c r="G19199"/>
      <c r="H19199"/>
      <c r="I19199"/>
    </row>
    <row r="19200" spans="6:9" x14ac:dyDescent="0.3">
      <c r="F19200"/>
      <c r="G19200"/>
      <c r="H19200"/>
      <c r="I19200"/>
    </row>
    <row r="19201" spans="6:9" x14ac:dyDescent="0.3">
      <c r="F19201"/>
      <c r="G19201"/>
      <c r="H19201"/>
      <c r="I19201"/>
    </row>
    <row r="19202" spans="6:9" x14ac:dyDescent="0.3">
      <c r="F19202"/>
      <c r="G19202"/>
      <c r="H19202"/>
      <c r="I19202"/>
    </row>
    <row r="19203" spans="6:9" x14ac:dyDescent="0.3">
      <c r="F19203"/>
      <c r="G19203"/>
      <c r="H19203"/>
      <c r="I19203"/>
    </row>
    <row r="19204" spans="6:9" x14ac:dyDescent="0.3">
      <c r="F19204"/>
      <c r="G19204"/>
      <c r="H19204"/>
      <c r="I19204"/>
    </row>
    <row r="19205" spans="6:9" x14ac:dyDescent="0.3">
      <c r="F19205"/>
      <c r="G19205"/>
      <c r="H19205"/>
      <c r="I19205"/>
    </row>
    <row r="19206" spans="6:9" x14ac:dyDescent="0.3">
      <c r="F19206"/>
      <c r="G19206"/>
      <c r="H19206"/>
      <c r="I19206"/>
    </row>
    <row r="19207" spans="6:9" x14ac:dyDescent="0.3">
      <c r="F19207"/>
      <c r="G19207"/>
      <c r="H19207"/>
      <c r="I19207"/>
    </row>
    <row r="19208" spans="6:9" x14ac:dyDescent="0.3">
      <c r="F19208"/>
      <c r="G19208"/>
      <c r="H19208"/>
      <c r="I19208"/>
    </row>
    <row r="19209" spans="6:9" x14ac:dyDescent="0.3">
      <c r="F19209"/>
      <c r="G19209"/>
      <c r="H19209"/>
      <c r="I19209"/>
    </row>
    <row r="19210" spans="6:9" x14ac:dyDescent="0.3">
      <c r="F19210"/>
      <c r="G19210"/>
      <c r="H19210"/>
      <c r="I19210"/>
    </row>
    <row r="19211" spans="6:9" x14ac:dyDescent="0.3">
      <c r="F19211"/>
      <c r="G19211"/>
      <c r="H19211"/>
      <c r="I19211"/>
    </row>
    <row r="19212" spans="6:9" x14ac:dyDescent="0.3">
      <c r="F19212"/>
      <c r="G19212"/>
      <c r="H19212"/>
      <c r="I19212"/>
    </row>
    <row r="19213" spans="6:9" x14ac:dyDescent="0.3">
      <c r="F19213"/>
      <c r="G19213"/>
      <c r="H19213"/>
      <c r="I19213"/>
    </row>
    <row r="19214" spans="6:9" x14ac:dyDescent="0.3">
      <c r="F19214"/>
      <c r="G19214"/>
      <c r="H19214"/>
      <c r="I19214"/>
    </row>
    <row r="19215" spans="6:9" x14ac:dyDescent="0.3">
      <c r="F19215"/>
      <c r="G19215"/>
      <c r="H19215"/>
      <c r="I19215"/>
    </row>
    <row r="19216" spans="6:9" x14ac:dyDescent="0.3">
      <c r="F19216"/>
      <c r="G19216"/>
      <c r="H19216"/>
      <c r="I19216"/>
    </row>
    <row r="19217" spans="6:9" x14ac:dyDescent="0.3">
      <c r="F19217"/>
      <c r="G19217"/>
      <c r="H19217"/>
      <c r="I19217"/>
    </row>
    <row r="19218" spans="6:9" x14ac:dyDescent="0.3">
      <c r="F19218"/>
      <c r="G19218"/>
      <c r="H19218"/>
      <c r="I19218"/>
    </row>
    <row r="19219" spans="6:9" x14ac:dyDescent="0.3">
      <c r="F19219"/>
      <c r="G19219"/>
      <c r="H19219"/>
      <c r="I19219"/>
    </row>
    <row r="19220" spans="6:9" x14ac:dyDescent="0.3">
      <c r="F19220"/>
      <c r="G19220"/>
      <c r="H19220"/>
      <c r="I19220"/>
    </row>
    <row r="19221" spans="6:9" x14ac:dyDescent="0.3">
      <c r="F19221"/>
      <c r="G19221"/>
      <c r="H19221"/>
      <c r="I19221"/>
    </row>
    <row r="19222" spans="6:9" x14ac:dyDescent="0.3">
      <c r="F19222"/>
      <c r="G19222"/>
      <c r="H19222"/>
      <c r="I19222"/>
    </row>
    <row r="19223" spans="6:9" x14ac:dyDescent="0.3">
      <c r="F19223"/>
      <c r="G19223"/>
      <c r="H19223"/>
      <c r="I19223"/>
    </row>
    <row r="19224" spans="6:9" x14ac:dyDescent="0.3">
      <c r="F19224"/>
      <c r="G19224"/>
      <c r="H19224"/>
      <c r="I19224"/>
    </row>
    <row r="19225" spans="6:9" x14ac:dyDescent="0.3">
      <c r="F19225"/>
      <c r="G19225"/>
      <c r="H19225"/>
      <c r="I19225"/>
    </row>
    <row r="19226" spans="6:9" x14ac:dyDescent="0.3">
      <c r="F19226"/>
      <c r="G19226"/>
      <c r="H19226"/>
      <c r="I19226"/>
    </row>
    <row r="19227" spans="6:9" x14ac:dyDescent="0.3">
      <c r="F19227"/>
      <c r="G19227"/>
      <c r="H19227"/>
      <c r="I19227"/>
    </row>
    <row r="19228" spans="6:9" x14ac:dyDescent="0.3">
      <c r="F19228"/>
      <c r="G19228"/>
      <c r="H19228"/>
      <c r="I19228"/>
    </row>
    <row r="19229" spans="6:9" x14ac:dyDescent="0.3">
      <c r="F19229"/>
      <c r="G19229"/>
      <c r="H19229"/>
      <c r="I19229"/>
    </row>
    <row r="19230" spans="6:9" x14ac:dyDescent="0.3">
      <c r="F19230"/>
      <c r="G19230"/>
      <c r="H19230"/>
      <c r="I19230"/>
    </row>
    <row r="19231" spans="6:9" x14ac:dyDescent="0.3">
      <c r="F19231"/>
      <c r="G19231"/>
      <c r="H19231"/>
      <c r="I19231"/>
    </row>
    <row r="19232" spans="6:9" x14ac:dyDescent="0.3">
      <c r="F19232"/>
      <c r="G19232"/>
      <c r="H19232"/>
      <c r="I19232"/>
    </row>
    <row r="19233" spans="6:9" x14ac:dyDescent="0.3">
      <c r="F19233"/>
      <c r="G19233"/>
      <c r="H19233"/>
      <c r="I19233"/>
    </row>
    <row r="19234" spans="6:9" x14ac:dyDescent="0.3">
      <c r="F19234"/>
      <c r="G19234"/>
      <c r="H19234"/>
      <c r="I19234"/>
    </row>
    <row r="19235" spans="6:9" x14ac:dyDescent="0.3">
      <c r="F19235"/>
      <c r="G19235"/>
      <c r="H19235"/>
      <c r="I19235"/>
    </row>
    <row r="19236" spans="6:9" x14ac:dyDescent="0.3">
      <c r="F19236"/>
      <c r="G19236"/>
      <c r="H19236"/>
      <c r="I19236"/>
    </row>
    <row r="19237" spans="6:9" x14ac:dyDescent="0.3">
      <c r="F19237"/>
      <c r="G19237"/>
      <c r="H19237"/>
      <c r="I19237"/>
    </row>
    <row r="19238" spans="6:9" x14ac:dyDescent="0.3">
      <c r="F19238"/>
      <c r="G19238"/>
      <c r="H19238"/>
      <c r="I19238"/>
    </row>
    <row r="19239" spans="6:9" x14ac:dyDescent="0.3">
      <c r="F19239"/>
      <c r="G19239"/>
      <c r="H19239"/>
      <c r="I19239"/>
    </row>
    <row r="19240" spans="6:9" x14ac:dyDescent="0.3">
      <c r="F19240"/>
      <c r="G19240"/>
      <c r="H19240"/>
      <c r="I19240"/>
    </row>
    <row r="19241" spans="6:9" x14ac:dyDescent="0.3">
      <c r="F19241"/>
      <c r="G19241"/>
      <c r="H19241"/>
      <c r="I19241"/>
    </row>
    <row r="19242" spans="6:9" x14ac:dyDescent="0.3">
      <c r="F19242"/>
      <c r="G19242"/>
      <c r="H19242"/>
      <c r="I19242"/>
    </row>
    <row r="19243" spans="6:9" x14ac:dyDescent="0.3">
      <c r="F19243"/>
      <c r="G19243"/>
      <c r="H19243"/>
      <c r="I19243"/>
    </row>
    <row r="19244" spans="6:9" x14ac:dyDescent="0.3">
      <c r="F19244"/>
      <c r="G19244"/>
      <c r="H19244"/>
      <c r="I19244"/>
    </row>
    <row r="19245" spans="6:9" x14ac:dyDescent="0.3">
      <c r="F19245"/>
      <c r="G19245"/>
      <c r="H19245"/>
      <c r="I19245"/>
    </row>
    <row r="19246" spans="6:9" x14ac:dyDescent="0.3">
      <c r="F19246"/>
      <c r="G19246"/>
      <c r="H19246"/>
      <c r="I19246"/>
    </row>
    <row r="19247" spans="6:9" x14ac:dyDescent="0.3">
      <c r="F19247"/>
      <c r="G19247"/>
      <c r="H19247"/>
      <c r="I19247"/>
    </row>
    <row r="19248" spans="6:9" x14ac:dyDescent="0.3">
      <c r="F19248"/>
      <c r="G19248"/>
      <c r="H19248"/>
      <c r="I19248"/>
    </row>
    <row r="19249" spans="6:9" x14ac:dyDescent="0.3">
      <c r="F19249"/>
      <c r="G19249"/>
      <c r="H19249"/>
      <c r="I19249"/>
    </row>
    <row r="19250" spans="6:9" x14ac:dyDescent="0.3">
      <c r="F19250"/>
      <c r="G19250"/>
      <c r="H19250"/>
      <c r="I19250"/>
    </row>
    <row r="19251" spans="6:9" x14ac:dyDescent="0.3">
      <c r="F19251"/>
      <c r="G19251"/>
      <c r="H19251"/>
      <c r="I19251"/>
    </row>
    <row r="19252" spans="6:9" x14ac:dyDescent="0.3">
      <c r="F19252"/>
      <c r="G19252"/>
      <c r="H19252"/>
      <c r="I19252"/>
    </row>
    <row r="19253" spans="6:9" x14ac:dyDescent="0.3">
      <c r="F19253"/>
      <c r="G19253"/>
      <c r="H19253"/>
      <c r="I19253"/>
    </row>
    <row r="19254" spans="6:9" x14ac:dyDescent="0.3">
      <c r="F19254"/>
      <c r="G19254"/>
      <c r="H19254"/>
      <c r="I19254"/>
    </row>
    <row r="19255" spans="6:9" x14ac:dyDescent="0.3">
      <c r="F19255"/>
      <c r="G19255"/>
      <c r="H19255"/>
      <c r="I19255"/>
    </row>
    <row r="19256" spans="6:9" x14ac:dyDescent="0.3">
      <c r="F19256"/>
      <c r="G19256"/>
      <c r="H19256"/>
      <c r="I19256"/>
    </row>
    <row r="19257" spans="6:9" x14ac:dyDescent="0.3">
      <c r="F19257"/>
      <c r="G19257"/>
      <c r="H19257"/>
      <c r="I19257"/>
    </row>
    <row r="19258" spans="6:9" x14ac:dyDescent="0.3">
      <c r="F19258"/>
      <c r="G19258"/>
      <c r="H19258"/>
      <c r="I19258"/>
    </row>
    <row r="19259" spans="6:9" x14ac:dyDescent="0.3">
      <c r="F19259"/>
      <c r="G19259"/>
      <c r="H19259"/>
      <c r="I19259"/>
    </row>
    <row r="19260" spans="6:9" x14ac:dyDescent="0.3">
      <c r="F19260"/>
      <c r="G19260"/>
      <c r="H19260"/>
      <c r="I19260"/>
    </row>
    <row r="19261" spans="6:9" x14ac:dyDescent="0.3">
      <c r="F19261"/>
      <c r="G19261"/>
      <c r="H19261"/>
      <c r="I19261"/>
    </row>
    <row r="19262" spans="6:9" x14ac:dyDescent="0.3">
      <c r="F19262"/>
      <c r="G19262"/>
      <c r="H19262"/>
      <c r="I19262"/>
    </row>
    <row r="19263" spans="6:9" x14ac:dyDescent="0.3">
      <c r="F19263"/>
      <c r="G19263"/>
      <c r="H19263"/>
      <c r="I19263"/>
    </row>
    <row r="19264" spans="6:9" x14ac:dyDescent="0.3">
      <c r="F19264"/>
      <c r="G19264"/>
      <c r="H19264"/>
      <c r="I19264"/>
    </row>
    <row r="19265" spans="6:9" x14ac:dyDescent="0.3">
      <c r="F19265"/>
      <c r="G19265"/>
      <c r="H19265"/>
      <c r="I19265"/>
    </row>
    <row r="19266" spans="6:9" x14ac:dyDescent="0.3">
      <c r="F19266"/>
      <c r="G19266"/>
      <c r="H19266"/>
      <c r="I19266"/>
    </row>
    <row r="19267" spans="6:9" x14ac:dyDescent="0.3">
      <c r="F19267"/>
      <c r="G19267"/>
      <c r="H19267"/>
      <c r="I19267"/>
    </row>
    <row r="19268" spans="6:9" x14ac:dyDescent="0.3">
      <c r="F19268"/>
      <c r="G19268"/>
      <c r="H19268"/>
      <c r="I19268"/>
    </row>
    <row r="19269" spans="6:9" x14ac:dyDescent="0.3">
      <c r="F19269"/>
      <c r="G19269"/>
      <c r="H19269"/>
      <c r="I19269"/>
    </row>
    <row r="19270" spans="6:9" x14ac:dyDescent="0.3">
      <c r="F19270"/>
      <c r="G19270"/>
      <c r="H19270"/>
      <c r="I19270"/>
    </row>
    <row r="19271" spans="6:9" x14ac:dyDescent="0.3">
      <c r="F19271"/>
      <c r="G19271"/>
      <c r="H19271"/>
      <c r="I19271"/>
    </row>
    <row r="19272" spans="6:9" x14ac:dyDescent="0.3">
      <c r="F19272"/>
      <c r="G19272"/>
      <c r="H19272"/>
      <c r="I19272"/>
    </row>
    <row r="19273" spans="6:9" x14ac:dyDescent="0.3">
      <c r="F19273"/>
      <c r="G19273"/>
      <c r="H19273"/>
      <c r="I19273"/>
    </row>
    <row r="19274" spans="6:9" x14ac:dyDescent="0.3">
      <c r="F19274"/>
      <c r="G19274"/>
      <c r="H19274"/>
      <c r="I19274"/>
    </row>
    <row r="19275" spans="6:9" x14ac:dyDescent="0.3">
      <c r="F19275"/>
      <c r="G19275"/>
      <c r="H19275"/>
      <c r="I19275"/>
    </row>
    <row r="19276" spans="6:9" x14ac:dyDescent="0.3">
      <c r="F19276"/>
      <c r="G19276"/>
      <c r="H19276"/>
      <c r="I19276"/>
    </row>
    <row r="19277" spans="6:9" x14ac:dyDescent="0.3">
      <c r="F19277"/>
      <c r="G19277"/>
      <c r="H19277"/>
      <c r="I19277"/>
    </row>
    <row r="19278" spans="6:9" x14ac:dyDescent="0.3">
      <c r="F19278"/>
      <c r="G19278"/>
      <c r="H19278"/>
      <c r="I19278"/>
    </row>
    <row r="19279" spans="6:9" x14ac:dyDescent="0.3">
      <c r="F19279"/>
      <c r="G19279"/>
      <c r="H19279"/>
      <c r="I19279"/>
    </row>
    <row r="19280" spans="6:9" x14ac:dyDescent="0.3">
      <c r="F19280"/>
      <c r="G19280"/>
      <c r="H19280"/>
      <c r="I19280"/>
    </row>
    <row r="19281" spans="6:9" x14ac:dyDescent="0.3">
      <c r="F19281"/>
      <c r="G19281"/>
      <c r="H19281"/>
      <c r="I19281"/>
    </row>
    <row r="19282" spans="6:9" x14ac:dyDescent="0.3">
      <c r="F19282"/>
      <c r="G19282"/>
      <c r="H19282"/>
      <c r="I19282"/>
    </row>
    <row r="19283" spans="6:9" x14ac:dyDescent="0.3">
      <c r="F19283"/>
      <c r="G19283"/>
      <c r="H19283"/>
      <c r="I19283"/>
    </row>
    <row r="19284" spans="6:9" x14ac:dyDescent="0.3">
      <c r="F19284"/>
      <c r="G19284"/>
      <c r="H19284"/>
      <c r="I19284"/>
    </row>
    <row r="19285" spans="6:9" x14ac:dyDescent="0.3">
      <c r="F19285"/>
      <c r="G19285"/>
      <c r="H19285"/>
      <c r="I19285"/>
    </row>
    <row r="19286" spans="6:9" x14ac:dyDescent="0.3">
      <c r="F19286"/>
      <c r="G19286"/>
      <c r="H19286"/>
      <c r="I19286"/>
    </row>
    <row r="19287" spans="6:9" x14ac:dyDescent="0.3">
      <c r="F19287"/>
      <c r="G19287"/>
      <c r="H19287"/>
      <c r="I19287"/>
    </row>
    <row r="19288" spans="6:9" x14ac:dyDescent="0.3">
      <c r="F19288"/>
      <c r="G19288"/>
      <c r="H19288"/>
      <c r="I19288"/>
    </row>
    <row r="19289" spans="6:9" x14ac:dyDescent="0.3">
      <c r="F19289"/>
      <c r="G19289"/>
      <c r="H19289"/>
      <c r="I19289"/>
    </row>
    <row r="19290" spans="6:9" x14ac:dyDescent="0.3">
      <c r="F19290"/>
      <c r="G19290"/>
      <c r="H19290"/>
      <c r="I19290"/>
    </row>
    <row r="19291" spans="6:9" x14ac:dyDescent="0.3">
      <c r="F19291"/>
      <c r="G19291"/>
      <c r="H19291"/>
      <c r="I19291"/>
    </row>
    <row r="19292" spans="6:9" x14ac:dyDescent="0.3">
      <c r="F19292"/>
      <c r="G19292"/>
      <c r="H19292"/>
      <c r="I19292"/>
    </row>
    <row r="19293" spans="6:9" x14ac:dyDescent="0.3">
      <c r="F19293"/>
      <c r="G19293"/>
      <c r="H19293"/>
      <c r="I19293"/>
    </row>
    <row r="19294" spans="6:9" x14ac:dyDescent="0.3">
      <c r="F19294"/>
      <c r="G19294"/>
      <c r="H19294"/>
      <c r="I19294"/>
    </row>
    <row r="19295" spans="6:9" x14ac:dyDescent="0.3">
      <c r="F19295"/>
      <c r="G19295"/>
      <c r="H19295"/>
      <c r="I19295"/>
    </row>
    <row r="19296" spans="6:9" x14ac:dyDescent="0.3">
      <c r="F19296"/>
      <c r="G19296"/>
      <c r="H19296"/>
      <c r="I19296"/>
    </row>
    <row r="19297" spans="6:9" x14ac:dyDescent="0.3">
      <c r="F19297"/>
      <c r="G19297"/>
      <c r="H19297"/>
      <c r="I19297"/>
    </row>
    <row r="19298" spans="6:9" x14ac:dyDescent="0.3">
      <c r="F19298"/>
      <c r="G19298"/>
      <c r="H19298"/>
      <c r="I19298"/>
    </row>
    <row r="19299" spans="6:9" x14ac:dyDescent="0.3">
      <c r="F19299"/>
      <c r="G19299"/>
      <c r="H19299"/>
      <c r="I19299"/>
    </row>
    <row r="19300" spans="6:9" x14ac:dyDescent="0.3">
      <c r="F19300"/>
      <c r="G19300"/>
      <c r="H19300"/>
      <c r="I19300"/>
    </row>
    <row r="19301" spans="6:9" x14ac:dyDescent="0.3">
      <c r="F19301"/>
      <c r="G19301"/>
      <c r="H19301"/>
      <c r="I19301"/>
    </row>
    <row r="19302" spans="6:9" x14ac:dyDescent="0.3">
      <c r="F19302"/>
      <c r="G19302"/>
      <c r="H19302"/>
      <c r="I19302"/>
    </row>
    <row r="19303" spans="6:9" x14ac:dyDescent="0.3">
      <c r="F19303"/>
      <c r="G19303"/>
      <c r="H19303"/>
      <c r="I19303"/>
    </row>
    <row r="19304" spans="6:9" x14ac:dyDescent="0.3">
      <c r="F19304"/>
      <c r="G19304"/>
      <c r="H19304"/>
      <c r="I19304"/>
    </row>
    <row r="19305" spans="6:9" x14ac:dyDescent="0.3">
      <c r="F19305"/>
      <c r="G19305"/>
      <c r="H19305"/>
      <c r="I19305"/>
    </row>
    <row r="19306" spans="6:9" x14ac:dyDescent="0.3">
      <c r="F19306"/>
      <c r="G19306"/>
      <c r="H19306"/>
      <c r="I19306"/>
    </row>
    <row r="19307" spans="6:9" x14ac:dyDescent="0.3">
      <c r="F19307"/>
      <c r="G19307"/>
      <c r="H19307"/>
      <c r="I19307"/>
    </row>
    <row r="19308" spans="6:9" x14ac:dyDescent="0.3">
      <c r="F19308"/>
      <c r="G19308"/>
      <c r="H19308"/>
      <c r="I19308"/>
    </row>
    <row r="19309" spans="6:9" x14ac:dyDescent="0.3">
      <c r="F19309"/>
      <c r="G19309"/>
      <c r="H19309"/>
      <c r="I19309"/>
    </row>
    <row r="19310" spans="6:9" x14ac:dyDescent="0.3">
      <c r="F19310"/>
      <c r="G19310"/>
      <c r="H19310"/>
      <c r="I19310"/>
    </row>
    <row r="19311" spans="6:9" x14ac:dyDescent="0.3">
      <c r="F19311"/>
      <c r="G19311"/>
      <c r="H19311"/>
      <c r="I19311"/>
    </row>
    <row r="19312" spans="6:9" x14ac:dyDescent="0.3">
      <c r="F19312"/>
      <c r="G19312"/>
      <c r="H19312"/>
      <c r="I19312"/>
    </row>
    <row r="19313" spans="6:9" x14ac:dyDescent="0.3">
      <c r="F19313"/>
      <c r="G19313"/>
      <c r="H19313"/>
      <c r="I19313"/>
    </row>
    <row r="19314" spans="6:9" x14ac:dyDescent="0.3">
      <c r="F19314"/>
      <c r="G19314"/>
      <c r="H19314"/>
      <c r="I19314"/>
    </row>
    <row r="19315" spans="6:9" x14ac:dyDescent="0.3">
      <c r="F19315"/>
      <c r="G19315"/>
      <c r="H19315"/>
      <c r="I19315"/>
    </row>
    <row r="19316" spans="6:9" x14ac:dyDescent="0.3">
      <c r="F19316"/>
      <c r="G19316"/>
      <c r="H19316"/>
      <c r="I19316"/>
    </row>
    <row r="19317" spans="6:9" x14ac:dyDescent="0.3">
      <c r="F19317"/>
      <c r="G19317"/>
      <c r="H19317"/>
      <c r="I19317"/>
    </row>
    <row r="19318" spans="6:9" x14ac:dyDescent="0.3">
      <c r="F19318"/>
      <c r="G19318"/>
      <c r="H19318"/>
      <c r="I19318"/>
    </row>
    <row r="19319" spans="6:9" x14ac:dyDescent="0.3">
      <c r="F19319"/>
      <c r="G19319"/>
      <c r="H19319"/>
      <c r="I19319"/>
    </row>
    <row r="19320" spans="6:9" x14ac:dyDescent="0.3">
      <c r="F19320"/>
      <c r="G19320"/>
      <c r="H19320"/>
      <c r="I19320"/>
    </row>
    <row r="19321" spans="6:9" x14ac:dyDescent="0.3">
      <c r="F19321"/>
      <c r="G19321"/>
      <c r="H19321"/>
      <c r="I19321"/>
    </row>
    <row r="19322" spans="6:9" x14ac:dyDescent="0.3">
      <c r="F19322"/>
      <c r="G19322"/>
      <c r="H19322"/>
      <c r="I19322"/>
    </row>
    <row r="19323" spans="6:9" x14ac:dyDescent="0.3">
      <c r="F19323"/>
      <c r="G19323"/>
      <c r="H19323"/>
      <c r="I19323"/>
    </row>
    <row r="19324" spans="6:9" x14ac:dyDescent="0.3">
      <c r="F19324"/>
      <c r="G19324"/>
      <c r="H19324"/>
      <c r="I19324"/>
    </row>
    <row r="19325" spans="6:9" x14ac:dyDescent="0.3">
      <c r="F19325"/>
      <c r="G19325"/>
      <c r="H19325"/>
      <c r="I19325"/>
    </row>
    <row r="19326" spans="6:9" x14ac:dyDescent="0.3">
      <c r="F19326"/>
      <c r="G19326"/>
      <c r="H19326"/>
      <c r="I19326"/>
    </row>
    <row r="19327" spans="6:9" x14ac:dyDescent="0.3">
      <c r="F19327"/>
      <c r="G19327"/>
      <c r="H19327"/>
      <c r="I19327"/>
    </row>
    <row r="19328" spans="6:9" x14ac:dyDescent="0.3">
      <c r="F19328"/>
      <c r="G19328"/>
      <c r="H19328"/>
      <c r="I19328"/>
    </row>
    <row r="19329" spans="6:9" x14ac:dyDescent="0.3">
      <c r="F19329"/>
      <c r="G19329"/>
      <c r="H19329"/>
      <c r="I19329"/>
    </row>
    <row r="19330" spans="6:9" x14ac:dyDescent="0.3">
      <c r="F19330"/>
      <c r="G19330"/>
      <c r="H19330"/>
      <c r="I19330"/>
    </row>
    <row r="19331" spans="6:9" x14ac:dyDescent="0.3">
      <c r="F19331"/>
      <c r="G19331"/>
      <c r="H19331"/>
      <c r="I19331"/>
    </row>
    <row r="19332" spans="6:9" x14ac:dyDescent="0.3">
      <c r="F19332"/>
      <c r="G19332"/>
      <c r="H19332"/>
      <c r="I19332"/>
    </row>
    <row r="19333" spans="6:9" x14ac:dyDescent="0.3">
      <c r="F19333"/>
      <c r="G19333"/>
      <c r="H19333"/>
      <c r="I19333"/>
    </row>
    <row r="19334" spans="6:9" x14ac:dyDescent="0.3">
      <c r="F19334"/>
      <c r="G19334"/>
      <c r="H19334"/>
      <c r="I19334"/>
    </row>
    <row r="19335" spans="6:9" x14ac:dyDescent="0.3">
      <c r="F19335"/>
      <c r="G19335"/>
      <c r="H19335"/>
      <c r="I19335"/>
    </row>
    <row r="19336" spans="6:9" x14ac:dyDescent="0.3">
      <c r="F19336"/>
      <c r="G19336"/>
      <c r="H19336"/>
      <c r="I19336"/>
    </row>
    <row r="19337" spans="6:9" x14ac:dyDescent="0.3">
      <c r="F19337"/>
      <c r="G19337"/>
      <c r="H19337"/>
      <c r="I19337"/>
    </row>
    <row r="19338" spans="6:9" x14ac:dyDescent="0.3">
      <c r="F19338"/>
      <c r="G19338"/>
      <c r="H19338"/>
      <c r="I19338"/>
    </row>
    <row r="19339" spans="6:9" x14ac:dyDescent="0.3">
      <c r="F19339"/>
      <c r="G19339"/>
      <c r="H19339"/>
      <c r="I19339"/>
    </row>
    <row r="19340" spans="6:9" x14ac:dyDescent="0.3">
      <c r="F19340"/>
      <c r="G19340"/>
      <c r="H19340"/>
      <c r="I19340"/>
    </row>
    <row r="19341" spans="6:9" x14ac:dyDescent="0.3">
      <c r="F19341"/>
      <c r="G19341"/>
      <c r="H19341"/>
      <c r="I19341"/>
    </row>
    <row r="19342" spans="6:9" x14ac:dyDescent="0.3">
      <c r="F19342"/>
      <c r="G19342"/>
      <c r="H19342"/>
      <c r="I19342"/>
    </row>
    <row r="19343" spans="6:9" x14ac:dyDescent="0.3">
      <c r="F19343"/>
      <c r="G19343"/>
      <c r="H19343"/>
      <c r="I19343"/>
    </row>
    <row r="19344" spans="6:9" x14ac:dyDescent="0.3">
      <c r="F19344"/>
      <c r="G19344"/>
      <c r="H19344"/>
      <c r="I19344"/>
    </row>
    <row r="19345" spans="6:9" x14ac:dyDescent="0.3">
      <c r="F19345"/>
      <c r="G19345"/>
      <c r="H19345"/>
      <c r="I19345"/>
    </row>
    <row r="19346" spans="6:9" x14ac:dyDescent="0.3">
      <c r="F19346"/>
      <c r="G19346"/>
      <c r="H19346"/>
      <c r="I19346"/>
    </row>
    <row r="19347" spans="6:9" x14ac:dyDescent="0.3">
      <c r="F19347"/>
      <c r="G19347"/>
      <c r="H19347"/>
      <c r="I19347"/>
    </row>
    <row r="19348" spans="6:9" x14ac:dyDescent="0.3">
      <c r="F19348"/>
      <c r="G19348"/>
      <c r="H19348"/>
      <c r="I19348"/>
    </row>
    <row r="19349" spans="6:9" x14ac:dyDescent="0.3">
      <c r="F19349"/>
      <c r="G19349"/>
      <c r="H19349"/>
      <c r="I19349"/>
    </row>
    <row r="19350" spans="6:9" x14ac:dyDescent="0.3">
      <c r="F19350"/>
      <c r="G19350"/>
      <c r="H19350"/>
      <c r="I19350"/>
    </row>
    <row r="19351" spans="6:9" x14ac:dyDescent="0.3">
      <c r="F19351"/>
      <c r="G19351"/>
      <c r="H19351"/>
      <c r="I19351"/>
    </row>
    <row r="19352" spans="6:9" x14ac:dyDescent="0.3">
      <c r="F19352"/>
      <c r="G19352"/>
      <c r="H19352"/>
      <c r="I19352"/>
    </row>
    <row r="19353" spans="6:9" x14ac:dyDescent="0.3">
      <c r="F19353"/>
      <c r="G19353"/>
      <c r="H19353"/>
      <c r="I19353"/>
    </row>
    <row r="19354" spans="6:9" x14ac:dyDescent="0.3">
      <c r="F19354"/>
      <c r="G19354"/>
      <c r="H19354"/>
      <c r="I19354"/>
    </row>
    <row r="19355" spans="6:9" x14ac:dyDescent="0.3">
      <c r="F19355"/>
      <c r="G19355"/>
      <c r="H19355"/>
      <c r="I19355"/>
    </row>
    <row r="19356" spans="6:9" x14ac:dyDescent="0.3">
      <c r="F19356"/>
      <c r="G19356"/>
      <c r="H19356"/>
      <c r="I19356"/>
    </row>
    <row r="19357" spans="6:9" x14ac:dyDescent="0.3">
      <c r="F19357"/>
      <c r="G19357"/>
      <c r="H19357"/>
      <c r="I19357"/>
    </row>
    <row r="19358" spans="6:9" x14ac:dyDescent="0.3">
      <c r="F19358"/>
      <c r="G19358"/>
      <c r="H19358"/>
      <c r="I19358"/>
    </row>
    <row r="19359" spans="6:9" x14ac:dyDescent="0.3">
      <c r="F19359"/>
      <c r="G19359"/>
      <c r="H19359"/>
      <c r="I19359"/>
    </row>
    <row r="19360" spans="6:9" x14ac:dyDescent="0.3">
      <c r="F19360"/>
      <c r="G19360"/>
      <c r="H19360"/>
      <c r="I19360"/>
    </row>
    <row r="19361" spans="6:9" x14ac:dyDescent="0.3">
      <c r="F19361"/>
      <c r="G19361"/>
      <c r="H19361"/>
      <c r="I19361"/>
    </row>
    <row r="19362" spans="6:9" x14ac:dyDescent="0.3">
      <c r="F19362"/>
      <c r="G19362"/>
      <c r="H19362"/>
      <c r="I19362"/>
    </row>
    <row r="19363" spans="6:9" x14ac:dyDescent="0.3">
      <c r="F19363"/>
      <c r="G19363"/>
      <c r="H19363"/>
      <c r="I19363"/>
    </row>
    <row r="19364" spans="6:9" x14ac:dyDescent="0.3">
      <c r="F19364"/>
      <c r="G19364"/>
      <c r="H19364"/>
      <c r="I19364"/>
    </row>
    <row r="19365" spans="6:9" x14ac:dyDescent="0.3">
      <c r="F19365"/>
      <c r="G19365"/>
      <c r="H19365"/>
      <c r="I19365"/>
    </row>
    <row r="19366" spans="6:9" x14ac:dyDescent="0.3">
      <c r="F19366"/>
      <c r="G19366"/>
      <c r="H19366"/>
      <c r="I19366"/>
    </row>
    <row r="19367" spans="6:9" x14ac:dyDescent="0.3">
      <c r="F19367"/>
      <c r="G19367"/>
      <c r="H19367"/>
      <c r="I19367"/>
    </row>
    <row r="19368" spans="6:9" x14ac:dyDescent="0.3">
      <c r="F19368"/>
      <c r="G19368"/>
      <c r="H19368"/>
      <c r="I19368"/>
    </row>
    <row r="19369" spans="6:9" x14ac:dyDescent="0.3">
      <c r="F19369"/>
      <c r="G19369"/>
      <c r="H19369"/>
      <c r="I19369"/>
    </row>
    <row r="19370" spans="6:9" x14ac:dyDescent="0.3">
      <c r="F19370"/>
      <c r="G19370"/>
      <c r="H19370"/>
      <c r="I19370"/>
    </row>
    <row r="19371" spans="6:9" x14ac:dyDescent="0.3">
      <c r="F19371"/>
      <c r="G19371"/>
      <c r="H19371"/>
      <c r="I19371"/>
    </row>
    <row r="19372" spans="6:9" x14ac:dyDescent="0.3">
      <c r="F19372"/>
      <c r="G19372"/>
      <c r="H19372"/>
      <c r="I19372"/>
    </row>
    <row r="19373" spans="6:9" x14ac:dyDescent="0.3">
      <c r="F19373"/>
      <c r="G19373"/>
      <c r="H19373"/>
      <c r="I19373"/>
    </row>
    <row r="19374" spans="6:9" x14ac:dyDescent="0.3">
      <c r="F19374"/>
      <c r="G19374"/>
      <c r="H19374"/>
      <c r="I19374"/>
    </row>
    <row r="19375" spans="6:9" x14ac:dyDescent="0.3">
      <c r="F19375"/>
      <c r="G19375"/>
      <c r="H19375"/>
      <c r="I19375"/>
    </row>
    <row r="19376" spans="6:9" x14ac:dyDescent="0.3">
      <c r="F19376"/>
      <c r="G19376"/>
      <c r="H19376"/>
      <c r="I19376"/>
    </row>
    <row r="19377" spans="6:9" x14ac:dyDescent="0.3">
      <c r="F19377"/>
      <c r="G19377"/>
      <c r="H19377"/>
      <c r="I19377"/>
    </row>
    <row r="19378" spans="6:9" x14ac:dyDescent="0.3">
      <c r="F19378"/>
      <c r="G19378"/>
      <c r="H19378"/>
      <c r="I19378"/>
    </row>
    <row r="19379" spans="6:9" x14ac:dyDescent="0.3">
      <c r="F19379"/>
      <c r="G19379"/>
      <c r="H19379"/>
      <c r="I19379"/>
    </row>
    <row r="19380" spans="6:9" x14ac:dyDescent="0.3">
      <c r="F19380"/>
      <c r="G19380"/>
      <c r="H19380"/>
      <c r="I19380"/>
    </row>
    <row r="19381" spans="6:9" x14ac:dyDescent="0.3">
      <c r="F19381"/>
      <c r="G19381"/>
      <c r="H19381"/>
      <c r="I19381"/>
    </row>
    <row r="19382" spans="6:9" x14ac:dyDescent="0.3">
      <c r="F19382"/>
      <c r="G19382"/>
      <c r="H19382"/>
      <c r="I19382"/>
    </row>
    <row r="19383" spans="6:9" x14ac:dyDescent="0.3">
      <c r="F19383"/>
      <c r="G19383"/>
      <c r="H19383"/>
      <c r="I19383"/>
    </row>
    <row r="19384" spans="6:9" x14ac:dyDescent="0.3">
      <c r="F19384"/>
      <c r="G19384"/>
      <c r="H19384"/>
      <c r="I19384"/>
    </row>
    <row r="19385" spans="6:9" x14ac:dyDescent="0.3">
      <c r="F19385"/>
      <c r="G19385"/>
      <c r="H19385"/>
      <c r="I19385"/>
    </row>
    <row r="19386" spans="6:9" x14ac:dyDescent="0.3">
      <c r="F19386"/>
      <c r="G19386"/>
      <c r="H19386"/>
      <c r="I19386"/>
    </row>
    <row r="19387" spans="6:9" x14ac:dyDescent="0.3">
      <c r="F19387"/>
      <c r="G19387"/>
      <c r="H19387"/>
      <c r="I19387"/>
    </row>
    <row r="19388" spans="6:9" x14ac:dyDescent="0.3">
      <c r="F19388"/>
      <c r="G19388"/>
      <c r="H19388"/>
      <c r="I19388"/>
    </row>
    <row r="19389" spans="6:9" x14ac:dyDescent="0.3">
      <c r="F19389"/>
      <c r="G19389"/>
      <c r="H19389"/>
      <c r="I19389"/>
    </row>
    <row r="19390" spans="6:9" x14ac:dyDescent="0.3">
      <c r="F19390"/>
      <c r="G19390"/>
      <c r="H19390"/>
      <c r="I19390"/>
    </row>
    <row r="19391" spans="6:9" x14ac:dyDescent="0.3">
      <c r="F19391"/>
      <c r="G19391"/>
      <c r="H19391"/>
      <c r="I19391"/>
    </row>
    <row r="19392" spans="6:9" x14ac:dyDescent="0.3">
      <c r="F19392"/>
      <c r="G19392"/>
      <c r="H19392"/>
      <c r="I19392"/>
    </row>
    <row r="19393" spans="6:9" x14ac:dyDescent="0.3">
      <c r="F19393"/>
      <c r="G19393"/>
      <c r="H19393"/>
      <c r="I19393"/>
    </row>
    <row r="19394" spans="6:9" x14ac:dyDescent="0.3">
      <c r="F19394"/>
      <c r="G19394"/>
      <c r="H19394"/>
      <c r="I19394"/>
    </row>
    <row r="19395" spans="6:9" x14ac:dyDescent="0.3">
      <c r="F19395"/>
      <c r="G19395"/>
      <c r="H19395"/>
      <c r="I19395"/>
    </row>
    <row r="19396" spans="6:9" x14ac:dyDescent="0.3">
      <c r="F19396"/>
      <c r="G19396"/>
      <c r="H19396"/>
      <c r="I19396"/>
    </row>
    <row r="19397" spans="6:9" x14ac:dyDescent="0.3">
      <c r="F19397"/>
      <c r="G19397"/>
      <c r="H19397"/>
      <c r="I19397"/>
    </row>
    <row r="19398" spans="6:9" x14ac:dyDescent="0.3">
      <c r="F19398"/>
      <c r="G19398"/>
      <c r="H19398"/>
      <c r="I19398"/>
    </row>
    <row r="19399" spans="6:9" x14ac:dyDescent="0.3">
      <c r="F19399"/>
      <c r="G19399"/>
      <c r="H19399"/>
      <c r="I19399"/>
    </row>
    <row r="19400" spans="6:9" x14ac:dyDescent="0.3">
      <c r="F19400"/>
      <c r="G19400"/>
      <c r="H19400"/>
      <c r="I19400"/>
    </row>
    <row r="19401" spans="6:9" x14ac:dyDescent="0.3">
      <c r="F19401"/>
      <c r="G19401"/>
      <c r="H19401"/>
      <c r="I19401"/>
    </row>
    <row r="19402" spans="6:9" x14ac:dyDescent="0.3">
      <c r="F19402"/>
      <c r="G19402"/>
      <c r="H19402"/>
      <c r="I19402"/>
    </row>
    <row r="19403" spans="6:9" x14ac:dyDescent="0.3">
      <c r="F19403"/>
      <c r="G19403"/>
      <c r="H19403"/>
      <c r="I19403"/>
    </row>
    <row r="19404" spans="6:9" x14ac:dyDescent="0.3">
      <c r="F19404"/>
      <c r="G19404"/>
      <c r="H19404"/>
      <c r="I19404"/>
    </row>
    <row r="19405" spans="6:9" x14ac:dyDescent="0.3">
      <c r="F19405"/>
      <c r="G19405"/>
      <c r="H19405"/>
      <c r="I19405"/>
    </row>
    <row r="19406" spans="6:9" x14ac:dyDescent="0.3">
      <c r="F19406"/>
      <c r="G19406"/>
      <c r="H19406"/>
      <c r="I19406"/>
    </row>
    <row r="19407" spans="6:9" x14ac:dyDescent="0.3">
      <c r="F19407"/>
      <c r="G19407"/>
      <c r="H19407"/>
      <c r="I19407"/>
    </row>
    <row r="19408" spans="6:9" x14ac:dyDescent="0.3">
      <c r="F19408"/>
      <c r="G19408"/>
      <c r="H19408"/>
      <c r="I19408"/>
    </row>
    <row r="19409" spans="6:9" x14ac:dyDescent="0.3">
      <c r="F19409"/>
      <c r="G19409"/>
      <c r="H19409"/>
      <c r="I19409"/>
    </row>
    <row r="19410" spans="6:9" x14ac:dyDescent="0.3">
      <c r="F19410"/>
      <c r="G19410"/>
      <c r="H19410"/>
      <c r="I19410"/>
    </row>
    <row r="19411" spans="6:9" x14ac:dyDescent="0.3">
      <c r="F19411"/>
      <c r="G19411"/>
      <c r="H19411"/>
      <c r="I19411"/>
    </row>
    <row r="19412" spans="6:9" x14ac:dyDescent="0.3">
      <c r="F19412"/>
      <c r="G19412"/>
      <c r="H19412"/>
      <c r="I19412"/>
    </row>
    <row r="19413" spans="6:9" x14ac:dyDescent="0.3">
      <c r="F19413"/>
      <c r="G19413"/>
      <c r="H19413"/>
      <c r="I19413"/>
    </row>
    <row r="19414" spans="6:9" x14ac:dyDescent="0.3">
      <c r="F19414"/>
      <c r="G19414"/>
      <c r="H19414"/>
      <c r="I19414"/>
    </row>
    <row r="19415" spans="6:9" x14ac:dyDescent="0.3">
      <c r="F19415"/>
      <c r="G19415"/>
      <c r="H19415"/>
      <c r="I19415"/>
    </row>
    <row r="19416" spans="6:9" x14ac:dyDescent="0.3">
      <c r="F19416"/>
      <c r="G19416"/>
      <c r="H19416"/>
      <c r="I19416"/>
    </row>
    <row r="19417" spans="6:9" x14ac:dyDescent="0.3">
      <c r="F19417"/>
      <c r="G19417"/>
      <c r="H19417"/>
      <c r="I19417"/>
    </row>
    <row r="19418" spans="6:9" x14ac:dyDescent="0.3">
      <c r="F19418"/>
      <c r="G19418"/>
      <c r="H19418"/>
      <c r="I19418"/>
    </row>
    <row r="19419" spans="6:9" x14ac:dyDescent="0.3">
      <c r="F19419"/>
      <c r="G19419"/>
      <c r="H19419"/>
      <c r="I19419"/>
    </row>
    <row r="19420" spans="6:9" x14ac:dyDescent="0.3">
      <c r="F19420"/>
      <c r="G19420"/>
      <c r="H19420"/>
      <c r="I19420"/>
    </row>
    <row r="19421" spans="6:9" x14ac:dyDescent="0.3">
      <c r="F19421"/>
      <c r="G19421"/>
      <c r="H19421"/>
      <c r="I19421"/>
    </row>
    <row r="19422" spans="6:9" x14ac:dyDescent="0.3">
      <c r="F19422"/>
      <c r="G19422"/>
      <c r="H19422"/>
      <c r="I19422"/>
    </row>
    <row r="19423" spans="6:9" x14ac:dyDescent="0.3">
      <c r="F19423"/>
      <c r="G19423"/>
      <c r="H19423"/>
      <c r="I19423"/>
    </row>
    <row r="19424" spans="6:9" x14ac:dyDescent="0.3">
      <c r="F19424"/>
      <c r="G19424"/>
      <c r="H19424"/>
      <c r="I19424"/>
    </row>
    <row r="19425" spans="6:9" x14ac:dyDescent="0.3">
      <c r="F19425"/>
      <c r="G19425"/>
      <c r="H19425"/>
      <c r="I19425"/>
    </row>
    <row r="19426" spans="6:9" x14ac:dyDescent="0.3">
      <c r="F19426"/>
      <c r="G19426"/>
      <c r="H19426"/>
      <c r="I19426"/>
    </row>
    <row r="19427" spans="6:9" x14ac:dyDescent="0.3">
      <c r="F19427"/>
      <c r="G19427"/>
      <c r="H19427"/>
      <c r="I19427"/>
    </row>
    <row r="19428" spans="6:9" x14ac:dyDescent="0.3">
      <c r="F19428"/>
      <c r="G19428"/>
      <c r="H19428"/>
      <c r="I19428"/>
    </row>
    <row r="19429" spans="6:9" x14ac:dyDescent="0.3">
      <c r="F19429"/>
      <c r="G19429"/>
      <c r="H19429"/>
      <c r="I19429"/>
    </row>
    <row r="19430" spans="6:9" x14ac:dyDescent="0.3">
      <c r="F19430"/>
      <c r="G19430"/>
      <c r="H19430"/>
      <c r="I19430"/>
    </row>
    <row r="19431" spans="6:9" x14ac:dyDescent="0.3">
      <c r="F19431"/>
      <c r="G19431"/>
      <c r="H19431"/>
      <c r="I19431"/>
    </row>
    <row r="19432" spans="6:9" x14ac:dyDescent="0.3">
      <c r="F19432"/>
      <c r="G19432"/>
      <c r="H19432"/>
      <c r="I19432"/>
    </row>
    <row r="19433" spans="6:9" x14ac:dyDescent="0.3">
      <c r="F19433"/>
      <c r="G19433"/>
      <c r="H19433"/>
      <c r="I19433"/>
    </row>
    <row r="19434" spans="6:9" x14ac:dyDescent="0.3">
      <c r="F19434"/>
      <c r="G19434"/>
      <c r="H19434"/>
      <c r="I19434"/>
    </row>
    <row r="19435" spans="6:9" x14ac:dyDescent="0.3">
      <c r="F19435"/>
      <c r="G19435"/>
      <c r="H19435"/>
      <c r="I19435"/>
    </row>
    <row r="19436" spans="6:9" x14ac:dyDescent="0.3">
      <c r="F19436"/>
      <c r="G19436"/>
      <c r="H19436"/>
      <c r="I19436"/>
    </row>
    <row r="19437" spans="6:9" x14ac:dyDescent="0.3">
      <c r="F19437"/>
      <c r="G19437"/>
      <c r="H19437"/>
      <c r="I19437"/>
    </row>
    <row r="19438" spans="6:9" x14ac:dyDescent="0.3">
      <c r="F19438"/>
      <c r="G19438"/>
      <c r="H19438"/>
      <c r="I19438"/>
    </row>
    <row r="19439" spans="6:9" x14ac:dyDescent="0.3">
      <c r="F19439"/>
      <c r="G19439"/>
      <c r="H19439"/>
      <c r="I19439"/>
    </row>
    <row r="19440" spans="6:9" x14ac:dyDescent="0.3">
      <c r="F19440"/>
      <c r="G19440"/>
      <c r="H19440"/>
      <c r="I19440"/>
    </row>
    <row r="19441" spans="6:9" x14ac:dyDescent="0.3">
      <c r="F19441"/>
      <c r="G19441"/>
      <c r="H19441"/>
      <c r="I19441"/>
    </row>
    <row r="19442" spans="6:9" x14ac:dyDescent="0.3">
      <c r="F19442"/>
      <c r="G19442"/>
      <c r="H19442"/>
      <c r="I19442"/>
    </row>
    <row r="19443" spans="6:9" x14ac:dyDescent="0.3">
      <c r="F19443"/>
      <c r="G19443"/>
      <c r="H19443"/>
      <c r="I19443"/>
    </row>
    <row r="19444" spans="6:9" x14ac:dyDescent="0.3">
      <c r="F19444"/>
      <c r="G19444"/>
      <c r="H19444"/>
      <c r="I19444"/>
    </row>
    <row r="19445" spans="6:9" x14ac:dyDescent="0.3">
      <c r="F19445"/>
      <c r="G19445"/>
      <c r="H19445"/>
      <c r="I19445"/>
    </row>
    <row r="19446" spans="6:9" x14ac:dyDescent="0.3">
      <c r="F19446"/>
      <c r="G19446"/>
      <c r="H19446"/>
      <c r="I19446"/>
    </row>
    <row r="19447" spans="6:9" x14ac:dyDescent="0.3">
      <c r="F19447"/>
      <c r="G19447"/>
      <c r="H19447"/>
      <c r="I19447"/>
    </row>
    <row r="19448" spans="6:9" x14ac:dyDescent="0.3">
      <c r="F19448"/>
      <c r="G19448"/>
      <c r="H19448"/>
      <c r="I19448"/>
    </row>
    <row r="19449" spans="6:9" x14ac:dyDescent="0.3">
      <c r="F19449"/>
      <c r="G19449"/>
      <c r="H19449"/>
      <c r="I19449"/>
    </row>
    <row r="19450" spans="6:9" x14ac:dyDescent="0.3">
      <c r="F19450"/>
      <c r="G19450"/>
      <c r="H19450"/>
      <c r="I19450"/>
    </row>
    <row r="19451" spans="6:9" x14ac:dyDescent="0.3">
      <c r="F19451"/>
      <c r="G19451"/>
      <c r="H19451"/>
      <c r="I19451"/>
    </row>
    <row r="19452" spans="6:9" x14ac:dyDescent="0.3">
      <c r="F19452"/>
      <c r="G19452"/>
      <c r="H19452"/>
      <c r="I19452"/>
    </row>
    <row r="19453" spans="6:9" x14ac:dyDescent="0.3">
      <c r="F19453"/>
      <c r="G19453"/>
      <c r="H19453"/>
      <c r="I19453"/>
    </row>
    <row r="19454" spans="6:9" x14ac:dyDescent="0.3">
      <c r="F19454"/>
      <c r="G19454"/>
      <c r="H19454"/>
      <c r="I19454"/>
    </row>
    <row r="19455" spans="6:9" x14ac:dyDescent="0.3">
      <c r="F19455"/>
      <c r="G19455"/>
      <c r="H19455"/>
      <c r="I19455"/>
    </row>
    <row r="19456" spans="6:9" x14ac:dyDescent="0.3">
      <c r="F19456"/>
      <c r="G19456"/>
      <c r="H19456"/>
      <c r="I19456"/>
    </row>
    <row r="19457" spans="6:9" x14ac:dyDescent="0.3">
      <c r="F19457"/>
      <c r="G19457"/>
      <c r="H19457"/>
      <c r="I19457"/>
    </row>
    <row r="19458" spans="6:9" x14ac:dyDescent="0.3">
      <c r="F19458"/>
      <c r="G19458"/>
      <c r="H19458"/>
      <c r="I19458"/>
    </row>
    <row r="19459" spans="6:9" x14ac:dyDescent="0.3">
      <c r="F19459"/>
      <c r="G19459"/>
      <c r="H19459"/>
      <c r="I19459"/>
    </row>
    <row r="19460" spans="6:9" x14ac:dyDescent="0.3">
      <c r="F19460"/>
      <c r="G19460"/>
      <c r="H19460"/>
      <c r="I19460"/>
    </row>
    <row r="19461" spans="6:9" x14ac:dyDescent="0.3">
      <c r="F19461"/>
      <c r="G19461"/>
      <c r="H19461"/>
      <c r="I19461"/>
    </row>
    <row r="19462" spans="6:9" x14ac:dyDescent="0.3">
      <c r="F19462"/>
      <c r="G19462"/>
      <c r="H19462"/>
      <c r="I19462"/>
    </row>
    <row r="19463" spans="6:9" x14ac:dyDescent="0.3">
      <c r="F19463"/>
      <c r="G19463"/>
      <c r="H19463"/>
      <c r="I19463"/>
    </row>
    <row r="19464" spans="6:9" x14ac:dyDescent="0.3">
      <c r="F19464"/>
      <c r="G19464"/>
      <c r="H19464"/>
      <c r="I19464"/>
    </row>
    <row r="19465" spans="6:9" x14ac:dyDescent="0.3">
      <c r="F19465"/>
      <c r="G19465"/>
      <c r="H19465"/>
      <c r="I19465"/>
    </row>
    <row r="19466" spans="6:9" x14ac:dyDescent="0.3">
      <c r="F19466"/>
      <c r="G19466"/>
      <c r="H19466"/>
      <c r="I19466"/>
    </row>
    <row r="19467" spans="6:9" x14ac:dyDescent="0.3">
      <c r="F19467"/>
      <c r="G19467"/>
      <c r="H19467"/>
      <c r="I19467"/>
    </row>
    <row r="19468" spans="6:9" x14ac:dyDescent="0.3">
      <c r="F19468"/>
      <c r="G19468"/>
      <c r="H19468"/>
      <c r="I19468"/>
    </row>
    <row r="19469" spans="6:9" x14ac:dyDescent="0.3">
      <c r="F19469"/>
      <c r="G19469"/>
      <c r="H19469"/>
      <c r="I19469"/>
    </row>
    <row r="19470" spans="6:9" x14ac:dyDescent="0.3">
      <c r="F19470"/>
      <c r="G19470"/>
      <c r="H19470"/>
      <c r="I19470"/>
    </row>
    <row r="19471" spans="6:9" x14ac:dyDescent="0.3">
      <c r="F19471"/>
      <c r="G19471"/>
      <c r="H19471"/>
      <c r="I19471"/>
    </row>
    <row r="19472" spans="6:9" x14ac:dyDescent="0.3">
      <c r="F19472"/>
      <c r="G19472"/>
      <c r="H19472"/>
      <c r="I19472"/>
    </row>
    <row r="19473" spans="6:9" x14ac:dyDescent="0.3">
      <c r="F19473"/>
      <c r="G19473"/>
      <c r="H19473"/>
      <c r="I19473"/>
    </row>
    <row r="19474" spans="6:9" x14ac:dyDescent="0.3">
      <c r="F19474"/>
      <c r="G19474"/>
      <c r="H19474"/>
      <c r="I19474"/>
    </row>
    <row r="19475" spans="6:9" x14ac:dyDescent="0.3">
      <c r="F19475"/>
      <c r="G19475"/>
      <c r="H19475"/>
      <c r="I19475"/>
    </row>
    <row r="19476" spans="6:9" x14ac:dyDescent="0.3">
      <c r="F19476"/>
      <c r="G19476"/>
      <c r="H19476"/>
      <c r="I19476"/>
    </row>
    <row r="19477" spans="6:9" x14ac:dyDescent="0.3">
      <c r="F19477"/>
      <c r="G19477"/>
      <c r="H19477"/>
      <c r="I19477"/>
    </row>
    <row r="19478" spans="6:9" x14ac:dyDescent="0.3">
      <c r="F19478"/>
      <c r="G19478"/>
      <c r="H19478"/>
      <c r="I19478"/>
    </row>
    <row r="19479" spans="6:9" x14ac:dyDescent="0.3">
      <c r="F19479"/>
      <c r="G19479"/>
      <c r="H19479"/>
      <c r="I19479"/>
    </row>
    <row r="19480" spans="6:9" x14ac:dyDescent="0.3">
      <c r="F19480"/>
      <c r="G19480"/>
      <c r="H19480"/>
      <c r="I19480"/>
    </row>
    <row r="19481" spans="6:9" x14ac:dyDescent="0.3">
      <c r="F19481"/>
      <c r="G19481"/>
      <c r="H19481"/>
      <c r="I19481"/>
    </row>
    <row r="19482" spans="6:9" x14ac:dyDescent="0.3">
      <c r="F19482"/>
      <c r="G19482"/>
      <c r="H19482"/>
      <c r="I19482"/>
    </row>
    <row r="19483" spans="6:9" x14ac:dyDescent="0.3">
      <c r="F19483"/>
      <c r="G19483"/>
      <c r="H19483"/>
      <c r="I19483"/>
    </row>
    <row r="19484" spans="6:9" x14ac:dyDescent="0.3">
      <c r="F19484"/>
      <c r="G19484"/>
      <c r="H19484"/>
      <c r="I19484"/>
    </row>
    <row r="19485" spans="6:9" x14ac:dyDescent="0.3">
      <c r="F19485"/>
      <c r="G19485"/>
      <c r="H19485"/>
      <c r="I19485"/>
    </row>
    <row r="19486" spans="6:9" x14ac:dyDescent="0.3">
      <c r="F19486"/>
      <c r="G19486"/>
      <c r="H19486"/>
      <c r="I19486"/>
    </row>
    <row r="19487" spans="6:9" x14ac:dyDescent="0.3">
      <c r="F19487"/>
      <c r="G19487"/>
      <c r="H19487"/>
      <c r="I19487"/>
    </row>
    <row r="19488" spans="6:9" x14ac:dyDescent="0.3">
      <c r="F19488"/>
      <c r="G19488"/>
      <c r="H19488"/>
      <c r="I19488"/>
    </row>
    <row r="19489" spans="6:9" x14ac:dyDescent="0.3">
      <c r="F19489"/>
      <c r="G19489"/>
      <c r="H19489"/>
      <c r="I19489"/>
    </row>
    <row r="19490" spans="6:9" x14ac:dyDescent="0.3">
      <c r="F19490"/>
      <c r="G19490"/>
      <c r="H19490"/>
      <c r="I19490"/>
    </row>
    <row r="19491" spans="6:9" x14ac:dyDescent="0.3">
      <c r="F19491"/>
      <c r="G19491"/>
      <c r="H19491"/>
      <c r="I19491"/>
    </row>
    <row r="19492" spans="6:9" x14ac:dyDescent="0.3">
      <c r="F19492"/>
      <c r="G19492"/>
      <c r="H19492"/>
      <c r="I19492"/>
    </row>
    <row r="19493" spans="6:9" x14ac:dyDescent="0.3">
      <c r="F19493"/>
      <c r="G19493"/>
      <c r="H19493"/>
      <c r="I19493"/>
    </row>
    <row r="19494" spans="6:9" x14ac:dyDescent="0.3">
      <c r="F19494"/>
      <c r="G19494"/>
      <c r="H19494"/>
      <c r="I19494"/>
    </row>
    <row r="19495" spans="6:9" x14ac:dyDescent="0.3">
      <c r="F19495"/>
      <c r="G19495"/>
      <c r="H19495"/>
      <c r="I19495"/>
    </row>
    <row r="19496" spans="6:9" x14ac:dyDescent="0.3">
      <c r="F19496"/>
      <c r="G19496"/>
      <c r="H19496"/>
      <c r="I19496"/>
    </row>
    <row r="19497" spans="6:9" x14ac:dyDescent="0.3">
      <c r="F19497"/>
      <c r="G19497"/>
      <c r="H19497"/>
      <c r="I19497"/>
    </row>
    <row r="19498" spans="6:9" x14ac:dyDescent="0.3">
      <c r="F19498"/>
      <c r="G19498"/>
      <c r="H19498"/>
      <c r="I19498"/>
    </row>
    <row r="19499" spans="6:9" x14ac:dyDescent="0.3">
      <c r="F19499"/>
      <c r="G19499"/>
      <c r="H19499"/>
      <c r="I19499"/>
    </row>
    <row r="19500" spans="6:9" x14ac:dyDescent="0.3">
      <c r="F19500"/>
      <c r="G19500"/>
      <c r="H19500"/>
      <c r="I19500"/>
    </row>
    <row r="19501" spans="6:9" x14ac:dyDescent="0.3">
      <c r="F19501"/>
      <c r="G19501"/>
      <c r="H19501"/>
      <c r="I19501"/>
    </row>
    <row r="19502" spans="6:9" x14ac:dyDescent="0.3">
      <c r="F19502"/>
      <c r="G19502"/>
      <c r="H19502"/>
      <c r="I19502"/>
    </row>
    <row r="19503" spans="6:9" x14ac:dyDescent="0.3">
      <c r="F19503"/>
      <c r="G19503"/>
      <c r="H19503"/>
      <c r="I19503"/>
    </row>
    <row r="19504" spans="6:9" x14ac:dyDescent="0.3">
      <c r="F19504"/>
      <c r="G19504"/>
      <c r="H19504"/>
      <c r="I19504"/>
    </row>
    <row r="19505" spans="6:9" x14ac:dyDescent="0.3">
      <c r="F19505"/>
      <c r="G19505"/>
      <c r="H19505"/>
      <c r="I19505"/>
    </row>
    <row r="19506" spans="6:9" x14ac:dyDescent="0.3">
      <c r="F19506"/>
      <c r="G19506"/>
      <c r="H19506"/>
      <c r="I19506"/>
    </row>
    <row r="19507" spans="6:9" x14ac:dyDescent="0.3">
      <c r="F19507"/>
      <c r="G19507"/>
      <c r="H19507"/>
      <c r="I19507"/>
    </row>
    <row r="19508" spans="6:9" x14ac:dyDescent="0.3">
      <c r="F19508"/>
      <c r="G19508"/>
      <c r="H19508"/>
      <c r="I19508"/>
    </row>
    <row r="19509" spans="6:9" x14ac:dyDescent="0.3">
      <c r="F19509"/>
      <c r="G19509"/>
      <c r="H19509"/>
      <c r="I19509"/>
    </row>
    <row r="19510" spans="6:9" x14ac:dyDescent="0.3">
      <c r="F19510"/>
      <c r="G19510"/>
      <c r="H19510"/>
      <c r="I19510"/>
    </row>
    <row r="19511" spans="6:9" x14ac:dyDescent="0.3">
      <c r="F19511"/>
      <c r="G19511"/>
      <c r="H19511"/>
      <c r="I19511"/>
    </row>
    <row r="19512" spans="6:9" x14ac:dyDescent="0.3">
      <c r="F19512"/>
      <c r="G19512"/>
      <c r="H19512"/>
      <c r="I19512"/>
    </row>
    <row r="19513" spans="6:9" x14ac:dyDescent="0.3">
      <c r="F19513"/>
      <c r="G19513"/>
      <c r="H19513"/>
      <c r="I19513"/>
    </row>
    <row r="19514" spans="6:9" x14ac:dyDescent="0.3">
      <c r="F19514"/>
      <c r="G19514"/>
      <c r="H19514"/>
      <c r="I19514"/>
    </row>
    <row r="19515" spans="6:9" x14ac:dyDescent="0.3">
      <c r="F19515"/>
      <c r="G19515"/>
      <c r="H19515"/>
      <c r="I19515"/>
    </row>
    <row r="19516" spans="6:9" x14ac:dyDescent="0.3">
      <c r="F19516"/>
      <c r="G19516"/>
      <c r="H19516"/>
      <c r="I19516"/>
    </row>
    <row r="19517" spans="6:9" x14ac:dyDescent="0.3">
      <c r="F19517"/>
      <c r="G19517"/>
      <c r="H19517"/>
      <c r="I19517"/>
    </row>
    <row r="19518" spans="6:9" x14ac:dyDescent="0.3">
      <c r="F19518"/>
      <c r="G19518"/>
      <c r="H19518"/>
      <c r="I19518"/>
    </row>
    <row r="19519" spans="6:9" x14ac:dyDescent="0.3">
      <c r="F19519"/>
      <c r="G19519"/>
      <c r="H19519"/>
      <c r="I19519"/>
    </row>
    <row r="19520" spans="6:9" x14ac:dyDescent="0.3">
      <c r="F19520"/>
      <c r="G19520"/>
      <c r="H19520"/>
      <c r="I19520"/>
    </row>
    <row r="19521" spans="6:9" x14ac:dyDescent="0.3">
      <c r="F19521"/>
      <c r="G19521"/>
      <c r="H19521"/>
      <c r="I19521"/>
    </row>
    <row r="19522" spans="6:9" x14ac:dyDescent="0.3">
      <c r="F19522"/>
      <c r="G19522"/>
      <c r="H19522"/>
      <c r="I19522"/>
    </row>
    <row r="19523" spans="6:9" x14ac:dyDescent="0.3">
      <c r="F19523"/>
      <c r="G19523"/>
      <c r="H19523"/>
      <c r="I19523"/>
    </row>
    <row r="19524" spans="6:9" x14ac:dyDescent="0.3">
      <c r="F19524"/>
      <c r="G19524"/>
      <c r="H19524"/>
      <c r="I19524"/>
    </row>
    <row r="19525" spans="6:9" x14ac:dyDescent="0.3">
      <c r="F19525"/>
      <c r="G19525"/>
      <c r="H19525"/>
      <c r="I19525"/>
    </row>
    <row r="19526" spans="6:9" x14ac:dyDescent="0.3">
      <c r="F19526"/>
      <c r="G19526"/>
      <c r="H19526"/>
      <c r="I19526"/>
    </row>
    <row r="19527" spans="6:9" x14ac:dyDescent="0.3">
      <c r="F19527"/>
      <c r="G19527"/>
      <c r="H19527"/>
      <c r="I19527"/>
    </row>
    <row r="19528" spans="6:9" x14ac:dyDescent="0.3">
      <c r="F19528"/>
      <c r="G19528"/>
      <c r="H19528"/>
      <c r="I19528"/>
    </row>
    <row r="19529" spans="6:9" x14ac:dyDescent="0.3">
      <c r="F19529"/>
      <c r="G19529"/>
      <c r="H19529"/>
      <c r="I19529"/>
    </row>
    <row r="19530" spans="6:9" x14ac:dyDescent="0.3">
      <c r="F19530"/>
      <c r="G19530"/>
      <c r="H19530"/>
      <c r="I19530"/>
    </row>
    <row r="19531" spans="6:9" x14ac:dyDescent="0.3">
      <c r="F19531"/>
      <c r="G19531"/>
      <c r="H19531"/>
      <c r="I19531"/>
    </row>
    <row r="19532" spans="6:9" x14ac:dyDescent="0.3">
      <c r="F19532"/>
      <c r="G19532"/>
      <c r="H19532"/>
      <c r="I19532"/>
    </row>
    <row r="19533" spans="6:9" x14ac:dyDescent="0.3">
      <c r="F19533"/>
      <c r="G19533"/>
      <c r="H19533"/>
      <c r="I19533"/>
    </row>
    <row r="19534" spans="6:9" x14ac:dyDescent="0.3">
      <c r="F19534"/>
      <c r="G19534"/>
      <c r="H19534"/>
      <c r="I19534"/>
    </row>
    <row r="19535" spans="6:9" x14ac:dyDescent="0.3">
      <c r="F19535"/>
      <c r="G19535"/>
      <c r="H19535"/>
      <c r="I19535"/>
    </row>
    <row r="19536" spans="6:9" x14ac:dyDescent="0.3">
      <c r="F19536"/>
      <c r="G19536"/>
      <c r="H19536"/>
      <c r="I19536"/>
    </row>
    <row r="19537" spans="6:9" x14ac:dyDescent="0.3">
      <c r="F19537"/>
      <c r="G19537"/>
      <c r="H19537"/>
      <c r="I19537"/>
    </row>
    <row r="19538" spans="6:9" x14ac:dyDescent="0.3">
      <c r="F19538"/>
      <c r="G19538"/>
      <c r="H19538"/>
      <c r="I19538"/>
    </row>
    <row r="19539" spans="6:9" x14ac:dyDescent="0.3">
      <c r="F19539"/>
      <c r="G19539"/>
      <c r="H19539"/>
      <c r="I19539"/>
    </row>
    <row r="19540" spans="6:9" x14ac:dyDescent="0.3">
      <c r="F19540"/>
      <c r="G19540"/>
      <c r="H19540"/>
      <c r="I19540"/>
    </row>
    <row r="19541" spans="6:9" x14ac:dyDescent="0.3">
      <c r="F19541"/>
      <c r="G19541"/>
      <c r="H19541"/>
      <c r="I19541"/>
    </row>
    <row r="19542" spans="6:9" x14ac:dyDescent="0.3">
      <c r="F19542"/>
      <c r="G19542"/>
      <c r="H19542"/>
      <c r="I19542"/>
    </row>
    <row r="19543" spans="6:9" x14ac:dyDescent="0.3">
      <c r="F19543"/>
      <c r="G19543"/>
      <c r="H19543"/>
      <c r="I19543"/>
    </row>
    <row r="19544" spans="6:9" x14ac:dyDescent="0.3">
      <c r="F19544"/>
      <c r="G19544"/>
      <c r="H19544"/>
      <c r="I19544"/>
    </row>
    <row r="19545" spans="6:9" x14ac:dyDescent="0.3">
      <c r="F19545"/>
      <c r="G19545"/>
      <c r="H19545"/>
      <c r="I19545"/>
    </row>
    <row r="19546" spans="6:9" x14ac:dyDescent="0.3">
      <c r="F19546"/>
      <c r="G19546"/>
      <c r="H19546"/>
      <c r="I19546"/>
    </row>
    <row r="19547" spans="6:9" x14ac:dyDescent="0.3">
      <c r="F19547"/>
      <c r="G19547"/>
      <c r="H19547"/>
      <c r="I19547"/>
    </row>
    <row r="19548" spans="6:9" x14ac:dyDescent="0.3">
      <c r="F19548"/>
      <c r="G19548"/>
      <c r="H19548"/>
      <c r="I19548"/>
    </row>
    <row r="19549" spans="6:9" x14ac:dyDescent="0.3">
      <c r="F19549"/>
      <c r="G19549"/>
      <c r="H19549"/>
      <c r="I19549"/>
    </row>
    <row r="19550" spans="6:9" x14ac:dyDescent="0.3">
      <c r="F19550"/>
      <c r="G19550"/>
      <c r="H19550"/>
      <c r="I19550"/>
    </row>
    <row r="19551" spans="6:9" x14ac:dyDescent="0.3">
      <c r="F19551"/>
      <c r="G19551"/>
      <c r="H19551"/>
      <c r="I19551"/>
    </row>
    <row r="19552" spans="6:9" x14ac:dyDescent="0.3">
      <c r="F19552"/>
      <c r="G19552"/>
      <c r="H19552"/>
      <c r="I19552"/>
    </row>
    <row r="19553" spans="6:9" x14ac:dyDescent="0.3">
      <c r="F19553"/>
      <c r="G19553"/>
      <c r="H19553"/>
      <c r="I19553"/>
    </row>
    <row r="19554" spans="6:9" x14ac:dyDescent="0.3">
      <c r="F19554"/>
      <c r="G19554"/>
      <c r="H19554"/>
      <c r="I19554"/>
    </row>
    <row r="19555" spans="6:9" x14ac:dyDescent="0.3">
      <c r="F19555"/>
      <c r="G19555"/>
      <c r="H19555"/>
      <c r="I19555"/>
    </row>
    <row r="19556" spans="6:9" x14ac:dyDescent="0.3">
      <c r="F19556"/>
      <c r="G19556"/>
      <c r="H19556"/>
      <c r="I19556"/>
    </row>
    <row r="19557" spans="6:9" x14ac:dyDescent="0.3">
      <c r="F19557"/>
      <c r="G19557"/>
      <c r="H19557"/>
      <c r="I19557"/>
    </row>
    <row r="19558" spans="6:9" x14ac:dyDescent="0.3">
      <c r="F19558"/>
      <c r="G19558"/>
      <c r="H19558"/>
      <c r="I19558"/>
    </row>
    <row r="19559" spans="6:9" x14ac:dyDescent="0.3">
      <c r="F19559"/>
      <c r="G19559"/>
      <c r="H19559"/>
      <c r="I19559"/>
    </row>
    <row r="19560" spans="6:9" x14ac:dyDescent="0.3">
      <c r="F19560"/>
      <c r="G19560"/>
      <c r="H19560"/>
      <c r="I19560"/>
    </row>
    <row r="19561" spans="6:9" x14ac:dyDescent="0.3">
      <c r="F19561"/>
      <c r="G19561"/>
      <c r="H19561"/>
      <c r="I19561"/>
    </row>
    <row r="19562" spans="6:9" x14ac:dyDescent="0.3">
      <c r="F19562"/>
      <c r="G19562"/>
      <c r="H19562"/>
      <c r="I19562"/>
    </row>
    <row r="19563" spans="6:9" x14ac:dyDescent="0.3">
      <c r="F19563"/>
      <c r="G19563"/>
      <c r="H19563"/>
      <c r="I19563"/>
    </row>
    <row r="19564" spans="6:9" x14ac:dyDescent="0.3">
      <c r="F19564"/>
      <c r="G19564"/>
      <c r="H19564"/>
      <c r="I19564"/>
    </row>
    <row r="19565" spans="6:9" x14ac:dyDescent="0.3">
      <c r="F19565"/>
      <c r="G19565"/>
      <c r="H19565"/>
      <c r="I19565"/>
    </row>
    <row r="19566" spans="6:9" x14ac:dyDescent="0.3">
      <c r="F19566"/>
      <c r="G19566"/>
      <c r="H19566"/>
      <c r="I19566"/>
    </row>
    <row r="19567" spans="6:9" x14ac:dyDescent="0.3">
      <c r="F19567"/>
      <c r="G19567"/>
      <c r="H19567"/>
      <c r="I19567"/>
    </row>
    <row r="19568" spans="6:9" x14ac:dyDescent="0.3">
      <c r="F19568"/>
      <c r="G19568"/>
      <c r="H19568"/>
      <c r="I19568"/>
    </row>
    <row r="19569" spans="6:9" x14ac:dyDescent="0.3">
      <c r="F19569"/>
      <c r="G19569"/>
      <c r="H19569"/>
      <c r="I19569"/>
    </row>
    <row r="19570" spans="6:9" x14ac:dyDescent="0.3">
      <c r="F19570"/>
      <c r="G19570"/>
      <c r="H19570"/>
      <c r="I19570"/>
    </row>
    <row r="19571" spans="6:9" x14ac:dyDescent="0.3">
      <c r="F19571"/>
      <c r="G19571"/>
      <c r="H19571"/>
      <c r="I19571"/>
    </row>
    <row r="19572" spans="6:9" x14ac:dyDescent="0.3">
      <c r="F19572"/>
      <c r="G19572"/>
      <c r="H19572"/>
      <c r="I19572"/>
    </row>
    <row r="19573" spans="6:9" x14ac:dyDescent="0.3">
      <c r="F19573"/>
      <c r="G19573"/>
      <c r="H19573"/>
      <c r="I19573"/>
    </row>
    <row r="19574" spans="6:9" x14ac:dyDescent="0.3">
      <c r="F19574"/>
      <c r="G19574"/>
      <c r="H19574"/>
      <c r="I19574"/>
    </row>
    <row r="19575" spans="6:9" x14ac:dyDescent="0.3">
      <c r="F19575"/>
      <c r="G19575"/>
      <c r="H19575"/>
      <c r="I19575"/>
    </row>
    <row r="19576" spans="6:9" x14ac:dyDescent="0.3">
      <c r="F19576"/>
      <c r="G19576"/>
      <c r="H19576"/>
      <c r="I19576"/>
    </row>
    <row r="19577" spans="6:9" x14ac:dyDescent="0.3">
      <c r="F19577"/>
      <c r="G19577"/>
      <c r="H19577"/>
      <c r="I19577"/>
    </row>
    <row r="19578" spans="6:9" x14ac:dyDescent="0.3">
      <c r="F19578"/>
      <c r="G19578"/>
      <c r="H19578"/>
      <c r="I19578"/>
    </row>
    <row r="19579" spans="6:9" x14ac:dyDescent="0.3">
      <c r="F19579"/>
      <c r="G19579"/>
      <c r="H19579"/>
      <c r="I19579"/>
    </row>
    <row r="19580" spans="6:9" x14ac:dyDescent="0.3">
      <c r="F19580"/>
      <c r="G19580"/>
      <c r="H19580"/>
      <c r="I19580"/>
    </row>
    <row r="19581" spans="6:9" x14ac:dyDescent="0.3">
      <c r="F19581"/>
      <c r="G19581"/>
      <c r="H19581"/>
      <c r="I19581"/>
    </row>
    <row r="19582" spans="6:9" x14ac:dyDescent="0.3">
      <c r="F19582"/>
      <c r="G19582"/>
      <c r="H19582"/>
      <c r="I19582"/>
    </row>
    <row r="19583" spans="6:9" x14ac:dyDescent="0.3">
      <c r="F19583"/>
      <c r="G19583"/>
      <c r="H19583"/>
      <c r="I19583"/>
    </row>
    <row r="19584" spans="6:9" x14ac:dyDescent="0.3">
      <c r="F19584"/>
      <c r="G19584"/>
      <c r="H19584"/>
      <c r="I19584"/>
    </row>
    <row r="19585" spans="6:9" x14ac:dyDescent="0.3">
      <c r="F19585"/>
      <c r="G19585"/>
      <c r="H19585"/>
      <c r="I19585"/>
    </row>
    <row r="19586" spans="6:9" x14ac:dyDescent="0.3">
      <c r="F19586"/>
      <c r="G19586"/>
      <c r="H19586"/>
      <c r="I19586"/>
    </row>
    <row r="19587" spans="6:9" x14ac:dyDescent="0.3">
      <c r="F19587"/>
      <c r="G19587"/>
      <c r="H19587"/>
      <c r="I19587"/>
    </row>
    <row r="19588" spans="6:9" x14ac:dyDescent="0.3">
      <c r="F19588"/>
      <c r="G19588"/>
      <c r="H19588"/>
      <c r="I19588"/>
    </row>
    <row r="19589" spans="6:9" x14ac:dyDescent="0.3">
      <c r="F19589"/>
      <c r="G19589"/>
      <c r="H19589"/>
      <c r="I19589"/>
    </row>
    <row r="19590" spans="6:9" x14ac:dyDescent="0.3">
      <c r="F19590"/>
      <c r="G19590"/>
      <c r="H19590"/>
      <c r="I19590"/>
    </row>
    <row r="19591" spans="6:9" x14ac:dyDescent="0.3">
      <c r="F19591"/>
      <c r="G19591"/>
      <c r="H19591"/>
      <c r="I19591"/>
    </row>
    <row r="19592" spans="6:9" x14ac:dyDescent="0.3">
      <c r="F19592"/>
      <c r="G19592"/>
      <c r="H19592"/>
      <c r="I19592"/>
    </row>
    <row r="19593" spans="6:9" x14ac:dyDescent="0.3">
      <c r="F19593"/>
      <c r="G19593"/>
      <c r="H19593"/>
      <c r="I19593"/>
    </row>
    <row r="19594" spans="6:9" x14ac:dyDescent="0.3">
      <c r="F19594"/>
      <c r="G19594"/>
      <c r="H19594"/>
      <c r="I19594"/>
    </row>
    <row r="19595" spans="6:9" x14ac:dyDescent="0.3">
      <c r="F19595"/>
      <c r="G19595"/>
      <c r="H19595"/>
      <c r="I19595"/>
    </row>
    <row r="19596" spans="6:9" x14ac:dyDescent="0.3">
      <c r="F19596"/>
      <c r="G19596"/>
      <c r="H19596"/>
      <c r="I19596"/>
    </row>
    <row r="19597" spans="6:9" x14ac:dyDescent="0.3">
      <c r="F19597"/>
      <c r="G19597"/>
      <c r="H19597"/>
      <c r="I19597"/>
    </row>
    <row r="19598" spans="6:9" x14ac:dyDescent="0.3">
      <c r="F19598"/>
      <c r="G19598"/>
      <c r="H19598"/>
      <c r="I19598"/>
    </row>
    <row r="19599" spans="6:9" x14ac:dyDescent="0.3">
      <c r="F19599"/>
      <c r="G19599"/>
      <c r="H19599"/>
      <c r="I19599"/>
    </row>
    <row r="19600" spans="6:9" x14ac:dyDescent="0.3">
      <c r="F19600"/>
      <c r="G19600"/>
      <c r="H19600"/>
      <c r="I19600"/>
    </row>
    <row r="19601" spans="6:9" x14ac:dyDescent="0.3">
      <c r="F19601"/>
      <c r="G19601"/>
      <c r="H19601"/>
      <c r="I19601"/>
    </row>
    <row r="19602" spans="6:9" x14ac:dyDescent="0.3">
      <c r="F19602"/>
      <c r="G19602"/>
      <c r="H19602"/>
      <c r="I19602"/>
    </row>
    <row r="19603" spans="6:9" x14ac:dyDescent="0.3">
      <c r="F19603"/>
      <c r="G19603"/>
      <c r="H19603"/>
      <c r="I19603"/>
    </row>
    <row r="19604" spans="6:9" x14ac:dyDescent="0.3">
      <c r="F19604"/>
      <c r="G19604"/>
      <c r="H19604"/>
      <c r="I19604"/>
    </row>
    <row r="19605" spans="6:9" x14ac:dyDescent="0.3">
      <c r="F19605"/>
      <c r="G19605"/>
      <c r="H19605"/>
      <c r="I19605"/>
    </row>
    <row r="19606" spans="6:9" x14ac:dyDescent="0.3">
      <c r="F19606"/>
      <c r="G19606"/>
      <c r="H19606"/>
      <c r="I19606"/>
    </row>
    <row r="19607" spans="6:9" x14ac:dyDescent="0.3">
      <c r="F19607"/>
      <c r="G19607"/>
      <c r="H19607"/>
      <c r="I19607"/>
    </row>
    <row r="19608" spans="6:9" x14ac:dyDescent="0.3">
      <c r="F19608"/>
      <c r="G19608"/>
      <c r="H19608"/>
      <c r="I19608"/>
    </row>
    <row r="19609" spans="6:9" x14ac:dyDescent="0.3">
      <c r="F19609"/>
      <c r="G19609"/>
      <c r="H19609"/>
      <c r="I19609"/>
    </row>
    <row r="19610" spans="6:9" x14ac:dyDescent="0.3">
      <c r="F19610"/>
      <c r="G19610"/>
      <c r="H19610"/>
      <c r="I19610"/>
    </row>
    <row r="19611" spans="6:9" x14ac:dyDescent="0.3">
      <c r="F19611"/>
      <c r="G19611"/>
      <c r="H19611"/>
      <c r="I19611"/>
    </row>
    <row r="19612" spans="6:9" x14ac:dyDescent="0.3">
      <c r="F19612"/>
      <c r="G19612"/>
      <c r="H19612"/>
      <c r="I19612"/>
    </row>
    <row r="19613" spans="6:9" x14ac:dyDescent="0.3">
      <c r="F19613"/>
      <c r="G19613"/>
      <c r="H19613"/>
      <c r="I19613"/>
    </row>
    <row r="19614" spans="6:9" x14ac:dyDescent="0.3">
      <c r="F19614"/>
      <c r="G19614"/>
      <c r="H19614"/>
      <c r="I19614"/>
    </row>
    <row r="19615" spans="6:9" x14ac:dyDescent="0.3">
      <c r="F19615"/>
      <c r="G19615"/>
      <c r="H19615"/>
      <c r="I19615"/>
    </row>
    <row r="19616" spans="6:9" x14ac:dyDescent="0.3">
      <c r="F19616"/>
      <c r="G19616"/>
      <c r="H19616"/>
      <c r="I19616"/>
    </row>
    <row r="19617" spans="6:9" x14ac:dyDescent="0.3">
      <c r="F19617"/>
      <c r="G19617"/>
      <c r="H19617"/>
      <c r="I19617"/>
    </row>
    <row r="19618" spans="6:9" x14ac:dyDescent="0.3">
      <c r="F19618"/>
      <c r="G19618"/>
      <c r="H19618"/>
      <c r="I19618"/>
    </row>
    <row r="19619" spans="6:9" x14ac:dyDescent="0.3">
      <c r="F19619"/>
      <c r="G19619"/>
      <c r="H19619"/>
      <c r="I19619"/>
    </row>
    <row r="19620" spans="6:9" x14ac:dyDescent="0.3">
      <c r="F19620"/>
      <c r="G19620"/>
      <c r="H19620"/>
      <c r="I19620"/>
    </row>
    <row r="19621" spans="6:9" x14ac:dyDescent="0.3">
      <c r="F19621"/>
      <c r="G19621"/>
      <c r="H19621"/>
      <c r="I19621"/>
    </row>
    <row r="19622" spans="6:9" x14ac:dyDescent="0.3">
      <c r="F19622"/>
      <c r="G19622"/>
      <c r="H19622"/>
      <c r="I19622"/>
    </row>
    <row r="19623" spans="6:9" x14ac:dyDescent="0.3">
      <c r="F19623"/>
      <c r="G19623"/>
      <c r="H19623"/>
      <c r="I19623"/>
    </row>
    <row r="19624" spans="6:9" x14ac:dyDescent="0.3">
      <c r="F19624"/>
      <c r="G19624"/>
      <c r="H19624"/>
      <c r="I19624"/>
    </row>
    <row r="19625" spans="6:9" x14ac:dyDescent="0.3">
      <c r="F19625"/>
      <c r="G19625"/>
      <c r="H19625"/>
      <c r="I19625"/>
    </row>
    <row r="19626" spans="6:9" x14ac:dyDescent="0.3">
      <c r="F19626"/>
      <c r="G19626"/>
      <c r="H19626"/>
      <c r="I19626"/>
    </row>
    <row r="19627" spans="6:9" x14ac:dyDescent="0.3">
      <c r="F19627"/>
      <c r="G19627"/>
      <c r="H19627"/>
      <c r="I19627"/>
    </row>
    <row r="19628" spans="6:9" x14ac:dyDescent="0.3">
      <c r="F19628"/>
      <c r="G19628"/>
      <c r="H19628"/>
      <c r="I19628"/>
    </row>
    <row r="19629" spans="6:9" x14ac:dyDescent="0.3">
      <c r="F19629"/>
      <c r="G19629"/>
      <c r="H19629"/>
      <c r="I19629"/>
    </row>
    <row r="19630" spans="6:9" x14ac:dyDescent="0.3">
      <c r="F19630"/>
      <c r="G19630"/>
      <c r="H19630"/>
      <c r="I19630"/>
    </row>
    <row r="19631" spans="6:9" x14ac:dyDescent="0.3">
      <c r="F19631"/>
      <c r="G19631"/>
      <c r="H19631"/>
      <c r="I19631"/>
    </row>
    <row r="19632" spans="6:9" x14ac:dyDescent="0.3">
      <c r="F19632"/>
      <c r="G19632"/>
      <c r="H19632"/>
      <c r="I19632"/>
    </row>
    <row r="19633" spans="6:9" x14ac:dyDescent="0.3">
      <c r="F19633"/>
      <c r="G19633"/>
      <c r="H19633"/>
      <c r="I19633"/>
    </row>
    <row r="19634" spans="6:9" x14ac:dyDescent="0.3">
      <c r="F19634"/>
      <c r="G19634"/>
      <c r="H19634"/>
      <c r="I19634"/>
    </row>
    <row r="19635" spans="6:9" x14ac:dyDescent="0.3">
      <c r="F19635"/>
      <c r="G19635"/>
      <c r="H19635"/>
      <c r="I19635"/>
    </row>
    <row r="19636" spans="6:9" x14ac:dyDescent="0.3">
      <c r="F19636"/>
      <c r="G19636"/>
      <c r="H19636"/>
      <c r="I19636"/>
    </row>
    <row r="19637" spans="6:9" x14ac:dyDescent="0.3">
      <c r="F19637"/>
      <c r="G19637"/>
      <c r="H19637"/>
      <c r="I19637"/>
    </row>
    <row r="19638" spans="6:9" x14ac:dyDescent="0.3">
      <c r="F19638"/>
      <c r="G19638"/>
      <c r="H19638"/>
      <c r="I19638"/>
    </row>
    <row r="19639" spans="6:9" x14ac:dyDescent="0.3">
      <c r="F19639"/>
      <c r="G19639"/>
      <c r="H19639"/>
      <c r="I19639"/>
    </row>
    <row r="19640" spans="6:9" x14ac:dyDescent="0.3">
      <c r="F19640"/>
      <c r="G19640"/>
      <c r="H19640"/>
      <c r="I19640"/>
    </row>
    <row r="19641" spans="6:9" x14ac:dyDescent="0.3">
      <c r="F19641"/>
      <c r="G19641"/>
      <c r="H19641"/>
      <c r="I19641"/>
    </row>
    <row r="19642" spans="6:9" x14ac:dyDescent="0.3">
      <c r="F19642"/>
      <c r="G19642"/>
      <c r="H19642"/>
      <c r="I19642"/>
    </row>
    <row r="19643" spans="6:9" x14ac:dyDescent="0.3">
      <c r="F19643"/>
      <c r="G19643"/>
      <c r="H19643"/>
      <c r="I19643"/>
    </row>
    <row r="19644" spans="6:9" x14ac:dyDescent="0.3">
      <c r="F19644"/>
      <c r="G19644"/>
      <c r="H19644"/>
      <c r="I19644"/>
    </row>
    <row r="19645" spans="6:9" x14ac:dyDescent="0.3">
      <c r="F19645"/>
      <c r="G19645"/>
      <c r="H19645"/>
      <c r="I19645"/>
    </row>
    <row r="19646" spans="6:9" x14ac:dyDescent="0.3">
      <c r="F19646"/>
      <c r="G19646"/>
      <c r="H19646"/>
      <c r="I19646"/>
    </row>
    <row r="19647" spans="6:9" x14ac:dyDescent="0.3">
      <c r="F19647"/>
      <c r="G19647"/>
      <c r="H19647"/>
      <c r="I19647"/>
    </row>
    <row r="19648" spans="6:9" x14ac:dyDescent="0.3">
      <c r="F19648"/>
      <c r="G19648"/>
      <c r="H19648"/>
      <c r="I19648"/>
    </row>
    <row r="19649" spans="6:9" x14ac:dyDescent="0.3">
      <c r="F19649"/>
      <c r="G19649"/>
      <c r="H19649"/>
      <c r="I19649"/>
    </row>
    <row r="19650" spans="6:9" x14ac:dyDescent="0.3">
      <c r="F19650"/>
      <c r="G19650"/>
      <c r="H19650"/>
      <c r="I19650"/>
    </row>
    <row r="19651" spans="6:9" x14ac:dyDescent="0.3">
      <c r="F19651"/>
      <c r="G19651"/>
      <c r="H19651"/>
      <c r="I19651"/>
    </row>
    <row r="19652" spans="6:9" x14ac:dyDescent="0.3">
      <c r="F19652"/>
      <c r="G19652"/>
      <c r="H19652"/>
      <c r="I19652"/>
    </row>
    <row r="19653" spans="6:9" x14ac:dyDescent="0.3">
      <c r="F19653"/>
      <c r="G19653"/>
      <c r="H19653"/>
      <c r="I19653"/>
    </row>
    <row r="19654" spans="6:9" x14ac:dyDescent="0.3">
      <c r="F19654"/>
      <c r="G19654"/>
      <c r="H19654"/>
      <c r="I19654"/>
    </row>
    <row r="19655" spans="6:9" x14ac:dyDescent="0.3">
      <c r="F19655"/>
      <c r="G19655"/>
      <c r="H19655"/>
      <c r="I19655"/>
    </row>
    <row r="19656" spans="6:9" x14ac:dyDescent="0.3">
      <c r="F19656"/>
      <c r="G19656"/>
      <c r="H19656"/>
      <c r="I19656"/>
    </row>
    <row r="19657" spans="6:9" x14ac:dyDescent="0.3">
      <c r="F19657"/>
      <c r="G19657"/>
      <c r="H19657"/>
      <c r="I19657"/>
    </row>
    <row r="19658" spans="6:9" x14ac:dyDescent="0.3">
      <c r="F19658"/>
      <c r="G19658"/>
      <c r="H19658"/>
      <c r="I19658"/>
    </row>
    <row r="19659" spans="6:9" x14ac:dyDescent="0.3">
      <c r="F19659"/>
      <c r="G19659"/>
      <c r="H19659"/>
      <c r="I19659"/>
    </row>
    <row r="19660" spans="6:9" x14ac:dyDescent="0.3">
      <c r="F19660"/>
      <c r="G19660"/>
      <c r="H19660"/>
      <c r="I19660"/>
    </row>
    <row r="19661" spans="6:9" x14ac:dyDescent="0.3">
      <c r="F19661"/>
      <c r="G19661"/>
      <c r="H19661"/>
      <c r="I19661"/>
    </row>
    <row r="19662" spans="6:9" x14ac:dyDescent="0.3">
      <c r="F19662"/>
      <c r="G19662"/>
      <c r="H19662"/>
      <c r="I19662"/>
    </row>
    <row r="19663" spans="6:9" x14ac:dyDescent="0.3">
      <c r="F19663"/>
      <c r="G19663"/>
      <c r="H19663"/>
      <c r="I19663"/>
    </row>
    <row r="19664" spans="6:9" x14ac:dyDescent="0.3">
      <c r="F19664"/>
      <c r="G19664"/>
      <c r="H19664"/>
      <c r="I19664"/>
    </row>
    <row r="19665" spans="6:9" x14ac:dyDescent="0.3">
      <c r="F19665"/>
      <c r="G19665"/>
      <c r="H19665"/>
      <c r="I19665"/>
    </row>
    <row r="19666" spans="6:9" x14ac:dyDescent="0.3">
      <c r="F19666"/>
      <c r="G19666"/>
      <c r="H19666"/>
      <c r="I19666"/>
    </row>
    <row r="19667" spans="6:9" x14ac:dyDescent="0.3">
      <c r="F19667"/>
      <c r="G19667"/>
      <c r="H19667"/>
      <c r="I19667"/>
    </row>
    <row r="19668" spans="6:9" x14ac:dyDescent="0.3">
      <c r="F19668"/>
      <c r="G19668"/>
      <c r="H19668"/>
      <c r="I19668"/>
    </row>
    <row r="19669" spans="6:9" x14ac:dyDescent="0.3">
      <c r="F19669"/>
      <c r="G19669"/>
      <c r="H19669"/>
      <c r="I19669"/>
    </row>
    <row r="19670" spans="6:9" x14ac:dyDescent="0.3">
      <c r="F19670"/>
      <c r="G19670"/>
      <c r="H19670"/>
      <c r="I19670"/>
    </row>
    <row r="19671" spans="6:9" x14ac:dyDescent="0.3">
      <c r="F19671"/>
      <c r="G19671"/>
      <c r="H19671"/>
      <c r="I19671"/>
    </row>
    <row r="19672" spans="6:9" x14ac:dyDescent="0.3">
      <c r="F19672"/>
      <c r="G19672"/>
      <c r="H19672"/>
      <c r="I19672"/>
    </row>
    <row r="19673" spans="6:9" x14ac:dyDescent="0.3">
      <c r="F19673"/>
      <c r="G19673"/>
      <c r="H19673"/>
      <c r="I19673"/>
    </row>
    <row r="19674" spans="6:9" x14ac:dyDescent="0.3">
      <c r="F19674"/>
      <c r="G19674"/>
      <c r="H19674"/>
      <c r="I19674"/>
    </row>
    <row r="19675" spans="6:9" x14ac:dyDescent="0.3">
      <c r="F19675"/>
      <c r="G19675"/>
      <c r="H19675"/>
      <c r="I19675"/>
    </row>
    <row r="19676" spans="6:9" x14ac:dyDescent="0.3">
      <c r="F19676"/>
      <c r="G19676"/>
      <c r="H19676"/>
      <c r="I19676"/>
    </row>
    <row r="19677" spans="6:9" x14ac:dyDescent="0.3">
      <c r="F19677"/>
      <c r="G19677"/>
      <c r="H19677"/>
      <c r="I19677"/>
    </row>
    <row r="19678" spans="6:9" x14ac:dyDescent="0.3">
      <c r="F19678"/>
      <c r="G19678"/>
      <c r="H19678"/>
      <c r="I19678"/>
    </row>
    <row r="19679" spans="6:9" x14ac:dyDescent="0.3">
      <c r="F19679"/>
      <c r="G19679"/>
      <c r="H19679"/>
      <c r="I19679"/>
    </row>
    <row r="19680" spans="6:9" x14ac:dyDescent="0.3">
      <c r="F19680"/>
      <c r="G19680"/>
      <c r="H19680"/>
      <c r="I19680"/>
    </row>
    <row r="19681" spans="6:9" x14ac:dyDescent="0.3">
      <c r="F19681"/>
      <c r="G19681"/>
      <c r="H19681"/>
      <c r="I19681"/>
    </row>
    <row r="19682" spans="6:9" x14ac:dyDescent="0.3">
      <c r="F19682"/>
      <c r="G19682"/>
      <c r="H19682"/>
      <c r="I19682"/>
    </row>
    <row r="19683" spans="6:9" x14ac:dyDescent="0.3">
      <c r="F19683"/>
      <c r="G19683"/>
      <c r="H19683"/>
      <c r="I19683"/>
    </row>
    <row r="19684" spans="6:9" x14ac:dyDescent="0.3">
      <c r="F19684"/>
      <c r="G19684"/>
      <c r="H19684"/>
      <c r="I19684"/>
    </row>
    <row r="19685" spans="6:9" x14ac:dyDescent="0.3">
      <c r="F19685"/>
      <c r="G19685"/>
      <c r="H19685"/>
      <c r="I19685"/>
    </row>
    <row r="19686" spans="6:9" x14ac:dyDescent="0.3">
      <c r="F19686"/>
      <c r="G19686"/>
      <c r="H19686"/>
      <c r="I19686"/>
    </row>
    <row r="19687" spans="6:9" x14ac:dyDescent="0.3">
      <c r="F19687"/>
      <c r="G19687"/>
      <c r="H19687"/>
      <c r="I19687"/>
    </row>
    <row r="19688" spans="6:9" x14ac:dyDescent="0.3">
      <c r="F19688"/>
      <c r="G19688"/>
      <c r="H19688"/>
      <c r="I19688"/>
    </row>
    <row r="19689" spans="6:9" x14ac:dyDescent="0.3">
      <c r="F19689"/>
      <c r="G19689"/>
      <c r="H19689"/>
      <c r="I19689"/>
    </row>
    <row r="19690" spans="6:9" x14ac:dyDescent="0.3">
      <c r="F19690"/>
      <c r="G19690"/>
      <c r="H19690"/>
      <c r="I19690"/>
    </row>
    <row r="19691" spans="6:9" x14ac:dyDescent="0.3">
      <c r="F19691"/>
      <c r="G19691"/>
      <c r="H19691"/>
      <c r="I19691"/>
    </row>
    <row r="19692" spans="6:9" x14ac:dyDescent="0.3">
      <c r="F19692"/>
      <c r="G19692"/>
      <c r="H19692"/>
      <c r="I19692"/>
    </row>
    <row r="19693" spans="6:9" x14ac:dyDescent="0.3">
      <c r="F19693"/>
      <c r="G19693"/>
      <c r="H19693"/>
      <c r="I19693"/>
    </row>
    <row r="19694" spans="6:9" x14ac:dyDescent="0.3">
      <c r="F19694"/>
      <c r="G19694"/>
      <c r="H19694"/>
      <c r="I19694"/>
    </row>
    <row r="19695" spans="6:9" x14ac:dyDescent="0.3">
      <c r="F19695"/>
      <c r="G19695"/>
      <c r="H19695"/>
      <c r="I19695"/>
    </row>
    <row r="19696" spans="6:9" x14ac:dyDescent="0.3">
      <c r="F19696"/>
      <c r="G19696"/>
      <c r="H19696"/>
      <c r="I19696"/>
    </row>
    <row r="19697" spans="6:9" x14ac:dyDescent="0.3">
      <c r="F19697"/>
      <c r="G19697"/>
      <c r="H19697"/>
      <c r="I19697"/>
    </row>
    <row r="19698" spans="6:9" x14ac:dyDescent="0.3">
      <c r="F19698"/>
      <c r="G19698"/>
      <c r="H19698"/>
      <c r="I19698"/>
    </row>
    <row r="19699" spans="6:9" x14ac:dyDescent="0.3">
      <c r="F19699"/>
      <c r="G19699"/>
      <c r="H19699"/>
      <c r="I19699"/>
    </row>
    <row r="19700" spans="6:9" x14ac:dyDescent="0.3">
      <c r="F19700"/>
      <c r="G19700"/>
      <c r="H19700"/>
      <c r="I19700"/>
    </row>
    <row r="19701" spans="6:9" x14ac:dyDescent="0.3">
      <c r="F19701"/>
      <c r="G19701"/>
      <c r="H19701"/>
      <c r="I19701"/>
    </row>
    <row r="19702" spans="6:9" x14ac:dyDescent="0.3">
      <c r="F19702"/>
      <c r="G19702"/>
      <c r="H19702"/>
      <c r="I19702"/>
    </row>
    <row r="19703" spans="6:9" x14ac:dyDescent="0.3">
      <c r="F19703"/>
      <c r="G19703"/>
      <c r="H19703"/>
      <c r="I19703"/>
    </row>
    <row r="19704" spans="6:9" x14ac:dyDescent="0.3">
      <c r="F19704"/>
      <c r="G19704"/>
      <c r="H19704"/>
      <c r="I19704"/>
    </row>
    <row r="19705" spans="6:9" x14ac:dyDescent="0.3">
      <c r="F19705"/>
      <c r="G19705"/>
      <c r="H19705"/>
      <c r="I19705"/>
    </row>
    <row r="19706" spans="6:9" x14ac:dyDescent="0.3">
      <c r="F19706"/>
      <c r="G19706"/>
      <c r="H19706"/>
      <c r="I19706"/>
    </row>
    <row r="19707" spans="6:9" x14ac:dyDescent="0.3">
      <c r="F19707"/>
      <c r="G19707"/>
      <c r="H19707"/>
      <c r="I19707"/>
    </row>
    <row r="19708" spans="6:9" x14ac:dyDescent="0.3">
      <c r="F19708"/>
      <c r="G19708"/>
      <c r="H19708"/>
      <c r="I19708"/>
    </row>
    <row r="19709" spans="6:9" x14ac:dyDescent="0.3">
      <c r="F19709"/>
      <c r="G19709"/>
      <c r="H19709"/>
      <c r="I19709"/>
    </row>
    <row r="19710" spans="6:9" x14ac:dyDescent="0.3">
      <c r="F19710"/>
      <c r="G19710"/>
      <c r="H19710"/>
      <c r="I19710"/>
    </row>
    <row r="19711" spans="6:9" x14ac:dyDescent="0.3">
      <c r="F19711"/>
      <c r="G19711"/>
      <c r="H19711"/>
      <c r="I19711"/>
    </row>
    <row r="19712" spans="6:9" x14ac:dyDescent="0.3">
      <c r="F19712"/>
      <c r="G19712"/>
      <c r="H19712"/>
      <c r="I19712"/>
    </row>
    <row r="19713" spans="6:9" x14ac:dyDescent="0.3">
      <c r="F19713"/>
      <c r="G19713"/>
      <c r="H19713"/>
      <c r="I19713"/>
    </row>
    <row r="19714" spans="6:9" x14ac:dyDescent="0.3">
      <c r="F19714"/>
      <c r="G19714"/>
      <c r="H19714"/>
      <c r="I19714"/>
    </row>
    <row r="19715" spans="6:9" x14ac:dyDescent="0.3">
      <c r="F19715"/>
      <c r="G19715"/>
      <c r="H19715"/>
      <c r="I19715"/>
    </row>
    <row r="19716" spans="6:9" x14ac:dyDescent="0.3">
      <c r="F19716"/>
      <c r="G19716"/>
      <c r="H19716"/>
      <c r="I19716"/>
    </row>
    <row r="19717" spans="6:9" x14ac:dyDescent="0.3">
      <c r="F19717"/>
      <c r="G19717"/>
      <c r="H19717"/>
      <c r="I19717"/>
    </row>
    <row r="19718" spans="6:9" x14ac:dyDescent="0.3">
      <c r="F19718"/>
      <c r="G19718"/>
      <c r="H19718"/>
      <c r="I19718"/>
    </row>
    <row r="19719" spans="6:9" x14ac:dyDescent="0.3">
      <c r="F19719"/>
      <c r="G19719"/>
      <c r="H19719"/>
      <c r="I19719"/>
    </row>
    <row r="19720" spans="6:9" x14ac:dyDescent="0.3">
      <c r="F19720"/>
      <c r="G19720"/>
      <c r="H19720"/>
      <c r="I19720"/>
    </row>
    <row r="19721" spans="6:9" x14ac:dyDescent="0.3">
      <c r="F19721"/>
      <c r="G19721"/>
      <c r="H19721"/>
      <c r="I19721"/>
    </row>
    <row r="19722" spans="6:9" x14ac:dyDescent="0.3">
      <c r="F19722"/>
      <c r="G19722"/>
      <c r="H19722"/>
      <c r="I19722"/>
    </row>
    <row r="19723" spans="6:9" x14ac:dyDescent="0.3">
      <c r="F19723"/>
      <c r="G19723"/>
      <c r="H19723"/>
      <c r="I19723"/>
    </row>
    <row r="19724" spans="6:9" x14ac:dyDescent="0.3">
      <c r="F19724"/>
      <c r="G19724"/>
      <c r="H19724"/>
      <c r="I19724"/>
    </row>
    <row r="19725" spans="6:9" x14ac:dyDescent="0.3">
      <c r="F19725"/>
      <c r="G19725"/>
      <c r="H19725"/>
      <c r="I19725"/>
    </row>
    <row r="19726" spans="6:9" x14ac:dyDescent="0.3">
      <c r="F19726"/>
      <c r="G19726"/>
      <c r="H19726"/>
      <c r="I19726"/>
    </row>
    <row r="19727" spans="6:9" x14ac:dyDescent="0.3">
      <c r="F19727"/>
      <c r="G19727"/>
      <c r="H19727"/>
      <c r="I19727"/>
    </row>
    <row r="19728" spans="6:9" x14ac:dyDescent="0.3">
      <c r="F19728"/>
      <c r="G19728"/>
      <c r="H19728"/>
      <c r="I19728"/>
    </row>
    <row r="19729" spans="6:9" x14ac:dyDescent="0.3">
      <c r="F19729"/>
      <c r="G19729"/>
      <c r="H19729"/>
      <c r="I19729"/>
    </row>
    <row r="19730" spans="6:9" x14ac:dyDescent="0.3">
      <c r="F19730"/>
      <c r="G19730"/>
      <c r="H19730"/>
      <c r="I19730"/>
    </row>
    <row r="19731" spans="6:9" x14ac:dyDescent="0.3">
      <c r="F19731"/>
      <c r="G19731"/>
      <c r="H19731"/>
      <c r="I19731"/>
    </row>
    <row r="19732" spans="6:9" x14ac:dyDescent="0.3">
      <c r="F19732"/>
      <c r="G19732"/>
      <c r="H19732"/>
      <c r="I19732"/>
    </row>
    <row r="19733" spans="6:9" x14ac:dyDescent="0.3">
      <c r="F19733"/>
      <c r="G19733"/>
      <c r="H19733"/>
      <c r="I19733"/>
    </row>
    <row r="19734" spans="6:9" x14ac:dyDescent="0.3">
      <c r="F19734"/>
      <c r="G19734"/>
      <c r="H19734"/>
      <c r="I19734"/>
    </row>
    <row r="19735" spans="6:9" x14ac:dyDescent="0.3">
      <c r="F19735"/>
      <c r="G19735"/>
      <c r="H19735"/>
      <c r="I19735"/>
    </row>
    <row r="19736" spans="6:9" x14ac:dyDescent="0.3">
      <c r="F19736"/>
      <c r="G19736"/>
      <c r="H19736"/>
      <c r="I19736"/>
    </row>
    <row r="19737" spans="6:9" x14ac:dyDescent="0.3">
      <c r="F19737"/>
      <c r="G19737"/>
      <c r="H19737"/>
      <c r="I19737"/>
    </row>
    <row r="19738" spans="6:9" x14ac:dyDescent="0.3">
      <c r="F19738"/>
      <c r="G19738"/>
      <c r="H19738"/>
      <c r="I19738"/>
    </row>
    <row r="19739" spans="6:9" x14ac:dyDescent="0.3">
      <c r="F19739"/>
      <c r="G19739"/>
      <c r="H19739"/>
      <c r="I19739"/>
    </row>
    <row r="19740" spans="6:9" x14ac:dyDescent="0.3">
      <c r="F19740"/>
      <c r="G19740"/>
      <c r="H19740"/>
      <c r="I19740"/>
    </row>
    <row r="19741" spans="6:9" x14ac:dyDescent="0.3">
      <c r="F19741"/>
      <c r="G19741"/>
      <c r="H19741"/>
      <c r="I19741"/>
    </row>
    <row r="19742" spans="6:9" x14ac:dyDescent="0.3">
      <c r="F19742"/>
      <c r="G19742"/>
      <c r="H19742"/>
      <c r="I19742"/>
    </row>
    <row r="19743" spans="6:9" x14ac:dyDescent="0.3">
      <c r="F19743"/>
      <c r="G19743"/>
      <c r="H19743"/>
      <c r="I19743"/>
    </row>
    <row r="19744" spans="6:9" x14ac:dyDescent="0.3">
      <c r="F19744"/>
      <c r="G19744"/>
      <c r="H19744"/>
      <c r="I19744"/>
    </row>
    <row r="19745" spans="6:9" x14ac:dyDescent="0.3">
      <c r="F19745"/>
      <c r="G19745"/>
      <c r="H19745"/>
      <c r="I19745"/>
    </row>
    <row r="19746" spans="6:9" x14ac:dyDescent="0.3">
      <c r="F19746"/>
      <c r="G19746"/>
      <c r="H19746"/>
      <c r="I19746"/>
    </row>
    <row r="19747" spans="6:9" x14ac:dyDescent="0.3">
      <c r="F19747"/>
      <c r="G19747"/>
      <c r="H19747"/>
      <c r="I19747"/>
    </row>
    <row r="19748" spans="6:9" x14ac:dyDescent="0.3">
      <c r="F19748"/>
      <c r="G19748"/>
      <c r="H19748"/>
      <c r="I19748"/>
    </row>
    <row r="19749" spans="6:9" x14ac:dyDescent="0.3">
      <c r="F19749"/>
      <c r="G19749"/>
      <c r="H19749"/>
      <c r="I19749"/>
    </row>
    <row r="19750" spans="6:9" x14ac:dyDescent="0.3">
      <c r="F19750"/>
      <c r="G19750"/>
      <c r="H19750"/>
      <c r="I19750"/>
    </row>
    <row r="19751" spans="6:9" x14ac:dyDescent="0.3">
      <c r="F19751"/>
      <c r="G19751"/>
      <c r="H19751"/>
      <c r="I19751"/>
    </row>
    <row r="19752" spans="6:9" x14ac:dyDescent="0.3">
      <c r="F19752"/>
      <c r="G19752"/>
      <c r="H19752"/>
      <c r="I19752"/>
    </row>
    <row r="19753" spans="6:9" x14ac:dyDescent="0.3">
      <c r="F19753"/>
      <c r="G19753"/>
      <c r="H19753"/>
      <c r="I19753"/>
    </row>
    <row r="19754" spans="6:9" x14ac:dyDescent="0.3">
      <c r="F19754"/>
      <c r="G19754"/>
      <c r="H19754"/>
      <c r="I19754"/>
    </row>
    <row r="19755" spans="6:9" x14ac:dyDescent="0.3">
      <c r="F19755"/>
      <c r="G19755"/>
      <c r="H19755"/>
      <c r="I19755"/>
    </row>
    <row r="19756" spans="6:9" x14ac:dyDescent="0.3">
      <c r="F19756"/>
      <c r="G19756"/>
      <c r="H19756"/>
      <c r="I19756"/>
    </row>
    <row r="19757" spans="6:9" x14ac:dyDescent="0.3">
      <c r="F19757"/>
      <c r="G19757"/>
      <c r="H19757"/>
      <c r="I19757"/>
    </row>
    <row r="19758" spans="6:9" x14ac:dyDescent="0.3">
      <c r="F19758"/>
      <c r="G19758"/>
      <c r="H19758"/>
      <c r="I19758"/>
    </row>
    <row r="19759" spans="6:9" x14ac:dyDescent="0.3">
      <c r="F19759"/>
      <c r="G19759"/>
      <c r="H19759"/>
      <c r="I19759"/>
    </row>
    <row r="19760" spans="6:9" x14ac:dyDescent="0.3">
      <c r="F19760"/>
      <c r="G19760"/>
      <c r="H19760"/>
      <c r="I19760"/>
    </row>
    <row r="19761" spans="6:9" x14ac:dyDescent="0.3">
      <c r="F19761"/>
      <c r="G19761"/>
      <c r="H19761"/>
      <c r="I19761"/>
    </row>
    <row r="19762" spans="6:9" x14ac:dyDescent="0.3">
      <c r="F19762"/>
      <c r="G19762"/>
      <c r="H19762"/>
      <c r="I19762"/>
    </row>
    <row r="19763" spans="6:9" x14ac:dyDescent="0.3">
      <c r="F19763"/>
      <c r="G19763"/>
      <c r="H19763"/>
      <c r="I19763"/>
    </row>
    <row r="19764" spans="6:9" x14ac:dyDescent="0.3">
      <c r="F19764"/>
      <c r="G19764"/>
      <c r="H19764"/>
      <c r="I19764"/>
    </row>
    <row r="19765" spans="6:9" x14ac:dyDescent="0.3">
      <c r="F19765"/>
      <c r="G19765"/>
      <c r="H19765"/>
      <c r="I19765"/>
    </row>
    <row r="19766" spans="6:9" x14ac:dyDescent="0.3">
      <c r="F19766"/>
      <c r="G19766"/>
      <c r="H19766"/>
      <c r="I19766"/>
    </row>
    <row r="19767" spans="6:9" x14ac:dyDescent="0.3">
      <c r="F19767"/>
      <c r="G19767"/>
      <c r="H19767"/>
      <c r="I19767"/>
    </row>
    <row r="19768" spans="6:9" x14ac:dyDescent="0.3">
      <c r="F19768"/>
      <c r="G19768"/>
      <c r="H19768"/>
      <c r="I19768"/>
    </row>
    <row r="19769" spans="6:9" x14ac:dyDescent="0.3">
      <c r="F19769"/>
      <c r="G19769"/>
      <c r="H19769"/>
      <c r="I19769"/>
    </row>
    <row r="19770" spans="6:9" x14ac:dyDescent="0.3">
      <c r="F19770"/>
      <c r="G19770"/>
      <c r="H19770"/>
      <c r="I19770"/>
    </row>
    <row r="19771" spans="6:9" x14ac:dyDescent="0.3">
      <c r="F19771"/>
      <c r="G19771"/>
      <c r="H19771"/>
      <c r="I19771"/>
    </row>
    <row r="19772" spans="6:9" x14ac:dyDescent="0.3">
      <c r="F19772"/>
      <c r="G19772"/>
      <c r="H19772"/>
      <c r="I19772"/>
    </row>
    <row r="19773" spans="6:9" x14ac:dyDescent="0.3">
      <c r="F19773"/>
      <c r="G19773"/>
      <c r="H19773"/>
      <c r="I19773"/>
    </row>
    <row r="19774" spans="6:9" x14ac:dyDescent="0.3">
      <c r="F19774"/>
      <c r="G19774"/>
      <c r="H19774"/>
      <c r="I19774"/>
    </row>
    <row r="19775" spans="6:9" x14ac:dyDescent="0.3">
      <c r="F19775"/>
      <c r="G19775"/>
      <c r="H19775"/>
      <c r="I19775"/>
    </row>
    <row r="19776" spans="6:9" x14ac:dyDescent="0.3">
      <c r="F19776"/>
      <c r="G19776"/>
      <c r="H19776"/>
      <c r="I19776"/>
    </row>
    <row r="19777" spans="6:9" x14ac:dyDescent="0.3">
      <c r="F19777"/>
      <c r="G19777"/>
      <c r="H19777"/>
      <c r="I19777"/>
    </row>
    <row r="19778" spans="6:9" x14ac:dyDescent="0.3">
      <c r="F19778"/>
      <c r="G19778"/>
      <c r="H19778"/>
      <c r="I19778"/>
    </row>
    <row r="19779" spans="6:9" x14ac:dyDescent="0.3">
      <c r="F19779"/>
      <c r="G19779"/>
      <c r="H19779"/>
      <c r="I19779"/>
    </row>
    <row r="19780" spans="6:9" x14ac:dyDescent="0.3">
      <c r="F19780"/>
      <c r="G19780"/>
      <c r="H19780"/>
      <c r="I19780"/>
    </row>
    <row r="19781" spans="6:9" x14ac:dyDescent="0.3">
      <c r="F19781"/>
      <c r="G19781"/>
      <c r="H19781"/>
      <c r="I19781"/>
    </row>
    <row r="19782" spans="6:9" x14ac:dyDescent="0.3">
      <c r="F19782"/>
      <c r="G19782"/>
      <c r="H19782"/>
      <c r="I19782"/>
    </row>
    <row r="19783" spans="6:9" x14ac:dyDescent="0.3">
      <c r="F19783"/>
      <c r="G19783"/>
      <c r="H19783"/>
      <c r="I19783"/>
    </row>
    <row r="19784" spans="6:9" x14ac:dyDescent="0.3">
      <c r="F19784"/>
      <c r="G19784"/>
      <c r="H19784"/>
      <c r="I19784"/>
    </row>
    <row r="19785" spans="6:9" x14ac:dyDescent="0.3">
      <c r="F19785"/>
      <c r="G19785"/>
      <c r="H19785"/>
      <c r="I19785"/>
    </row>
    <row r="19786" spans="6:9" x14ac:dyDescent="0.3">
      <c r="F19786"/>
      <c r="G19786"/>
      <c r="H19786"/>
      <c r="I19786"/>
    </row>
    <row r="19787" spans="6:9" x14ac:dyDescent="0.3">
      <c r="F19787"/>
      <c r="G19787"/>
      <c r="H19787"/>
      <c r="I19787"/>
    </row>
    <row r="19788" spans="6:9" x14ac:dyDescent="0.3">
      <c r="F19788"/>
      <c r="G19788"/>
      <c r="H19788"/>
      <c r="I19788"/>
    </row>
    <row r="19789" spans="6:9" x14ac:dyDescent="0.3">
      <c r="F19789"/>
      <c r="G19789"/>
      <c r="H19789"/>
      <c r="I19789"/>
    </row>
    <row r="19790" spans="6:9" x14ac:dyDescent="0.3">
      <c r="F19790"/>
      <c r="G19790"/>
      <c r="H19790"/>
      <c r="I19790"/>
    </row>
    <row r="19791" spans="6:9" x14ac:dyDescent="0.3">
      <c r="F19791"/>
      <c r="G19791"/>
      <c r="H19791"/>
      <c r="I19791"/>
    </row>
    <row r="19792" spans="6:9" x14ac:dyDescent="0.3">
      <c r="F19792"/>
      <c r="G19792"/>
      <c r="H19792"/>
      <c r="I19792"/>
    </row>
    <row r="19793" spans="6:9" x14ac:dyDescent="0.3">
      <c r="F19793"/>
      <c r="G19793"/>
      <c r="H19793"/>
      <c r="I19793"/>
    </row>
    <row r="19794" spans="6:9" x14ac:dyDescent="0.3">
      <c r="F19794"/>
      <c r="G19794"/>
      <c r="H19794"/>
      <c r="I19794"/>
    </row>
    <row r="19795" spans="6:9" x14ac:dyDescent="0.3">
      <c r="F19795"/>
      <c r="G19795"/>
      <c r="H19795"/>
      <c r="I19795"/>
    </row>
    <row r="19796" spans="6:9" x14ac:dyDescent="0.3">
      <c r="F19796"/>
      <c r="G19796"/>
      <c r="H19796"/>
      <c r="I19796"/>
    </row>
    <row r="19797" spans="6:9" x14ac:dyDescent="0.3">
      <c r="F19797"/>
      <c r="G19797"/>
      <c r="H19797"/>
      <c r="I19797"/>
    </row>
    <row r="19798" spans="6:9" x14ac:dyDescent="0.3">
      <c r="F19798"/>
      <c r="G19798"/>
      <c r="H19798"/>
      <c r="I19798"/>
    </row>
    <row r="19799" spans="6:9" x14ac:dyDescent="0.3">
      <c r="F19799"/>
      <c r="G19799"/>
      <c r="H19799"/>
      <c r="I19799"/>
    </row>
    <row r="19800" spans="6:9" x14ac:dyDescent="0.3">
      <c r="F19800"/>
      <c r="G19800"/>
      <c r="H19800"/>
      <c r="I19800"/>
    </row>
    <row r="19801" spans="6:9" x14ac:dyDescent="0.3">
      <c r="F19801"/>
      <c r="G19801"/>
      <c r="H19801"/>
      <c r="I19801"/>
    </row>
    <row r="19802" spans="6:9" x14ac:dyDescent="0.3">
      <c r="F19802"/>
      <c r="G19802"/>
      <c r="H19802"/>
      <c r="I19802"/>
    </row>
    <row r="19803" spans="6:9" x14ac:dyDescent="0.3">
      <c r="F19803"/>
      <c r="G19803"/>
      <c r="H19803"/>
      <c r="I19803"/>
    </row>
    <row r="19804" spans="6:9" x14ac:dyDescent="0.3">
      <c r="F19804"/>
      <c r="G19804"/>
      <c r="H19804"/>
      <c r="I19804"/>
    </row>
    <row r="19805" spans="6:9" x14ac:dyDescent="0.3">
      <c r="F19805"/>
      <c r="G19805"/>
      <c r="H19805"/>
      <c r="I19805"/>
    </row>
    <row r="19806" spans="6:9" x14ac:dyDescent="0.3">
      <c r="F19806"/>
      <c r="G19806"/>
      <c r="H19806"/>
      <c r="I19806"/>
    </row>
    <row r="19807" spans="6:9" x14ac:dyDescent="0.3">
      <c r="F19807"/>
      <c r="G19807"/>
      <c r="H19807"/>
      <c r="I19807"/>
    </row>
    <row r="19808" spans="6:9" x14ac:dyDescent="0.3">
      <c r="F19808"/>
      <c r="G19808"/>
      <c r="H19808"/>
      <c r="I19808"/>
    </row>
    <row r="19809" spans="6:9" x14ac:dyDescent="0.3">
      <c r="F19809"/>
      <c r="G19809"/>
      <c r="H19809"/>
      <c r="I19809"/>
    </row>
    <row r="19810" spans="6:9" x14ac:dyDescent="0.3">
      <c r="F19810"/>
      <c r="G19810"/>
      <c r="H19810"/>
      <c r="I19810"/>
    </row>
    <row r="19811" spans="6:9" x14ac:dyDescent="0.3">
      <c r="F19811"/>
      <c r="G19811"/>
      <c r="H19811"/>
      <c r="I19811"/>
    </row>
    <row r="19812" spans="6:9" x14ac:dyDescent="0.3">
      <c r="F19812"/>
      <c r="G19812"/>
      <c r="H19812"/>
      <c r="I19812"/>
    </row>
    <row r="19813" spans="6:9" x14ac:dyDescent="0.3">
      <c r="F19813"/>
      <c r="G19813"/>
      <c r="H19813"/>
      <c r="I19813"/>
    </row>
    <row r="19814" spans="6:9" x14ac:dyDescent="0.3">
      <c r="F19814"/>
      <c r="G19814"/>
      <c r="H19814"/>
      <c r="I19814"/>
    </row>
    <row r="19815" spans="6:9" x14ac:dyDescent="0.3">
      <c r="F19815"/>
      <c r="G19815"/>
      <c r="H19815"/>
      <c r="I19815"/>
    </row>
    <row r="19816" spans="6:9" x14ac:dyDescent="0.3">
      <c r="F19816"/>
      <c r="G19816"/>
      <c r="H19816"/>
      <c r="I19816"/>
    </row>
    <row r="19817" spans="6:9" x14ac:dyDescent="0.3">
      <c r="F19817"/>
      <c r="G19817"/>
      <c r="H19817"/>
      <c r="I19817"/>
    </row>
    <row r="19818" spans="6:9" x14ac:dyDescent="0.3">
      <c r="F19818"/>
      <c r="G19818"/>
      <c r="H19818"/>
      <c r="I19818"/>
    </row>
    <row r="19819" spans="6:9" x14ac:dyDescent="0.3">
      <c r="F19819"/>
      <c r="G19819"/>
      <c r="H19819"/>
      <c r="I19819"/>
    </row>
    <row r="19820" spans="6:9" x14ac:dyDescent="0.3">
      <c r="F19820"/>
      <c r="G19820"/>
      <c r="H19820"/>
      <c r="I19820"/>
    </row>
    <row r="19821" spans="6:9" x14ac:dyDescent="0.3">
      <c r="F19821"/>
      <c r="G19821"/>
      <c r="H19821"/>
      <c r="I19821"/>
    </row>
    <row r="19822" spans="6:9" x14ac:dyDescent="0.3">
      <c r="F19822"/>
      <c r="G19822"/>
      <c r="H19822"/>
      <c r="I19822"/>
    </row>
    <row r="19823" spans="6:9" x14ac:dyDescent="0.3">
      <c r="F19823"/>
      <c r="G19823"/>
      <c r="H19823"/>
      <c r="I19823"/>
    </row>
    <row r="19824" spans="6:9" x14ac:dyDescent="0.3">
      <c r="F19824"/>
      <c r="G19824"/>
      <c r="H19824"/>
      <c r="I19824"/>
    </row>
    <row r="19825" spans="6:9" x14ac:dyDescent="0.3">
      <c r="F19825"/>
      <c r="G19825"/>
      <c r="H19825"/>
      <c r="I19825"/>
    </row>
    <row r="19826" spans="6:9" x14ac:dyDescent="0.3">
      <c r="F19826"/>
      <c r="G19826"/>
      <c r="H19826"/>
      <c r="I19826"/>
    </row>
    <row r="19827" spans="6:9" x14ac:dyDescent="0.3">
      <c r="F19827"/>
      <c r="G19827"/>
      <c r="H19827"/>
      <c r="I19827"/>
    </row>
    <row r="19828" spans="6:9" x14ac:dyDescent="0.3">
      <c r="F19828"/>
      <c r="G19828"/>
      <c r="H19828"/>
      <c r="I19828"/>
    </row>
    <row r="19829" spans="6:9" x14ac:dyDescent="0.3">
      <c r="F19829"/>
      <c r="G19829"/>
      <c r="H19829"/>
      <c r="I19829"/>
    </row>
    <row r="19830" spans="6:9" x14ac:dyDescent="0.3">
      <c r="F19830"/>
      <c r="G19830"/>
      <c r="H19830"/>
      <c r="I19830"/>
    </row>
    <row r="19831" spans="6:9" x14ac:dyDescent="0.3">
      <c r="F19831"/>
      <c r="G19831"/>
      <c r="H19831"/>
      <c r="I19831"/>
    </row>
    <row r="19832" spans="6:9" x14ac:dyDescent="0.3">
      <c r="F19832"/>
      <c r="G19832"/>
      <c r="H19832"/>
      <c r="I19832"/>
    </row>
    <row r="19833" spans="6:9" x14ac:dyDescent="0.3">
      <c r="F19833"/>
      <c r="G19833"/>
      <c r="H19833"/>
      <c r="I19833"/>
    </row>
    <row r="19834" spans="6:9" x14ac:dyDescent="0.3">
      <c r="F19834"/>
      <c r="G19834"/>
      <c r="H19834"/>
      <c r="I19834"/>
    </row>
    <row r="19835" spans="6:9" x14ac:dyDescent="0.3">
      <c r="F19835"/>
      <c r="G19835"/>
      <c r="H19835"/>
      <c r="I19835"/>
    </row>
    <row r="19836" spans="6:9" x14ac:dyDescent="0.3">
      <c r="F19836"/>
      <c r="G19836"/>
      <c r="H19836"/>
      <c r="I19836"/>
    </row>
    <row r="19837" spans="6:9" x14ac:dyDescent="0.3">
      <c r="F19837"/>
      <c r="G19837"/>
      <c r="H19837"/>
      <c r="I19837"/>
    </row>
    <row r="19838" spans="6:9" x14ac:dyDescent="0.3">
      <c r="F19838"/>
      <c r="G19838"/>
      <c r="H19838"/>
      <c r="I19838"/>
    </row>
    <row r="19839" spans="6:9" x14ac:dyDescent="0.3">
      <c r="F19839"/>
      <c r="G19839"/>
      <c r="H19839"/>
      <c r="I19839"/>
    </row>
    <row r="19840" spans="6:9" x14ac:dyDescent="0.3">
      <c r="F19840"/>
      <c r="G19840"/>
      <c r="H19840"/>
      <c r="I19840"/>
    </row>
    <row r="19841" spans="6:9" x14ac:dyDescent="0.3">
      <c r="F19841"/>
      <c r="G19841"/>
      <c r="H19841"/>
      <c r="I19841"/>
    </row>
    <row r="19842" spans="6:9" x14ac:dyDescent="0.3">
      <c r="F19842"/>
      <c r="G19842"/>
      <c r="H19842"/>
      <c r="I19842"/>
    </row>
    <row r="19843" spans="6:9" x14ac:dyDescent="0.3">
      <c r="F19843"/>
      <c r="G19843"/>
      <c r="H19843"/>
      <c r="I19843"/>
    </row>
    <row r="19844" spans="6:9" x14ac:dyDescent="0.3">
      <c r="F19844"/>
      <c r="G19844"/>
      <c r="H19844"/>
      <c r="I19844"/>
    </row>
    <row r="19845" spans="6:9" x14ac:dyDescent="0.3">
      <c r="F19845"/>
      <c r="G19845"/>
      <c r="H19845"/>
      <c r="I19845"/>
    </row>
    <row r="19846" spans="6:9" x14ac:dyDescent="0.3">
      <c r="F19846"/>
      <c r="G19846"/>
      <c r="H19846"/>
      <c r="I19846"/>
    </row>
    <row r="19847" spans="6:9" x14ac:dyDescent="0.3">
      <c r="F19847"/>
      <c r="G19847"/>
      <c r="H19847"/>
      <c r="I19847"/>
    </row>
    <row r="19848" spans="6:9" x14ac:dyDescent="0.3">
      <c r="F19848"/>
      <c r="G19848"/>
      <c r="H19848"/>
      <c r="I19848"/>
    </row>
    <row r="19849" spans="6:9" x14ac:dyDescent="0.3">
      <c r="F19849"/>
      <c r="G19849"/>
      <c r="H19849"/>
      <c r="I19849"/>
    </row>
    <row r="19850" spans="6:9" x14ac:dyDescent="0.3">
      <c r="F19850"/>
      <c r="G19850"/>
      <c r="H19850"/>
      <c r="I19850"/>
    </row>
    <row r="19851" spans="6:9" x14ac:dyDescent="0.3">
      <c r="F19851"/>
      <c r="G19851"/>
      <c r="H19851"/>
      <c r="I19851"/>
    </row>
    <row r="19852" spans="6:9" x14ac:dyDescent="0.3">
      <c r="F19852"/>
      <c r="G19852"/>
      <c r="H19852"/>
      <c r="I19852"/>
    </row>
    <row r="19853" spans="6:9" x14ac:dyDescent="0.3">
      <c r="F19853"/>
      <c r="G19853"/>
      <c r="H19853"/>
      <c r="I19853"/>
    </row>
    <row r="19854" spans="6:9" x14ac:dyDescent="0.3">
      <c r="F19854"/>
      <c r="G19854"/>
      <c r="H19854"/>
      <c r="I19854"/>
    </row>
    <row r="19855" spans="6:9" x14ac:dyDescent="0.3">
      <c r="F19855"/>
      <c r="G19855"/>
      <c r="H19855"/>
      <c r="I19855"/>
    </row>
    <row r="19856" spans="6:9" x14ac:dyDescent="0.3">
      <c r="F19856"/>
      <c r="G19856"/>
      <c r="H19856"/>
      <c r="I19856"/>
    </row>
    <row r="19857" spans="6:9" x14ac:dyDescent="0.3">
      <c r="F19857"/>
      <c r="G19857"/>
      <c r="H19857"/>
      <c r="I19857"/>
    </row>
    <row r="19858" spans="6:9" x14ac:dyDescent="0.3">
      <c r="F19858"/>
      <c r="G19858"/>
      <c r="H19858"/>
      <c r="I19858"/>
    </row>
    <row r="19859" spans="6:9" x14ac:dyDescent="0.3">
      <c r="F19859"/>
      <c r="G19859"/>
      <c r="H19859"/>
      <c r="I19859"/>
    </row>
    <row r="19860" spans="6:9" x14ac:dyDescent="0.3">
      <c r="F19860"/>
      <c r="G19860"/>
      <c r="H19860"/>
      <c r="I19860"/>
    </row>
    <row r="19861" spans="6:9" x14ac:dyDescent="0.3">
      <c r="F19861"/>
      <c r="G19861"/>
      <c r="H19861"/>
      <c r="I19861"/>
    </row>
    <row r="19862" spans="6:9" x14ac:dyDescent="0.3">
      <c r="F19862"/>
      <c r="G19862"/>
      <c r="H19862"/>
      <c r="I19862"/>
    </row>
    <row r="19863" spans="6:9" x14ac:dyDescent="0.3">
      <c r="F19863"/>
      <c r="G19863"/>
      <c r="H19863"/>
      <c r="I19863"/>
    </row>
    <row r="19864" spans="6:9" x14ac:dyDescent="0.3">
      <c r="F19864"/>
      <c r="G19864"/>
      <c r="H19864"/>
      <c r="I19864"/>
    </row>
    <row r="19865" spans="6:9" x14ac:dyDescent="0.3">
      <c r="F19865"/>
      <c r="G19865"/>
      <c r="H19865"/>
      <c r="I19865"/>
    </row>
    <row r="19866" spans="6:9" x14ac:dyDescent="0.3">
      <c r="F19866"/>
      <c r="G19866"/>
      <c r="H19866"/>
      <c r="I19866"/>
    </row>
    <row r="19867" spans="6:9" x14ac:dyDescent="0.3">
      <c r="F19867"/>
      <c r="G19867"/>
      <c r="H19867"/>
      <c r="I19867"/>
    </row>
    <row r="19868" spans="6:9" x14ac:dyDescent="0.3">
      <c r="F19868"/>
      <c r="G19868"/>
      <c r="H19868"/>
      <c r="I19868"/>
    </row>
    <row r="19869" spans="6:9" x14ac:dyDescent="0.3">
      <c r="F19869"/>
      <c r="G19869"/>
      <c r="H19869"/>
      <c r="I19869"/>
    </row>
    <row r="19870" spans="6:9" x14ac:dyDescent="0.3">
      <c r="F19870"/>
      <c r="G19870"/>
      <c r="H19870"/>
      <c r="I19870"/>
    </row>
    <row r="19871" spans="6:9" x14ac:dyDescent="0.3">
      <c r="F19871"/>
      <c r="G19871"/>
      <c r="H19871"/>
      <c r="I19871"/>
    </row>
    <row r="19872" spans="6:9" x14ac:dyDescent="0.3">
      <c r="F19872"/>
      <c r="G19872"/>
      <c r="H19872"/>
      <c r="I19872"/>
    </row>
    <row r="19873" spans="6:9" x14ac:dyDescent="0.3">
      <c r="F19873"/>
      <c r="G19873"/>
      <c r="H19873"/>
      <c r="I19873"/>
    </row>
    <row r="19874" spans="6:9" x14ac:dyDescent="0.3">
      <c r="F19874"/>
      <c r="G19874"/>
      <c r="H19874"/>
      <c r="I19874"/>
    </row>
    <row r="19875" spans="6:9" x14ac:dyDescent="0.3">
      <c r="F19875"/>
      <c r="G19875"/>
      <c r="H19875"/>
      <c r="I19875"/>
    </row>
    <row r="19876" spans="6:9" x14ac:dyDescent="0.3">
      <c r="F19876"/>
      <c r="G19876"/>
      <c r="H19876"/>
      <c r="I19876"/>
    </row>
    <row r="19877" spans="6:9" x14ac:dyDescent="0.3">
      <c r="F19877"/>
      <c r="G19877"/>
      <c r="H19877"/>
      <c r="I19877"/>
    </row>
    <row r="19878" spans="6:9" x14ac:dyDescent="0.3">
      <c r="F19878"/>
      <c r="G19878"/>
      <c r="H19878"/>
      <c r="I19878"/>
    </row>
    <row r="19879" spans="6:9" x14ac:dyDescent="0.3">
      <c r="F19879"/>
      <c r="G19879"/>
      <c r="H19879"/>
      <c r="I19879"/>
    </row>
    <row r="19880" spans="6:9" x14ac:dyDescent="0.3">
      <c r="F19880"/>
      <c r="G19880"/>
      <c r="H19880"/>
      <c r="I19880"/>
    </row>
    <row r="19881" spans="6:9" x14ac:dyDescent="0.3">
      <c r="F19881"/>
      <c r="G19881"/>
      <c r="H19881"/>
      <c r="I19881"/>
    </row>
    <row r="19882" spans="6:9" x14ac:dyDescent="0.3">
      <c r="F19882"/>
      <c r="G19882"/>
      <c r="H19882"/>
      <c r="I19882"/>
    </row>
    <row r="19883" spans="6:9" x14ac:dyDescent="0.3">
      <c r="F19883"/>
      <c r="G19883"/>
      <c r="H19883"/>
      <c r="I19883"/>
    </row>
    <row r="19884" spans="6:9" x14ac:dyDescent="0.3">
      <c r="F19884"/>
      <c r="G19884"/>
      <c r="H19884"/>
      <c r="I19884"/>
    </row>
    <row r="19885" spans="6:9" x14ac:dyDescent="0.3">
      <c r="F19885"/>
      <c r="G19885"/>
      <c r="H19885"/>
      <c r="I19885"/>
    </row>
    <row r="19886" spans="6:9" x14ac:dyDescent="0.3">
      <c r="F19886"/>
      <c r="G19886"/>
      <c r="H19886"/>
      <c r="I19886"/>
    </row>
    <row r="19887" spans="6:9" x14ac:dyDescent="0.3">
      <c r="F19887"/>
      <c r="G19887"/>
      <c r="H19887"/>
      <c r="I19887"/>
    </row>
    <row r="19888" spans="6:9" x14ac:dyDescent="0.3">
      <c r="F19888"/>
      <c r="G19888"/>
      <c r="H19888"/>
      <c r="I19888"/>
    </row>
    <row r="19889" spans="6:9" x14ac:dyDescent="0.3">
      <c r="F19889"/>
      <c r="G19889"/>
      <c r="H19889"/>
      <c r="I19889"/>
    </row>
    <row r="19890" spans="6:9" x14ac:dyDescent="0.3">
      <c r="F19890"/>
      <c r="G19890"/>
      <c r="H19890"/>
      <c r="I19890"/>
    </row>
    <row r="19891" spans="6:9" x14ac:dyDescent="0.3">
      <c r="F19891"/>
      <c r="G19891"/>
      <c r="H19891"/>
      <c r="I19891"/>
    </row>
    <row r="19892" spans="6:9" x14ac:dyDescent="0.3">
      <c r="F19892"/>
      <c r="G19892"/>
      <c r="H19892"/>
      <c r="I19892"/>
    </row>
    <row r="19893" spans="6:9" x14ac:dyDescent="0.3">
      <c r="F19893"/>
      <c r="G19893"/>
      <c r="H19893"/>
      <c r="I19893"/>
    </row>
    <row r="19894" spans="6:9" x14ac:dyDescent="0.3">
      <c r="F19894"/>
      <c r="G19894"/>
      <c r="H19894"/>
      <c r="I19894"/>
    </row>
    <row r="19895" spans="6:9" x14ac:dyDescent="0.3">
      <c r="F19895"/>
      <c r="G19895"/>
      <c r="H19895"/>
      <c r="I19895"/>
    </row>
    <row r="19896" spans="6:9" x14ac:dyDescent="0.3">
      <c r="F19896"/>
      <c r="G19896"/>
      <c r="H19896"/>
      <c r="I19896"/>
    </row>
    <row r="19897" spans="6:9" x14ac:dyDescent="0.3">
      <c r="F19897"/>
      <c r="G19897"/>
      <c r="H19897"/>
      <c r="I19897"/>
    </row>
    <row r="19898" spans="6:9" x14ac:dyDescent="0.3">
      <c r="F19898"/>
      <c r="G19898"/>
      <c r="H19898"/>
      <c r="I19898"/>
    </row>
    <row r="19899" spans="6:9" x14ac:dyDescent="0.3">
      <c r="F19899"/>
      <c r="G19899"/>
      <c r="H19899"/>
      <c r="I19899"/>
    </row>
    <row r="19900" spans="6:9" x14ac:dyDescent="0.3">
      <c r="F19900"/>
      <c r="G19900"/>
      <c r="H19900"/>
      <c r="I19900"/>
    </row>
    <row r="19901" spans="6:9" x14ac:dyDescent="0.3">
      <c r="F19901"/>
      <c r="G19901"/>
      <c r="H19901"/>
      <c r="I19901"/>
    </row>
    <row r="19902" spans="6:9" x14ac:dyDescent="0.3">
      <c r="F19902"/>
      <c r="G19902"/>
      <c r="H19902"/>
      <c r="I19902"/>
    </row>
    <row r="19903" spans="6:9" x14ac:dyDescent="0.3">
      <c r="F19903"/>
      <c r="G19903"/>
      <c r="H19903"/>
      <c r="I19903"/>
    </row>
    <row r="19904" spans="6:9" x14ac:dyDescent="0.3">
      <c r="F19904"/>
      <c r="G19904"/>
      <c r="H19904"/>
      <c r="I19904"/>
    </row>
    <row r="19905" spans="6:9" x14ac:dyDescent="0.3">
      <c r="F19905"/>
      <c r="G19905"/>
      <c r="H19905"/>
      <c r="I19905"/>
    </row>
    <row r="19906" spans="6:9" x14ac:dyDescent="0.3">
      <c r="F19906"/>
      <c r="G19906"/>
      <c r="H19906"/>
      <c r="I19906"/>
    </row>
    <row r="19907" spans="6:9" x14ac:dyDescent="0.3">
      <c r="F19907"/>
      <c r="G19907"/>
      <c r="H19907"/>
      <c r="I19907"/>
    </row>
    <row r="19908" spans="6:9" x14ac:dyDescent="0.3">
      <c r="F19908"/>
      <c r="G19908"/>
      <c r="H19908"/>
      <c r="I19908"/>
    </row>
    <row r="19909" spans="6:9" x14ac:dyDescent="0.3">
      <c r="F19909"/>
      <c r="G19909"/>
      <c r="H19909"/>
      <c r="I19909"/>
    </row>
    <row r="19910" spans="6:9" x14ac:dyDescent="0.3">
      <c r="F19910"/>
      <c r="G19910"/>
      <c r="H19910"/>
      <c r="I19910"/>
    </row>
    <row r="19911" spans="6:9" x14ac:dyDescent="0.3">
      <c r="F19911"/>
      <c r="G19911"/>
      <c r="H19911"/>
      <c r="I19911"/>
    </row>
    <row r="19912" spans="6:9" x14ac:dyDescent="0.3">
      <c r="F19912"/>
      <c r="G19912"/>
      <c r="H19912"/>
      <c r="I19912"/>
    </row>
    <row r="19913" spans="6:9" x14ac:dyDescent="0.3">
      <c r="F19913"/>
      <c r="G19913"/>
      <c r="H19913"/>
      <c r="I19913"/>
    </row>
    <row r="19914" spans="6:9" x14ac:dyDescent="0.3">
      <c r="F19914"/>
      <c r="G19914"/>
      <c r="H19914"/>
      <c r="I19914"/>
    </row>
    <row r="19915" spans="6:9" x14ac:dyDescent="0.3">
      <c r="F19915"/>
      <c r="G19915"/>
      <c r="H19915"/>
      <c r="I19915"/>
    </row>
    <row r="19916" spans="6:9" x14ac:dyDescent="0.3">
      <c r="F19916"/>
      <c r="G19916"/>
      <c r="H19916"/>
      <c r="I19916"/>
    </row>
    <row r="19917" spans="6:9" x14ac:dyDescent="0.3">
      <c r="F19917"/>
      <c r="G19917"/>
      <c r="H19917"/>
      <c r="I19917"/>
    </row>
    <row r="19918" spans="6:9" x14ac:dyDescent="0.3">
      <c r="F19918"/>
      <c r="G19918"/>
      <c r="H19918"/>
      <c r="I19918"/>
    </row>
    <row r="19919" spans="6:9" x14ac:dyDescent="0.3">
      <c r="F19919"/>
      <c r="G19919"/>
      <c r="H19919"/>
      <c r="I19919"/>
    </row>
    <row r="19920" spans="6:9" x14ac:dyDescent="0.3">
      <c r="F19920"/>
      <c r="G19920"/>
      <c r="H19920"/>
      <c r="I19920"/>
    </row>
    <row r="19921" spans="6:9" x14ac:dyDescent="0.3">
      <c r="F19921"/>
      <c r="G19921"/>
      <c r="H19921"/>
      <c r="I19921"/>
    </row>
    <row r="19922" spans="6:9" x14ac:dyDescent="0.3">
      <c r="F19922"/>
      <c r="G19922"/>
      <c r="H19922"/>
      <c r="I19922"/>
    </row>
    <row r="19923" spans="6:9" x14ac:dyDescent="0.3">
      <c r="F19923"/>
      <c r="G19923"/>
      <c r="H19923"/>
      <c r="I19923"/>
    </row>
    <row r="19924" spans="6:9" x14ac:dyDescent="0.3">
      <c r="F19924"/>
      <c r="G19924"/>
      <c r="H19924"/>
      <c r="I19924"/>
    </row>
    <row r="19925" spans="6:9" x14ac:dyDescent="0.3">
      <c r="F19925"/>
      <c r="G19925"/>
      <c r="H19925"/>
      <c r="I19925"/>
    </row>
    <row r="19926" spans="6:9" x14ac:dyDescent="0.3">
      <c r="F19926"/>
      <c r="G19926"/>
      <c r="H19926"/>
      <c r="I19926"/>
    </row>
    <row r="19927" spans="6:9" x14ac:dyDescent="0.3">
      <c r="F19927"/>
      <c r="G19927"/>
      <c r="H19927"/>
      <c r="I19927"/>
    </row>
    <row r="19928" spans="6:9" x14ac:dyDescent="0.3">
      <c r="F19928"/>
      <c r="G19928"/>
      <c r="H19928"/>
      <c r="I19928"/>
    </row>
    <row r="19929" spans="6:9" x14ac:dyDescent="0.3">
      <c r="F19929"/>
      <c r="G19929"/>
      <c r="H19929"/>
      <c r="I19929"/>
    </row>
    <row r="19930" spans="6:9" x14ac:dyDescent="0.3">
      <c r="F19930"/>
      <c r="G19930"/>
      <c r="H19930"/>
      <c r="I19930"/>
    </row>
    <row r="19931" spans="6:9" x14ac:dyDescent="0.3">
      <c r="F19931"/>
      <c r="G19931"/>
      <c r="H19931"/>
      <c r="I19931"/>
    </row>
    <row r="19932" spans="6:9" x14ac:dyDescent="0.3">
      <c r="F19932"/>
      <c r="G19932"/>
      <c r="H19932"/>
      <c r="I19932"/>
    </row>
    <row r="19933" spans="6:9" x14ac:dyDescent="0.3">
      <c r="F19933"/>
      <c r="G19933"/>
      <c r="H19933"/>
      <c r="I19933"/>
    </row>
    <row r="19934" spans="6:9" x14ac:dyDescent="0.3">
      <c r="F19934"/>
      <c r="G19934"/>
      <c r="H19934"/>
      <c r="I19934"/>
    </row>
    <row r="19935" spans="6:9" x14ac:dyDescent="0.3">
      <c r="F19935"/>
      <c r="G19935"/>
      <c r="H19935"/>
      <c r="I19935"/>
    </row>
    <row r="19936" spans="6:9" x14ac:dyDescent="0.3">
      <c r="F19936"/>
      <c r="G19936"/>
      <c r="H19936"/>
      <c r="I19936"/>
    </row>
    <row r="19937" spans="6:9" x14ac:dyDescent="0.3">
      <c r="F19937"/>
      <c r="G19937"/>
      <c r="H19937"/>
      <c r="I19937"/>
    </row>
    <row r="19938" spans="6:9" x14ac:dyDescent="0.3">
      <c r="F19938"/>
      <c r="G19938"/>
      <c r="H19938"/>
      <c r="I19938"/>
    </row>
    <row r="19939" spans="6:9" x14ac:dyDescent="0.3">
      <c r="F19939"/>
      <c r="G19939"/>
      <c r="H19939"/>
      <c r="I19939"/>
    </row>
    <row r="19940" spans="6:9" x14ac:dyDescent="0.3">
      <c r="F19940"/>
      <c r="G19940"/>
      <c r="H19940"/>
      <c r="I19940"/>
    </row>
    <row r="19941" spans="6:9" x14ac:dyDescent="0.3">
      <c r="F19941"/>
      <c r="G19941"/>
      <c r="H19941"/>
      <c r="I19941"/>
    </row>
    <row r="19942" spans="6:9" x14ac:dyDescent="0.3">
      <c r="F19942"/>
      <c r="G19942"/>
      <c r="H19942"/>
      <c r="I19942"/>
    </row>
    <row r="19943" spans="6:9" x14ac:dyDescent="0.3">
      <c r="F19943"/>
      <c r="G19943"/>
      <c r="H19943"/>
      <c r="I19943"/>
    </row>
    <row r="19944" spans="6:9" x14ac:dyDescent="0.3">
      <c r="F19944"/>
      <c r="G19944"/>
      <c r="H19944"/>
      <c r="I19944"/>
    </row>
    <row r="19945" spans="6:9" x14ac:dyDescent="0.3">
      <c r="F19945"/>
      <c r="G19945"/>
      <c r="H19945"/>
      <c r="I19945"/>
    </row>
    <row r="19946" spans="6:9" x14ac:dyDescent="0.3">
      <c r="F19946"/>
      <c r="G19946"/>
      <c r="H19946"/>
      <c r="I19946"/>
    </row>
    <row r="19947" spans="6:9" x14ac:dyDescent="0.3">
      <c r="F19947"/>
      <c r="G19947"/>
      <c r="H19947"/>
      <c r="I19947"/>
    </row>
    <row r="19948" spans="6:9" x14ac:dyDescent="0.3">
      <c r="F19948"/>
      <c r="G19948"/>
      <c r="H19948"/>
      <c r="I19948"/>
    </row>
    <row r="19949" spans="6:9" x14ac:dyDescent="0.3">
      <c r="F19949"/>
      <c r="G19949"/>
      <c r="H19949"/>
      <c r="I19949"/>
    </row>
    <row r="19950" spans="6:9" x14ac:dyDescent="0.3">
      <c r="F19950"/>
      <c r="G19950"/>
      <c r="H19950"/>
      <c r="I19950"/>
    </row>
    <row r="19951" spans="6:9" x14ac:dyDescent="0.3">
      <c r="F19951"/>
      <c r="G19951"/>
      <c r="H19951"/>
      <c r="I19951"/>
    </row>
    <row r="19952" spans="6:9" x14ac:dyDescent="0.3">
      <c r="F19952"/>
      <c r="G19952"/>
      <c r="H19952"/>
      <c r="I19952"/>
    </row>
    <row r="19953" spans="6:9" x14ac:dyDescent="0.3">
      <c r="F19953"/>
      <c r="G19953"/>
      <c r="H19953"/>
      <c r="I19953"/>
    </row>
    <row r="19954" spans="6:9" x14ac:dyDescent="0.3">
      <c r="F19954"/>
      <c r="G19954"/>
      <c r="H19954"/>
      <c r="I19954"/>
    </row>
    <row r="19955" spans="6:9" x14ac:dyDescent="0.3">
      <c r="F19955"/>
      <c r="G19955"/>
      <c r="H19955"/>
      <c r="I19955"/>
    </row>
    <row r="19956" spans="6:9" x14ac:dyDescent="0.3">
      <c r="F19956"/>
      <c r="G19956"/>
      <c r="H19956"/>
      <c r="I19956"/>
    </row>
    <row r="19957" spans="6:9" x14ac:dyDescent="0.3">
      <c r="F19957"/>
      <c r="G19957"/>
      <c r="H19957"/>
      <c r="I19957"/>
    </row>
    <row r="19958" spans="6:9" x14ac:dyDescent="0.3">
      <c r="F19958"/>
      <c r="G19958"/>
      <c r="H19958"/>
      <c r="I19958"/>
    </row>
    <row r="19959" spans="6:9" x14ac:dyDescent="0.3">
      <c r="F19959"/>
      <c r="G19959"/>
      <c r="H19959"/>
      <c r="I19959"/>
    </row>
    <row r="19960" spans="6:9" x14ac:dyDescent="0.3">
      <c r="F19960"/>
      <c r="G19960"/>
      <c r="H19960"/>
      <c r="I19960"/>
    </row>
    <row r="19961" spans="6:9" x14ac:dyDescent="0.3">
      <c r="F19961"/>
      <c r="G19961"/>
      <c r="H19961"/>
      <c r="I19961"/>
    </row>
    <row r="19962" spans="6:9" x14ac:dyDescent="0.3">
      <c r="F19962"/>
      <c r="G19962"/>
      <c r="H19962"/>
      <c r="I19962"/>
    </row>
    <row r="19963" spans="6:9" x14ac:dyDescent="0.3">
      <c r="F19963"/>
      <c r="G19963"/>
      <c r="H19963"/>
      <c r="I19963"/>
    </row>
    <row r="19964" spans="6:9" x14ac:dyDescent="0.3">
      <c r="F19964"/>
      <c r="G19964"/>
      <c r="H19964"/>
      <c r="I19964"/>
    </row>
    <row r="19965" spans="6:9" x14ac:dyDescent="0.3">
      <c r="F19965"/>
      <c r="G19965"/>
      <c r="H19965"/>
      <c r="I19965"/>
    </row>
    <row r="19966" spans="6:9" x14ac:dyDescent="0.3">
      <c r="F19966"/>
      <c r="G19966"/>
      <c r="H19966"/>
      <c r="I19966"/>
    </row>
    <row r="19967" spans="6:9" x14ac:dyDescent="0.3">
      <c r="F19967"/>
      <c r="G19967"/>
      <c r="H19967"/>
      <c r="I19967"/>
    </row>
    <row r="19968" spans="6:9" x14ac:dyDescent="0.3">
      <c r="F19968"/>
      <c r="G19968"/>
      <c r="H19968"/>
      <c r="I19968"/>
    </row>
    <row r="19969" spans="6:9" x14ac:dyDescent="0.3">
      <c r="F19969"/>
      <c r="G19969"/>
      <c r="H19969"/>
      <c r="I19969"/>
    </row>
    <row r="19970" spans="6:9" x14ac:dyDescent="0.3">
      <c r="F19970"/>
      <c r="G19970"/>
      <c r="H19970"/>
      <c r="I19970"/>
    </row>
    <row r="19971" spans="6:9" x14ac:dyDescent="0.3">
      <c r="F19971"/>
      <c r="G19971"/>
      <c r="H19971"/>
      <c r="I19971"/>
    </row>
    <row r="19972" spans="6:9" x14ac:dyDescent="0.3">
      <c r="F19972"/>
      <c r="G19972"/>
      <c r="H19972"/>
      <c r="I19972"/>
    </row>
    <row r="19973" spans="6:9" x14ac:dyDescent="0.3">
      <c r="F19973"/>
      <c r="G19973"/>
      <c r="H19973"/>
      <c r="I19973"/>
    </row>
    <row r="19974" spans="6:9" x14ac:dyDescent="0.3">
      <c r="F19974"/>
      <c r="G19974"/>
      <c r="H19974"/>
      <c r="I19974"/>
    </row>
    <row r="19975" spans="6:9" x14ac:dyDescent="0.3">
      <c r="F19975"/>
      <c r="G19975"/>
      <c r="H19975"/>
      <c r="I19975"/>
    </row>
    <row r="19976" spans="6:9" x14ac:dyDescent="0.3">
      <c r="F19976"/>
      <c r="G19976"/>
      <c r="H19976"/>
      <c r="I19976"/>
    </row>
    <row r="19977" spans="6:9" x14ac:dyDescent="0.3">
      <c r="F19977"/>
      <c r="G19977"/>
      <c r="H19977"/>
      <c r="I19977"/>
    </row>
    <row r="19978" spans="6:9" x14ac:dyDescent="0.3">
      <c r="F19978"/>
      <c r="G19978"/>
      <c r="H19978"/>
      <c r="I19978"/>
    </row>
    <row r="19979" spans="6:9" x14ac:dyDescent="0.3">
      <c r="F19979"/>
      <c r="G19979"/>
      <c r="H19979"/>
      <c r="I19979"/>
    </row>
    <row r="19980" spans="6:9" x14ac:dyDescent="0.3">
      <c r="F19980"/>
      <c r="G19980"/>
      <c r="H19980"/>
      <c r="I19980"/>
    </row>
    <row r="19981" spans="6:9" x14ac:dyDescent="0.3">
      <c r="F19981"/>
      <c r="G19981"/>
      <c r="H19981"/>
      <c r="I19981"/>
    </row>
    <row r="19982" spans="6:9" x14ac:dyDescent="0.3">
      <c r="F19982"/>
      <c r="G19982"/>
      <c r="H19982"/>
      <c r="I19982"/>
    </row>
    <row r="19983" spans="6:9" x14ac:dyDescent="0.3">
      <c r="F19983"/>
      <c r="G19983"/>
      <c r="H19983"/>
      <c r="I19983"/>
    </row>
    <row r="19984" spans="6:9" x14ac:dyDescent="0.3">
      <c r="F19984"/>
      <c r="G19984"/>
      <c r="H19984"/>
      <c r="I19984"/>
    </row>
    <row r="19985" spans="6:9" x14ac:dyDescent="0.3">
      <c r="F19985"/>
      <c r="G19985"/>
      <c r="H19985"/>
      <c r="I19985"/>
    </row>
    <row r="19986" spans="6:9" x14ac:dyDescent="0.3">
      <c r="F19986"/>
      <c r="G19986"/>
      <c r="H19986"/>
      <c r="I19986"/>
    </row>
    <row r="19987" spans="6:9" x14ac:dyDescent="0.3">
      <c r="F19987"/>
      <c r="G19987"/>
      <c r="H19987"/>
      <c r="I19987"/>
    </row>
    <row r="19988" spans="6:9" x14ac:dyDescent="0.3">
      <c r="F19988"/>
      <c r="G19988"/>
      <c r="H19988"/>
      <c r="I19988"/>
    </row>
    <row r="19989" spans="6:9" x14ac:dyDescent="0.3">
      <c r="F19989"/>
      <c r="G19989"/>
      <c r="H19989"/>
      <c r="I19989"/>
    </row>
    <row r="19990" spans="6:9" x14ac:dyDescent="0.3">
      <c r="F19990"/>
      <c r="G19990"/>
      <c r="H19990"/>
      <c r="I19990"/>
    </row>
    <row r="19991" spans="6:9" x14ac:dyDescent="0.3">
      <c r="F19991"/>
      <c r="G19991"/>
      <c r="H19991"/>
      <c r="I19991"/>
    </row>
    <row r="19992" spans="6:9" x14ac:dyDescent="0.3">
      <c r="F19992"/>
      <c r="G19992"/>
      <c r="H19992"/>
      <c r="I19992"/>
    </row>
    <row r="19993" spans="6:9" x14ac:dyDescent="0.3">
      <c r="F19993"/>
      <c r="G19993"/>
      <c r="H19993"/>
      <c r="I19993"/>
    </row>
    <row r="19994" spans="6:9" x14ac:dyDescent="0.3">
      <c r="F19994"/>
      <c r="G19994"/>
      <c r="H19994"/>
      <c r="I19994"/>
    </row>
    <row r="19995" spans="6:9" x14ac:dyDescent="0.3">
      <c r="F19995"/>
      <c r="G19995"/>
      <c r="H19995"/>
      <c r="I19995"/>
    </row>
    <row r="19996" spans="6:9" x14ac:dyDescent="0.3">
      <c r="F19996"/>
      <c r="G19996"/>
      <c r="H19996"/>
      <c r="I19996"/>
    </row>
    <row r="19997" spans="6:9" x14ac:dyDescent="0.3">
      <c r="F19997"/>
      <c r="G19997"/>
      <c r="H19997"/>
      <c r="I19997"/>
    </row>
    <row r="19998" spans="6:9" x14ac:dyDescent="0.3">
      <c r="F19998"/>
      <c r="G19998"/>
      <c r="H19998"/>
      <c r="I19998"/>
    </row>
    <row r="19999" spans="6:9" x14ac:dyDescent="0.3">
      <c r="F19999"/>
      <c r="G19999"/>
      <c r="H19999"/>
      <c r="I19999"/>
    </row>
    <row r="20000" spans="6:9" x14ac:dyDescent="0.3">
      <c r="F20000"/>
      <c r="G20000"/>
      <c r="H20000"/>
      <c r="I20000"/>
    </row>
    <row r="20001" spans="6:9" x14ac:dyDescent="0.3">
      <c r="F20001"/>
      <c r="G20001"/>
      <c r="H20001"/>
      <c r="I20001"/>
    </row>
    <row r="20002" spans="6:9" x14ac:dyDescent="0.3">
      <c r="F20002"/>
      <c r="G20002"/>
      <c r="H20002"/>
      <c r="I20002"/>
    </row>
    <row r="20003" spans="6:9" x14ac:dyDescent="0.3">
      <c r="F20003"/>
      <c r="G20003"/>
      <c r="H20003"/>
      <c r="I20003"/>
    </row>
    <row r="20004" spans="6:9" x14ac:dyDescent="0.3">
      <c r="F20004"/>
      <c r="G20004"/>
      <c r="H20004"/>
      <c r="I20004"/>
    </row>
    <row r="20005" spans="6:9" x14ac:dyDescent="0.3">
      <c r="F20005"/>
      <c r="G20005"/>
      <c r="H20005"/>
      <c r="I20005"/>
    </row>
    <row r="20006" spans="6:9" x14ac:dyDescent="0.3">
      <c r="F20006"/>
      <c r="G20006"/>
      <c r="H20006"/>
      <c r="I20006"/>
    </row>
    <row r="20007" spans="6:9" x14ac:dyDescent="0.3">
      <c r="F20007"/>
      <c r="G20007"/>
      <c r="H20007"/>
      <c r="I20007"/>
    </row>
    <row r="20008" spans="6:9" x14ac:dyDescent="0.3">
      <c r="F20008"/>
      <c r="G20008"/>
      <c r="H20008"/>
      <c r="I20008"/>
    </row>
    <row r="20009" spans="6:9" x14ac:dyDescent="0.3">
      <c r="F20009"/>
      <c r="G20009"/>
      <c r="H20009"/>
      <c r="I20009"/>
    </row>
    <row r="20010" spans="6:9" x14ac:dyDescent="0.3">
      <c r="F20010"/>
      <c r="G20010"/>
      <c r="H20010"/>
      <c r="I20010"/>
    </row>
    <row r="20011" spans="6:9" x14ac:dyDescent="0.3">
      <c r="F20011"/>
      <c r="G20011"/>
      <c r="H20011"/>
      <c r="I20011"/>
    </row>
    <row r="20012" spans="6:9" x14ac:dyDescent="0.3">
      <c r="F20012"/>
      <c r="G20012"/>
      <c r="H20012"/>
      <c r="I20012"/>
    </row>
    <row r="20013" spans="6:9" x14ac:dyDescent="0.3">
      <c r="F20013"/>
      <c r="G20013"/>
      <c r="H20013"/>
      <c r="I20013"/>
    </row>
    <row r="20014" spans="6:9" x14ac:dyDescent="0.3">
      <c r="F20014"/>
      <c r="G20014"/>
      <c r="H20014"/>
      <c r="I20014"/>
    </row>
    <row r="20015" spans="6:9" x14ac:dyDescent="0.3">
      <c r="F20015"/>
      <c r="G20015"/>
      <c r="H20015"/>
      <c r="I20015"/>
    </row>
    <row r="20016" spans="6:9" x14ac:dyDescent="0.3">
      <c r="F20016"/>
      <c r="G20016"/>
      <c r="H20016"/>
      <c r="I20016"/>
    </row>
    <row r="20017" spans="6:9" x14ac:dyDescent="0.3">
      <c r="F20017"/>
      <c r="G20017"/>
      <c r="H20017"/>
      <c r="I20017"/>
    </row>
    <row r="20018" spans="6:9" x14ac:dyDescent="0.3">
      <c r="F20018"/>
      <c r="G20018"/>
      <c r="H20018"/>
      <c r="I20018"/>
    </row>
    <row r="20019" spans="6:9" x14ac:dyDescent="0.3">
      <c r="F20019"/>
      <c r="G20019"/>
      <c r="H20019"/>
      <c r="I20019"/>
    </row>
    <row r="20020" spans="6:9" x14ac:dyDescent="0.3">
      <c r="F20020"/>
      <c r="G20020"/>
      <c r="H20020"/>
      <c r="I20020"/>
    </row>
    <row r="20021" spans="6:9" x14ac:dyDescent="0.3">
      <c r="F20021"/>
      <c r="G20021"/>
      <c r="H20021"/>
      <c r="I20021"/>
    </row>
    <row r="20022" spans="6:9" x14ac:dyDescent="0.3">
      <c r="F20022"/>
      <c r="G20022"/>
      <c r="H20022"/>
      <c r="I20022"/>
    </row>
    <row r="20023" spans="6:9" x14ac:dyDescent="0.3">
      <c r="F20023"/>
      <c r="G20023"/>
      <c r="H20023"/>
      <c r="I20023"/>
    </row>
    <row r="20024" spans="6:9" x14ac:dyDescent="0.3">
      <c r="F20024"/>
      <c r="G20024"/>
      <c r="H20024"/>
      <c r="I20024"/>
    </row>
    <row r="20025" spans="6:9" x14ac:dyDescent="0.3">
      <c r="F20025"/>
      <c r="G20025"/>
      <c r="H20025"/>
      <c r="I20025"/>
    </row>
    <row r="20026" spans="6:9" x14ac:dyDescent="0.3">
      <c r="F20026"/>
      <c r="G20026"/>
      <c r="H20026"/>
      <c r="I20026"/>
    </row>
    <row r="20027" spans="6:9" x14ac:dyDescent="0.3">
      <c r="F20027"/>
      <c r="G20027"/>
      <c r="H20027"/>
      <c r="I20027"/>
    </row>
    <row r="20028" spans="6:9" x14ac:dyDescent="0.3">
      <c r="F20028"/>
      <c r="G20028"/>
      <c r="H20028"/>
      <c r="I20028"/>
    </row>
    <row r="20029" spans="6:9" x14ac:dyDescent="0.3">
      <c r="F20029"/>
      <c r="G20029"/>
      <c r="H20029"/>
      <c r="I20029"/>
    </row>
    <row r="20030" spans="6:9" x14ac:dyDescent="0.3">
      <c r="F20030"/>
      <c r="G20030"/>
      <c r="H20030"/>
      <c r="I20030"/>
    </row>
    <row r="20031" spans="6:9" x14ac:dyDescent="0.3">
      <c r="F20031"/>
      <c r="G20031"/>
      <c r="H20031"/>
      <c r="I20031"/>
    </row>
    <row r="20032" spans="6:9" x14ac:dyDescent="0.3">
      <c r="F20032"/>
      <c r="G20032"/>
      <c r="H20032"/>
      <c r="I20032"/>
    </row>
    <row r="20033" spans="6:9" x14ac:dyDescent="0.3">
      <c r="F20033"/>
      <c r="G20033"/>
      <c r="H20033"/>
      <c r="I20033"/>
    </row>
    <row r="20034" spans="6:9" x14ac:dyDescent="0.3">
      <c r="F20034"/>
      <c r="G20034"/>
      <c r="H20034"/>
      <c r="I20034"/>
    </row>
    <row r="20035" spans="6:9" x14ac:dyDescent="0.3">
      <c r="F20035"/>
      <c r="G20035"/>
      <c r="H20035"/>
      <c r="I20035"/>
    </row>
    <row r="20036" spans="6:9" x14ac:dyDescent="0.3">
      <c r="F20036"/>
      <c r="G20036"/>
      <c r="H20036"/>
      <c r="I20036"/>
    </row>
    <row r="20037" spans="6:9" x14ac:dyDescent="0.3">
      <c r="F20037"/>
      <c r="G20037"/>
      <c r="H20037"/>
      <c r="I20037"/>
    </row>
    <row r="20038" spans="6:9" x14ac:dyDescent="0.3">
      <c r="F20038"/>
      <c r="G20038"/>
      <c r="H20038"/>
      <c r="I20038"/>
    </row>
    <row r="20039" spans="6:9" x14ac:dyDescent="0.3">
      <c r="F20039"/>
      <c r="G20039"/>
      <c r="H20039"/>
      <c r="I20039"/>
    </row>
    <row r="20040" spans="6:9" x14ac:dyDescent="0.3">
      <c r="F20040"/>
      <c r="G20040"/>
      <c r="H20040"/>
      <c r="I20040"/>
    </row>
    <row r="20041" spans="6:9" x14ac:dyDescent="0.3">
      <c r="F20041"/>
      <c r="G20041"/>
      <c r="H20041"/>
      <c r="I20041"/>
    </row>
    <row r="20042" spans="6:9" x14ac:dyDescent="0.3">
      <c r="F20042"/>
      <c r="G20042"/>
      <c r="H20042"/>
      <c r="I20042"/>
    </row>
    <row r="20043" spans="6:9" x14ac:dyDescent="0.3">
      <c r="F20043"/>
      <c r="G20043"/>
      <c r="H20043"/>
      <c r="I20043"/>
    </row>
    <row r="20044" spans="6:9" x14ac:dyDescent="0.3">
      <c r="F20044"/>
      <c r="G20044"/>
      <c r="H20044"/>
      <c r="I20044"/>
    </row>
    <row r="20045" spans="6:9" x14ac:dyDescent="0.3">
      <c r="F20045"/>
      <c r="G20045"/>
      <c r="H20045"/>
      <c r="I20045"/>
    </row>
    <row r="20046" spans="6:9" x14ac:dyDescent="0.3">
      <c r="F20046"/>
      <c r="G20046"/>
      <c r="H20046"/>
      <c r="I20046"/>
    </row>
    <row r="20047" spans="6:9" x14ac:dyDescent="0.3">
      <c r="F20047"/>
      <c r="G20047"/>
      <c r="H20047"/>
      <c r="I20047"/>
    </row>
    <row r="20048" spans="6:9" x14ac:dyDescent="0.3">
      <c r="F20048"/>
      <c r="G20048"/>
      <c r="H20048"/>
      <c r="I20048"/>
    </row>
    <row r="20049" spans="6:9" x14ac:dyDescent="0.3">
      <c r="F20049"/>
      <c r="G20049"/>
      <c r="H20049"/>
      <c r="I20049"/>
    </row>
    <row r="20050" spans="6:9" x14ac:dyDescent="0.3">
      <c r="F20050"/>
      <c r="G20050"/>
      <c r="H20050"/>
      <c r="I20050"/>
    </row>
    <row r="20051" spans="6:9" x14ac:dyDescent="0.3">
      <c r="F20051"/>
      <c r="G20051"/>
      <c r="H20051"/>
      <c r="I20051"/>
    </row>
    <row r="20052" spans="6:9" x14ac:dyDescent="0.3">
      <c r="F20052"/>
      <c r="G20052"/>
      <c r="H20052"/>
      <c r="I20052"/>
    </row>
    <row r="20053" spans="6:9" x14ac:dyDescent="0.3">
      <c r="F20053"/>
      <c r="G20053"/>
      <c r="H20053"/>
      <c r="I20053"/>
    </row>
    <row r="20054" spans="6:9" x14ac:dyDescent="0.3">
      <c r="F20054"/>
      <c r="G20054"/>
      <c r="H20054"/>
      <c r="I20054"/>
    </row>
    <row r="20055" spans="6:9" x14ac:dyDescent="0.3">
      <c r="F20055"/>
      <c r="G20055"/>
      <c r="H20055"/>
      <c r="I20055"/>
    </row>
    <row r="20056" spans="6:9" x14ac:dyDescent="0.3">
      <c r="F20056"/>
      <c r="G20056"/>
      <c r="H20056"/>
      <c r="I20056"/>
    </row>
    <row r="20057" spans="6:9" x14ac:dyDescent="0.3">
      <c r="F20057"/>
      <c r="G20057"/>
      <c r="H20057"/>
      <c r="I20057"/>
    </row>
    <row r="20058" spans="6:9" x14ac:dyDescent="0.3">
      <c r="F20058"/>
      <c r="G20058"/>
      <c r="H20058"/>
      <c r="I20058"/>
    </row>
    <row r="20059" spans="6:9" x14ac:dyDescent="0.3">
      <c r="F20059"/>
      <c r="G20059"/>
      <c r="H20059"/>
      <c r="I20059"/>
    </row>
    <row r="20060" spans="6:9" x14ac:dyDescent="0.3">
      <c r="F20060"/>
      <c r="G20060"/>
      <c r="H20060"/>
      <c r="I20060"/>
    </row>
    <row r="20061" spans="6:9" x14ac:dyDescent="0.3">
      <c r="F20061"/>
      <c r="G20061"/>
      <c r="H20061"/>
      <c r="I20061"/>
    </row>
    <row r="20062" spans="6:9" x14ac:dyDescent="0.3">
      <c r="F20062"/>
      <c r="G20062"/>
      <c r="H20062"/>
      <c r="I20062"/>
    </row>
    <row r="20063" spans="6:9" x14ac:dyDescent="0.3">
      <c r="F20063"/>
      <c r="G20063"/>
      <c r="H20063"/>
      <c r="I20063"/>
    </row>
    <row r="20064" spans="6:9" x14ac:dyDescent="0.3">
      <c r="F20064"/>
      <c r="G20064"/>
      <c r="H20064"/>
      <c r="I20064"/>
    </row>
    <row r="20065" spans="6:9" x14ac:dyDescent="0.3">
      <c r="F20065"/>
      <c r="G20065"/>
      <c r="H20065"/>
      <c r="I20065"/>
    </row>
    <row r="20066" spans="6:9" x14ac:dyDescent="0.3">
      <c r="F20066"/>
      <c r="G20066"/>
      <c r="H20066"/>
      <c r="I20066"/>
    </row>
    <row r="20067" spans="6:9" x14ac:dyDescent="0.3">
      <c r="F20067"/>
      <c r="G20067"/>
      <c r="H20067"/>
      <c r="I20067"/>
    </row>
    <row r="20068" spans="6:9" x14ac:dyDescent="0.3">
      <c r="F20068"/>
      <c r="G20068"/>
      <c r="H20068"/>
      <c r="I20068"/>
    </row>
    <row r="20069" spans="6:9" x14ac:dyDescent="0.3">
      <c r="F20069"/>
      <c r="G20069"/>
      <c r="H20069"/>
      <c r="I20069"/>
    </row>
    <row r="20070" spans="6:9" x14ac:dyDescent="0.3">
      <c r="F20070"/>
      <c r="G20070"/>
      <c r="H20070"/>
      <c r="I20070"/>
    </row>
    <row r="20071" spans="6:9" x14ac:dyDescent="0.3">
      <c r="F20071"/>
      <c r="G20071"/>
      <c r="H20071"/>
      <c r="I20071"/>
    </row>
    <row r="20072" spans="6:9" x14ac:dyDescent="0.3">
      <c r="F20072"/>
      <c r="G20072"/>
      <c r="H20072"/>
      <c r="I20072"/>
    </row>
    <row r="20073" spans="6:9" x14ac:dyDescent="0.3">
      <c r="F20073"/>
      <c r="G20073"/>
      <c r="H20073"/>
      <c r="I20073"/>
    </row>
    <row r="20074" spans="6:9" x14ac:dyDescent="0.3">
      <c r="F20074"/>
      <c r="G20074"/>
      <c r="H20074"/>
      <c r="I20074"/>
    </row>
    <row r="20075" spans="6:9" x14ac:dyDescent="0.3">
      <c r="F20075"/>
      <c r="G20075"/>
      <c r="H20075"/>
      <c r="I20075"/>
    </row>
    <row r="20076" spans="6:9" x14ac:dyDescent="0.3">
      <c r="F20076"/>
      <c r="G20076"/>
      <c r="H20076"/>
      <c r="I20076"/>
    </row>
    <row r="20077" spans="6:9" x14ac:dyDescent="0.3">
      <c r="F20077"/>
      <c r="G20077"/>
      <c r="H20077"/>
      <c r="I20077"/>
    </row>
    <row r="20078" spans="6:9" x14ac:dyDescent="0.3">
      <c r="F20078"/>
      <c r="G20078"/>
      <c r="H20078"/>
      <c r="I20078"/>
    </row>
    <row r="20079" spans="6:9" x14ac:dyDescent="0.3">
      <c r="F20079"/>
      <c r="G20079"/>
      <c r="H20079"/>
      <c r="I20079"/>
    </row>
    <row r="20080" spans="6:9" x14ac:dyDescent="0.3">
      <c r="F20080"/>
      <c r="G20080"/>
      <c r="H20080"/>
      <c r="I20080"/>
    </row>
    <row r="20081" spans="6:9" x14ac:dyDescent="0.3">
      <c r="F20081"/>
      <c r="G20081"/>
      <c r="H20081"/>
      <c r="I20081"/>
    </row>
    <row r="20082" spans="6:9" x14ac:dyDescent="0.3">
      <c r="F20082"/>
      <c r="G20082"/>
      <c r="H20082"/>
      <c r="I20082"/>
    </row>
    <row r="20083" spans="6:9" x14ac:dyDescent="0.3">
      <c r="F20083"/>
      <c r="G20083"/>
      <c r="H20083"/>
      <c r="I20083"/>
    </row>
    <row r="20084" spans="6:9" x14ac:dyDescent="0.3">
      <c r="F20084"/>
      <c r="G20084"/>
      <c r="H20084"/>
      <c r="I20084"/>
    </row>
    <row r="20085" spans="6:9" x14ac:dyDescent="0.3">
      <c r="F20085"/>
      <c r="G20085"/>
      <c r="H20085"/>
      <c r="I20085"/>
    </row>
    <row r="20086" spans="6:9" x14ac:dyDescent="0.3">
      <c r="F20086"/>
      <c r="G20086"/>
      <c r="H20086"/>
      <c r="I20086"/>
    </row>
    <row r="20087" spans="6:9" x14ac:dyDescent="0.3">
      <c r="F20087"/>
      <c r="G20087"/>
      <c r="H20087"/>
      <c r="I20087"/>
    </row>
    <row r="20088" spans="6:9" x14ac:dyDescent="0.3">
      <c r="F20088"/>
      <c r="G20088"/>
      <c r="H20088"/>
      <c r="I20088"/>
    </row>
    <row r="20089" spans="6:9" x14ac:dyDescent="0.3">
      <c r="F20089"/>
      <c r="G20089"/>
      <c r="H20089"/>
      <c r="I20089"/>
    </row>
    <row r="20090" spans="6:9" x14ac:dyDescent="0.3">
      <c r="F20090"/>
      <c r="G20090"/>
      <c r="H20090"/>
      <c r="I20090"/>
    </row>
    <row r="20091" spans="6:9" x14ac:dyDescent="0.3">
      <c r="F20091"/>
      <c r="G20091"/>
      <c r="H20091"/>
      <c r="I20091"/>
    </row>
    <row r="20092" spans="6:9" x14ac:dyDescent="0.3">
      <c r="F20092"/>
      <c r="G20092"/>
      <c r="H20092"/>
      <c r="I20092"/>
    </row>
    <row r="20093" spans="6:9" x14ac:dyDescent="0.3">
      <c r="F20093"/>
      <c r="G20093"/>
      <c r="H20093"/>
      <c r="I20093"/>
    </row>
    <row r="20094" spans="6:9" x14ac:dyDescent="0.3">
      <c r="F20094"/>
      <c r="G20094"/>
      <c r="H20094"/>
      <c r="I20094"/>
    </row>
    <row r="20095" spans="6:9" x14ac:dyDescent="0.3">
      <c r="F20095"/>
      <c r="G20095"/>
      <c r="H20095"/>
      <c r="I20095"/>
    </row>
    <row r="20096" spans="6:9" x14ac:dyDescent="0.3">
      <c r="F20096"/>
      <c r="G20096"/>
      <c r="H20096"/>
      <c r="I20096"/>
    </row>
    <row r="20097" spans="6:9" x14ac:dyDescent="0.3">
      <c r="F20097"/>
      <c r="G20097"/>
      <c r="H20097"/>
      <c r="I20097"/>
    </row>
    <row r="20098" spans="6:9" x14ac:dyDescent="0.3">
      <c r="F20098"/>
      <c r="G20098"/>
      <c r="H20098"/>
      <c r="I20098"/>
    </row>
    <row r="20099" spans="6:9" x14ac:dyDescent="0.3">
      <c r="F20099"/>
      <c r="G20099"/>
      <c r="H20099"/>
      <c r="I20099"/>
    </row>
    <row r="20100" spans="6:9" x14ac:dyDescent="0.3">
      <c r="F20100"/>
      <c r="G20100"/>
      <c r="H20100"/>
      <c r="I20100"/>
    </row>
    <row r="20101" spans="6:9" x14ac:dyDescent="0.3">
      <c r="F20101"/>
      <c r="G20101"/>
      <c r="H20101"/>
      <c r="I20101"/>
    </row>
    <row r="20102" spans="6:9" x14ac:dyDescent="0.3">
      <c r="F20102"/>
      <c r="G20102"/>
      <c r="H20102"/>
      <c r="I20102"/>
    </row>
    <row r="20103" spans="6:9" x14ac:dyDescent="0.3">
      <c r="F20103"/>
      <c r="G20103"/>
      <c r="H20103"/>
      <c r="I20103"/>
    </row>
    <row r="20104" spans="6:9" x14ac:dyDescent="0.3">
      <c r="F20104"/>
      <c r="G20104"/>
      <c r="H20104"/>
      <c r="I20104"/>
    </row>
    <row r="20105" spans="6:9" x14ac:dyDescent="0.3">
      <c r="F20105"/>
      <c r="G20105"/>
      <c r="H20105"/>
      <c r="I20105"/>
    </row>
    <row r="20106" spans="6:9" x14ac:dyDescent="0.3">
      <c r="F20106"/>
      <c r="G20106"/>
      <c r="H20106"/>
      <c r="I20106"/>
    </row>
    <row r="20107" spans="6:9" x14ac:dyDescent="0.3">
      <c r="F20107"/>
      <c r="G20107"/>
      <c r="H20107"/>
      <c r="I20107"/>
    </row>
    <row r="20108" spans="6:9" x14ac:dyDescent="0.3">
      <c r="F20108"/>
      <c r="G20108"/>
      <c r="H20108"/>
      <c r="I20108"/>
    </row>
    <row r="20109" spans="6:9" x14ac:dyDescent="0.3">
      <c r="F20109"/>
      <c r="G20109"/>
      <c r="H20109"/>
      <c r="I20109"/>
    </row>
    <row r="20110" spans="6:9" x14ac:dyDescent="0.3">
      <c r="F20110"/>
      <c r="G20110"/>
      <c r="H20110"/>
      <c r="I20110"/>
    </row>
    <row r="20111" spans="6:9" x14ac:dyDescent="0.3">
      <c r="F20111"/>
      <c r="G20111"/>
      <c r="H20111"/>
      <c r="I20111"/>
    </row>
    <row r="20112" spans="6:9" x14ac:dyDescent="0.3">
      <c r="F20112"/>
      <c r="G20112"/>
      <c r="H20112"/>
      <c r="I20112"/>
    </row>
    <row r="20113" spans="6:9" x14ac:dyDescent="0.3">
      <c r="F20113"/>
      <c r="G20113"/>
      <c r="H20113"/>
      <c r="I20113"/>
    </row>
    <row r="20114" spans="6:9" x14ac:dyDescent="0.3">
      <c r="F20114"/>
      <c r="G20114"/>
      <c r="H20114"/>
      <c r="I20114"/>
    </row>
    <row r="20115" spans="6:9" x14ac:dyDescent="0.3">
      <c r="F20115"/>
      <c r="G20115"/>
      <c r="H20115"/>
      <c r="I20115"/>
    </row>
    <row r="20116" spans="6:9" x14ac:dyDescent="0.3">
      <c r="F20116"/>
      <c r="G20116"/>
      <c r="H20116"/>
      <c r="I20116"/>
    </row>
    <row r="20117" spans="6:9" x14ac:dyDescent="0.3">
      <c r="F20117"/>
      <c r="G20117"/>
      <c r="H20117"/>
      <c r="I20117"/>
    </row>
    <row r="20118" spans="6:9" x14ac:dyDescent="0.3">
      <c r="F20118"/>
      <c r="G20118"/>
      <c r="H20118"/>
      <c r="I20118"/>
    </row>
    <row r="20119" spans="6:9" x14ac:dyDescent="0.3">
      <c r="F20119"/>
      <c r="G20119"/>
      <c r="H20119"/>
      <c r="I20119"/>
    </row>
    <row r="20120" spans="6:9" x14ac:dyDescent="0.3">
      <c r="F20120"/>
      <c r="G20120"/>
      <c r="H20120"/>
      <c r="I20120"/>
    </row>
    <row r="20121" spans="6:9" x14ac:dyDescent="0.3">
      <c r="F20121"/>
      <c r="G20121"/>
      <c r="H20121"/>
      <c r="I20121"/>
    </row>
    <row r="20122" spans="6:9" x14ac:dyDescent="0.3">
      <c r="F20122"/>
      <c r="G20122"/>
      <c r="H20122"/>
      <c r="I20122"/>
    </row>
    <row r="20123" spans="6:9" x14ac:dyDescent="0.3">
      <c r="F20123"/>
      <c r="G20123"/>
      <c r="H20123"/>
      <c r="I20123"/>
    </row>
    <row r="20124" spans="6:9" x14ac:dyDescent="0.3">
      <c r="F20124"/>
      <c r="G20124"/>
      <c r="H20124"/>
      <c r="I20124"/>
    </row>
    <row r="20125" spans="6:9" x14ac:dyDescent="0.3">
      <c r="F20125"/>
      <c r="G20125"/>
      <c r="H20125"/>
      <c r="I20125"/>
    </row>
    <row r="20126" spans="6:9" x14ac:dyDescent="0.3">
      <c r="F20126"/>
      <c r="G20126"/>
      <c r="H20126"/>
      <c r="I20126"/>
    </row>
    <row r="20127" spans="6:9" x14ac:dyDescent="0.3">
      <c r="F20127"/>
      <c r="G20127"/>
      <c r="H20127"/>
      <c r="I20127"/>
    </row>
    <row r="20128" spans="6:9" x14ac:dyDescent="0.3">
      <c r="F20128"/>
      <c r="G20128"/>
      <c r="H20128"/>
      <c r="I20128"/>
    </row>
    <row r="20129" spans="6:9" x14ac:dyDescent="0.3">
      <c r="F20129"/>
      <c r="G20129"/>
      <c r="H20129"/>
      <c r="I20129"/>
    </row>
    <row r="20130" spans="6:9" x14ac:dyDescent="0.3">
      <c r="F20130"/>
      <c r="G20130"/>
      <c r="H20130"/>
      <c r="I20130"/>
    </row>
    <row r="20131" spans="6:9" x14ac:dyDescent="0.3">
      <c r="F20131"/>
      <c r="G20131"/>
      <c r="H20131"/>
      <c r="I20131"/>
    </row>
    <row r="20132" spans="6:9" x14ac:dyDescent="0.3">
      <c r="F20132"/>
      <c r="G20132"/>
      <c r="H20132"/>
      <c r="I20132"/>
    </row>
    <row r="20133" spans="6:9" x14ac:dyDescent="0.3">
      <c r="F20133"/>
      <c r="G20133"/>
      <c r="H20133"/>
      <c r="I20133"/>
    </row>
    <row r="20134" spans="6:9" x14ac:dyDescent="0.3">
      <c r="F20134"/>
      <c r="G20134"/>
      <c r="H20134"/>
      <c r="I20134"/>
    </row>
    <row r="20135" spans="6:9" x14ac:dyDescent="0.3">
      <c r="F20135"/>
      <c r="G20135"/>
      <c r="H20135"/>
      <c r="I20135"/>
    </row>
    <row r="20136" spans="6:9" x14ac:dyDescent="0.3">
      <c r="F20136"/>
      <c r="G20136"/>
      <c r="H20136"/>
      <c r="I20136"/>
    </row>
    <row r="20137" spans="6:9" x14ac:dyDescent="0.3">
      <c r="F20137"/>
      <c r="G20137"/>
      <c r="H20137"/>
      <c r="I20137"/>
    </row>
    <row r="20138" spans="6:9" x14ac:dyDescent="0.3">
      <c r="F20138"/>
      <c r="G20138"/>
      <c r="H20138"/>
      <c r="I20138"/>
    </row>
    <row r="20139" spans="6:9" x14ac:dyDescent="0.3">
      <c r="F20139"/>
      <c r="G20139"/>
      <c r="H20139"/>
      <c r="I20139"/>
    </row>
    <row r="20140" spans="6:9" x14ac:dyDescent="0.3">
      <c r="F20140"/>
      <c r="G20140"/>
      <c r="H20140"/>
      <c r="I20140"/>
    </row>
    <row r="20141" spans="6:9" x14ac:dyDescent="0.3">
      <c r="F20141"/>
      <c r="G20141"/>
      <c r="H20141"/>
      <c r="I20141"/>
    </row>
    <row r="20142" spans="6:9" x14ac:dyDescent="0.3">
      <c r="F20142"/>
      <c r="G20142"/>
      <c r="H20142"/>
      <c r="I20142"/>
    </row>
    <row r="20143" spans="6:9" x14ac:dyDescent="0.3">
      <c r="F20143"/>
      <c r="G20143"/>
      <c r="H20143"/>
      <c r="I20143"/>
    </row>
    <row r="20144" spans="6:9" x14ac:dyDescent="0.3">
      <c r="F20144"/>
      <c r="G20144"/>
      <c r="H20144"/>
      <c r="I20144"/>
    </row>
    <row r="20145" spans="6:9" x14ac:dyDescent="0.3">
      <c r="F20145"/>
      <c r="G20145"/>
      <c r="H20145"/>
      <c r="I20145"/>
    </row>
    <row r="20146" spans="6:9" x14ac:dyDescent="0.3">
      <c r="F20146"/>
      <c r="G20146"/>
      <c r="H20146"/>
      <c r="I20146"/>
    </row>
    <row r="20147" spans="6:9" x14ac:dyDescent="0.3">
      <c r="F20147"/>
      <c r="G20147"/>
      <c r="H20147"/>
      <c r="I20147"/>
    </row>
    <row r="20148" spans="6:9" x14ac:dyDescent="0.3">
      <c r="F20148"/>
      <c r="G20148"/>
      <c r="H20148"/>
      <c r="I20148"/>
    </row>
    <row r="20149" spans="6:9" x14ac:dyDescent="0.3">
      <c r="F20149"/>
      <c r="G20149"/>
      <c r="H20149"/>
      <c r="I20149"/>
    </row>
    <row r="20150" spans="6:9" x14ac:dyDescent="0.3">
      <c r="F20150"/>
      <c r="G20150"/>
      <c r="H20150"/>
      <c r="I20150"/>
    </row>
    <row r="20151" spans="6:9" x14ac:dyDescent="0.3">
      <c r="F20151"/>
      <c r="G20151"/>
      <c r="H20151"/>
      <c r="I20151"/>
    </row>
    <row r="20152" spans="6:9" x14ac:dyDescent="0.3">
      <c r="F20152"/>
      <c r="G20152"/>
      <c r="H20152"/>
      <c r="I20152"/>
    </row>
    <row r="20153" spans="6:9" x14ac:dyDescent="0.3">
      <c r="F20153"/>
      <c r="G20153"/>
      <c r="H20153"/>
      <c r="I20153"/>
    </row>
    <row r="20154" spans="6:9" x14ac:dyDescent="0.3">
      <c r="F20154"/>
      <c r="G20154"/>
      <c r="H20154"/>
      <c r="I20154"/>
    </row>
    <row r="20155" spans="6:9" x14ac:dyDescent="0.3">
      <c r="F20155"/>
      <c r="G20155"/>
      <c r="H20155"/>
      <c r="I20155"/>
    </row>
    <row r="20156" spans="6:9" x14ac:dyDescent="0.3">
      <c r="F20156"/>
      <c r="G20156"/>
      <c r="H20156"/>
      <c r="I20156"/>
    </row>
    <row r="20157" spans="6:9" x14ac:dyDescent="0.3">
      <c r="F20157"/>
      <c r="G20157"/>
      <c r="H20157"/>
      <c r="I20157"/>
    </row>
    <row r="20158" spans="6:9" x14ac:dyDescent="0.3">
      <c r="F20158"/>
      <c r="G20158"/>
      <c r="H20158"/>
      <c r="I20158"/>
    </row>
    <row r="20159" spans="6:9" x14ac:dyDescent="0.3">
      <c r="F20159"/>
      <c r="G20159"/>
      <c r="H20159"/>
      <c r="I20159"/>
    </row>
    <row r="20160" spans="6:9" x14ac:dyDescent="0.3">
      <c r="F20160"/>
      <c r="G20160"/>
      <c r="H20160"/>
      <c r="I20160"/>
    </row>
    <row r="20161" spans="6:9" x14ac:dyDescent="0.3">
      <c r="F20161"/>
      <c r="G20161"/>
      <c r="H20161"/>
      <c r="I20161"/>
    </row>
    <row r="20162" spans="6:9" x14ac:dyDescent="0.3">
      <c r="F20162"/>
      <c r="G20162"/>
      <c r="H20162"/>
      <c r="I20162"/>
    </row>
    <row r="20163" spans="6:9" x14ac:dyDescent="0.3">
      <c r="F20163"/>
      <c r="G20163"/>
      <c r="H20163"/>
      <c r="I20163"/>
    </row>
    <row r="20164" spans="6:9" x14ac:dyDescent="0.3">
      <c r="F20164"/>
      <c r="G20164"/>
      <c r="H20164"/>
      <c r="I20164"/>
    </row>
    <row r="20165" spans="6:9" x14ac:dyDescent="0.3">
      <c r="F20165"/>
      <c r="G20165"/>
      <c r="H20165"/>
      <c r="I20165"/>
    </row>
    <row r="20166" spans="6:9" x14ac:dyDescent="0.3">
      <c r="F20166"/>
      <c r="G20166"/>
      <c r="H20166"/>
      <c r="I20166"/>
    </row>
    <row r="20167" spans="6:9" x14ac:dyDescent="0.3">
      <c r="F20167"/>
      <c r="G20167"/>
      <c r="H20167"/>
      <c r="I20167"/>
    </row>
    <row r="20168" spans="6:9" x14ac:dyDescent="0.3">
      <c r="F20168"/>
      <c r="G20168"/>
      <c r="H20168"/>
      <c r="I20168"/>
    </row>
    <row r="20169" spans="6:9" x14ac:dyDescent="0.3">
      <c r="F20169"/>
      <c r="G20169"/>
      <c r="H20169"/>
      <c r="I20169"/>
    </row>
    <row r="20170" spans="6:9" x14ac:dyDescent="0.3">
      <c r="F20170"/>
      <c r="G20170"/>
      <c r="H20170"/>
      <c r="I20170"/>
    </row>
    <row r="20171" spans="6:9" x14ac:dyDescent="0.3">
      <c r="F20171"/>
      <c r="G20171"/>
      <c r="H20171"/>
      <c r="I20171"/>
    </row>
    <row r="20172" spans="6:9" x14ac:dyDescent="0.3">
      <c r="F20172"/>
      <c r="G20172"/>
      <c r="H20172"/>
      <c r="I20172"/>
    </row>
    <row r="20173" spans="6:9" x14ac:dyDescent="0.3">
      <c r="F20173"/>
      <c r="G20173"/>
      <c r="H20173"/>
      <c r="I20173"/>
    </row>
    <row r="20174" spans="6:9" x14ac:dyDescent="0.3">
      <c r="F20174"/>
      <c r="G20174"/>
      <c r="H20174"/>
      <c r="I20174"/>
    </row>
    <row r="20175" spans="6:9" x14ac:dyDescent="0.3">
      <c r="F20175"/>
      <c r="G20175"/>
      <c r="H20175"/>
      <c r="I20175"/>
    </row>
    <row r="20176" spans="6:9" x14ac:dyDescent="0.3">
      <c r="F20176"/>
      <c r="G20176"/>
      <c r="H20176"/>
      <c r="I20176"/>
    </row>
    <row r="20177" spans="6:9" x14ac:dyDescent="0.3">
      <c r="F20177"/>
      <c r="G20177"/>
      <c r="H20177"/>
      <c r="I20177"/>
    </row>
    <row r="20178" spans="6:9" x14ac:dyDescent="0.3">
      <c r="F20178"/>
      <c r="G20178"/>
      <c r="H20178"/>
      <c r="I20178"/>
    </row>
    <row r="20179" spans="6:9" x14ac:dyDescent="0.3">
      <c r="F20179"/>
      <c r="G20179"/>
      <c r="H20179"/>
      <c r="I20179"/>
    </row>
    <row r="20180" spans="6:9" x14ac:dyDescent="0.3">
      <c r="F20180"/>
      <c r="G20180"/>
      <c r="H20180"/>
      <c r="I20180"/>
    </row>
    <row r="20181" spans="6:9" x14ac:dyDescent="0.3">
      <c r="F20181"/>
      <c r="G20181"/>
      <c r="H20181"/>
      <c r="I20181"/>
    </row>
    <row r="20182" spans="6:9" x14ac:dyDescent="0.3">
      <c r="F20182"/>
      <c r="G20182"/>
      <c r="H20182"/>
      <c r="I20182"/>
    </row>
    <row r="20183" spans="6:9" x14ac:dyDescent="0.3">
      <c r="F20183"/>
      <c r="G20183"/>
      <c r="H20183"/>
      <c r="I20183"/>
    </row>
    <row r="20184" spans="6:9" x14ac:dyDescent="0.3">
      <c r="F20184"/>
      <c r="G20184"/>
      <c r="H20184"/>
      <c r="I20184"/>
    </row>
    <row r="20185" spans="6:9" x14ac:dyDescent="0.3">
      <c r="F20185"/>
      <c r="G20185"/>
      <c r="H20185"/>
      <c r="I20185"/>
    </row>
    <row r="20186" spans="6:9" x14ac:dyDescent="0.3">
      <c r="F20186"/>
      <c r="G20186"/>
      <c r="H20186"/>
      <c r="I20186"/>
    </row>
    <row r="20187" spans="6:9" x14ac:dyDescent="0.3">
      <c r="F20187"/>
      <c r="G20187"/>
      <c r="H20187"/>
      <c r="I20187"/>
    </row>
    <row r="20188" spans="6:9" x14ac:dyDescent="0.3">
      <c r="F20188"/>
      <c r="G20188"/>
      <c r="H20188"/>
      <c r="I20188"/>
    </row>
    <row r="20189" spans="6:9" x14ac:dyDescent="0.3">
      <c r="F20189"/>
      <c r="G20189"/>
      <c r="H20189"/>
      <c r="I20189"/>
    </row>
    <row r="20190" spans="6:9" x14ac:dyDescent="0.3">
      <c r="F20190"/>
      <c r="G20190"/>
      <c r="H20190"/>
      <c r="I20190"/>
    </row>
    <row r="20191" spans="6:9" x14ac:dyDescent="0.3">
      <c r="F20191"/>
      <c r="G20191"/>
      <c r="H20191"/>
      <c r="I20191"/>
    </row>
    <row r="20192" spans="6:9" x14ac:dyDescent="0.3">
      <c r="F20192"/>
      <c r="G20192"/>
      <c r="H20192"/>
      <c r="I20192"/>
    </row>
    <row r="20193" spans="6:9" x14ac:dyDescent="0.3">
      <c r="F20193"/>
      <c r="G20193"/>
      <c r="H20193"/>
      <c r="I20193"/>
    </row>
    <row r="20194" spans="6:9" x14ac:dyDescent="0.3">
      <c r="F20194"/>
      <c r="G20194"/>
      <c r="H20194"/>
      <c r="I20194"/>
    </row>
    <row r="20195" spans="6:9" x14ac:dyDescent="0.3">
      <c r="F20195"/>
      <c r="G20195"/>
      <c r="H20195"/>
      <c r="I20195"/>
    </row>
    <row r="20196" spans="6:9" x14ac:dyDescent="0.3">
      <c r="F20196"/>
      <c r="G20196"/>
      <c r="H20196"/>
      <c r="I20196"/>
    </row>
    <row r="20197" spans="6:9" x14ac:dyDescent="0.3">
      <c r="F20197"/>
      <c r="G20197"/>
      <c r="H20197"/>
      <c r="I20197"/>
    </row>
    <row r="20198" spans="6:9" x14ac:dyDescent="0.3">
      <c r="F20198"/>
      <c r="G20198"/>
      <c r="H20198"/>
      <c r="I20198"/>
    </row>
    <row r="20199" spans="6:9" x14ac:dyDescent="0.3">
      <c r="F20199"/>
      <c r="G20199"/>
      <c r="H20199"/>
      <c r="I20199"/>
    </row>
    <row r="20200" spans="6:9" x14ac:dyDescent="0.3">
      <c r="F20200"/>
      <c r="G20200"/>
      <c r="H20200"/>
      <c r="I20200"/>
    </row>
    <row r="20201" spans="6:9" x14ac:dyDescent="0.3">
      <c r="F20201"/>
      <c r="G20201"/>
      <c r="H20201"/>
      <c r="I20201"/>
    </row>
    <row r="20202" spans="6:9" x14ac:dyDescent="0.3">
      <c r="F20202"/>
      <c r="G20202"/>
      <c r="H20202"/>
      <c r="I20202"/>
    </row>
    <row r="20203" spans="6:9" x14ac:dyDescent="0.3">
      <c r="F20203"/>
      <c r="G20203"/>
      <c r="H20203"/>
      <c r="I20203"/>
    </row>
    <row r="20204" spans="6:9" x14ac:dyDescent="0.3">
      <c r="F20204"/>
      <c r="G20204"/>
      <c r="H20204"/>
      <c r="I20204"/>
    </row>
    <row r="20205" spans="6:9" x14ac:dyDescent="0.3">
      <c r="F20205"/>
      <c r="G20205"/>
      <c r="H20205"/>
      <c r="I20205"/>
    </row>
    <row r="20206" spans="6:9" x14ac:dyDescent="0.3">
      <c r="F20206"/>
      <c r="G20206"/>
      <c r="H20206"/>
      <c r="I20206"/>
    </row>
    <row r="20207" spans="6:9" x14ac:dyDescent="0.3">
      <c r="F20207"/>
      <c r="G20207"/>
      <c r="H20207"/>
      <c r="I20207"/>
    </row>
    <row r="20208" spans="6:9" x14ac:dyDescent="0.3">
      <c r="F20208"/>
      <c r="G20208"/>
      <c r="H20208"/>
      <c r="I20208"/>
    </row>
    <row r="20209" spans="6:9" x14ac:dyDescent="0.3">
      <c r="F20209"/>
      <c r="G20209"/>
      <c r="H20209"/>
      <c r="I20209"/>
    </row>
    <row r="20210" spans="6:9" x14ac:dyDescent="0.3">
      <c r="F20210"/>
      <c r="G20210"/>
      <c r="H20210"/>
      <c r="I20210"/>
    </row>
    <row r="20211" spans="6:9" x14ac:dyDescent="0.3">
      <c r="F20211"/>
      <c r="G20211"/>
      <c r="H20211"/>
      <c r="I20211"/>
    </row>
    <row r="20212" spans="6:9" x14ac:dyDescent="0.3">
      <c r="F20212"/>
      <c r="G20212"/>
      <c r="H20212"/>
      <c r="I20212"/>
    </row>
    <row r="20213" spans="6:9" x14ac:dyDescent="0.3">
      <c r="F20213"/>
      <c r="G20213"/>
      <c r="H20213"/>
      <c r="I20213"/>
    </row>
    <row r="20214" spans="6:9" x14ac:dyDescent="0.3">
      <c r="F20214"/>
      <c r="G20214"/>
      <c r="H20214"/>
      <c r="I20214"/>
    </row>
    <row r="20215" spans="6:9" x14ac:dyDescent="0.3">
      <c r="F20215"/>
      <c r="G20215"/>
      <c r="H20215"/>
      <c r="I20215"/>
    </row>
    <row r="20216" spans="6:9" x14ac:dyDescent="0.3">
      <c r="F20216"/>
      <c r="G20216"/>
      <c r="H20216"/>
      <c r="I20216"/>
    </row>
    <row r="20217" spans="6:9" x14ac:dyDescent="0.3">
      <c r="F20217"/>
      <c r="G20217"/>
      <c r="H20217"/>
      <c r="I20217"/>
    </row>
    <row r="20218" spans="6:9" x14ac:dyDescent="0.3">
      <c r="F20218"/>
      <c r="G20218"/>
      <c r="H20218"/>
      <c r="I20218"/>
    </row>
    <row r="20219" spans="6:9" x14ac:dyDescent="0.3">
      <c r="F20219"/>
      <c r="G20219"/>
      <c r="H20219"/>
      <c r="I20219"/>
    </row>
    <row r="20220" spans="6:9" x14ac:dyDescent="0.3">
      <c r="F20220"/>
      <c r="G20220"/>
      <c r="H20220"/>
      <c r="I20220"/>
    </row>
    <row r="20221" spans="6:9" x14ac:dyDescent="0.3">
      <c r="F20221"/>
      <c r="G20221"/>
      <c r="H20221"/>
      <c r="I20221"/>
    </row>
    <row r="20222" spans="6:9" x14ac:dyDescent="0.3">
      <c r="F20222"/>
      <c r="G20222"/>
      <c r="H20222"/>
      <c r="I20222"/>
    </row>
    <row r="20223" spans="6:9" x14ac:dyDescent="0.3">
      <c r="F20223"/>
      <c r="G20223"/>
      <c r="H20223"/>
      <c r="I20223"/>
    </row>
    <row r="20224" spans="6:9" x14ac:dyDescent="0.3">
      <c r="F20224"/>
      <c r="G20224"/>
      <c r="H20224"/>
      <c r="I20224"/>
    </row>
    <row r="20225" spans="6:9" x14ac:dyDescent="0.3">
      <c r="F20225"/>
      <c r="G20225"/>
      <c r="H20225"/>
      <c r="I20225"/>
    </row>
    <row r="20226" spans="6:9" x14ac:dyDescent="0.3">
      <c r="F20226"/>
      <c r="G20226"/>
      <c r="H20226"/>
      <c r="I20226"/>
    </row>
    <row r="20227" spans="6:9" x14ac:dyDescent="0.3">
      <c r="F20227"/>
      <c r="G20227"/>
      <c r="H20227"/>
      <c r="I20227"/>
    </row>
    <row r="20228" spans="6:9" x14ac:dyDescent="0.3">
      <c r="F20228"/>
      <c r="G20228"/>
      <c r="H20228"/>
      <c r="I20228"/>
    </row>
    <row r="20229" spans="6:9" x14ac:dyDescent="0.3">
      <c r="F20229"/>
      <c r="G20229"/>
      <c r="H20229"/>
      <c r="I20229"/>
    </row>
    <row r="20230" spans="6:9" x14ac:dyDescent="0.3">
      <c r="F20230"/>
      <c r="G20230"/>
      <c r="H20230"/>
      <c r="I20230"/>
    </row>
    <row r="20231" spans="6:9" x14ac:dyDescent="0.3">
      <c r="F20231"/>
      <c r="G20231"/>
      <c r="H20231"/>
      <c r="I20231"/>
    </row>
    <row r="20232" spans="6:9" x14ac:dyDescent="0.3">
      <c r="F20232"/>
      <c r="G20232"/>
      <c r="H20232"/>
      <c r="I20232"/>
    </row>
    <row r="20233" spans="6:9" x14ac:dyDescent="0.3">
      <c r="F20233"/>
      <c r="G20233"/>
      <c r="H20233"/>
      <c r="I20233"/>
    </row>
    <row r="20234" spans="6:9" x14ac:dyDescent="0.3">
      <c r="F20234"/>
      <c r="G20234"/>
      <c r="H20234"/>
      <c r="I20234"/>
    </row>
    <row r="20235" spans="6:9" x14ac:dyDescent="0.3">
      <c r="F20235"/>
      <c r="G20235"/>
      <c r="H20235"/>
      <c r="I20235"/>
    </row>
    <row r="20236" spans="6:9" x14ac:dyDescent="0.3">
      <c r="F20236"/>
      <c r="G20236"/>
      <c r="H20236"/>
      <c r="I20236"/>
    </row>
    <row r="20237" spans="6:9" x14ac:dyDescent="0.3">
      <c r="F20237"/>
      <c r="G20237"/>
      <c r="H20237"/>
      <c r="I20237"/>
    </row>
    <row r="20238" spans="6:9" x14ac:dyDescent="0.3">
      <c r="F20238"/>
      <c r="G20238"/>
      <c r="H20238"/>
      <c r="I20238"/>
    </row>
    <row r="20239" spans="6:9" x14ac:dyDescent="0.3">
      <c r="F20239"/>
      <c r="G20239"/>
      <c r="H20239"/>
      <c r="I20239"/>
    </row>
    <row r="20240" spans="6:9" x14ac:dyDescent="0.3">
      <c r="F20240"/>
      <c r="G20240"/>
      <c r="H20240"/>
      <c r="I20240"/>
    </row>
    <row r="20241" spans="6:9" x14ac:dyDescent="0.3">
      <c r="F20241"/>
      <c r="G20241"/>
      <c r="H20241"/>
      <c r="I20241"/>
    </row>
    <row r="20242" spans="6:9" x14ac:dyDescent="0.3">
      <c r="F20242"/>
      <c r="G20242"/>
      <c r="H20242"/>
      <c r="I20242"/>
    </row>
    <row r="20243" spans="6:9" x14ac:dyDescent="0.3">
      <c r="F20243"/>
      <c r="G20243"/>
      <c r="H20243"/>
      <c r="I20243"/>
    </row>
    <row r="20244" spans="6:9" x14ac:dyDescent="0.3">
      <c r="F20244"/>
      <c r="G20244"/>
      <c r="H20244"/>
      <c r="I20244"/>
    </row>
    <row r="20245" spans="6:9" x14ac:dyDescent="0.3">
      <c r="F20245"/>
      <c r="G20245"/>
      <c r="H20245"/>
      <c r="I20245"/>
    </row>
    <row r="20246" spans="6:9" x14ac:dyDescent="0.3">
      <c r="F20246"/>
      <c r="G20246"/>
      <c r="H20246"/>
      <c r="I20246"/>
    </row>
    <row r="20247" spans="6:9" x14ac:dyDescent="0.3">
      <c r="F20247"/>
      <c r="G20247"/>
      <c r="H20247"/>
      <c r="I20247"/>
    </row>
    <row r="20248" spans="6:9" x14ac:dyDescent="0.3">
      <c r="F20248"/>
      <c r="G20248"/>
      <c r="H20248"/>
      <c r="I20248"/>
    </row>
    <row r="20249" spans="6:9" x14ac:dyDescent="0.3">
      <c r="F20249"/>
      <c r="G20249"/>
      <c r="H20249"/>
      <c r="I20249"/>
    </row>
    <row r="20250" spans="6:9" x14ac:dyDescent="0.3">
      <c r="F20250"/>
      <c r="G20250"/>
      <c r="H20250"/>
      <c r="I20250"/>
    </row>
    <row r="20251" spans="6:9" x14ac:dyDescent="0.3">
      <c r="F20251"/>
      <c r="G20251"/>
      <c r="H20251"/>
      <c r="I20251"/>
    </row>
    <row r="20252" spans="6:9" x14ac:dyDescent="0.3">
      <c r="F20252"/>
      <c r="G20252"/>
      <c r="H20252"/>
      <c r="I20252"/>
    </row>
    <row r="20253" spans="6:9" x14ac:dyDescent="0.3">
      <c r="F20253"/>
      <c r="G20253"/>
      <c r="H20253"/>
      <c r="I20253"/>
    </row>
    <row r="20254" spans="6:9" x14ac:dyDescent="0.3">
      <c r="F20254"/>
      <c r="G20254"/>
      <c r="H20254"/>
      <c r="I20254"/>
    </row>
    <row r="20255" spans="6:9" x14ac:dyDescent="0.3">
      <c r="F20255"/>
      <c r="G20255"/>
      <c r="H20255"/>
      <c r="I20255"/>
    </row>
    <row r="20256" spans="6:9" x14ac:dyDescent="0.3">
      <c r="F20256"/>
      <c r="G20256"/>
      <c r="H20256"/>
      <c r="I20256"/>
    </row>
    <row r="20257" spans="6:9" x14ac:dyDescent="0.3">
      <c r="F20257"/>
      <c r="G20257"/>
      <c r="H20257"/>
      <c r="I20257"/>
    </row>
    <row r="20258" spans="6:9" x14ac:dyDescent="0.3">
      <c r="F20258"/>
      <c r="G20258"/>
      <c r="H20258"/>
      <c r="I20258"/>
    </row>
    <row r="20259" spans="6:9" x14ac:dyDescent="0.3">
      <c r="F20259"/>
      <c r="G20259"/>
      <c r="H20259"/>
      <c r="I20259"/>
    </row>
    <row r="20260" spans="6:9" x14ac:dyDescent="0.3">
      <c r="F20260"/>
      <c r="G20260"/>
      <c r="H20260"/>
      <c r="I20260"/>
    </row>
    <row r="20261" spans="6:9" x14ac:dyDescent="0.3">
      <c r="F20261"/>
      <c r="G20261"/>
      <c r="H20261"/>
      <c r="I20261"/>
    </row>
    <row r="20262" spans="6:9" x14ac:dyDescent="0.3">
      <c r="F20262"/>
      <c r="G20262"/>
      <c r="H20262"/>
      <c r="I20262"/>
    </row>
    <row r="20263" spans="6:9" x14ac:dyDescent="0.3">
      <c r="F20263"/>
      <c r="G20263"/>
      <c r="H20263"/>
      <c r="I20263"/>
    </row>
    <row r="20264" spans="6:9" x14ac:dyDescent="0.3">
      <c r="F20264"/>
      <c r="G20264"/>
      <c r="H20264"/>
      <c r="I20264"/>
    </row>
    <row r="20265" spans="6:9" x14ac:dyDescent="0.3">
      <c r="F20265"/>
      <c r="G20265"/>
      <c r="H20265"/>
      <c r="I20265"/>
    </row>
    <row r="20266" spans="6:9" x14ac:dyDescent="0.3">
      <c r="F20266"/>
      <c r="G20266"/>
      <c r="H20266"/>
      <c r="I20266"/>
    </row>
    <row r="20267" spans="6:9" x14ac:dyDescent="0.3">
      <c r="F20267"/>
      <c r="G20267"/>
      <c r="H20267"/>
      <c r="I20267"/>
    </row>
    <row r="20268" spans="6:9" x14ac:dyDescent="0.3">
      <c r="F20268"/>
      <c r="G20268"/>
      <c r="H20268"/>
      <c r="I20268"/>
    </row>
    <row r="20269" spans="6:9" x14ac:dyDescent="0.3">
      <c r="F20269"/>
      <c r="G20269"/>
      <c r="H20269"/>
      <c r="I20269"/>
    </row>
    <row r="20270" spans="6:9" x14ac:dyDescent="0.3">
      <c r="F20270"/>
      <c r="G20270"/>
      <c r="H20270"/>
      <c r="I20270"/>
    </row>
    <row r="20271" spans="6:9" x14ac:dyDescent="0.3">
      <c r="F20271"/>
      <c r="G20271"/>
      <c r="H20271"/>
      <c r="I20271"/>
    </row>
    <row r="20272" spans="6:9" x14ac:dyDescent="0.3">
      <c r="F20272"/>
      <c r="G20272"/>
      <c r="H20272"/>
      <c r="I20272"/>
    </row>
    <row r="20273" spans="6:9" x14ac:dyDescent="0.3">
      <c r="F20273"/>
      <c r="G20273"/>
      <c r="H20273"/>
      <c r="I20273"/>
    </row>
    <row r="20274" spans="6:9" x14ac:dyDescent="0.3">
      <c r="F20274"/>
      <c r="G20274"/>
      <c r="H20274"/>
      <c r="I20274"/>
    </row>
    <row r="20275" spans="6:9" x14ac:dyDescent="0.3">
      <c r="F20275"/>
      <c r="G20275"/>
      <c r="H20275"/>
      <c r="I20275"/>
    </row>
    <row r="20276" spans="6:9" x14ac:dyDescent="0.3">
      <c r="F20276"/>
      <c r="G20276"/>
      <c r="H20276"/>
      <c r="I20276"/>
    </row>
    <row r="20277" spans="6:9" x14ac:dyDescent="0.3">
      <c r="F20277"/>
      <c r="G20277"/>
      <c r="H20277"/>
      <c r="I20277"/>
    </row>
    <row r="20278" spans="6:9" x14ac:dyDescent="0.3">
      <c r="F20278"/>
      <c r="G20278"/>
      <c r="H20278"/>
      <c r="I20278"/>
    </row>
    <row r="20279" spans="6:9" x14ac:dyDescent="0.3">
      <c r="F20279"/>
      <c r="G20279"/>
      <c r="H20279"/>
      <c r="I20279"/>
    </row>
    <row r="20280" spans="6:9" x14ac:dyDescent="0.3">
      <c r="F20280"/>
      <c r="G20280"/>
      <c r="H20280"/>
      <c r="I20280"/>
    </row>
    <row r="20281" spans="6:9" x14ac:dyDescent="0.3">
      <c r="F20281"/>
      <c r="G20281"/>
      <c r="H20281"/>
      <c r="I20281"/>
    </row>
    <row r="20282" spans="6:9" x14ac:dyDescent="0.3">
      <c r="F20282"/>
      <c r="G20282"/>
      <c r="H20282"/>
      <c r="I20282"/>
    </row>
    <row r="20283" spans="6:9" x14ac:dyDescent="0.3">
      <c r="F20283"/>
      <c r="G20283"/>
      <c r="H20283"/>
      <c r="I20283"/>
    </row>
    <row r="20284" spans="6:9" x14ac:dyDescent="0.3">
      <c r="F20284"/>
      <c r="G20284"/>
      <c r="H20284"/>
      <c r="I20284"/>
    </row>
    <row r="20285" spans="6:9" x14ac:dyDescent="0.3">
      <c r="F20285"/>
      <c r="G20285"/>
      <c r="H20285"/>
      <c r="I20285"/>
    </row>
    <row r="20286" spans="6:9" x14ac:dyDescent="0.3">
      <c r="F20286"/>
      <c r="G20286"/>
      <c r="H20286"/>
      <c r="I20286"/>
    </row>
    <row r="20287" spans="6:9" x14ac:dyDescent="0.3">
      <c r="F20287"/>
      <c r="G20287"/>
      <c r="H20287"/>
      <c r="I20287"/>
    </row>
    <row r="20288" spans="6:9" x14ac:dyDescent="0.3">
      <c r="F20288"/>
      <c r="G20288"/>
      <c r="H20288"/>
      <c r="I20288"/>
    </row>
    <row r="20289" spans="6:9" x14ac:dyDescent="0.3">
      <c r="F20289"/>
      <c r="G20289"/>
      <c r="H20289"/>
      <c r="I20289"/>
    </row>
    <row r="20290" spans="6:9" x14ac:dyDescent="0.3">
      <c r="F20290"/>
      <c r="G20290"/>
      <c r="H20290"/>
      <c r="I20290"/>
    </row>
    <row r="20291" spans="6:9" x14ac:dyDescent="0.3">
      <c r="F20291"/>
      <c r="G20291"/>
      <c r="H20291"/>
      <c r="I20291"/>
    </row>
    <row r="20292" spans="6:9" x14ac:dyDescent="0.3">
      <c r="F20292"/>
      <c r="G20292"/>
      <c r="H20292"/>
      <c r="I20292"/>
    </row>
    <row r="20293" spans="6:9" x14ac:dyDescent="0.3">
      <c r="F20293"/>
      <c r="G20293"/>
      <c r="H20293"/>
      <c r="I20293"/>
    </row>
    <row r="20294" spans="6:9" x14ac:dyDescent="0.3">
      <c r="F20294"/>
      <c r="G20294"/>
      <c r="H20294"/>
      <c r="I20294"/>
    </row>
    <row r="20295" spans="6:9" x14ac:dyDescent="0.3">
      <c r="F20295"/>
      <c r="G20295"/>
      <c r="H20295"/>
      <c r="I20295"/>
    </row>
    <row r="20296" spans="6:9" x14ac:dyDescent="0.3">
      <c r="F20296"/>
      <c r="G20296"/>
      <c r="H20296"/>
      <c r="I20296"/>
    </row>
    <row r="20297" spans="6:9" x14ac:dyDescent="0.3">
      <c r="F20297"/>
      <c r="G20297"/>
      <c r="H20297"/>
      <c r="I20297"/>
    </row>
    <row r="20298" spans="6:9" x14ac:dyDescent="0.3">
      <c r="F20298"/>
      <c r="G20298"/>
      <c r="H20298"/>
      <c r="I20298"/>
    </row>
    <row r="20299" spans="6:9" x14ac:dyDescent="0.3">
      <c r="F20299"/>
      <c r="G20299"/>
      <c r="H20299"/>
      <c r="I20299"/>
    </row>
    <row r="20300" spans="6:9" x14ac:dyDescent="0.3">
      <c r="F20300"/>
      <c r="G20300"/>
      <c r="H20300"/>
      <c r="I20300"/>
    </row>
    <row r="20301" spans="6:9" x14ac:dyDescent="0.3">
      <c r="F20301"/>
      <c r="G20301"/>
      <c r="H20301"/>
      <c r="I20301"/>
    </row>
    <row r="20302" spans="6:9" x14ac:dyDescent="0.3">
      <c r="F20302"/>
      <c r="G20302"/>
      <c r="H20302"/>
      <c r="I20302"/>
    </row>
    <row r="20303" spans="6:9" x14ac:dyDescent="0.3">
      <c r="F20303"/>
      <c r="G20303"/>
      <c r="H20303"/>
      <c r="I20303"/>
    </row>
    <row r="20304" spans="6:9" x14ac:dyDescent="0.3">
      <c r="F20304"/>
      <c r="G20304"/>
      <c r="H20304"/>
      <c r="I20304"/>
    </row>
    <row r="20305" spans="6:9" x14ac:dyDescent="0.3">
      <c r="F20305"/>
      <c r="G20305"/>
      <c r="H20305"/>
      <c r="I20305"/>
    </row>
    <row r="20306" spans="6:9" x14ac:dyDescent="0.3">
      <c r="F20306"/>
      <c r="G20306"/>
      <c r="H20306"/>
      <c r="I20306"/>
    </row>
    <row r="20307" spans="6:9" x14ac:dyDescent="0.3">
      <c r="F20307"/>
      <c r="G20307"/>
      <c r="H20307"/>
      <c r="I20307"/>
    </row>
    <row r="20308" spans="6:9" x14ac:dyDescent="0.3">
      <c r="F20308"/>
      <c r="G20308"/>
      <c r="H20308"/>
      <c r="I20308"/>
    </row>
    <row r="20309" spans="6:9" x14ac:dyDescent="0.3">
      <c r="F20309"/>
      <c r="G20309"/>
      <c r="H20309"/>
      <c r="I20309"/>
    </row>
    <row r="20310" spans="6:9" x14ac:dyDescent="0.3">
      <c r="F20310"/>
      <c r="G20310"/>
      <c r="H20310"/>
      <c r="I20310"/>
    </row>
    <row r="20311" spans="6:9" x14ac:dyDescent="0.3">
      <c r="F20311"/>
      <c r="G20311"/>
      <c r="H20311"/>
      <c r="I20311"/>
    </row>
    <row r="20312" spans="6:9" x14ac:dyDescent="0.3">
      <c r="F20312"/>
      <c r="G20312"/>
      <c r="H20312"/>
      <c r="I20312"/>
    </row>
    <row r="20313" spans="6:9" x14ac:dyDescent="0.3">
      <c r="F20313"/>
      <c r="G20313"/>
      <c r="H20313"/>
      <c r="I20313"/>
    </row>
    <row r="20314" spans="6:9" x14ac:dyDescent="0.3">
      <c r="F20314"/>
      <c r="G20314"/>
      <c r="H20314"/>
      <c r="I20314"/>
    </row>
    <row r="20315" spans="6:9" x14ac:dyDescent="0.3">
      <c r="F20315"/>
      <c r="G20315"/>
      <c r="H20315"/>
      <c r="I20315"/>
    </row>
    <row r="20316" spans="6:9" x14ac:dyDescent="0.3">
      <c r="F20316"/>
      <c r="G20316"/>
      <c r="H20316"/>
      <c r="I20316"/>
    </row>
    <row r="20317" spans="6:9" x14ac:dyDescent="0.3">
      <c r="F20317"/>
      <c r="G20317"/>
      <c r="H20317"/>
      <c r="I20317"/>
    </row>
    <row r="20318" spans="6:9" x14ac:dyDescent="0.3">
      <c r="F20318"/>
      <c r="G20318"/>
      <c r="H20318"/>
      <c r="I20318"/>
    </row>
    <row r="20319" spans="6:9" x14ac:dyDescent="0.3">
      <c r="F20319"/>
      <c r="G20319"/>
      <c r="H20319"/>
      <c r="I20319"/>
    </row>
    <row r="20320" spans="6:9" x14ac:dyDescent="0.3">
      <c r="F20320"/>
      <c r="G20320"/>
      <c r="H20320"/>
      <c r="I20320"/>
    </row>
    <row r="20321" spans="6:9" x14ac:dyDescent="0.3">
      <c r="F20321"/>
      <c r="G20321"/>
      <c r="H20321"/>
      <c r="I20321"/>
    </row>
    <row r="20322" spans="6:9" x14ac:dyDescent="0.3">
      <c r="F20322"/>
      <c r="G20322"/>
      <c r="H20322"/>
      <c r="I20322"/>
    </row>
    <row r="20323" spans="6:9" x14ac:dyDescent="0.3">
      <c r="F20323"/>
      <c r="G20323"/>
      <c r="H20323"/>
      <c r="I20323"/>
    </row>
    <row r="20324" spans="6:9" x14ac:dyDescent="0.3">
      <c r="F20324"/>
      <c r="G20324"/>
      <c r="H20324"/>
      <c r="I20324"/>
    </row>
    <row r="20325" spans="6:9" x14ac:dyDescent="0.3">
      <c r="F20325"/>
      <c r="G20325"/>
      <c r="H20325"/>
      <c r="I20325"/>
    </row>
    <row r="20326" spans="6:9" x14ac:dyDescent="0.3">
      <c r="F20326"/>
      <c r="G20326"/>
      <c r="H20326"/>
      <c r="I20326"/>
    </row>
    <row r="20327" spans="6:9" x14ac:dyDescent="0.3">
      <c r="F20327"/>
      <c r="G20327"/>
      <c r="H20327"/>
      <c r="I20327"/>
    </row>
    <row r="20328" spans="6:9" x14ac:dyDescent="0.3">
      <c r="F20328"/>
      <c r="G20328"/>
      <c r="H20328"/>
      <c r="I20328"/>
    </row>
    <row r="20329" spans="6:9" x14ac:dyDescent="0.3">
      <c r="F20329"/>
      <c r="G20329"/>
      <c r="H20329"/>
      <c r="I20329"/>
    </row>
    <row r="20330" spans="6:9" x14ac:dyDescent="0.3">
      <c r="F20330"/>
      <c r="G20330"/>
      <c r="H20330"/>
      <c r="I20330"/>
    </row>
    <row r="20331" spans="6:9" x14ac:dyDescent="0.3">
      <c r="F20331"/>
      <c r="G20331"/>
      <c r="H20331"/>
      <c r="I20331"/>
    </row>
    <row r="20332" spans="6:9" x14ac:dyDescent="0.3">
      <c r="F20332"/>
      <c r="G20332"/>
      <c r="H20332"/>
      <c r="I20332"/>
    </row>
    <row r="20333" spans="6:9" x14ac:dyDescent="0.3">
      <c r="F20333"/>
      <c r="G20333"/>
      <c r="H20333"/>
      <c r="I20333"/>
    </row>
    <row r="20334" spans="6:9" x14ac:dyDescent="0.3">
      <c r="F20334"/>
      <c r="G20334"/>
      <c r="H20334"/>
      <c r="I20334"/>
    </row>
    <row r="20335" spans="6:9" x14ac:dyDescent="0.3">
      <c r="F20335"/>
      <c r="G20335"/>
      <c r="H20335"/>
      <c r="I20335"/>
    </row>
    <row r="20336" spans="6:9" x14ac:dyDescent="0.3">
      <c r="F20336"/>
      <c r="G20336"/>
      <c r="H20336"/>
      <c r="I20336"/>
    </row>
    <row r="20337" spans="6:9" x14ac:dyDescent="0.3">
      <c r="F20337"/>
      <c r="G20337"/>
      <c r="H20337"/>
      <c r="I20337"/>
    </row>
    <row r="20338" spans="6:9" x14ac:dyDescent="0.3">
      <c r="F20338"/>
      <c r="G20338"/>
      <c r="H20338"/>
      <c r="I20338"/>
    </row>
    <row r="20339" spans="6:9" x14ac:dyDescent="0.3">
      <c r="F20339"/>
      <c r="G20339"/>
      <c r="H20339"/>
      <c r="I20339"/>
    </row>
    <row r="20340" spans="6:9" x14ac:dyDescent="0.3">
      <c r="F20340"/>
      <c r="G20340"/>
      <c r="H20340"/>
      <c r="I20340"/>
    </row>
    <row r="20341" spans="6:9" x14ac:dyDescent="0.3">
      <c r="F20341"/>
      <c r="G20341"/>
      <c r="H20341"/>
      <c r="I20341"/>
    </row>
    <row r="20342" spans="6:9" x14ac:dyDescent="0.3">
      <c r="F20342"/>
      <c r="G20342"/>
      <c r="H20342"/>
      <c r="I20342"/>
    </row>
    <row r="20343" spans="6:9" x14ac:dyDescent="0.3">
      <c r="F20343"/>
      <c r="G20343"/>
      <c r="H20343"/>
      <c r="I20343"/>
    </row>
    <row r="20344" spans="6:9" x14ac:dyDescent="0.3">
      <c r="F20344"/>
      <c r="G20344"/>
      <c r="H20344"/>
      <c r="I20344"/>
    </row>
    <row r="20345" spans="6:9" x14ac:dyDescent="0.3">
      <c r="F20345"/>
      <c r="G20345"/>
      <c r="H20345"/>
      <c r="I20345"/>
    </row>
    <row r="20346" spans="6:9" x14ac:dyDescent="0.3">
      <c r="F20346"/>
      <c r="G20346"/>
      <c r="H20346"/>
      <c r="I20346"/>
    </row>
    <row r="20347" spans="6:9" x14ac:dyDescent="0.3">
      <c r="F20347"/>
      <c r="G20347"/>
      <c r="H20347"/>
      <c r="I20347"/>
    </row>
    <row r="20348" spans="6:9" x14ac:dyDescent="0.3">
      <c r="F20348"/>
      <c r="G20348"/>
      <c r="H20348"/>
      <c r="I20348"/>
    </row>
    <row r="20349" spans="6:9" x14ac:dyDescent="0.3">
      <c r="F20349"/>
      <c r="G20349"/>
      <c r="H20349"/>
      <c r="I20349"/>
    </row>
    <row r="20350" spans="6:9" x14ac:dyDescent="0.3">
      <c r="F20350"/>
      <c r="G20350"/>
      <c r="H20350"/>
      <c r="I20350"/>
    </row>
    <row r="20351" spans="6:9" x14ac:dyDescent="0.3">
      <c r="F20351"/>
      <c r="G20351"/>
      <c r="H20351"/>
      <c r="I20351"/>
    </row>
    <row r="20352" spans="6:9" x14ac:dyDescent="0.3">
      <c r="F20352"/>
      <c r="G20352"/>
      <c r="H20352"/>
      <c r="I20352"/>
    </row>
    <row r="20353" spans="6:9" x14ac:dyDescent="0.3">
      <c r="F20353"/>
      <c r="G20353"/>
      <c r="H20353"/>
      <c r="I20353"/>
    </row>
    <row r="20354" spans="6:9" x14ac:dyDescent="0.3">
      <c r="F20354"/>
      <c r="G20354"/>
      <c r="H20354"/>
      <c r="I20354"/>
    </row>
    <row r="20355" spans="6:9" x14ac:dyDescent="0.3">
      <c r="F20355"/>
      <c r="G20355"/>
      <c r="H20355"/>
      <c r="I20355"/>
    </row>
    <row r="20356" spans="6:9" x14ac:dyDescent="0.3">
      <c r="F20356"/>
      <c r="G20356"/>
      <c r="H20356"/>
      <c r="I20356"/>
    </row>
    <row r="20357" spans="6:9" x14ac:dyDescent="0.3">
      <c r="F20357"/>
      <c r="G20357"/>
      <c r="H20357"/>
      <c r="I20357"/>
    </row>
    <row r="20358" spans="6:9" x14ac:dyDescent="0.3">
      <c r="F20358"/>
      <c r="G20358"/>
      <c r="H20358"/>
      <c r="I20358"/>
    </row>
    <row r="20359" spans="6:9" x14ac:dyDescent="0.3">
      <c r="F20359"/>
      <c r="G20359"/>
      <c r="H20359"/>
      <c r="I20359"/>
    </row>
    <row r="20360" spans="6:9" x14ac:dyDescent="0.3">
      <c r="F20360"/>
      <c r="G20360"/>
      <c r="H20360"/>
      <c r="I20360"/>
    </row>
    <row r="20361" spans="6:9" x14ac:dyDescent="0.3">
      <c r="F20361"/>
      <c r="G20361"/>
      <c r="H20361"/>
      <c r="I20361"/>
    </row>
    <row r="20362" spans="6:9" x14ac:dyDescent="0.3">
      <c r="F20362"/>
      <c r="G20362"/>
      <c r="H20362"/>
      <c r="I20362"/>
    </row>
    <row r="20363" spans="6:9" x14ac:dyDescent="0.3">
      <c r="F20363"/>
      <c r="G20363"/>
      <c r="H20363"/>
      <c r="I20363"/>
    </row>
    <row r="20364" spans="6:9" x14ac:dyDescent="0.3">
      <c r="F20364"/>
      <c r="G20364"/>
      <c r="H20364"/>
      <c r="I20364"/>
    </row>
    <row r="20365" spans="6:9" x14ac:dyDescent="0.3">
      <c r="F20365"/>
      <c r="G20365"/>
      <c r="H20365"/>
      <c r="I20365"/>
    </row>
    <row r="20366" spans="6:9" x14ac:dyDescent="0.3">
      <c r="F20366"/>
      <c r="G20366"/>
      <c r="H20366"/>
      <c r="I20366"/>
    </row>
    <row r="20367" spans="6:9" x14ac:dyDescent="0.3">
      <c r="F20367"/>
      <c r="G20367"/>
      <c r="H20367"/>
      <c r="I20367"/>
    </row>
    <row r="20368" spans="6:9" x14ac:dyDescent="0.3">
      <c r="F20368"/>
      <c r="G20368"/>
      <c r="H20368"/>
      <c r="I20368"/>
    </row>
    <row r="20369" spans="6:9" x14ac:dyDescent="0.3">
      <c r="F20369"/>
      <c r="G20369"/>
      <c r="H20369"/>
      <c r="I20369"/>
    </row>
    <row r="20370" spans="6:9" x14ac:dyDescent="0.3">
      <c r="F20370"/>
      <c r="G20370"/>
      <c r="H20370"/>
      <c r="I20370"/>
    </row>
    <row r="20371" spans="6:9" x14ac:dyDescent="0.3">
      <c r="F20371"/>
      <c r="G20371"/>
      <c r="H20371"/>
      <c r="I20371"/>
    </row>
    <row r="20372" spans="6:9" x14ac:dyDescent="0.3">
      <c r="F20372"/>
      <c r="G20372"/>
      <c r="H20372"/>
      <c r="I20372"/>
    </row>
    <row r="20373" spans="6:9" x14ac:dyDescent="0.3">
      <c r="F20373"/>
      <c r="G20373"/>
      <c r="H20373"/>
      <c r="I20373"/>
    </row>
    <row r="20374" spans="6:9" x14ac:dyDescent="0.3">
      <c r="F20374"/>
      <c r="G20374"/>
      <c r="H20374"/>
      <c r="I20374"/>
    </row>
    <row r="20375" spans="6:9" x14ac:dyDescent="0.3">
      <c r="F20375"/>
      <c r="G20375"/>
      <c r="H20375"/>
      <c r="I20375"/>
    </row>
    <row r="20376" spans="6:9" x14ac:dyDescent="0.3">
      <c r="F20376"/>
      <c r="G20376"/>
      <c r="H20376"/>
      <c r="I20376"/>
    </row>
    <row r="20377" spans="6:9" x14ac:dyDescent="0.3">
      <c r="F20377"/>
      <c r="G20377"/>
      <c r="H20377"/>
      <c r="I20377"/>
    </row>
    <row r="20378" spans="6:9" x14ac:dyDescent="0.3">
      <c r="F20378"/>
      <c r="G20378"/>
      <c r="H20378"/>
      <c r="I20378"/>
    </row>
    <row r="20379" spans="6:9" x14ac:dyDescent="0.3">
      <c r="F20379"/>
      <c r="G20379"/>
      <c r="H20379"/>
      <c r="I20379"/>
    </row>
    <row r="20380" spans="6:9" x14ac:dyDescent="0.3">
      <c r="F20380"/>
      <c r="G20380"/>
      <c r="H20380"/>
      <c r="I20380"/>
    </row>
    <row r="20381" spans="6:9" x14ac:dyDescent="0.3">
      <c r="F20381"/>
      <c r="G20381"/>
      <c r="H20381"/>
      <c r="I20381"/>
    </row>
    <row r="20382" spans="6:9" x14ac:dyDescent="0.3">
      <c r="F20382"/>
      <c r="G20382"/>
      <c r="H20382"/>
      <c r="I20382"/>
    </row>
    <row r="20383" spans="6:9" x14ac:dyDescent="0.3">
      <c r="F20383"/>
      <c r="G20383"/>
      <c r="H20383"/>
      <c r="I20383"/>
    </row>
    <row r="20384" spans="6:9" x14ac:dyDescent="0.3">
      <c r="F20384"/>
      <c r="G20384"/>
      <c r="H20384"/>
      <c r="I20384"/>
    </row>
    <row r="20385" spans="6:9" x14ac:dyDescent="0.3">
      <c r="F20385"/>
      <c r="G20385"/>
      <c r="H20385"/>
      <c r="I20385"/>
    </row>
    <row r="20386" spans="6:9" x14ac:dyDescent="0.3">
      <c r="F20386"/>
      <c r="G20386"/>
      <c r="H20386"/>
      <c r="I20386"/>
    </row>
    <row r="20387" spans="6:9" x14ac:dyDescent="0.3">
      <c r="F20387"/>
      <c r="G20387"/>
      <c r="H20387"/>
      <c r="I20387"/>
    </row>
    <row r="20388" spans="6:9" x14ac:dyDescent="0.3">
      <c r="F20388"/>
      <c r="G20388"/>
      <c r="H20388"/>
      <c r="I20388"/>
    </row>
    <row r="20389" spans="6:9" x14ac:dyDescent="0.3">
      <c r="F20389"/>
      <c r="G20389"/>
      <c r="H20389"/>
      <c r="I20389"/>
    </row>
    <row r="20390" spans="6:9" x14ac:dyDescent="0.3">
      <c r="F20390"/>
      <c r="G20390"/>
      <c r="H20390"/>
      <c r="I20390"/>
    </row>
    <row r="20391" spans="6:9" x14ac:dyDescent="0.3">
      <c r="F20391"/>
      <c r="G20391"/>
      <c r="H20391"/>
      <c r="I20391"/>
    </row>
    <row r="20392" spans="6:9" x14ac:dyDescent="0.3">
      <c r="F20392"/>
      <c r="G20392"/>
      <c r="H20392"/>
      <c r="I20392"/>
    </row>
    <row r="20393" spans="6:9" x14ac:dyDescent="0.3">
      <c r="F20393"/>
      <c r="G20393"/>
      <c r="H20393"/>
      <c r="I20393"/>
    </row>
    <row r="20394" spans="6:9" x14ac:dyDescent="0.3">
      <c r="F20394"/>
      <c r="G20394"/>
      <c r="H20394"/>
      <c r="I20394"/>
    </row>
    <row r="20395" spans="6:9" x14ac:dyDescent="0.3">
      <c r="F20395"/>
      <c r="G20395"/>
      <c r="H20395"/>
      <c r="I20395"/>
    </row>
    <row r="20396" spans="6:9" x14ac:dyDescent="0.3">
      <c r="F20396"/>
      <c r="G20396"/>
      <c r="H20396"/>
      <c r="I20396"/>
    </row>
    <row r="20397" spans="6:9" x14ac:dyDescent="0.3">
      <c r="F20397"/>
      <c r="G20397"/>
      <c r="H20397"/>
      <c r="I20397"/>
    </row>
    <row r="20398" spans="6:9" x14ac:dyDescent="0.3">
      <c r="F20398"/>
      <c r="G20398"/>
      <c r="H20398"/>
      <c r="I20398"/>
    </row>
    <row r="20399" spans="6:9" x14ac:dyDescent="0.3">
      <c r="F20399"/>
      <c r="G20399"/>
      <c r="H20399"/>
      <c r="I20399"/>
    </row>
    <row r="20400" spans="6:9" x14ac:dyDescent="0.3">
      <c r="F20400"/>
      <c r="G20400"/>
      <c r="H20400"/>
      <c r="I20400"/>
    </row>
    <row r="20401" spans="6:9" x14ac:dyDescent="0.3">
      <c r="F20401"/>
      <c r="G20401"/>
      <c r="H20401"/>
      <c r="I20401"/>
    </row>
    <row r="20402" spans="6:9" x14ac:dyDescent="0.3">
      <c r="F20402"/>
      <c r="G20402"/>
      <c r="H20402"/>
      <c r="I20402"/>
    </row>
    <row r="20403" spans="6:9" x14ac:dyDescent="0.3">
      <c r="F20403"/>
      <c r="G20403"/>
      <c r="H20403"/>
      <c r="I20403"/>
    </row>
    <row r="20404" spans="6:9" x14ac:dyDescent="0.3">
      <c r="F20404"/>
      <c r="G20404"/>
      <c r="H20404"/>
      <c r="I20404"/>
    </row>
    <row r="20405" spans="6:9" x14ac:dyDescent="0.3">
      <c r="F20405"/>
      <c r="G20405"/>
      <c r="H20405"/>
      <c r="I20405"/>
    </row>
    <row r="20406" spans="6:9" x14ac:dyDescent="0.3">
      <c r="F20406"/>
      <c r="G20406"/>
      <c r="H20406"/>
      <c r="I20406"/>
    </row>
    <row r="20407" spans="6:9" x14ac:dyDescent="0.3">
      <c r="F20407"/>
      <c r="G20407"/>
      <c r="H20407"/>
      <c r="I20407"/>
    </row>
    <row r="20408" spans="6:9" x14ac:dyDescent="0.3">
      <c r="F20408"/>
      <c r="G20408"/>
      <c r="H20408"/>
      <c r="I20408"/>
    </row>
    <row r="20409" spans="6:9" x14ac:dyDescent="0.3">
      <c r="F20409"/>
      <c r="G20409"/>
      <c r="H20409"/>
      <c r="I20409"/>
    </row>
    <row r="20410" spans="6:9" x14ac:dyDescent="0.3">
      <c r="F20410"/>
      <c r="G20410"/>
      <c r="H20410"/>
      <c r="I20410"/>
    </row>
    <row r="20411" spans="6:9" x14ac:dyDescent="0.3">
      <c r="F20411"/>
      <c r="G20411"/>
      <c r="H20411"/>
      <c r="I20411"/>
    </row>
    <row r="20412" spans="6:9" x14ac:dyDescent="0.3">
      <c r="F20412"/>
      <c r="G20412"/>
      <c r="H20412"/>
      <c r="I20412"/>
    </row>
    <row r="20413" spans="6:9" x14ac:dyDescent="0.3">
      <c r="F20413"/>
      <c r="G20413"/>
      <c r="H20413"/>
      <c r="I20413"/>
    </row>
    <row r="20414" spans="6:9" x14ac:dyDescent="0.3">
      <c r="F20414"/>
      <c r="G20414"/>
      <c r="H20414"/>
      <c r="I20414"/>
    </row>
    <row r="20415" spans="6:9" x14ac:dyDescent="0.3">
      <c r="F20415"/>
      <c r="G20415"/>
      <c r="H20415"/>
      <c r="I20415"/>
    </row>
    <row r="20416" spans="6:9" x14ac:dyDescent="0.3">
      <c r="F20416"/>
      <c r="G20416"/>
      <c r="H20416"/>
      <c r="I20416"/>
    </row>
    <row r="20417" spans="6:9" x14ac:dyDescent="0.3">
      <c r="F20417"/>
      <c r="G20417"/>
      <c r="H20417"/>
      <c r="I20417"/>
    </row>
    <row r="20418" spans="6:9" x14ac:dyDescent="0.3">
      <c r="F20418"/>
      <c r="G20418"/>
      <c r="H20418"/>
      <c r="I20418"/>
    </row>
    <row r="20419" spans="6:9" x14ac:dyDescent="0.3">
      <c r="F20419"/>
      <c r="G20419"/>
      <c r="H20419"/>
      <c r="I20419"/>
    </row>
    <row r="20420" spans="6:9" x14ac:dyDescent="0.3">
      <c r="F20420"/>
      <c r="G20420"/>
      <c r="H20420"/>
      <c r="I20420"/>
    </row>
    <row r="20421" spans="6:9" x14ac:dyDescent="0.3">
      <c r="F20421"/>
      <c r="G20421"/>
      <c r="H20421"/>
      <c r="I20421"/>
    </row>
    <row r="20422" spans="6:9" x14ac:dyDescent="0.3">
      <c r="F20422"/>
      <c r="G20422"/>
      <c r="H20422"/>
      <c r="I20422"/>
    </row>
    <row r="20423" spans="6:9" x14ac:dyDescent="0.3">
      <c r="F20423"/>
      <c r="G20423"/>
      <c r="H20423"/>
      <c r="I20423"/>
    </row>
    <row r="20424" spans="6:9" x14ac:dyDescent="0.3">
      <c r="F20424"/>
      <c r="G20424"/>
      <c r="H20424"/>
      <c r="I20424"/>
    </row>
    <row r="20425" spans="6:9" x14ac:dyDescent="0.3">
      <c r="F20425"/>
      <c r="G20425"/>
      <c r="H20425"/>
      <c r="I20425"/>
    </row>
    <row r="20426" spans="6:9" x14ac:dyDescent="0.3">
      <c r="F20426"/>
      <c r="G20426"/>
      <c r="H20426"/>
      <c r="I20426"/>
    </row>
    <row r="20427" spans="6:9" x14ac:dyDescent="0.3">
      <c r="F20427"/>
      <c r="G20427"/>
      <c r="H20427"/>
      <c r="I20427"/>
    </row>
    <row r="20428" spans="6:9" x14ac:dyDescent="0.3">
      <c r="F20428"/>
      <c r="G20428"/>
      <c r="H20428"/>
      <c r="I20428"/>
    </row>
    <row r="20429" spans="6:9" x14ac:dyDescent="0.3">
      <c r="F20429"/>
      <c r="G20429"/>
      <c r="H20429"/>
      <c r="I20429"/>
    </row>
    <row r="20430" spans="6:9" x14ac:dyDescent="0.3">
      <c r="F20430"/>
      <c r="G20430"/>
      <c r="H20430"/>
      <c r="I20430"/>
    </row>
    <row r="20431" spans="6:9" x14ac:dyDescent="0.3">
      <c r="F20431"/>
      <c r="G20431"/>
      <c r="H20431"/>
      <c r="I20431"/>
    </row>
    <row r="20432" spans="6:9" x14ac:dyDescent="0.3">
      <c r="F20432"/>
      <c r="G20432"/>
      <c r="H20432"/>
      <c r="I20432"/>
    </row>
    <row r="20433" spans="6:9" x14ac:dyDescent="0.3">
      <c r="F20433"/>
      <c r="G20433"/>
      <c r="H20433"/>
      <c r="I20433"/>
    </row>
    <row r="20434" spans="6:9" x14ac:dyDescent="0.3">
      <c r="F20434"/>
      <c r="G20434"/>
      <c r="H20434"/>
      <c r="I20434"/>
    </row>
    <row r="20435" spans="6:9" x14ac:dyDescent="0.3">
      <c r="F20435"/>
      <c r="G20435"/>
      <c r="H20435"/>
      <c r="I20435"/>
    </row>
    <row r="20436" spans="6:9" x14ac:dyDescent="0.3">
      <c r="F20436"/>
      <c r="G20436"/>
      <c r="H20436"/>
      <c r="I20436"/>
    </row>
    <row r="20437" spans="6:9" x14ac:dyDescent="0.3">
      <c r="F20437"/>
      <c r="G20437"/>
      <c r="H20437"/>
      <c r="I20437"/>
    </row>
    <row r="20438" spans="6:9" x14ac:dyDescent="0.3">
      <c r="F20438"/>
      <c r="G20438"/>
      <c r="H20438"/>
      <c r="I20438"/>
    </row>
    <row r="20439" spans="6:9" x14ac:dyDescent="0.3">
      <c r="F20439"/>
      <c r="G20439"/>
      <c r="H20439"/>
      <c r="I20439"/>
    </row>
    <row r="20440" spans="6:9" x14ac:dyDescent="0.3">
      <c r="F20440"/>
      <c r="G20440"/>
      <c r="H20440"/>
      <c r="I20440"/>
    </row>
    <row r="20441" spans="6:9" x14ac:dyDescent="0.3">
      <c r="F20441"/>
      <c r="G20441"/>
      <c r="H20441"/>
      <c r="I20441"/>
    </row>
    <row r="20442" spans="6:9" x14ac:dyDescent="0.3">
      <c r="F20442"/>
      <c r="G20442"/>
      <c r="H20442"/>
      <c r="I20442"/>
    </row>
    <row r="20443" spans="6:9" x14ac:dyDescent="0.3">
      <c r="F20443"/>
      <c r="G20443"/>
      <c r="H20443"/>
      <c r="I20443"/>
    </row>
    <row r="20444" spans="6:9" x14ac:dyDescent="0.3">
      <c r="F20444"/>
      <c r="G20444"/>
      <c r="H20444"/>
      <c r="I20444"/>
    </row>
    <row r="20445" spans="6:9" x14ac:dyDescent="0.3">
      <c r="F20445"/>
      <c r="G20445"/>
      <c r="H20445"/>
      <c r="I20445"/>
    </row>
    <row r="20446" spans="6:9" x14ac:dyDescent="0.3">
      <c r="F20446"/>
      <c r="G20446"/>
      <c r="H20446"/>
      <c r="I20446"/>
    </row>
    <row r="20447" spans="6:9" x14ac:dyDescent="0.3">
      <c r="F20447"/>
      <c r="G20447"/>
      <c r="H20447"/>
      <c r="I20447"/>
    </row>
    <row r="20448" spans="6:9" x14ac:dyDescent="0.3">
      <c r="F20448"/>
      <c r="G20448"/>
      <c r="H20448"/>
      <c r="I20448"/>
    </row>
    <row r="20449" spans="6:9" x14ac:dyDescent="0.3">
      <c r="F20449"/>
      <c r="G20449"/>
      <c r="H20449"/>
      <c r="I20449"/>
    </row>
    <row r="20450" spans="6:9" x14ac:dyDescent="0.3">
      <c r="F20450"/>
      <c r="G20450"/>
      <c r="H20450"/>
      <c r="I20450"/>
    </row>
    <row r="20451" spans="6:9" x14ac:dyDescent="0.3">
      <c r="F20451"/>
      <c r="G20451"/>
      <c r="H20451"/>
      <c r="I20451"/>
    </row>
    <row r="20452" spans="6:9" x14ac:dyDescent="0.3">
      <c r="F20452"/>
      <c r="G20452"/>
      <c r="H20452"/>
      <c r="I20452"/>
    </row>
    <row r="20453" spans="6:9" x14ac:dyDescent="0.3">
      <c r="F20453"/>
      <c r="G20453"/>
      <c r="H20453"/>
      <c r="I20453"/>
    </row>
    <row r="20454" spans="6:9" x14ac:dyDescent="0.3">
      <c r="F20454"/>
      <c r="G20454"/>
      <c r="H20454"/>
      <c r="I20454"/>
    </row>
    <row r="20455" spans="6:9" x14ac:dyDescent="0.3">
      <c r="F20455"/>
      <c r="G20455"/>
      <c r="H20455"/>
      <c r="I20455"/>
    </row>
    <row r="20456" spans="6:9" x14ac:dyDescent="0.3">
      <c r="F20456"/>
      <c r="G20456"/>
      <c r="H20456"/>
      <c r="I20456"/>
    </row>
    <row r="20457" spans="6:9" x14ac:dyDescent="0.3">
      <c r="F20457"/>
      <c r="G20457"/>
      <c r="H20457"/>
      <c r="I20457"/>
    </row>
    <row r="20458" spans="6:9" x14ac:dyDescent="0.3">
      <c r="F20458"/>
      <c r="G20458"/>
      <c r="H20458"/>
      <c r="I20458"/>
    </row>
    <row r="20459" spans="6:9" x14ac:dyDescent="0.3">
      <c r="F20459"/>
      <c r="G20459"/>
      <c r="H20459"/>
      <c r="I20459"/>
    </row>
    <row r="20460" spans="6:9" x14ac:dyDescent="0.3">
      <c r="F20460"/>
      <c r="G20460"/>
      <c r="H20460"/>
      <c r="I20460"/>
    </row>
    <row r="20461" spans="6:9" x14ac:dyDescent="0.3">
      <c r="F20461"/>
      <c r="G20461"/>
      <c r="H20461"/>
      <c r="I20461"/>
    </row>
    <row r="20462" spans="6:9" x14ac:dyDescent="0.3">
      <c r="F20462"/>
      <c r="G20462"/>
      <c r="H20462"/>
      <c r="I20462"/>
    </row>
    <row r="20463" spans="6:9" x14ac:dyDescent="0.3">
      <c r="F20463"/>
      <c r="G20463"/>
      <c r="H20463"/>
      <c r="I20463"/>
    </row>
    <row r="20464" spans="6:9" x14ac:dyDescent="0.3">
      <c r="F20464"/>
      <c r="G20464"/>
      <c r="H20464"/>
      <c r="I20464"/>
    </row>
    <row r="20465" spans="6:9" x14ac:dyDescent="0.3">
      <c r="F20465"/>
      <c r="G20465"/>
      <c r="H20465"/>
      <c r="I20465"/>
    </row>
    <row r="20466" spans="6:9" x14ac:dyDescent="0.3">
      <c r="F20466"/>
      <c r="G20466"/>
      <c r="H20466"/>
      <c r="I20466"/>
    </row>
    <row r="20467" spans="6:9" x14ac:dyDescent="0.3">
      <c r="F20467"/>
      <c r="G20467"/>
      <c r="H20467"/>
      <c r="I20467"/>
    </row>
    <row r="20468" spans="6:9" x14ac:dyDescent="0.3">
      <c r="F20468"/>
      <c r="G20468"/>
      <c r="H20468"/>
      <c r="I20468"/>
    </row>
    <row r="20469" spans="6:9" x14ac:dyDescent="0.3">
      <c r="F20469"/>
      <c r="G20469"/>
      <c r="H20469"/>
      <c r="I20469"/>
    </row>
    <row r="20470" spans="6:9" x14ac:dyDescent="0.3">
      <c r="F20470"/>
      <c r="G20470"/>
      <c r="H20470"/>
      <c r="I20470"/>
    </row>
    <row r="20471" spans="6:9" x14ac:dyDescent="0.3">
      <c r="F20471"/>
      <c r="G20471"/>
      <c r="H20471"/>
      <c r="I20471"/>
    </row>
    <row r="20472" spans="6:9" x14ac:dyDescent="0.3">
      <c r="F20472"/>
      <c r="G20472"/>
      <c r="H20472"/>
      <c r="I20472"/>
    </row>
    <row r="20473" spans="6:9" x14ac:dyDescent="0.3">
      <c r="F20473"/>
      <c r="G20473"/>
      <c r="H20473"/>
      <c r="I20473"/>
    </row>
    <row r="20474" spans="6:9" x14ac:dyDescent="0.3">
      <c r="F20474"/>
      <c r="G20474"/>
      <c r="H20474"/>
      <c r="I20474"/>
    </row>
    <row r="20475" spans="6:9" x14ac:dyDescent="0.3">
      <c r="F20475"/>
      <c r="G20475"/>
      <c r="H20475"/>
      <c r="I20475"/>
    </row>
    <row r="20476" spans="6:9" x14ac:dyDescent="0.3">
      <c r="F20476"/>
      <c r="G20476"/>
      <c r="H20476"/>
      <c r="I20476"/>
    </row>
    <row r="20477" spans="6:9" x14ac:dyDescent="0.3">
      <c r="F20477"/>
      <c r="G20477"/>
      <c r="H20477"/>
      <c r="I20477"/>
    </row>
    <row r="20478" spans="6:9" x14ac:dyDescent="0.3">
      <c r="F20478"/>
      <c r="G20478"/>
      <c r="H20478"/>
      <c r="I20478"/>
    </row>
    <row r="20479" spans="6:9" x14ac:dyDescent="0.3">
      <c r="F20479"/>
      <c r="G20479"/>
      <c r="H20479"/>
      <c r="I20479"/>
    </row>
    <row r="20480" spans="6:9" x14ac:dyDescent="0.3">
      <c r="F20480"/>
      <c r="G20480"/>
      <c r="H20480"/>
      <c r="I20480"/>
    </row>
    <row r="20481" spans="6:9" x14ac:dyDescent="0.3">
      <c r="F20481"/>
      <c r="G20481"/>
      <c r="H20481"/>
      <c r="I20481"/>
    </row>
    <row r="20482" spans="6:9" x14ac:dyDescent="0.3">
      <c r="F20482"/>
      <c r="G20482"/>
      <c r="H20482"/>
      <c r="I20482"/>
    </row>
    <row r="20483" spans="6:9" x14ac:dyDescent="0.3">
      <c r="F20483"/>
      <c r="G20483"/>
      <c r="H20483"/>
      <c r="I20483"/>
    </row>
    <row r="20484" spans="6:9" x14ac:dyDescent="0.3">
      <c r="F20484"/>
      <c r="G20484"/>
      <c r="H20484"/>
      <c r="I20484"/>
    </row>
    <row r="20485" spans="6:9" x14ac:dyDescent="0.3">
      <c r="F20485"/>
      <c r="G20485"/>
      <c r="H20485"/>
      <c r="I20485"/>
    </row>
    <row r="20486" spans="6:9" x14ac:dyDescent="0.3">
      <c r="F20486"/>
      <c r="G20486"/>
      <c r="H20486"/>
      <c r="I20486"/>
    </row>
    <row r="20487" spans="6:9" x14ac:dyDescent="0.3">
      <c r="F20487"/>
      <c r="G20487"/>
      <c r="H20487"/>
      <c r="I20487"/>
    </row>
    <row r="20488" spans="6:9" x14ac:dyDescent="0.3">
      <c r="F20488"/>
      <c r="G20488"/>
      <c r="H20488"/>
      <c r="I20488"/>
    </row>
    <row r="20489" spans="6:9" x14ac:dyDescent="0.3">
      <c r="F20489"/>
      <c r="G20489"/>
      <c r="H20489"/>
      <c r="I20489"/>
    </row>
    <row r="20490" spans="6:9" x14ac:dyDescent="0.3">
      <c r="F20490"/>
      <c r="G20490"/>
      <c r="H20490"/>
      <c r="I20490"/>
    </row>
    <row r="20491" spans="6:9" x14ac:dyDescent="0.3">
      <c r="F20491"/>
      <c r="G20491"/>
      <c r="H20491"/>
      <c r="I20491"/>
    </row>
    <row r="20492" spans="6:9" x14ac:dyDescent="0.3">
      <c r="F20492"/>
      <c r="G20492"/>
      <c r="H20492"/>
      <c r="I20492"/>
    </row>
    <row r="20493" spans="6:9" x14ac:dyDescent="0.3">
      <c r="F20493"/>
      <c r="G20493"/>
      <c r="H20493"/>
      <c r="I20493"/>
    </row>
    <row r="20494" spans="6:9" x14ac:dyDescent="0.3">
      <c r="F20494"/>
      <c r="G20494"/>
      <c r="H20494"/>
      <c r="I20494"/>
    </row>
    <row r="20495" spans="6:9" x14ac:dyDescent="0.3">
      <c r="F20495"/>
      <c r="G20495"/>
      <c r="H20495"/>
      <c r="I20495"/>
    </row>
    <row r="20496" spans="6:9" x14ac:dyDescent="0.3">
      <c r="F20496"/>
      <c r="G20496"/>
      <c r="H20496"/>
      <c r="I20496"/>
    </row>
    <row r="20497" spans="6:9" x14ac:dyDescent="0.3">
      <c r="F20497"/>
      <c r="G20497"/>
      <c r="H20497"/>
      <c r="I20497"/>
    </row>
    <row r="20498" spans="6:9" x14ac:dyDescent="0.3">
      <c r="F20498"/>
      <c r="G20498"/>
      <c r="H20498"/>
      <c r="I20498"/>
    </row>
    <row r="20499" spans="6:9" x14ac:dyDescent="0.3">
      <c r="F20499"/>
      <c r="G20499"/>
      <c r="H20499"/>
      <c r="I20499"/>
    </row>
    <row r="20500" spans="6:9" x14ac:dyDescent="0.3">
      <c r="F20500"/>
      <c r="G20500"/>
      <c r="H20500"/>
      <c r="I20500"/>
    </row>
    <row r="20501" spans="6:9" x14ac:dyDescent="0.3">
      <c r="F20501"/>
      <c r="G20501"/>
      <c r="H20501"/>
      <c r="I20501"/>
    </row>
    <row r="20502" spans="6:9" x14ac:dyDescent="0.3">
      <c r="F20502"/>
      <c r="G20502"/>
      <c r="H20502"/>
      <c r="I20502"/>
    </row>
    <row r="20503" spans="6:9" x14ac:dyDescent="0.3">
      <c r="F20503"/>
      <c r="G20503"/>
      <c r="H20503"/>
      <c r="I20503"/>
    </row>
    <row r="20504" spans="6:9" x14ac:dyDescent="0.3">
      <c r="F20504"/>
      <c r="G20504"/>
      <c r="H20504"/>
      <c r="I20504"/>
    </row>
    <row r="20505" spans="6:9" x14ac:dyDescent="0.3">
      <c r="F20505"/>
      <c r="G20505"/>
      <c r="H20505"/>
      <c r="I20505"/>
    </row>
    <row r="20506" spans="6:9" x14ac:dyDescent="0.3">
      <c r="F20506"/>
      <c r="G20506"/>
      <c r="H20506"/>
      <c r="I20506"/>
    </row>
    <row r="20507" spans="6:9" x14ac:dyDescent="0.3">
      <c r="F20507"/>
      <c r="G20507"/>
      <c r="H20507"/>
      <c r="I20507"/>
    </row>
    <row r="20508" spans="6:9" x14ac:dyDescent="0.3">
      <c r="F20508"/>
      <c r="G20508"/>
      <c r="H20508"/>
      <c r="I20508"/>
    </row>
    <row r="20509" spans="6:9" x14ac:dyDescent="0.3">
      <c r="F20509"/>
      <c r="G20509"/>
      <c r="H20509"/>
      <c r="I20509"/>
    </row>
    <row r="20510" spans="6:9" x14ac:dyDescent="0.3">
      <c r="F20510"/>
      <c r="G20510"/>
      <c r="H20510"/>
      <c r="I20510"/>
    </row>
    <row r="20511" spans="6:9" x14ac:dyDescent="0.3">
      <c r="F20511"/>
      <c r="G20511"/>
      <c r="H20511"/>
      <c r="I20511"/>
    </row>
    <row r="20512" spans="6:9" x14ac:dyDescent="0.3">
      <c r="F20512"/>
      <c r="G20512"/>
      <c r="H20512"/>
      <c r="I20512"/>
    </row>
    <row r="20513" spans="6:9" x14ac:dyDescent="0.3">
      <c r="F20513"/>
      <c r="G20513"/>
      <c r="H20513"/>
      <c r="I20513"/>
    </row>
    <row r="20514" spans="6:9" x14ac:dyDescent="0.3">
      <c r="F20514"/>
      <c r="G20514"/>
      <c r="H20514"/>
      <c r="I20514"/>
    </row>
    <row r="20515" spans="6:9" x14ac:dyDescent="0.3">
      <c r="F20515"/>
      <c r="G20515"/>
      <c r="H20515"/>
      <c r="I20515"/>
    </row>
    <row r="20516" spans="6:9" x14ac:dyDescent="0.3">
      <c r="F20516"/>
      <c r="G20516"/>
      <c r="H20516"/>
      <c r="I20516"/>
    </row>
    <row r="20517" spans="6:9" x14ac:dyDescent="0.3">
      <c r="F20517"/>
      <c r="G20517"/>
      <c r="H20517"/>
      <c r="I20517"/>
    </row>
    <row r="20518" spans="6:9" x14ac:dyDescent="0.3">
      <c r="F20518"/>
      <c r="G20518"/>
      <c r="H20518"/>
      <c r="I20518"/>
    </row>
    <row r="20519" spans="6:9" x14ac:dyDescent="0.3">
      <c r="F20519"/>
      <c r="G20519"/>
      <c r="H20519"/>
      <c r="I20519"/>
    </row>
    <row r="20520" spans="6:9" x14ac:dyDescent="0.3">
      <c r="F20520"/>
      <c r="G20520"/>
      <c r="H20520"/>
      <c r="I20520"/>
    </row>
    <row r="20521" spans="6:9" x14ac:dyDescent="0.3">
      <c r="F20521"/>
      <c r="G20521"/>
      <c r="H20521"/>
      <c r="I20521"/>
    </row>
    <row r="20522" spans="6:9" x14ac:dyDescent="0.3">
      <c r="F20522"/>
      <c r="G20522"/>
      <c r="H20522"/>
      <c r="I20522"/>
    </row>
    <row r="20523" spans="6:9" x14ac:dyDescent="0.3">
      <c r="F20523"/>
      <c r="G20523"/>
      <c r="H20523"/>
      <c r="I20523"/>
    </row>
    <row r="20524" spans="6:9" x14ac:dyDescent="0.3">
      <c r="F20524"/>
      <c r="G20524"/>
      <c r="H20524"/>
      <c r="I20524"/>
    </row>
    <row r="20525" spans="6:9" x14ac:dyDescent="0.3">
      <c r="F20525"/>
      <c r="G20525"/>
      <c r="H20525"/>
      <c r="I20525"/>
    </row>
    <row r="20526" spans="6:9" x14ac:dyDescent="0.3">
      <c r="F20526"/>
      <c r="G20526"/>
      <c r="H20526"/>
      <c r="I20526"/>
    </row>
    <row r="20527" spans="6:9" x14ac:dyDescent="0.3">
      <c r="F20527"/>
      <c r="G20527"/>
      <c r="H20527"/>
      <c r="I20527"/>
    </row>
    <row r="20528" spans="6:9" x14ac:dyDescent="0.3">
      <c r="F20528"/>
      <c r="G20528"/>
      <c r="H20528"/>
      <c r="I20528"/>
    </row>
    <row r="20529" spans="6:9" x14ac:dyDescent="0.3">
      <c r="F20529"/>
      <c r="G20529"/>
      <c r="H20529"/>
      <c r="I20529"/>
    </row>
    <row r="20530" spans="6:9" x14ac:dyDescent="0.3">
      <c r="F20530"/>
      <c r="G20530"/>
      <c r="H20530"/>
      <c r="I20530"/>
    </row>
    <row r="20531" spans="6:9" x14ac:dyDescent="0.3">
      <c r="F20531"/>
      <c r="G20531"/>
      <c r="H20531"/>
      <c r="I20531"/>
    </row>
    <row r="20532" spans="6:9" x14ac:dyDescent="0.3">
      <c r="F20532"/>
      <c r="G20532"/>
      <c r="H20532"/>
      <c r="I20532"/>
    </row>
    <row r="20533" spans="6:9" x14ac:dyDescent="0.3">
      <c r="F20533"/>
      <c r="G20533"/>
      <c r="H20533"/>
      <c r="I20533"/>
    </row>
    <row r="20534" spans="6:9" x14ac:dyDescent="0.3">
      <c r="F20534"/>
      <c r="G20534"/>
      <c r="H20534"/>
      <c r="I20534"/>
    </row>
    <row r="20535" spans="6:9" x14ac:dyDescent="0.3">
      <c r="F20535"/>
      <c r="G20535"/>
      <c r="H20535"/>
      <c r="I20535"/>
    </row>
    <row r="20536" spans="6:9" x14ac:dyDescent="0.3">
      <c r="F20536"/>
      <c r="G20536"/>
      <c r="H20536"/>
      <c r="I20536"/>
    </row>
    <row r="20537" spans="6:9" x14ac:dyDescent="0.3">
      <c r="F20537"/>
      <c r="G20537"/>
      <c r="H20537"/>
      <c r="I20537"/>
    </row>
    <row r="20538" spans="6:9" x14ac:dyDescent="0.3">
      <c r="F20538"/>
      <c r="G20538"/>
      <c r="H20538"/>
      <c r="I20538"/>
    </row>
    <row r="20539" spans="6:9" x14ac:dyDescent="0.3">
      <c r="F20539"/>
      <c r="G20539"/>
      <c r="H20539"/>
      <c r="I20539"/>
    </row>
    <row r="20540" spans="6:9" x14ac:dyDescent="0.3">
      <c r="F20540"/>
      <c r="G20540"/>
      <c r="H20540"/>
      <c r="I20540"/>
    </row>
    <row r="20541" spans="6:9" x14ac:dyDescent="0.3">
      <c r="F20541"/>
      <c r="G20541"/>
      <c r="H20541"/>
      <c r="I20541"/>
    </row>
    <row r="20542" spans="6:9" x14ac:dyDescent="0.3">
      <c r="F20542"/>
      <c r="G20542"/>
      <c r="H20542"/>
      <c r="I20542"/>
    </row>
    <row r="20543" spans="6:9" x14ac:dyDescent="0.3">
      <c r="F20543"/>
      <c r="G20543"/>
      <c r="H20543"/>
      <c r="I20543"/>
    </row>
    <row r="20544" spans="6:9" x14ac:dyDescent="0.3">
      <c r="F20544"/>
      <c r="G20544"/>
      <c r="H20544"/>
      <c r="I20544"/>
    </row>
    <row r="20545" spans="6:9" x14ac:dyDescent="0.3">
      <c r="F20545"/>
      <c r="G20545"/>
      <c r="H20545"/>
      <c r="I20545"/>
    </row>
    <row r="20546" spans="6:9" x14ac:dyDescent="0.3">
      <c r="F20546"/>
      <c r="G20546"/>
      <c r="H20546"/>
      <c r="I20546"/>
    </row>
    <row r="20547" spans="6:9" x14ac:dyDescent="0.3">
      <c r="F20547"/>
      <c r="G20547"/>
      <c r="H20547"/>
      <c r="I20547"/>
    </row>
    <row r="20548" spans="6:9" x14ac:dyDescent="0.3">
      <c r="F20548"/>
      <c r="G20548"/>
      <c r="H20548"/>
      <c r="I20548"/>
    </row>
    <row r="20549" spans="6:9" x14ac:dyDescent="0.3">
      <c r="F20549"/>
      <c r="G20549"/>
      <c r="H20549"/>
      <c r="I20549"/>
    </row>
    <row r="20550" spans="6:9" x14ac:dyDescent="0.3">
      <c r="F20550"/>
      <c r="G20550"/>
      <c r="H20550"/>
      <c r="I20550"/>
    </row>
    <row r="20551" spans="6:9" x14ac:dyDescent="0.3">
      <c r="F20551"/>
      <c r="G20551"/>
      <c r="H20551"/>
      <c r="I20551"/>
    </row>
    <row r="20552" spans="6:9" x14ac:dyDescent="0.3">
      <c r="F20552"/>
      <c r="G20552"/>
      <c r="H20552"/>
      <c r="I20552"/>
    </row>
    <row r="20553" spans="6:9" x14ac:dyDescent="0.3">
      <c r="F20553"/>
      <c r="G20553"/>
      <c r="H20553"/>
      <c r="I20553"/>
    </row>
    <row r="20554" spans="6:9" x14ac:dyDescent="0.3">
      <c r="F20554"/>
      <c r="G20554"/>
      <c r="H20554"/>
      <c r="I20554"/>
    </row>
    <row r="20555" spans="6:9" x14ac:dyDescent="0.3">
      <c r="F20555"/>
      <c r="G20555"/>
      <c r="H20555"/>
      <c r="I20555"/>
    </row>
    <row r="20556" spans="6:9" x14ac:dyDescent="0.3">
      <c r="F20556"/>
      <c r="G20556"/>
      <c r="H20556"/>
      <c r="I20556"/>
    </row>
    <row r="20557" spans="6:9" x14ac:dyDescent="0.3">
      <c r="F20557"/>
      <c r="G20557"/>
      <c r="H20557"/>
      <c r="I20557"/>
    </row>
    <row r="20558" spans="6:9" x14ac:dyDescent="0.3">
      <c r="F20558"/>
      <c r="G20558"/>
      <c r="H20558"/>
      <c r="I20558"/>
    </row>
    <row r="20559" spans="6:9" x14ac:dyDescent="0.3">
      <c r="F20559"/>
      <c r="G20559"/>
      <c r="H20559"/>
      <c r="I20559"/>
    </row>
    <row r="20560" spans="6:9" x14ac:dyDescent="0.3">
      <c r="F20560"/>
      <c r="G20560"/>
      <c r="H20560"/>
      <c r="I20560"/>
    </row>
    <row r="20561" spans="6:9" x14ac:dyDescent="0.3">
      <c r="F20561"/>
      <c r="G20561"/>
      <c r="H20561"/>
      <c r="I20561"/>
    </row>
    <row r="20562" spans="6:9" x14ac:dyDescent="0.3">
      <c r="F20562"/>
      <c r="G20562"/>
      <c r="H20562"/>
      <c r="I20562"/>
    </row>
    <row r="20563" spans="6:9" x14ac:dyDescent="0.3">
      <c r="F20563"/>
      <c r="G20563"/>
      <c r="H20563"/>
      <c r="I20563"/>
    </row>
    <row r="20564" spans="6:9" x14ac:dyDescent="0.3">
      <c r="F20564"/>
      <c r="G20564"/>
      <c r="H20564"/>
      <c r="I20564"/>
    </row>
    <row r="20565" spans="6:9" x14ac:dyDescent="0.3">
      <c r="F20565"/>
      <c r="G20565"/>
      <c r="H20565"/>
      <c r="I20565"/>
    </row>
    <row r="20566" spans="6:9" x14ac:dyDescent="0.3">
      <c r="F20566"/>
      <c r="G20566"/>
      <c r="H20566"/>
      <c r="I20566"/>
    </row>
    <row r="20567" spans="6:9" x14ac:dyDescent="0.3">
      <c r="F20567"/>
      <c r="G20567"/>
      <c r="H20567"/>
      <c r="I20567"/>
    </row>
    <row r="20568" spans="6:9" x14ac:dyDescent="0.3">
      <c r="F20568"/>
      <c r="G20568"/>
      <c r="H20568"/>
      <c r="I20568"/>
    </row>
    <row r="20569" spans="6:9" x14ac:dyDescent="0.3">
      <c r="F20569"/>
      <c r="G20569"/>
      <c r="H20569"/>
      <c r="I20569"/>
    </row>
    <row r="20570" spans="6:9" x14ac:dyDescent="0.3">
      <c r="F20570"/>
      <c r="G20570"/>
      <c r="H20570"/>
      <c r="I20570"/>
    </row>
    <row r="20571" spans="6:9" x14ac:dyDescent="0.3">
      <c r="F20571"/>
      <c r="G20571"/>
      <c r="H20571"/>
      <c r="I20571"/>
    </row>
    <row r="20572" spans="6:9" x14ac:dyDescent="0.3">
      <c r="F20572"/>
      <c r="G20572"/>
      <c r="H20572"/>
      <c r="I20572"/>
    </row>
    <row r="20573" spans="6:9" x14ac:dyDescent="0.3">
      <c r="F20573"/>
      <c r="G20573"/>
      <c r="H20573"/>
      <c r="I20573"/>
    </row>
    <row r="20574" spans="6:9" x14ac:dyDescent="0.3">
      <c r="F20574"/>
      <c r="G20574"/>
      <c r="H20574"/>
      <c r="I20574"/>
    </row>
    <row r="20575" spans="6:9" x14ac:dyDescent="0.3">
      <c r="F20575"/>
      <c r="G20575"/>
      <c r="H20575"/>
      <c r="I20575"/>
    </row>
    <row r="20576" spans="6:9" x14ac:dyDescent="0.3">
      <c r="F20576"/>
      <c r="G20576"/>
      <c r="H20576"/>
      <c r="I20576"/>
    </row>
    <row r="20577" spans="6:9" x14ac:dyDescent="0.3">
      <c r="F20577"/>
      <c r="G20577"/>
      <c r="H20577"/>
      <c r="I20577"/>
    </row>
    <row r="20578" spans="6:9" x14ac:dyDescent="0.3">
      <c r="F20578"/>
      <c r="G20578"/>
      <c r="H20578"/>
      <c r="I20578"/>
    </row>
    <row r="20579" spans="6:9" x14ac:dyDescent="0.3">
      <c r="F20579"/>
      <c r="G20579"/>
      <c r="H20579"/>
      <c r="I20579"/>
    </row>
    <row r="20580" spans="6:9" x14ac:dyDescent="0.3">
      <c r="F20580"/>
      <c r="G20580"/>
      <c r="H20580"/>
      <c r="I20580"/>
    </row>
    <row r="20581" spans="6:9" x14ac:dyDescent="0.3">
      <c r="F20581"/>
      <c r="G20581"/>
      <c r="H20581"/>
      <c r="I20581"/>
    </row>
    <row r="20582" spans="6:9" x14ac:dyDescent="0.3">
      <c r="F20582"/>
      <c r="G20582"/>
      <c r="H20582"/>
      <c r="I20582"/>
    </row>
    <row r="20583" spans="6:9" x14ac:dyDescent="0.3">
      <c r="F20583"/>
      <c r="G20583"/>
      <c r="H20583"/>
      <c r="I20583"/>
    </row>
    <row r="20584" spans="6:9" x14ac:dyDescent="0.3">
      <c r="F20584"/>
      <c r="G20584"/>
      <c r="H20584"/>
      <c r="I20584"/>
    </row>
    <row r="20585" spans="6:9" x14ac:dyDescent="0.3">
      <c r="F20585"/>
      <c r="G20585"/>
      <c r="H20585"/>
      <c r="I20585"/>
    </row>
    <row r="20586" spans="6:9" x14ac:dyDescent="0.3">
      <c r="F20586"/>
      <c r="G20586"/>
      <c r="H20586"/>
      <c r="I20586"/>
    </row>
    <row r="20587" spans="6:9" x14ac:dyDescent="0.3">
      <c r="F20587"/>
      <c r="G20587"/>
      <c r="H20587"/>
      <c r="I20587"/>
    </row>
    <row r="20588" spans="6:9" x14ac:dyDescent="0.3">
      <c r="F20588"/>
      <c r="G20588"/>
      <c r="H20588"/>
      <c r="I20588"/>
    </row>
    <row r="20589" spans="6:9" x14ac:dyDescent="0.3">
      <c r="F20589"/>
      <c r="G20589"/>
      <c r="H20589"/>
      <c r="I20589"/>
    </row>
    <row r="20590" spans="6:9" x14ac:dyDescent="0.3">
      <c r="F20590"/>
      <c r="G20590"/>
      <c r="H20590"/>
      <c r="I20590"/>
    </row>
    <row r="20591" spans="6:9" x14ac:dyDescent="0.3">
      <c r="F20591"/>
      <c r="G20591"/>
      <c r="H20591"/>
      <c r="I20591"/>
    </row>
    <row r="20592" spans="6:9" x14ac:dyDescent="0.3">
      <c r="F20592"/>
      <c r="G20592"/>
      <c r="H20592"/>
      <c r="I20592"/>
    </row>
    <row r="20593" spans="6:9" x14ac:dyDescent="0.3">
      <c r="F20593"/>
      <c r="G20593"/>
      <c r="H20593"/>
      <c r="I20593"/>
    </row>
    <row r="20594" spans="6:9" x14ac:dyDescent="0.3">
      <c r="F20594"/>
      <c r="G20594"/>
      <c r="H20594"/>
      <c r="I20594"/>
    </row>
    <row r="20595" spans="6:9" x14ac:dyDescent="0.3">
      <c r="F20595"/>
      <c r="G20595"/>
      <c r="H20595"/>
      <c r="I20595"/>
    </row>
    <row r="20596" spans="6:9" x14ac:dyDescent="0.3">
      <c r="F20596"/>
      <c r="G20596"/>
      <c r="H20596"/>
      <c r="I20596"/>
    </row>
    <row r="20597" spans="6:9" x14ac:dyDescent="0.3">
      <c r="F20597"/>
      <c r="G20597"/>
      <c r="H20597"/>
      <c r="I20597"/>
    </row>
    <row r="20598" spans="6:9" x14ac:dyDescent="0.3">
      <c r="F20598"/>
      <c r="G20598"/>
      <c r="H20598"/>
      <c r="I20598"/>
    </row>
    <row r="20599" spans="6:9" x14ac:dyDescent="0.3">
      <c r="F20599"/>
      <c r="G20599"/>
      <c r="H20599"/>
      <c r="I20599"/>
    </row>
    <row r="20600" spans="6:9" x14ac:dyDescent="0.3">
      <c r="F20600"/>
      <c r="G20600"/>
      <c r="H20600"/>
      <c r="I20600"/>
    </row>
    <row r="20601" spans="6:9" x14ac:dyDescent="0.3">
      <c r="F20601"/>
      <c r="G20601"/>
      <c r="H20601"/>
      <c r="I20601"/>
    </row>
    <row r="20602" spans="6:9" x14ac:dyDescent="0.3">
      <c r="F20602"/>
      <c r="G20602"/>
      <c r="H20602"/>
      <c r="I20602"/>
    </row>
    <row r="20603" spans="6:9" x14ac:dyDescent="0.3">
      <c r="F20603"/>
      <c r="G20603"/>
      <c r="H20603"/>
      <c r="I20603"/>
    </row>
    <row r="20604" spans="6:9" x14ac:dyDescent="0.3">
      <c r="F20604"/>
      <c r="G20604"/>
      <c r="H20604"/>
      <c r="I20604"/>
    </row>
    <row r="20605" spans="6:9" x14ac:dyDescent="0.3">
      <c r="F20605"/>
      <c r="G20605"/>
      <c r="H20605"/>
      <c r="I20605"/>
    </row>
    <row r="20606" spans="6:9" x14ac:dyDescent="0.3">
      <c r="F20606"/>
      <c r="G20606"/>
      <c r="H20606"/>
      <c r="I20606"/>
    </row>
    <row r="20607" spans="6:9" x14ac:dyDescent="0.3">
      <c r="F20607"/>
      <c r="G20607"/>
      <c r="H20607"/>
      <c r="I20607"/>
    </row>
    <row r="20608" spans="6:9" x14ac:dyDescent="0.3">
      <c r="F20608"/>
      <c r="G20608"/>
      <c r="H20608"/>
      <c r="I20608"/>
    </row>
    <row r="20609" spans="6:9" x14ac:dyDescent="0.3">
      <c r="F20609"/>
      <c r="G20609"/>
      <c r="H20609"/>
      <c r="I20609"/>
    </row>
    <row r="20610" spans="6:9" x14ac:dyDescent="0.3">
      <c r="F20610"/>
      <c r="G20610"/>
      <c r="H20610"/>
      <c r="I20610"/>
    </row>
    <row r="20611" spans="6:9" x14ac:dyDescent="0.3">
      <c r="F20611"/>
      <c r="G20611"/>
      <c r="H20611"/>
      <c r="I20611"/>
    </row>
    <row r="20612" spans="6:9" x14ac:dyDescent="0.3">
      <c r="F20612"/>
      <c r="G20612"/>
      <c r="H20612"/>
      <c r="I20612"/>
    </row>
    <row r="20613" spans="6:9" x14ac:dyDescent="0.3">
      <c r="F20613"/>
      <c r="G20613"/>
      <c r="H20613"/>
      <c r="I20613"/>
    </row>
    <row r="20614" spans="6:9" x14ac:dyDescent="0.3">
      <c r="F20614"/>
      <c r="G20614"/>
      <c r="H20614"/>
      <c r="I20614"/>
    </row>
    <row r="20615" spans="6:9" x14ac:dyDescent="0.3">
      <c r="F20615"/>
      <c r="G20615"/>
      <c r="H20615"/>
      <c r="I20615"/>
    </row>
    <row r="20616" spans="6:9" x14ac:dyDescent="0.3">
      <c r="F20616"/>
      <c r="G20616"/>
      <c r="H20616"/>
      <c r="I20616"/>
    </row>
    <row r="20617" spans="6:9" x14ac:dyDescent="0.3">
      <c r="F20617"/>
      <c r="G20617"/>
      <c r="H20617"/>
      <c r="I20617"/>
    </row>
    <row r="20618" spans="6:9" x14ac:dyDescent="0.3">
      <c r="F20618"/>
      <c r="G20618"/>
      <c r="H20618"/>
      <c r="I20618"/>
    </row>
    <row r="20619" spans="6:9" x14ac:dyDescent="0.3">
      <c r="F20619"/>
      <c r="G20619"/>
      <c r="H20619"/>
      <c r="I20619"/>
    </row>
    <row r="20620" spans="6:9" x14ac:dyDescent="0.3">
      <c r="F20620"/>
      <c r="G20620"/>
      <c r="H20620"/>
      <c r="I20620"/>
    </row>
    <row r="20621" spans="6:9" x14ac:dyDescent="0.3">
      <c r="F20621"/>
      <c r="G20621"/>
      <c r="H20621"/>
      <c r="I20621"/>
    </row>
    <row r="20622" spans="6:9" x14ac:dyDescent="0.3">
      <c r="F20622"/>
      <c r="G20622"/>
      <c r="H20622"/>
      <c r="I20622"/>
    </row>
    <row r="20623" spans="6:9" x14ac:dyDescent="0.3">
      <c r="F20623"/>
      <c r="G20623"/>
      <c r="H20623"/>
      <c r="I20623"/>
    </row>
    <row r="20624" spans="6:9" x14ac:dyDescent="0.3">
      <c r="F20624"/>
      <c r="G20624"/>
      <c r="H20624"/>
      <c r="I20624"/>
    </row>
    <row r="20625" spans="6:9" x14ac:dyDescent="0.3">
      <c r="F20625"/>
      <c r="G20625"/>
      <c r="H20625"/>
      <c r="I20625"/>
    </row>
    <row r="20626" spans="6:9" x14ac:dyDescent="0.3">
      <c r="F20626"/>
      <c r="G20626"/>
      <c r="H20626"/>
      <c r="I20626"/>
    </row>
    <row r="20627" spans="6:9" x14ac:dyDescent="0.3">
      <c r="F20627"/>
      <c r="G20627"/>
      <c r="H20627"/>
      <c r="I20627"/>
    </row>
    <row r="20628" spans="6:9" x14ac:dyDescent="0.3">
      <c r="F20628"/>
      <c r="G20628"/>
      <c r="H20628"/>
      <c r="I20628"/>
    </row>
    <row r="20629" spans="6:9" x14ac:dyDescent="0.3">
      <c r="F20629"/>
      <c r="G20629"/>
      <c r="H20629"/>
      <c r="I20629"/>
    </row>
    <row r="20630" spans="6:9" x14ac:dyDescent="0.3">
      <c r="F20630"/>
      <c r="G20630"/>
      <c r="H20630"/>
      <c r="I20630"/>
    </row>
    <row r="20631" spans="6:9" x14ac:dyDescent="0.3">
      <c r="F20631"/>
      <c r="G20631"/>
      <c r="H20631"/>
      <c r="I20631"/>
    </row>
    <row r="20632" spans="6:9" x14ac:dyDescent="0.3">
      <c r="F20632"/>
      <c r="G20632"/>
      <c r="H20632"/>
      <c r="I20632"/>
    </row>
    <row r="20633" spans="6:9" x14ac:dyDescent="0.3">
      <c r="F20633"/>
      <c r="G20633"/>
      <c r="H20633"/>
      <c r="I20633"/>
    </row>
    <row r="20634" spans="6:9" x14ac:dyDescent="0.3">
      <c r="F20634"/>
      <c r="G20634"/>
      <c r="H20634"/>
      <c r="I20634"/>
    </row>
    <row r="20635" spans="6:9" x14ac:dyDescent="0.3">
      <c r="F20635"/>
      <c r="G20635"/>
      <c r="H20635"/>
      <c r="I20635"/>
    </row>
    <row r="20636" spans="6:9" x14ac:dyDescent="0.3">
      <c r="F20636"/>
      <c r="G20636"/>
      <c r="H20636"/>
      <c r="I20636"/>
    </row>
    <row r="20637" spans="6:9" x14ac:dyDescent="0.3">
      <c r="F20637"/>
      <c r="G20637"/>
      <c r="H20637"/>
      <c r="I20637"/>
    </row>
    <row r="20638" spans="6:9" x14ac:dyDescent="0.3">
      <c r="F20638"/>
      <c r="G20638"/>
      <c r="H20638"/>
      <c r="I20638"/>
    </row>
    <row r="20639" spans="6:9" x14ac:dyDescent="0.3">
      <c r="F20639"/>
      <c r="G20639"/>
      <c r="H20639"/>
      <c r="I20639"/>
    </row>
    <row r="20640" spans="6:9" x14ac:dyDescent="0.3">
      <c r="F20640"/>
      <c r="G20640"/>
      <c r="H20640"/>
      <c r="I20640"/>
    </row>
    <row r="20641" spans="6:9" x14ac:dyDescent="0.3">
      <c r="F20641"/>
      <c r="G20641"/>
      <c r="H20641"/>
      <c r="I20641"/>
    </row>
    <row r="20642" spans="6:9" x14ac:dyDescent="0.3">
      <c r="F20642"/>
      <c r="G20642"/>
      <c r="H20642"/>
      <c r="I20642"/>
    </row>
    <row r="20643" spans="6:9" x14ac:dyDescent="0.3">
      <c r="F20643"/>
      <c r="G20643"/>
      <c r="H20643"/>
      <c r="I20643"/>
    </row>
    <row r="20644" spans="6:9" x14ac:dyDescent="0.3">
      <c r="F20644"/>
      <c r="G20644"/>
      <c r="H20644"/>
      <c r="I20644"/>
    </row>
    <row r="20645" spans="6:9" x14ac:dyDescent="0.3">
      <c r="F20645"/>
      <c r="G20645"/>
      <c r="H20645"/>
      <c r="I20645"/>
    </row>
    <row r="20646" spans="6:9" x14ac:dyDescent="0.3">
      <c r="F20646"/>
      <c r="G20646"/>
      <c r="H20646"/>
      <c r="I20646"/>
    </row>
    <row r="20647" spans="6:9" x14ac:dyDescent="0.3">
      <c r="F20647"/>
      <c r="G20647"/>
      <c r="H20647"/>
      <c r="I20647"/>
    </row>
    <row r="20648" spans="6:9" x14ac:dyDescent="0.3">
      <c r="F20648"/>
      <c r="G20648"/>
      <c r="H20648"/>
      <c r="I20648"/>
    </row>
    <row r="20649" spans="6:9" x14ac:dyDescent="0.3">
      <c r="F20649"/>
      <c r="G20649"/>
      <c r="H20649"/>
      <c r="I20649"/>
    </row>
    <row r="20650" spans="6:9" x14ac:dyDescent="0.3">
      <c r="F20650"/>
      <c r="G20650"/>
      <c r="H20650"/>
      <c r="I20650"/>
    </row>
    <row r="20651" spans="6:9" x14ac:dyDescent="0.3">
      <c r="F20651"/>
      <c r="G20651"/>
      <c r="H20651"/>
      <c r="I20651"/>
    </row>
    <row r="20652" spans="6:9" x14ac:dyDescent="0.3">
      <c r="F20652"/>
      <c r="G20652"/>
      <c r="H20652"/>
      <c r="I20652"/>
    </row>
    <row r="20653" spans="6:9" x14ac:dyDescent="0.3">
      <c r="F20653"/>
      <c r="G20653"/>
      <c r="H20653"/>
      <c r="I20653"/>
    </row>
    <row r="20654" spans="6:9" x14ac:dyDescent="0.3">
      <c r="F20654"/>
      <c r="G20654"/>
      <c r="H20654"/>
      <c r="I20654"/>
    </row>
    <row r="20655" spans="6:9" x14ac:dyDescent="0.3">
      <c r="F20655"/>
      <c r="G20655"/>
      <c r="H20655"/>
      <c r="I20655"/>
    </row>
    <row r="20656" spans="6:9" x14ac:dyDescent="0.3">
      <c r="F20656"/>
      <c r="G20656"/>
      <c r="H20656"/>
      <c r="I20656"/>
    </row>
    <row r="20657" spans="6:9" x14ac:dyDescent="0.3">
      <c r="F20657"/>
      <c r="G20657"/>
      <c r="H20657"/>
      <c r="I20657"/>
    </row>
    <row r="20658" spans="6:9" x14ac:dyDescent="0.3">
      <c r="F20658"/>
      <c r="G20658"/>
      <c r="H20658"/>
      <c r="I20658"/>
    </row>
    <row r="20659" spans="6:9" x14ac:dyDescent="0.3">
      <c r="F20659"/>
      <c r="G20659"/>
      <c r="H20659"/>
      <c r="I20659"/>
    </row>
    <row r="20660" spans="6:9" x14ac:dyDescent="0.3">
      <c r="F20660"/>
      <c r="G20660"/>
      <c r="H20660"/>
      <c r="I20660"/>
    </row>
    <row r="20661" spans="6:9" x14ac:dyDescent="0.3">
      <c r="F20661"/>
      <c r="G20661"/>
      <c r="H20661"/>
      <c r="I20661"/>
    </row>
    <row r="20662" spans="6:9" x14ac:dyDescent="0.3">
      <c r="F20662"/>
      <c r="G20662"/>
      <c r="H20662"/>
      <c r="I20662"/>
    </row>
    <row r="20663" spans="6:9" x14ac:dyDescent="0.3">
      <c r="F20663"/>
      <c r="G20663"/>
      <c r="H20663"/>
      <c r="I20663"/>
    </row>
    <row r="20664" spans="6:9" x14ac:dyDescent="0.3">
      <c r="F20664"/>
      <c r="G20664"/>
      <c r="H20664"/>
      <c r="I20664"/>
    </row>
    <row r="20665" spans="6:9" x14ac:dyDescent="0.3">
      <c r="F20665"/>
      <c r="G20665"/>
      <c r="H20665"/>
      <c r="I20665"/>
    </row>
    <row r="20666" spans="6:9" x14ac:dyDescent="0.3">
      <c r="F20666"/>
      <c r="G20666"/>
      <c r="H20666"/>
      <c r="I20666"/>
    </row>
    <row r="20667" spans="6:9" x14ac:dyDescent="0.3">
      <c r="F20667"/>
      <c r="G20667"/>
      <c r="H20667"/>
      <c r="I20667"/>
    </row>
    <row r="20668" spans="6:9" x14ac:dyDescent="0.3">
      <c r="F20668"/>
      <c r="G20668"/>
      <c r="H20668"/>
      <c r="I20668"/>
    </row>
    <row r="20669" spans="6:9" x14ac:dyDescent="0.3">
      <c r="F20669"/>
      <c r="G20669"/>
      <c r="H20669"/>
      <c r="I20669"/>
    </row>
    <row r="20670" spans="6:9" x14ac:dyDescent="0.3">
      <c r="F20670"/>
      <c r="G20670"/>
      <c r="H20670"/>
      <c r="I20670"/>
    </row>
    <row r="20671" spans="6:9" x14ac:dyDescent="0.3">
      <c r="F20671"/>
      <c r="G20671"/>
      <c r="H20671"/>
      <c r="I20671"/>
    </row>
    <row r="20672" spans="6:9" x14ac:dyDescent="0.3">
      <c r="F20672"/>
      <c r="G20672"/>
      <c r="H20672"/>
      <c r="I20672"/>
    </row>
    <row r="20673" spans="6:9" x14ac:dyDescent="0.3">
      <c r="F20673"/>
      <c r="G20673"/>
      <c r="H20673"/>
      <c r="I20673"/>
    </row>
    <row r="20674" spans="6:9" x14ac:dyDescent="0.3">
      <c r="F20674"/>
      <c r="G20674"/>
      <c r="H20674"/>
      <c r="I20674"/>
    </row>
    <row r="20675" spans="6:9" x14ac:dyDescent="0.3">
      <c r="F20675"/>
      <c r="G20675"/>
      <c r="H20675"/>
      <c r="I20675"/>
    </row>
    <row r="20676" spans="6:9" x14ac:dyDescent="0.3">
      <c r="F20676"/>
      <c r="G20676"/>
      <c r="H20676"/>
      <c r="I20676"/>
    </row>
    <row r="20677" spans="6:9" x14ac:dyDescent="0.3">
      <c r="F20677"/>
      <c r="G20677"/>
      <c r="H20677"/>
      <c r="I20677"/>
    </row>
    <row r="20678" spans="6:9" x14ac:dyDescent="0.3">
      <c r="F20678"/>
      <c r="G20678"/>
      <c r="H20678"/>
      <c r="I20678"/>
    </row>
    <row r="20679" spans="6:9" x14ac:dyDescent="0.3">
      <c r="F20679"/>
      <c r="G20679"/>
      <c r="H20679"/>
      <c r="I20679"/>
    </row>
    <row r="20680" spans="6:9" x14ac:dyDescent="0.3">
      <c r="F20680"/>
      <c r="G20680"/>
      <c r="H20680"/>
      <c r="I20680"/>
    </row>
    <row r="20681" spans="6:9" x14ac:dyDescent="0.3">
      <c r="F20681"/>
      <c r="G20681"/>
      <c r="H20681"/>
      <c r="I20681"/>
    </row>
    <row r="20682" spans="6:9" x14ac:dyDescent="0.3">
      <c r="F20682"/>
      <c r="G20682"/>
      <c r="H20682"/>
      <c r="I20682"/>
    </row>
    <row r="20683" spans="6:9" x14ac:dyDescent="0.3">
      <c r="F20683"/>
      <c r="G20683"/>
      <c r="H20683"/>
      <c r="I20683"/>
    </row>
    <row r="20684" spans="6:9" x14ac:dyDescent="0.3">
      <c r="F20684"/>
      <c r="G20684"/>
      <c r="H20684"/>
      <c r="I20684"/>
    </row>
    <row r="20685" spans="6:9" x14ac:dyDescent="0.3">
      <c r="F20685"/>
      <c r="G20685"/>
      <c r="H20685"/>
      <c r="I20685"/>
    </row>
    <row r="20686" spans="6:9" x14ac:dyDescent="0.3">
      <c r="F20686"/>
      <c r="G20686"/>
      <c r="H20686"/>
      <c r="I20686"/>
    </row>
    <row r="20687" spans="6:9" x14ac:dyDescent="0.3">
      <c r="F20687"/>
      <c r="G20687"/>
      <c r="H20687"/>
      <c r="I20687"/>
    </row>
    <row r="20688" spans="6:9" x14ac:dyDescent="0.3">
      <c r="F20688"/>
      <c r="G20688"/>
      <c r="H20688"/>
      <c r="I20688"/>
    </row>
    <row r="20689" spans="6:9" x14ac:dyDescent="0.3">
      <c r="F20689"/>
      <c r="G20689"/>
      <c r="H20689"/>
      <c r="I20689"/>
    </row>
    <row r="20690" spans="6:9" x14ac:dyDescent="0.3">
      <c r="F20690"/>
      <c r="G20690"/>
      <c r="H20690"/>
      <c r="I20690"/>
    </row>
    <row r="20691" spans="6:9" x14ac:dyDescent="0.3">
      <c r="F20691"/>
      <c r="G20691"/>
      <c r="H20691"/>
      <c r="I20691"/>
    </row>
    <row r="20692" spans="6:9" x14ac:dyDescent="0.3">
      <c r="F20692"/>
      <c r="G20692"/>
      <c r="H20692"/>
      <c r="I20692"/>
    </row>
    <row r="20693" spans="6:9" x14ac:dyDescent="0.3">
      <c r="F20693"/>
      <c r="G20693"/>
      <c r="H20693"/>
      <c r="I20693"/>
    </row>
    <row r="20694" spans="6:9" x14ac:dyDescent="0.3">
      <c r="F20694"/>
      <c r="G20694"/>
      <c r="H20694"/>
      <c r="I20694"/>
    </row>
    <row r="20695" spans="6:9" x14ac:dyDescent="0.3">
      <c r="F20695"/>
      <c r="G20695"/>
      <c r="H20695"/>
      <c r="I20695"/>
    </row>
    <row r="20696" spans="6:9" x14ac:dyDescent="0.3">
      <c r="F20696"/>
      <c r="G20696"/>
      <c r="H20696"/>
      <c r="I20696"/>
    </row>
    <row r="20697" spans="6:9" x14ac:dyDescent="0.3">
      <c r="F20697"/>
      <c r="G20697"/>
      <c r="H20697"/>
      <c r="I20697"/>
    </row>
    <row r="20698" spans="6:9" x14ac:dyDescent="0.3">
      <c r="F20698"/>
      <c r="G20698"/>
      <c r="H20698"/>
      <c r="I20698"/>
    </row>
    <row r="20699" spans="6:9" x14ac:dyDescent="0.3">
      <c r="F20699"/>
      <c r="G20699"/>
      <c r="H20699"/>
      <c r="I20699"/>
    </row>
    <row r="20700" spans="6:9" x14ac:dyDescent="0.3">
      <c r="F20700"/>
      <c r="G20700"/>
      <c r="H20700"/>
      <c r="I20700"/>
    </row>
    <row r="20701" spans="6:9" x14ac:dyDescent="0.3">
      <c r="F20701"/>
      <c r="G20701"/>
      <c r="H20701"/>
      <c r="I20701"/>
    </row>
    <row r="20702" spans="6:9" x14ac:dyDescent="0.3">
      <c r="F20702"/>
      <c r="G20702"/>
      <c r="H20702"/>
      <c r="I20702"/>
    </row>
    <row r="20703" spans="6:9" x14ac:dyDescent="0.3">
      <c r="F20703"/>
      <c r="G20703"/>
      <c r="H20703"/>
      <c r="I20703"/>
    </row>
    <row r="20704" spans="6:9" x14ac:dyDescent="0.3">
      <c r="F20704"/>
      <c r="G20704"/>
      <c r="H20704"/>
      <c r="I20704"/>
    </row>
    <row r="20705" spans="6:9" x14ac:dyDescent="0.3">
      <c r="F20705"/>
      <c r="G20705"/>
      <c r="H20705"/>
      <c r="I20705"/>
    </row>
    <row r="20706" spans="6:9" x14ac:dyDescent="0.3">
      <c r="F20706"/>
      <c r="G20706"/>
      <c r="H20706"/>
      <c r="I20706"/>
    </row>
    <row r="20707" spans="6:9" x14ac:dyDescent="0.3">
      <c r="F20707"/>
      <c r="G20707"/>
      <c r="H20707"/>
      <c r="I20707"/>
    </row>
    <row r="20708" spans="6:9" x14ac:dyDescent="0.3">
      <c r="F20708"/>
      <c r="G20708"/>
      <c r="H20708"/>
      <c r="I20708"/>
    </row>
    <row r="20709" spans="6:9" x14ac:dyDescent="0.3">
      <c r="F20709"/>
      <c r="G20709"/>
      <c r="H20709"/>
      <c r="I20709"/>
    </row>
    <row r="20710" spans="6:9" x14ac:dyDescent="0.3">
      <c r="F20710"/>
      <c r="G20710"/>
      <c r="H20710"/>
      <c r="I20710"/>
    </row>
    <row r="20711" spans="6:9" x14ac:dyDescent="0.3">
      <c r="F20711"/>
      <c r="G20711"/>
      <c r="H20711"/>
      <c r="I20711"/>
    </row>
    <row r="20712" spans="6:9" x14ac:dyDescent="0.3">
      <c r="F20712"/>
      <c r="G20712"/>
      <c r="H20712"/>
      <c r="I20712"/>
    </row>
    <row r="20713" spans="6:9" x14ac:dyDescent="0.3">
      <c r="F20713"/>
      <c r="G20713"/>
      <c r="H20713"/>
      <c r="I20713"/>
    </row>
    <row r="20714" spans="6:9" x14ac:dyDescent="0.3">
      <c r="F20714"/>
      <c r="G20714"/>
      <c r="H20714"/>
      <c r="I20714"/>
    </row>
    <row r="20715" spans="6:9" x14ac:dyDescent="0.3">
      <c r="F20715"/>
      <c r="G20715"/>
      <c r="H20715"/>
      <c r="I20715"/>
    </row>
    <row r="20716" spans="6:9" x14ac:dyDescent="0.3">
      <c r="F20716"/>
      <c r="G20716"/>
      <c r="H20716"/>
      <c r="I20716"/>
    </row>
    <row r="20717" spans="6:9" x14ac:dyDescent="0.3">
      <c r="F20717"/>
      <c r="G20717"/>
      <c r="H20717"/>
      <c r="I20717"/>
    </row>
    <row r="20718" spans="6:9" x14ac:dyDescent="0.3">
      <c r="F20718"/>
      <c r="G20718"/>
      <c r="H20718"/>
      <c r="I20718"/>
    </row>
    <row r="20719" spans="6:9" x14ac:dyDescent="0.3">
      <c r="F20719"/>
      <c r="G20719"/>
      <c r="H20719"/>
      <c r="I20719"/>
    </row>
    <row r="20720" spans="6:9" x14ac:dyDescent="0.3">
      <c r="F20720"/>
      <c r="G20720"/>
      <c r="H20720"/>
      <c r="I20720"/>
    </row>
    <row r="20721" spans="6:9" x14ac:dyDescent="0.3">
      <c r="F20721"/>
      <c r="G20721"/>
      <c r="H20721"/>
      <c r="I20721"/>
    </row>
    <row r="20722" spans="6:9" x14ac:dyDescent="0.3">
      <c r="F20722"/>
      <c r="G20722"/>
      <c r="H20722"/>
      <c r="I20722"/>
    </row>
    <row r="20723" spans="6:9" x14ac:dyDescent="0.3">
      <c r="F20723"/>
      <c r="G20723"/>
      <c r="H20723"/>
      <c r="I20723"/>
    </row>
    <row r="20724" spans="6:9" x14ac:dyDescent="0.3">
      <c r="F20724"/>
      <c r="G20724"/>
      <c r="H20724"/>
      <c r="I20724"/>
    </row>
    <row r="20725" spans="6:9" x14ac:dyDescent="0.3">
      <c r="F20725"/>
      <c r="G20725"/>
      <c r="H20725"/>
      <c r="I20725"/>
    </row>
    <row r="20726" spans="6:9" x14ac:dyDescent="0.3">
      <c r="F20726"/>
      <c r="G20726"/>
      <c r="H20726"/>
      <c r="I20726"/>
    </row>
    <row r="20727" spans="6:9" x14ac:dyDescent="0.3">
      <c r="F20727"/>
      <c r="G20727"/>
      <c r="H20727"/>
      <c r="I20727"/>
    </row>
    <row r="20728" spans="6:9" x14ac:dyDescent="0.3">
      <c r="F20728"/>
      <c r="G20728"/>
      <c r="H20728"/>
      <c r="I20728"/>
    </row>
    <row r="20729" spans="6:9" x14ac:dyDescent="0.3">
      <c r="F20729"/>
      <c r="G20729"/>
      <c r="H20729"/>
      <c r="I20729"/>
    </row>
    <row r="20730" spans="6:9" x14ac:dyDescent="0.3">
      <c r="F20730"/>
      <c r="G20730"/>
      <c r="H20730"/>
      <c r="I20730"/>
    </row>
    <row r="20731" spans="6:9" x14ac:dyDescent="0.3">
      <c r="F20731"/>
      <c r="G20731"/>
      <c r="H20731"/>
      <c r="I20731"/>
    </row>
    <row r="20732" spans="6:9" x14ac:dyDescent="0.3">
      <c r="F20732"/>
      <c r="G20732"/>
      <c r="H20732"/>
      <c r="I20732"/>
    </row>
    <row r="20733" spans="6:9" x14ac:dyDescent="0.3">
      <c r="F20733"/>
      <c r="G20733"/>
      <c r="H20733"/>
      <c r="I20733"/>
    </row>
    <row r="20734" spans="6:9" x14ac:dyDescent="0.3">
      <c r="F20734"/>
      <c r="G20734"/>
      <c r="H20734"/>
      <c r="I20734"/>
    </row>
    <row r="20735" spans="6:9" x14ac:dyDescent="0.3">
      <c r="F20735"/>
      <c r="G20735"/>
      <c r="H20735"/>
      <c r="I20735"/>
    </row>
    <row r="20736" spans="6:9" x14ac:dyDescent="0.3">
      <c r="F20736"/>
      <c r="G20736"/>
      <c r="H20736"/>
      <c r="I20736"/>
    </row>
    <row r="20737" spans="6:9" x14ac:dyDescent="0.3">
      <c r="F20737"/>
      <c r="G20737"/>
      <c r="H20737"/>
      <c r="I20737"/>
    </row>
    <row r="20738" spans="6:9" x14ac:dyDescent="0.3">
      <c r="F20738"/>
      <c r="G20738"/>
      <c r="H20738"/>
      <c r="I20738"/>
    </row>
    <row r="20739" spans="6:9" x14ac:dyDescent="0.3">
      <c r="F20739"/>
      <c r="G20739"/>
      <c r="H20739"/>
      <c r="I20739"/>
    </row>
    <row r="20740" spans="6:9" x14ac:dyDescent="0.3">
      <c r="F20740"/>
      <c r="G20740"/>
      <c r="H20740"/>
      <c r="I20740"/>
    </row>
    <row r="20741" spans="6:9" x14ac:dyDescent="0.3">
      <c r="F20741"/>
      <c r="G20741"/>
      <c r="H20741"/>
      <c r="I20741"/>
    </row>
    <row r="20742" spans="6:9" x14ac:dyDescent="0.3">
      <c r="F20742"/>
      <c r="G20742"/>
      <c r="H20742"/>
      <c r="I20742"/>
    </row>
    <row r="20743" spans="6:9" x14ac:dyDescent="0.3">
      <c r="F20743"/>
      <c r="G20743"/>
      <c r="H20743"/>
      <c r="I20743"/>
    </row>
    <row r="20744" spans="6:9" x14ac:dyDescent="0.3">
      <c r="F20744"/>
      <c r="G20744"/>
      <c r="H20744"/>
      <c r="I20744"/>
    </row>
    <row r="20745" spans="6:9" x14ac:dyDescent="0.3">
      <c r="F20745"/>
      <c r="G20745"/>
      <c r="H20745"/>
      <c r="I20745"/>
    </row>
    <row r="20746" spans="6:9" x14ac:dyDescent="0.3">
      <c r="F20746"/>
      <c r="G20746"/>
      <c r="H20746"/>
      <c r="I20746"/>
    </row>
    <row r="20747" spans="6:9" x14ac:dyDescent="0.3">
      <c r="F20747"/>
      <c r="G20747"/>
      <c r="H20747"/>
      <c r="I20747"/>
    </row>
    <row r="20748" spans="6:9" x14ac:dyDescent="0.3">
      <c r="F20748"/>
      <c r="G20748"/>
      <c r="H20748"/>
      <c r="I20748"/>
    </row>
    <row r="20749" spans="6:9" x14ac:dyDescent="0.3">
      <c r="F20749"/>
      <c r="G20749"/>
      <c r="H20749"/>
      <c r="I20749"/>
    </row>
    <row r="20750" spans="6:9" x14ac:dyDescent="0.3">
      <c r="F20750"/>
      <c r="G20750"/>
      <c r="H20750"/>
      <c r="I20750"/>
    </row>
    <row r="20751" spans="6:9" x14ac:dyDescent="0.3">
      <c r="F20751"/>
      <c r="G20751"/>
      <c r="H20751"/>
      <c r="I20751"/>
    </row>
    <row r="20752" spans="6:9" x14ac:dyDescent="0.3">
      <c r="F20752"/>
      <c r="G20752"/>
      <c r="H20752"/>
      <c r="I20752"/>
    </row>
    <row r="20753" spans="6:9" x14ac:dyDescent="0.3">
      <c r="F20753"/>
      <c r="G20753"/>
      <c r="H20753"/>
      <c r="I20753"/>
    </row>
    <row r="20754" spans="6:9" x14ac:dyDescent="0.3">
      <c r="F20754"/>
      <c r="G20754"/>
      <c r="H20754"/>
      <c r="I20754"/>
    </row>
    <row r="20755" spans="6:9" x14ac:dyDescent="0.3">
      <c r="F20755"/>
      <c r="G20755"/>
      <c r="H20755"/>
      <c r="I20755"/>
    </row>
    <row r="20756" spans="6:9" x14ac:dyDescent="0.3">
      <c r="F20756"/>
      <c r="G20756"/>
      <c r="H20756"/>
      <c r="I20756"/>
    </row>
    <row r="20757" spans="6:9" x14ac:dyDescent="0.3">
      <c r="F20757"/>
      <c r="G20757"/>
      <c r="H20757"/>
      <c r="I20757"/>
    </row>
    <row r="20758" spans="6:9" x14ac:dyDescent="0.3">
      <c r="F20758"/>
      <c r="G20758"/>
      <c r="H20758"/>
      <c r="I20758"/>
    </row>
    <row r="20759" spans="6:9" x14ac:dyDescent="0.3">
      <c r="F20759"/>
      <c r="G20759"/>
      <c r="H20759"/>
      <c r="I20759"/>
    </row>
    <row r="20760" spans="6:9" x14ac:dyDescent="0.3">
      <c r="F20760"/>
      <c r="G20760"/>
      <c r="H20760"/>
      <c r="I20760"/>
    </row>
    <row r="20761" spans="6:9" x14ac:dyDescent="0.3">
      <c r="F20761"/>
      <c r="G20761"/>
      <c r="H20761"/>
      <c r="I20761"/>
    </row>
    <row r="20762" spans="6:9" x14ac:dyDescent="0.3">
      <c r="F20762"/>
      <c r="G20762"/>
      <c r="H20762"/>
      <c r="I20762"/>
    </row>
    <row r="20763" spans="6:9" x14ac:dyDescent="0.3">
      <c r="F20763"/>
      <c r="G20763"/>
      <c r="H20763"/>
      <c r="I20763"/>
    </row>
    <row r="20764" spans="6:9" x14ac:dyDescent="0.3">
      <c r="F20764"/>
      <c r="G20764"/>
      <c r="H20764"/>
      <c r="I20764"/>
    </row>
    <row r="20765" spans="6:9" x14ac:dyDescent="0.3">
      <c r="F20765"/>
      <c r="G20765"/>
      <c r="H20765"/>
      <c r="I20765"/>
    </row>
    <row r="20766" spans="6:9" x14ac:dyDescent="0.3">
      <c r="F20766"/>
      <c r="G20766"/>
      <c r="H20766"/>
      <c r="I20766"/>
    </row>
    <row r="20767" spans="6:9" x14ac:dyDescent="0.3">
      <c r="F20767"/>
      <c r="G20767"/>
      <c r="H20767"/>
      <c r="I20767"/>
    </row>
    <row r="20768" spans="6:9" x14ac:dyDescent="0.3">
      <c r="F20768"/>
      <c r="G20768"/>
      <c r="H20768"/>
      <c r="I20768"/>
    </row>
    <row r="20769" spans="6:9" x14ac:dyDescent="0.3">
      <c r="F20769"/>
      <c r="G20769"/>
      <c r="H20769"/>
      <c r="I20769"/>
    </row>
    <row r="20770" spans="6:9" x14ac:dyDescent="0.3">
      <c r="F20770"/>
      <c r="G20770"/>
      <c r="H20770"/>
      <c r="I20770"/>
    </row>
    <row r="20771" spans="6:9" x14ac:dyDescent="0.3">
      <c r="F20771"/>
      <c r="G20771"/>
      <c r="H20771"/>
      <c r="I20771"/>
    </row>
    <row r="20772" spans="6:9" x14ac:dyDescent="0.3">
      <c r="F20772"/>
      <c r="G20772"/>
      <c r="H20772"/>
      <c r="I20772"/>
    </row>
    <row r="20773" spans="6:9" x14ac:dyDescent="0.3">
      <c r="F20773"/>
      <c r="G20773"/>
      <c r="H20773"/>
      <c r="I20773"/>
    </row>
    <row r="20774" spans="6:9" x14ac:dyDescent="0.3">
      <c r="F20774"/>
      <c r="G20774"/>
      <c r="H20774"/>
      <c r="I20774"/>
    </row>
    <row r="20775" spans="6:9" x14ac:dyDescent="0.3">
      <c r="F20775"/>
      <c r="G20775"/>
      <c r="H20775"/>
      <c r="I20775"/>
    </row>
    <row r="20776" spans="6:9" x14ac:dyDescent="0.3">
      <c r="F20776"/>
      <c r="G20776"/>
      <c r="H20776"/>
      <c r="I20776"/>
    </row>
    <row r="20777" spans="6:9" x14ac:dyDescent="0.3">
      <c r="F20777"/>
      <c r="G20777"/>
      <c r="H20777"/>
      <c r="I20777"/>
    </row>
    <row r="20778" spans="6:9" x14ac:dyDescent="0.3">
      <c r="F20778"/>
      <c r="G20778"/>
      <c r="H20778"/>
      <c r="I20778"/>
    </row>
    <row r="20779" spans="6:9" x14ac:dyDescent="0.3">
      <c r="F20779"/>
      <c r="G20779"/>
      <c r="H20779"/>
      <c r="I20779"/>
    </row>
    <row r="20780" spans="6:9" x14ac:dyDescent="0.3">
      <c r="F20780"/>
      <c r="G20780"/>
      <c r="H20780"/>
      <c r="I20780"/>
    </row>
    <row r="20781" spans="6:9" x14ac:dyDescent="0.3">
      <c r="F20781"/>
      <c r="G20781"/>
      <c r="H20781"/>
      <c r="I20781"/>
    </row>
    <row r="20782" spans="6:9" x14ac:dyDescent="0.3">
      <c r="F20782"/>
      <c r="G20782"/>
      <c r="H20782"/>
      <c r="I20782"/>
    </row>
    <row r="20783" spans="6:9" x14ac:dyDescent="0.3">
      <c r="F20783"/>
      <c r="G20783"/>
      <c r="H20783"/>
      <c r="I20783"/>
    </row>
    <row r="20784" spans="6:9" x14ac:dyDescent="0.3">
      <c r="F20784"/>
      <c r="G20784"/>
      <c r="H20784"/>
      <c r="I20784"/>
    </row>
    <row r="20785" spans="6:9" x14ac:dyDescent="0.3">
      <c r="F20785"/>
      <c r="G20785"/>
      <c r="H20785"/>
      <c r="I20785"/>
    </row>
    <row r="20786" spans="6:9" x14ac:dyDescent="0.3">
      <c r="F20786"/>
      <c r="G20786"/>
      <c r="H20786"/>
      <c r="I20786"/>
    </row>
    <row r="20787" spans="6:9" x14ac:dyDescent="0.3">
      <c r="F20787"/>
      <c r="G20787"/>
      <c r="H20787"/>
      <c r="I20787"/>
    </row>
    <row r="20788" spans="6:9" x14ac:dyDescent="0.3">
      <c r="F20788"/>
      <c r="G20788"/>
      <c r="H20788"/>
      <c r="I20788"/>
    </row>
    <row r="20789" spans="6:9" x14ac:dyDescent="0.3">
      <c r="F20789"/>
      <c r="G20789"/>
      <c r="H20789"/>
      <c r="I20789"/>
    </row>
    <row r="20790" spans="6:9" x14ac:dyDescent="0.3">
      <c r="F20790"/>
      <c r="G20790"/>
      <c r="H20790"/>
      <c r="I20790"/>
    </row>
    <row r="20791" spans="6:9" x14ac:dyDescent="0.3">
      <c r="F20791"/>
      <c r="G20791"/>
      <c r="H20791"/>
      <c r="I20791"/>
    </row>
    <row r="20792" spans="6:9" x14ac:dyDescent="0.3">
      <c r="F20792"/>
      <c r="G20792"/>
      <c r="H20792"/>
      <c r="I20792"/>
    </row>
    <row r="20793" spans="6:9" x14ac:dyDescent="0.3">
      <c r="F20793"/>
      <c r="G20793"/>
      <c r="H20793"/>
      <c r="I20793"/>
    </row>
    <row r="20794" spans="6:9" x14ac:dyDescent="0.3">
      <c r="F20794"/>
      <c r="G20794"/>
      <c r="H20794"/>
      <c r="I20794"/>
    </row>
    <row r="20795" spans="6:9" x14ac:dyDescent="0.3">
      <c r="F20795"/>
      <c r="G20795"/>
      <c r="H20795"/>
      <c r="I20795"/>
    </row>
    <row r="20796" spans="6:9" x14ac:dyDescent="0.3">
      <c r="F20796"/>
      <c r="G20796"/>
      <c r="H20796"/>
      <c r="I20796"/>
    </row>
    <row r="20797" spans="6:9" x14ac:dyDescent="0.3">
      <c r="F20797"/>
      <c r="G20797"/>
      <c r="H20797"/>
      <c r="I20797"/>
    </row>
    <row r="20798" spans="6:9" x14ac:dyDescent="0.3">
      <c r="F20798"/>
      <c r="G20798"/>
      <c r="H20798"/>
      <c r="I20798"/>
    </row>
    <row r="20799" spans="6:9" x14ac:dyDescent="0.3">
      <c r="F20799"/>
      <c r="G20799"/>
      <c r="H20799"/>
      <c r="I20799"/>
    </row>
    <row r="20800" spans="6:9" x14ac:dyDescent="0.3">
      <c r="F20800"/>
      <c r="G20800"/>
      <c r="H20800"/>
      <c r="I20800"/>
    </row>
    <row r="20801" spans="6:9" x14ac:dyDescent="0.3">
      <c r="F20801"/>
      <c r="G20801"/>
      <c r="H20801"/>
      <c r="I20801"/>
    </row>
    <row r="20802" spans="6:9" x14ac:dyDescent="0.3">
      <c r="F20802"/>
      <c r="G20802"/>
      <c r="H20802"/>
      <c r="I20802"/>
    </row>
    <row r="20803" spans="6:9" x14ac:dyDescent="0.3">
      <c r="F20803"/>
      <c r="G20803"/>
      <c r="H20803"/>
      <c r="I20803"/>
    </row>
    <row r="20804" spans="6:9" x14ac:dyDescent="0.3">
      <c r="F20804"/>
      <c r="G20804"/>
      <c r="H20804"/>
      <c r="I20804"/>
    </row>
    <row r="20805" spans="6:9" x14ac:dyDescent="0.3">
      <c r="F20805"/>
      <c r="G20805"/>
      <c r="H20805"/>
      <c r="I20805"/>
    </row>
    <row r="20806" spans="6:9" x14ac:dyDescent="0.3">
      <c r="F20806"/>
      <c r="G20806"/>
      <c r="H20806"/>
      <c r="I20806"/>
    </row>
    <row r="20807" spans="6:9" x14ac:dyDescent="0.3">
      <c r="F20807"/>
      <c r="G20807"/>
      <c r="H20807"/>
      <c r="I20807"/>
    </row>
    <row r="20808" spans="6:9" x14ac:dyDescent="0.3">
      <c r="F20808"/>
      <c r="G20808"/>
      <c r="H20808"/>
      <c r="I20808"/>
    </row>
    <row r="20809" spans="6:9" x14ac:dyDescent="0.3">
      <c r="F20809"/>
      <c r="G20809"/>
      <c r="H20809"/>
      <c r="I20809"/>
    </row>
    <row r="20810" spans="6:9" x14ac:dyDescent="0.3">
      <c r="F20810"/>
      <c r="G20810"/>
      <c r="H20810"/>
      <c r="I20810"/>
    </row>
    <row r="20811" spans="6:9" x14ac:dyDescent="0.3">
      <c r="F20811"/>
      <c r="G20811"/>
      <c r="H20811"/>
      <c r="I20811"/>
    </row>
    <row r="20812" spans="6:9" x14ac:dyDescent="0.3">
      <c r="F20812"/>
      <c r="G20812"/>
      <c r="H20812"/>
      <c r="I20812"/>
    </row>
    <row r="20813" spans="6:9" x14ac:dyDescent="0.3">
      <c r="F20813"/>
      <c r="G20813"/>
      <c r="H20813"/>
      <c r="I20813"/>
    </row>
    <row r="20814" spans="6:9" x14ac:dyDescent="0.3">
      <c r="F20814"/>
      <c r="G20814"/>
      <c r="H20814"/>
      <c r="I20814"/>
    </row>
    <row r="20815" spans="6:9" x14ac:dyDescent="0.3">
      <c r="F20815"/>
      <c r="G20815"/>
      <c r="H20815"/>
      <c r="I20815"/>
    </row>
    <row r="20816" spans="6:9" x14ac:dyDescent="0.3">
      <c r="F20816"/>
      <c r="G20816"/>
      <c r="H20816"/>
      <c r="I20816"/>
    </row>
    <row r="20817" spans="6:9" x14ac:dyDescent="0.3">
      <c r="F20817"/>
      <c r="G20817"/>
      <c r="H20817"/>
      <c r="I20817"/>
    </row>
    <row r="20818" spans="6:9" x14ac:dyDescent="0.3">
      <c r="F20818"/>
      <c r="G20818"/>
      <c r="H20818"/>
      <c r="I20818"/>
    </row>
    <row r="20819" spans="6:9" x14ac:dyDescent="0.3">
      <c r="F20819"/>
      <c r="G20819"/>
      <c r="H20819"/>
      <c r="I20819"/>
    </row>
    <row r="20820" spans="6:9" x14ac:dyDescent="0.3">
      <c r="F20820"/>
      <c r="G20820"/>
      <c r="H20820"/>
      <c r="I20820"/>
    </row>
    <row r="20821" spans="6:9" x14ac:dyDescent="0.3">
      <c r="F20821"/>
      <c r="G20821"/>
      <c r="H20821"/>
      <c r="I20821"/>
    </row>
    <row r="20822" spans="6:9" x14ac:dyDescent="0.3">
      <c r="F20822"/>
      <c r="G20822"/>
      <c r="H20822"/>
      <c r="I20822"/>
    </row>
    <row r="20823" spans="6:9" x14ac:dyDescent="0.3">
      <c r="F20823"/>
      <c r="G20823"/>
      <c r="H20823"/>
      <c r="I20823"/>
    </row>
    <row r="20824" spans="6:9" x14ac:dyDescent="0.3">
      <c r="F20824"/>
      <c r="G20824"/>
      <c r="H20824"/>
      <c r="I20824"/>
    </row>
    <row r="20825" spans="6:9" x14ac:dyDescent="0.3">
      <c r="F20825"/>
      <c r="G20825"/>
      <c r="H20825"/>
      <c r="I20825"/>
    </row>
    <row r="20826" spans="6:9" x14ac:dyDescent="0.3">
      <c r="F20826"/>
      <c r="G20826"/>
      <c r="H20826"/>
      <c r="I20826"/>
    </row>
    <row r="20827" spans="6:9" x14ac:dyDescent="0.3">
      <c r="F20827"/>
      <c r="G20827"/>
      <c r="H20827"/>
      <c r="I20827"/>
    </row>
    <row r="20828" spans="6:9" x14ac:dyDescent="0.3">
      <c r="F20828"/>
      <c r="G20828"/>
      <c r="H20828"/>
      <c r="I20828"/>
    </row>
    <row r="20829" spans="6:9" x14ac:dyDescent="0.3">
      <c r="F20829"/>
      <c r="G20829"/>
      <c r="H20829"/>
      <c r="I20829"/>
    </row>
    <row r="20830" spans="6:9" x14ac:dyDescent="0.3">
      <c r="F20830"/>
      <c r="G20830"/>
      <c r="H20830"/>
      <c r="I20830"/>
    </row>
    <row r="20831" spans="6:9" x14ac:dyDescent="0.3">
      <c r="F20831"/>
      <c r="G20831"/>
      <c r="H20831"/>
      <c r="I20831"/>
    </row>
    <row r="20832" spans="6:9" x14ac:dyDescent="0.3">
      <c r="F20832"/>
      <c r="G20832"/>
      <c r="H20832"/>
      <c r="I20832"/>
    </row>
    <row r="20833" spans="6:9" x14ac:dyDescent="0.3">
      <c r="F20833"/>
      <c r="G20833"/>
      <c r="H20833"/>
      <c r="I20833"/>
    </row>
    <row r="20834" spans="6:9" x14ac:dyDescent="0.3">
      <c r="F20834"/>
      <c r="G20834"/>
      <c r="H20834"/>
      <c r="I20834"/>
    </row>
    <row r="20835" spans="6:9" x14ac:dyDescent="0.3">
      <c r="F20835"/>
      <c r="G20835"/>
      <c r="H20835"/>
      <c r="I20835"/>
    </row>
    <row r="20836" spans="6:9" x14ac:dyDescent="0.3">
      <c r="F20836"/>
      <c r="G20836"/>
      <c r="H20836"/>
      <c r="I20836"/>
    </row>
    <row r="20837" spans="6:9" x14ac:dyDescent="0.3">
      <c r="F20837"/>
      <c r="G20837"/>
      <c r="H20837"/>
      <c r="I20837"/>
    </row>
    <row r="20838" spans="6:9" x14ac:dyDescent="0.3">
      <c r="F20838"/>
      <c r="G20838"/>
      <c r="H20838"/>
      <c r="I20838"/>
    </row>
    <row r="20839" spans="6:9" x14ac:dyDescent="0.3">
      <c r="F20839"/>
      <c r="G20839"/>
      <c r="H20839"/>
      <c r="I20839"/>
    </row>
    <row r="20840" spans="6:9" x14ac:dyDescent="0.3">
      <c r="F20840"/>
      <c r="G20840"/>
      <c r="H20840"/>
      <c r="I20840"/>
    </row>
    <row r="20841" spans="6:9" x14ac:dyDescent="0.3">
      <c r="F20841"/>
      <c r="G20841"/>
      <c r="H20841"/>
      <c r="I20841"/>
    </row>
    <row r="20842" spans="6:9" x14ac:dyDescent="0.3">
      <c r="F20842"/>
      <c r="G20842"/>
      <c r="H20842"/>
      <c r="I20842"/>
    </row>
    <row r="20843" spans="6:9" x14ac:dyDescent="0.3">
      <c r="F20843"/>
      <c r="G20843"/>
      <c r="H20843"/>
      <c r="I20843"/>
    </row>
    <row r="20844" spans="6:9" x14ac:dyDescent="0.3">
      <c r="F20844"/>
      <c r="G20844"/>
      <c r="H20844"/>
      <c r="I20844"/>
    </row>
    <row r="20845" spans="6:9" x14ac:dyDescent="0.3">
      <c r="F20845"/>
      <c r="G20845"/>
      <c r="H20845"/>
      <c r="I20845"/>
    </row>
    <row r="20846" spans="6:9" x14ac:dyDescent="0.3">
      <c r="F20846"/>
      <c r="G20846"/>
      <c r="H20846"/>
      <c r="I20846"/>
    </row>
    <row r="20847" spans="6:9" x14ac:dyDescent="0.3">
      <c r="F20847"/>
      <c r="G20847"/>
      <c r="H20847"/>
      <c r="I20847"/>
    </row>
    <row r="20848" spans="6:9" x14ac:dyDescent="0.3">
      <c r="F20848"/>
      <c r="G20848"/>
      <c r="H20848"/>
      <c r="I20848"/>
    </row>
    <row r="20849" spans="6:9" x14ac:dyDescent="0.3">
      <c r="F20849"/>
      <c r="G20849"/>
      <c r="H20849"/>
      <c r="I20849"/>
    </row>
    <row r="20850" spans="6:9" x14ac:dyDescent="0.3">
      <c r="F20850"/>
      <c r="G20850"/>
      <c r="H20850"/>
      <c r="I20850"/>
    </row>
    <row r="20851" spans="6:9" x14ac:dyDescent="0.3">
      <c r="F20851"/>
      <c r="G20851"/>
      <c r="H20851"/>
      <c r="I20851"/>
    </row>
    <row r="20852" spans="6:9" x14ac:dyDescent="0.3">
      <c r="F20852"/>
      <c r="G20852"/>
      <c r="H20852"/>
      <c r="I20852"/>
    </row>
    <row r="20853" spans="6:9" x14ac:dyDescent="0.3">
      <c r="F20853"/>
      <c r="G20853"/>
      <c r="H20853"/>
      <c r="I20853"/>
    </row>
    <row r="20854" spans="6:9" x14ac:dyDescent="0.3">
      <c r="F20854"/>
      <c r="G20854"/>
      <c r="H20854"/>
      <c r="I20854"/>
    </row>
    <row r="20855" spans="6:9" x14ac:dyDescent="0.3">
      <c r="F20855"/>
      <c r="G20855"/>
      <c r="H20855"/>
      <c r="I20855"/>
    </row>
    <row r="20856" spans="6:9" x14ac:dyDescent="0.3">
      <c r="F20856"/>
      <c r="G20856"/>
      <c r="H20856"/>
      <c r="I20856"/>
    </row>
    <row r="20857" spans="6:9" x14ac:dyDescent="0.3">
      <c r="F20857"/>
      <c r="G20857"/>
      <c r="H20857"/>
      <c r="I20857"/>
    </row>
    <row r="20858" spans="6:9" x14ac:dyDescent="0.3">
      <c r="F20858"/>
      <c r="G20858"/>
      <c r="H20858"/>
      <c r="I20858"/>
    </row>
    <row r="20859" spans="6:9" x14ac:dyDescent="0.3">
      <c r="F20859"/>
      <c r="G20859"/>
      <c r="H20859"/>
      <c r="I20859"/>
    </row>
    <row r="20860" spans="6:9" x14ac:dyDescent="0.3">
      <c r="F20860"/>
      <c r="G20860"/>
      <c r="H20860"/>
      <c r="I20860"/>
    </row>
    <row r="20861" spans="6:9" x14ac:dyDescent="0.3">
      <c r="F20861"/>
      <c r="G20861"/>
      <c r="H20861"/>
      <c r="I20861"/>
    </row>
    <row r="20862" spans="6:9" x14ac:dyDescent="0.3">
      <c r="F20862"/>
      <c r="G20862"/>
      <c r="H20862"/>
      <c r="I20862"/>
    </row>
    <row r="20863" spans="6:9" x14ac:dyDescent="0.3">
      <c r="F20863"/>
      <c r="G20863"/>
      <c r="H20863"/>
      <c r="I20863"/>
    </row>
    <row r="20864" spans="6:9" x14ac:dyDescent="0.3">
      <c r="F20864"/>
      <c r="G20864"/>
      <c r="H20864"/>
      <c r="I20864"/>
    </row>
    <row r="20865" spans="6:9" x14ac:dyDescent="0.3">
      <c r="F20865"/>
      <c r="G20865"/>
      <c r="H20865"/>
      <c r="I20865"/>
    </row>
    <row r="20866" spans="6:9" x14ac:dyDescent="0.3">
      <c r="F20866"/>
      <c r="G20866"/>
      <c r="H20866"/>
      <c r="I20866"/>
    </row>
    <row r="20867" spans="6:9" x14ac:dyDescent="0.3">
      <c r="F20867"/>
      <c r="G20867"/>
      <c r="H20867"/>
      <c r="I20867"/>
    </row>
    <row r="20868" spans="6:9" x14ac:dyDescent="0.3">
      <c r="F20868"/>
      <c r="G20868"/>
      <c r="H20868"/>
      <c r="I20868"/>
    </row>
    <row r="20869" spans="6:9" x14ac:dyDescent="0.3">
      <c r="F20869"/>
      <c r="G20869"/>
      <c r="H20869"/>
      <c r="I20869"/>
    </row>
    <row r="20870" spans="6:9" x14ac:dyDescent="0.3">
      <c r="F20870"/>
      <c r="G20870"/>
      <c r="H20870"/>
      <c r="I20870"/>
    </row>
    <row r="20871" spans="6:9" x14ac:dyDescent="0.3">
      <c r="F20871"/>
      <c r="G20871"/>
      <c r="H20871"/>
      <c r="I20871"/>
    </row>
    <row r="20872" spans="6:9" x14ac:dyDescent="0.3">
      <c r="F20872"/>
      <c r="G20872"/>
      <c r="H20872"/>
      <c r="I20872"/>
    </row>
    <row r="20873" spans="6:9" x14ac:dyDescent="0.3">
      <c r="F20873"/>
      <c r="G20873"/>
      <c r="H20873"/>
      <c r="I20873"/>
    </row>
    <row r="20874" spans="6:9" x14ac:dyDescent="0.3">
      <c r="F20874"/>
      <c r="G20874"/>
      <c r="H20874"/>
      <c r="I20874"/>
    </row>
    <row r="20875" spans="6:9" x14ac:dyDescent="0.3">
      <c r="F20875"/>
      <c r="G20875"/>
      <c r="H20875"/>
      <c r="I20875"/>
    </row>
    <row r="20876" spans="6:9" x14ac:dyDescent="0.3">
      <c r="F20876"/>
      <c r="G20876"/>
      <c r="H20876"/>
      <c r="I20876"/>
    </row>
    <row r="20877" spans="6:9" x14ac:dyDescent="0.3">
      <c r="F20877"/>
      <c r="G20877"/>
      <c r="H20877"/>
      <c r="I20877"/>
    </row>
    <row r="20878" spans="6:9" x14ac:dyDescent="0.3">
      <c r="F20878"/>
      <c r="G20878"/>
      <c r="H20878"/>
      <c r="I20878"/>
    </row>
    <row r="20879" spans="6:9" x14ac:dyDescent="0.3">
      <c r="F20879"/>
      <c r="G20879"/>
      <c r="H20879"/>
      <c r="I20879"/>
    </row>
    <row r="20880" spans="6:9" x14ac:dyDescent="0.3">
      <c r="F20880"/>
      <c r="G20880"/>
      <c r="H20880"/>
      <c r="I20880"/>
    </row>
    <row r="20881" spans="6:9" x14ac:dyDescent="0.3">
      <c r="F20881"/>
      <c r="G20881"/>
      <c r="H20881"/>
      <c r="I20881"/>
    </row>
    <row r="20882" spans="6:9" x14ac:dyDescent="0.3">
      <c r="F20882"/>
      <c r="G20882"/>
      <c r="H20882"/>
      <c r="I20882"/>
    </row>
    <row r="20883" spans="6:9" x14ac:dyDescent="0.3">
      <c r="F20883"/>
      <c r="G20883"/>
      <c r="H20883"/>
      <c r="I20883"/>
    </row>
    <row r="20884" spans="6:9" x14ac:dyDescent="0.3">
      <c r="F20884"/>
      <c r="G20884"/>
      <c r="H20884"/>
      <c r="I20884"/>
    </row>
    <row r="20885" spans="6:9" x14ac:dyDescent="0.3">
      <c r="F20885"/>
      <c r="G20885"/>
      <c r="H20885"/>
      <c r="I20885"/>
    </row>
    <row r="20886" spans="6:9" x14ac:dyDescent="0.3">
      <c r="F20886"/>
      <c r="G20886"/>
      <c r="H20886"/>
      <c r="I20886"/>
    </row>
    <row r="20887" spans="6:9" x14ac:dyDescent="0.3">
      <c r="F20887"/>
      <c r="G20887"/>
      <c r="H20887"/>
      <c r="I20887"/>
    </row>
    <row r="20888" spans="6:9" x14ac:dyDescent="0.3">
      <c r="F20888"/>
      <c r="G20888"/>
      <c r="H20888"/>
      <c r="I20888"/>
    </row>
    <row r="20889" spans="6:9" x14ac:dyDescent="0.3">
      <c r="F20889"/>
      <c r="G20889"/>
      <c r="H20889"/>
      <c r="I20889"/>
    </row>
    <row r="20890" spans="6:9" x14ac:dyDescent="0.3">
      <c r="F20890"/>
      <c r="G20890"/>
      <c r="H20890"/>
      <c r="I20890"/>
    </row>
    <row r="20891" spans="6:9" x14ac:dyDescent="0.3">
      <c r="F20891"/>
      <c r="G20891"/>
      <c r="H20891"/>
      <c r="I20891"/>
    </row>
    <row r="20892" spans="6:9" x14ac:dyDescent="0.3">
      <c r="F20892"/>
      <c r="G20892"/>
      <c r="H20892"/>
      <c r="I20892"/>
    </row>
    <row r="20893" spans="6:9" x14ac:dyDescent="0.3">
      <c r="F20893"/>
      <c r="G20893"/>
      <c r="H20893"/>
      <c r="I20893"/>
    </row>
    <row r="20894" spans="6:9" x14ac:dyDescent="0.3">
      <c r="F20894"/>
      <c r="G20894"/>
      <c r="H20894"/>
      <c r="I20894"/>
    </row>
    <row r="20895" spans="6:9" x14ac:dyDescent="0.3">
      <c r="F20895"/>
      <c r="G20895"/>
      <c r="H20895"/>
      <c r="I20895"/>
    </row>
    <row r="20896" spans="6:9" x14ac:dyDescent="0.3">
      <c r="F20896"/>
      <c r="G20896"/>
      <c r="H20896"/>
      <c r="I20896"/>
    </row>
    <row r="20897" spans="6:9" x14ac:dyDescent="0.3">
      <c r="F20897"/>
      <c r="G20897"/>
      <c r="H20897"/>
      <c r="I20897"/>
    </row>
    <row r="20898" spans="6:9" x14ac:dyDescent="0.3">
      <c r="F20898"/>
      <c r="G20898"/>
      <c r="H20898"/>
      <c r="I20898"/>
    </row>
    <row r="20899" spans="6:9" x14ac:dyDescent="0.3">
      <c r="F20899"/>
      <c r="G20899"/>
      <c r="H20899"/>
      <c r="I20899"/>
    </row>
    <row r="20900" spans="6:9" x14ac:dyDescent="0.3">
      <c r="F20900"/>
      <c r="G20900"/>
      <c r="H20900"/>
      <c r="I20900"/>
    </row>
    <row r="20901" spans="6:9" x14ac:dyDescent="0.3">
      <c r="F20901"/>
      <c r="G20901"/>
      <c r="H20901"/>
      <c r="I20901"/>
    </row>
    <row r="20902" spans="6:9" x14ac:dyDescent="0.3">
      <c r="F20902"/>
      <c r="G20902"/>
      <c r="H20902"/>
      <c r="I20902"/>
    </row>
    <row r="20903" spans="6:9" x14ac:dyDescent="0.3">
      <c r="F20903"/>
      <c r="G20903"/>
      <c r="H20903"/>
      <c r="I20903"/>
    </row>
    <row r="20904" spans="6:9" x14ac:dyDescent="0.3">
      <c r="F20904"/>
      <c r="G20904"/>
      <c r="H20904"/>
      <c r="I20904"/>
    </row>
    <row r="20905" spans="6:9" x14ac:dyDescent="0.3">
      <c r="F20905"/>
      <c r="G20905"/>
      <c r="H20905"/>
      <c r="I20905"/>
    </row>
    <row r="20906" spans="6:9" x14ac:dyDescent="0.3">
      <c r="F20906"/>
      <c r="G20906"/>
      <c r="H20906"/>
      <c r="I20906"/>
    </row>
    <row r="20907" spans="6:9" x14ac:dyDescent="0.3">
      <c r="F20907"/>
      <c r="G20907"/>
      <c r="H20907"/>
      <c r="I20907"/>
    </row>
    <row r="20908" spans="6:9" x14ac:dyDescent="0.3">
      <c r="F20908"/>
      <c r="G20908"/>
      <c r="H20908"/>
      <c r="I20908"/>
    </row>
    <row r="20909" spans="6:9" x14ac:dyDescent="0.3">
      <c r="F20909"/>
      <c r="G20909"/>
      <c r="H20909"/>
      <c r="I20909"/>
    </row>
    <row r="20910" spans="6:9" x14ac:dyDescent="0.3">
      <c r="F20910"/>
      <c r="G20910"/>
      <c r="H20910"/>
      <c r="I20910"/>
    </row>
    <row r="20911" spans="6:9" x14ac:dyDescent="0.3">
      <c r="F20911"/>
      <c r="G20911"/>
      <c r="H20911"/>
      <c r="I20911"/>
    </row>
    <row r="20912" spans="6:9" x14ac:dyDescent="0.3">
      <c r="F20912"/>
      <c r="G20912"/>
      <c r="H20912"/>
      <c r="I20912"/>
    </row>
    <row r="20913" spans="6:9" x14ac:dyDescent="0.3">
      <c r="F20913"/>
      <c r="G20913"/>
      <c r="H20913"/>
      <c r="I20913"/>
    </row>
    <row r="20914" spans="6:9" x14ac:dyDescent="0.3">
      <c r="F20914"/>
      <c r="G20914"/>
      <c r="H20914"/>
      <c r="I20914"/>
    </row>
    <row r="20915" spans="6:9" x14ac:dyDescent="0.3">
      <c r="F20915"/>
      <c r="G20915"/>
      <c r="H20915"/>
      <c r="I20915"/>
    </row>
    <row r="20916" spans="6:9" x14ac:dyDescent="0.3">
      <c r="F20916"/>
      <c r="G20916"/>
      <c r="H20916"/>
      <c r="I20916"/>
    </row>
    <row r="20917" spans="6:9" x14ac:dyDescent="0.3">
      <c r="F20917"/>
      <c r="G20917"/>
      <c r="H20917"/>
      <c r="I20917"/>
    </row>
    <row r="20918" spans="6:9" x14ac:dyDescent="0.3">
      <c r="F20918"/>
      <c r="G20918"/>
      <c r="H20918"/>
      <c r="I20918"/>
    </row>
    <row r="20919" spans="6:9" x14ac:dyDescent="0.3">
      <c r="F20919"/>
      <c r="G20919"/>
      <c r="H20919"/>
      <c r="I20919"/>
    </row>
    <row r="20920" spans="6:9" x14ac:dyDescent="0.3">
      <c r="F20920"/>
      <c r="G20920"/>
      <c r="H20920"/>
      <c r="I20920"/>
    </row>
    <row r="20921" spans="6:9" x14ac:dyDescent="0.3">
      <c r="F20921"/>
      <c r="G20921"/>
      <c r="H20921"/>
      <c r="I20921"/>
    </row>
    <row r="20922" spans="6:9" x14ac:dyDescent="0.3">
      <c r="F20922"/>
      <c r="G20922"/>
      <c r="H20922"/>
      <c r="I20922"/>
    </row>
    <row r="20923" spans="6:9" x14ac:dyDescent="0.3">
      <c r="F20923"/>
      <c r="G20923"/>
      <c r="H20923"/>
      <c r="I20923"/>
    </row>
    <row r="20924" spans="6:9" x14ac:dyDescent="0.3">
      <c r="F20924"/>
      <c r="G20924"/>
      <c r="H20924"/>
      <c r="I20924"/>
    </row>
    <row r="20925" spans="6:9" x14ac:dyDescent="0.3">
      <c r="F20925"/>
      <c r="G20925"/>
      <c r="H20925"/>
      <c r="I20925"/>
    </row>
    <row r="20926" spans="6:9" x14ac:dyDescent="0.3">
      <c r="F20926"/>
      <c r="G20926"/>
      <c r="H20926"/>
      <c r="I20926"/>
    </row>
    <row r="20927" spans="6:9" x14ac:dyDescent="0.3">
      <c r="F20927"/>
      <c r="G20927"/>
      <c r="H20927"/>
      <c r="I20927"/>
    </row>
    <row r="20928" spans="6:9" x14ac:dyDescent="0.3">
      <c r="F20928"/>
      <c r="G20928"/>
      <c r="H20928"/>
      <c r="I20928"/>
    </row>
    <row r="20929" spans="6:9" x14ac:dyDescent="0.3">
      <c r="F20929"/>
      <c r="G20929"/>
      <c r="H20929"/>
      <c r="I20929"/>
    </row>
    <row r="20930" spans="6:9" x14ac:dyDescent="0.3">
      <c r="F20930"/>
      <c r="G20930"/>
      <c r="H20930"/>
      <c r="I20930"/>
    </row>
    <row r="20931" spans="6:9" x14ac:dyDescent="0.3">
      <c r="F20931"/>
      <c r="G20931"/>
      <c r="H20931"/>
      <c r="I20931"/>
    </row>
    <row r="20932" spans="6:9" x14ac:dyDescent="0.3">
      <c r="F20932"/>
      <c r="G20932"/>
      <c r="H20932"/>
      <c r="I20932"/>
    </row>
    <row r="20933" spans="6:9" x14ac:dyDescent="0.3">
      <c r="F20933"/>
      <c r="G20933"/>
      <c r="H20933"/>
      <c r="I20933"/>
    </row>
    <row r="20934" spans="6:9" x14ac:dyDescent="0.3">
      <c r="F20934"/>
      <c r="G20934"/>
      <c r="H20934"/>
      <c r="I20934"/>
    </row>
    <row r="20935" spans="6:9" x14ac:dyDescent="0.3">
      <c r="F20935"/>
      <c r="G20935"/>
      <c r="H20935"/>
      <c r="I20935"/>
    </row>
    <row r="20936" spans="6:9" x14ac:dyDescent="0.3">
      <c r="F20936"/>
      <c r="G20936"/>
      <c r="H20936"/>
      <c r="I20936"/>
    </row>
    <row r="20937" spans="6:9" x14ac:dyDescent="0.3">
      <c r="F20937"/>
      <c r="G20937"/>
      <c r="H20937"/>
      <c r="I20937"/>
    </row>
    <row r="20938" spans="6:9" x14ac:dyDescent="0.3">
      <c r="F20938"/>
      <c r="G20938"/>
      <c r="H20938"/>
      <c r="I20938"/>
    </row>
    <row r="20939" spans="6:9" x14ac:dyDescent="0.3">
      <c r="F20939"/>
      <c r="G20939"/>
      <c r="H20939"/>
      <c r="I20939"/>
    </row>
    <row r="20940" spans="6:9" x14ac:dyDescent="0.3">
      <c r="F20940"/>
      <c r="G20940"/>
      <c r="H20940"/>
      <c r="I20940"/>
    </row>
    <row r="20941" spans="6:9" x14ac:dyDescent="0.3">
      <c r="F20941"/>
      <c r="G20941"/>
      <c r="H20941"/>
      <c r="I20941"/>
    </row>
    <row r="20942" spans="6:9" x14ac:dyDescent="0.3">
      <c r="F20942"/>
      <c r="G20942"/>
      <c r="H20942"/>
      <c r="I20942"/>
    </row>
    <row r="20943" spans="6:9" x14ac:dyDescent="0.3">
      <c r="F20943"/>
      <c r="G20943"/>
      <c r="H20943"/>
      <c r="I20943"/>
    </row>
    <row r="20944" spans="6:9" x14ac:dyDescent="0.3">
      <c r="F20944"/>
      <c r="G20944"/>
      <c r="H20944"/>
      <c r="I20944"/>
    </row>
    <row r="20945" spans="6:9" x14ac:dyDescent="0.3">
      <c r="F20945"/>
      <c r="G20945"/>
      <c r="H20945"/>
      <c r="I20945"/>
    </row>
    <row r="20946" spans="6:9" x14ac:dyDescent="0.3">
      <c r="F20946"/>
      <c r="G20946"/>
      <c r="H20946"/>
      <c r="I20946"/>
    </row>
    <row r="20947" spans="6:9" x14ac:dyDescent="0.3">
      <c r="F20947"/>
      <c r="G20947"/>
      <c r="H20947"/>
      <c r="I20947"/>
    </row>
    <row r="20948" spans="6:9" x14ac:dyDescent="0.3">
      <c r="F20948"/>
      <c r="G20948"/>
      <c r="H20948"/>
      <c r="I20948"/>
    </row>
    <row r="20949" spans="6:9" x14ac:dyDescent="0.3">
      <c r="F20949"/>
      <c r="G20949"/>
      <c r="H20949"/>
      <c r="I20949"/>
    </row>
    <row r="20950" spans="6:9" x14ac:dyDescent="0.3">
      <c r="F20950"/>
      <c r="G20950"/>
      <c r="H20950"/>
      <c r="I20950"/>
    </row>
    <row r="20951" spans="6:9" x14ac:dyDescent="0.3">
      <c r="F20951"/>
      <c r="G20951"/>
      <c r="H20951"/>
      <c r="I20951"/>
    </row>
    <row r="20952" spans="6:9" x14ac:dyDescent="0.3">
      <c r="F20952"/>
      <c r="G20952"/>
      <c r="H20952"/>
      <c r="I20952"/>
    </row>
    <row r="20953" spans="6:9" x14ac:dyDescent="0.3">
      <c r="F20953"/>
      <c r="G20953"/>
      <c r="H20953"/>
      <c r="I20953"/>
    </row>
    <row r="20954" spans="6:9" x14ac:dyDescent="0.3">
      <c r="F20954"/>
      <c r="G20954"/>
      <c r="H20954"/>
      <c r="I20954"/>
    </row>
    <row r="20955" spans="6:9" x14ac:dyDescent="0.3">
      <c r="F20955"/>
      <c r="G20955"/>
      <c r="H20955"/>
      <c r="I20955"/>
    </row>
    <row r="20956" spans="6:9" x14ac:dyDescent="0.3">
      <c r="F20956"/>
      <c r="G20956"/>
      <c r="H20956"/>
      <c r="I20956"/>
    </row>
    <row r="20957" spans="6:9" x14ac:dyDescent="0.3">
      <c r="F20957"/>
      <c r="G20957"/>
      <c r="H20957"/>
      <c r="I20957"/>
    </row>
    <row r="20958" spans="6:9" x14ac:dyDescent="0.3">
      <c r="F20958"/>
      <c r="G20958"/>
      <c r="H20958"/>
      <c r="I20958"/>
    </row>
    <row r="20959" spans="6:9" x14ac:dyDescent="0.3">
      <c r="F20959"/>
      <c r="G20959"/>
      <c r="H20959"/>
      <c r="I20959"/>
    </row>
    <row r="20960" spans="6:9" x14ac:dyDescent="0.3">
      <c r="F20960"/>
      <c r="G20960"/>
      <c r="H20960"/>
      <c r="I20960"/>
    </row>
    <row r="20961" spans="6:9" x14ac:dyDescent="0.3">
      <c r="F20961"/>
      <c r="G20961"/>
      <c r="H20961"/>
      <c r="I20961"/>
    </row>
    <row r="20962" spans="6:9" x14ac:dyDescent="0.3">
      <c r="F20962"/>
      <c r="G20962"/>
      <c r="H20962"/>
      <c r="I20962"/>
    </row>
    <row r="20963" spans="6:9" x14ac:dyDescent="0.3">
      <c r="F20963"/>
      <c r="G20963"/>
      <c r="H20963"/>
      <c r="I20963"/>
    </row>
    <row r="20964" spans="6:9" x14ac:dyDescent="0.3">
      <c r="F20964"/>
      <c r="G20964"/>
      <c r="H20964"/>
      <c r="I20964"/>
    </row>
    <row r="20965" spans="6:9" x14ac:dyDescent="0.3">
      <c r="F20965"/>
      <c r="G20965"/>
      <c r="H20965"/>
      <c r="I20965"/>
    </row>
    <row r="20966" spans="6:9" x14ac:dyDescent="0.3">
      <c r="F20966"/>
      <c r="G20966"/>
      <c r="H20966"/>
      <c r="I20966"/>
    </row>
    <row r="20967" spans="6:9" x14ac:dyDescent="0.3">
      <c r="F20967"/>
      <c r="G20967"/>
      <c r="H20967"/>
      <c r="I20967"/>
    </row>
    <row r="20968" spans="6:9" x14ac:dyDescent="0.3">
      <c r="F20968"/>
      <c r="G20968"/>
      <c r="H20968"/>
      <c r="I20968"/>
    </row>
    <row r="20969" spans="6:9" x14ac:dyDescent="0.3">
      <c r="F20969"/>
      <c r="G20969"/>
      <c r="H20969"/>
      <c r="I20969"/>
    </row>
    <row r="20970" spans="6:9" x14ac:dyDescent="0.3">
      <c r="F20970"/>
      <c r="G20970"/>
      <c r="H20970"/>
      <c r="I20970"/>
    </row>
    <row r="20971" spans="6:9" x14ac:dyDescent="0.3">
      <c r="F20971"/>
      <c r="G20971"/>
      <c r="H20971"/>
      <c r="I20971"/>
    </row>
    <row r="20972" spans="6:9" x14ac:dyDescent="0.3">
      <c r="F20972"/>
      <c r="G20972"/>
      <c r="H20972"/>
      <c r="I20972"/>
    </row>
    <row r="20973" spans="6:9" x14ac:dyDescent="0.3">
      <c r="F20973"/>
      <c r="G20973"/>
      <c r="H20973"/>
      <c r="I20973"/>
    </row>
    <row r="20974" spans="6:9" x14ac:dyDescent="0.3">
      <c r="F20974"/>
      <c r="G20974"/>
      <c r="H20974"/>
      <c r="I20974"/>
    </row>
    <row r="20975" spans="6:9" x14ac:dyDescent="0.3">
      <c r="F20975"/>
      <c r="G20975"/>
      <c r="H20975"/>
      <c r="I20975"/>
    </row>
    <row r="20976" spans="6:9" x14ac:dyDescent="0.3">
      <c r="F20976"/>
      <c r="G20976"/>
      <c r="H20976"/>
      <c r="I20976"/>
    </row>
    <row r="20977" spans="6:9" x14ac:dyDescent="0.3">
      <c r="F20977"/>
      <c r="G20977"/>
      <c r="H20977"/>
      <c r="I20977"/>
    </row>
    <row r="20978" spans="6:9" x14ac:dyDescent="0.3">
      <c r="F20978"/>
      <c r="G20978"/>
      <c r="H20978"/>
      <c r="I20978"/>
    </row>
    <row r="20979" spans="6:9" x14ac:dyDescent="0.3">
      <c r="F20979"/>
      <c r="G20979"/>
      <c r="H20979"/>
      <c r="I20979"/>
    </row>
    <row r="20980" spans="6:9" x14ac:dyDescent="0.3">
      <c r="F20980"/>
      <c r="G20980"/>
      <c r="H20980"/>
      <c r="I20980"/>
    </row>
    <row r="20981" spans="6:9" x14ac:dyDescent="0.3">
      <c r="F20981"/>
      <c r="G20981"/>
      <c r="H20981"/>
      <c r="I20981"/>
    </row>
    <row r="20982" spans="6:9" x14ac:dyDescent="0.3">
      <c r="F20982"/>
      <c r="G20982"/>
      <c r="H20982"/>
      <c r="I20982"/>
    </row>
    <row r="20983" spans="6:9" x14ac:dyDescent="0.3">
      <c r="F20983"/>
      <c r="G20983"/>
      <c r="H20983"/>
      <c r="I20983"/>
    </row>
    <row r="20984" spans="6:9" x14ac:dyDescent="0.3">
      <c r="F20984"/>
      <c r="G20984"/>
      <c r="H20984"/>
      <c r="I20984"/>
    </row>
    <row r="20985" spans="6:9" x14ac:dyDescent="0.3">
      <c r="F20985"/>
      <c r="G20985"/>
      <c r="H20985"/>
      <c r="I20985"/>
    </row>
    <row r="20986" spans="6:9" x14ac:dyDescent="0.3">
      <c r="F20986"/>
      <c r="G20986"/>
      <c r="H20986"/>
      <c r="I20986"/>
    </row>
    <row r="20987" spans="6:9" x14ac:dyDescent="0.3">
      <c r="F20987"/>
      <c r="G20987"/>
      <c r="H20987"/>
      <c r="I20987"/>
    </row>
    <row r="20988" spans="6:9" x14ac:dyDescent="0.3">
      <c r="F20988"/>
      <c r="G20988"/>
      <c r="H20988"/>
      <c r="I20988"/>
    </row>
    <row r="20989" spans="6:9" x14ac:dyDescent="0.3">
      <c r="F20989"/>
      <c r="G20989"/>
      <c r="H20989"/>
      <c r="I20989"/>
    </row>
    <row r="20990" spans="6:9" x14ac:dyDescent="0.3">
      <c r="F20990"/>
      <c r="G20990"/>
      <c r="H20990"/>
      <c r="I20990"/>
    </row>
    <row r="20991" spans="6:9" x14ac:dyDescent="0.3">
      <c r="F20991"/>
      <c r="G20991"/>
      <c r="H20991"/>
      <c r="I20991"/>
    </row>
    <row r="20992" spans="6:9" x14ac:dyDescent="0.3">
      <c r="F20992"/>
      <c r="G20992"/>
      <c r="H20992"/>
      <c r="I20992"/>
    </row>
    <row r="20993" spans="6:9" x14ac:dyDescent="0.3">
      <c r="F20993"/>
      <c r="G20993"/>
      <c r="H20993"/>
      <c r="I20993"/>
    </row>
    <row r="20994" spans="6:9" x14ac:dyDescent="0.3">
      <c r="F20994"/>
      <c r="G20994"/>
      <c r="H20994"/>
      <c r="I20994"/>
    </row>
    <row r="20995" spans="6:9" x14ac:dyDescent="0.3">
      <c r="F20995"/>
      <c r="G20995"/>
      <c r="H20995"/>
      <c r="I20995"/>
    </row>
    <row r="20996" spans="6:9" x14ac:dyDescent="0.3">
      <c r="F20996"/>
      <c r="G20996"/>
      <c r="H20996"/>
      <c r="I20996"/>
    </row>
    <row r="20997" spans="6:9" x14ac:dyDescent="0.3">
      <c r="F20997"/>
      <c r="G20997"/>
      <c r="H20997"/>
      <c r="I20997"/>
    </row>
    <row r="20998" spans="6:9" x14ac:dyDescent="0.3">
      <c r="F20998"/>
      <c r="G20998"/>
      <c r="H20998"/>
      <c r="I20998"/>
    </row>
    <row r="20999" spans="6:9" x14ac:dyDescent="0.3">
      <c r="F20999"/>
      <c r="G20999"/>
      <c r="H20999"/>
      <c r="I20999"/>
    </row>
    <row r="21000" spans="6:9" x14ac:dyDescent="0.3">
      <c r="F21000"/>
      <c r="G21000"/>
      <c r="H21000"/>
      <c r="I21000"/>
    </row>
    <row r="21001" spans="6:9" x14ac:dyDescent="0.3">
      <c r="F21001"/>
      <c r="G21001"/>
      <c r="H21001"/>
      <c r="I21001"/>
    </row>
    <row r="21002" spans="6:9" x14ac:dyDescent="0.3">
      <c r="F21002"/>
      <c r="G21002"/>
      <c r="H21002"/>
      <c r="I21002"/>
    </row>
    <row r="21003" spans="6:9" x14ac:dyDescent="0.3">
      <c r="F21003"/>
      <c r="G21003"/>
      <c r="H21003"/>
      <c r="I21003"/>
    </row>
    <row r="21004" spans="6:9" x14ac:dyDescent="0.3">
      <c r="F21004"/>
      <c r="G21004"/>
      <c r="H21004"/>
      <c r="I21004"/>
    </row>
    <row r="21005" spans="6:9" x14ac:dyDescent="0.3">
      <c r="F21005"/>
      <c r="G21005"/>
      <c r="H21005"/>
      <c r="I21005"/>
    </row>
    <row r="21006" spans="6:9" x14ac:dyDescent="0.3">
      <c r="F21006"/>
      <c r="G21006"/>
      <c r="H21006"/>
      <c r="I21006"/>
    </row>
    <row r="21007" spans="6:9" x14ac:dyDescent="0.3">
      <c r="F21007"/>
      <c r="G21007"/>
      <c r="H21007"/>
      <c r="I21007"/>
    </row>
    <row r="21008" spans="6:9" x14ac:dyDescent="0.3">
      <c r="F21008"/>
      <c r="G21008"/>
      <c r="H21008"/>
      <c r="I21008"/>
    </row>
    <row r="21009" spans="6:9" x14ac:dyDescent="0.3">
      <c r="F21009"/>
      <c r="G21009"/>
      <c r="H21009"/>
      <c r="I21009"/>
    </row>
    <row r="21010" spans="6:9" x14ac:dyDescent="0.3">
      <c r="F21010"/>
      <c r="G21010"/>
      <c r="H21010"/>
      <c r="I21010"/>
    </row>
    <row r="21011" spans="6:9" x14ac:dyDescent="0.3">
      <c r="F21011"/>
      <c r="G21011"/>
      <c r="H21011"/>
      <c r="I21011"/>
    </row>
    <row r="21012" spans="6:9" x14ac:dyDescent="0.3">
      <c r="F21012"/>
      <c r="G21012"/>
      <c r="H21012"/>
      <c r="I21012"/>
    </row>
    <row r="21013" spans="6:9" x14ac:dyDescent="0.3">
      <c r="F21013"/>
      <c r="G21013"/>
      <c r="H21013"/>
      <c r="I21013"/>
    </row>
    <row r="21014" spans="6:9" x14ac:dyDescent="0.3">
      <c r="F21014"/>
      <c r="G21014"/>
      <c r="H21014"/>
      <c r="I21014"/>
    </row>
    <row r="21015" spans="6:9" x14ac:dyDescent="0.3">
      <c r="F21015"/>
      <c r="G21015"/>
      <c r="H21015"/>
      <c r="I21015"/>
    </row>
    <row r="21016" spans="6:9" x14ac:dyDescent="0.3">
      <c r="F21016"/>
      <c r="G21016"/>
      <c r="H21016"/>
      <c r="I21016"/>
    </row>
    <row r="21017" spans="6:9" x14ac:dyDescent="0.3">
      <c r="F21017"/>
      <c r="G21017"/>
      <c r="H21017"/>
      <c r="I21017"/>
    </row>
    <row r="21018" spans="6:9" x14ac:dyDescent="0.3">
      <c r="F21018"/>
      <c r="G21018"/>
      <c r="H21018"/>
      <c r="I21018"/>
    </row>
    <row r="21019" spans="6:9" x14ac:dyDescent="0.3">
      <c r="F21019"/>
      <c r="G21019"/>
      <c r="H21019"/>
      <c r="I21019"/>
    </row>
    <row r="21020" spans="6:9" x14ac:dyDescent="0.3">
      <c r="F21020"/>
      <c r="G21020"/>
      <c r="H21020"/>
      <c r="I21020"/>
    </row>
    <row r="21021" spans="6:9" x14ac:dyDescent="0.3">
      <c r="F21021"/>
      <c r="G21021"/>
      <c r="H21021"/>
      <c r="I21021"/>
    </row>
    <row r="21022" spans="6:9" x14ac:dyDescent="0.3">
      <c r="F21022"/>
      <c r="G21022"/>
      <c r="H21022"/>
      <c r="I21022"/>
    </row>
    <row r="21023" spans="6:9" x14ac:dyDescent="0.3">
      <c r="F21023"/>
      <c r="G21023"/>
      <c r="H21023"/>
      <c r="I21023"/>
    </row>
    <row r="21024" spans="6:9" x14ac:dyDescent="0.3">
      <c r="F21024"/>
      <c r="G21024"/>
      <c r="H21024"/>
      <c r="I21024"/>
    </row>
    <row r="21025" spans="6:9" x14ac:dyDescent="0.3">
      <c r="F21025"/>
      <c r="G21025"/>
      <c r="H21025"/>
      <c r="I21025"/>
    </row>
    <row r="21026" spans="6:9" x14ac:dyDescent="0.3">
      <c r="F21026"/>
      <c r="G21026"/>
      <c r="H21026"/>
      <c r="I21026"/>
    </row>
    <row r="21027" spans="6:9" x14ac:dyDescent="0.3">
      <c r="F21027"/>
      <c r="G21027"/>
      <c r="H21027"/>
      <c r="I21027"/>
    </row>
    <row r="21028" spans="6:9" x14ac:dyDescent="0.3">
      <c r="F21028"/>
      <c r="G21028"/>
      <c r="H21028"/>
      <c r="I21028"/>
    </row>
    <row r="21029" spans="6:9" x14ac:dyDescent="0.3">
      <c r="F21029"/>
      <c r="G21029"/>
      <c r="H21029"/>
      <c r="I21029"/>
    </row>
    <row r="21030" spans="6:9" x14ac:dyDescent="0.3">
      <c r="F21030"/>
      <c r="G21030"/>
      <c r="H21030"/>
      <c r="I21030"/>
    </row>
    <row r="21031" spans="6:9" x14ac:dyDescent="0.3">
      <c r="F21031"/>
      <c r="G21031"/>
      <c r="H21031"/>
      <c r="I21031"/>
    </row>
    <row r="21032" spans="6:9" x14ac:dyDescent="0.3">
      <c r="F21032"/>
      <c r="G21032"/>
      <c r="H21032"/>
      <c r="I21032"/>
    </row>
    <row r="21033" spans="6:9" x14ac:dyDescent="0.3">
      <c r="F21033"/>
      <c r="G21033"/>
      <c r="H21033"/>
      <c r="I21033"/>
    </row>
    <row r="21034" spans="6:9" x14ac:dyDescent="0.3">
      <c r="F21034"/>
      <c r="G21034"/>
      <c r="H21034"/>
      <c r="I21034"/>
    </row>
    <row r="21035" spans="6:9" x14ac:dyDescent="0.3">
      <c r="F21035"/>
      <c r="G21035"/>
      <c r="H21035"/>
      <c r="I21035"/>
    </row>
    <row r="21036" spans="6:9" x14ac:dyDescent="0.3">
      <c r="F21036"/>
      <c r="G21036"/>
      <c r="H21036"/>
      <c r="I21036"/>
    </row>
    <row r="21037" spans="6:9" x14ac:dyDescent="0.3">
      <c r="F21037"/>
      <c r="G21037"/>
      <c r="H21037"/>
      <c r="I21037"/>
    </row>
    <row r="21038" spans="6:9" x14ac:dyDescent="0.3">
      <c r="F21038"/>
      <c r="G21038"/>
      <c r="H21038"/>
      <c r="I21038"/>
    </row>
    <row r="21039" spans="6:9" x14ac:dyDescent="0.3">
      <c r="F21039"/>
      <c r="G21039"/>
      <c r="H21039"/>
      <c r="I21039"/>
    </row>
    <row r="21040" spans="6:9" x14ac:dyDescent="0.3">
      <c r="F21040"/>
      <c r="G21040"/>
      <c r="H21040"/>
      <c r="I21040"/>
    </row>
    <row r="21041" spans="6:9" x14ac:dyDescent="0.3">
      <c r="F21041"/>
      <c r="G21041"/>
      <c r="H21041"/>
      <c r="I21041"/>
    </row>
    <row r="21042" spans="6:9" x14ac:dyDescent="0.3">
      <c r="F21042"/>
      <c r="G21042"/>
      <c r="H21042"/>
      <c r="I21042"/>
    </row>
    <row r="21043" spans="6:9" x14ac:dyDescent="0.3">
      <c r="F21043"/>
      <c r="G21043"/>
      <c r="H21043"/>
      <c r="I21043"/>
    </row>
    <row r="21044" spans="6:9" x14ac:dyDescent="0.3">
      <c r="F21044"/>
      <c r="G21044"/>
      <c r="H21044"/>
      <c r="I21044"/>
    </row>
    <row r="21045" spans="6:9" x14ac:dyDescent="0.3">
      <c r="F21045"/>
      <c r="G21045"/>
      <c r="H21045"/>
      <c r="I21045"/>
    </row>
    <row r="21046" spans="6:9" x14ac:dyDescent="0.3">
      <c r="F21046"/>
      <c r="G21046"/>
      <c r="H21046"/>
      <c r="I21046"/>
    </row>
    <row r="21047" spans="6:9" x14ac:dyDescent="0.3">
      <c r="F21047"/>
      <c r="G21047"/>
      <c r="H21047"/>
      <c r="I21047"/>
    </row>
    <row r="21048" spans="6:9" x14ac:dyDescent="0.3">
      <c r="F21048"/>
      <c r="G21048"/>
      <c r="H21048"/>
      <c r="I21048"/>
    </row>
    <row r="21049" spans="6:9" x14ac:dyDescent="0.3">
      <c r="F21049"/>
      <c r="G21049"/>
      <c r="H21049"/>
      <c r="I21049"/>
    </row>
    <row r="21050" spans="6:9" x14ac:dyDescent="0.3">
      <c r="F21050"/>
      <c r="G21050"/>
      <c r="H21050"/>
      <c r="I21050"/>
    </row>
    <row r="21051" spans="6:9" x14ac:dyDescent="0.3">
      <c r="F21051"/>
      <c r="G21051"/>
      <c r="H21051"/>
      <c r="I21051"/>
    </row>
    <row r="21052" spans="6:9" x14ac:dyDescent="0.3">
      <c r="F21052"/>
      <c r="G21052"/>
      <c r="H21052"/>
      <c r="I21052"/>
    </row>
    <row r="21053" spans="6:9" x14ac:dyDescent="0.3">
      <c r="F21053"/>
      <c r="G21053"/>
      <c r="H21053"/>
      <c r="I21053"/>
    </row>
    <row r="21054" spans="6:9" x14ac:dyDescent="0.3">
      <c r="F21054"/>
      <c r="G21054"/>
      <c r="H21054"/>
      <c r="I21054"/>
    </row>
    <row r="21055" spans="6:9" x14ac:dyDescent="0.3">
      <c r="F21055"/>
      <c r="G21055"/>
      <c r="H21055"/>
      <c r="I21055"/>
    </row>
    <row r="21056" spans="6:9" x14ac:dyDescent="0.3">
      <c r="F21056"/>
      <c r="G21056"/>
      <c r="H21056"/>
      <c r="I21056"/>
    </row>
    <row r="21057" spans="6:9" x14ac:dyDescent="0.3">
      <c r="F21057"/>
      <c r="G21057"/>
      <c r="H21057"/>
      <c r="I21057"/>
    </row>
    <row r="21058" spans="6:9" x14ac:dyDescent="0.3">
      <c r="F21058"/>
      <c r="G21058"/>
      <c r="H21058"/>
      <c r="I21058"/>
    </row>
    <row r="21059" spans="6:9" x14ac:dyDescent="0.3">
      <c r="F21059"/>
      <c r="G21059"/>
      <c r="H21059"/>
      <c r="I21059"/>
    </row>
    <row r="21060" spans="6:9" x14ac:dyDescent="0.3">
      <c r="F21060"/>
      <c r="G21060"/>
      <c r="H21060"/>
      <c r="I21060"/>
    </row>
    <row r="21061" spans="6:9" x14ac:dyDescent="0.3">
      <c r="F21061"/>
      <c r="G21061"/>
      <c r="H21061"/>
      <c r="I21061"/>
    </row>
    <row r="21062" spans="6:9" x14ac:dyDescent="0.3">
      <c r="F21062"/>
      <c r="G21062"/>
      <c r="H21062"/>
      <c r="I21062"/>
    </row>
    <row r="21063" spans="6:9" x14ac:dyDescent="0.3">
      <c r="F21063"/>
      <c r="G21063"/>
      <c r="H21063"/>
      <c r="I21063"/>
    </row>
    <row r="21064" spans="6:9" x14ac:dyDescent="0.3">
      <c r="F21064"/>
      <c r="G21064"/>
      <c r="H21064"/>
      <c r="I21064"/>
    </row>
    <row r="21065" spans="6:9" x14ac:dyDescent="0.3">
      <c r="F21065"/>
      <c r="G21065"/>
      <c r="H21065"/>
      <c r="I21065"/>
    </row>
    <row r="21066" spans="6:9" x14ac:dyDescent="0.3">
      <c r="F21066"/>
      <c r="G21066"/>
      <c r="H21066"/>
      <c r="I21066"/>
    </row>
    <row r="21067" spans="6:9" x14ac:dyDescent="0.3">
      <c r="F21067"/>
      <c r="G21067"/>
      <c r="H21067"/>
      <c r="I21067"/>
    </row>
    <row r="21068" spans="6:9" x14ac:dyDescent="0.3">
      <c r="F21068"/>
      <c r="G21068"/>
      <c r="H21068"/>
      <c r="I21068"/>
    </row>
    <row r="21069" spans="6:9" x14ac:dyDescent="0.3">
      <c r="F21069"/>
      <c r="G21069"/>
      <c r="H21069"/>
      <c r="I21069"/>
    </row>
    <row r="21070" spans="6:9" x14ac:dyDescent="0.3">
      <c r="F21070"/>
      <c r="G21070"/>
      <c r="H21070"/>
      <c r="I21070"/>
    </row>
    <row r="21071" spans="6:9" x14ac:dyDescent="0.3">
      <c r="F21071"/>
      <c r="G21071"/>
      <c r="H21071"/>
      <c r="I21071"/>
    </row>
    <row r="21072" spans="6:9" x14ac:dyDescent="0.3">
      <c r="F21072"/>
      <c r="G21072"/>
      <c r="H21072"/>
      <c r="I21072"/>
    </row>
    <row r="21073" spans="6:9" x14ac:dyDescent="0.3">
      <c r="F21073"/>
      <c r="G21073"/>
      <c r="H21073"/>
      <c r="I21073"/>
    </row>
    <row r="21074" spans="6:9" x14ac:dyDescent="0.3">
      <c r="F21074"/>
      <c r="G21074"/>
      <c r="H21074"/>
      <c r="I21074"/>
    </row>
    <row r="21075" spans="6:9" x14ac:dyDescent="0.3">
      <c r="F21075"/>
      <c r="G21075"/>
      <c r="H21075"/>
      <c r="I21075"/>
    </row>
    <row r="21076" spans="6:9" x14ac:dyDescent="0.3">
      <c r="F21076"/>
      <c r="G21076"/>
      <c r="H21076"/>
      <c r="I21076"/>
    </row>
    <row r="21077" spans="6:9" x14ac:dyDescent="0.3">
      <c r="F21077"/>
      <c r="G21077"/>
      <c r="H21077"/>
      <c r="I21077"/>
    </row>
    <row r="21078" spans="6:9" x14ac:dyDescent="0.3">
      <c r="F21078"/>
      <c r="G21078"/>
      <c r="H21078"/>
      <c r="I21078"/>
    </row>
    <row r="21079" spans="6:9" x14ac:dyDescent="0.3">
      <c r="F21079"/>
      <c r="G21079"/>
      <c r="H21079"/>
      <c r="I21079"/>
    </row>
    <row r="21080" spans="6:9" x14ac:dyDescent="0.3">
      <c r="F21080"/>
      <c r="G21080"/>
      <c r="H21080"/>
      <c r="I21080"/>
    </row>
    <row r="21081" spans="6:9" x14ac:dyDescent="0.3">
      <c r="F21081"/>
      <c r="G21081"/>
      <c r="H21081"/>
      <c r="I21081"/>
    </row>
    <row r="21082" spans="6:9" x14ac:dyDescent="0.3">
      <c r="F21082"/>
      <c r="G21082"/>
      <c r="H21082"/>
      <c r="I21082"/>
    </row>
    <row r="21083" spans="6:9" x14ac:dyDescent="0.3">
      <c r="F21083"/>
      <c r="G21083"/>
      <c r="H21083"/>
      <c r="I21083"/>
    </row>
    <row r="21084" spans="6:9" x14ac:dyDescent="0.3">
      <c r="F21084"/>
      <c r="G21084"/>
      <c r="H21084"/>
      <c r="I21084"/>
    </row>
    <row r="21085" spans="6:9" x14ac:dyDescent="0.3">
      <c r="F21085"/>
      <c r="G21085"/>
      <c r="H21085"/>
      <c r="I21085"/>
    </row>
    <row r="21086" spans="6:9" x14ac:dyDescent="0.3">
      <c r="F21086"/>
      <c r="G21086"/>
      <c r="H21086"/>
      <c r="I21086"/>
    </row>
    <row r="21087" spans="6:9" x14ac:dyDescent="0.3">
      <c r="F21087"/>
      <c r="G21087"/>
      <c r="H21087"/>
      <c r="I21087"/>
    </row>
    <row r="21088" spans="6:9" x14ac:dyDescent="0.3">
      <c r="F21088"/>
      <c r="G21088"/>
      <c r="H21088"/>
      <c r="I21088"/>
    </row>
    <row r="21089" spans="6:9" x14ac:dyDescent="0.3">
      <c r="F21089"/>
      <c r="G21089"/>
      <c r="H21089"/>
      <c r="I21089"/>
    </row>
    <row r="21090" spans="6:9" x14ac:dyDescent="0.3">
      <c r="F21090"/>
      <c r="G21090"/>
      <c r="H21090"/>
      <c r="I21090"/>
    </row>
    <row r="21091" spans="6:9" x14ac:dyDescent="0.3">
      <c r="F21091"/>
      <c r="G21091"/>
      <c r="H21091"/>
      <c r="I21091"/>
    </row>
    <row r="21092" spans="6:9" x14ac:dyDescent="0.3">
      <c r="F21092"/>
      <c r="G21092"/>
      <c r="H21092"/>
      <c r="I21092"/>
    </row>
    <row r="21093" spans="6:9" x14ac:dyDescent="0.3">
      <c r="F21093"/>
      <c r="G21093"/>
      <c r="H21093"/>
      <c r="I21093"/>
    </row>
    <row r="21094" spans="6:9" x14ac:dyDescent="0.3">
      <c r="F21094"/>
      <c r="G21094"/>
      <c r="H21094"/>
      <c r="I21094"/>
    </row>
    <row r="21095" spans="6:9" x14ac:dyDescent="0.3">
      <c r="F21095"/>
      <c r="G21095"/>
      <c r="H21095"/>
      <c r="I21095"/>
    </row>
    <row r="21096" spans="6:9" x14ac:dyDescent="0.3">
      <c r="F21096"/>
      <c r="G21096"/>
      <c r="H21096"/>
      <c r="I21096"/>
    </row>
    <row r="21097" spans="6:9" x14ac:dyDescent="0.3">
      <c r="F21097"/>
      <c r="G21097"/>
      <c r="H21097"/>
      <c r="I21097"/>
    </row>
    <row r="21098" spans="6:9" x14ac:dyDescent="0.3">
      <c r="F21098"/>
      <c r="G21098"/>
      <c r="H21098"/>
      <c r="I21098"/>
    </row>
    <row r="21099" spans="6:9" x14ac:dyDescent="0.3">
      <c r="F21099"/>
      <c r="G21099"/>
      <c r="H21099"/>
      <c r="I21099"/>
    </row>
    <row r="21100" spans="6:9" x14ac:dyDescent="0.3">
      <c r="F21100"/>
      <c r="G21100"/>
      <c r="H21100"/>
      <c r="I21100"/>
    </row>
    <row r="21101" spans="6:9" x14ac:dyDescent="0.3">
      <c r="F21101"/>
      <c r="G21101"/>
      <c r="H21101"/>
      <c r="I21101"/>
    </row>
    <row r="21102" spans="6:9" x14ac:dyDescent="0.3">
      <c r="F21102"/>
      <c r="G21102"/>
      <c r="H21102"/>
      <c r="I21102"/>
    </row>
    <row r="21103" spans="6:9" x14ac:dyDescent="0.3">
      <c r="F21103"/>
      <c r="G21103"/>
      <c r="H21103"/>
      <c r="I21103"/>
    </row>
    <row r="21104" spans="6:9" x14ac:dyDescent="0.3">
      <c r="F21104"/>
      <c r="G21104"/>
      <c r="H21104"/>
      <c r="I21104"/>
    </row>
    <row r="21105" spans="6:9" x14ac:dyDescent="0.3">
      <c r="F21105"/>
      <c r="G21105"/>
      <c r="H21105"/>
      <c r="I21105"/>
    </row>
    <row r="21106" spans="6:9" x14ac:dyDescent="0.3">
      <c r="F21106"/>
      <c r="G21106"/>
      <c r="H21106"/>
      <c r="I21106"/>
    </row>
    <row r="21107" spans="6:9" x14ac:dyDescent="0.3">
      <c r="F21107"/>
      <c r="G21107"/>
      <c r="H21107"/>
      <c r="I21107"/>
    </row>
    <row r="21108" spans="6:9" x14ac:dyDescent="0.3">
      <c r="F21108"/>
      <c r="G21108"/>
      <c r="H21108"/>
      <c r="I21108"/>
    </row>
    <row r="21109" spans="6:9" x14ac:dyDescent="0.3">
      <c r="F21109"/>
      <c r="G21109"/>
      <c r="H21109"/>
      <c r="I21109"/>
    </row>
    <row r="21110" spans="6:9" x14ac:dyDescent="0.3">
      <c r="F21110"/>
      <c r="G21110"/>
      <c r="H21110"/>
      <c r="I21110"/>
    </row>
    <row r="21111" spans="6:9" x14ac:dyDescent="0.3">
      <c r="F21111"/>
      <c r="G21111"/>
      <c r="H21111"/>
      <c r="I21111"/>
    </row>
    <row r="21112" spans="6:9" x14ac:dyDescent="0.3">
      <c r="F21112"/>
      <c r="G21112"/>
      <c r="H21112"/>
      <c r="I21112"/>
    </row>
    <row r="21113" spans="6:9" x14ac:dyDescent="0.3">
      <c r="F21113"/>
      <c r="G21113"/>
      <c r="H21113"/>
      <c r="I21113"/>
    </row>
    <row r="21114" spans="6:9" x14ac:dyDescent="0.3">
      <c r="F21114"/>
      <c r="G21114"/>
      <c r="H21114"/>
      <c r="I21114"/>
    </row>
    <row r="21115" spans="6:9" x14ac:dyDescent="0.3">
      <c r="F21115"/>
      <c r="G21115"/>
      <c r="H21115"/>
      <c r="I21115"/>
    </row>
    <row r="21116" spans="6:9" x14ac:dyDescent="0.3">
      <c r="F21116"/>
      <c r="G21116"/>
      <c r="H21116"/>
      <c r="I21116"/>
    </row>
    <row r="21117" spans="6:9" x14ac:dyDescent="0.3">
      <c r="F21117"/>
      <c r="G21117"/>
      <c r="H21117"/>
      <c r="I21117"/>
    </row>
    <row r="21118" spans="6:9" x14ac:dyDescent="0.3">
      <c r="F21118"/>
      <c r="G21118"/>
      <c r="H21118"/>
      <c r="I21118"/>
    </row>
    <row r="21119" spans="6:9" x14ac:dyDescent="0.3">
      <c r="F21119"/>
      <c r="G21119"/>
      <c r="H21119"/>
      <c r="I21119"/>
    </row>
    <row r="21120" spans="6:9" x14ac:dyDescent="0.3">
      <c r="F21120"/>
      <c r="G21120"/>
      <c r="H21120"/>
      <c r="I21120"/>
    </row>
    <row r="21121" spans="6:9" x14ac:dyDescent="0.3">
      <c r="F21121"/>
      <c r="G21121"/>
      <c r="H21121"/>
      <c r="I21121"/>
    </row>
    <row r="21122" spans="6:9" x14ac:dyDescent="0.3">
      <c r="F21122"/>
      <c r="G21122"/>
      <c r="H21122"/>
      <c r="I21122"/>
    </row>
    <row r="21123" spans="6:9" x14ac:dyDescent="0.3">
      <c r="F21123"/>
      <c r="G21123"/>
      <c r="H21123"/>
      <c r="I21123"/>
    </row>
    <row r="21124" spans="6:9" x14ac:dyDescent="0.3">
      <c r="F21124"/>
      <c r="G21124"/>
      <c r="H21124"/>
      <c r="I21124"/>
    </row>
    <row r="21125" spans="6:9" x14ac:dyDescent="0.3">
      <c r="F21125"/>
      <c r="G21125"/>
      <c r="H21125"/>
      <c r="I21125"/>
    </row>
    <row r="21126" spans="6:9" x14ac:dyDescent="0.3">
      <c r="F21126"/>
      <c r="G21126"/>
      <c r="H21126"/>
      <c r="I21126"/>
    </row>
    <row r="21127" spans="6:9" x14ac:dyDescent="0.3">
      <c r="F21127"/>
      <c r="G21127"/>
      <c r="H21127"/>
      <c r="I21127"/>
    </row>
    <row r="21128" spans="6:9" x14ac:dyDescent="0.3">
      <c r="F21128"/>
      <c r="G21128"/>
      <c r="H21128"/>
      <c r="I21128"/>
    </row>
    <row r="21129" spans="6:9" x14ac:dyDescent="0.3">
      <c r="F21129"/>
      <c r="G21129"/>
      <c r="H21129"/>
      <c r="I21129"/>
    </row>
    <row r="21130" spans="6:9" x14ac:dyDescent="0.3">
      <c r="F21130"/>
      <c r="G21130"/>
      <c r="H21130"/>
      <c r="I21130"/>
    </row>
    <row r="21131" spans="6:9" x14ac:dyDescent="0.3">
      <c r="F21131"/>
      <c r="G21131"/>
      <c r="H21131"/>
      <c r="I21131"/>
    </row>
    <row r="21132" spans="6:9" x14ac:dyDescent="0.3">
      <c r="F21132"/>
      <c r="G21132"/>
      <c r="H21132"/>
      <c r="I21132"/>
    </row>
    <row r="21133" spans="6:9" x14ac:dyDescent="0.3">
      <c r="F21133"/>
      <c r="G21133"/>
      <c r="H21133"/>
      <c r="I21133"/>
    </row>
    <row r="21134" spans="6:9" x14ac:dyDescent="0.3">
      <c r="F21134"/>
      <c r="G21134"/>
      <c r="H21134"/>
      <c r="I21134"/>
    </row>
    <row r="21135" spans="6:9" x14ac:dyDescent="0.3">
      <c r="F21135"/>
      <c r="G21135"/>
      <c r="H21135"/>
      <c r="I21135"/>
    </row>
    <row r="21136" spans="6:9" x14ac:dyDescent="0.3">
      <c r="F21136"/>
      <c r="G21136"/>
      <c r="H21136"/>
      <c r="I21136"/>
    </row>
    <row r="21137" spans="6:9" x14ac:dyDescent="0.3">
      <c r="F21137"/>
      <c r="G21137"/>
      <c r="H21137"/>
      <c r="I21137"/>
    </row>
    <row r="21138" spans="6:9" x14ac:dyDescent="0.3">
      <c r="F21138"/>
      <c r="G21138"/>
      <c r="H21138"/>
      <c r="I21138"/>
    </row>
    <row r="21139" spans="6:9" x14ac:dyDescent="0.3">
      <c r="F21139"/>
      <c r="G21139"/>
      <c r="H21139"/>
      <c r="I21139"/>
    </row>
    <row r="21140" spans="6:9" x14ac:dyDescent="0.3">
      <c r="F21140"/>
      <c r="G21140"/>
      <c r="H21140"/>
      <c r="I21140"/>
    </row>
    <row r="21141" spans="6:9" x14ac:dyDescent="0.3">
      <c r="F21141"/>
      <c r="G21141"/>
      <c r="H21141"/>
      <c r="I21141"/>
    </row>
    <row r="21142" spans="6:9" x14ac:dyDescent="0.3">
      <c r="F21142"/>
      <c r="G21142"/>
      <c r="H21142"/>
      <c r="I21142"/>
    </row>
    <row r="21143" spans="6:9" x14ac:dyDescent="0.3">
      <c r="F21143"/>
      <c r="G21143"/>
      <c r="H21143"/>
      <c r="I21143"/>
    </row>
    <row r="21144" spans="6:9" x14ac:dyDescent="0.3">
      <c r="F21144"/>
      <c r="G21144"/>
      <c r="H21144"/>
      <c r="I21144"/>
    </row>
    <row r="21145" spans="6:9" x14ac:dyDescent="0.3">
      <c r="F21145"/>
      <c r="G21145"/>
      <c r="H21145"/>
      <c r="I21145"/>
    </row>
    <row r="21146" spans="6:9" x14ac:dyDescent="0.3">
      <c r="F21146"/>
      <c r="G21146"/>
      <c r="H21146"/>
      <c r="I21146"/>
    </row>
    <row r="21147" spans="6:9" x14ac:dyDescent="0.3">
      <c r="F21147"/>
      <c r="G21147"/>
      <c r="H21147"/>
      <c r="I21147"/>
    </row>
    <row r="21148" spans="6:9" x14ac:dyDescent="0.3">
      <c r="F21148"/>
      <c r="G21148"/>
      <c r="H21148"/>
      <c r="I21148"/>
    </row>
    <row r="21149" spans="6:9" x14ac:dyDescent="0.3">
      <c r="F21149"/>
      <c r="G21149"/>
      <c r="H21149"/>
      <c r="I21149"/>
    </row>
    <row r="21150" spans="6:9" x14ac:dyDescent="0.3">
      <c r="F21150"/>
      <c r="G21150"/>
      <c r="H21150"/>
      <c r="I21150"/>
    </row>
    <row r="21151" spans="6:9" x14ac:dyDescent="0.3">
      <c r="F21151"/>
      <c r="G21151"/>
      <c r="H21151"/>
      <c r="I21151"/>
    </row>
    <row r="21152" spans="6:9" x14ac:dyDescent="0.3">
      <c r="F21152"/>
      <c r="G21152"/>
      <c r="H21152"/>
      <c r="I21152"/>
    </row>
    <row r="21153" spans="6:9" x14ac:dyDescent="0.3">
      <c r="F21153"/>
      <c r="G21153"/>
      <c r="H21153"/>
      <c r="I21153"/>
    </row>
    <row r="21154" spans="6:9" x14ac:dyDescent="0.3">
      <c r="F21154"/>
      <c r="G21154"/>
      <c r="H21154"/>
      <c r="I21154"/>
    </row>
    <row r="21155" spans="6:9" x14ac:dyDescent="0.3">
      <c r="F21155"/>
      <c r="G21155"/>
      <c r="H21155"/>
      <c r="I21155"/>
    </row>
    <row r="21156" spans="6:9" x14ac:dyDescent="0.3">
      <c r="F21156"/>
      <c r="G21156"/>
      <c r="H21156"/>
      <c r="I21156"/>
    </row>
    <row r="21157" spans="6:9" x14ac:dyDescent="0.3">
      <c r="F21157"/>
      <c r="G21157"/>
      <c r="H21157"/>
      <c r="I21157"/>
    </row>
    <row r="21158" spans="6:9" x14ac:dyDescent="0.3">
      <c r="F21158"/>
      <c r="G21158"/>
      <c r="H21158"/>
      <c r="I21158"/>
    </row>
    <row r="21159" spans="6:9" x14ac:dyDescent="0.3">
      <c r="F21159"/>
      <c r="G21159"/>
      <c r="H21159"/>
      <c r="I21159"/>
    </row>
    <row r="21160" spans="6:9" x14ac:dyDescent="0.3">
      <c r="F21160"/>
      <c r="G21160"/>
      <c r="H21160"/>
      <c r="I21160"/>
    </row>
    <row r="21161" spans="6:9" x14ac:dyDescent="0.3">
      <c r="F21161"/>
      <c r="G21161"/>
      <c r="H21161"/>
      <c r="I21161"/>
    </row>
    <row r="21162" spans="6:9" x14ac:dyDescent="0.3">
      <c r="F21162"/>
      <c r="G21162"/>
      <c r="H21162"/>
      <c r="I21162"/>
    </row>
    <row r="21163" spans="6:9" x14ac:dyDescent="0.3">
      <c r="F21163"/>
      <c r="G21163"/>
      <c r="H21163"/>
      <c r="I21163"/>
    </row>
    <row r="21164" spans="6:9" x14ac:dyDescent="0.3">
      <c r="F21164"/>
      <c r="G21164"/>
      <c r="H21164"/>
      <c r="I21164"/>
    </row>
    <row r="21165" spans="6:9" x14ac:dyDescent="0.3">
      <c r="F21165"/>
      <c r="G21165"/>
      <c r="H21165"/>
      <c r="I21165"/>
    </row>
    <row r="21166" spans="6:9" x14ac:dyDescent="0.3">
      <c r="F21166"/>
      <c r="G21166"/>
      <c r="H21166"/>
      <c r="I21166"/>
    </row>
    <row r="21167" spans="6:9" x14ac:dyDescent="0.3">
      <c r="F21167"/>
      <c r="G21167"/>
      <c r="H21167"/>
      <c r="I21167"/>
    </row>
    <row r="21168" spans="6:9" x14ac:dyDescent="0.3">
      <c r="F21168"/>
      <c r="G21168"/>
      <c r="H21168"/>
      <c r="I21168"/>
    </row>
    <row r="21169" spans="6:9" x14ac:dyDescent="0.3">
      <c r="F21169"/>
      <c r="G21169"/>
      <c r="H21169"/>
      <c r="I21169"/>
    </row>
    <row r="21170" spans="6:9" x14ac:dyDescent="0.3">
      <c r="F21170"/>
      <c r="G21170"/>
      <c r="H21170"/>
      <c r="I21170"/>
    </row>
    <row r="21171" spans="6:9" x14ac:dyDescent="0.3">
      <c r="F21171"/>
      <c r="G21171"/>
      <c r="H21171"/>
      <c r="I21171"/>
    </row>
    <row r="21172" spans="6:9" x14ac:dyDescent="0.3">
      <c r="F21172"/>
      <c r="G21172"/>
      <c r="H21172"/>
      <c r="I21172"/>
    </row>
    <row r="21173" spans="6:9" x14ac:dyDescent="0.3">
      <c r="F21173"/>
      <c r="G21173"/>
      <c r="H21173"/>
      <c r="I21173"/>
    </row>
    <row r="21174" spans="6:9" x14ac:dyDescent="0.3">
      <c r="F21174"/>
      <c r="G21174"/>
      <c r="H21174"/>
      <c r="I21174"/>
    </row>
    <row r="21175" spans="6:9" x14ac:dyDescent="0.3">
      <c r="F21175"/>
      <c r="G21175"/>
      <c r="H21175"/>
      <c r="I21175"/>
    </row>
    <row r="21176" spans="6:9" x14ac:dyDescent="0.3">
      <c r="F21176"/>
      <c r="G21176"/>
      <c r="H21176"/>
      <c r="I21176"/>
    </row>
    <row r="21177" spans="6:9" x14ac:dyDescent="0.3">
      <c r="F21177"/>
      <c r="G21177"/>
      <c r="H21177"/>
      <c r="I21177"/>
    </row>
    <row r="21178" spans="6:9" x14ac:dyDescent="0.3">
      <c r="F21178"/>
      <c r="G21178"/>
      <c r="H21178"/>
      <c r="I21178"/>
    </row>
    <row r="21179" spans="6:9" x14ac:dyDescent="0.3">
      <c r="F21179"/>
      <c r="G21179"/>
      <c r="H21179"/>
      <c r="I21179"/>
    </row>
    <row r="21180" spans="6:9" x14ac:dyDescent="0.3">
      <c r="F21180"/>
      <c r="G21180"/>
      <c r="H21180"/>
      <c r="I21180"/>
    </row>
    <row r="21181" spans="6:9" x14ac:dyDescent="0.3">
      <c r="F21181"/>
      <c r="G21181"/>
      <c r="H21181"/>
      <c r="I21181"/>
    </row>
    <row r="21182" spans="6:9" x14ac:dyDescent="0.3">
      <c r="F21182"/>
      <c r="G21182"/>
      <c r="H21182"/>
      <c r="I21182"/>
    </row>
    <row r="21183" spans="6:9" x14ac:dyDescent="0.3">
      <c r="F21183"/>
      <c r="G21183"/>
      <c r="H21183"/>
      <c r="I21183"/>
    </row>
    <row r="21184" spans="6:9" x14ac:dyDescent="0.3">
      <c r="F21184"/>
      <c r="G21184"/>
      <c r="H21184"/>
      <c r="I21184"/>
    </row>
    <row r="21185" spans="6:9" x14ac:dyDescent="0.3">
      <c r="F21185"/>
      <c r="G21185"/>
      <c r="H21185"/>
      <c r="I21185"/>
    </row>
    <row r="21186" spans="6:9" x14ac:dyDescent="0.3">
      <c r="F21186"/>
      <c r="G21186"/>
      <c r="H21186"/>
      <c r="I21186"/>
    </row>
    <row r="21187" spans="6:9" x14ac:dyDescent="0.3">
      <c r="F21187"/>
      <c r="G21187"/>
      <c r="H21187"/>
      <c r="I21187"/>
    </row>
    <row r="21188" spans="6:9" x14ac:dyDescent="0.3">
      <c r="F21188"/>
      <c r="G21188"/>
      <c r="H21188"/>
      <c r="I21188"/>
    </row>
    <row r="21189" spans="6:9" x14ac:dyDescent="0.3">
      <c r="F21189"/>
      <c r="G21189"/>
      <c r="H21189"/>
      <c r="I21189"/>
    </row>
    <row r="21190" spans="6:9" x14ac:dyDescent="0.3">
      <c r="F21190"/>
      <c r="G21190"/>
      <c r="H21190"/>
      <c r="I21190"/>
    </row>
    <row r="21191" spans="6:9" x14ac:dyDescent="0.3">
      <c r="F21191"/>
      <c r="G21191"/>
      <c r="H21191"/>
      <c r="I21191"/>
    </row>
    <row r="21192" spans="6:9" x14ac:dyDescent="0.3">
      <c r="F21192"/>
      <c r="G21192"/>
      <c r="H21192"/>
      <c r="I21192"/>
    </row>
    <row r="21193" spans="6:9" x14ac:dyDescent="0.3">
      <c r="F21193"/>
      <c r="G21193"/>
      <c r="H21193"/>
      <c r="I21193"/>
    </row>
    <row r="21194" spans="6:9" x14ac:dyDescent="0.3">
      <c r="F21194"/>
      <c r="G21194"/>
      <c r="H21194"/>
      <c r="I21194"/>
    </row>
    <row r="21195" spans="6:9" x14ac:dyDescent="0.3">
      <c r="F21195"/>
      <c r="G21195"/>
      <c r="H21195"/>
      <c r="I21195"/>
    </row>
    <row r="21196" spans="6:9" x14ac:dyDescent="0.3">
      <c r="F21196"/>
      <c r="G21196"/>
      <c r="H21196"/>
      <c r="I21196"/>
    </row>
    <row r="21197" spans="6:9" x14ac:dyDescent="0.3">
      <c r="F21197"/>
      <c r="G21197"/>
      <c r="H21197"/>
      <c r="I21197"/>
    </row>
    <row r="21198" spans="6:9" x14ac:dyDescent="0.3">
      <c r="F21198"/>
      <c r="G21198"/>
      <c r="H21198"/>
      <c r="I21198"/>
    </row>
    <row r="21199" spans="6:9" x14ac:dyDescent="0.3">
      <c r="F21199"/>
      <c r="G21199"/>
      <c r="H21199"/>
      <c r="I21199"/>
    </row>
    <row r="21200" spans="6:9" x14ac:dyDescent="0.3">
      <c r="F21200"/>
      <c r="G21200"/>
      <c r="H21200"/>
      <c r="I21200"/>
    </row>
    <row r="21201" spans="6:9" x14ac:dyDescent="0.3">
      <c r="F21201"/>
      <c r="G21201"/>
      <c r="H21201"/>
      <c r="I21201"/>
    </row>
    <row r="21202" spans="6:9" x14ac:dyDescent="0.3">
      <c r="F21202"/>
      <c r="G21202"/>
      <c r="H21202"/>
      <c r="I21202"/>
    </row>
    <row r="21203" spans="6:9" x14ac:dyDescent="0.3">
      <c r="F21203"/>
      <c r="G21203"/>
      <c r="H21203"/>
      <c r="I21203"/>
    </row>
    <row r="21204" spans="6:9" x14ac:dyDescent="0.3">
      <c r="F21204"/>
      <c r="G21204"/>
      <c r="H21204"/>
      <c r="I21204"/>
    </row>
    <row r="21205" spans="6:9" x14ac:dyDescent="0.3">
      <c r="F21205"/>
      <c r="G21205"/>
      <c r="H21205"/>
      <c r="I21205"/>
    </row>
    <row r="21206" spans="6:9" x14ac:dyDescent="0.3">
      <c r="F21206"/>
      <c r="G21206"/>
      <c r="H21206"/>
      <c r="I21206"/>
    </row>
    <row r="21207" spans="6:9" x14ac:dyDescent="0.3">
      <c r="F21207"/>
      <c r="G21207"/>
      <c r="H21207"/>
      <c r="I21207"/>
    </row>
    <row r="21208" spans="6:9" x14ac:dyDescent="0.3">
      <c r="F21208"/>
      <c r="G21208"/>
      <c r="H21208"/>
      <c r="I21208"/>
    </row>
    <row r="21209" spans="6:9" x14ac:dyDescent="0.3">
      <c r="F21209"/>
      <c r="G21209"/>
      <c r="H21209"/>
      <c r="I21209"/>
    </row>
    <row r="21210" spans="6:9" x14ac:dyDescent="0.3">
      <c r="F21210"/>
      <c r="G21210"/>
      <c r="H21210"/>
      <c r="I21210"/>
    </row>
    <row r="21211" spans="6:9" x14ac:dyDescent="0.3">
      <c r="F21211"/>
      <c r="G21211"/>
      <c r="H21211"/>
      <c r="I21211"/>
    </row>
    <row r="21212" spans="6:9" x14ac:dyDescent="0.3">
      <c r="F21212"/>
      <c r="G21212"/>
      <c r="H21212"/>
      <c r="I21212"/>
    </row>
    <row r="21213" spans="6:9" x14ac:dyDescent="0.3">
      <c r="F21213"/>
      <c r="G21213"/>
      <c r="H21213"/>
      <c r="I21213"/>
    </row>
    <row r="21214" spans="6:9" x14ac:dyDescent="0.3">
      <c r="F21214"/>
      <c r="G21214"/>
      <c r="H21214"/>
      <c r="I21214"/>
    </row>
    <row r="21215" spans="6:9" x14ac:dyDescent="0.3">
      <c r="F21215"/>
      <c r="G21215"/>
      <c r="H21215"/>
      <c r="I21215"/>
    </row>
    <row r="21216" spans="6:9" x14ac:dyDescent="0.3">
      <c r="F21216"/>
      <c r="G21216"/>
      <c r="H21216"/>
      <c r="I21216"/>
    </row>
    <row r="21217" spans="6:9" x14ac:dyDescent="0.3">
      <c r="F21217"/>
      <c r="G21217"/>
      <c r="H21217"/>
      <c r="I21217"/>
    </row>
    <row r="21218" spans="6:9" x14ac:dyDescent="0.3">
      <c r="F21218"/>
      <c r="G21218"/>
      <c r="H21218"/>
      <c r="I21218"/>
    </row>
    <row r="21219" spans="6:9" x14ac:dyDescent="0.3">
      <c r="F21219"/>
      <c r="G21219"/>
      <c r="H21219"/>
      <c r="I21219"/>
    </row>
    <row r="21220" spans="6:9" x14ac:dyDescent="0.3">
      <c r="F21220"/>
      <c r="G21220"/>
      <c r="H21220"/>
      <c r="I21220"/>
    </row>
    <row r="21221" spans="6:9" x14ac:dyDescent="0.3">
      <c r="F21221"/>
      <c r="G21221"/>
      <c r="H21221"/>
      <c r="I21221"/>
    </row>
    <row r="21222" spans="6:9" x14ac:dyDescent="0.3">
      <c r="F21222"/>
      <c r="G21222"/>
      <c r="H21222"/>
      <c r="I21222"/>
    </row>
    <row r="21223" spans="6:9" x14ac:dyDescent="0.3">
      <c r="F21223"/>
      <c r="G21223"/>
      <c r="H21223"/>
      <c r="I21223"/>
    </row>
    <row r="21224" spans="6:9" x14ac:dyDescent="0.3">
      <c r="F21224"/>
      <c r="G21224"/>
      <c r="H21224"/>
      <c r="I21224"/>
    </row>
    <row r="21225" spans="6:9" x14ac:dyDescent="0.3">
      <c r="F21225"/>
      <c r="G21225"/>
      <c r="H21225"/>
      <c r="I21225"/>
    </row>
    <row r="21226" spans="6:9" x14ac:dyDescent="0.3">
      <c r="F21226"/>
      <c r="G21226"/>
      <c r="H21226"/>
      <c r="I21226"/>
    </row>
    <row r="21227" spans="6:9" x14ac:dyDescent="0.3">
      <c r="F21227"/>
      <c r="G21227"/>
      <c r="H21227"/>
      <c r="I21227"/>
    </row>
    <row r="21228" spans="6:9" x14ac:dyDescent="0.3">
      <c r="F21228"/>
      <c r="G21228"/>
      <c r="H21228"/>
      <c r="I21228"/>
    </row>
    <row r="21229" spans="6:9" x14ac:dyDescent="0.3">
      <c r="F21229"/>
      <c r="G21229"/>
      <c r="H21229"/>
      <c r="I21229"/>
    </row>
    <row r="21230" spans="6:9" x14ac:dyDescent="0.3">
      <c r="F21230"/>
      <c r="G21230"/>
      <c r="H21230"/>
      <c r="I21230"/>
    </row>
    <row r="21231" spans="6:9" x14ac:dyDescent="0.3">
      <c r="F21231"/>
      <c r="G21231"/>
      <c r="H21231"/>
      <c r="I21231"/>
    </row>
    <row r="21232" spans="6:9" x14ac:dyDescent="0.3">
      <c r="F21232"/>
      <c r="G21232"/>
      <c r="H21232"/>
      <c r="I21232"/>
    </row>
    <row r="21233" spans="6:9" x14ac:dyDescent="0.3">
      <c r="F21233"/>
      <c r="G21233"/>
      <c r="H21233"/>
      <c r="I21233"/>
    </row>
    <row r="21234" spans="6:9" x14ac:dyDescent="0.3">
      <c r="F21234"/>
      <c r="G21234"/>
      <c r="H21234"/>
      <c r="I21234"/>
    </row>
    <row r="21235" spans="6:9" x14ac:dyDescent="0.3">
      <c r="F21235"/>
      <c r="G21235"/>
      <c r="H21235"/>
      <c r="I21235"/>
    </row>
    <row r="21236" spans="6:9" x14ac:dyDescent="0.3">
      <c r="F21236"/>
      <c r="G21236"/>
      <c r="H21236"/>
      <c r="I21236"/>
    </row>
    <row r="21237" spans="6:9" x14ac:dyDescent="0.3">
      <c r="F21237"/>
      <c r="G21237"/>
      <c r="H21237"/>
      <c r="I21237"/>
    </row>
    <row r="21238" spans="6:9" x14ac:dyDescent="0.3">
      <c r="F21238"/>
      <c r="G21238"/>
      <c r="H21238"/>
      <c r="I21238"/>
    </row>
    <row r="21239" spans="6:9" x14ac:dyDescent="0.3">
      <c r="F21239"/>
      <c r="G21239"/>
      <c r="H21239"/>
      <c r="I21239"/>
    </row>
    <row r="21240" spans="6:9" x14ac:dyDescent="0.3">
      <c r="F21240"/>
      <c r="G21240"/>
      <c r="H21240"/>
      <c r="I21240"/>
    </row>
    <row r="21241" spans="6:9" x14ac:dyDescent="0.3">
      <c r="F21241"/>
      <c r="G21241"/>
      <c r="H21241"/>
      <c r="I21241"/>
    </row>
    <row r="21242" spans="6:9" x14ac:dyDescent="0.3">
      <c r="F21242"/>
      <c r="G21242"/>
      <c r="H21242"/>
      <c r="I21242"/>
    </row>
    <row r="21243" spans="6:9" x14ac:dyDescent="0.3">
      <c r="F21243"/>
      <c r="G21243"/>
      <c r="H21243"/>
      <c r="I21243"/>
    </row>
    <row r="21244" spans="6:9" x14ac:dyDescent="0.3">
      <c r="F21244"/>
      <c r="G21244"/>
      <c r="H21244"/>
      <c r="I21244"/>
    </row>
    <row r="21245" spans="6:9" x14ac:dyDescent="0.3">
      <c r="F21245"/>
      <c r="G21245"/>
      <c r="H21245"/>
      <c r="I21245"/>
    </row>
    <row r="21246" spans="6:9" x14ac:dyDescent="0.3">
      <c r="F21246"/>
      <c r="G21246"/>
      <c r="H21246"/>
      <c r="I21246"/>
    </row>
    <row r="21247" spans="6:9" x14ac:dyDescent="0.3">
      <c r="F21247"/>
      <c r="G21247"/>
      <c r="H21247"/>
      <c r="I21247"/>
    </row>
    <row r="21248" spans="6:9" x14ac:dyDescent="0.3">
      <c r="F21248"/>
      <c r="G21248"/>
      <c r="H21248"/>
      <c r="I21248"/>
    </row>
    <row r="21249" spans="6:9" x14ac:dyDescent="0.3">
      <c r="F21249"/>
      <c r="G21249"/>
      <c r="H21249"/>
      <c r="I21249"/>
    </row>
    <row r="21250" spans="6:9" x14ac:dyDescent="0.3">
      <c r="F21250"/>
      <c r="G21250"/>
      <c r="H21250"/>
      <c r="I21250"/>
    </row>
    <row r="21251" spans="6:9" x14ac:dyDescent="0.3">
      <c r="F21251"/>
      <c r="G21251"/>
      <c r="H21251"/>
      <c r="I21251"/>
    </row>
    <row r="21252" spans="6:9" x14ac:dyDescent="0.3">
      <c r="F21252"/>
      <c r="G21252"/>
      <c r="H21252"/>
      <c r="I21252"/>
    </row>
    <row r="21253" spans="6:9" x14ac:dyDescent="0.3">
      <c r="F21253"/>
      <c r="G21253"/>
      <c r="H21253"/>
      <c r="I21253"/>
    </row>
    <row r="21254" spans="6:9" x14ac:dyDescent="0.3">
      <c r="F21254"/>
      <c r="G21254"/>
      <c r="H21254"/>
      <c r="I21254"/>
    </row>
    <row r="21255" spans="6:9" x14ac:dyDescent="0.3">
      <c r="F21255"/>
      <c r="G21255"/>
      <c r="H21255"/>
      <c r="I21255"/>
    </row>
    <row r="21256" spans="6:9" x14ac:dyDescent="0.3">
      <c r="F21256"/>
      <c r="G21256"/>
      <c r="H21256"/>
      <c r="I21256"/>
    </row>
    <row r="21257" spans="6:9" x14ac:dyDescent="0.3">
      <c r="F21257"/>
      <c r="G21257"/>
      <c r="H21257"/>
      <c r="I21257"/>
    </row>
    <row r="21258" spans="6:9" x14ac:dyDescent="0.3">
      <c r="F21258"/>
      <c r="G21258"/>
      <c r="H21258"/>
      <c r="I21258"/>
    </row>
    <row r="21259" spans="6:9" x14ac:dyDescent="0.3">
      <c r="F21259"/>
      <c r="G21259"/>
      <c r="H21259"/>
      <c r="I21259"/>
    </row>
    <row r="21260" spans="6:9" x14ac:dyDescent="0.3">
      <c r="F21260"/>
      <c r="G21260"/>
      <c r="H21260"/>
      <c r="I21260"/>
    </row>
    <row r="21261" spans="6:9" x14ac:dyDescent="0.3">
      <c r="F21261"/>
      <c r="G21261"/>
      <c r="H21261"/>
      <c r="I21261"/>
    </row>
    <row r="21262" spans="6:9" x14ac:dyDescent="0.3">
      <c r="F21262"/>
      <c r="G21262"/>
      <c r="H21262"/>
      <c r="I21262"/>
    </row>
    <row r="21263" spans="6:9" x14ac:dyDescent="0.3">
      <c r="F21263"/>
      <c r="G21263"/>
      <c r="H21263"/>
      <c r="I21263"/>
    </row>
    <row r="21264" spans="6:9" x14ac:dyDescent="0.3">
      <c r="F21264"/>
      <c r="G21264"/>
      <c r="H21264"/>
      <c r="I21264"/>
    </row>
    <row r="21265" spans="6:9" x14ac:dyDescent="0.3">
      <c r="F21265"/>
      <c r="G21265"/>
      <c r="H21265"/>
      <c r="I21265"/>
    </row>
    <row r="21266" spans="6:9" x14ac:dyDescent="0.3">
      <c r="F21266"/>
      <c r="G21266"/>
      <c r="H21266"/>
      <c r="I21266"/>
    </row>
    <row r="21267" spans="6:9" x14ac:dyDescent="0.3">
      <c r="F21267"/>
      <c r="G21267"/>
      <c r="H21267"/>
      <c r="I21267"/>
    </row>
    <row r="21268" spans="6:9" x14ac:dyDescent="0.3">
      <c r="F21268"/>
      <c r="G21268"/>
      <c r="H21268"/>
      <c r="I21268"/>
    </row>
    <row r="21269" spans="6:9" x14ac:dyDescent="0.3">
      <c r="F21269"/>
      <c r="G21269"/>
      <c r="H21269"/>
      <c r="I21269"/>
    </row>
    <row r="21270" spans="6:9" x14ac:dyDescent="0.3">
      <c r="F21270"/>
      <c r="G21270"/>
      <c r="H21270"/>
      <c r="I21270"/>
    </row>
    <row r="21271" spans="6:9" x14ac:dyDescent="0.3">
      <c r="F21271"/>
      <c r="G21271"/>
      <c r="H21271"/>
      <c r="I21271"/>
    </row>
    <row r="21272" spans="6:9" x14ac:dyDescent="0.3">
      <c r="F21272"/>
      <c r="G21272"/>
      <c r="H21272"/>
      <c r="I21272"/>
    </row>
    <row r="21273" spans="6:9" x14ac:dyDescent="0.3">
      <c r="F21273"/>
      <c r="G21273"/>
      <c r="H21273"/>
      <c r="I21273"/>
    </row>
    <row r="21274" spans="6:9" x14ac:dyDescent="0.3">
      <c r="F21274"/>
      <c r="G21274"/>
      <c r="H21274"/>
      <c r="I21274"/>
    </row>
    <row r="21275" spans="6:9" x14ac:dyDescent="0.3">
      <c r="F21275"/>
      <c r="G21275"/>
      <c r="H21275"/>
      <c r="I21275"/>
    </row>
    <row r="21276" spans="6:9" x14ac:dyDescent="0.3">
      <c r="F21276"/>
      <c r="G21276"/>
      <c r="H21276"/>
      <c r="I21276"/>
    </row>
    <row r="21277" spans="6:9" x14ac:dyDescent="0.3">
      <c r="F21277"/>
      <c r="G21277"/>
      <c r="H21277"/>
      <c r="I21277"/>
    </row>
    <row r="21278" spans="6:9" x14ac:dyDescent="0.3">
      <c r="F21278"/>
      <c r="G21278"/>
      <c r="H21278"/>
      <c r="I21278"/>
    </row>
    <row r="21279" spans="6:9" x14ac:dyDescent="0.3">
      <c r="F21279"/>
      <c r="G21279"/>
      <c r="H21279"/>
      <c r="I21279"/>
    </row>
    <row r="21280" spans="6:9" x14ac:dyDescent="0.3">
      <c r="F21280"/>
      <c r="G21280"/>
      <c r="H21280"/>
      <c r="I21280"/>
    </row>
    <row r="21281" spans="6:9" x14ac:dyDescent="0.3">
      <c r="F21281"/>
      <c r="G21281"/>
      <c r="H21281"/>
      <c r="I21281"/>
    </row>
    <row r="21282" spans="6:9" x14ac:dyDescent="0.3">
      <c r="F21282"/>
      <c r="G21282"/>
      <c r="H21282"/>
      <c r="I21282"/>
    </row>
    <row r="21283" spans="6:9" x14ac:dyDescent="0.3">
      <c r="F21283"/>
      <c r="G21283"/>
      <c r="H21283"/>
      <c r="I21283"/>
    </row>
    <row r="21284" spans="6:9" x14ac:dyDescent="0.3">
      <c r="F21284"/>
      <c r="G21284"/>
      <c r="H21284"/>
      <c r="I21284"/>
    </row>
    <row r="21285" spans="6:9" x14ac:dyDescent="0.3">
      <c r="F21285"/>
      <c r="G21285"/>
      <c r="H21285"/>
      <c r="I21285"/>
    </row>
    <row r="21286" spans="6:9" x14ac:dyDescent="0.3">
      <c r="F21286"/>
      <c r="G21286"/>
      <c r="H21286"/>
      <c r="I21286"/>
    </row>
    <row r="21287" spans="6:9" x14ac:dyDescent="0.3">
      <c r="F21287"/>
      <c r="G21287"/>
      <c r="H21287"/>
      <c r="I21287"/>
    </row>
    <row r="21288" spans="6:9" x14ac:dyDescent="0.3">
      <c r="F21288"/>
      <c r="G21288"/>
      <c r="H21288"/>
      <c r="I21288"/>
    </row>
    <row r="21289" spans="6:9" x14ac:dyDescent="0.3">
      <c r="F21289"/>
      <c r="G21289"/>
      <c r="H21289"/>
      <c r="I21289"/>
    </row>
    <row r="21290" spans="6:9" x14ac:dyDescent="0.3">
      <c r="F21290"/>
      <c r="G21290"/>
      <c r="H21290"/>
      <c r="I21290"/>
    </row>
    <row r="21291" spans="6:9" x14ac:dyDescent="0.3">
      <c r="F21291"/>
      <c r="G21291"/>
      <c r="H21291"/>
      <c r="I21291"/>
    </row>
    <row r="21292" spans="6:9" x14ac:dyDescent="0.3">
      <c r="F21292"/>
      <c r="G21292"/>
      <c r="H21292"/>
      <c r="I21292"/>
    </row>
    <row r="21293" spans="6:9" x14ac:dyDescent="0.3">
      <c r="F21293"/>
      <c r="G21293"/>
      <c r="H21293"/>
      <c r="I21293"/>
    </row>
    <row r="21294" spans="6:9" x14ac:dyDescent="0.3">
      <c r="F21294"/>
      <c r="G21294"/>
      <c r="H21294"/>
      <c r="I21294"/>
    </row>
    <row r="21295" spans="6:9" x14ac:dyDescent="0.3">
      <c r="F21295"/>
      <c r="G21295"/>
      <c r="H21295"/>
      <c r="I21295"/>
    </row>
    <row r="21296" spans="6:9" x14ac:dyDescent="0.3">
      <c r="F21296"/>
      <c r="G21296"/>
      <c r="H21296"/>
      <c r="I21296"/>
    </row>
    <row r="21297" spans="6:9" x14ac:dyDescent="0.3">
      <c r="F21297"/>
      <c r="G21297"/>
      <c r="H21297"/>
      <c r="I21297"/>
    </row>
    <row r="21298" spans="6:9" x14ac:dyDescent="0.3">
      <c r="F21298"/>
      <c r="G21298"/>
      <c r="H21298"/>
      <c r="I21298"/>
    </row>
    <row r="21299" spans="6:9" x14ac:dyDescent="0.3">
      <c r="F21299"/>
      <c r="G21299"/>
      <c r="H21299"/>
      <c r="I21299"/>
    </row>
    <row r="21300" spans="6:9" x14ac:dyDescent="0.3">
      <c r="F21300"/>
      <c r="G21300"/>
      <c r="H21300"/>
      <c r="I21300"/>
    </row>
    <row r="21301" spans="6:9" x14ac:dyDescent="0.3">
      <c r="F21301"/>
      <c r="G21301"/>
      <c r="H21301"/>
      <c r="I21301"/>
    </row>
    <row r="21302" spans="6:9" x14ac:dyDescent="0.3">
      <c r="F21302"/>
      <c r="G21302"/>
      <c r="H21302"/>
      <c r="I21302"/>
    </row>
    <row r="21303" spans="6:9" x14ac:dyDescent="0.3">
      <c r="F21303"/>
      <c r="G21303"/>
      <c r="H21303"/>
      <c r="I21303"/>
    </row>
    <row r="21304" spans="6:9" x14ac:dyDescent="0.3">
      <c r="F21304"/>
      <c r="G21304"/>
      <c r="H21304"/>
      <c r="I21304"/>
    </row>
    <row r="21305" spans="6:9" x14ac:dyDescent="0.3">
      <c r="F21305"/>
      <c r="G21305"/>
      <c r="H21305"/>
      <c r="I21305"/>
    </row>
    <row r="21306" spans="6:9" x14ac:dyDescent="0.3">
      <c r="F21306"/>
      <c r="G21306"/>
      <c r="H21306"/>
      <c r="I21306"/>
    </row>
    <row r="21307" spans="6:9" x14ac:dyDescent="0.3">
      <c r="F21307"/>
      <c r="G21307"/>
      <c r="H21307"/>
      <c r="I21307"/>
    </row>
    <row r="21308" spans="6:9" x14ac:dyDescent="0.3">
      <c r="F21308"/>
      <c r="G21308"/>
      <c r="H21308"/>
      <c r="I21308"/>
    </row>
    <row r="21309" spans="6:9" x14ac:dyDescent="0.3">
      <c r="F21309"/>
      <c r="G21309"/>
      <c r="H21309"/>
      <c r="I21309"/>
    </row>
    <row r="21310" spans="6:9" x14ac:dyDescent="0.3">
      <c r="F21310"/>
      <c r="G21310"/>
      <c r="H21310"/>
      <c r="I21310"/>
    </row>
    <row r="21311" spans="6:9" x14ac:dyDescent="0.3">
      <c r="F21311"/>
      <c r="G21311"/>
      <c r="H21311"/>
      <c r="I21311"/>
    </row>
    <row r="21312" spans="6:9" x14ac:dyDescent="0.3">
      <c r="F21312"/>
      <c r="G21312"/>
      <c r="H21312"/>
      <c r="I21312"/>
    </row>
    <row r="21313" spans="6:9" x14ac:dyDescent="0.3">
      <c r="F21313"/>
      <c r="G21313"/>
      <c r="H21313"/>
      <c r="I21313"/>
    </row>
    <row r="21314" spans="6:9" x14ac:dyDescent="0.3">
      <c r="F21314"/>
      <c r="G21314"/>
      <c r="H21314"/>
      <c r="I21314"/>
    </row>
    <row r="21315" spans="6:9" x14ac:dyDescent="0.3">
      <c r="F21315"/>
      <c r="G21315"/>
      <c r="H21315"/>
      <c r="I21315"/>
    </row>
    <row r="21316" spans="6:9" x14ac:dyDescent="0.3">
      <c r="F21316"/>
      <c r="G21316"/>
      <c r="H21316"/>
      <c r="I21316"/>
    </row>
    <row r="21317" spans="6:9" x14ac:dyDescent="0.3">
      <c r="F21317"/>
      <c r="G21317"/>
      <c r="H21317"/>
      <c r="I21317"/>
    </row>
    <row r="21318" spans="6:9" x14ac:dyDescent="0.3">
      <c r="F21318"/>
      <c r="G21318"/>
      <c r="H21318"/>
      <c r="I21318"/>
    </row>
    <row r="21319" spans="6:9" x14ac:dyDescent="0.3">
      <c r="F21319"/>
      <c r="G21319"/>
      <c r="H21319"/>
      <c r="I21319"/>
    </row>
    <row r="21320" spans="6:9" x14ac:dyDescent="0.3">
      <c r="F21320"/>
      <c r="G21320"/>
      <c r="H21320"/>
      <c r="I21320"/>
    </row>
    <row r="21321" spans="6:9" x14ac:dyDescent="0.3">
      <c r="F21321"/>
      <c r="G21321"/>
      <c r="H21321"/>
      <c r="I21321"/>
    </row>
    <row r="21322" spans="6:9" x14ac:dyDescent="0.3">
      <c r="F21322"/>
      <c r="G21322"/>
      <c r="H21322"/>
      <c r="I21322"/>
    </row>
    <row r="21323" spans="6:9" x14ac:dyDescent="0.3">
      <c r="F21323"/>
      <c r="G21323"/>
      <c r="H21323"/>
      <c r="I21323"/>
    </row>
    <row r="21324" spans="6:9" x14ac:dyDescent="0.3">
      <c r="F21324"/>
      <c r="G21324"/>
      <c r="H21324"/>
      <c r="I21324"/>
    </row>
    <row r="21325" spans="6:9" x14ac:dyDescent="0.3">
      <c r="F21325"/>
      <c r="G21325"/>
      <c r="H21325"/>
      <c r="I21325"/>
    </row>
    <row r="21326" spans="6:9" x14ac:dyDescent="0.3">
      <c r="F21326"/>
      <c r="G21326"/>
      <c r="H21326"/>
      <c r="I21326"/>
    </row>
    <row r="21327" spans="6:9" x14ac:dyDescent="0.3">
      <c r="F21327"/>
      <c r="G21327"/>
      <c r="H21327"/>
      <c r="I21327"/>
    </row>
    <row r="21328" spans="6:9" x14ac:dyDescent="0.3">
      <c r="F21328"/>
      <c r="G21328"/>
      <c r="H21328"/>
      <c r="I21328"/>
    </row>
    <row r="21329" spans="6:9" x14ac:dyDescent="0.3">
      <c r="F21329"/>
      <c r="G21329"/>
      <c r="H21329"/>
      <c r="I21329"/>
    </row>
    <row r="21330" spans="6:9" x14ac:dyDescent="0.3">
      <c r="F21330"/>
      <c r="G21330"/>
      <c r="H21330"/>
      <c r="I21330"/>
    </row>
    <row r="21331" spans="6:9" x14ac:dyDescent="0.3">
      <c r="F21331"/>
      <c r="G21331"/>
      <c r="H21331"/>
      <c r="I21331"/>
    </row>
    <row r="21332" spans="6:9" x14ac:dyDescent="0.3">
      <c r="F21332"/>
      <c r="G21332"/>
      <c r="H21332"/>
      <c r="I21332"/>
    </row>
    <row r="21333" spans="6:9" x14ac:dyDescent="0.3">
      <c r="F21333"/>
      <c r="G21333"/>
      <c r="H21333"/>
      <c r="I21333"/>
    </row>
    <row r="21334" spans="6:9" x14ac:dyDescent="0.3">
      <c r="F21334"/>
      <c r="G21334"/>
      <c r="H21334"/>
      <c r="I21334"/>
    </row>
    <row r="21335" spans="6:9" x14ac:dyDescent="0.3">
      <c r="F21335"/>
      <c r="G21335"/>
      <c r="H21335"/>
      <c r="I21335"/>
    </row>
    <row r="21336" spans="6:9" x14ac:dyDescent="0.3">
      <c r="F21336"/>
      <c r="G21336"/>
      <c r="H21336"/>
      <c r="I21336"/>
    </row>
    <row r="21337" spans="6:9" x14ac:dyDescent="0.3">
      <c r="F21337"/>
      <c r="G21337"/>
      <c r="H21337"/>
      <c r="I21337"/>
    </row>
    <row r="21338" spans="6:9" x14ac:dyDescent="0.3">
      <c r="F21338"/>
      <c r="G21338"/>
      <c r="H21338"/>
      <c r="I21338"/>
    </row>
    <row r="21339" spans="6:9" x14ac:dyDescent="0.3">
      <c r="F21339"/>
      <c r="G21339"/>
      <c r="H21339"/>
      <c r="I21339"/>
    </row>
    <row r="21340" spans="6:9" x14ac:dyDescent="0.3">
      <c r="F21340"/>
      <c r="G21340"/>
      <c r="H21340"/>
      <c r="I21340"/>
    </row>
    <row r="21341" spans="6:9" x14ac:dyDescent="0.3">
      <c r="F21341"/>
      <c r="G21341"/>
      <c r="H21341"/>
      <c r="I21341"/>
    </row>
    <row r="21342" spans="6:9" x14ac:dyDescent="0.3">
      <c r="F21342"/>
      <c r="G21342"/>
      <c r="H21342"/>
      <c r="I21342"/>
    </row>
    <row r="21343" spans="6:9" x14ac:dyDescent="0.3">
      <c r="F21343"/>
      <c r="G21343"/>
      <c r="H21343"/>
      <c r="I21343"/>
    </row>
    <row r="21344" spans="6:9" x14ac:dyDescent="0.3">
      <c r="F21344"/>
      <c r="G21344"/>
      <c r="H21344"/>
      <c r="I21344"/>
    </row>
    <row r="21345" spans="6:9" x14ac:dyDescent="0.3">
      <c r="F21345"/>
      <c r="G21345"/>
      <c r="H21345"/>
      <c r="I21345"/>
    </row>
    <row r="21346" spans="6:9" x14ac:dyDescent="0.3">
      <c r="F21346"/>
      <c r="G21346"/>
      <c r="H21346"/>
      <c r="I21346"/>
    </row>
    <row r="21347" spans="6:9" x14ac:dyDescent="0.3">
      <c r="F21347"/>
      <c r="G21347"/>
      <c r="H21347"/>
      <c r="I21347"/>
    </row>
    <row r="21348" spans="6:9" x14ac:dyDescent="0.3">
      <c r="F21348"/>
      <c r="G21348"/>
      <c r="H21348"/>
      <c r="I21348"/>
    </row>
    <row r="21349" spans="6:9" x14ac:dyDescent="0.3">
      <c r="F21349"/>
      <c r="G21349"/>
      <c r="H21349"/>
      <c r="I21349"/>
    </row>
    <row r="21350" spans="6:9" x14ac:dyDescent="0.3">
      <c r="F21350"/>
      <c r="G21350"/>
      <c r="H21350"/>
      <c r="I21350"/>
    </row>
    <row r="21351" spans="6:9" x14ac:dyDescent="0.3">
      <c r="F21351"/>
      <c r="G21351"/>
      <c r="H21351"/>
      <c r="I21351"/>
    </row>
    <row r="21352" spans="6:9" x14ac:dyDescent="0.3">
      <c r="F21352"/>
      <c r="G21352"/>
      <c r="H21352"/>
      <c r="I21352"/>
    </row>
    <row r="21353" spans="6:9" x14ac:dyDescent="0.3">
      <c r="F21353"/>
      <c r="G21353"/>
      <c r="H21353"/>
      <c r="I21353"/>
    </row>
    <row r="21354" spans="6:9" x14ac:dyDescent="0.3">
      <c r="F21354"/>
      <c r="G21354"/>
      <c r="H21354"/>
      <c r="I21354"/>
    </row>
    <row r="21355" spans="6:9" x14ac:dyDescent="0.3">
      <c r="F21355"/>
      <c r="G21355"/>
      <c r="H21355"/>
      <c r="I21355"/>
    </row>
    <row r="21356" spans="6:9" x14ac:dyDescent="0.3">
      <c r="F21356"/>
      <c r="G21356"/>
      <c r="H21356"/>
      <c r="I21356"/>
    </row>
    <row r="21357" spans="6:9" x14ac:dyDescent="0.3">
      <c r="F21357"/>
      <c r="G21357"/>
      <c r="H21357"/>
      <c r="I21357"/>
    </row>
    <row r="21358" spans="6:9" x14ac:dyDescent="0.3">
      <c r="F21358"/>
      <c r="G21358"/>
      <c r="H21358"/>
      <c r="I21358"/>
    </row>
    <row r="21359" spans="6:9" x14ac:dyDescent="0.3">
      <c r="F21359"/>
      <c r="G21359"/>
      <c r="H21359"/>
      <c r="I21359"/>
    </row>
    <row r="21360" spans="6:9" x14ac:dyDescent="0.3">
      <c r="F21360"/>
      <c r="G21360"/>
      <c r="H21360"/>
      <c r="I21360"/>
    </row>
    <row r="21361" spans="6:9" x14ac:dyDescent="0.3">
      <c r="F21361"/>
      <c r="G21361"/>
      <c r="H21361"/>
      <c r="I21361"/>
    </row>
    <row r="21362" spans="6:9" x14ac:dyDescent="0.3">
      <c r="F21362"/>
      <c r="G21362"/>
      <c r="H21362"/>
      <c r="I21362"/>
    </row>
    <row r="21363" spans="6:9" x14ac:dyDescent="0.3">
      <c r="F21363"/>
      <c r="G21363"/>
      <c r="H21363"/>
      <c r="I21363"/>
    </row>
    <row r="21364" spans="6:9" x14ac:dyDescent="0.3">
      <c r="F21364"/>
      <c r="G21364"/>
      <c r="H21364"/>
      <c r="I21364"/>
    </row>
    <row r="21365" spans="6:9" x14ac:dyDescent="0.3">
      <c r="F21365"/>
      <c r="G21365"/>
      <c r="H21365"/>
      <c r="I21365"/>
    </row>
    <row r="21366" spans="6:9" x14ac:dyDescent="0.3">
      <c r="F21366"/>
      <c r="G21366"/>
      <c r="H21366"/>
      <c r="I21366"/>
    </row>
    <row r="21367" spans="6:9" x14ac:dyDescent="0.3">
      <c r="F21367"/>
      <c r="G21367"/>
      <c r="H21367"/>
      <c r="I21367"/>
    </row>
    <row r="21368" spans="6:9" x14ac:dyDescent="0.3">
      <c r="F21368"/>
      <c r="G21368"/>
      <c r="H21368"/>
      <c r="I21368"/>
    </row>
    <row r="21369" spans="6:9" x14ac:dyDescent="0.3">
      <c r="F21369"/>
      <c r="G21369"/>
      <c r="H21369"/>
      <c r="I21369"/>
    </row>
    <row r="21370" spans="6:9" x14ac:dyDescent="0.3">
      <c r="F21370"/>
      <c r="G21370"/>
      <c r="H21370"/>
      <c r="I21370"/>
    </row>
    <row r="21371" spans="6:9" x14ac:dyDescent="0.3">
      <c r="F21371"/>
      <c r="G21371"/>
      <c r="H21371"/>
      <c r="I21371"/>
    </row>
    <row r="21372" spans="6:9" x14ac:dyDescent="0.3">
      <c r="F21372"/>
      <c r="G21372"/>
      <c r="H21372"/>
      <c r="I21372"/>
    </row>
    <row r="21373" spans="6:9" x14ac:dyDescent="0.3">
      <c r="F21373"/>
      <c r="G21373"/>
      <c r="H21373"/>
      <c r="I21373"/>
    </row>
    <row r="21374" spans="6:9" x14ac:dyDescent="0.3">
      <c r="F21374"/>
      <c r="G21374"/>
      <c r="H21374"/>
      <c r="I21374"/>
    </row>
    <row r="21375" spans="6:9" x14ac:dyDescent="0.3">
      <c r="F21375"/>
      <c r="G21375"/>
      <c r="H21375"/>
      <c r="I21375"/>
    </row>
    <row r="21376" spans="6:9" x14ac:dyDescent="0.3">
      <c r="F21376"/>
      <c r="G21376"/>
      <c r="H21376"/>
      <c r="I21376"/>
    </row>
    <row r="21377" spans="6:9" x14ac:dyDescent="0.3">
      <c r="F21377"/>
      <c r="G21377"/>
      <c r="H21377"/>
      <c r="I21377"/>
    </row>
    <row r="21378" spans="6:9" x14ac:dyDescent="0.3">
      <c r="F21378"/>
      <c r="G21378"/>
      <c r="H21378"/>
      <c r="I21378"/>
    </row>
    <row r="21379" spans="6:9" x14ac:dyDescent="0.3">
      <c r="F21379"/>
      <c r="G21379"/>
      <c r="H21379"/>
      <c r="I21379"/>
    </row>
    <row r="21380" spans="6:9" x14ac:dyDescent="0.3">
      <c r="F21380"/>
      <c r="G21380"/>
      <c r="H21380"/>
      <c r="I21380"/>
    </row>
    <row r="21381" spans="6:9" x14ac:dyDescent="0.3">
      <c r="F21381"/>
      <c r="G21381"/>
      <c r="H21381"/>
      <c r="I21381"/>
    </row>
    <row r="21382" spans="6:9" x14ac:dyDescent="0.3">
      <c r="F21382"/>
      <c r="G21382"/>
      <c r="H21382"/>
      <c r="I21382"/>
    </row>
    <row r="21383" spans="6:9" x14ac:dyDescent="0.3">
      <c r="F21383"/>
      <c r="G21383"/>
      <c r="H21383"/>
      <c r="I21383"/>
    </row>
    <row r="21384" spans="6:9" x14ac:dyDescent="0.3">
      <c r="F21384"/>
      <c r="G21384"/>
      <c r="H21384"/>
      <c r="I21384"/>
    </row>
    <row r="21385" spans="6:9" x14ac:dyDescent="0.3">
      <c r="F21385"/>
      <c r="G21385"/>
      <c r="H21385"/>
      <c r="I21385"/>
    </row>
    <row r="21386" spans="6:9" x14ac:dyDescent="0.3">
      <c r="F21386"/>
      <c r="G21386"/>
      <c r="H21386"/>
      <c r="I21386"/>
    </row>
    <row r="21387" spans="6:9" x14ac:dyDescent="0.3">
      <c r="F21387"/>
      <c r="G21387"/>
      <c r="H21387"/>
      <c r="I21387"/>
    </row>
    <row r="21388" spans="6:9" x14ac:dyDescent="0.3">
      <c r="F21388"/>
      <c r="G21388"/>
      <c r="H21388"/>
      <c r="I21388"/>
    </row>
    <row r="21389" spans="6:9" x14ac:dyDescent="0.3">
      <c r="F21389"/>
      <c r="G21389"/>
      <c r="H21389"/>
      <c r="I21389"/>
    </row>
    <row r="21390" spans="6:9" x14ac:dyDescent="0.3">
      <c r="F21390"/>
      <c r="G21390"/>
      <c r="H21390"/>
      <c r="I21390"/>
    </row>
    <row r="21391" spans="6:9" x14ac:dyDescent="0.3">
      <c r="F21391"/>
      <c r="G21391"/>
      <c r="H21391"/>
      <c r="I21391"/>
    </row>
    <row r="21392" spans="6:9" x14ac:dyDescent="0.3">
      <c r="F21392"/>
      <c r="G21392"/>
      <c r="H21392"/>
      <c r="I21392"/>
    </row>
    <row r="21393" spans="6:9" x14ac:dyDescent="0.3">
      <c r="F21393"/>
      <c r="G21393"/>
      <c r="H21393"/>
      <c r="I21393"/>
    </row>
    <row r="21394" spans="6:9" x14ac:dyDescent="0.3">
      <c r="F21394"/>
      <c r="G21394"/>
      <c r="H21394"/>
      <c r="I21394"/>
    </row>
    <row r="21395" spans="6:9" x14ac:dyDescent="0.3">
      <c r="F21395"/>
      <c r="G21395"/>
      <c r="H21395"/>
      <c r="I21395"/>
    </row>
    <row r="21396" spans="6:9" x14ac:dyDescent="0.3">
      <c r="F21396"/>
      <c r="G21396"/>
      <c r="H21396"/>
      <c r="I21396"/>
    </row>
    <row r="21397" spans="6:9" x14ac:dyDescent="0.3">
      <c r="F21397"/>
      <c r="G21397"/>
      <c r="H21397"/>
      <c r="I21397"/>
    </row>
    <row r="21398" spans="6:9" x14ac:dyDescent="0.3">
      <c r="F21398"/>
      <c r="G21398"/>
      <c r="H21398"/>
      <c r="I21398"/>
    </row>
    <row r="21399" spans="6:9" x14ac:dyDescent="0.3">
      <c r="F21399"/>
      <c r="G21399"/>
      <c r="H21399"/>
      <c r="I21399"/>
    </row>
    <row r="21400" spans="6:9" x14ac:dyDescent="0.3">
      <c r="F21400"/>
      <c r="G21400"/>
      <c r="H21400"/>
      <c r="I21400"/>
    </row>
    <row r="21401" spans="6:9" x14ac:dyDescent="0.3">
      <c r="F21401"/>
      <c r="G21401"/>
      <c r="H21401"/>
      <c r="I21401"/>
    </row>
    <row r="21402" spans="6:9" x14ac:dyDescent="0.3">
      <c r="F21402"/>
      <c r="G21402"/>
      <c r="H21402"/>
      <c r="I21402"/>
    </row>
    <row r="21403" spans="6:9" x14ac:dyDescent="0.3">
      <c r="F21403"/>
      <c r="G21403"/>
      <c r="H21403"/>
      <c r="I21403"/>
    </row>
    <row r="21404" spans="6:9" x14ac:dyDescent="0.3">
      <c r="F21404"/>
      <c r="G21404"/>
      <c r="H21404"/>
      <c r="I21404"/>
    </row>
    <row r="21405" spans="6:9" x14ac:dyDescent="0.3">
      <c r="F21405"/>
      <c r="G21405"/>
      <c r="H21405"/>
      <c r="I21405"/>
    </row>
    <row r="21406" spans="6:9" x14ac:dyDescent="0.3">
      <c r="F21406"/>
      <c r="G21406"/>
      <c r="H21406"/>
      <c r="I21406"/>
    </row>
    <row r="21407" spans="6:9" x14ac:dyDescent="0.3">
      <c r="F21407"/>
      <c r="G21407"/>
      <c r="H21407"/>
      <c r="I21407"/>
    </row>
    <row r="21408" spans="6:9" x14ac:dyDescent="0.3">
      <c r="F21408"/>
      <c r="G21408"/>
      <c r="H21408"/>
      <c r="I21408"/>
    </row>
    <row r="21409" spans="6:9" x14ac:dyDescent="0.3">
      <c r="F21409"/>
      <c r="G21409"/>
      <c r="H21409"/>
      <c r="I21409"/>
    </row>
    <row r="21410" spans="6:9" x14ac:dyDescent="0.3">
      <c r="F21410"/>
      <c r="G21410"/>
      <c r="H21410"/>
      <c r="I21410"/>
    </row>
    <row r="21411" spans="6:9" x14ac:dyDescent="0.3">
      <c r="F21411"/>
      <c r="G21411"/>
      <c r="H21411"/>
      <c r="I21411"/>
    </row>
    <row r="21412" spans="6:9" x14ac:dyDescent="0.3">
      <c r="F21412"/>
      <c r="G21412"/>
      <c r="H21412"/>
      <c r="I21412"/>
    </row>
    <row r="21413" spans="6:9" x14ac:dyDescent="0.3">
      <c r="F21413"/>
      <c r="G21413"/>
      <c r="H21413"/>
      <c r="I21413"/>
    </row>
    <row r="21414" spans="6:9" x14ac:dyDescent="0.3">
      <c r="F21414"/>
      <c r="G21414"/>
      <c r="H21414"/>
      <c r="I21414"/>
    </row>
    <row r="21415" spans="6:9" x14ac:dyDescent="0.3">
      <c r="F21415"/>
      <c r="G21415"/>
      <c r="H21415"/>
      <c r="I21415"/>
    </row>
    <row r="21416" spans="6:9" x14ac:dyDescent="0.3">
      <c r="F21416"/>
      <c r="G21416"/>
      <c r="H21416"/>
      <c r="I21416"/>
    </row>
    <row r="21417" spans="6:9" x14ac:dyDescent="0.3">
      <c r="F21417"/>
      <c r="G21417"/>
      <c r="H21417"/>
      <c r="I21417"/>
    </row>
    <row r="21418" spans="6:9" x14ac:dyDescent="0.3">
      <c r="F21418"/>
      <c r="G21418"/>
      <c r="H21418"/>
      <c r="I21418"/>
    </row>
    <row r="21419" spans="6:9" x14ac:dyDescent="0.3">
      <c r="F21419"/>
      <c r="G21419"/>
      <c r="H21419"/>
      <c r="I21419"/>
    </row>
    <row r="21420" spans="6:9" x14ac:dyDescent="0.3">
      <c r="F21420"/>
      <c r="G21420"/>
      <c r="H21420"/>
      <c r="I21420"/>
    </row>
    <row r="21421" spans="6:9" x14ac:dyDescent="0.3">
      <c r="F21421"/>
      <c r="G21421"/>
      <c r="H21421"/>
      <c r="I21421"/>
    </row>
    <row r="21422" spans="6:9" x14ac:dyDescent="0.3">
      <c r="F21422"/>
      <c r="G21422"/>
      <c r="H21422"/>
      <c r="I21422"/>
    </row>
    <row r="21423" spans="6:9" x14ac:dyDescent="0.3">
      <c r="F21423"/>
      <c r="G21423"/>
      <c r="H21423"/>
      <c r="I21423"/>
    </row>
    <row r="21424" spans="6:9" x14ac:dyDescent="0.3">
      <c r="F21424"/>
      <c r="G21424"/>
      <c r="H21424"/>
      <c r="I21424"/>
    </row>
    <row r="21425" spans="6:9" x14ac:dyDescent="0.3">
      <c r="F21425"/>
      <c r="G21425"/>
      <c r="H21425"/>
      <c r="I21425"/>
    </row>
    <row r="21426" spans="6:9" x14ac:dyDescent="0.3">
      <c r="F21426"/>
      <c r="G21426"/>
      <c r="H21426"/>
      <c r="I21426"/>
    </row>
    <row r="21427" spans="6:9" x14ac:dyDescent="0.3">
      <c r="F21427"/>
      <c r="G21427"/>
      <c r="H21427"/>
      <c r="I21427"/>
    </row>
    <row r="21428" spans="6:9" x14ac:dyDescent="0.3">
      <c r="F21428"/>
      <c r="G21428"/>
      <c r="H21428"/>
      <c r="I21428"/>
    </row>
    <row r="21429" spans="6:9" x14ac:dyDescent="0.3">
      <c r="F21429"/>
      <c r="G21429"/>
      <c r="H21429"/>
      <c r="I21429"/>
    </row>
    <row r="21430" spans="6:9" x14ac:dyDescent="0.3">
      <c r="F21430"/>
      <c r="G21430"/>
      <c r="H21430"/>
      <c r="I21430"/>
    </row>
    <row r="21431" spans="6:9" x14ac:dyDescent="0.3">
      <c r="F21431"/>
      <c r="G21431"/>
      <c r="H21431"/>
      <c r="I21431"/>
    </row>
    <row r="21432" spans="6:9" x14ac:dyDescent="0.3">
      <c r="F21432"/>
      <c r="G21432"/>
      <c r="H21432"/>
      <c r="I21432"/>
    </row>
    <row r="21433" spans="6:9" x14ac:dyDescent="0.3">
      <c r="F21433"/>
      <c r="G21433"/>
      <c r="H21433"/>
      <c r="I21433"/>
    </row>
    <row r="21434" spans="6:9" x14ac:dyDescent="0.3">
      <c r="F21434"/>
      <c r="G21434"/>
      <c r="H21434"/>
      <c r="I21434"/>
    </row>
    <row r="21435" spans="6:9" x14ac:dyDescent="0.3">
      <c r="F21435"/>
      <c r="G21435"/>
      <c r="H21435"/>
      <c r="I21435"/>
    </row>
    <row r="21436" spans="6:9" x14ac:dyDescent="0.3">
      <c r="F21436"/>
      <c r="G21436"/>
      <c r="H21436"/>
      <c r="I21436"/>
    </row>
    <row r="21437" spans="6:9" x14ac:dyDescent="0.3">
      <c r="F21437"/>
      <c r="G21437"/>
      <c r="H21437"/>
      <c r="I21437"/>
    </row>
    <row r="21438" spans="6:9" x14ac:dyDescent="0.3">
      <c r="F21438"/>
      <c r="G21438"/>
      <c r="H21438"/>
      <c r="I21438"/>
    </row>
    <row r="21439" spans="6:9" x14ac:dyDescent="0.3">
      <c r="F21439"/>
      <c r="G21439"/>
      <c r="H21439"/>
      <c r="I21439"/>
    </row>
    <row r="21440" spans="6:9" x14ac:dyDescent="0.3">
      <c r="F21440"/>
      <c r="G21440"/>
      <c r="H21440"/>
      <c r="I21440"/>
    </row>
    <row r="21441" spans="6:9" x14ac:dyDescent="0.3">
      <c r="F21441"/>
      <c r="G21441"/>
      <c r="H21441"/>
      <c r="I21441"/>
    </row>
    <row r="21442" spans="6:9" x14ac:dyDescent="0.3">
      <c r="F21442"/>
      <c r="G21442"/>
      <c r="H21442"/>
      <c r="I21442"/>
    </row>
    <row r="21443" spans="6:9" x14ac:dyDescent="0.3">
      <c r="F21443"/>
      <c r="G21443"/>
      <c r="H21443"/>
      <c r="I21443"/>
    </row>
    <row r="21444" spans="6:9" x14ac:dyDescent="0.3">
      <c r="F21444"/>
      <c r="G21444"/>
      <c r="H21444"/>
      <c r="I21444"/>
    </row>
    <row r="21445" spans="6:9" x14ac:dyDescent="0.3">
      <c r="F21445"/>
      <c r="G21445"/>
      <c r="H21445"/>
      <c r="I21445"/>
    </row>
    <row r="21446" spans="6:9" x14ac:dyDescent="0.3">
      <c r="F21446"/>
      <c r="G21446"/>
      <c r="H21446"/>
      <c r="I21446"/>
    </row>
    <row r="21447" spans="6:9" x14ac:dyDescent="0.3">
      <c r="F21447"/>
      <c r="G21447"/>
      <c r="H21447"/>
      <c r="I21447"/>
    </row>
    <row r="21448" spans="6:9" x14ac:dyDescent="0.3">
      <c r="F21448"/>
      <c r="G21448"/>
      <c r="H21448"/>
      <c r="I21448"/>
    </row>
    <row r="21449" spans="6:9" x14ac:dyDescent="0.3">
      <c r="F21449"/>
      <c r="G21449"/>
      <c r="H21449"/>
      <c r="I21449"/>
    </row>
    <row r="21450" spans="6:9" x14ac:dyDescent="0.3">
      <c r="F21450"/>
      <c r="G21450"/>
      <c r="H21450"/>
      <c r="I21450"/>
    </row>
    <row r="21451" spans="6:9" x14ac:dyDescent="0.3">
      <c r="F21451"/>
      <c r="G21451"/>
      <c r="H21451"/>
      <c r="I21451"/>
    </row>
    <row r="21452" spans="6:9" x14ac:dyDescent="0.3">
      <c r="F21452"/>
      <c r="G21452"/>
      <c r="H21452"/>
      <c r="I21452"/>
    </row>
    <row r="21453" spans="6:9" x14ac:dyDescent="0.3">
      <c r="F21453"/>
      <c r="G21453"/>
      <c r="H21453"/>
      <c r="I21453"/>
    </row>
    <row r="21454" spans="6:9" x14ac:dyDescent="0.3">
      <c r="F21454"/>
      <c r="G21454"/>
      <c r="H21454"/>
      <c r="I21454"/>
    </row>
    <row r="21455" spans="6:9" x14ac:dyDescent="0.3">
      <c r="F21455"/>
      <c r="G21455"/>
      <c r="H21455"/>
      <c r="I21455"/>
    </row>
    <row r="21456" spans="6:9" x14ac:dyDescent="0.3">
      <c r="F21456"/>
      <c r="G21456"/>
      <c r="H21456"/>
      <c r="I21456"/>
    </row>
    <row r="21457" spans="6:9" x14ac:dyDescent="0.3">
      <c r="F21457"/>
      <c r="G21457"/>
      <c r="H21457"/>
      <c r="I21457"/>
    </row>
    <row r="21458" spans="6:9" x14ac:dyDescent="0.3">
      <c r="F21458"/>
      <c r="G21458"/>
      <c r="H21458"/>
      <c r="I21458"/>
    </row>
    <row r="21459" spans="6:9" x14ac:dyDescent="0.3">
      <c r="F21459"/>
      <c r="G21459"/>
      <c r="H21459"/>
      <c r="I21459"/>
    </row>
    <row r="21460" spans="6:9" x14ac:dyDescent="0.3">
      <c r="F21460"/>
      <c r="G21460"/>
      <c r="H21460"/>
      <c r="I21460"/>
    </row>
    <row r="21461" spans="6:9" x14ac:dyDescent="0.3">
      <c r="F21461"/>
      <c r="G21461"/>
      <c r="H21461"/>
      <c r="I21461"/>
    </row>
    <row r="21462" spans="6:9" x14ac:dyDescent="0.3">
      <c r="F21462"/>
      <c r="G21462"/>
      <c r="H21462"/>
      <c r="I21462"/>
    </row>
    <row r="21463" spans="6:9" x14ac:dyDescent="0.3">
      <c r="F21463"/>
      <c r="G21463"/>
      <c r="H21463"/>
      <c r="I21463"/>
    </row>
    <row r="21464" spans="6:9" x14ac:dyDescent="0.3">
      <c r="F21464"/>
      <c r="G21464"/>
      <c r="H21464"/>
      <c r="I21464"/>
    </row>
    <row r="21465" spans="6:9" x14ac:dyDescent="0.3">
      <c r="F21465"/>
      <c r="G21465"/>
      <c r="H21465"/>
      <c r="I21465"/>
    </row>
    <row r="21466" spans="6:9" x14ac:dyDescent="0.3">
      <c r="F21466"/>
      <c r="G21466"/>
      <c r="H21466"/>
      <c r="I21466"/>
    </row>
    <row r="21467" spans="6:9" x14ac:dyDescent="0.3">
      <c r="F21467"/>
      <c r="G21467"/>
      <c r="H21467"/>
      <c r="I21467"/>
    </row>
    <row r="21468" spans="6:9" x14ac:dyDescent="0.3">
      <c r="F21468"/>
      <c r="G21468"/>
      <c r="H21468"/>
      <c r="I21468"/>
    </row>
    <row r="21469" spans="6:9" x14ac:dyDescent="0.3">
      <c r="F21469"/>
      <c r="G21469"/>
      <c r="H21469"/>
      <c r="I21469"/>
    </row>
    <row r="21470" spans="6:9" x14ac:dyDescent="0.3">
      <c r="F21470"/>
      <c r="G21470"/>
      <c r="H21470"/>
      <c r="I21470"/>
    </row>
    <row r="21471" spans="6:9" x14ac:dyDescent="0.3">
      <c r="F21471"/>
      <c r="G21471"/>
      <c r="H21471"/>
      <c r="I21471"/>
    </row>
    <row r="21472" spans="6:9" x14ac:dyDescent="0.3">
      <c r="F21472"/>
      <c r="G21472"/>
      <c r="H21472"/>
      <c r="I21472"/>
    </row>
    <row r="21473" spans="6:9" x14ac:dyDescent="0.3">
      <c r="F21473"/>
      <c r="G21473"/>
      <c r="H21473"/>
      <c r="I21473"/>
    </row>
    <row r="21474" spans="6:9" x14ac:dyDescent="0.3">
      <c r="F21474"/>
      <c r="G21474"/>
      <c r="H21474"/>
      <c r="I21474"/>
    </row>
    <row r="21475" spans="6:9" x14ac:dyDescent="0.3">
      <c r="F21475"/>
      <c r="G21475"/>
      <c r="H21475"/>
      <c r="I21475"/>
    </row>
    <row r="21476" spans="6:9" x14ac:dyDescent="0.3">
      <c r="F21476"/>
      <c r="G21476"/>
      <c r="H21476"/>
      <c r="I21476"/>
    </row>
    <row r="21477" spans="6:9" x14ac:dyDescent="0.3">
      <c r="F21477"/>
      <c r="G21477"/>
      <c r="H21477"/>
      <c r="I21477"/>
    </row>
    <row r="21478" spans="6:9" x14ac:dyDescent="0.3">
      <c r="F21478"/>
      <c r="G21478"/>
      <c r="H21478"/>
      <c r="I21478"/>
    </row>
    <row r="21479" spans="6:9" x14ac:dyDescent="0.3">
      <c r="F21479"/>
      <c r="G21479"/>
      <c r="H21479"/>
      <c r="I21479"/>
    </row>
    <row r="21480" spans="6:9" x14ac:dyDescent="0.3">
      <c r="F21480"/>
      <c r="G21480"/>
      <c r="H21480"/>
      <c r="I21480"/>
    </row>
    <row r="21481" spans="6:9" x14ac:dyDescent="0.3">
      <c r="F21481"/>
      <c r="G21481"/>
      <c r="H21481"/>
      <c r="I21481"/>
    </row>
    <row r="21482" spans="6:9" x14ac:dyDescent="0.3">
      <c r="F21482"/>
      <c r="G21482"/>
      <c r="H21482"/>
      <c r="I21482"/>
    </row>
    <row r="21483" spans="6:9" x14ac:dyDescent="0.3">
      <c r="F21483"/>
      <c r="G21483"/>
      <c r="H21483"/>
      <c r="I21483"/>
    </row>
    <row r="21484" spans="6:9" x14ac:dyDescent="0.3">
      <c r="F21484"/>
      <c r="G21484"/>
      <c r="H21484"/>
      <c r="I21484"/>
    </row>
    <row r="21485" spans="6:9" x14ac:dyDescent="0.3">
      <c r="F21485"/>
      <c r="G21485"/>
      <c r="H21485"/>
      <c r="I21485"/>
    </row>
    <row r="21486" spans="6:9" x14ac:dyDescent="0.3">
      <c r="F21486"/>
      <c r="G21486"/>
      <c r="H21486"/>
      <c r="I21486"/>
    </row>
    <row r="21487" spans="6:9" x14ac:dyDescent="0.3">
      <c r="F21487"/>
      <c r="G21487"/>
      <c r="H21487"/>
      <c r="I21487"/>
    </row>
    <row r="21488" spans="6:9" x14ac:dyDescent="0.3">
      <c r="F21488"/>
      <c r="G21488"/>
      <c r="H21488"/>
      <c r="I21488"/>
    </row>
    <row r="21489" spans="6:9" x14ac:dyDescent="0.3">
      <c r="F21489"/>
      <c r="G21489"/>
      <c r="H21489"/>
      <c r="I21489"/>
    </row>
    <row r="21490" spans="6:9" x14ac:dyDescent="0.3">
      <c r="F21490"/>
      <c r="G21490"/>
      <c r="H21490"/>
      <c r="I21490"/>
    </row>
    <row r="21491" spans="6:9" x14ac:dyDescent="0.3">
      <c r="F21491"/>
      <c r="G21491"/>
      <c r="H21491"/>
      <c r="I21491"/>
    </row>
    <row r="21492" spans="6:9" x14ac:dyDescent="0.3">
      <c r="F21492"/>
      <c r="G21492"/>
      <c r="H21492"/>
      <c r="I21492"/>
    </row>
    <row r="21493" spans="6:9" x14ac:dyDescent="0.3">
      <c r="F21493"/>
      <c r="G21493"/>
      <c r="H21493"/>
      <c r="I21493"/>
    </row>
    <row r="21494" spans="6:9" x14ac:dyDescent="0.3">
      <c r="F21494"/>
      <c r="G21494"/>
      <c r="H21494"/>
      <c r="I21494"/>
    </row>
    <row r="21495" spans="6:9" x14ac:dyDescent="0.3">
      <c r="F21495"/>
      <c r="G21495"/>
      <c r="H21495"/>
      <c r="I21495"/>
    </row>
    <row r="21496" spans="6:9" x14ac:dyDescent="0.3">
      <c r="F21496"/>
      <c r="G21496"/>
      <c r="H21496"/>
      <c r="I21496"/>
    </row>
    <row r="21497" spans="6:9" x14ac:dyDescent="0.3">
      <c r="F21497"/>
      <c r="G21497"/>
      <c r="H21497"/>
      <c r="I21497"/>
    </row>
    <row r="21498" spans="6:9" x14ac:dyDescent="0.3">
      <c r="F21498"/>
      <c r="G21498"/>
      <c r="H21498"/>
      <c r="I21498"/>
    </row>
    <row r="21499" spans="6:9" x14ac:dyDescent="0.3">
      <c r="F21499"/>
      <c r="G21499"/>
      <c r="H21499"/>
      <c r="I21499"/>
    </row>
    <row r="21500" spans="6:9" x14ac:dyDescent="0.3">
      <c r="F21500"/>
      <c r="G21500"/>
      <c r="H21500"/>
      <c r="I21500"/>
    </row>
    <row r="21501" spans="6:9" x14ac:dyDescent="0.3">
      <c r="F21501"/>
      <c r="G21501"/>
      <c r="H21501"/>
      <c r="I21501"/>
    </row>
    <row r="21502" spans="6:9" x14ac:dyDescent="0.3">
      <c r="F21502"/>
      <c r="G21502"/>
      <c r="H21502"/>
      <c r="I21502"/>
    </row>
    <row r="21503" spans="6:9" x14ac:dyDescent="0.3">
      <c r="F21503"/>
      <c r="G21503"/>
      <c r="H21503"/>
      <c r="I21503"/>
    </row>
    <row r="21504" spans="6:9" x14ac:dyDescent="0.3">
      <c r="F21504"/>
      <c r="G21504"/>
      <c r="H21504"/>
      <c r="I21504"/>
    </row>
    <row r="21505" spans="6:9" x14ac:dyDescent="0.3">
      <c r="F21505"/>
      <c r="G21505"/>
      <c r="H21505"/>
      <c r="I21505"/>
    </row>
    <row r="21506" spans="6:9" x14ac:dyDescent="0.3">
      <c r="F21506"/>
      <c r="G21506"/>
      <c r="H21506"/>
      <c r="I21506"/>
    </row>
    <row r="21507" spans="6:9" x14ac:dyDescent="0.3">
      <c r="F21507"/>
      <c r="G21507"/>
      <c r="H21507"/>
      <c r="I21507"/>
    </row>
    <row r="21508" spans="6:9" x14ac:dyDescent="0.3">
      <c r="F21508"/>
      <c r="G21508"/>
      <c r="H21508"/>
      <c r="I21508"/>
    </row>
    <row r="21509" spans="6:9" x14ac:dyDescent="0.3">
      <c r="F21509"/>
      <c r="G21509"/>
      <c r="H21509"/>
      <c r="I21509"/>
    </row>
    <row r="21510" spans="6:9" x14ac:dyDescent="0.3">
      <c r="F21510"/>
      <c r="G21510"/>
      <c r="H21510"/>
      <c r="I21510"/>
    </row>
    <row r="21511" spans="6:9" x14ac:dyDescent="0.3">
      <c r="F21511"/>
      <c r="G21511"/>
      <c r="H21511"/>
      <c r="I21511"/>
    </row>
    <row r="21512" spans="6:9" x14ac:dyDescent="0.3">
      <c r="F21512"/>
      <c r="G21512"/>
      <c r="H21512"/>
      <c r="I21512"/>
    </row>
    <row r="21513" spans="6:9" x14ac:dyDescent="0.3">
      <c r="F21513"/>
      <c r="G21513"/>
      <c r="H21513"/>
      <c r="I21513"/>
    </row>
    <row r="21514" spans="6:9" x14ac:dyDescent="0.3">
      <c r="F21514"/>
      <c r="G21514"/>
      <c r="H21514"/>
      <c r="I21514"/>
    </row>
    <row r="21515" spans="6:9" x14ac:dyDescent="0.3">
      <c r="F21515"/>
      <c r="G21515"/>
      <c r="H21515"/>
      <c r="I21515"/>
    </row>
    <row r="21516" spans="6:9" x14ac:dyDescent="0.3">
      <c r="F21516"/>
      <c r="G21516"/>
      <c r="H21516"/>
      <c r="I21516"/>
    </row>
    <row r="21517" spans="6:9" x14ac:dyDescent="0.3">
      <c r="F21517"/>
      <c r="G21517"/>
      <c r="H21517"/>
      <c r="I21517"/>
    </row>
    <row r="21518" spans="6:9" x14ac:dyDescent="0.3">
      <c r="F21518"/>
      <c r="G21518"/>
      <c r="H21518"/>
      <c r="I21518"/>
    </row>
    <row r="21519" spans="6:9" x14ac:dyDescent="0.3">
      <c r="F21519"/>
      <c r="G21519"/>
      <c r="H21519"/>
      <c r="I21519"/>
    </row>
    <row r="21520" spans="6:9" x14ac:dyDescent="0.3">
      <c r="F21520"/>
      <c r="G21520"/>
      <c r="H21520"/>
      <c r="I21520"/>
    </row>
    <row r="21521" spans="6:9" x14ac:dyDescent="0.3">
      <c r="F21521"/>
      <c r="G21521"/>
      <c r="H21521"/>
      <c r="I21521"/>
    </row>
    <row r="21522" spans="6:9" x14ac:dyDescent="0.3">
      <c r="F21522"/>
      <c r="G21522"/>
      <c r="H21522"/>
      <c r="I21522"/>
    </row>
    <row r="21523" spans="6:9" x14ac:dyDescent="0.3">
      <c r="F21523"/>
      <c r="G21523"/>
      <c r="H21523"/>
      <c r="I21523"/>
    </row>
    <row r="21524" spans="6:9" x14ac:dyDescent="0.3">
      <c r="F21524"/>
      <c r="G21524"/>
      <c r="H21524"/>
      <c r="I21524"/>
    </row>
    <row r="21525" spans="6:9" x14ac:dyDescent="0.3">
      <c r="F21525"/>
      <c r="G21525"/>
      <c r="H21525"/>
      <c r="I21525"/>
    </row>
    <row r="21526" spans="6:9" x14ac:dyDescent="0.3">
      <c r="F21526"/>
      <c r="G21526"/>
      <c r="H21526"/>
      <c r="I21526"/>
    </row>
    <row r="21527" spans="6:9" x14ac:dyDescent="0.3">
      <c r="F21527"/>
      <c r="G21527"/>
      <c r="H21527"/>
      <c r="I21527"/>
    </row>
    <row r="21528" spans="6:9" x14ac:dyDescent="0.3">
      <c r="F21528"/>
      <c r="G21528"/>
      <c r="H21528"/>
      <c r="I21528"/>
    </row>
    <row r="21529" spans="6:9" x14ac:dyDescent="0.3">
      <c r="F21529"/>
      <c r="G21529"/>
      <c r="H21529"/>
      <c r="I21529"/>
    </row>
    <row r="21530" spans="6:9" x14ac:dyDescent="0.3">
      <c r="F21530"/>
      <c r="G21530"/>
      <c r="H21530"/>
      <c r="I21530"/>
    </row>
    <row r="21531" spans="6:9" x14ac:dyDescent="0.3">
      <c r="F21531"/>
      <c r="G21531"/>
      <c r="H21531"/>
      <c r="I21531"/>
    </row>
    <row r="21532" spans="6:9" x14ac:dyDescent="0.3">
      <c r="F21532"/>
      <c r="G21532"/>
      <c r="H21532"/>
      <c r="I21532"/>
    </row>
    <row r="21533" spans="6:9" x14ac:dyDescent="0.3">
      <c r="F21533"/>
      <c r="G21533"/>
      <c r="H21533"/>
      <c r="I21533"/>
    </row>
    <row r="21534" spans="6:9" x14ac:dyDescent="0.3">
      <c r="F21534"/>
      <c r="G21534"/>
      <c r="H21534"/>
      <c r="I21534"/>
    </row>
    <row r="21535" spans="6:9" x14ac:dyDescent="0.3">
      <c r="F21535"/>
      <c r="G21535"/>
      <c r="H21535"/>
      <c r="I21535"/>
    </row>
    <row r="21536" spans="6:9" x14ac:dyDescent="0.3">
      <c r="F21536"/>
      <c r="G21536"/>
      <c r="H21536"/>
      <c r="I21536"/>
    </row>
    <row r="21537" spans="6:9" x14ac:dyDescent="0.3">
      <c r="F21537"/>
      <c r="G21537"/>
      <c r="H21537"/>
      <c r="I21537"/>
    </row>
    <row r="21538" spans="6:9" x14ac:dyDescent="0.3">
      <c r="F21538"/>
      <c r="G21538"/>
      <c r="H21538"/>
      <c r="I21538"/>
    </row>
    <row r="21539" spans="6:9" x14ac:dyDescent="0.3">
      <c r="F21539"/>
      <c r="G21539"/>
      <c r="H21539"/>
      <c r="I21539"/>
    </row>
    <row r="21540" spans="6:9" x14ac:dyDescent="0.3">
      <c r="F21540"/>
      <c r="G21540"/>
      <c r="H21540"/>
      <c r="I21540"/>
    </row>
    <row r="21541" spans="6:9" x14ac:dyDescent="0.3">
      <c r="F21541"/>
      <c r="G21541"/>
      <c r="H21541"/>
      <c r="I21541"/>
    </row>
    <row r="21542" spans="6:9" x14ac:dyDescent="0.3">
      <c r="F21542"/>
      <c r="G21542"/>
      <c r="H21542"/>
      <c r="I21542"/>
    </row>
    <row r="21543" spans="6:9" x14ac:dyDescent="0.3">
      <c r="F21543"/>
      <c r="G21543"/>
      <c r="H21543"/>
      <c r="I21543"/>
    </row>
    <row r="21544" spans="6:9" x14ac:dyDescent="0.3">
      <c r="F21544"/>
      <c r="G21544"/>
      <c r="H21544"/>
      <c r="I21544"/>
    </row>
    <row r="21545" spans="6:9" x14ac:dyDescent="0.3">
      <c r="F21545"/>
      <c r="G21545"/>
      <c r="H21545"/>
      <c r="I21545"/>
    </row>
    <row r="21546" spans="6:9" x14ac:dyDescent="0.3">
      <c r="F21546"/>
      <c r="G21546"/>
      <c r="H21546"/>
      <c r="I21546"/>
    </row>
    <row r="21547" spans="6:9" x14ac:dyDescent="0.3">
      <c r="F21547"/>
      <c r="G21547"/>
      <c r="H21547"/>
      <c r="I21547"/>
    </row>
    <row r="21548" spans="6:9" x14ac:dyDescent="0.3">
      <c r="F21548"/>
      <c r="G21548"/>
      <c r="H21548"/>
      <c r="I21548"/>
    </row>
    <row r="21549" spans="6:9" x14ac:dyDescent="0.3">
      <c r="F21549"/>
      <c r="G21549"/>
      <c r="H21549"/>
      <c r="I21549"/>
    </row>
    <row r="21550" spans="6:9" x14ac:dyDescent="0.3">
      <c r="F21550"/>
      <c r="G21550"/>
      <c r="H21550"/>
      <c r="I21550"/>
    </row>
    <row r="21551" spans="6:9" x14ac:dyDescent="0.3">
      <c r="F21551"/>
      <c r="G21551"/>
      <c r="H21551"/>
      <c r="I21551"/>
    </row>
    <row r="21552" spans="6:9" x14ac:dyDescent="0.3">
      <c r="F21552"/>
      <c r="G21552"/>
      <c r="H21552"/>
      <c r="I21552"/>
    </row>
    <row r="21553" spans="6:9" x14ac:dyDescent="0.3">
      <c r="F21553"/>
      <c r="G21553"/>
      <c r="H21553"/>
      <c r="I21553"/>
    </row>
    <row r="21554" spans="6:9" x14ac:dyDescent="0.3">
      <c r="F21554"/>
      <c r="G21554"/>
      <c r="H21554"/>
      <c r="I21554"/>
    </row>
    <row r="21555" spans="6:9" x14ac:dyDescent="0.3">
      <c r="F21555"/>
      <c r="G21555"/>
      <c r="H21555"/>
      <c r="I21555"/>
    </row>
    <row r="21556" spans="6:9" x14ac:dyDescent="0.3">
      <c r="F21556"/>
      <c r="G21556"/>
      <c r="H21556"/>
      <c r="I21556"/>
    </row>
    <row r="21557" spans="6:9" x14ac:dyDescent="0.3">
      <c r="F21557"/>
      <c r="G21557"/>
      <c r="H21557"/>
      <c r="I21557"/>
    </row>
    <row r="21558" spans="6:9" x14ac:dyDescent="0.3">
      <c r="F21558"/>
      <c r="G21558"/>
      <c r="H21558"/>
      <c r="I21558"/>
    </row>
    <row r="21559" spans="6:9" x14ac:dyDescent="0.3">
      <c r="F21559"/>
      <c r="G21559"/>
      <c r="H21559"/>
      <c r="I21559"/>
    </row>
    <row r="21560" spans="6:9" x14ac:dyDescent="0.3">
      <c r="F21560"/>
      <c r="G21560"/>
      <c r="H21560"/>
      <c r="I21560"/>
    </row>
    <row r="21561" spans="6:9" x14ac:dyDescent="0.3">
      <c r="F21561"/>
      <c r="G21561"/>
      <c r="H21561"/>
      <c r="I21561"/>
    </row>
    <row r="21562" spans="6:9" x14ac:dyDescent="0.3">
      <c r="F21562"/>
      <c r="G21562"/>
      <c r="H21562"/>
      <c r="I21562"/>
    </row>
    <row r="21563" spans="6:9" x14ac:dyDescent="0.3">
      <c r="F21563"/>
      <c r="G21563"/>
      <c r="H21563"/>
      <c r="I21563"/>
    </row>
    <row r="21564" spans="6:9" x14ac:dyDescent="0.3">
      <c r="F21564"/>
      <c r="G21564"/>
      <c r="H21564"/>
      <c r="I21564"/>
    </row>
    <row r="21565" spans="6:9" x14ac:dyDescent="0.3">
      <c r="F21565"/>
      <c r="G21565"/>
      <c r="H21565"/>
      <c r="I21565"/>
    </row>
    <row r="21566" spans="6:9" x14ac:dyDescent="0.3">
      <c r="F21566"/>
      <c r="G21566"/>
      <c r="H21566"/>
      <c r="I21566"/>
    </row>
    <row r="21567" spans="6:9" x14ac:dyDescent="0.3">
      <c r="F21567"/>
      <c r="G21567"/>
      <c r="H21567"/>
      <c r="I21567"/>
    </row>
    <row r="21568" spans="6:9" x14ac:dyDescent="0.3">
      <c r="F21568"/>
      <c r="G21568"/>
      <c r="H21568"/>
      <c r="I21568"/>
    </row>
    <row r="21569" spans="6:9" x14ac:dyDescent="0.3">
      <c r="F21569"/>
      <c r="G21569"/>
      <c r="H21569"/>
      <c r="I21569"/>
    </row>
    <row r="21570" spans="6:9" x14ac:dyDescent="0.3">
      <c r="F21570"/>
      <c r="G21570"/>
      <c r="H21570"/>
      <c r="I21570"/>
    </row>
    <row r="21571" spans="6:9" x14ac:dyDescent="0.3">
      <c r="F21571"/>
      <c r="G21571"/>
      <c r="H21571"/>
      <c r="I21571"/>
    </row>
    <row r="21572" spans="6:9" x14ac:dyDescent="0.3">
      <c r="F21572"/>
      <c r="G21572"/>
      <c r="H21572"/>
      <c r="I21572"/>
    </row>
    <row r="21573" spans="6:9" x14ac:dyDescent="0.3">
      <c r="F21573"/>
      <c r="G21573"/>
      <c r="H21573"/>
      <c r="I21573"/>
    </row>
    <row r="21574" spans="6:9" x14ac:dyDescent="0.3">
      <c r="F21574"/>
      <c r="G21574"/>
      <c r="H21574"/>
      <c r="I21574"/>
    </row>
    <row r="21575" spans="6:9" x14ac:dyDescent="0.3">
      <c r="F21575"/>
      <c r="G21575"/>
      <c r="H21575"/>
      <c r="I21575"/>
    </row>
    <row r="21576" spans="6:9" x14ac:dyDescent="0.3">
      <c r="F21576"/>
      <c r="G21576"/>
      <c r="H21576"/>
      <c r="I21576"/>
    </row>
    <row r="21577" spans="6:9" x14ac:dyDescent="0.3">
      <c r="F21577"/>
      <c r="G21577"/>
      <c r="H21577"/>
      <c r="I21577"/>
    </row>
    <row r="21578" spans="6:9" x14ac:dyDescent="0.3">
      <c r="F21578"/>
      <c r="G21578"/>
      <c r="H21578"/>
      <c r="I21578"/>
    </row>
    <row r="21579" spans="6:9" x14ac:dyDescent="0.3">
      <c r="F21579"/>
      <c r="G21579"/>
      <c r="H21579"/>
      <c r="I21579"/>
    </row>
    <row r="21580" spans="6:9" x14ac:dyDescent="0.3">
      <c r="F21580"/>
      <c r="G21580"/>
      <c r="H21580"/>
      <c r="I21580"/>
    </row>
    <row r="21581" spans="6:9" x14ac:dyDescent="0.3">
      <c r="F21581"/>
      <c r="G21581"/>
      <c r="H21581"/>
      <c r="I21581"/>
    </row>
    <row r="21582" spans="6:9" x14ac:dyDescent="0.3">
      <c r="F21582"/>
      <c r="G21582"/>
      <c r="H21582"/>
      <c r="I21582"/>
    </row>
    <row r="21583" spans="6:9" x14ac:dyDescent="0.3">
      <c r="F21583"/>
      <c r="G21583"/>
      <c r="H21583"/>
      <c r="I21583"/>
    </row>
    <row r="21584" spans="6:9" x14ac:dyDescent="0.3">
      <c r="F21584"/>
      <c r="G21584"/>
      <c r="H21584"/>
      <c r="I21584"/>
    </row>
    <row r="21585" spans="6:9" x14ac:dyDescent="0.3">
      <c r="F21585"/>
      <c r="G21585"/>
      <c r="H21585"/>
      <c r="I21585"/>
    </row>
    <row r="21586" spans="6:9" x14ac:dyDescent="0.3">
      <c r="F21586"/>
      <c r="G21586"/>
      <c r="H21586"/>
      <c r="I21586"/>
    </row>
    <row r="21587" spans="6:9" x14ac:dyDescent="0.3">
      <c r="F21587"/>
      <c r="G21587"/>
      <c r="H21587"/>
      <c r="I21587"/>
    </row>
    <row r="21588" spans="6:9" x14ac:dyDescent="0.3">
      <c r="F21588"/>
      <c r="G21588"/>
      <c r="H21588"/>
      <c r="I21588"/>
    </row>
    <row r="21589" spans="6:9" x14ac:dyDescent="0.3">
      <c r="F21589"/>
      <c r="G21589"/>
      <c r="H21589"/>
      <c r="I21589"/>
    </row>
    <row r="21590" spans="6:9" x14ac:dyDescent="0.3">
      <c r="F21590"/>
      <c r="G21590"/>
      <c r="H21590"/>
      <c r="I21590"/>
    </row>
    <row r="21591" spans="6:9" x14ac:dyDescent="0.3">
      <c r="F21591"/>
      <c r="G21591"/>
      <c r="H21591"/>
      <c r="I21591"/>
    </row>
    <row r="21592" spans="6:9" x14ac:dyDescent="0.3">
      <c r="F21592"/>
      <c r="G21592"/>
      <c r="H21592"/>
      <c r="I21592"/>
    </row>
    <row r="21593" spans="6:9" x14ac:dyDescent="0.3">
      <c r="F21593"/>
      <c r="G21593"/>
      <c r="H21593"/>
      <c r="I21593"/>
    </row>
    <row r="21594" spans="6:9" x14ac:dyDescent="0.3">
      <c r="F21594"/>
      <c r="G21594"/>
      <c r="H21594"/>
      <c r="I21594"/>
    </row>
    <row r="21595" spans="6:9" x14ac:dyDescent="0.3">
      <c r="F21595"/>
      <c r="G21595"/>
      <c r="H21595"/>
      <c r="I21595"/>
    </row>
    <row r="21596" spans="6:9" x14ac:dyDescent="0.3">
      <c r="F21596"/>
      <c r="G21596"/>
      <c r="H21596"/>
      <c r="I21596"/>
    </row>
    <row r="21597" spans="6:9" x14ac:dyDescent="0.3">
      <c r="F21597"/>
      <c r="G21597"/>
      <c r="H21597"/>
      <c r="I21597"/>
    </row>
    <row r="21598" spans="6:9" x14ac:dyDescent="0.3">
      <c r="F21598"/>
      <c r="G21598"/>
      <c r="H21598"/>
      <c r="I21598"/>
    </row>
    <row r="21599" spans="6:9" x14ac:dyDescent="0.3">
      <c r="F21599"/>
      <c r="G21599"/>
      <c r="H21599"/>
      <c r="I21599"/>
    </row>
    <row r="21600" spans="6:9" x14ac:dyDescent="0.3">
      <c r="F21600"/>
      <c r="G21600"/>
      <c r="H21600"/>
      <c r="I21600"/>
    </row>
    <row r="21601" spans="6:9" x14ac:dyDescent="0.3">
      <c r="F21601"/>
      <c r="G21601"/>
      <c r="H21601"/>
      <c r="I21601"/>
    </row>
    <row r="21602" spans="6:9" x14ac:dyDescent="0.3">
      <c r="F21602"/>
      <c r="G21602"/>
      <c r="H21602"/>
      <c r="I21602"/>
    </row>
    <row r="21603" spans="6:9" x14ac:dyDescent="0.3">
      <c r="F21603"/>
      <c r="G21603"/>
      <c r="H21603"/>
      <c r="I21603"/>
    </row>
    <row r="21604" spans="6:9" x14ac:dyDescent="0.3">
      <c r="F21604"/>
      <c r="G21604"/>
      <c r="H21604"/>
      <c r="I21604"/>
    </row>
    <row r="21605" spans="6:9" x14ac:dyDescent="0.3">
      <c r="F21605"/>
      <c r="G21605"/>
      <c r="H21605"/>
      <c r="I21605"/>
    </row>
    <row r="21606" spans="6:9" x14ac:dyDescent="0.3">
      <c r="F21606"/>
      <c r="G21606"/>
      <c r="H21606"/>
      <c r="I21606"/>
    </row>
    <row r="21607" spans="6:9" x14ac:dyDescent="0.3">
      <c r="F21607"/>
      <c r="G21607"/>
      <c r="H21607"/>
      <c r="I21607"/>
    </row>
    <row r="21608" spans="6:9" x14ac:dyDescent="0.3">
      <c r="F21608"/>
      <c r="G21608"/>
      <c r="H21608"/>
      <c r="I21608"/>
    </row>
    <row r="21609" spans="6:9" x14ac:dyDescent="0.3">
      <c r="F21609"/>
      <c r="G21609"/>
      <c r="H21609"/>
      <c r="I21609"/>
    </row>
    <row r="21610" spans="6:9" x14ac:dyDescent="0.3">
      <c r="F21610"/>
      <c r="G21610"/>
      <c r="H21610"/>
      <c r="I21610"/>
    </row>
    <row r="21611" spans="6:9" x14ac:dyDescent="0.3">
      <c r="F21611"/>
      <c r="G21611"/>
      <c r="H21611"/>
      <c r="I21611"/>
    </row>
    <row r="21612" spans="6:9" x14ac:dyDescent="0.3">
      <c r="F21612"/>
      <c r="G21612"/>
      <c r="H21612"/>
      <c r="I21612"/>
    </row>
    <row r="21613" spans="6:9" x14ac:dyDescent="0.3">
      <c r="F21613"/>
      <c r="G21613"/>
      <c r="H21613"/>
      <c r="I21613"/>
    </row>
    <row r="21614" spans="6:9" x14ac:dyDescent="0.3">
      <c r="F21614"/>
      <c r="G21614"/>
      <c r="H21614"/>
      <c r="I21614"/>
    </row>
    <row r="21615" spans="6:9" x14ac:dyDescent="0.3">
      <c r="F21615"/>
      <c r="G21615"/>
      <c r="H21615"/>
      <c r="I21615"/>
    </row>
    <row r="21616" spans="6:9" x14ac:dyDescent="0.3">
      <c r="F21616"/>
      <c r="G21616"/>
      <c r="H21616"/>
      <c r="I21616"/>
    </row>
    <row r="21617" spans="6:9" x14ac:dyDescent="0.3">
      <c r="F21617"/>
      <c r="G21617"/>
      <c r="H21617"/>
      <c r="I21617"/>
    </row>
    <row r="21618" spans="6:9" x14ac:dyDescent="0.3">
      <c r="F21618"/>
      <c r="G21618"/>
      <c r="H21618"/>
      <c r="I21618"/>
    </row>
    <row r="21619" spans="6:9" x14ac:dyDescent="0.3">
      <c r="F21619"/>
      <c r="G21619"/>
      <c r="H21619"/>
      <c r="I21619"/>
    </row>
    <row r="21620" spans="6:9" x14ac:dyDescent="0.3">
      <c r="F21620"/>
      <c r="G21620"/>
      <c r="H21620"/>
      <c r="I21620"/>
    </row>
    <row r="21621" spans="6:9" x14ac:dyDescent="0.3">
      <c r="F21621"/>
      <c r="G21621"/>
      <c r="H21621"/>
      <c r="I21621"/>
    </row>
    <row r="21622" spans="6:9" x14ac:dyDescent="0.3">
      <c r="F21622"/>
      <c r="G21622"/>
      <c r="H21622"/>
      <c r="I21622"/>
    </row>
    <row r="21623" spans="6:9" x14ac:dyDescent="0.3">
      <c r="F21623"/>
      <c r="G21623"/>
      <c r="H21623"/>
      <c r="I21623"/>
    </row>
    <row r="21624" spans="6:9" x14ac:dyDescent="0.3">
      <c r="F21624"/>
      <c r="G21624"/>
      <c r="H21624"/>
      <c r="I21624"/>
    </row>
    <row r="21625" spans="6:9" x14ac:dyDescent="0.3">
      <c r="F21625"/>
      <c r="G21625"/>
      <c r="H21625"/>
      <c r="I21625"/>
    </row>
    <row r="21626" spans="6:9" x14ac:dyDescent="0.3">
      <c r="F21626"/>
      <c r="G21626"/>
      <c r="H21626"/>
      <c r="I21626"/>
    </row>
    <row r="21627" spans="6:9" x14ac:dyDescent="0.3">
      <c r="F21627"/>
      <c r="G21627"/>
      <c r="H21627"/>
      <c r="I21627"/>
    </row>
    <row r="21628" spans="6:9" x14ac:dyDescent="0.3">
      <c r="F21628"/>
      <c r="G21628"/>
      <c r="H21628"/>
      <c r="I21628"/>
    </row>
    <row r="21629" spans="6:9" x14ac:dyDescent="0.3">
      <c r="F21629"/>
      <c r="G21629"/>
      <c r="H21629"/>
      <c r="I21629"/>
    </row>
    <row r="21630" spans="6:9" x14ac:dyDescent="0.3">
      <c r="F21630"/>
      <c r="G21630"/>
      <c r="H21630"/>
      <c r="I21630"/>
    </row>
    <row r="21631" spans="6:9" x14ac:dyDescent="0.3">
      <c r="F21631"/>
      <c r="G21631"/>
      <c r="H21631"/>
      <c r="I21631"/>
    </row>
    <row r="21632" spans="6:9" x14ac:dyDescent="0.3">
      <c r="F21632"/>
      <c r="G21632"/>
      <c r="H21632"/>
      <c r="I21632"/>
    </row>
    <row r="21633" spans="6:9" x14ac:dyDescent="0.3">
      <c r="F21633"/>
      <c r="G21633"/>
      <c r="H21633"/>
      <c r="I21633"/>
    </row>
    <row r="21634" spans="6:9" x14ac:dyDescent="0.3">
      <c r="F21634"/>
      <c r="G21634"/>
      <c r="H21634"/>
      <c r="I21634"/>
    </row>
    <row r="21635" spans="6:9" x14ac:dyDescent="0.3">
      <c r="F21635"/>
      <c r="G21635"/>
      <c r="H21635"/>
      <c r="I21635"/>
    </row>
    <row r="21636" spans="6:9" x14ac:dyDescent="0.3">
      <c r="F21636"/>
      <c r="G21636"/>
      <c r="H21636"/>
      <c r="I21636"/>
    </row>
    <row r="21637" spans="6:9" x14ac:dyDescent="0.3">
      <c r="F21637"/>
      <c r="G21637"/>
      <c r="H21637"/>
      <c r="I21637"/>
    </row>
    <row r="21638" spans="6:9" x14ac:dyDescent="0.3">
      <c r="F21638"/>
      <c r="G21638"/>
      <c r="H21638"/>
      <c r="I21638"/>
    </row>
    <row r="21639" spans="6:9" x14ac:dyDescent="0.3">
      <c r="F21639"/>
      <c r="G21639"/>
      <c r="H21639"/>
      <c r="I21639"/>
    </row>
    <row r="21640" spans="6:9" x14ac:dyDescent="0.3">
      <c r="F21640"/>
      <c r="G21640"/>
      <c r="H21640"/>
      <c r="I21640"/>
    </row>
    <row r="21641" spans="6:9" x14ac:dyDescent="0.3">
      <c r="F21641"/>
      <c r="G21641"/>
      <c r="H21641"/>
      <c r="I21641"/>
    </row>
    <row r="21642" spans="6:9" x14ac:dyDescent="0.3">
      <c r="F21642"/>
      <c r="G21642"/>
      <c r="H21642"/>
      <c r="I21642"/>
    </row>
    <row r="21643" spans="6:9" x14ac:dyDescent="0.3">
      <c r="F21643"/>
      <c r="G21643"/>
      <c r="H21643"/>
      <c r="I21643"/>
    </row>
    <row r="21644" spans="6:9" x14ac:dyDescent="0.3">
      <c r="F21644"/>
      <c r="G21644"/>
      <c r="H21644"/>
      <c r="I21644"/>
    </row>
    <row r="21645" spans="6:9" x14ac:dyDescent="0.3">
      <c r="F21645"/>
      <c r="G21645"/>
      <c r="H21645"/>
      <c r="I21645"/>
    </row>
    <row r="21646" spans="6:9" x14ac:dyDescent="0.3">
      <c r="F21646"/>
      <c r="G21646"/>
      <c r="H21646"/>
      <c r="I21646"/>
    </row>
    <row r="21647" spans="6:9" x14ac:dyDescent="0.3">
      <c r="F21647"/>
      <c r="G21647"/>
      <c r="H21647"/>
      <c r="I21647"/>
    </row>
    <row r="21648" spans="6:9" x14ac:dyDescent="0.3">
      <c r="F21648"/>
      <c r="G21648"/>
      <c r="H21648"/>
      <c r="I21648"/>
    </row>
    <row r="21649" spans="6:9" x14ac:dyDescent="0.3">
      <c r="F21649"/>
      <c r="G21649"/>
      <c r="H21649"/>
      <c r="I21649"/>
    </row>
    <row r="21650" spans="6:9" x14ac:dyDescent="0.3">
      <c r="F21650"/>
      <c r="G21650"/>
      <c r="H21650"/>
      <c r="I21650"/>
    </row>
    <row r="21651" spans="6:9" x14ac:dyDescent="0.3">
      <c r="F21651"/>
      <c r="G21651"/>
      <c r="H21651"/>
      <c r="I21651"/>
    </row>
    <row r="21652" spans="6:9" x14ac:dyDescent="0.3">
      <c r="F21652"/>
      <c r="G21652"/>
      <c r="H21652"/>
      <c r="I21652"/>
    </row>
    <row r="21653" spans="6:9" x14ac:dyDescent="0.3">
      <c r="F21653"/>
      <c r="G21653"/>
      <c r="H21653"/>
      <c r="I21653"/>
    </row>
    <row r="21654" spans="6:9" x14ac:dyDescent="0.3">
      <c r="F21654"/>
      <c r="G21654"/>
      <c r="H21654"/>
      <c r="I21654"/>
    </row>
    <row r="21655" spans="6:9" x14ac:dyDescent="0.3">
      <c r="F21655"/>
      <c r="G21655"/>
      <c r="H21655"/>
      <c r="I21655"/>
    </row>
    <row r="21656" spans="6:9" x14ac:dyDescent="0.3">
      <c r="F21656"/>
      <c r="G21656"/>
      <c r="H21656"/>
      <c r="I21656"/>
    </row>
    <row r="21657" spans="6:9" x14ac:dyDescent="0.3">
      <c r="F21657"/>
      <c r="G21657"/>
      <c r="H21657"/>
      <c r="I21657"/>
    </row>
    <row r="21658" spans="6:9" x14ac:dyDescent="0.3">
      <c r="F21658"/>
      <c r="G21658"/>
      <c r="H21658"/>
      <c r="I21658"/>
    </row>
    <row r="21659" spans="6:9" x14ac:dyDescent="0.3">
      <c r="F21659"/>
      <c r="G21659"/>
      <c r="H21659"/>
      <c r="I21659"/>
    </row>
    <row r="21660" spans="6:9" x14ac:dyDescent="0.3">
      <c r="F21660"/>
      <c r="G21660"/>
      <c r="H21660"/>
      <c r="I21660"/>
    </row>
    <row r="21661" spans="6:9" x14ac:dyDescent="0.3">
      <c r="F21661"/>
      <c r="G21661"/>
      <c r="H21661"/>
      <c r="I21661"/>
    </row>
    <row r="21662" spans="6:9" x14ac:dyDescent="0.3">
      <c r="F21662"/>
      <c r="G21662"/>
      <c r="H21662"/>
      <c r="I21662"/>
    </row>
    <row r="21663" spans="6:9" x14ac:dyDescent="0.3">
      <c r="F21663"/>
      <c r="G21663"/>
      <c r="H21663"/>
      <c r="I21663"/>
    </row>
    <row r="21664" spans="6:9" x14ac:dyDescent="0.3">
      <c r="F21664"/>
      <c r="G21664"/>
      <c r="H21664"/>
      <c r="I21664"/>
    </row>
    <row r="21665" spans="6:9" x14ac:dyDescent="0.3">
      <c r="F21665"/>
      <c r="G21665"/>
      <c r="H21665"/>
      <c r="I21665"/>
    </row>
    <row r="21666" spans="6:9" x14ac:dyDescent="0.3">
      <c r="F21666"/>
      <c r="G21666"/>
      <c r="H21666"/>
      <c r="I21666"/>
    </row>
    <row r="21667" spans="6:9" x14ac:dyDescent="0.3">
      <c r="F21667"/>
      <c r="G21667"/>
      <c r="H21667"/>
      <c r="I21667"/>
    </row>
    <row r="21668" spans="6:9" x14ac:dyDescent="0.3">
      <c r="F21668"/>
      <c r="G21668"/>
      <c r="H21668"/>
      <c r="I21668"/>
    </row>
    <row r="21669" spans="6:9" x14ac:dyDescent="0.3">
      <c r="F21669"/>
      <c r="G21669"/>
      <c r="H21669"/>
      <c r="I21669"/>
    </row>
    <row r="21670" spans="6:9" x14ac:dyDescent="0.3">
      <c r="F21670"/>
      <c r="G21670"/>
      <c r="H21670"/>
      <c r="I21670"/>
    </row>
    <row r="21671" spans="6:9" x14ac:dyDescent="0.3">
      <c r="F21671"/>
      <c r="G21671"/>
      <c r="H21671"/>
      <c r="I21671"/>
    </row>
    <row r="21672" spans="6:9" x14ac:dyDescent="0.3">
      <c r="F21672"/>
      <c r="G21672"/>
      <c r="H21672"/>
      <c r="I21672"/>
    </row>
    <row r="21673" spans="6:9" x14ac:dyDescent="0.3">
      <c r="F21673"/>
      <c r="G21673"/>
      <c r="H21673"/>
      <c r="I21673"/>
    </row>
    <row r="21674" spans="6:9" x14ac:dyDescent="0.3">
      <c r="F21674"/>
      <c r="G21674"/>
      <c r="H21674"/>
      <c r="I21674"/>
    </row>
    <row r="21675" spans="6:9" x14ac:dyDescent="0.3">
      <c r="F21675"/>
      <c r="G21675"/>
      <c r="H21675"/>
      <c r="I21675"/>
    </row>
    <row r="21676" spans="6:9" x14ac:dyDescent="0.3">
      <c r="F21676"/>
      <c r="G21676"/>
      <c r="H21676"/>
      <c r="I21676"/>
    </row>
    <row r="21677" spans="6:9" x14ac:dyDescent="0.3">
      <c r="F21677"/>
      <c r="G21677"/>
      <c r="H21677"/>
      <c r="I21677"/>
    </row>
    <row r="21678" spans="6:9" x14ac:dyDescent="0.3">
      <c r="F21678"/>
      <c r="G21678"/>
      <c r="H21678"/>
      <c r="I21678"/>
    </row>
    <row r="21679" spans="6:9" x14ac:dyDescent="0.3">
      <c r="F21679"/>
      <c r="G21679"/>
      <c r="H21679"/>
      <c r="I21679"/>
    </row>
    <row r="21680" spans="6:9" x14ac:dyDescent="0.3">
      <c r="F21680"/>
      <c r="G21680"/>
      <c r="H21680"/>
      <c r="I21680"/>
    </row>
    <row r="21681" spans="6:9" x14ac:dyDescent="0.3">
      <c r="F21681"/>
      <c r="G21681"/>
      <c r="H21681"/>
      <c r="I21681"/>
    </row>
    <row r="21682" spans="6:9" x14ac:dyDescent="0.3">
      <c r="F21682"/>
      <c r="G21682"/>
      <c r="H21682"/>
      <c r="I21682"/>
    </row>
    <row r="21683" spans="6:9" x14ac:dyDescent="0.3">
      <c r="F21683"/>
      <c r="G21683"/>
      <c r="H21683"/>
      <c r="I21683"/>
    </row>
    <row r="21684" spans="6:9" x14ac:dyDescent="0.3">
      <c r="F21684"/>
      <c r="G21684"/>
      <c r="H21684"/>
      <c r="I21684"/>
    </row>
    <row r="21685" spans="6:9" x14ac:dyDescent="0.3">
      <c r="F21685"/>
      <c r="G21685"/>
      <c r="H21685"/>
      <c r="I21685"/>
    </row>
    <row r="21686" spans="6:9" x14ac:dyDescent="0.3">
      <c r="F21686"/>
      <c r="G21686"/>
      <c r="H21686"/>
      <c r="I21686"/>
    </row>
    <row r="21687" spans="6:9" x14ac:dyDescent="0.3">
      <c r="F21687"/>
      <c r="G21687"/>
      <c r="H21687"/>
      <c r="I21687"/>
    </row>
    <row r="21688" spans="6:9" x14ac:dyDescent="0.3">
      <c r="F21688"/>
      <c r="G21688"/>
      <c r="H21688"/>
      <c r="I21688"/>
    </row>
    <row r="21689" spans="6:9" x14ac:dyDescent="0.3">
      <c r="F21689"/>
      <c r="G21689"/>
      <c r="H21689"/>
      <c r="I21689"/>
    </row>
    <row r="21690" spans="6:9" x14ac:dyDescent="0.3">
      <c r="F21690"/>
      <c r="G21690"/>
      <c r="H21690"/>
      <c r="I21690"/>
    </row>
    <row r="21691" spans="6:9" x14ac:dyDescent="0.3">
      <c r="F21691"/>
      <c r="G21691"/>
      <c r="H21691"/>
      <c r="I21691"/>
    </row>
    <row r="21692" spans="6:9" x14ac:dyDescent="0.3">
      <c r="F21692"/>
      <c r="G21692"/>
      <c r="H21692"/>
      <c r="I21692"/>
    </row>
    <row r="21693" spans="6:9" x14ac:dyDescent="0.3">
      <c r="F21693"/>
      <c r="G21693"/>
      <c r="H21693"/>
      <c r="I21693"/>
    </row>
    <row r="21694" spans="6:9" x14ac:dyDescent="0.3">
      <c r="F21694"/>
      <c r="G21694"/>
      <c r="H21694"/>
      <c r="I21694"/>
    </row>
    <row r="21695" spans="6:9" x14ac:dyDescent="0.3">
      <c r="F21695"/>
      <c r="G21695"/>
      <c r="H21695"/>
      <c r="I21695"/>
    </row>
    <row r="21696" spans="6:9" x14ac:dyDescent="0.3">
      <c r="F21696"/>
      <c r="G21696"/>
      <c r="H21696"/>
      <c r="I21696"/>
    </row>
    <row r="21697" spans="6:9" x14ac:dyDescent="0.3">
      <c r="F21697"/>
      <c r="G21697"/>
      <c r="H21697"/>
      <c r="I21697"/>
    </row>
    <row r="21698" spans="6:9" x14ac:dyDescent="0.3">
      <c r="F21698"/>
      <c r="G21698"/>
      <c r="H21698"/>
      <c r="I21698"/>
    </row>
    <row r="21699" spans="6:9" x14ac:dyDescent="0.3">
      <c r="F21699"/>
      <c r="G21699"/>
      <c r="H21699"/>
      <c r="I21699"/>
    </row>
    <row r="21700" spans="6:9" x14ac:dyDescent="0.3">
      <c r="F21700"/>
      <c r="G21700"/>
      <c r="H21700"/>
      <c r="I21700"/>
    </row>
    <row r="21701" spans="6:9" x14ac:dyDescent="0.3">
      <c r="F21701"/>
      <c r="G21701"/>
      <c r="H21701"/>
      <c r="I21701"/>
    </row>
    <row r="21702" spans="6:9" x14ac:dyDescent="0.3">
      <c r="F21702"/>
      <c r="G21702"/>
      <c r="H21702"/>
      <c r="I21702"/>
    </row>
    <row r="21703" spans="6:9" x14ac:dyDescent="0.3">
      <c r="F21703"/>
      <c r="G21703"/>
      <c r="H21703"/>
      <c r="I21703"/>
    </row>
    <row r="21704" spans="6:9" x14ac:dyDescent="0.3">
      <c r="F21704"/>
      <c r="G21704"/>
      <c r="H21704"/>
      <c r="I21704"/>
    </row>
    <row r="21705" spans="6:9" x14ac:dyDescent="0.3">
      <c r="F21705"/>
      <c r="G21705"/>
      <c r="H21705"/>
      <c r="I21705"/>
    </row>
    <row r="21706" spans="6:9" x14ac:dyDescent="0.3">
      <c r="F21706"/>
      <c r="G21706"/>
      <c r="H21706"/>
      <c r="I21706"/>
    </row>
    <row r="21707" spans="6:9" x14ac:dyDescent="0.3">
      <c r="F21707"/>
      <c r="G21707"/>
      <c r="H21707"/>
      <c r="I21707"/>
    </row>
    <row r="21708" spans="6:9" x14ac:dyDescent="0.3">
      <c r="F21708"/>
      <c r="G21708"/>
      <c r="H21708"/>
      <c r="I21708"/>
    </row>
    <row r="21709" spans="6:9" x14ac:dyDescent="0.3">
      <c r="F21709"/>
      <c r="G21709"/>
      <c r="H21709"/>
      <c r="I21709"/>
    </row>
    <row r="21710" spans="6:9" x14ac:dyDescent="0.3">
      <c r="F21710"/>
      <c r="G21710"/>
      <c r="H21710"/>
      <c r="I21710"/>
    </row>
    <row r="21711" spans="6:9" x14ac:dyDescent="0.3">
      <c r="F21711"/>
      <c r="G21711"/>
      <c r="H21711"/>
      <c r="I21711"/>
    </row>
    <row r="21712" spans="6:9" x14ac:dyDescent="0.3">
      <c r="F21712"/>
      <c r="G21712"/>
      <c r="H21712"/>
      <c r="I21712"/>
    </row>
    <row r="21713" spans="6:9" x14ac:dyDescent="0.3">
      <c r="F21713"/>
      <c r="G21713"/>
      <c r="H21713"/>
      <c r="I21713"/>
    </row>
    <row r="21714" spans="6:9" x14ac:dyDescent="0.3">
      <c r="F21714"/>
      <c r="G21714"/>
      <c r="H21714"/>
      <c r="I21714"/>
    </row>
    <row r="21715" spans="6:9" x14ac:dyDescent="0.3">
      <c r="F21715"/>
      <c r="G21715"/>
      <c r="H21715"/>
      <c r="I21715"/>
    </row>
    <row r="21716" spans="6:9" x14ac:dyDescent="0.3">
      <c r="F21716"/>
      <c r="G21716"/>
      <c r="H21716"/>
      <c r="I21716"/>
    </row>
    <row r="21717" spans="6:9" x14ac:dyDescent="0.3">
      <c r="F21717"/>
      <c r="G21717"/>
      <c r="H21717"/>
      <c r="I21717"/>
    </row>
    <row r="21718" spans="6:9" x14ac:dyDescent="0.3">
      <c r="F21718"/>
      <c r="G21718"/>
      <c r="H21718"/>
      <c r="I21718"/>
    </row>
    <row r="21719" spans="6:9" x14ac:dyDescent="0.3">
      <c r="F21719"/>
      <c r="G21719"/>
      <c r="H21719"/>
      <c r="I21719"/>
    </row>
    <row r="21720" spans="6:9" x14ac:dyDescent="0.3">
      <c r="F21720"/>
      <c r="G21720"/>
      <c r="H21720"/>
      <c r="I21720"/>
    </row>
    <row r="21721" spans="6:9" x14ac:dyDescent="0.3">
      <c r="F21721"/>
      <c r="G21721"/>
      <c r="H21721"/>
      <c r="I21721"/>
    </row>
    <row r="21722" spans="6:9" x14ac:dyDescent="0.3">
      <c r="F21722"/>
      <c r="G21722"/>
      <c r="H21722"/>
      <c r="I21722"/>
    </row>
    <row r="21723" spans="6:9" x14ac:dyDescent="0.3">
      <c r="F21723"/>
      <c r="G21723"/>
      <c r="H21723"/>
      <c r="I21723"/>
    </row>
    <row r="21724" spans="6:9" x14ac:dyDescent="0.3">
      <c r="F21724"/>
      <c r="G21724"/>
      <c r="H21724"/>
      <c r="I21724"/>
    </row>
    <row r="21725" spans="6:9" x14ac:dyDescent="0.3">
      <c r="F21725"/>
      <c r="G21725"/>
      <c r="H21725"/>
      <c r="I21725"/>
    </row>
    <row r="21726" spans="6:9" x14ac:dyDescent="0.3">
      <c r="F21726"/>
      <c r="G21726"/>
      <c r="H21726"/>
      <c r="I21726"/>
    </row>
    <row r="21727" spans="6:9" x14ac:dyDescent="0.3">
      <c r="F21727"/>
      <c r="G21727"/>
      <c r="H21727"/>
      <c r="I21727"/>
    </row>
    <row r="21728" spans="6:9" x14ac:dyDescent="0.3">
      <c r="F21728"/>
      <c r="G21728"/>
      <c r="H21728"/>
      <c r="I21728"/>
    </row>
    <row r="21729" spans="6:9" x14ac:dyDescent="0.3">
      <c r="F21729"/>
      <c r="G21729"/>
      <c r="H21729"/>
      <c r="I21729"/>
    </row>
    <row r="21730" spans="6:9" x14ac:dyDescent="0.3">
      <c r="F21730"/>
      <c r="G21730"/>
      <c r="H21730"/>
      <c r="I21730"/>
    </row>
    <row r="21731" spans="6:9" x14ac:dyDescent="0.3">
      <c r="F21731"/>
      <c r="G21731"/>
      <c r="H21731"/>
      <c r="I21731"/>
    </row>
    <row r="21732" spans="6:9" x14ac:dyDescent="0.3">
      <c r="F21732"/>
      <c r="G21732"/>
      <c r="H21732"/>
      <c r="I21732"/>
    </row>
    <row r="21733" spans="6:9" x14ac:dyDescent="0.3">
      <c r="F21733"/>
      <c r="G21733"/>
      <c r="H21733"/>
      <c r="I21733"/>
    </row>
    <row r="21734" spans="6:9" x14ac:dyDescent="0.3">
      <c r="F21734"/>
      <c r="G21734"/>
      <c r="H21734"/>
      <c r="I21734"/>
    </row>
    <row r="21735" spans="6:9" x14ac:dyDescent="0.3">
      <c r="F21735"/>
      <c r="G21735"/>
      <c r="H21735"/>
      <c r="I21735"/>
    </row>
    <row r="21736" spans="6:9" x14ac:dyDescent="0.3">
      <c r="F21736"/>
      <c r="G21736"/>
      <c r="H21736"/>
      <c r="I21736"/>
    </row>
    <row r="21737" spans="6:9" x14ac:dyDescent="0.3">
      <c r="F21737"/>
      <c r="G21737"/>
      <c r="H21737"/>
      <c r="I21737"/>
    </row>
    <row r="21738" spans="6:9" x14ac:dyDescent="0.3">
      <c r="F21738"/>
      <c r="G21738"/>
      <c r="H21738"/>
      <c r="I21738"/>
    </row>
    <row r="21739" spans="6:9" x14ac:dyDescent="0.3">
      <c r="F21739"/>
      <c r="G21739"/>
      <c r="H21739"/>
      <c r="I21739"/>
    </row>
    <row r="21740" spans="6:9" x14ac:dyDescent="0.3">
      <c r="F21740"/>
      <c r="G21740"/>
      <c r="H21740"/>
      <c r="I21740"/>
    </row>
    <row r="21741" spans="6:9" x14ac:dyDescent="0.3">
      <c r="F21741"/>
      <c r="G21741"/>
      <c r="H21741"/>
      <c r="I21741"/>
    </row>
    <row r="21742" spans="6:9" x14ac:dyDescent="0.3">
      <c r="F21742"/>
      <c r="G21742"/>
      <c r="H21742"/>
      <c r="I21742"/>
    </row>
    <row r="21743" spans="6:9" x14ac:dyDescent="0.3">
      <c r="F21743"/>
      <c r="G21743"/>
      <c r="H21743"/>
      <c r="I21743"/>
    </row>
    <row r="21744" spans="6:9" x14ac:dyDescent="0.3">
      <c r="F21744"/>
      <c r="G21744"/>
      <c r="H21744"/>
      <c r="I21744"/>
    </row>
    <row r="21745" spans="6:9" x14ac:dyDescent="0.3">
      <c r="F21745"/>
      <c r="G21745"/>
      <c r="H21745"/>
      <c r="I21745"/>
    </row>
    <row r="21746" spans="6:9" x14ac:dyDescent="0.3">
      <c r="F21746"/>
      <c r="G21746"/>
      <c r="H21746"/>
      <c r="I21746"/>
    </row>
    <row r="21747" spans="6:9" x14ac:dyDescent="0.3">
      <c r="F21747"/>
      <c r="G21747"/>
      <c r="H21747"/>
      <c r="I21747"/>
    </row>
    <row r="21748" spans="6:9" x14ac:dyDescent="0.3">
      <c r="F21748"/>
      <c r="G21748"/>
      <c r="H21748"/>
      <c r="I21748"/>
    </row>
    <row r="21749" spans="6:9" x14ac:dyDescent="0.3">
      <c r="F21749"/>
      <c r="G21749"/>
      <c r="H21749"/>
      <c r="I21749"/>
    </row>
    <row r="21750" spans="6:9" x14ac:dyDescent="0.3">
      <c r="F21750"/>
      <c r="G21750"/>
      <c r="H21750"/>
      <c r="I21750"/>
    </row>
    <row r="21751" spans="6:9" x14ac:dyDescent="0.3">
      <c r="F21751"/>
      <c r="G21751"/>
      <c r="H21751"/>
      <c r="I21751"/>
    </row>
    <row r="21752" spans="6:9" x14ac:dyDescent="0.3">
      <c r="F21752"/>
      <c r="G21752"/>
      <c r="H21752"/>
      <c r="I21752"/>
    </row>
    <row r="21753" spans="6:9" x14ac:dyDescent="0.3">
      <c r="F21753"/>
      <c r="G21753"/>
      <c r="H21753"/>
      <c r="I21753"/>
    </row>
    <row r="21754" spans="6:9" x14ac:dyDescent="0.3">
      <c r="F21754"/>
      <c r="G21754"/>
      <c r="H21754"/>
      <c r="I21754"/>
    </row>
    <row r="21755" spans="6:9" x14ac:dyDescent="0.3">
      <c r="F21755"/>
      <c r="G21755"/>
      <c r="H21755"/>
      <c r="I21755"/>
    </row>
    <row r="21756" spans="6:9" x14ac:dyDescent="0.3">
      <c r="F21756"/>
      <c r="G21756"/>
      <c r="H21756"/>
      <c r="I21756"/>
    </row>
    <row r="21757" spans="6:9" x14ac:dyDescent="0.3">
      <c r="F21757"/>
      <c r="G21757"/>
      <c r="H21757"/>
      <c r="I21757"/>
    </row>
    <row r="21758" spans="6:9" x14ac:dyDescent="0.3">
      <c r="F21758"/>
      <c r="G21758"/>
      <c r="H21758"/>
      <c r="I21758"/>
    </row>
    <row r="21759" spans="6:9" x14ac:dyDescent="0.3">
      <c r="F21759"/>
      <c r="G21759"/>
      <c r="H21759"/>
      <c r="I21759"/>
    </row>
    <row r="21760" spans="6:9" x14ac:dyDescent="0.3">
      <c r="F21760"/>
      <c r="G21760"/>
      <c r="H21760"/>
      <c r="I21760"/>
    </row>
    <row r="21761" spans="6:9" x14ac:dyDescent="0.3">
      <c r="F21761"/>
      <c r="G21761"/>
      <c r="H21761"/>
      <c r="I21761"/>
    </row>
    <row r="21762" spans="6:9" x14ac:dyDescent="0.3">
      <c r="F21762"/>
      <c r="G21762"/>
      <c r="H21762"/>
      <c r="I21762"/>
    </row>
    <row r="21763" spans="6:9" x14ac:dyDescent="0.3">
      <c r="F21763"/>
      <c r="G21763"/>
      <c r="H21763"/>
      <c r="I21763"/>
    </row>
    <row r="21764" spans="6:9" x14ac:dyDescent="0.3">
      <c r="F21764"/>
      <c r="G21764"/>
      <c r="H21764"/>
      <c r="I21764"/>
    </row>
    <row r="21765" spans="6:9" x14ac:dyDescent="0.3">
      <c r="F21765"/>
      <c r="G21765"/>
      <c r="H21765"/>
      <c r="I21765"/>
    </row>
    <row r="21766" spans="6:9" x14ac:dyDescent="0.3">
      <c r="F21766"/>
      <c r="G21766"/>
      <c r="H21766"/>
      <c r="I21766"/>
    </row>
    <row r="21767" spans="6:9" x14ac:dyDescent="0.3">
      <c r="F21767"/>
      <c r="G21767"/>
      <c r="H21767"/>
      <c r="I21767"/>
    </row>
    <row r="21768" spans="6:9" x14ac:dyDescent="0.3">
      <c r="F21768"/>
      <c r="G21768"/>
      <c r="H21768"/>
      <c r="I21768"/>
    </row>
    <row r="21769" spans="6:9" x14ac:dyDescent="0.3">
      <c r="F21769"/>
      <c r="G21769"/>
      <c r="H21769"/>
      <c r="I21769"/>
    </row>
    <row r="21770" spans="6:9" x14ac:dyDescent="0.3">
      <c r="F21770"/>
      <c r="G21770"/>
      <c r="H21770"/>
      <c r="I21770"/>
    </row>
    <row r="21771" spans="6:9" x14ac:dyDescent="0.3">
      <c r="F21771"/>
      <c r="G21771"/>
      <c r="H21771"/>
      <c r="I21771"/>
    </row>
    <row r="21772" spans="6:9" x14ac:dyDescent="0.3">
      <c r="F21772"/>
      <c r="G21772"/>
      <c r="H21772"/>
      <c r="I21772"/>
    </row>
    <row r="21773" spans="6:9" x14ac:dyDescent="0.3">
      <c r="F21773"/>
      <c r="G21773"/>
      <c r="H21773"/>
      <c r="I21773"/>
    </row>
    <row r="21774" spans="6:9" x14ac:dyDescent="0.3">
      <c r="F21774"/>
      <c r="G21774"/>
      <c r="H21774"/>
      <c r="I21774"/>
    </row>
    <row r="21775" spans="6:9" x14ac:dyDescent="0.3">
      <c r="F21775"/>
      <c r="G21775"/>
      <c r="H21775"/>
      <c r="I21775"/>
    </row>
    <row r="21776" spans="6:9" x14ac:dyDescent="0.3">
      <c r="F21776"/>
      <c r="G21776"/>
      <c r="H21776"/>
      <c r="I21776"/>
    </row>
    <row r="21777" spans="6:9" x14ac:dyDescent="0.3">
      <c r="F21777"/>
      <c r="G21777"/>
      <c r="H21777"/>
      <c r="I21777"/>
    </row>
    <row r="21778" spans="6:9" x14ac:dyDescent="0.3">
      <c r="F21778"/>
      <c r="G21778"/>
      <c r="H21778"/>
      <c r="I21778"/>
    </row>
    <row r="21779" spans="6:9" x14ac:dyDescent="0.3">
      <c r="F21779"/>
      <c r="G21779"/>
      <c r="H21779"/>
      <c r="I21779"/>
    </row>
    <row r="21780" spans="6:9" x14ac:dyDescent="0.3">
      <c r="F21780"/>
      <c r="G21780"/>
      <c r="H21780"/>
      <c r="I21780"/>
    </row>
    <row r="21781" spans="6:9" x14ac:dyDescent="0.3">
      <c r="F21781"/>
      <c r="G21781"/>
      <c r="H21781"/>
      <c r="I21781"/>
    </row>
    <row r="21782" spans="6:9" x14ac:dyDescent="0.3">
      <c r="F21782"/>
      <c r="G21782"/>
      <c r="H21782"/>
      <c r="I21782"/>
    </row>
    <row r="21783" spans="6:9" x14ac:dyDescent="0.3">
      <c r="F21783"/>
      <c r="G21783"/>
      <c r="H21783"/>
      <c r="I21783"/>
    </row>
    <row r="21784" spans="6:9" x14ac:dyDescent="0.3">
      <c r="F21784"/>
      <c r="G21784"/>
      <c r="H21784"/>
      <c r="I21784"/>
    </row>
    <row r="21785" spans="6:9" x14ac:dyDescent="0.3">
      <c r="F21785"/>
      <c r="G21785"/>
      <c r="H21785"/>
      <c r="I21785"/>
    </row>
    <row r="21786" spans="6:9" x14ac:dyDescent="0.3">
      <c r="F21786"/>
      <c r="G21786"/>
      <c r="H21786"/>
      <c r="I21786"/>
    </row>
    <row r="21787" spans="6:9" x14ac:dyDescent="0.3">
      <c r="F21787"/>
      <c r="G21787"/>
      <c r="H21787"/>
      <c r="I21787"/>
    </row>
    <row r="21788" spans="6:9" x14ac:dyDescent="0.3">
      <c r="F21788"/>
      <c r="G21788"/>
      <c r="H21788"/>
      <c r="I21788"/>
    </row>
    <row r="21789" spans="6:9" x14ac:dyDescent="0.3">
      <c r="F21789"/>
      <c r="G21789"/>
      <c r="H21789"/>
      <c r="I21789"/>
    </row>
    <row r="21790" spans="6:9" x14ac:dyDescent="0.3">
      <c r="F21790"/>
      <c r="G21790"/>
      <c r="H21790"/>
      <c r="I21790"/>
    </row>
    <row r="21791" spans="6:9" x14ac:dyDescent="0.3">
      <c r="F21791"/>
      <c r="G21791"/>
      <c r="H21791"/>
      <c r="I21791"/>
    </row>
    <row r="21792" spans="6:9" x14ac:dyDescent="0.3">
      <c r="F21792"/>
      <c r="G21792"/>
      <c r="H21792"/>
      <c r="I21792"/>
    </row>
    <row r="21793" spans="6:9" x14ac:dyDescent="0.3">
      <c r="F21793"/>
      <c r="G21793"/>
      <c r="H21793"/>
      <c r="I21793"/>
    </row>
    <row r="21794" spans="6:9" x14ac:dyDescent="0.3">
      <c r="F21794"/>
      <c r="G21794"/>
      <c r="H21794"/>
      <c r="I21794"/>
    </row>
    <row r="21795" spans="6:9" x14ac:dyDescent="0.3">
      <c r="F21795"/>
      <c r="G21795"/>
      <c r="H21795"/>
      <c r="I21795"/>
    </row>
    <row r="21796" spans="6:9" x14ac:dyDescent="0.3">
      <c r="F21796"/>
      <c r="G21796"/>
      <c r="H21796"/>
      <c r="I21796"/>
    </row>
    <row r="21797" spans="6:9" x14ac:dyDescent="0.3">
      <c r="F21797"/>
      <c r="G21797"/>
      <c r="H21797"/>
      <c r="I21797"/>
    </row>
    <row r="21798" spans="6:9" x14ac:dyDescent="0.3">
      <c r="F21798"/>
      <c r="G21798"/>
      <c r="H21798"/>
      <c r="I21798"/>
    </row>
    <row r="21799" spans="6:9" x14ac:dyDescent="0.3">
      <c r="F21799"/>
      <c r="G21799"/>
      <c r="H21799"/>
      <c r="I21799"/>
    </row>
    <row r="21800" spans="6:9" x14ac:dyDescent="0.3">
      <c r="F21800"/>
      <c r="G21800"/>
      <c r="H21800"/>
      <c r="I21800"/>
    </row>
    <row r="21801" spans="6:9" x14ac:dyDescent="0.3">
      <c r="F21801"/>
      <c r="G21801"/>
      <c r="H21801"/>
      <c r="I21801"/>
    </row>
    <row r="21802" spans="6:9" x14ac:dyDescent="0.3">
      <c r="F21802"/>
      <c r="G21802"/>
      <c r="H21802"/>
      <c r="I21802"/>
    </row>
    <row r="21803" spans="6:9" x14ac:dyDescent="0.3">
      <c r="F21803"/>
      <c r="G21803"/>
      <c r="H21803"/>
      <c r="I21803"/>
    </row>
    <row r="21804" spans="6:9" x14ac:dyDescent="0.3">
      <c r="F21804"/>
      <c r="G21804"/>
      <c r="H21804"/>
      <c r="I21804"/>
    </row>
    <row r="21805" spans="6:9" x14ac:dyDescent="0.3">
      <c r="F21805"/>
      <c r="G21805"/>
      <c r="H21805"/>
      <c r="I21805"/>
    </row>
    <row r="21806" spans="6:9" x14ac:dyDescent="0.3">
      <c r="F21806"/>
      <c r="G21806"/>
      <c r="H21806"/>
      <c r="I21806"/>
    </row>
    <row r="21807" spans="6:9" x14ac:dyDescent="0.3">
      <c r="F21807"/>
      <c r="G21807"/>
      <c r="H21807"/>
      <c r="I21807"/>
    </row>
    <row r="21808" spans="6:9" x14ac:dyDescent="0.3">
      <c r="F21808"/>
      <c r="G21808"/>
      <c r="H21808"/>
      <c r="I21808"/>
    </row>
    <row r="21809" spans="6:9" x14ac:dyDescent="0.3">
      <c r="F21809"/>
      <c r="G21809"/>
      <c r="H21809"/>
      <c r="I21809"/>
    </row>
    <row r="21810" spans="6:9" x14ac:dyDescent="0.3">
      <c r="F21810"/>
      <c r="G21810"/>
      <c r="H21810"/>
      <c r="I21810"/>
    </row>
    <row r="21811" spans="6:9" x14ac:dyDescent="0.3">
      <c r="F21811"/>
      <c r="G21811"/>
      <c r="H21811"/>
      <c r="I21811"/>
    </row>
    <row r="21812" spans="6:9" x14ac:dyDescent="0.3">
      <c r="F21812"/>
      <c r="G21812"/>
      <c r="H21812"/>
      <c r="I21812"/>
    </row>
    <row r="21813" spans="6:9" x14ac:dyDescent="0.3">
      <c r="F21813"/>
      <c r="G21813"/>
      <c r="H21813"/>
      <c r="I21813"/>
    </row>
    <row r="21814" spans="6:9" x14ac:dyDescent="0.3">
      <c r="F21814"/>
      <c r="G21814"/>
      <c r="H21814"/>
      <c r="I21814"/>
    </row>
    <row r="21815" spans="6:9" x14ac:dyDescent="0.3">
      <c r="F21815"/>
      <c r="G21815"/>
      <c r="H21815"/>
      <c r="I21815"/>
    </row>
    <row r="21816" spans="6:9" x14ac:dyDescent="0.3">
      <c r="F21816"/>
      <c r="G21816"/>
      <c r="H21816"/>
      <c r="I21816"/>
    </row>
    <row r="21817" spans="6:9" x14ac:dyDescent="0.3">
      <c r="F21817"/>
      <c r="G21817"/>
      <c r="H21817"/>
      <c r="I21817"/>
    </row>
    <row r="21818" spans="6:9" x14ac:dyDescent="0.3">
      <c r="F21818"/>
      <c r="G21818"/>
      <c r="H21818"/>
      <c r="I21818"/>
    </row>
    <row r="21819" spans="6:9" x14ac:dyDescent="0.3">
      <c r="F21819"/>
      <c r="G21819"/>
      <c r="H21819"/>
      <c r="I21819"/>
    </row>
    <row r="21820" spans="6:9" x14ac:dyDescent="0.3">
      <c r="F21820"/>
      <c r="G21820"/>
      <c r="H21820"/>
      <c r="I21820"/>
    </row>
    <row r="21821" spans="6:9" x14ac:dyDescent="0.3">
      <c r="F21821"/>
      <c r="G21821"/>
      <c r="H21821"/>
      <c r="I21821"/>
    </row>
    <row r="21822" spans="6:9" x14ac:dyDescent="0.3">
      <c r="F21822"/>
      <c r="G21822"/>
      <c r="H21822"/>
      <c r="I21822"/>
    </row>
    <row r="21823" spans="6:9" x14ac:dyDescent="0.3">
      <c r="F21823"/>
      <c r="G21823"/>
      <c r="H21823"/>
      <c r="I21823"/>
    </row>
    <row r="21824" spans="6:9" x14ac:dyDescent="0.3">
      <c r="F21824"/>
      <c r="G21824"/>
      <c r="H21824"/>
      <c r="I21824"/>
    </row>
    <row r="21825" spans="6:9" x14ac:dyDescent="0.3">
      <c r="F21825"/>
      <c r="G21825"/>
      <c r="H21825"/>
      <c r="I21825"/>
    </row>
    <row r="21826" spans="6:9" x14ac:dyDescent="0.3">
      <c r="F21826"/>
      <c r="G21826"/>
      <c r="H21826"/>
      <c r="I21826"/>
    </row>
    <row r="21827" spans="6:9" x14ac:dyDescent="0.3">
      <c r="F21827"/>
      <c r="G21827"/>
      <c r="H21827"/>
      <c r="I21827"/>
    </row>
    <row r="21828" spans="6:9" x14ac:dyDescent="0.3">
      <c r="F21828"/>
      <c r="G21828"/>
      <c r="H21828"/>
      <c r="I21828"/>
    </row>
    <row r="21829" spans="6:9" x14ac:dyDescent="0.3">
      <c r="F21829"/>
      <c r="G21829"/>
      <c r="H21829"/>
      <c r="I21829"/>
    </row>
    <row r="21830" spans="6:9" x14ac:dyDescent="0.3">
      <c r="F21830"/>
      <c r="G21830"/>
      <c r="H21830"/>
      <c r="I21830"/>
    </row>
    <row r="21831" spans="6:9" x14ac:dyDescent="0.3">
      <c r="F21831"/>
      <c r="G21831"/>
      <c r="H21831"/>
      <c r="I21831"/>
    </row>
    <row r="21832" spans="6:9" x14ac:dyDescent="0.3">
      <c r="F21832"/>
      <c r="G21832"/>
      <c r="H21832"/>
      <c r="I21832"/>
    </row>
    <row r="21833" spans="6:9" x14ac:dyDescent="0.3">
      <c r="F21833"/>
      <c r="G21833"/>
      <c r="H21833"/>
      <c r="I21833"/>
    </row>
    <row r="21834" spans="6:9" x14ac:dyDescent="0.3">
      <c r="F21834"/>
      <c r="G21834"/>
      <c r="H21834"/>
      <c r="I21834"/>
    </row>
    <row r="21835" spans="6:9" x14ac:dyDescent="0.3">
      <c r="F21835"/>
      <c r="G21835"/>
      <c r="H21835"/>
      <c r="I21835"/>
    </row>
    <row r="21836" spans="6:9" x14ac:dyDescent="0.3">
      <c r="F21836"/>
      <c r="G21836"/>
      <c r="H21836"/>
      <c r="I21836"/>
    </row>
    <row r="21837" spans="6:9" x14ac:dyDescent="0.3">
      <c r="F21837"/>
      <c r="G21837"/>
      <c r="H21837"/>
      <c r="I21837"/>
    </row>
    <row r="21838" spans="6:9" x14ac:dyDescent="0.3">
      <c r="F21838"/>
      <c r="G21838"/>
      <c r="H21838"/>
      <c r="I21838"/>
    </row>
    <row r="21839" spans="6:9" x14ac:dyDescent="0.3">
      <c r="F21839"/>
      <c r="G21839"/>
      <c r="H21839"/>
      <c r="I21839"/>
    </row>
    <row r="21840" spans="6:9" x14ac:dyDescent="0.3">
      <c r="F21840"/>
      <c r="G21840"/>
      <c r="H21840"/>
      <c r="I21840"/>
    </row>
    <row r="21841" spans="6:9" x14ac:dyDescent="0.3">
      <c r="F21841"/>
      <c r="G21841"/>
      <c r="H21841"/>
      <c r="I21841"/>
    </row>
    <row r="21842" spans="6:9" x14ac:dyDescent="0.3">
      <c r="F21842"/>
      <c r="G21842"/>
      <c r="H21842"/>
      <c r="I21842"/>
    </row>
    <row r="21843" spans="6:9" x14ac:dyDescent="0.3">
      <c r="F21843"/>
      <c r="G21843"/>
      <c r="H21843"/>
      <c r="I21843"/>
    </row>
    <row r="21844" spans="6:9" x14ac:dyDescent="0.3">
      <c r="F21844"/>
      <c r="G21844"/>
      <c r="H21844"/>
      <c r="I21844"/>
    </row>
    <row r="21845" spans="6:9" x14ac:dyDescent="0.3">
      <c r="F21845"/>
      <c r="G21845"/>
      <c r="H21845"/>
      <c r="I21845"/>
    </row>
    <row r="21846" spans="6:9" x14ac:dyDescent="0.3">
      <c r="F21846"/>
      <c r="G21846"/>
      <c r="H21846"/>
      <c r="I21846"/>
    </row>
    <row r="21847" spans="6:9" x14ac:dyDescent="0.3">
      <c r="F21847"/>
      <c r="G21847"/>
      <c r="H21847"/>
      <c r="I21847"/>
    </row>
    <row r="21848" spans="6:9" x14ac:dyDescent="0.3">
      <c r="F21848"/>
      <c r="G21848"/>
      <c r="H21848"/>
      <c r="I21848"/>
    </row>
    <row r="21849" spans="6:9" x14ac:dyDescent="0.3">
      <c r="F21849"/>
      <c r="G21849"/>
      <c r="H21849"/>
      <c r="I21849"/>
    </row>
    <row r="21850" spans="6:9" x14ac:dyDescent="0.3">
      <c r="F21850"/>
      <c r="G21850"/>
      <c r="H21850"/>
      <c r="I21850"/>
    </row>
    <row r="21851" spans="6:9" x14ac:dyDescent="0.3">
      <c r="F21851"/>
      <c r="G21851"/>
      <c r="H21851"/>
      <c r="I21851"/>
    </row>
    <row r="21852" spans="6:9" x14ac:dyDescent="0.3">
      <c r="F21852"/>
      <c r="G21852"/>
      <c r="H21852"/>
      <c r="I21852"/>
    </row>
    <row r="21853" spans="6:9" x14ac:dyDescent="0.3">
      <c r="F21853"/>
      <c r="G21853"/>
      <c r="H21853"/>
      <c r="I21853"/>
    </row>
    <row r="21854" spans="6:9" x14ac:dyDescent="0.3">
      <c r="F21854"/>
      <c r="G21854"/>
      <c r="H21854"/>
      <c r="I21854"/>
    </row>
    <row r="21855" spans="6:9" x14ac:dyDescent="0.3">
      <c r="F21855"/>
      <c r="G21855"/>
      <c r="H21855"/>
      <c r="I21855"/>
    </row>
    <row r="21856" spans="6:9" x14ac:dyDescent="0.3">
      <c r="F21856"/>
      <c r="G21856"/>
      <c r="H21856"/>
      <c r="I21856"/>
    </row>
    <row r="21857" spans="6:9" x14ac:dyDescent="0.3">
      <c r="F21857"/>
      <c r="G21857"/>
      <c r="H21857"/>
      <c r="I21857"/>
    </row>
    <row r="21858" spans="6:9" x14ac:dyDescent="0.3">
      <c r="F21858"/>
      <c r="G21858"/>
      <c r="H21858"/>
      <c r="I21858"/>
    </row>
    <row r="21859" spans="6:9" x14ac:dyDescent="0.3">
      <c r="F21859"/>
      <c r="G21859"/>
      <c r="H21859"/>
      <c r="I21859"/>
    </row>
    <row r="21860" spans="6:9" x14ac:dyDescent="0.3">
      <c r="F21860"/>
      <c r="G21860"/>
      <c r="H21860"/>
      <c r="I21860"/>
    </row>
    <row r="21861" spans="6:9" x14ac:dyDescent="0.3">
      <c r="F21861"/>
      <c r="G21861"/>
      <c r="H21861"/>
      <c r="I21861"/>
    </row>
    <row r="21862" spans="6:9" x14ac:dyDescent="0.3">
      <c r="F21862"/>
      <c r="G21862"/>
      <c r="H21862"/>
      <c r="I21862"/>
    </row>
    <row r="21863" spans="6:9" x14ac:dyDescent="0.3">
      <c r="F21863"/>
      <c r="G21863"/>
      <c r="H21863"/>
      <c r="I21863"/>
    </row>
    <row r="21864" spans="6:9" x14ac:dyDescent="0.3">
      <c r="F21864"/>
      <c r="G21864"/>
      <c r="H21864"/>
      <c r="I21864"/>
    </row>
    <row r="21865" spans="6:9" x14ac:dyDescent="0.3">
      <c r="F21865"/>
      <c r="G21865"/>
      <c r="H21865"/>
      <c r="I21865"/>
    </row>
    <row r="21866" spans="6:9" x14ac:dyDescent="0.3">
      <c r="F21866"/>
      <c r="G21866"/>
      <c r="H21866"/>
      <c r="I21866"/>
    </row>
    <row r="21867" spans="6:9" x14ac:dyDescent="0.3">
      <c r="F21867"/>
      <c r="G21867"/>
      <c r="H21867"/>
      <c r="I21867"/>
    </row>
    <row r="21868" spans="6:9" x14ac:dyDescent="0.3">
      <c r="F21868"/>
      <c r="G21868"/>
      <c r="H21868"/>
      <c r="I21868"/>
    </row>
    <row r="21869" spans="6:9" x14ac:dyDescent="0.3">
      <c r="F21869"/>
      <c r="G21869"/>
      <c r="H21869"/>
      <c r="I21869"/>
    </row>
    <row r="21870" spans="6:9" x14ac:dyDescent="0.3">
      <c r="F21870"/>
      <c r="G21870"/>
      <c r="H21870"/>
      <c r="I21870"/>
    </row>
    <row r="21871" spans="6:9" x14ac:dyDescent="0.3">
      <c r="F21871"/>
      <c r="G21871"/>
      <c r="H21871"/>
      <c r="I21871"/>
    </row>
    <row r="21872" spans="6:9" x14ac:dyDescent="0.3">
      <c r="F21872"/>
      <c r="G21872"/>
      <c r="H21872"/>
      <c r="I21872"/>
    </row>
    <row r="21873" spans="6:9" x14ac:dyDescent="0.3">
      <c r="F21873"/>
      <c r="G21873"/>
      <c r="H21873"/>
      <c r="I21873"/>
    </row>
    <row r="21874" spans="6:9" x14ac:dyDescent="0.3">
      <c r="F21874"/>
      <c r="G21874"/>
      <c r="H21874"/>
      <c r="I21874"/>
    </row>
    <row r="21875" spans="6:9" x14ac:dyDescent="0.3">
      <c r="F21875"/>
      <c r="G21875"/>
      <c r="H21875"/>
      <c r="I21875"/>
    </row>
    <row r="21876" spans="6:9" x14ac:dyDescent="0.3">
      <c r="F21876"/>
      <c r="G21876"/>
      <c r="H21876"/>
      <c r="I21876"/>
    </row>
    <row r="21877" spans="6:9" x14ac:dyDescent="0.3">
      <c r="F21877"/>
      <c r="G21877"/>
      <c r="H21877"/>
      <c r="I21877"/>
    </row>
    <row r="21878" spans="6:9" x14ac:dyDescent="0.3">
      <c r="F21878"/>
      <c r="G21878"/>
      <c r="H21878"/>
      <c r="I21878"/>
    </row>
    <row r="21879" spans="6:9" x14ac:dyDescent="0.3">
      <c r="F21879"/>
      <c r="G21879"/>
      <c r="H21879"/>
      <c r="I21879"/>
    </row>
    <row r="21880" spans="6:9" x14ac:dyDescent="0.3">
      <c r="F21880"/>
      <c r="G21880"/>
      <c r="H21880"/>
      <c r="I21880"/>
    </row>
    <row r="21881" spans="6:9" x14ac:dyDescent="0.3">
      <c r="F21881"/>
      <c r="G21881"/>
      <c r="H21881"/>
      <c r="I21881"/>
    </row>
    <row r="21882" spans="6:9" x14ac:dyDescent="0.3">
      <c r="F21882"/>
      <c r="G21882"/>
      <c r="H21882"/>
      <c r="I21882"/>
    </row>
    <row r="21883" spans="6:9" x14ac:dyDescent="0.3">
      <c r="F21883"/>
      <c r="G21883"/>
      <c r="H21883"/>
      <c r="I21883"/>
    </row>
    <row r="21884" spans="6:9" x14ac:dyDescent="0.3">
      <c r="F21884"/>
      <c r="G21884"/>
      <c r="H21884"/>
      <c r="I21884"/>
    </row>
    <row r="21885" spans="6:9" x14ac:dyDescent="0.3">
      <c r="F21885"/>
      <c r="G21885"/>
      <c r="H21885"/>
      <c r="I21885"/>
    </row>
    <row r="21886" spans="6:9" x14ac:dyDescent="0.3">
      <c r="F21886"/>
      <c r="G21886"/>
      <c r="H21886"/>
      <c r="I21886"/>
    </row>
    <row r="21887" spans="6:9" x14ac:dyDescent="0.3">
      <c r="F21887"/>
      <c r="G21887"/>
      <c r="H21887"/>
      <c r="I21887"/>
    </row>
    <row r="21888" spans="6:9" x14ac:dyDescent="0.3">
      <c r="F21888"/>
      <c r="G21888"/>
      <c r="H21888"/>
      <c r="I21888"/>
    </row>
    <row r="21889" spans="6:9" x14ac:dyDescent="0.3">
      <c r="F21889"/>
      <c r="G21889"/>
      <c r="H21889"/>
      <c r="I21889"/>
    </row>
    <row r="21890" spans="6:9" x14ac:dyDescent="0.3">
      <c r="F21890"/>
      <c r="G21890"/>
      <c r="H21890"/>
      <c r="I21890"/>
    </row>
    <row r="21891" spans="6:9" x14ac:dyDescent="0.3">
      <c r="F21891"/>
      <c r="G21891"/>
      <c r="H21891"/>
      <c r="I21891"/>
    </row>
    <row r="21892" spans="6:9" x14ac:dyDescent="0.3">
      <c r="F21892"/>
      <c r="G21892"/>
      <c r="H21892"/>
      <c r="I21892"/>
    </row>
    <row r="21893" spans="6:9" x14ac:dyDescent="0.3">
      <c r="F21893"/>
      <c r="G21893"/>
      <c r="H21893"/>
      <c r="I21893"/>
    </row>
    <row r="21894" spans="6:9" x14ac:dyDescent="0.3">
      <c r="F21894"/>
      <c r="G21894"/>
      <c r="H21894"/>
      <c r="I21894"/>
    </row>
    <row r="21895" spans="6:9" x14ac:dyDescent="0.3">
      <c r="F21895"/>
      <c r="G21895"/>
      <c r="H21895"/>
      <c r="I21895"/>
    </row>
    <row r="21896" spans="6:9" x14ac:dyDescent="0.3">
      <c r="F21896"/>
      <c r="G21896"/>
      <c r="H21896"/>
      <c r="I21896"/>
    </row>
    <row r="21897" spans="6:9" x14ac:dyDescent="0.3">
      <c r="F21897"/>
      <c r="G21897"/>
      <c r="H21897"/>
      <c r="I21897"/>
    </row>
    <row r="21898" spans="6:9" x14ac:dyDescent="0.3">
      <c r="F21898"/>
      <c r="G21898"/>
      <c r="H21898"/>
      <c r="I21898"/>
    </row>
    <row r="21899" spans="6:9" x14ac:dyDescent="0.3">
      <c r="F21899"/>
      <c r="G21899"/>
      <c r="H21899"/>
      <c r="I21899"/>
    </row>
    <row r="21900" spans="6:9" x14ac:dyDescent="0.3">
      <c r="F21900"/>
      <c r="G21900"/>
      <c r="H21900"/>
      <c r="I21900"/>
    </row>
    <row r="21901" spans="6:9" x14ac:dyDescent="0.3">
      <c r="F21901"/>
      <c r="G21901"/>
      <c r="H21901"/>
      <c r="I21901"/>
    </row>
    <row r="21902" spans="6:9" x14ac:dyDescent="0.3">
      <c r="F21902"/>
      <c r="G21902"/>
      <c r="H21902"/>
      <c r="I21902"/>
    </row>
    <row r="21903" spans="6:9" x14ac:dyDescent="0.3">
      <c r="F21903"/>
      <c r="G21903"/>
      <c r="H21903"/>
      <c r="I21903"/>
    </row>
    <row r="21904" spans="6:9" x14ac:dyDescent="0.3">
      <c r="F21904"/>
      <c r="G21904"/>
      <c r="H21904"/>
      <c r="I21904"/>
    </row>
    <row r="21905" spans="6:9" x14ac:dyDescent="0.3">
      <c r="F21905"/>
      <c r="G21905"/>
      <c r="H21905"/>
      <c r="I21905"/>
    </row>
    <row r="21906" spans="6:9" x14ac:dyDescent="0.3">
      <c r="F21906"/>
      <c r="G21906"/>
      <c r="H21906"/>
      <c r="I21906"/>
    </row>
    <row r="21907" spans="6:9" x14ac:dyDescent="0.3">
      <c r="F21907"/>
      <c r="G21907"/>
      <c r="H21907"/>
      <c r="I21907"/>
    </row>
    <row r="21908" spans="6:9" x14ac:dyDescent="0.3">
      <c r="F21908"/>
      <c r="G21908"/>
      <c r="H21908"/>
      <c r="I21908"/>
    </row>
    <row r="21909" spans="6:9" x14ac:dyDescent="0.3">
      <c r="F21909"/>
      <c r="G21909"/>
      <c r="H21909"/>
      <c r="I21909"/>
    </row>
    <row r="21910" spans="6:9" x14ac:dyDescent="0.3">
      <c r="F21910"/>
      <c r="G21910"/>
      <c r="H21910"/>
      <c r="I21910"/>
    </row>
    <row r="21911" spans="6:9" x14ac:dyDescent="0.3">
      <c r="F21911"/>
      <c r="G21911"/>
      <c r="H21911"/>
      <c r="I21911"/>
    </row>
    <row r="21912" spans="6:9" x14ac:dyDescent="0.3">
      <c r="F21912"/>
      <c r="G21912"/>
      <c r="H21912"/>
      <c r="I21912"/>
    </row>
    <row r="21913" spans="6:9" x14ac:dyDescent="0.3">
      <c r="F21913"/>
      <c r="G21913"/>
      <c r="H21913"/>
      <c r="I21913"/>
    </row>
    <row r="21914" spans="6:9" x14ac:dyDescent="0.3">
      <c r="F21914"/>
      <c r="G21914"/>
      <c r="H21914"/>
      <c r="I21914"/>
    </row>
    <row r="21915" spans="6:9" x14ac:dyDescent="0.3">
      <c r="F21915"/>
      <c r="G21915"/>
      <c r="H21915"/>
      <c r="I21915"/>
    </row>
    <row r="21916" spans="6:9" x14ac:dyDescent="0.3">
      <c r="F21916"/>
      <c r="G21916"/>
      <c r="H21916"/>
      <c r="I21916"/>
    </row>
    <row r="21917" spans="6:9" x14ac:dyDescent="0.3">
      <c r="F21917"/>
      <c r="G21917"/>
      <c r="H21917"/>
      <c r="I21917"/>
    </row>
    <row r="21918" spans="6:9" x14ac:dyDescent="0.3">
      <c r="F21918"/>
      <c r="G21918"/>
      <c r="H21918"/>
      <c r="I21918"/>
    </row>
    <row r="21919" spans="6:9" x14ac:dyDescent="0.3">
      <c r="F21919"/>
      <c r="G21919"/>
      <c r="H21919"/>
      <c r="I21919"/>
    </row>
    <row r="21920" spans="6:9" x14ac:dyDescent="0.3">
      <c r="F21920"/>
      <c r="G21920"/>
      <c r="H21920"/>
      <c r="I21920"/>
    </row>
    <row r="21921" spans="6:9" x14ac:dyDescent="0.3">
      <c r="F21921"/>
      <c r="G21921"/>
      <c r="H21921"/>
      <c r="I21921"/>
    </row>
    <row r="21922" spans="6:9" x14ac:dyDescent="0.3">
      <c r="F21922"/>
      <c r="G21922"/>
      <c r="H21922"/>
      <c r="I21922"/>
    </row>
    <row r="21923" spans="6:9" x14ac:dyDescent="0.3">
      <c r="F21923"/>
      <c r="G21923"/>
      <c r="H21923"/>
      <c r="I21923"/>
    </row>
    <row r="21924" spans="6:9" x14ac:dyDescent="0.3">
      <c r="F21924"/>
      <c r="G21924"/>
      <c r="H21924"/>
      <c r="I21924"/>
    </row>
    <row r="21925" spans="6:9" x14ac:dyDescent="0.3">
      <c r="F21925"/>
      <c r="G21925"/>
      <c r="H21925"/>
      <c r="I21925"/>
    </row>
    <row r="21926" spans="6:9" x14ac:dyDescent="0.3">
      <c r="F21926"/>
      <c r="G21926"/>
      <c r="H21926"/>
      <c r="I21926"/>
    </row>
    <row r="21927" spans="6:9" x14ac:dyDescent="0.3">
      <c r="F21927"/>
      <c r="G21927"/>
      <c r="H21927"/>
      <c r="I21927"/>
    </row>
    <row r="21928" spans="6:9" x14ac:dyDescent="0.3">
      <c r="F21928"/>
      <c r="G21928"/>
      <c r="H21928"/>
      <c r="I21928"/>
    </row>
    <row r="21929" spans="6:9" x14ac:dyDescent="0.3">
      <c r="F21929"/>
      <c r="G21929"/>
      <c r="H21929"/>
      <c r="I21929"/>
    </row>
    <row r="21930" spans="6:9" x14ac:dyDescent="0.3">
      <c r="F21930"/>
      <c r="G21930"/>
      <c r="H21930"/>
      <c r="I21930"/>
    </row>
    <row r="21931" spans="6:9" x14ac:dyDescent="0.3">
      <c r="F21931"/>
      <c r="G21931"/>
      <c r="H21931"/>
      <c r="I21931"/>
    </row>
    <row r="21932" spans="6:9" x14ac:dyDescent="0.3">
      <c r="F21932"/>
      <c r="G21932"/>
      <c r="H21932"/>
      <c r="I21932"/>
    </row>
    <row r="21933" spans="6:9" x14ac:dyDescent="0.3">
      <c r="F21933"/>
      <c r="G21933"/>
      <c r="H21933"/>
      <c r="I21933"/>
    </row>
    <row r="21934" spans="6:9" x14ac:dyDescent="0.3">
      <c r="F21934"/>
      <c r="G21934"/>
      <c r="H21934"/>
      <c r="I21934"/>
    </row>
    <row r="21935" spans="6:9" x14ac:dyDescent="0.3">
      <c r="F21935"/>
      <c r="G21935"/>
      <c r="H21935"/>
      <c r="I21935"/>
    </row>
    <row r="21936" spans="6:9" x14ac:dyDescent="0.3">
      <c r="F21936"/>
      <c r="G21936"/>
      <c r="H21936"/>
      <c r="I21936"/>
    </row>
    <row r="21937" spans="6:9" x14ac:dyDescent="0.3">
      <c r="F21937"/>
      <c r="G21937"/>
      <c r="H21937"/>
      <c r="I21937"/>
    </row>
    <row r="21938" spans="6:9" x14ac:dyDescent="0.3">
      <c r="F21938"/>
      <c r="G21938"/>
      <c r="H21938"/>
      <c r="I21938"/>
    </row>
    <row r="21939" spans="6:9" x14ac:dyDescent="0.3">
      <c r="F21939"/>
      <c r="G21939"/>
      <c r="H21939"/>
      <c r="I21939"/>
    </row>
    <row r="21940" spans="6:9" x14ac:dyDescent="0.3">
      <c r="F21940"/>
      <c r="G21940"/>
      <c r="H21940"/>
      <c r="I21940"/>
    </row>
    <row r="21941" spans="6:9" x14ac:dyDescent="0.3">
      <c r="F21941"/>
      <c r="G21941"/>
      <c r="H21941"/>
      <c r="I21941"/>
    </row>
    <row r="21942" spans="6:9" x14ac:dyDescent="0.3">
      <c r="F21942"/>
      <c r="G21942"/>
      <c r="H21942"/>
      <c r="I21942"/>
    </row>
    <row r="21943" spans="6:9" x14ac:dyDescent="0.3">
      <c r="F21943"/>
      <c r="G21943"/>
      <c r="H21943"/>
      <c r="I21943"/>
    </row>
    <row r="21944" spans="6:9" x14ac:dyDescent="0.3">
      <c r="F21944"/>
      <c r="G21944"/>
      <c r="H21944"/>
      <c r="I21944"/>
    </row>
    <row r="21945" spans="6:9" x14ac:dyDescent="0.3">
      <c r="F21945"/>
      <c r="G21945"/>
      <c r="H21945"/>
      <c r="I21945"/>
    </row>
    <row r="21946" spans="6:9" x14ac:dyDescent="0.3">
      <c r="F21946"/>
      <c r="G21946"/>
      <c r="H21946"/>
      <c r="I21946"/>
    </row>
    <row r="21947" spans="6:9" x14ac:dyDescent="0.3">
      <c r="F21947"/>
      <c r="G21947"/>
      <c r="H21947"/>
      <c r="I21947"/>
    </row>
    <row r="21948" spans="6:9" x14ac:dyDescent="0.3">
      <c r="F21948"/>
      <c r="G21948"/>
      <c r="H21948"/>
      <c r="I21948"/>
    </row>
    <row r="21949" spans="6:9" x14ac:dyDescent="0.3">
      <c r="F21949"/>
      <c r="G21949"/>
      <c r="H21949"/>
      <c r="I21949"/>
    </row>
    <row r="21950" spans="6:9" x14ac:dyDescent="0.3">
      <c r="F21950"/>
      <c r="G21950"/>
      <c r="H21950"/>
      <c r="I21950"/>
    </row>
    <row r="21951" spans="6:9" x14ac:dyDescent="0.3">
      <c r="F21951"/>
      <c r="G21951"/>
      <c r="H21951"/>
      <c r="I21951"/>
    </row>
    <row r="21952" spans="6:9" x14ac:dyDescent="0.3">
      <c r="F21952"/>
      <c r="G21952"/>
      <c r="H21952"/>
      <c r="I21952"/>
    </row>
    <row r="21953" spans="6:9" x14ac:dyDescent="0.3">
      <c r="F21953"/>
      <c r="G21953"/>
      <c r="H21953"/>
      <c r="I21953"/>
    </row>
    <row r="21954" spans="6:9" x14ac:dyDescent="0.3">
      <c r="F21954"/>
      <c r="G21954"/>
      <c r="H21954"/>
      <c r="I21954"/>
    </row>
    <row r="21955" spans="6:9" x14ac:dyDescent="0.3">
      <c r="F21955"/>
      <c r="G21955"/>
      <c r="H21955"/>
      <c r="I21955"/>
    </row>
    <row r="21956" spans="6:9" x14ac:dyDescent="0.3">
      <c r="F21956"/>
      <c r="G21956"/>
      <c r="H21956"/>
      <c r="I21956"/>
    </row>
    <row r="21957" spans="6:9" x14ac:dyDescent="0.3">
      <c r="F21957"/>
      <c r="G21957"/>
      <c r="H21957"/>
      <c r="I21957"/>
    </row>
    <row r="21958" spans="6:9" x14ac:dyDescent="0.3">
      <c r="F21958"/>
      <c r="G21958"/>
      <c r="H21958"/>
      <c r="I21958"/>
    </row>
    <row r="21959" spans="6:9" x14ac:dyDescent="0.3">
      <c r="F21959"/>
      <c r="G21959"/>
      <c r="H21959"/>
      <c r="I21959"/>
    </row>
    <row r="21960" spans="6:9" x14ac:dyDescent="0.3">
      <c r="F21960"/>
      <c r="G21960"/>
      <c r="H21960"/>
      <c r="I21960"/>
    </row>
    <row r="21961" spans="6:9" x14ac:dyDescent="0.3">
      <c r="F21961"/>
      <c r="G21961"/>
      <c r="H21961"/>
      <c r="I21961"/>
    </row>
    <row r="21962" spans="6:9" x14ac:dyDescent="0.3">
      <c r="F21962"/>
      <c r="G21962"/>
      <c r="H21962"/>
      <c r="I21962"/>
    </row>
    <row r="21963" spans="6:9" x14ac:dyDescent="0.3">
      <c r="F21963"/>
      <c r="G21963"/>
      <c r="H21963"/>
      <c r="I21963"/>
    </row>
    <row r="21964" spans="6:9" x14ac:dyDescent="0.3">
      <c r="F21964"/>
      <c r="G21964"/>
      <c r="H21964"/>
      <c r="I21964"/>
    </row>
    <row r="21965" spans="6:9" x14ac:dyDescent="0.3">
      <c r="F21965"/>
      <c r="G21965"/>
      <c r="H21965"/>
      <c r="I21965"/>
    </row>
    <row r="21966" spans="6:9" x14ac:dyDescent="0.3">
      <c r="F21966"/>
      <c r="G21966"/>
      <c r="H21966"/>
      <c r="I21966"/>
    </row>
    <row r="21967" spans="6:9" x14ac:dyDescent="0.3">
      <c r="F21967"/>
      <c r="G21967"/>
      <c r="H21967"/>
      <c r="I21967"/>
    </row>
    <row r="21968" spans="6:9" x14ac:dyDescent="0.3">
      <c r="F21968"/>
      <c r="G21968"/>
      <c r="H21968"/>
      <c r="I21968"/>
    </row>
    <row r="21969" spans="6:9" x14ac:dyDescent="0.3">
      <c r="F21969"/>
      <c r="G21969"/>
      <c r="H21969"/>
      <c r="I21969"/>
    </row>
    <row r="21970" spans="6:9" x14ac:dyDescent="0.3">
      <c r="F21970"/>
      <c r="G21970"/>
      <c r="H21970"/>
      <c r="I21970"/>
    </row>
    <row r="21971" spans="6:9" x14ac:dyDescent="0.3">
      <c r="F21971"/>
      <c r="G21971"/>
      <c r="H21971"/>
      <c r="I21971"/>
    </row>
    <row r="21972" spans="6:9" x14ac:dyDescent="0.3">
      <c r="F21972"/>
      <c r="G21972"/>
      <c r="H21972"/>
      <c r="I21972"/>
    </row>
    <row r="21973" spans="6:9" x14ac:dyDescent="0.3">
      <c r="F21973"/>
      <c r="G21973"/>
      <c r="H21973"/>
      <c r="I21973"/>
    </row>
    <row r="21974" spans="6:9" x14ac:dyDescent="0.3">
      <c r="F21974"/>
      <c r="G21974"/>
      <c r="H21974"/>
      <c r="I21974"/>
    </row>
    <row r="21975" spans="6:9" x14ac:dyDescent="0.3">
      <c r="F21975"/>
      <c r="G21975"/>
      <c r="H21975"/>
      <c r="I21975"/>
    </row>
    <row r="21976" spans="6:9" x14ac:dyDescent="0.3">
      <c r="F21976"/>
      <c r="G21976"/>
      <c r="H21976"/>
      <c r="I21976"/>
    </row>
    <row r="21977" spans="6:9" x14ac:dyDescent="0.3">
      <c r="F21977"/>
      <c r="G21977"/>
      <c r="H21977"/>
      <c r="I21977"/>
    </row>
    <row r="21978" spans="6:9" x14ac:dyDescent="0.3">
      <c r="F21978"/>
      <c r="G21978"/>
      <c r="H21978"/>
      <c r="I21978"/>
    </row>
    <row r="21979" spans="6:9" x14ac:dyDescent="0.3">
      <c r="F21979"/>
      <c r="G21979"/>
      <c r="H21979"/>
      <c r="I21979"/>
    </row>
    <row r="21980" spans="6:9" x14ac:dyDescent="0.3">
      <c r="F21980"/>
      <c r="G21980"/>
      <c r="H21980"/>
      <c r="I21980"/>
    </row>
    <row r="21981" spans="6:9" x14ac:dyDescent="0.3">
      <c r="F21981"/>
      <c r="G21981"/>
      <c r="H21981"/>
      <c r="I21981"/>
    </row>
    <row r="21982" spans="6:9" x14ac:dyDescent="0.3">
      <c r="F21982"/>
      <c r="G21982"/>
      <c r="H21982"/>
      <c r="I21982"/>
    </row>
    <row r="21983" spans="6:9" x14ac:dyDescent="0.3">
      <c r="F21983"/>
      <c r="G21983"/>
      <c r="H21983"/>
      <c r="I21983"/>
    </row>
    <row r="21984" spans="6:9" x14ac:dyDescent="0.3">
      <c r="F21984"/>
      <c r="G21984"/>
      <c r="H21984"/>
      <c r="I21984"/>
    </row>
    <row r="21985" spans="6:9" x14ac:dyDescent="0.3">
      <c r="F21985"/>
      <c r="G21985"/>
      <c r="H21985"/>
      <c r="I21985"/>
    </row>
    <row r="21986" spans="6:9" x14ac:dyDescent="0.3">
      <c r="F21986"/>
      <c r="G21986"/>
      <c r="H21986"/>
      <c r="I21986"/>
    </row>
    <row r="21987" spans="6:9" x14ac:dyDescent="0.3">
      <c r="F21987"/>
      <c r="G21987"/>
      <c r="H21987"/>
      <c r="I21987"/>
    </row>
    <row r="21988" spans="6:9" x14ac:dyDescent="0.3">
      <c r="F21988"/>
      <c r="G21988"/>
      <c r="H21988"/>
      <c r="I21988"/>
    </row>
    <row r="21989" spans="6:9" x14ac:dyDescent="0.3">
      <c r="F21989"/>
      <c r="G21989"/>
      <c r="H21989"/>
      <c r="I21989"/>
    </row>
    <row r="21990" spans="6:9" x14ac:dyDescent="0.3">
      <c r="F21990"/>
      <c r="G21990"/>
      <c r="H21990"/>
      <c r="I21990"/>
    </row>
    <row r="21991" spans="6:9" x14ac:dyDescent="0.3">
      <c r="F21991"/>
      <c r="G21991"/>
      <c r="H21991"/>
      <c r="I21991"/>
    </row>
    <row r="21992" spans="6:9" x14ac:dyDescent="0.3">
      <c r="F21992"/>
      <c r="G21992"/>
      <c r="H21992"/>
      <c r="I21992"/>
    </row>
    <row r="21993" spans="6:9" x14ac:dyDescent="0.3">
      <c r="F21993"/>
      <c r="G21993"/>
      <c r="H21993"/>
      <c r="I21993"/>
    </row>
    <row r="21994" spans="6:9" x14ac:dyDescent="0.3">
      <c r="F21994"/>
      <c r="G21994"/>
      <c r="H21994"/>
      <c r="I21994"/>
    </row>
    <row r="21995" spans="6:9" x14ac:dyDescent="0.3">
      <c r="F21995"/>
      <c r="G21995"/>
      <c r="H21995"/>
      <c r="I21995"/>
    </row>
    <row r="21996" spans="6:9" x14ac:dyDescent="0.3">
      <c r="F21996"/>
      <c r="G21996"/>
      <c r="H21996"/>
      <c r="I21996"/>
    </row>
    <row r="21997" spans="6:9" x14ac:dyDescent="0.3">
      <c r="F21997"/>
      <c r="G21997"/>
      <c r="H21997"/>
      <c r="I21997"/>
    </row>
    <row r="21998" spans="6:9" x14ac:dyDescent="0.3">
      <c r="F21998"/>
      <c r="G21998"/>
      <c r="H21998"/>
      <c r="I21998"/>
    </row>
    <row r="21999" spans="6:9" x14ac:dyDescent="0.3">
      <c r="F21999"/>
      <c r="G21999"/>
      <c r="H21999"/>
      <c r="I21999"/>
    </row>
    <row r="22000" spans="6:9" x14ac:dyDescent="0.3">
      <c r="F22000"/>
      <c r="G22000"/>
      <c r="H22000"/>
      <c r="I22000"/>
    </row>
    <row r="22001" spans="6:9" x14ac:dyDescent="0.3">
      <c r="F22001"/>
      <c r="G22001"/>
      <c r="H22001"/>
      <c r="I22001"/>
    </row>
    <row r="22002" spans="6:9" x14ac:dyDescent="0.3">
      <c r="F22002"/>
      <c r="G22002"/>
      <c r="H22002"/>
      <c r="I22002"/>
    </row>
    <row r="22003" spans="6:9" x14ac:dyDescent="0.3">
      <c r="F22003"/>
      <c r="G22003"/>
      <c r="H22003"/>
      <c r="I22003"/>
    </row>
    <row r="22004" spans="6:9" x14ac:dyDescent="0.3">
      <c r="F22004"/>
      <c r="G22004"/>
      <c r="H22004"/>
      <c r="I22004"/>
    </row>
    <row r="22005" spans="6:9" x14ac:dyDescent="0.3">
      <c r="F22005"/>
      <c r="G22005"/>
      <c r="H22005"/>
      <c r="I22005"/>
    </row>
    <row r="22006" spans="6:9" x14ac:dyDescent="0.3">
      <c r="F22006"/>
      <c r="G22006"/>
      <c r="H22006"/>
      <c r="I22006"/>
    </row>
    <row r="22007" spans="6:9" x14ac:dyDescent="0.3">
      <c r="F22007"/>
      <c r="G22007"/>
      <c r="H22007"/>
      <c r="I22007"/>
    </row>
    <row r="22008" spans="6:9" x14ac:dyDescent="0.3">
      <c r="F22008"/>
      <c r="G22008"/>
      <c r="H22008"/>
      <c r="I22008"/>
    </row>
    <row r="22009" spans="6:9" x14ac:dyDescent="0.3">
      <c r="F22009"/>
      <c r="G22009"/>
      <c r="H22009"/>
      <c r="I22009"/>
    </row>
    <row r="22010" spans="6:9" x14ac:dyDescent="0.3">
      <c r="F22010"/>
      <c r="G22010"/>
      <c r="H22010"/>
      <c r="I22010"/>
    </row>
    <row r="22011" spans="6:9" x14ac:dyDescent="0.3">
      <c r="F22011"/>
      <c r="G22011"/>
      <c r="H22011"/>
      <c r="I22011"/>
    </row>
    <row r="22012" spans="6:9" x14ac:dyDescent="0.3">
      <c r="F22012"/>
      <c r="G22012"/>
      <c r="H22012"/>
      <c r="I22012"/>
    </row>
    <row r="22013" spans="6:9" x14ac:dyDescent="0.3">
      <c r="F22013"/>
      <c r="G22013"/>
      <c r="H22013"/>
      <c r="I22013"/>
    </row>
    <row r="22014" spans="6:9" x14ac:dyDescent="0.3">
      <c r="F22014"/>
      <c r="G22014"/>
      <c r="H22014"/>
      <c r="I22014"/>
    </row>
    <row r="22015" spans="6:9" x14ac:dyDescent="0.3">
      <c r="F22015"/>
      <c r="G22015"/>
      <c r="H22015"/>
      <c r="I22015"/>
    </row>
    <row r="22016" spans="6:9" x14ac:dyDescent="0.3">
      <c r="F22016"/>
      <c r="G22016"/>
      <c r="H22016"/>
      <c r="I22016"/>
    </row>
    <row r="22017" spans="6:9" x14ac:dyDescent="0.3">
      <c r="F22017"/>
      <c r="G22017"/>
      <c r="H22017"/>
      <c r="I22017"/>
    </row>
    <row r="22018" spans="6:9" x14ac:dyDescent="0.3">
      <c r="F22018"/>
      <c r="G22018"/>
      <c r="H22018"/>
      <c r="I22018"/>
    </row>
    <row r="22019" spans="6:9" x14ac:dyDescent="0.3">
      <c r="F22019"/>
      <c r="G22019"/>
      <c r="H22019"/>
      <c r="I22019"/>
    </row>
    <row r="22020" spans="6:9" x14ac:dyDescent="0.3">
      <c r="F22020"/>
      <c r="G22020"/>
      <c r="H22020"/>
      <c r="I22020"/>
    </row>
    <row r="22021" spans="6:9" x14ac:dyDescent="0.3">
      <c r="F22021"/>
      <c r="G22021"/>
      <c r="H22021"/>
      <c r="I22021"/>
    </row>
    <row r="22022" spans="6:9" x14ac:dyDescent="0.3">
      <c r="F22022"/>
      <c r="G22022"/>
      <c r="H22022"/>
      <c r="I22022"/>
    </row>
    <row r="22023" spans="6:9" x14ac:dyDescent="0.3">
      <c r="F22023"/>
      <c r="G22023"/>
      <c r="H22023"/>
      <c r="I22023"/>
    </row>
    <row r="22024" spans="6:9" x14ac:dyDescent="0.3">
      <c r="F22024"/>
      <c r="G22024"/>
      <c r="H22024"/>
      <c r="I22024"/>
    </row>
    <row r="22025" spans="6:9" x14ac:dyDescent="0.3">
      <c r="F22025"/>
      <c r="G22025"/>
      <c r="H22025"/>
      <c r="I22025"/>
    </row>
    <row r="22026" spans="6:9" x14ac:dyDescent="0.3">
      <c r="F22026"/>
      <c r="G22026"/>
      <c r="H22026"/>
      <c r="I22026"/>
    </row>
    <row r="22027" spans="6:9" x14ac:dyDescent="0.3">
      <c r="F22027"/>
      <c r="G22027"/>
      <c r="H22027"/>
      <c r="I22027"/>
    </row>
    <row r="22028" spans="6:9" x14ac:dyDescent="0.3">
      <c r="F22028"/>
      <c r="G22028"/>
      <c r="H22028"/>
      <c r="I22028"/>
    </row>
    <row r="22029" spans="6:9" x14ac:dyDescent="0.3">
      <c r="F22029"/>
      <c r="G22029"/>
      <c r="H22029"/>
      <c r="I22029"/>
    </row>
    <row r="22030" spans="6:9" x14ac:dyDescent="0.3">
      <c r="F22030"/>
      <c r="G22030"/>
      <c r="H22030"/>
      <c r="I22030"/>
    </row>
    <row r="22031" spans="6:9" x14ac:dyDescent="0.3">
      <c r="F22031"/>
      <c r="G22031"/>
      <c r="H22031"/>
      <c r="I22031"/>
    </row>
    <row r="22032" spans="6:9" x14ac:dyDescent="0.3">
      <c r="F22032"/>
      <c r="G22032"/>
      <c r="H22032"/>
      <c r="I22032"/>
    </row>
    <row r="22033" spans="6:9" x14ac:dyDescent="0.3">
      <c r="F22033"/>
      <c r="G22033"/>
      <c r="H22033"/>
      <c r="I22033"/>
    </row>
    <row r="22034" spans="6:9" x14ac:dyDescent="0.3">
      <c r="F22034"/>
      <c r="G22034"/>
      <c r="H22034"/>
      <c r="I22034"/>
    </row>
    <row r="22035" spans="6:9" x14ac:dyDescent="0.3">
      <c r="F22035"/>
      <c r="G22035"/>
      <c r="H22035"/>
      <c r="I22035"/>
    </row>
    <row r="22036" spans="6:9" x14ac:dyDescent="0.3">
      <c r="F22036"/>
      <c r="G22036"/>
      <c r="H22036"/>
      <c r="I22036"/>
    </row>
    <row r="22037" spans="6:9" x14ac:dyDescent="0.3">
      <c r="F22037"/>
      <c r="G22037"/>
      <c r="H22037"/>
      <c r="I22037"/>
    </row>
    <row r="22038" spans="6:9" x14ac:dyDescent="0.3">
      <c r="F22038"/>
      <c r="G22038"/>
      <c r="H22038"/>
      <c r="I22038"/>
    </row>
    <row r="22039" spans="6:9" x14ac:dyDescent="0.3">
      <c r="F22039"/>
      <c r="G22039"/>
      <c r="H22039"/>
      <c r="I22039"/>
    </row>
    <row r="22040" spans="6:9" x14ac:dyDescent="0.3">
      <c r="F22040"/>
      <c r="G22040"/>
      <c r="H22040"/>
      <c r="I22040"/>
    </row>
    <row r="22041" spans="6:9" x14ac:dyDescent="0.3">
      <c r="F22041"/>
      <c r="G22041"/>
      <c r="H22041"/>
      <c r="I22041"/>
    </row>
    <row r="22042" spans="6:9" x14ac:dyDescent="0.3">
      <c r="F22042"/>
      <c r="G22042"/>
      <c r="H22042"/>
      <c r="I22042"/>
    </row>
    <row r="22043" spans="6:9" x14ac:dyDescent="0.3">
      <c r="F22043"/>
      <c r="G22043"/>
      <c r="H22043"/>
      <c r="I22043"/>
    </row>
    <row r="22044" spans="6:9" x14ac:dyDescent="0.3">
      <c r="F22044"/>
      <c r="G22044"/>
      <c r="H22044"/>
      <c r="I22044"/>
    </row>
    <row r="22045" spans="6:9" x14ac:dyDescent="0.3">
      <c r="F22045"/>
      <c r="G22045"/>
      <c r="H22045"/>
      <c r="I22045"/>
    </row>
    <row r="22046" spans="6:9" x14ac:dyDescent="0.3">
      <c r="F22046"/>
      <c r="G22046"/>
      <c r="H22046"/>
      <c r="I22046"/>
    </row>
    <row r="22047" spans="6:9" x14ac:dyDescent="0.3">
      <c r="F22047"/>
      <c r="G22047"/>
      <c r="H22047"/>
      <c r="I22047"/>
    </row>
    <row r="22048" spans="6:9" x14ac:dyDescent="0.3">
      <c r="F22048"/>
      <c r="G22048"/>
      <c r="H22048"/>
      <c r="I22048"/>
    </row>
    <row r="22049" spans="6:9" x14ac:dyDescent="0.3">
      <c r="F22049"/>
      <c r="G22049"/>
      <c r="H22049"/>
      <c r="I22049"/>
    </row>
    <row r="22050" spans="6:9" x14ac:dyDescent="0.3">
      <c r="F22050"/>
      <c r="G22050"/>
      <c r="H22050"/>
      <c r="I22050"/>
    </row>
    <row r="22051" spans="6:9" x14ac:dyDescent="0.3">
      <c r="F22051"/>
      <c r="G22051"/>
      <c r="H22051"/>
      <c r="I22051"/>
    </row>
    <row r="22052" spans="6:9" x14ac:dyDescent="0.3">
      <c r="F22052"/>
      <c r="G22052"/>
      <c r="H22052"/>
      <c r="I22052"/>
    </row>
    <row r="22053" spans="6:9" x14ac:dyDescent="0.3">
      <c r="F22053"/>
      <c r="G22053"/>
      <c r="H22053"/>
      <c r="I22053"/>
    </row>
    <row r="22054" spans="6:9" x14ac:dyDescent="0.3">
      <c r="F22054"/>
      <c r="G22054"/>
      <c r="H22054"/>
      <c r="I22054"/>
    </row>
    <row r="22055" spans="6:9" x14ac:dyDescent="0.3">
      <c r="F22055"/>
      <c r="G22055"/>
      <c r="H22055"/>
      <c r="I22055"/>
    </row>
    <row r="22056" spans="6:9" x14ac:dyDescent="0.3">
      <c r="F22056"/>
      <c r="G22056"/>
      <c r="H22056"/>
      <c r="I22056"/>
    </row>
    <row r="22057" spans="6:9" x14ac:dyDescent="0.3">
      <c r="F22057"/>
      <c r="G22057"/>
      <c r="H22057"/>
      <c r="I22057"/>
    </row>
    <row r="22058" spans="6:9" x14ac:dyDescent="0.3">
      <c r="F22058"/>
      <c r="G22058"/>
      <c r="H22058"/>
      <c r="I22058"/>
    </row>
    <row r="22059" spans="6:9" x14ac:dyDescent="0.3">
      <c r="F22059"/>
      <c r="G22059"/>
      <c r="H22059"/>
      <c r="I22059"/>
    </row>
    <row r="22060" spans="6:9" x14ac:dyDescent="0.3">
      <c r="F22060"/>
      <c r="G22060"/>
      <c r="H22060"/>
      <c r="I22060"/>
    </row>
    <row r="22061" spans="6:9" x14ac:dyDescent="0.3">
      <c r="F22061"/>
      <c r="G22061"/>
      <c r="H22061"/>
      <c r="I22061"/>
    </row>
    <row r="22062" spans="6:9" x14ac:dyDescent="0.3">
      <c r="F22062"/>
      <c r="G22062"/>
      <c r="H22062"/>
      <c r="I22062"/>
    </row>
    <row r="22063" spans="6:9" x14ac:dyDescent="0.3">
      <c r="F22063"/>
      <c r="G22063"/>
      <c r="H22063"/>
      <c r="I22063"/>
    </row>
    <row r="22064" spans="6:9" x14ac:dyDescent="0.3">
      <c r="F22064"/>
      <c r="G22064"/>
      <c r="H22064"/>
      <c r="I22064"/>
    </row>
    <row r="22065" spans="6:9" x14ac:dyDescent="0.3">
      <c r="F22065"/>
      <c r="G22065"/>
      <c r="H22065"/>
      <c r="I22065"/>
    </row>
    <row r="22066" spans="6:9" x14ac:dyDescent="0.3">
      <c r="F22066"/>
      <c r="G22066"/>
      <c r="H22066"/>
      <c r="I22066"/>
    </row>
    <row r="22067" spans="6:9" x14ac:dyDescent="0.3">
      <c r="F22067"/>
      <c r="G22067"/>
      <c r="H22067"/>
      <c r="I22067"/>
    </row>
    <row r="22068" spans="6:9" x14ac:dyDescent="0.3">
      <c r="F22068"/>
      <c r="G22068"/>
      <c r="H22068"/>
      <c r="I22068"/>
    </row>
    <row r="22069" spans="6:9" x14ac:dyDescent="0.3">
      <c r="F22069"/>
      <c r="G22069"/>
      <c r="H22069"/>
      <c r="I22069"/>
    </row>
    <row r="22070" spans="6:9" x14ac:dyDescent="0.3">
      <c r="F22070"/>
      <c r="G22070"/>
      <c r="H22070"/>
      <c r="I22070"/>
    </row>
    <row r="22071" spans="6:9" x14ac:dyDescent="0.3">
      <c r="F22071"/>
      <c r="G22071"/>
      <c r="H22071"/>
      <c r="I22071"/>
    </row>
    <row r="22072" spans="6:9" x14ac:dyDescent="0.3">
      <c r="F22072"/>
      <c r="G22072"/>
      <c r="H22072"/>
      <c r="I22072"/>
    </row>
    <row r="22073" spans="6:9" x14ac:dyDescent="0.3">
      <c r="F22073"/>
      <c r="G22073"/>
      <c r="H22073"/>
      <c r="I22073"/>
    </row>
    <row r="22074" spans="6:9" x14ac:dyDescent="0.3">
      <c r="F22074"/>
      <c r="G22074"/>
      <c r="H22074"/>
      <c r="I22074"/>
    </row>
    <row r="22075" spans="6:9" x14ac:dyDescent="0.3">
      <c r="F22075"/>
      <c r="G22075"/>
      <c r="H22075"/>
      <c r="I22075"/>
    </row>
    <row r="22076" spans="6:9" x14ac:dyDescent="0.3">
      <c r="F22076"/>
      <c r="G22076"/>
      <c r="H22076"/>
      <c r="I22076"/>
    </row>
    <row r="22077" spans="6:9" x14ac:dyDescent="0.3">
      <c r="F22077"/>
      <c r="G22077"/>
      <c r="H22077"/>
      <c r="I22077"/>
    </row>
    <row r="22078" spans="6:9" x14ac:dyDescent="0.3">
      <c r="F22078"/>
      <c r="G22078"/>
      <c r="H22078"/>
      <c r="I22078"/>
    </row>
    <row r="22079" spans="6:9" x14ac:dyDescent="0.3">
      <c r="F22079"/>
      <c r="G22079"/>
      <c r="H22079"/>
      <c r="I22079"/>
    </row>
    <row r="22080" spans="6:9" x14ac:dyDescent="0.3">
      <c r="F22080"/>
      <c r="G22080"/>
      <c r="H22080"/>
      <c r="I22080"/>
    </row>
    <row r="22081" spans="6:9" x14ac:dyDescent="0.3">
      <c r="F22081"/>
      <c r="G22081"/>
      <c r="H22081"/>
      <c r="I22081"/>
    </row>
    <row r="22082" spans="6:9" x14ac:dyDescent="0.3">
      <c r="F22082"/>
      <c r="G22082"/>
      <c r="H22082"/>
      <c r="I22082"/>
    </row>
    <row r="22083" spans="6:9" x14ac:dyDescent="0.3">
      <c r="F22083"/>
      <c r="G22083"/>
      <c r="H22083"/>
      <c r="I22083"/>
    </row>
    <row r="22084" spans="6:9" x14ac:dyDescent="0.3">
      <c r="F22084"/>
      <c r="G22084"/>
      <c r="H22084"/>
      <c r="I22084"/>
    </row>
    <row r="22085" spans="6:9" x14ac:dyDescent="0.3">
      <c r="F22085"/>
      <c r="G22085"/>
      <c r="H22085"/>
      <c r="I22085"/>
    </row>
    <row r="22086" spans="6:9" x14ac:dyDescent="0.3">
      <c r="F22086"/>
      <c r="G22086"/>
      <c r="H22086"/>
      <c r="I22086"/>
    </row>
    <row r="22087" spans="6:9" x14ac:dyDescent="0.3">
      <c r="F22087"/>
      <c r="G22087"/>
      <c r="H22087"/>
      <c r="I22087"/>
    </row>
    <row r="22088" spans="6:9" x14ac:dyDescent="0.3">
      <c r="F22088"/>
      <c r="G22088"/>
      <c r="H22088"/>
      <c r="I22088"/>
    </row>
    <row r="22089" spans="6:9" x14ac:dyDescent="0.3">
      <c r="F22089"/>
      <c r="G22089"/>
      <c r="H22089"/>
      <c r="I22089"/>
    </row>
    <row r="22090" spans="6:9" x14ac:dyDescent="0.3">
      <c r="F22090"/>
      <c r="G22090"/>
      <c r="H22090"/>
      <c r="I22090"/>
    </row>
    <row r="22091" spans="6:9" x14ac:dyDescent="0.3">
      <c r="F22091"/>
      <c r="G22091"/>
      <c r="H22091"/>
      <c r="I22091"/>
    </row>
    <row r="22092" spans="6:9" x14ac:dyDescent="0.3">
      <c r="F22092"/>
      <c r="G22092"/>
      <c r="H22092"/>
      <c r="I22092"/>
    </row>
    <row r="22093" spans="6:9" x14ac:dyDescent="0.3">
      <c r="F22093"/>
      <c r="G22093"/>
      <c r="H22093"/>
      <c r="I22093"/>
    </row>
    <row r="22094" spans="6:9" x14ac:dyDescent="0.3">
      <c r="F22094"/>
      <c r="G22094"/>
      <c r="H22094"/>
      <c r="I22094"/>
    </row>
    <row r="22095" spans="6:9" x14ac:dyDescent="0.3">
      <c r="F22095"/>
      <c r="G22095"/>
      <c r="H22095"/>
      <c r="I22095"/>
    </row>
    <row r="22096" spans="6:9" x14ac:dyDescent="0.3">
      <c r="F22096"/>
      <c r="G22096"/>
      <c r="H22096"/>
      <c r="I22096"/>
    </row>
    <row r="22097" spans="6:9" x14ac:dyDescent="0.3">
      <c r="F22097"/>
      <c r="G22097"/>
      <c r="H22097"/>
      <c r="I22097"/>
    </row>
    <row r="22098" spans="6:9" x14ac:dyDescent="0.3">
      <c r="F22098"/>
      <c r="G22098"/>
      <c r="H22098"/>
      <c r="I22098"/>
    </row>
    <row r="22099" spans="6:9" x14ac:dyDescent="0.3">
      <c r="F22099"/>
      <c r="G22099"/>
      <c r="H22099"/>
      <c r="I22099"/>
    </row>
    <row r="22100" spans="6:9" x14ac:dyDescent="0.3">
      <c r="F22100"/>
      <c r="G22100"/>
      <c r="H22100"/>
      <c r="I22100"/>
    </row>
    <row r="22101" spans="6:9" x14ac:dyDescent="0.3">
      <c r="F22101"/>
      <c r="G22101"/>
      <c r="H22101"/>
      <c r="I22101"/>
    </row>
    <row r="22102" spans="6:9" x14ac:dyDescent="0.3">
      <c r="F22102"/>
      <c r="G22102"/>
      <c r="H22102"/>
      <c r="I22102"/>
    </row>
    <row r="22103" spans="6:9" x14ac:dyDescent="0.3">
      <c r="F22103"/>
      <c r="G22103"/>
      <c r="H22103"/>
      <c r="I22103"/>
    </row>
    <row r="22104" spans="6:9" x14ac:dyDescent="0.3">
      <c r="F22104"/>
      <c r="G22104"/>
      <c r="H22104"/>
      <c r="I22104"/>
    </row>
    <row r="22105" spans="6:9" x14ac:dyDescent="0.3">
      <c r="F22105"/>
      <c r="G22105"/>
      <c r="H22105"/>
      <c r="I22105"/>
    </row>
    <row r="22106" spans="6:9" x14ac:dyDescent="0.3">
      <c r="F22106"/>
      <c r="G22106"/>
      <c r="H22106"/>
      <c r="I22106"/>
    </row>
    <row r="22107" spans="6:9" x14ac:dyDescent="0.3">
      <c r="F22107"/>
      <c r="G22107"/>
      <c r="H22107"/>
      <c r="I22107"/>
    </row>
    <row r="22108" spans="6:9" x14ac:dyDescent="0.3">
      <c r="F22108"/>
      <c r="G22108"/>
      <c r="H22108"/>
      <c r="I22108"/>
    </row>
    <row r="22109" spans="6:9" x14ac:dyDescent="0.3">
      <c r="F22109"/>
      <c r="G22109"/>
      <c r="H22109"/>
      <c r="I22109"/>
    </row>
    <row r="22110" spans="6:9" x14ac:dyDescent="0.3">
      <c r="F22110"/>
      <c r="G22110"/>
      <c r="H22110"/>
      <c r="I22110"/>
    </row>
    <row r="22111" spans="6:9" x14ac:dyDescent="0.3">
      <c r="F22111"/>
      <c r="G22111"/>
      <c r="H22111"/>
      <c r="I22111"/>
    </row>
    <row r="22112" spans="6:9" x14ac:dyDescent="0.3">
      <c r="F22112"/>
      <c r="G22112"/>
      <c r="H22112"/>
      <c r="I22112"/>
    </row>
    <row r="22113" spans="6:9" x14ac:dyDescent="0.3">
      <c r="F22113"/>
      <c r="G22113"/>
      <c r="H22113"/>
      <c r="I22113"/>
    </row>
    <row r="22114" spans="6:9" x14ac:dyDescent="0.3">
      <c r="F22114"/>
      <c r="G22114"/>
      <c r="H22114"/>
      <c r="I22114"/>
    </row>
    <row r="22115" spans="6:9" x14ac:dyDescent="0.3">
      <c r="F22115"/>
      <c r="G22115"/>
      <c r="H22115"/>
      <c r="I22115"/>
    </row>
    <row r="22116" spans="6:9" x14ac:dyDescent="0.3">
      <c r="F22116"/>
      <c r="G22116"/>
      <c r="H22116"/>
      <c r="I22116"/>
    </row>
    <row r="22117" spans="6:9" x14ac:dyDescent="0.3">
      <c r="F22117"/>
      <c r="G22117"/>
      <c r="H22117"/>
      <c r="I22117"/>
    </row>
    <row r="22118" spans="6:9" x14ac:dyDescent="0.3">
      <c r="F22118"/>
      <c r="G22118"/>
      <c r="H22118"/>
      <c r="I22118"/>
    </row>
    <row r="22119" spans="6:9" x14ac:dyDescent="0.3">
      <c r="F22119"/>
      <c r="G22119"/>
      <c r="H22119"/>
      <c r="I22119"/>
    </row>
    <row r="22120" spans="6:9" x14ac:dyDescent="0.3">
      <c r="F22120"/>
      <c r="G22120"/>
      <c r="H22120"/>
      <c r="I22120"/>
    </row>
    <row r="22121" spans="6:9" x14ac:dyDescent="0.3">
      <c r="F22121"/>
      <c r="G22121"/>
      <c r="H22121"/>
      <c r="I22121"/>
    </row>
    <row r="22122" spans="6:9" x14ac:dyDescent="0.3">
      <c r="F22122"/>
      <c r="G22122"/>
      <c r="H22122"/>
      <c r="I22122"/>
    </row>
    <row r="22123" spans="6:9" x14ac:dyDescent="0.3">
      <c r="F22123"/>
      <c r="G22123"/>
      <c r="H22123"/>
      <c r="I22123"/>
    </row>
    <row r="22124" spans="6:9" x14ac:dyDescent="0.3">
      <c r="F22124"/>
      <c r="G22124"/>
      <c r="H22124"/>
      <c r="I22124"/>
    </row>
    <row r="22125" spans="6:9" x14ac:dyDescent="0.3">
      <c r="F22125"/>
      <c r="G22125"/>
      <c r="H22125"/>
      <c r="I22125"/>
    </row>
    <row r="22126" spans="6:9" x14ac:dyDescent="0.3">
      <c r="F22126"/>
      <c r="G22126"/>
      <c r="H22126"/>
      <c r="I22126"/>
    </row>
    <row r="22127" spans="6:9" x14ac:dyDescent="0.3">
      <c r="F22127"/>
      <c r="G22127"/>
      <c r="H22127"/>
      <c r="I22127"/>
    </row>
    <row r="22128" spans="6:9" x14ac:dyDescent="0.3">
      <c r="F22128"/>
      <c r="G22128"/>
      <c r="H22128"/>
      <c r="I22128"/>
    </row>
    <row r="22129" spans="6:9" x14ac:dyDescent="0.3">
      <c r="F22129"/>
      <c r="G22129"/>
      <c r="H22129"/>
      <c r="I22129"/>
    </row>
    <row r="22130" spans="6:9" x14ac:dyDescent="0.3">
      <c r="F22130"/>
      <c r="G22130"/>
      <c r="H22130"/>
      <c r="I22130"/>
    </row>
    <row r="22131" spans="6:9" x14ac:dyDescent="0.3">
      <c r="F22131"/>
      <c r="G22131"/>
      <c r="H22131"/>
      <c r="I22131"/>
    </row>
    <row r="22132" spans="6:9" x14ac:dyDescent="0.3">
      <c r="F22132"/>
      <c r="G22132"/>
      <c r="H22132"/>
      <c r="I22132"/>
    </row>
    <row r="22133" spans="6:9" x14ac:dyDescent="0.3">
      <c r="F22133"/>
      <c r="G22133"/>
      <c r="H22133"/>
      <c r="I22133"/>
    </row>
    <row r="22134" spans="6:9" x14ac:dyDescent="0.3">
      <c r="F22134"/>
      <c r="G22134"/>
      <c r="H22134"/>
      <c r="I22134"/>
    </row>
    <row r="22135" spans="6:9" x14ac:dyDescent="0.3">
      <c r="F22135"/>
      <c r="G22135"/>
      <c r="H22135"/>
      <c r="I22135"/>
    </row>
    <row r="22136" spans="6:9" x14ac:dyDescent="0.3">
      <c r="F22136"/>
      <c r="G22136"/>
      <c r="H22136"/>
      <c r="I22136"/>
    </row>
    <row r="22137" spans="6:9" x14ac:dyDescent="0.3">
      <c r="F22137"/>
      <c r="G22137"/>
      <c r="H22137"/>
      <c r="I22137"/>
    </row>
    <row r="22138" spans="6:9" x14ac:dyDescent="0.3">
      <c r="F22138"/>
      <c r="G22138"/>
      <c r="H22138"/>
      <c r="I22138"/>
    </row>
    <row r="22139" spans="6:9" x14ac:dyDescent="0.3">
      <c r="F22139"/>
      <c r="G22139"/>
      <c r="H22139"/>
      <c r="I22139"/>
    </row>
    <row r="22140" spans="6:9" x14ac:dyDescent="0.3">
      <c r="F22140"/>
      <c r="G22140"/>
      <c r="H22140"/>
      <c r="I22140"/>
    </row>
    <row r="22141" spans="6:9" x14ac:dyDescent="0.3">
      <c r="F22141"/>
      <c r="G22141"/>
      <c r="H22141"/>
      <c r="I22141"/>
    </row>
    <row r="22142" spans="6:9" x14ac:dyDescent="0.3">
      <c r="F22142"/>
      <c r="G22142"/>
      <c r="H22142"/>
      <c r="I22142"/>
    </row>
    <row r="22143" spans="6:9" x14ac:dyDescent="0.3">
      <c r="F22143"/>
      <c r="G22143"/>
      <c r="H22143"/>
      <c r="I22143"/>
    </row>
    <row r="22144" spans="6:9" x14ac:dyDescent="0.3">
      <c r="F22144"/>
      <c r="G22144"/>
      <c r="H22144"/>
      <c r="I22144"/>
    </row>
    <row r="22145" spans="6:9" x14ac:dyDescent="0.3">
      <c r="F22145"/>
      <c r="G22145"/>
      <c r="H22145"/>
      <c r="I22145"/>
    </row>
    <row r="22146" spans="6:9" x14ac:dyDescent="0.3">
      <c r="F22146"/>
      <c r="G22146"/>
      <c r="H22146"/>
      <c r="I22146"/>
    </row>
    <row r="22147" spans="6:9" x14ac:dyDescent="0.3">
      <c r="F22147"/>
      <c r="G22147"/>
      <c r="H22147"/>
      <c r="I22147"/>
    </row>
    <row r="22148" spans="6:9" x14ac:dyDescent="0.3">
      <c r="F22148"/>
      <c r="G22148"/>
      <c r="H22148"/>
      <c r="I22148"/>
    </row>
    <row r="22149" spans="6:9" x14ac:dyDescent="0.3">
      <c r="F22149"/>
      <c r="G22149"/>
      <c r="H22149"/>
      <c r="I22149"/>
    </row>
    <row r="22150" spans="6:9" x14ac:dyDescent="0.3">
      <c r="F22150"/>
      <c r="G22150"/>
      <c r="H22150"/>
      <c r="I22150"/>
    </row>
    <row r="22151" spans="6:9" x14ac:dyDescent="0.3">
      <c r="F22151"/>
      <c r="G22151"/>
      <c r="H22151"/>
      <c r="I22151"/>
    </row>
    <row r="22152" spans="6:9" x14ac:dyDescent="0.3">
      <c r="F22152"/>
      <c r="G22152"/>
      <c r="H22152"/>
      <c r="I22152"/>
    </row>
    <row r="22153" spans="6:9" x14ac:dyDescent="0.3">
      <c r="F22153"/>
      <c r="G22153"/>
      <c r="H22153"/>
      <c r="I22153"/>
    </row>
    <row r="22154" spans="6:9" x14ac:dyDescent="0.3">
      <c r="F22154"/>
      <c r="G22154"/>
      <c r="H22154"/>
      <c r="I22154"/>
    </row>
    <row r="22155" spans="6:9" x14ac:dyDescent="0.3">
      <c r="F22155"/>
      <c r="G22155"/>
      <c r="H22155"/>
      <c r="I22155"/>
    </row>
    <row r="22156" spans="6:9" x14ac:dyDescent="0.3">
      <c r="F22156"/>
      <c r="G22156"/>
      <c r="H22156"/>
      <c r="I22156"/>
    </row>
    <row r="22157" spans="6:9" x14ac:dyDescent="0.3">
      <c r="F22157"/>
      <c r="G22157"/>
      <c r="H22157"/>
      <c r="I22157"/>
    </row>
    <row r="22158" spans="6:9" x14ac:dyDescent="0.3">
      <c r="F22158"/>
      <c r="G22158"/>
      <c r="H22158"/>
      <c r="I22158"/>
    </row>
    <row r="22159" spans="6:9" x14ac:dyDescent="0.3">
      <c r="F22159"/>
      <c r="G22159"/>
      <c r="H22159"/>
      <c r="I22159"/>
    </row>
    <row r="22160" spans="6:9" x14ac:dyDescent="0.3">
      <c r="F22160"/>
      <c r="G22160"/>
      <c r="H22160"/>
      <c r="I22160"/>
    </row>
    <row r="22161" spans="6:9" x14ac:dyDescent="0.3">
      <c r="F22161"/>
      <c r="G22161"/>
      <c r="H22161"/>
      <c r="I22161"/>
    </row>
    <row r="22162" spans="6:9" x14ac:dyDescent="0.3">
      <c r="F22162"/>
      <c r="G22162"/>
      <c r="H22162"/>
      <c r="I22162"/>
    </row>
    <row r="22163" spans="6:9" x14ac:dyDescent="0.3">
      <c r="F22163"/>
      <c r="G22163"/>
      <c r="H22163"/>
      <c r="I22163"/>
    </row>
    <row r="22164" spans="6:9" x14ac:dyDescent="0.3">
      <c r="F22164"/>
      <c r="G22164"/>
      <c r="H22164"/>
      <c r="I22164"/>
    </row>
    <row r="22165" spans="6:9" x14ac:dyDescent="0.3">
      <c r="F22165"/>
      <c r="G22165"/>
      <c r="H22165"/>
      <c r="I22165"/>
    </row>
    <row r="22166" spans="6:9" x14ac:dyDescent="0.3">
      <c r="F22166"/>
      <c r="G22166"/>
      <c r="H22166"/>
      <c r="I22166"/>
    </row>
    <row r="22167" spans="6:9" x14ac:dyDescent="0.3">
      <c r="F22167"/>
      <c r="G22167"/>
      <c r="H22167"/>
      <c r="I22167"/>
    </row>
    <row r="22168" spans="6:9" x14ac:dyDescent="0.3">
      <c r="F22168"/>
      <c r="G22168"/>
      <c r="H22168"/>
      <c r="I22168"/>
    </row>
    <row r="22169" spans="6:9" x14ac:dyDescent="0.3">
      <c r="F22169"/>
      <c r="G22169"/>
      <c r="H22169"/>
      <c r="I22169"/>
    </row>
    <row r="22170" spans="6:9" x14ac:dyDescent="0.3">
      <c r="F22170"/>
      <c r="G22170"/>
      <c r="H22170"/>
      <c r="I22170"/>
    </row>
    <row r="22171" spans="6:9" x14ac:dyDescent="0.3">
      <c r="F22171"/>
      <c r="G22171"/>
      <c r="H22171"/>
      <c r="I22171"/>
    </row>
    <row r="22172" spans="6:9" x14ac:dyDescent="0.3">
      <c r="F22172"/>
      <c r="G22172"/>
      <c r="H22172"/>
      <c r="I22172"/>
    </row>
    <row r="22173" spans="6:9" x14ac:dyDescent="0.3">
      <c r="F22173"/>
      <c r="G22173"/>
      <c r="H22173"/>
      <c r="I22173"/>
    </row>
    <row r="22174" spans="6:9" x14ac:dyDescent="0.3">
      <c r="F22174"/>
      <c r="G22174"/>
      <c r="H22174"/>
      <c r="I22174"/>
    </row>
    <row r="22175" spans="6:9" x14ac:dyDescent="0.3">
      <c r="F22175"/>
      <c r="G22175"/>
      <c r="H22175"/>
      <c r="I22175"/>
    </row>
    <row r="22176" spans="6:9" x14ac:dyDescent="0.3">
      <c r="F22176"/>
      <c r="G22176"/>
      <c r="H22176"/>
      <c r="I22176"/>
    </row>
    <row r="22177" spans="6:9" x14ac:dyDescent="0.3">
      <c r="F22177"/>
      <c r="G22177"/>
      <c r="H22177"/>
      <c r="I22177"/>
    </row>
    <row r="22178" spans="6:9" x14ac:dyDescent="0.3">
      <c r="F22178"/>
      <c r="G22178"/>
      <c r="H22178"/>
      <c r="I22178"/>
    </row>
    <row r="22179" spans="6:9" x14ac:dyDescent="0.3">
      <c r="F22179"/>
      <c r="G22179"/>
      <c r="H22179"/>
      <c r="I22179"/>
    </row>
    <row r="22180" spans="6:9" x14ac:dyDescent="0.3">
      <c r="F22180"/>
      <c r="G22180"/>
      <c r="H22180"/>
      <c r="I22180"/>
    </row>
    <row r="22181" spans="6:9" x14ac:dyDescent="0.3">
      <c r="F22181"/>
      <c r="G22181"/>
      <c r="H22181"/>
      <c r="I22181"/>
    </row>
    <row r="22182" spans="6:9" x14ac:dyDescent="0.3">
      <c r="F22182"/>
      <c r="G22182"/>
      <c r="H22182"/>
      <c r="I22182"/>
    </row>
    <row r="22183" spans="6:9" x14ac:dyDescent="0.3">
      <c r="F22183"/>
      <c r="G22183"/>
      <c r="H22183"/>
      <c r="I22183"/>
    </row>
    <row r="22184" spans="6:9" x14ac:dyDescent="0.3">
      <c r="F22184"/>
      <c r="G22184"/>
      <c r="H22184"/>
      <c r="I22184"/>
    </row>
    <row r="22185" spans="6:9" x14ac:dyDescent="0.3">
      <c r="F22185"/>
      <c r="G22185"/>
      <c r="H22185"/>
      <c r="I22185"/>
    </row>
    <row r="22186" spans="6:9" x14ac:dyDescent="0.3">
      <c r="F22186"/>
      <c r="G22186"/>
      <c r="H22186"/>
      <c r="I22186"/>
    </row>
    <row r="22187" spans="6:9" x14ac:dyDescent="0.3">
      <c r="F22187"/>
      <c r="G22187"/>
      <c r="H22187"/>
      <c r="I22187"/>
    </row>
    <row r="22188" spans="6:9" x14ac:dyDescent="0.3">
      <c r="F22188"/>
      <c r="G22188"/>
      <c r="H22188"/>
      <c r="I22188"/>
    </row>
    <row r="22189" spans="6:9" x14ac:dyDescent="0.3">
      <c r="F22189"/>
      <c r="G22189"/>
      <c r="H22189"/>
      <c r="I22189"/>
    </row>
    <row r="22190" spans="6:9" x14ac:dyDescent="0.3">
      <c r="F22190"/>
      <c r="G22190"/>
      <c r="H22190"/>
      <c r="I22190"/>
    </row>
    <row r="22191" spans="6:9" x14ac:dyDescent="0.3">
      <c r="F22191"/>
      <c r="G22191"/>
      <c r="H22191"/>
      <c r="I22191"/>
    </row>
    <row r="22192" spans="6:9" x14ac:dyDescent="0.3">
      <c r="F22192"/>
      <c r="G22192"/>
      <c r="H22192"/>
      <c r="I22192"/>
    </row>
    <row r="22193" spans="6:9" x14ac:dyDescent="0.3">
      <c r="F22193"/>
      <c r="G22193"/>
      <c r="H22193"/>
      <c r="I22193"/>
    </row>
    <row r="22194" spans="6:9" x14ac:dyDescent="0.3">
      <c r="F22194"/>
      <c r="G22194"/>
      <c r="H22194"/>
      <c r="I22194"/>
    </row>
    <row r="22195" spans="6:9" x14ac:dyDescent="0.3">
      <c r="F22195"/>
      <c r="G22195"/>
      <c r="H22195"/>
      <c r="I22195"/>
    </row>
    <row r="22196" spans="6:9" x14ac:dyDescent="0.3">
      <c r="F22196"/>
      <c r="G22196"/>
      <c r="H22196"/>
      <c r="I22196"/>
    </row>
    <row r="22197" spans="6:9" x14ac:dyDescent="0.3">
      <c r="F22197"/>
      <c r="G22197"/>
      <c r="H22197"/>
      <c r="I22197"/>
    </row>
    <row r="22198" spans="6:9" x14ac:dyDescent="0.3">
      <c r="F22198"/>
      <c r="G22198"/>
      <c r="H22198"/>
      <c r="I22198"/>
    </row>
    <row r="22199" spans="6:9" x14ac:dyDescent="0.3">
      <c r="F22199"/>
      <c r="G22199"/>
      <c r="H22199"/>
      <c r="I22199"/>
    </row>
    <row r="22200" spans="6:9" x14ac:dyDescent="0.3">
      <c r="F22200"/>
      <c r="G22200"/>
      <c r="H22200"/>
      <c r="I22200"/>
    </row>
    <row r="22201" spans="6:9" x14ac:dyDescent="0.3">
      <c r="F22201"/>
      <c r="G22201"/>
      <c r="H22201"/>
      <c r="I22201"/>
    </row>
    <row r="22202" spans="6:9" x14ac:dyDescent="0.3">
      <c r="F22202"/>
      <c r="G22202"/>
      <c r="H22202"/>
      <c r="I22202"/>
    </row>
    <row r="22203" spans="6:9" x14ac:dyDescent="0.3">
      <c r="F22203"/>
      <c r="G22203"/>
      <c r="H22203"/>
      <c r="I22203"/>
    </row>
    <row r="22204" spans="6:9" x14ac:dyDescent="0.3">
      <c r="F22204"/>
      <c r="G22204"/>
      <c r="H22204"/>
      <c r="I22204"/>
    </row>
    <row r="22205" spans="6:9" x14ac:dyDescent="0.3">
      <c r="F22205"/>
      <c r="G22205"/>
      <c r="H22205"/>
      <c r="I22205"/>
    </row>
    <row r="22206" spans="6:9" x14ac:dyDescent="0.3">
      <c r="F22206"/>
      <c r="G22206"/>
      <c r="H22206"/>
      <c r="I22206"/>
    </row>
    <row r="22207" spans="6:9" x14ac:dyDescent="0.3">
      <c r="F22207"/>
      <c r="G22207"/>
      <c r="H22207"/>
      <c r="I22207"/>
    </row>
    <row r="22208" spans="6:9" x14ac:dyDescent="0.3">
      <c r="F22208"/>
      <c r="G22208"/>
      <c r="H22208"/>
      <c r="I22208"/>
    </row>
    <row r="22209" spans="6:9" x14ac:dyDescent="0.3">
      <c r="F22209"/>
      <c r="G22209"/>
      <c r="H22209"/>
      <c r="I22209"/>
    </row>
    <row r="22210" spans="6:9" x14ac:dyDescent="0.3">
      <c r="F22210"/>
      <c r="G22210"/>
      <c r="H22210"/>
      <c r="I22210"/>
    </row>
    <row r="22211" spans="6:9" x14ac:dyDescent="0.3">
      <c r="F22211"/>
      <c r="G22211"/>
      <c r="H22211"/>
      <c r="I22211"/>
    </row>
    <row r="22212" spans="6:9" x14ac:dyDescent="0.3">
      <c r="F22212"/>
      <c r="G22212"/>
      <c r="H22212"/>
      <c r="I22212"/>
    </row>
    <row r="22213" spans="6:9" x14ac:dyDescent="0.3">
      <c r="F22213"/>
      <c r="G22213"/>
      <c r="H22213"/>
      <c r="I22213"/>
    </row>
    <row r="22214" spans="6:9" x14ac:dyDescent="0.3">
      <c r="F22214"/>
      <c r="G22214"/>
      <c r="H22214"/>
      <c r="I22214"/>
    </row>
    <row r="22215" spans="6:9" x14ac:dyDescent="0.3">
      <c r="F22215"/>
      <c r="G22215"/>
      <c r="H22215"/>
      <c r="I22215"/>
    </row>
    <row r="22216" spans="6:9" x14ac:dyDescent="0.3">
      <c r="F22216"/>
      <c r="G22216"/>
      <c r="H22216"/>
      <c r="I22216"/>
    </row>
    <row r="22217" spans="6:9" x14ac:dyDescent="0.3">
      <c r="F22217"/>
      <c r="G22217"/>
      <c r="H22217"/>
      <c r="I22217"/>
    </row>
    <row r="22218" spans="6:9" x14ac:dyDescent="0.3">
      <c r="F22218"/>
      <c r="G22218"/>
      <c r="H22218"/>
      <c r="I22218"/>
    </row>
    <row r="22219" spans="6:9" x14ac:dyDescent="0.3">
      <c r="F22219"/>
      <c r="G22219"/>
      <c r="H22219"/>
      <c r="I22219"/>
    </row>
    <row r="22220" spans="6:9" x14ac:dyDescent="0.3">
      <c r="F22220"/>
      <c r="G22220"/>
      <c r="H22220"/>
      <c r="I22220"/>
    </row>
    <row r="22221" spans="6:9" x14ac:dyDescent="0.3">
      <c r="F22221"/>
      <c r="G22221"/>
      <c r="H22221"/>
      <c r="I22221"/>
    </row>
    <row r="22222" spans="6:9" x14ac:dyDescent="0.3">
      <c r="F22222"/>
      <c r="G22222"/>
      <c r="H22222"/>
      <c r="I22222"/>
    </row>
    <row r="22223" spans="6:9" x14ac:dyDescent="0.3">
      <c r="F22223"/>
      <c r="G22223"/>
      <c r="H22223"/>
      <c r="I22223"/>
    </row>
    <row r="22224" spans="6:9" x14ac:dyDescent="0.3">
      <c r="F22224"/>
      <c r="G22224"/>
      <c r="H22224"/>
      <c r="I22224"/>
    </row>
    <row r="22225" spans="6:9" x14ac:dyDescent="0.3">
      <c r="F22225"/>
      <c r="G22225"/>
      <c r="H22225"/>
      <c r="I22225"/>
    </row>
    <row r="22226" spans="6:9" x14ac:dyDescent="0.3">
      <c r="F22226"/>
      <c r="G22226"/>
      <c r="H22226"/>
      <c r="I22226"/>
    </row>
    <row r="22227" spans="6:9" x14ac:dyDescent="0.3">
      <c r="F22227"/>
      <c r="G22227"/>
      <c r="H22227"/>
      <c r="I22227"/>
    </row>
    <row r="22228" spans="6:9" x14ac:dyDescent="0.3">
      <c r="F22228"/>
      <c r="G22228"/>
      <c r="H22228"/>
      <c r="I22228"/>
    </row>
    <row r="22229" spans="6:9" x14ac:dyDescent="0.3">
      <c r="F22229"/>
      <c r="G22229"/>
      <c r="H22229"/>
      <c r="I22229"/>
    </row>
    <row r="22230" spans="6:9" x14ac:dyDescent="0.3">
      <c r="F22230"/>
      <c r="G22230"/>
      <c r="H22230"/>
      <c r="I22230"/>
    </row>
    <row r="22231" spans="6:9" x14ac:dyDescent="0.3">
      <c r="F22231"/>
      <c r="G22231"/>
      <c r="H22231"/>
      <c r="I22231"/>
    </row>
    <row r="22232" spans="6:9" x14ac:dyDescent="0.3">
      <c r="F22232"/>
      <c r="G22232"/>
      <c r="H22232"/>
      <c r="I22232"/>
    </row>
    <row r="22233" spans="6:9" x14ac:dyDescent="0.3">
      <c r="F22233"/>
      <c r="G22233"/>
      <c r="H22233"/>
      <c r="I22233"/>
    </row>
    <row r="22234" spans="6:9" x14ac:dyDescent="0.3">
      <c r="F22234"/>
      <c r="G22234"/>
      <c r="H22234"/>
      <c r="I22234"/>
    </row>
    <row r="22235" spans="6:9" x14ac:dyDescent="0.3">
      <c r="F22235"/>
      <c r="G22235"/>
      <c r="H22235"/>
      <c r="I22235"/>
    </row>
    <row r="22236" spans="6:9" x14ac:dyDescent="0.3">
      <c r="F22236"/>
      <c r="G22236"/>
      <c r="H22236"/>
      <c r="I22236"/>
    </row>
    <row r="22237" spans="6:9" x14ac:dyDescent="0.3">
      <c r="F22237"/>
      <c r="G22237"/>
      <c r="H22237"/>
      <c r="I22237"/>
    </row>
    <row r="22238" spans="6:9" x14ac:dyDescent="0.3">
      <c r="F22238"/>
      <c r="G22238"/>
      <c r="H22238"/>
      <c r="I22238"/>
    </row>
    <row r="22239" spans="6:9" x14ac:dyDescent="0.3">
      <c r="F22239"/>
      <c r="G22239"/>
      <c r="H22239"/>
      <c r="I22239"/>
    </row>
    <row r="22240" spans="6:9" x14ac:dyDescent="0.3">
      <c r="F22240"/>
      <c r="G22240"/>
      <c r="H22240"/>
      <c r="I22240"/>
    </row>
    <row r="22241" spans="6:9" x14ac:dyDescent="0.3">
      <c r="F22241"/>
      <c r="G22241"/>
      <c r="H22241"/>
      <c r="I22241"/>
    </row>
    <row r="22242" spans="6:9" x14ac:dyDescent="0.3">
      <c r="F22242"/>
      <c r="G22242"/>
      <c r="H22242"/>
      <c r="I22242"/>
    </row>
    <row r="22243" spans="6:9" x14ac:dyDescent="0.3">
      <c r="F22243"/>
      <c r="G22243"/>
      <c r="H22243"/>
      <c r="I22243"/>
    </row>
    <row r="22244" spans="6:9" x14ac:dyDescent="0.3">
      <c r="F22244"/>
      <c r="G22244"/>
      <c r="H22244"/>
      <c r="I22244"/>
    </row>
    <row r="22245" spans="6:9" x14ac:dyDescent="0.3">
      <c r="F22245"/>
      <c r="G22245"/>
      <c r="H22245"/>
      <c r="I22245"/>
    </row>
    <row r="22246" spans="6:9" x14ac:dyDescent="0.3">
      <c r="F22246"/>
      <c r="G22246"/>
      <c r="H22246"/>
      <c r="I22246"/>
    </row>
    <row r="22247" spans="6:9" x14ac:dyDescent="0.3">
      <c r="F22247"/>
      <c r="G22247"/>
      <c r="H22247"/>
      <c r="I22247"/>
    </row>
    <row r="22248" spans="6:9" x14ac:dyDescent="0.3">
      <c r="F22248"/>
      <c r="G22248"/>
      <c r="H22248"/>
      <c r="I22248"/>
    </row>
    <row r="22249" spans="6:9" x14ac:dyDescent="0.3">
      <c r="F22249"/>
      <c r="G22249"/>
      <c r="H22249"/>
      <c r="I22249"/>
    </row>
    <row r="22250" spans="6:9" x14ac:dyDescent="0.3">
      <c r="F22250"/>
      <c r="G22250"/>
      <c r="H22250"/>
      <c r="I22250"/>
    </row>
    <row r="22251" spans="6:9" x14ac:dyDescent="0.3">
      <c r="F22251"/>
      <c r="G22251"/>
      <c r="H22251"/>
      <c r="I22251"/>
    </row>
    <row r="22252" spans="6:9" x14ac:dyDescent="0.3">
      <c r="F22252"/>
      <c r="G22252"/>
      <c r="H22252"/>
      <c r="I22252"/>
    </row>
    <row r="22253" spans="6:9" x14ac:dyDescent="0.3">
      <c r="F22253"/>
      <c r="G22253"/>
      <c r="H22253"/>
      <c r="I22253"/>
    </row>
    <row r="22254" spans="6:9" x14ac:dyDescent="0.3">
      <c r="F22254"/>
      <c r="G22254"/>
      <c r="H22254"/>
      <c r="I22254"/>
    </row>
    <row r="22255" spans="6:9" x14ac:dyDescent="0.3">
      <c r="F22255"/>
      <c r="G22255"/>
      <c r="H22255"/>
      <c r="I22255"/>
    </row>
    <row r="22256" spans="6:9" x14ac:dyDescent="0.3">
      <c r="F22256"/>
      <c r="G22256"/>
      <c r="H22256"/>
      <c r="I22256"/>
    </row>
    <row r="22257" spans="6:9" x14ac:dyDescent="0.3">
      <c r="F22257"/>
      <c r="G22257"/>
      <c r="H22257"/>
      <c r="I22257"/>
    </row>
    <row r="22258" spans="6:9" x14ac:dyDescent="0.3">
      <c r="F22258"/>
      <c r="G22258"/>
      <c r="H22258"/>
      <c r="I22258"/>
    </row>
    <row r="22259" spans="6:9" x14ac:dyDescent="0.3">
      <c r="F22259"/>
      <c r="G22259"/>
      <c r="H22259"/>
      <c r="I22259"/>
    </row>
    <row r="22260" spans="6:9" x14ac:dyDescent="0.3">
      <c r="F22260"/>
      <c r="G22260"/>
      <c r="H22260"/>
      <c r="I22260"/>
    </row>
    <row r="22261" spans="6:9" x14ac:dyDescent="0.3">
      <c r="F22261"/>
      <c r="G22261"/>
      <c r="H22261"/>
      <c r="I22261"/>
    </row>
    <row r="22262" spans="6:9" x14ac:dyDescent="0.3">
      <c r="F22262"/>
      <c r="G22262"/>
      <c r="H22262"/>
      <c r="I22262"/>
    </row>
    <row r="22263" spans="6:9" x14ac:dyDescent="0.3">
      <c r="F22263"/>
      <c r="G22263"/>
      <c r="H22263"/>
      <c r="I22263"/>
    </row>
    <row r="22264" spans="6:9" x14ac:dyDescent="0.3">
      <c r="F22264"/>
      <c r="G22264"/>
      <c r="H22264"/>
      <c r="I22264"/>
    </row>
    <row r="22265" spans="6:9" x14ac:dyDescent="0.3">
      <c r="F22265"/>
      <c r="G22265"/>
      <c r="H22265"/>
      <c r="I22265"/>
    </row>
    <row r="22266" spans="6:9" x14ac:dyDescent="0.3">
      <c r="F22266"/>
      <c r="G22266"/>
      <c r="H22266"/>
      <c r="I22266"/>
    </row>
    <row r="22267" spans="6:9" x14ac:dyDescent="0.3">
      <c r="F22267"/>
      <c r="G22267"/>
      <c r="H22267"/>
      <c r="I22267"/>
    </row>
    <row r="22268" spans="6:9" x14ac:dyDescent="0.3">
      <c r="F22268"/>
      <c r="G22268"/>
      <c r="H22268"/>
      <c r="I22268"/>
    </row>
    <row r="22269" spans="6:9" x14ac:dyDescent="0.3">
      <c r="F22269"/>
      <c r="G22269"/>
      <c r="H22269"/>
      <c r="I22269"/>
    </row>
    <row r="22270" spans="6:9" x14ac:dyDescent="0.3">
      <c r="F22270"/>
      <c r="G22270"/>
      <c r="H22270"/>
      <c r="I22270"/>
    </row>
    <row r="22271" spans="6:9" x14ac:dyDescent="0.3">
      <c r="F22271"/>
      <c r="G22271"/>
      <c r="H22271"/>
      <c r="I22271"/>
    </row>
    <row r="22272" spans="6:9" x14ac:dyDescent="0.3">
      <c r="F22272"/>
      <c r="G22272"/>
      <c r="H22272"/>
      <c r="I22272"/>
    </row>
    <row r="22273" spans="6:9" x14ac:dyDescent="0.3">
      <c r="F22273"/>
      <c r="G22273"/>
      <c r="H22273"/>
      <c r="I22273"/>
    </row>
    <row r="22274" spans="6:9" x14ac:dyDescent="0.3">
      <c r="F22274"/>
      <c r="G22274"/>
      <c r="H22274"/>
      <c r="I22274"/>
    </row>
    <row r="22275" spans="6:9" x14ac:dyDescent="0.3">
      <c r="F22275"/>
      <c r="G22275"/>
      <c r="H22275"/>
      <c r="I22275"/>
    </row>
    <row r="22276" spans="6:9" x14ac:dyDescent="0.3">
      <c r="F22276"/>
      <c r="G22276"/>
      <c r="H22276"/>
      <c r="I22276"/>
    </row>
    <row r="22277" spans="6:9" x14ac:dyDescent="0.3">
      <c r="F22277"/>
      <c r="G22277"/>
      <c r="H22277"/>
      <c r="I22277"/>
    </row>
    <row r="22278" spans="6:9" x14ac:dyDescent="0.3">
      <c r="F22278"/>
      <c r="G22278"/>
      <c r="H22278"/>
      <c r="I22278"/>
    </row>
    <row r="22279" spans="6:9" x14ac:dyDescent="0.3">
      <c r="F22279"/>
      <c r="G22279"/>
      <c r="H22279"/>
      <c r="I22279"/>
    </row>
    <row r="22280" spans="6:9" x14ac:dyDescent="0.3">
      <c r="F22280"/>
      <c r="G22280"/>
      <c r="H22280"/>
      <c r="I22280"/>
    </row>
    <row r="22281" spans="6:9" x14ac:dyDescent="0.3">
      <c r="F22281"/>
      <c r="G22281"/>
      <c r="H22281"/>
      <c r="I22281"/>
    </row>
    <row r="22282" spans="6:9" x14ac:dyDescent="0.3">
      <c r="F22282"/>
      <c r="G22282"/>
      <c r="H22282"/>
      <c r="I22282"/>
    </row>
    <row r="22283" spans="6:9" x14ac:dyDescent="0.3">
      <c r="F22283"/>
      <c r="G22283"/>
      <c r="H22283"/>
      <c r="I22283"/>
    </row>
    <row r="22284" spans="6:9" x14ac:dyDescent="0.3">
      <c r="F22284"/>
      <c r="G22284"/>
      <c r="H22284"/>
      <c r="I22284"/>
    </row>
    <row r="22285" spans="6:9" x14ac:dyDescent="0.3">
      <c r="F22285"/>
      <c r="G22285"/>
      <c r="H22285"/>
      <c r="I22285"/>
    </row>
    <row r="22286" spans="6:9" x14ac:dyDescent="0.3">
      <c r="F22286"/>
      <c r="G22286"/>
      <c r="H22286"/>
      <c r="I22286"/>
    </row>
    <row r="22287" spans="6:9" x14ac:dyDescent="0.3">
      <c r="F22287"/>
      <c r="G22287"/>
      <c r="H22287"/>
      <c r="I22287"/>
    </row>
    <row r="22288" spans="6:9" x14ac:dyDescent="0.3">
      <c r="F22288"/>
      <c r="G22288"/>
      <c r="H22288"/>
      <c r="I22288"/>
    </row>
    <row r="22289" spans="6:9" x14ac:dyDescent="0.3">
      <c r="F22289"/>
      <c r="G22289"/>
      <c r="H22289"/>
      <c r="I22289"/>
    </row>
    <row r="22290" spans="6:9" x14ac:dyDescent="0.3">
      <c r="F22290"/>
      <c r="G22290"/>
      <c r="H22290"/>
      <c r="I22290"/>
    </row>
    <row r="22291" spans="6:9" x14ac:dyDescent="0.3">
      <c r="F22291"/>
      <c r="G22291"/>
      <c r="H22291"/>
      <c r="I22291"/>
    </row>
    <row r="22292" spans="6:9" x14ac:dyDescent="0.3">
      <c r="F22292"/>
      <c r="G22292"/>
      <c r="H22292"/>
      <c r="I22292"/>
    </row>
    <row r="22293" spans="6:9" x14ac:dyDescent="0.3">
      <c r="F22293"/>
      <c r="G22293"/>
      <c r="H22293"/>
      <c r="I22293"/>
    </row>
    <row r="22294" spans="6:9" x14ac:dyDescent="0.3">
      <c r="F22294"/>
      <c r="G22294"/>
      <c r="H22294"/>
      <c r="I22294"/>
    </row>
    <row r="22295" spans="6:9" x14ac:dyDescent="0.3">
      <c r="F22295"/>
      <c r="G22295"/>
      <c r="H22295"/>
      <c r="I22295"/>
    </row>
    <row r="22296" spans="6:9" x14ac:dyDescent="0.3">
      <c r="F22296"/>
      <c r="G22296"/>
      <c r="H22296"/>
      <c r="I22296"/>
    </row>
    <row r="22297" spans="6:9" x14ac:dyDescent="0.3">
      <c r="F22297"/>
      <c r="G22297"/>
      <c r="H22297"/>
      <c r="I22297"/>
    </row>
    <row r="22298" spans="6:9" x14ac:dyDescent="0.3">
      <c r="F22298"/>
      <c r="G22298"/>
      <c r="H22298"/>
      <c r="I22298"/>
    </row>
    <row r="22299" spans="6:9" x14ac:dyDescent="0.3">
      <c r="F22299"/>
      <c r="G22299"/>
      <c r="H22299"/>
      <c r="I22299"/>
    </row>
    <row r="22300" spans="6:9" x14ac:dyDescent="0.3">
      <c r="F22300"/>
      <c r="G22300"/>
      <c r="H22300"/>
      <c r="I22300"/>
    </row>
    <row r="22301" spans="6:9" x14ac:dyDescent="0.3">
      <c r="F22301"/>
      <c r="G22301"/>
      <c r="H22301"/>
      <c r="I22301"/>
    </row>
    <row r="22302" spans="6:9" x14ac:dyDescent="0.3">
      <c r="F22302"/>
      <c r="G22302"/>
      <c r="H22302"/>
      <c r="I22302"/>
    </row>
    <row r="22303" spans="6:9" x14ac:dyDescent="0.3">
      <c r="F22303"/>
      <c r="G22303"/>
      <c r="H22303"/>
      <c r="I22303"/>
    </row>
    <row r="22304" spans="6:9" x14ac:dyDescent="0.3">
      <c r="F22304"/>
      <c r="G22304"/>
      <c r="H22304"/>
      <c r="I22304"/>
    </row>
    <row r="22305" spans="6:9" x14ac:dyDescent="0.3">
      <c r="F22305"/>
      <c r="G22305"/>
      <c r="H22305"/>
      <c r="I22305"/>
    </row>
    <row r="22306" spans="6:9" x14ac:dyDescent="0.3">
      <c r="F22306"/>
      <c r="G22306"/>
      <c r="H22306"/>
      <c r="I22306"/>
    </row>
    <row r="22307" spans="6:9" x14ac:dyDescent="0.3">
      <c r="F22307"/>
      <c r="G22307"/>
      <c r="H22307"/>
      <c r="I22307"/>
    </row>
    <row r="22308" spans="6:9" x14ac:dyDescent="0.3">
      <c r="F22308"/>
      <c r="G22308"/>
      <c r="H22308"/>
      <c r="I22308"/>
    </row>
    <row r="22309" spans="6:9" x14ac:dyDescent="0.3">
      <c r="F22309"/>
      <c r="G22309"/>
      <c r="H22309"/>
      <c r="I22309"/>
    </row>
    <row r="22310" spans="6:9" x14ac:dyDescent="0.3">
      <c r="F22310"/>
      <c r="G22310"/>
      <c r="H22310"/>
      <c r="I22310"/>
    </row>
    <row r="22311" spans="6:9" x14ac:dyDescent="0.3">
      <c r="F22311"/>
      <c r="G22311"/>
      <c r="H22311"/>
      <c r="I22311"/>
    </row>
    <row r="22312" spans="6:9" x14ac:dyDescent="0.3">
      <c r="F22312"/>
      <c r="G22312"/>
      <c r="H22312"/>
      <c r="I22312"/>
    </row>
    <row r="22313" spans="6:9" x14ac:dyDescent="0.3">
      <c r="F22313"/>
      <c r="G22313"/>
      <c r="H22313"/>
      <c r="I22313"/>
    </row>
    <row r="22314" spans="6:9" x14ac:dyDescent="0.3">
      <c r="F22314"/>
      <c r="G22314"/>
      <c r="H22314"/>
      <c r="I22314"/>
    </row>
    <row r="22315" spans="6:9" x14ac:dyDescent="0.3">
      <c r="F22315"/>
      <c r="G22315"/>
      <c r="H22315"/>
      <c r="I22315"/>
    </row>
    <row r="22316" spans="6:9" x14ac:dyDescent="0.3">
      <c r="F22316"/>
      <c r="G22316"/>
      <c r="H22316"/>
      <c r="I22316"/>
    </row>
    <row r="22317" spans="6:9" x14ac:dyDescent="0.3">
      <c r="F22317"/>
      <c r="G22317"/>
      <c r="H22317"/>
      <c r="I22317"/>
    </row>
    <row r="22318" spans="6:9" x14ac:dyDescent="0.3">
      <c r="F22318"/>
      <c r="G22318"/>
      <c r="H22318"/>
      <c r="I22318"/>
    </row>
    <row r="22319" spans="6:9" x14ac:dyDescent="0.3">
      <c r="F22319"/>
      <c r="G22319"/>
      <c r="H22319"/>
      <c r="I22319"/>
    </row>
    <row r="22320" spans="6:9" x14ac:dyDescent="0.3">
      <c r="F22320"/>
      <c r="G22320"/>
      <c r="H22320"/>
      <c r="I22320"/>
    </row>
    <row r="22321" spans="6:9" x14ac:dyDescent="0.3">
      <c r="F22321"/>
      <c r="G22321"/>
      <c r="H22321"/>
      <c r="I22321"/>
    </row>
    <row r="22322" spans="6:9" x14ac:dyDescent="0.3">
      <c r="F22322"/>
      <c r="G22322"/>
      <c r="H22322"/>
      <c r="I22322"/>
    </row>
    <row r="22323" spans="6:9" x14ac:dyDescent="0.3">
      <c r="F22323"/>
      <c r="G22323"/>
      <c r="H22323"/>
      <c r="I22323"/>
    </row>
    <row r="22324" spans="6:9" x14ac:dyDescent="0.3">
      <c r="F22324"/>
      <c r="G22324"/>
      <c r="H22324"/>
      <c r="I22324"/>
    </row>
    <row r="22325" spans="6:9" x14ac:dyDescent="0.3">
      <c r="F22325"/>
      <c r="G22325"/>
      <c r="H22325"/>
      <c r="I22325"/>
    </row>
    <row r="22326" spans="6:9" x14ac:dyDescent="0.3">
      <c r="F22326"/>
      <c r="G22326"/>
      <c r="H22326"/>
      <c r="I22326"/>
    </row>
    <row r="22327" spans="6:9" x14ac:dyDescent="0.3">
      <c r="F22327"/>
      <c r="G22327"/>
      <c r="H22327"/>
      <c r="I22327"/>
    </row>
    <row r="22328" spans="6:9" x14ac:dyDescent="0.3">
      <c r="F22328"/>
      <c r="G22328"/>
      <c r="H22328"/>
      <c r="I22328"/>
    </row>
    <row r="22329" spans="6:9" x14ac:dyDescent="0.3">
      <c r="F22329"/>
      <c r="G22329"/>
      <c r="H22329"/>
      <c r="I22329"/>
    </row>
    <row r="22330" spans="6:9" x14ac:dyDescent="0.3">
      <c r="F22330"/>
      <c r="G22330"/>
      <c r="H22330"/>
      <c r="I22330"/>
    </row>
    <row r="22331" spans="6:9" x14ac:dyDescent="0.3">
      <c r="F22331"/>
      <c r="G22331"/>
      <c r="H22331"/>
      <c r="I22331"/>
    </row>
    <row r="22332" spans="6:9" x14ac:dyDescent="0.3">
      <c r="F22332"/>
      <c r="G22332"/>
      <c r="H22332"/>
      <c r="I22332"/>
    </row>
    <row r="22333" spans="6:9" x14ac:dyDescent="0.3">
      <c r="F22333"/>
      <c r="G22333"/>
      <c r="H22333"/>
      <c r="I22333"/>
    </row>
    <row r="22334" spans="6:9" x14ac:dyDescent="0.3">
      <c r="F22334"/>
      <c r="G22334"/>
      <c r="H22334"/>
      <c r="I22334"/>
    </row>
    <row r="22335" spans="6:9" x14ac:dyDescent="0.3">
      <c r="F22335"/>
      <c r="G22335"/>
      <c r="H22335"/>
      <c r="I22335"/>
    </row>
    <row r="22336" spans="6:9" x14ac:dyDescent="0.3">
      <c r="F22336"/>
      <c r="G22336"/>
      <c r="H22336"/>
      <c r="I22336"/>
    </row>
    <row r="22337" spans="6:9" x14ac:dyDescent="0.3">
      <c r="F22337"/>
      <c r="G22337"/>
      <c r="H22337"/>
      <c r="I22337"/>
    </row>
    <row r="22338" spans="6:9" x14ac:dyDescent="0.3">
      <c r="F22338"/>
      <c r="G22338"/>
      <c r="H22338"/>
      <c r="I22338"/>
    </row>
    <row r="22339" spans="6:9" x14ac:dyDescent="0.3">
      <c r="F22339"/>
      <c r="G22339"/>
      <c r="H22339"/>
      <c r="I22339"/>
    </row>
    <row r="22340" spans="6:9" x14ac:dyDescent="0.3">
      <c r="F22340"/>
      <c r="G22340"/>
      <c r="H22340"/>
      <c r="I22340"/>
    </row>
    <row r="22341" spans="6:9" x14ac:dyDescent="0.3">
      <c r="F22341"/>
      <c r="G22341"/>
      <c r="H22341"/>
      <c r="I22341"/>
    </row>
    <row r="22342" spans="6:9" x14ac:dyDescent="0.3">
      <c r="F22342"/>
      <c r="G22342"/>
      <c r="H22342"/>
      <c r="I22342"/>
    </row>
    <row r="22343" spans="6:9" x14ac:dyDescent="0.3">
      <c r="F22343"/>
      <c r="G22343"/>
      <c r="H22343"/>
      <c r="I22343"/>
    </row>
    <row r="22344" spans="6:9" x14ac:dyDescent="0.3">
      <c r="F22344"/>
      <c r="G22344"/>
      <c r="H22344"/>
      <c r="I22344"/>
    </row>
    <row r="22345" spans="6:9" x14ac:dyDescent="0.3">
      <c r="F22345"/>
      <c r="G22345"/>
      <c r="H22345"/>
      <c r="I22345"/>
    </row>
    <row r="22346" spans="6:9" x14ac:dyDescent="0.3">
      <c r="F22346"/>
      <c r="G22346"/>
      <c r="H22346"/>
      <c r="I22346"/>
    </row>
    <row r="22347" spans="6:9" x14ac:dyDescent="0.3">
      <c r="F22347"/>
      <c r="G22347"/>
      <c r="H22347"/>
      <c r="I22347"/>
    </row>
    <row r="22348" spans="6:9" x14ac:dyDescent="0.3">
      <c r="F22348"/>
      <c r="G22348"/>
      <c r="H22348"/>
      <c r="I22348"/>
    </row>
    <row r="22349" spans="6:9" x14ac:dyDescent="0.3">
      <c r="F22349"/>
      <c r="G22349"/>
      <c r="H22349"/>
      <c r="I22349"/>
    </row>
    <row r="22350" spans="6:9" x14ac:dyDescent="0.3">
      <c r="F22350"/>
      <c r="G22350"/>
      <c r="H22350"/>
      <c r="I22350"/>
    </row>
    <row r="22351" spans="6:9" x14ac:dyDescent="0.3">
      <c r="F22351"/>
      <c r="G22351"/>
      <c r="H22351"/>
      <c r="I22351"/>
    </row>
    <row r="22352" spans="6:9" x14ac:dyDescent="0.3">
      <c r="F22352"/>
      <c r="G22352"/>
      <c r="H22352"/>
      <c r="I22352"/>
    </row>
    <row r="22353" spans="6:9" x14ac:dyDescent="0.3">
      <c r="F22353"/>
      <c r="G22353"/>
      <c r="H22353"/>
      <c r="I22353"/>
    </row>
    <row r="22354" spans="6:9" x14ac:dyDescent="0.3">
      <c r="F22354"/>
      <c r="G22354"/>
      <c r="H22354"/>
      <c r="I22354"/>
    </row>
    <row r="22355" spans="6:9" x14ac:dyDescent="0.3">
      <c r="F22355"/>
      <c r="G22355"/>
      <c r="H22355"/>
      <c r="I22355"/>
    </row>
    <row r="22356" spans="6:9" x14ac:dyDescent="0.3">
      <c r="F22356"/>
      <c r="G22356"/>
      <c r="H22356"/>
      <c r="I22356"/>
    </row>
    <row r="22357" spans="6:9" x14ac:dyDescent="0.3">
      <c r="F22357"/>
      <c r="G22357"/>
      <c r="H22357"/>
      <c r="I22357"/>
    </row>
    <row r="22358" spans="6:9" x14ac:dyDescent="0.3">
      <c r="F22358"/>
      <c r="G22358"/>
      <c r="H22358"/>
      <c r="I22358"/>
    </row>
    <row r="22359" spans="6:9" x14ac:dyDescent="0.3">
      <c r="F22359"/>
      <c r="G22359"/>
      <c r="H22359"/>
      <c r="I22359"/>
    </row>
    <row r="22360" spans="6:9" x14ac:dyDescent="0.3">
      <c r="F22360"/>
      <c r="G22360"/>
      <c r="H22360"/>
      <c r="I22360"/>
    </row>
    <row r="22361" spans="6:9" x14ac:dyDescent="0.3">
      <c r="F22361"/>
      <c r="G22361"/>
      <c r="H22361"/>
      <c r="I22361"/>
    </row>
    <row r="22362" spans="6:9" x14ac:dyDescent="0.3">
      <c r="F22362"/>
      <c r="G22362"/>
      <c r="H22362"/>
      <c r="I22362"/>
    </row>
    <row r="22363" spans="6:9" x14ac:dyDescent="0.3">
      <c r="F22363"/>
      <c r="G22363"/>
      <c r="H22363"/>
      <c r="I22363"/>
    </row>
    <row r="22364" spans="6:9" x14ac:dyDescent="0.3">
      <c r="F22364"/>
      <c r="G22364"/>
      <c r="H22364"/>
      <c r="I22364"/>
    </row>
    <row r="22365" spans="6:9" x14ac:dyDescent="0.3">
      <c r="F22365"/>
      <c r="G22365"/>
      <c r="H22365"/>
      <c r="I22365"/>
    </row>
    <row r="22366" spans="6:9" x14ac:dyDescent="0.3">
      <c r="F22366"/>
      <c r="G22366"/>
      <c r="H22366"/>
      <c r="I22366"/>
    </row>
    <row r="22367" spans="6:9" x14ac:dyDescent="0.3">
      <c r="F22367"/>
      <c r="G22367"/>
      <c r="H22367"/>
      <c r="I22367"/>
    </row>
    <row r="22368" spans="6:9" x14ac:dyDescent="0.3">
      <c r="F22368"/>
      <c r="G22368"/>
      <c r="H22368"/>
      <c r="I22368"/>
    </row>
    <row r="22369" spans="6:9" x14ac:dyDescent="0.3">
      <c r="F22369"/>
      <c r="G22369"/>
      <c r="H22369"/>
      <c r="I22369"/>
    </row>
    <row r="22370" spans="6:9" x14ac:dyDescent="0.3">
      <c r="F22370"/>
      <c r="G22370"/>
      <c r="H22370"/>
      <c r="I22370"/>
    </row>
    <row r="22371" spans="6:9" x14ac:dyDescent="0.3">
      <c r="F22371"/>
      <c r="G22371"/>
      <c r="H22371"/>
      <c r="I22371"/>
    </row>
    <row r="22372" spans="6:9" x14ac:dyDescent="0.3">
      <c r="F22372"/>
      <c r="G22372"/>
      <c r="H22372"/>
      <c r="I22372"/>
    </row>
    <row r="22373" spans="6:9" x14ac:dyDescent="0.3">
      <c r="F22373"/>
      <c r="G22373"/>
      <c r="H22373"/>
      <c r="I22373"/>
    </row>
    <row r="22374" spans="6:9" x14ac:dyDescent="0.3">
      <c r="F22374"/>
      <c r="G22374"/>
      <c r="H22374"/>
      <c r="I22374"/>
    </row>
    <row r="22375" spans="6:9" x14ac:dyDescent="0.3">
      <c r="F22375"/>
      <c r="G22375"/>
      <c r="H22375"/>
      <c r="I22375"/>
    </row>
    <row r="22376" spans="6:9" x14ac:dyDescent="0.3">
      <c r="F22376"/>
      <c r="G22376"/>
      <c r="H22376"/>
      <c r="I22376"/>
    </row>
    <row r="22377" spans="6:9" x14ac:dyDescent="0.3">
      <c r="F22377"/>
      <c r="G22377"/>
      <c r="H22377"/>
      <c r="I22377"/>
    </row>
    <row r="22378" spans="6:9" x14ac:dyDescent="0.3">
      <c r="F22378"/>
      <c r="G22378"/>
      <c r="H22378"/>
      <c r="I22378"/>
    </row>
    <row r="22379" spans="6:9" x14ac:dyDescent="0.3">
      <c r="F22379"/>
      <c r="G22379"/>
      <c r="H22379"/>
      <c r="I22379"/>
    </row>
    <row r="22380" spans="6:9" x14ac:dyDescent="0.3">
      <c r="F22380"/>
      <c r="G22380"/>
      <c r="H22380"/>
      <c r="I22380"/>
    </row>
    <row r="22381" spans="6:9" x14ac:dyDescent="0.3">
      <c r="F22381"/>
      <c r="G22381"/>
      <c r="H22381"/>
      <c r="I22381"/>
    </row>
    <row r="22382" spans="6:9" x14ac:dyDescent="0.3">
      <c r="F22382"/>
      <c r="G22382"/>
      <c r="H22382"/>
      <c r="I22382"/>
    </row>
    <row r="22383" spans="6:9" x14ac:dyDescent="0.3">
      <c r="F22383"/>
      <c r="G22383"/>
      <c r="H22383"/>
      <c r="I22383"/>
    </row>
    <row r="22384" spans="6:9" x14ac:dyDescent="0.3">
      <c r="F22384"/>
      <c r="G22384"/>
      <c r="H22384"/>
      <c r="I22384"/>
    </row>
    <row r="22385" spans="6:9" x14ac:dyDescent="0.3">
      <c r="F22385"/>
      <c r="G22385"/>
      <c r="H22385"/>
      <c r="I22385"/>
    </row>
    <row r="22386" spans="6:9" x14ac:dyDescent="0.3">
      <c r="F22386"/>
      <c r="G22386"/>
      <c r="H22386"/>
      <c r="I22386"/>
    </row>
    <row r="22387" spans="6:9" x14ac:dyDescent="0.3">
      <c r="F22387"/>
      <c r="G22387"/>
      <c r="H22387"/>
      <c r="I22387"/>
    </row>
    <row r="22388" spans="6:9" x14ac:dyDescent="0.3">
      <c r="F22388"/>
      <c r="G22388"/>
      <c r="H22388"/>
      <c r="I22388"/>
    </row>
    <row r="22389" spans="6:9" x14ac:dyDescent="0.3">
      <c r="F22389"/>
      <c r="G22389"/>
      <c r="H22389"/>
      <c r="I22389"/>
    </row>
    <row r="22390" spans="6:9" x14ac:dyDescent="0.3">
      <c r="F22390"/>
      <c r="G22390"/>
      <c r="H22390"/>
      <c r="I22390"/>
    </row>
    <row r="22391" spans="6:9" x14ac:dyDescent="0.3">
      <c r="F22391"/>
      <c r="G22391"/>
      <c r="H22391"/>
      <c r="I22391"/>
    </row>
    <row r="22392" spans="6:9" x14ac:dyDescent="0.3">
      <c r="F22392"/>
      <c r="G22392"/>
      <c r="H22392"/>
      <c r="I22392"/>
    </row>
    <row r="22393" spans="6:9" x14ac:dyDescent="0.3">
      <c r="F22393"/>
      <c r="G22393"/>
      <c r="H22393"/>
      <c r="I22393"/>
    </row>
    <row r="22394" spans="6:9" x14ac:dyDescent="0.3">
      <c r="F22394"/>
      <c r="G22394"/>
      <c r="H22394"/>
      <c r="I22394"/>
    </row>
    <row r="22395" spans="6:9" x14ac:dyDescent="0.3">
      <c r="F22395"/>
      <c r="G22395"/>
      <c r="H22395"/>
      <c r="I22395"/>
    </row>
    <row r="22396" spans="6:9" x14ac:dyDescent="0.3">
      <c r="F22396"/>
      <c r="G22396"/>
      <c r="H22396"/>
      <c r="I22396"/>
    </row>
    <row r="22397" spans="6:9" x14ac:dyDescent="0.3">
      <c r="F22397"/>
      <c r="G22397"/>
      <c r="H22397"/>
      <c r="I22397"/>
    </row>
    <row r="22398" spans="6:9" x14ac:dyDescent="0.3">
      <c r="F22398"/>
      <c r="G22398"/>
      <c r="H22398"/>
      <c r="I22398"/>
    </row>
    <row r="22399" spans="6:9" x14ac:dyDescent="0.3">
      <c r="F22399"/>
      <c r="G22399"/>
      <c r="H22399"/>
      <c r="I22399"/>
    </row>
    <row r="22400" spans="6:9" x14ac:dyDescent="0.3">
      <c r="F22400"/>
      <c r="G22400"/>
      <c r="H22400"/>
      <c r="I22400"/>
    </row>
    <row r="22401" spans="6:9" x14ac:dyDescent="0.3">
      <c r="F22401"/>
      <c r="G22401"/>
      <c r="H22401"/>
      <c r="I22401"/>
    </row>
    <row r="22402" spans="6:9" x14ac:dyDescent="0.3">
      <c r="F22402"/>
      <c r="G22402"/>
      <c r="H22402"/>
      <c r="I22402"/>
    </row>
    <row r="22403" spans="6:9" x14ac:dyDescent="0.3">
      <c r="F22403"/>
      <c r="G22403"/>
      <c r="H22403"/>
      <c r="I22403"/>
    </row>
    <row r="22404" spans="6:9" x14ac:dyDescent="0.3">
      <c r="F22404"/>
      <c r="G22404"/>
      <c r="H22404"/>
      <c r="I22404"/>
    </row>
    <row r="22405" spans="6:9" x14ac:dyDescent="0.3">
      <c r="F22405"/>
      <c r="G22405"/>
      <c r="H22405"/>
      <c r="I22405"/>
    </row>
    <row r="22406" spans="6:9" x14ac:dyDescent="0.3">
      <c r="F22406"/>
      <c r="G22406"/>
      <c r="H22406"/>
      <c r="I22406"/>
    </row>
    <row r="22407" spans="6:9" x14ac:dyDescent="0.3">
      <c r="F22407"/>
      <c r="G22407"/>
      <c r="H22407"/>
      <c r="I22407"/>
    </row>
    <row r="22408" spans="6:9" x14ac:dyDescent="0.3">
      <c r="F22408"/>
      <c r="G22408"/>
      <c r="H22408"/>
      <c r="I22408"/>
    </row>
    <row r="22409" spans="6:9" x14ac:dyDescent="0.3">
      <c r="F22409"/>
      <c r="G22409"/>
      <c r="H22409"/>
      <c r="I22409"/>
    </row>
    <row r="22410" spans="6:9" x14ac:dyDescent="0.3">
      <c r="F22410"/>
      <c r="G22410"/>
      <c r="H22410"/>
      <c r="I22410"/>
    </row>
    <row r="22411" spans="6:9" x14ac:dyDescent="0.3">
      <c r="F22411"/>
      <c r="G22411"/>
      <c r="H22411"/>
      <c r="I22411"/>
    </row>
    <row r="22412" spans="6:9" x14ac:dyDescent="0.3">
      <c r="F22412"/>
      <c r="G22412"/>
      <c r="H22412"/>
      <c r="I22412"/>
    </row>
    <row r="22413" spans="6:9" x14ac:dyDescent="0.3">
      <c r="F22413"/>
      <c r="G22413"/>
      <c r="H22413"/>
      <c r="I22413"/>
    </row>
    <row r="22414" spans="6:9" x14ac:dyDescent="0.3">
      <c r="F22414"/>
      <c r="G22414"/>
      <c r="H22414"/>
      <c r="I22414"/>
    </row>
    <row r="22415" spans="6:9" x14ac:dyDescent="0.3">
      <c r="F22415"/>
      <c r="G22415"/>
      <c r="H22415"/>
      <c r="I22415"/>
    </row>
    <row r="22416" spans="6:9" x14ac:dyDescent="0.3">
      <c r="F22416"/>
      <c r="G22416"/>
      <c r="H22416"/>
      <c r="I22416"/>
    </row>
    <row r="22417" spans="6:9" x14ac:dyDescent="0.3">
      <c r="F22417"/>
      <c r="G22417"/>
      <c r="H22417"/>
      <c r="I22417"/>
    </row>
    <row r="22418" spans="6:9" x14ac:dyDescent="0.3">
      <c r="F22418"/>
      <c r="G22418"/>
      <c r="H22418"/>
      <c r="I22418"/>
    </row>
    <row r="22419" spans="6:9" x14ac:dyDescent="0.3">
      <c r="F22419"/>
      <c r="G22419"/>
      <c r="H22419"/>
      <c r="I22419"/>
    </row>
    <row r="22420" spans="6:9" x14ac:dyDescent="0.3">
      <c r="F22420"/>
      <c r="G22420"/>
      <c r="H22420"/>
      <c r="I22420"/>
    </row>
    <row r="22421" spans="6:9" x14ac:dyDescent="0.3">
      <c r="F22421"/>
      <c r="G22421"/>
      <c r="H22421"/>
      <c r="I22421"/>
    </row>
    <row r="22422" spans="6:9" x14ac:dyDescent="0.3">
      <c r="F22422"/>
      <c r="G22422"/>
      <c r="H22422"/>
      <c r="I22422"/>
    </row>
    <row r="22423" spans="6:9" x14ac:dyDescent="0.3">
      <c r="F22423"/>
      <c r="G22423"/>
      <c r="H22423"/>
      <c r="I22423"/>
    </row>
    <row r="22424" spans="6:9" x14ac:dyDescent="0.3">
      <c r="F22424"/>
      <c r="G22424"/>
      <c r="H22424"/>
      <c r="I22424"/>
    </row>
    <row r="22425" spans="6:9" x14ac:dyDescent="0.3">
      <c r="F22425"/>
      <c r="G22425"/>
      <c r="H22425"/>
      <c r="I22425"/>
    </row>
    <row r="22426" spans="6:9" x14ac:dyDescent="0.3">
      <c r="F22426"/>
      <c r="G22426"/>
      <c r="H22426"/>
      <c r="I22426"/>
    </row>
    <row r="22427" spans="6:9" x14ac:dyDescent="0.3">
      <c r="F22427"/>
      <c r="G22427"/>
      <c r="H22427"/>
      <c r="I22427"/>
    </row>
    <row r="22428" spans="6:9" x14ac:dyDescent="0.3">
      <c r="F22428"/>
      <c r="G22428"/>
      <c r="H22428"/>
      <c r="I22428"/>
    </row>
    <row r="22429" spans="6:9" x14ac:dyDescent="0.3">
      <c r="F22429"/>
      <c r="G22429"/>
      <c r="H22429"/>
      <c r="I22429"/>
    </row>
    <row r="22430" spans="6:9" x14ac:dyDescent="0.3">
      <c r="F22430"/>
      <c r="G22430"/>
      <c r="H22430"/>
      <c r="I22430"/>
    </row>
    <row r="22431" spans="6:9" x14ac:dyDescent="0.3">
      <c r="F22431"/>
      <c r="G22431"/>
      <c r="H22431"/>
      <c r="I22431"/>
    </row>
    <row r="22432" spans="6:9" x14ac:dyDescent="0.3">
      <c r="F22432"/>
      <c r="G22432"/>
      <c r="H22432"/>
      <c r="I22432"/>
    </row>
    <row r="22433" spans="6:9" x14ac:dyDescent="0.3">
      <c r="F22433"/>
      <c r="G22433"/>
      <c r="H22433"/>
      <c r="I22433"/>
    </row>
    <row r="22434" spans="6:9" x14ac:dyDescent="0.3">
      <c r="F22434"/>
      <c r="G22434"/>
      <c r="H22434"/>
      <c r="I22434"/>
    </row>
    <row r="22435" spans="6:9" x14ac:dyDescent="0.3">
      <c r="F22435"/>
      <c r="G22435"/>
      <c r="H22435"/>
      <c r="I22435"/>
    </row>
    <row r="22436" spans="6:9" x14ac:dyDescent="0.3">
      <c r="F22436"/>
      <c r="G22436"/>
      <c r="H22436"/>
      <c r="I22436"/>
    </row>
    <row r="22437" spans="6:9" x14ac:dyDescent="0.3">
      <c r="F22437"/>
      <c r="G22437"/>
      <c r="H22437"/>
      <c r="I22437"/>
    </row>
    <row r="22438" spans="6:9" x14ac:dyDescent="0.3">
      <c r="F22438"/>
      <c r="G22438"/>
      <c r="H22438"/>
      <c r="I22438"/>
    </row>
    <row r="22439" spans="6:9" x14ac:dyDescent="0.3">
      <c r="F22439"/>
      <c r="G22439"/>
      <c r="H22439"/>
      <c r="I22439"/>
    </row>
    <row r="22440" spans="6:9" x14ac:dyDescent="0.3">
      <c r="F22440"/>
      <c r="G22440"/>
      <c r="H22440"/>
      <c r="I22440"/>
    </row>
    <row r="22441" spans="6:9" x14ac:dyDescent="0.3">
      <c r="F22441"/>
      <c r="G22441"/>
      <c r="H22441"/>
      <c r="I22441"/>
    </row>
    <row r="22442" spans="6:9" x14ac:dyDescent="0.3">
      <c r="F22442"/>
      <c r="G22442"/>
      <c r="H22442"/>
      <c r="I22442"/>
    </row>
    <row r="22443" spans="6:9" x14ac:dyDescent="0.3">
      <c r="F22443"/>
      <c r="G22443"/>
      <c r="H22443"/>
      <c r="I22443"/>
    </row>
    <row r="22444" spans="6:9" x14ac:dyDescent="0.3">
      <c r="F22444"/>
      <c r="G22444"/>
      <c r="H22444"/>
      <c r="I22444"/>
    </row>
    <row r="22445" spans="6:9" x14ac:dyDescent="0.3">
      <c r="F22445"/>
      <c r="G22445"/>
      <c r="H22445"/>
      <c r="I22445"/>
    </row>
    <row r="22446" spans="6:9" x14ac:dyDescent="0.3">
      <c r="F22446"/>
      <c r="G22446"/>
      <c r="H22446"/>
      <c r="I22446"/>
    </row>
    <row r="22447" spans="6:9" x14ac:dyDescent="0.3">
      <c r="F22447"/>
      <c r="G22447"/>
      <c r="H22447"/>
      <c r="I22447"/>
    </row>
    <row r="22448" spans="6:9" x14ac:dyDescent="0.3">
      <c r="F22448"/>
      <c r="G22448"/>
      <c r="H22448"/>
      <c r="I22448"/>
    </row>
    <row r="22449" spans="6:9" x14ac:dyDescent="0.3">
      <c r="F22449"/>
      <c r="G22449"/>
      <c r="H22449"/>
      <c r="I22449"/>
    </row>
    <row r="22450" spans="6:9" x14ac:dyDescent="0.3">
      <c r="F22450"/>
      <c r="G22450"/>
      <c r="H22450"/>
      <c r="I22450"/>
    </row>
    <row r="22451" spans="6:9" x14ac:dyDescent="0.3">
      <c r="F22451"/>
      <c r="G22451"/>
      <c r="H22451"/>
      <c r="I22451"/>
    </row>
    <row r="22452" spans="6:9" x14ac:dyDescent="0.3">
      <c r="F22452"/>
      <c r="G22452"/>
      <c r="H22452"/>
      <c r="I22452"/>
    </row>
    <row r="22453" spans="6:9" x14ac:dyDescent="0.3">
      <c r="F22453"/>
      <c r="G22453"/>
      <c r="H22453"/>
      <c r="I22453"/>
    </row>
    <row r="22454" spans="6:9" x14ac:dyDescent="0.3">
      <c r="F22454"/>
      <c r="G22454"/>
      <c r="H22454"/>
      <c r="I22454"/>
    </row>
    <row r="22455" spans="6:9" x14ac:dyDescent="0.3">
      <c r="F22455"/>
      <c r="G22455"/>
      <c r="H22455"/>
      <c r="I22455"/>
    </row>
    <row r="22456" spans="6:9" x14ac:dyDescent="0.3">
      <c r="F22456"/>
      <c r="G22456"/>
      <c r="H22456"/>
      <c r="I22456"/>
    </row>
    <row r="22457" spans="6:9" x14ac:dyDescent="0.3">
      <c r="F22457"/>
      <c r="G22457"/>
      <c r="H22457"/>
      <c r="I22457"/>
    </row>
    <row r="22458" spans="6:9" x14ac:dyDescent="0.3">
      <c r="F22458"/>
      <c r="G22458"/>
      <c r="H22458"/>
      <c r="I22458"/>
    </row>
    <row r="22459" spans="6:9" x14ac:dyDescent="0.3">
      <c r="F22459"/>
      <c r="G22459"/>
      <c r="H22459"/>
      <c r="I22459"/>
    </row>
    <row r="22460" spans="6:9" x14ac:dyDescent="0.3">
      <c r="F22460"/>
      <c r="G22460"/>
      <c r="H22460"/>
      <c r="I22460"/>
    </row>
    <row r="22461" spans="6:9" x14ac:dyDescent="0.3">
      <c r="F22461"/>
      <c r="G22461"/>
      <c r="H22461"/>
      <c r="I22461"/>
    </row>
    <row r="22462" spans="6:9" x14ac:dyDescent="0.3">
      <c r="F22462"/>
      <c r="G22462"/>
      <c r="H22462"/>
      <c r="I22462"/>
    </row>
    <row r="22463" spans="6:9" x14ac:dyDescent="0.3">
      <c r="F22463"/>
      <c r="G22463"/>
      <c r="H22463"/>
      <c r="I22463"/>
    </row>
    <row r="22464" spans="6:9" x14ac:dyDescent="0.3">
      <c r="F22464"/>
      <c r="G22464"/>
      <c r="H22464"/>
      <c r="I22464"/>
    </row>
    <row r="22465" spans="6:9" x14ac:dyDescent="0.3">
      <c r="F22465"/>
      <c r="G22465"/>
      <c r="H22465"/>
      <c r="I22465"/>
    </row>
    <row r="22466" spans="6:9" x14ac:dyDescent="0.3">
      <c r="F22466"/>
      <c r="G22466"/>
      <c r="H22466"/>
      <c r="I22466"/>
    </row>
    <row r="22467" spans="6:9" x14ac:dyDescent="0.3">
      <c r="F22467"/>
      <c r="G22467"/>
      <c r="H22467"/>
      <c r="I22467"/>
    </row>
    <row r="22468" spans="6:9" x14ac:dyDescent="0.3">
      <c r="F22468"/>
      <c r="G22468"/>
      <c r="H22468"/>
      <c r="I22468"/>
    </row>
    <row r="22469" spans="6:9" x14ac:dyDescent="0.3">
      <c r="F22469"/>
      <c r="G22469"/>
      <c r="H22469"/>
      <c r="I22469"/>
    </row>
    <row r="22470" spans="6:9" x14ac:dyDescent="0.3">
      <c r="F22470"/>
      <c r="G22470"/>
      <c r="H22470"/>
      <c r="I22470"/>
    </row>
    <row r="22471" spans="6:9" x14ac:dyDescent="0.3">
      <c r="F22471"/>
      <c r="G22471"/>
      <c r="H22471"/>
      <c r="I22471"/>
    </row>
    <row r="22472" spans="6:9" x14ac:dyDescent="0.3">
      <c r="F22472"/>
      <c r="G22472"/>
      <c r="H22472"/>
      <c r="I22472"/>
    </row>
    <row r="22473" spans="6:9" x14ac:dyDescent="0.3">
      <c r="F22473"/>
      <c r="G22473"/>
      <c r="H22473"/>
      <c r="I22473"/>
    </row>
    <row r="22474" spans="6:9" x14ac:dyDescent="0.3">
      <c r="F22474"/>
      <c r="G22474"/>
      <c r="H22474"/>
      <c r="I22474"/>
    </row>
    <row r="22475" spans="6:9" x14ac:dyDescent="0.3">
      <c r="F22475"/>
      <c r="G22475"/>
      <c r="H22475"/>
      <c r="I22475"/>
    </row>
    <row r="22476" spans="6:9" x14ac:dyDescent="0.3">
      <c r="F22476"/>
      <c r="G22476"/>
      <c r="H22476"/>
      <c r="I22476"/>
    </row>
    <row r="22477" spans="6:9" x14ac:dyDescent="0.3">
      <c r="F22477"/>
      <c r="G22477"/>
      <c r="H22477"/>
      <c r="I22477"/>
    </row>
    <row r="22478" spans="6:9" x14ac:dyDescent="0.3">
      <c r="F22478"/>
      <c r="G22478"/>
      <c r="H22478"/>
      <c r="I22478"/>
    </row>
    <row r="22479" spans="6:9" x14ac:dyDescent="0.3">
      <c r="F22479"/>
      <c r="G22479"/>
      <c r="H22479"/>
      <c r="I22479"/>
    </row>
    <row r="22480" spans="6:9" x14ac:dyDescent="0.3">
      <c r="F22480"/>
      <c r="G22480"/>
      <c r="H22480"/>
      <c r="I22480"/>
    </row>
    <row r="22481" spans="6:9" x14ac:dyDescent="0.3">
      <c r="F22481"/>
      <c r="G22481"/>
      <c r="H22481"/>
      <c r="I22481"/>
    </row>
    <row r="22482" spans="6:9" x14ac:dyDescent="0.3">
      <c r="F22482"/>
      <c r="G22482"/>
      <c r="H22482"/>
      <c r="I22482"/>
    </row>
    <row r="22483" spans="6:9" x14ac:dyDescent="0.3">
      <c r="F22483"/>
      <c r="G22483"/>
      <c r="H22483"/>
      <c r="I22483"/>
    </row>
    <row r="22484" spans="6:9" x14ac:dyDescent="0.3">
      <c r="F22484"/>
      <c r="G22484"/>
      <c r="H22484"/>
      <c r="I22484"/>
    </row>
    <row r="22485" spans="6:9" x14ac:dyDescent="0.3">
      <c r="F22485"/>
      <c r="G22485"/>
      <c r="H22485"/>
      <c r="I22485"/>
    </row>
    <row r="22486" spans="6:9" x14ac:dyDescent="0.3">
      <c r="F22486"/>
      <c r="G22486"/>
      <c r="H22486"/>
      <c r="I22486"/>
    </row>
    <row r="22487" spans="6:9" x14ac:dyDescent="0.3">
      <c r="F22487"/>
      <c r="G22487"/>
      <c r="H22487"/>
      <c r="I22487"/>
    </row>
    <row r="22488" spans="6:9" x14ac:dyDescent="0.3">
      <c r="F22488"/>
      <c r="G22488"/>
      <c r="H22488"/>
      <c r="I22488"/>
    </row>
    <row r="22489" spans="6:9" x14ac:dyDescent="0.3">
      <c r="F22489"/>
      <c r="G22489"/>
      <c r="H22489"/>
      <c r="I22489"/>
    </row>
    <row r="22490" spans="6:9" x14ac:dyDescent="0.3">
      <c r="F22490"/>
      <c r="G22490"/>
      <c r="H22490"/>
      <c r="I22490"/>
    </row>
    <row r="22491" spans="6:9" x14ac:dyDescent="0.3">
      <c r="F22491"/>
      <c r="G22491"/>
      <c r="H22491"/>
      <c r="I22491"/>
    </row>
    <row r="22492" spans="6:9" x14ac:dyDescent="0.3">
      <c r="F22492"/>
      <c r="G22492"/>
      <c r="H22492"/>
      <c r="I22492"/>
    </row>
    <row r="22493" spans="6:9" x14ac:dyDescent="0.3">
      <c r="F22493"/>
      <c r="G22493"/>
      <c r="H22493"/>
      <c r="I22493"/>
    </row>
    <row r="22494" spans="6:9" x14ac:dyDescent="0.3">
      <c r="F22494"/>
      <c r="G22494"/>
      <c r="H22494"/>
      <c r="I22494"/>
    </row>
    <row r="22495" spans="6:9" x14ac:dyDescent="0.3">
      <c r="F22495"/>
      <c r="G22495"/>
      <c r="H22495"/>
      <c r="I22495"/>
    </row>
    <row r="22496" spans="6:9" x14ac:dyDescent="0.3">
      <c r="F22496"/>
      <c r="G22496"/>
      <c r="H22496"/>
      <c r="I22496"/>
    </row>
    <row r="22497" spans="6:9" x14ac:dyDescent="0.3">
      <c r="F22497"/>
      <c r="G22497"/>
      <c r="H22497"/>
      <c r="I22497"/>
    </row>
    <row r="22498" spans="6:9" x14ac:dyDescent="0.3">
      <c r="F22498"/>
      <c r="G22498"/>
      <c r="H22498"/>
      <c r="I22498"/>
    </row>
    <row r="22499" spans="6:9" x14ac:dyDescent="0.3">
      <c r="F22499"/>
      <c r="G22499"/>
      <c r="H22499"/>
      <c r="I22499"/>
    </row>
    <row r="22500" spans="6:9" x14ac:dyDescent="0.3">
      <c r="F22500"/>
      <c r="G22500"/>
      <c r="H22500"/>
      <c r="I22500"/>
    </row>
    <row r="22501" spans="6:9" x14ac:dyDescent="0.3">
      <c r="F22501"/>
      <c r="G22501"/>
      <c r="H22501"/>
      <c r="I22501"/>
    </row>
    <row r="22502" spans="6:9" x14ac:dyDescent="0.3">
      <c r="F22502"/>
      <c r="G22502"/>
      <c r="H22502"/>
      <c r="I22502"/>
    </row>
    <row r="22503" spans="6:9" x14ac:dyDescent="0.3">
      <c r="F22503"/>
      <c r="G22503"/>
      <c r="H22503"/>
      <c r="I22503"/>
    </row>
    <row r="22504" spans="6:9" x14ac:dyDescent="0.3">
      <c r="F22504"/>
      <c r="G22504"/>
      <c r="H22504"/>
      <c r="I22504"/>
    </row>
    <row r="22505" spans="6:9" x14ac:dyDescent="0.3">
      <c r="F22505"/>
      <c r="G22505"/>
      <c r="H22505"/>
      <c r="I22505"/>
    </row>
    <row r="22506" spans="6:9" x14ac:dyDescent="0.3">
      <c r="F22506"/>
      <c r="G22506"/>
      <c r="H22506"/>
      <c r="I22506"/>
    </row>
    <row r="22507" spans="6:9" x14ac:dyDescent="0.3">
      <c r="F22507"/>
      <c r="G22507"/>
      <c r="H22507"/>
      <c r="I22507"/>
    </row>
    <row r="22508" spans="6:9" x14ac:dyDescent="0.3">
      <c r="F22508"/>
      <c r="G22508"/>
      <c r="H22508"/>
      <c r="I22508"/>
    </row>
    <row r="22509" spans="6:9" x14ac:dyDescent="0.3">
      <c r="F22509"/>
      <c r="G22509"/>
      <c r="H22509"/>
      <c r="I22509"/>
    </row>
    <row r="22510" spans="6:9" x14ac:dyDescent="0.3">
      <c r="F22510"/>
      <c r="G22510"/>
      <c r="H22510"/>
      <c r="I22510"/>
    </row>
    <row r="22511" spans="6:9" x14ac:dyDescent="0.3">
      <c r="F22511"/>
      <c r="G22511"/>
      <c r="H22511"/>
      <c r="I22511"/>
    </row>
    <row r="22512" spans="6:9" x14ac:dyDescent="0.3">
      <c r="F22512"/>
      <c r="G22512"/>
      <c r="H22512"/>
      <c r="I22512"/>
    </row>
    <row r="22513" spans="6:9" x14ac:dyDescent="0.3">
      <c r="F22513"/>
      <c r="G22513"/>
      <c r="H22513"/>
      <c r="I22513"/>
    </row>
    <row r="22514" spans="6:9" x14ac:dyDescent="0.3">
      <c r="F22514"/>
      <c r="G22514"/>
      <c r="H22514"/>
      <c r="I22514"/>
    </row>
    <row r="22515" spans="6:9" x14ac:dyDescent="0.3">
      <c r="F22515"/>
      <c r="G22515"/>
      <c r="H22515"/>
      <c r="I22515"/>
    </row>
    <row r="22516" spans="6:9" x14ac:dyDescent="0.3">
      <c r="F22516"/>
      <c r="G22516"/>
      <c r="H22516"/>
      <c r="I22516"/>
    </row>
    <row r="22517" spans="6:9" x14ac:dyDescent="0.3">
      <c r="F22517"/>
      <c r="G22517"/>
      <c r="H22517"/>
      <c r="I22517"/>
    </row>
    <row r="22518" spans="6:9" x14ac:dyDescent="0.3">
      <c r="F22518"/>
      <c r="G22518"/>
      <c r="H22518"/>
      <c r="I22518"/>
    </row>
    <row r="22519" spans="6:9" x14ac:dyDescent="0.3">
      <c r="F22519"/>
      <c r="G22519"/>
      <c r="H22519"/>
      <c r="I22519"/>
    </row>
    <row r="22520" spans="6:9" x14ac:dyDescent="0.3">
      <c r="F22520"/>
      <c r="G22520"/>
      <c r="H22520"/>
      <c r="I22520"/>
    </row>
    <row r="22521" spans="6:9" x14ac:dyDescent="0.3">
      <c r="F22521"/>
      <c r="G22521"/>
      <c r="H22521"/>
      <c r="I22521"/>
    </row>
    <row r="22522" spans="6:9" x14ac:dyDescent="0.3">
      <c r="F22522"/>
      <c r="G22522"/>
      <c r="H22522"/>
      <c r="I22522"/>
    </row>
    <row r="22523" spans="6:9" x14ac:dyDescent="0.3">
      <c r="F22523"/>
      <c r="G22523"/>
      <c r="H22523"/>
      <c r="I22523"/>
    </row>
    <row r="22524" spans="6:9" x14ac:dyDescent="0.3">
      <c r="F22524"/>
      <c r="G22524"/>
      <c r="H22524"/>
      <c r="I22524"/>
    </row>
    <row r="22525" spans="6:9" x14ac:dyDescent="0.3">
      <c r="F22525"/>
      <c r="G22525"/>
      <c r="H22525"/>
      <c r="I22525"/>
    </row>
    <row r="22526" spans="6:9" x14ac:dyDescent="0.3">
      <c r="F22526"/>
      <c r="G22526"/>
      <c r="H22526"/>
      <c r="I22526"/>
    </row>
    <row r="22527" spans="6:9" x14ac:dyDescent="0.3">
      <c r="F22527"/>
      <c r="G22527"/>
      <c r="H22527"/>
      <c r="I22527"/>
    </row>
    <row r="22528" spans="6:9" x14ac:dyDescent="0.3">
      <c r="F22528"/>
      <c r="G22528"/>
      <c r="H22528"/>
      <c r="I22528"/>
    </row>
    <row r="22529" spans="6:9" x14ac:dyDescent="0.3">
      <c r="F22529"/>
      <c r="G22529"/>
      <c r="H22529"/>
      <c r="I22529"/>
    </row>
    <row r="22530" spans="6:9" x14ac:dyDescent="0.3">
      <c r="F22530"/>
      <c r="G22530"/>
      <c r="H22530"/>
      <c r="I22530"/>
    </row>
    <row r="22531" spans="6:9" x14ac:dyDescent="0.3">
      <c r="F22531"/>
      <c r="G22531"/>
      <c r="H22531"/>
      <c r="I22531"/>
    </row>
    <row r="22532" spans="6:9" x14ac:dyDescent="0.3">
      <c r="F22532"/>
      <c r="G22532"/>
      <c r="H22532"/>
      <c r="I22532"/>
    </row>
    <row r="22533" spans="6:9" x14ac:dyDescent="0.3">
      <c r="F22533"/>
      <c r="G22533"/>
      <c r="H22533"/>
      <c r="I22533"/>
    </row>
    <row r="22534" spans="6:9" x14ac:dyDescent="0.3">
      <c r="F22534"/>
      <c r="G22534"/>
      <c r="H22534"/>
      <c r="I22534"/>
    </row>
    <row r="22535" spans="6:9" x14ac:dyDescent="0.3">
      <c r="F22535"/>
      <c r="G22535"/>
      <c r="H22535"/>
      <c r="I22535"/>
    </row>
    <row r="22536" spans="6:9" x14ac:dyDescent="0.3">
      <c r="F22536"/>
      <c r="G22536"/>
      <c r="H22536"/>
      <c r="I22536"/>
    </row>
    <row r="22537" spans="6:9" x14ac:dyDescent="0.3">
      <c r="F22537"/>
      <c r="G22537"/>
      <c r="H22537"/>
      <c r="I22537"/>
    </row>
    <row r="22538" spans="6:9" x14ac:dyDescent="0.3">
      <c r="F22538"/>
      <c r="G22538"/>
      <c r="H22538"/>
      <c r="I22538"/>
    </row>
    <row r="22539" spans="6:9" x14ac:dyDescent="0.3">
      <c r="F22539"/>
      <c r="G22539"/>
      <c r="H22539"/>
      <c r="I22539"/>
    </row>
    <row r="22540" spans="6:9" x14ac:dyDescent="0.3">
      <c r="F22540"/>
      <c r="G22540"/>
      <c r="H22540"/>
      <c r="I22540"/>
    </row>
    <row r="22541" spans="6:9" x14ac:dyDescent="0.3">
      <c r="F22541"/>
      <c r="G22541"/>
      <c r="H22541"/>
      <c r="I22541"/>
    </row>
    <row r="22542" spans="6:9" x14ac:dyDescent="0.3">
      <c r="F22542"/>
      <c r="G22542"/>
      <c r="H22542"/>
      <c r="I22542"/>
    </row>
    <row r="22543" spans="6:9" x14ac:dyDescent="0.3">
      <c r="F22543"/>
      <c r="G22543"/>
      <c r="H22543"/>
      <c r="I22543"/>
    </row>
    <row r="22544" spans="6:9" x14ac:dyDescent="0.3">
      <c r="F22544"/>
      <c r="G22544"/>
      <c r="H22544"/>
      <c r="I22544"/>
    </row>
    <row r="22545" spans="6:9" x14ac:dyDescent="0.3">
      <c r="F22545"/>
      <c r="G22545"/>
      <c r="H22545"/>
      <c r="I22545"/>
    </row>
    <row r="22546" spans="6:9" x14ac:dyDescent="0.3">
      <c r="F22546"/>
      <c r="G22546"/>
      <c r="H22546"/>
      <c r="I22546"/>
    </row>
    <row r="22547" spans="6:9" x14ac:dyDescent="0.3">
      <c r="F22547"/>
      <c r="G22547"/>
      <c r="H22547"/>
      <c r="I22547"/>
    </row>
    <row r="22548" spans="6:9" x14ac:dyDescent="0.3">
      <c r="F22548"/>
      <c r="G22548"/>
      <c r="H22548"/>
      <c r="I22548"/>
    </row>
    <row r="22549" spans="6:9" x14ac:dyDescent="0.3">
      <c r="F22549"/>
      <c r="G22549"/>
      <c r="H22549"/>
      <c r="I22549"/>
    </row>
    <row r="22550" spans="6:9" x14ac:dyDescent="0.3">
      <c r="F22550"/>
      <c r="G22550"/>
      <c r="H22550"/>
      <c r="I22550"/>
    </row>
    <row r="22551" spans="6:9" x14ac:dyDescent="0.3">
      <c r="F22551"/>
      <c r="G22551"/>
      <c r="H22551"/>
      <c r="I22551"/>
    </row>
    <row r="22552" spans="6:9" x14ac:dyDescent="0.3">
      <c r="F22552"/>
      <c r="G22552"/>
      <c r="H22552"/>
      <c r="I22552"/>
    </row>
    <row r="22553" spans="6:9" x14ac:dyDescent="0.3">
      <c r="F22553"/>
      <c r="G22553"/>
      <c r="H22553"/>
      <c r="I22553"/>
    </row>
    <row r="22554" spans="6:9" x14ac:dyDescent="0.3">
      <c r="F22554"/>
      <c r="G22554"/>
      <c r="H22554"/>
      <c r="I22554"/>
    </row>
    <row r="22555" spans="6:9" x14ac:dyDescent="0.3">
      <c r="F22555"/>
      <c r="G22555"/>
      <c r="H22555"/>
      <c r="I22555"/>
    </row>
    <row r="22556" spans="6:9" x14ac:dyDescent="0.3">
      <c r="F22556"/>
      <c r="G22556"/>
      <c r="H22556"/>
      <c r="I22556"/>
    </row>
    <row r="22557" spans="6:9" x14ac:dyDescent="0.3">
      <c r="F22557"/>
      <c r="G22557"/>
      <c r="H22557"/>
      <c r="I22557"/>
    </row>
    <row r="22558" spans="6:9" x14ac:dyDescent="0.3">
      <c r="F22558"/>
      <c r="G22558"/>
      <c r="H22558"/>
      <c r="I22558"/>
    </row>
    <row r="22559" spans="6:9" x14ac:dyDescent="0.3">
      <c r="F22559"/>
      <c r="G22559"/>
      <c r="H22559"/>
      <c r="I22559"/>
    </row>
    <row r="22560" spans="6:9" x14ac:dyDescent="0.3">
      <c r="F22560"/>
      <c r="G22560"/>
      <c r="H22560"/>
      <c r="I22560"/>
    </row>
    <row r="22561" spans="6:9" x14ac:dyDescent="0.3">
      <c r="F22561"/>
      <c r="G22561"/>
      <c r="H22561"/>
      <c r="I22561"/>
    </row>
    <row r="22562" spans="6:9" x14ac:dyDescent="0.3">
      <c r="F22562"/>
      <c r="G22562"/>
      <c r="H22562"/>
      <c r="I22562"/>
    </row>
    <row r="22563" spans="6:9" x14ac:dyDescent="0.3">
      <c r="F22563"/>
      <c r="G22563"/>
      <c r="H22563"/>
      <c r="I22563"/>
    </row>
    <row r="22564" spans="6:9" x14ac:dyDescent="0.3">
      <c r="F22564"/>
      <c r="G22564"/>
      <c r="H22564"/>
      <c r="I22564"/>
    </row>
    <row r="22565" spans="6:9" x14ac:dyDescent="0.3">
      <c r="F22565"/>
      <c r="G22565"/>
      <c r="H22565"/>
      <c r="I22565"/>
    </row>
    <row r="22566" spans="6:9" x14ac:dyDescent="0.3">
      <c r="F22566"/>
      <c r="G22566"/>
      <c r="H22566"/>
      <c r="I22566"/>
    </row>
    <row r="22567" spans="6:9" x14ac:dyDescent="0.3">
      <c r="F22567"/>
      <c r="G22567"/>
      <c r="H22567"/>
      <c r="I22567"/>
    </row>
    <row r="22568" spans="6:9" x14ac:dyDescent="0.3">
      <c r="F22568"/>
      <c r="G22568"/>
      <c r="H22568"/>
      <c r="I22568"/>
    </row>
    <row r="22569" spans="6:9" x14ac:dyDescent="0.3">
      <c r="F22569"/>
      <c r="G22569"/>
      <c r="H22569"/>
      <c r="I22569"/>
    </row>
    <row r="22570" spans="6:9" x14ac:dyDescent="0.3">
      <c r="F22570"/>
      <c r="G22570"/>
      <c r="H22570"/>
      <c r="I22570"/>
    </row>
    <row r="22571" spans="6:9" x14ac:dyDescent="0.3">
      <c r="F22571"/>
      <c r="G22571"/>
      <c r="H22571"/>
      <c r="I22571"/>
    </row>
    <row r="22572" spans="6:9" x14ac:dyDescent="0.3">
      <c r="F22572"/>
      <c r="G22572"/>
      <c r="H22572"/>
      <c r="I22572"/>
    </row>
    <row r="22573" spans="6:9" x14ac:dyDescent="0.3">
      <c r="F22573"/>
      <c r="G22573"/>
      <c r="H22573"/>
      <c r="I22573"/>
    </row>
    <row r="22574" spans="6:9" x14ac:dyDescent="0.3">
      <c r="F22574"/>
      <c r="G22574"/>
      <c r="H22574"/>
      <c r="I22574"/>
    </row>
    <row r="22575" spans="6:9" x14ac:dyDescent="0.3">
      <c r="F22575"/>
      <c r="G22575"/>
      <c r="H22575"/>
      <c r="I22575"/>
    </row>
    <row r="22576" spans="6:9" x14ac:dyDescent="0.3">
      <c r="F22576"/>
      <c r="G22576"/>
      <c r="H22576"/>
      <c r="I22576"/>
    </row>
    <row r="22577" spans="6:9" x14ac:dyDescent="0.3">
      <c r="F22577"/>
      <c r="G22577"/>
      <c r="H22577"/>
      <c r="I22577"/>
    </row>
    <row r="22578" spans="6:9" x14ac:dyDescent="0.3">
      <c r="F22578"/>
      <c r="G22578"/>
      <c r="H22578"/>
      <c r="I22578"/>
    </row>
    <row r="22579" spans="6:9" x14ac:dyDescent="0.3">
      <c r="F22579"/>
      <c r="G22579"/>
      <c r="H22579"/>
      <c r="I22579"/>
    </row>
    <row r="22580" spans="6:9" x14ac:dyDescent="0.3">
      <c r="F22580"/>
      <c r="G22580"/>
      <c r="H22580"/>
      <c r="I22580"/>
    </row>
    <row r="22581" spans="6:9" x14ac:dyDescent="0.3">
      <c r="F22581"/>
      <c r="G22581"/>
      <c r="H22581"/>
      <c r="I22581"/>
    </row>
    <row r="22582" spans="6:9" x14ac:dyDescent="0.3">
      <c r="F22582"/>
      <c r="G22582"/>
      <c r="H22582"/>
      <c r="I22582"/>
    </row>
    <row r="22583" spans="6:9" x14ac:dyDescent="0.3">
      <c r="F22583"/>
      <c r="G22583"/>
      <c r="H22583"/>
      <c r="I22583"/>
    </row>
    <row r="22584" spans="6:9" x14ac:dyDescent="0.3">
      <c r="F22584"/>
      <c r="G22584"/>
      <c r="H22584"/>
      <c r="I22584"/>
    </row>
    <row r="22585" spans="6:9" x14ac:dyDescent="0.3">
      <c r="F22585"/>
      <c r="G22585"/>
      <c r="H22585"/>
      <c r="I22585"/>
    </row>
    <row r="22586" spans="6:9" x14ac:dyDescent="0.3">
      <c r="F22586"/>
      <c r="G22586"/>
      <c r="H22586"/>
      <c r="I22586"/>
    </row>
    <row r="22587" spans="6:9" x14ac:dyDescent="0.3">
      <c r="F22587"/>
      <c r="G22587"/>
      <c r="H22587"/>
      <c r="I22587"/>
    </row>
    <row r="22588" spans="6:9" x14ac:dyDescent="0.3">
      <c r="F22588"/>
      <c r="G22588"/>
      <c r="H22588"/>
      <c r="I22588"/>
    </row>
    <row r="22589" spans="6:9" x14ac:dyDescent="0.3">
      <c r="F22589"/>
      <c r="G22589"/>
      <c r="H22589"/>
      <c r="I22589"/>
    </row>
    <row r="22590" spans="6:9" x14ac:dyDescent="0.3">
      <c r="F22590"/>
      <c r="G22590"/>
      <c r="H22590"/>
      <c r="I22590"/>
    </row>
    <row r="22591" spans="6:9" x14ac:dyDescent="0.3">
      <c r="F22591"/>
      <c r="G22591"/>
      <c r="H22591"/>
      <c r="I22591"/>
    </row>
    <row r="22592" spans="6:9" x14ac:dyDescent="0.3">
      <c r="F22592"/>
      <c r="G22592"/>
      <c r="H22592"/>
      <c r="I22592"/>
    </row>
    <row r="22593" spans="6:9" x14ac:dyDescent="0.3">
      <c r="F22593"/>
      <c r="G22593"/>
      <c r="H22593"/>
      <c r="I22593"/>
    </row>
    <row r="22594" spans="6:9" x14ac:dyDescent="0.3">
      <c r="F22594"/>
      <c r="G22594"/>
      <c r="H22594"/>
      <c r="I22594"/>
    </row>
    <row r="22595" spans="6:9" x14ac:dyDescent="0.3">
      <c r="F22595"/>
      <c r="G22595"/>
      <c r="H22595"/>
      <c r="I22595"/>
    </row>
    <row r="22596" spans="6:9" x14ac:dyDescent="0.3">
      <c r="F22596"/>
      <c r="G22596"/>
      <c r="H22596"/>
      <c r="I22596"/>
    </row>
    <row r="22597" spans="6:9" x14ac:dyDescent="0.3">
      <c r="F22597"/>
      <c r="G22597"/>
      <c r="H22597"/>
      <c r="I22597"/>
    </row>
    <row r="22598" spans="6:9" x14ac:dyDescent="0.3">
      <c r="F22598"/>
      <c r="G22598"/>
      <c r="H22598"/>
      <c r="I22598"/>
    </row>
    <row r="22599" spans="6:9" x14ac:dyDescent="0.3">
      <c r="F22599"/>
      <c r="G22599"/>
      <c r="H22599"/>
      <c r="I22599"/>
    </row>
    <row r="22600" spans="6:9" x14ac:dyDescent="0.3">
      <c r="F22600"/>
      <c r="G22600"/>
      <c r="H22600"/>
      <c r="I22600"/>
    </row>
    <row r="22601" spans="6:9" x14ac:dyDescent="0.3">
      <c r="F22601"/>
      <c r="G22601"/>
      <c r="H22601"/>
      <c r="I22601"/>
    </row>
    <row r="22602" spans="6:9" x14ac:dyDescent="0.3">
      <c r="F22602"/>
      <c r="G22602"/>
      <c r="H22602"/>
      <c r="I22602"/>
    </row>
    <row r="22603" spans="6:9" x14ac:dyDescent="0.3">
      <c r="F22603"/>
      <c r="G22603"/>
      <c r="H22603"/>
      <c r="I22603"/>
    </row>
    <row r="22604" spans="6:9" x14ac:dyDescent="0.3">
      <c r="F22604"/>
      <c r="G22604"/>
      <c r="H22604"/>
      <c r="I22604"/>
    </row>
    <row r="22605" spans="6:9" x14ac:dyDescent="0.3">
      <c r="F22605"/>
      <c r="G22605"/>
      <c r="H22605"/>
      <c r="I22605"/>
    </row>
    <row r="22606" spans="6:9" x14ac:dyDescent="0.3">
      <c r="F22606"/>
      <c r="G22606"/>
      <c r="H22606"/>
      <c r="I22606"/>
    </row>
    <row r="22607" spans="6:9" x14ac:dyDescent="0.3">
      <c r="F22607"/>
      <c r="G22607"/>
      <c r="H22607"/>
      <c r="I22607"/>
    </row>
    <row r="22608" spans="6:9" x14ac:dyDescent="0.3">
      <c r="F22608"/>
      <c r="G22608"/>
      <c r="H22608"/>
      <c r="I22608"/>
    </row>
    <row r="22609" spans="6:9" x14ac:dyDescent="0.3">
      <c r="F22609"/>
      <c r="G22609"/>
      <c r="H22609"/>
      <c r="I22609"/>
    </row>
    <row r="22610" spans="6:9" x14ac:dyDescent="0.3">
      <c r="F22610"/>
      <c r="G22610"/>
      <c r="H22610"/>
      <c r="I22610"/>
    </row>
    <row r="22611" spans="6:9" x14ac:dyDescent="0.3">
      <c r="F22611"/>
      <c r="G22611"/>
      <c r="H22611"/>
      <c r="I22611"/>
    </row>
    <row r="22612" spans="6:9" x14ac:dyDescent="0.3">
      <c r="F22612"/>
      <c r="G22612"/>
      <c r="H22612"/>
      <c r="I22612"/>
    </row>
    <row r="22613" spans="6:9" x14ac:dyDescent="0.3">
      <c r="F22613"/>
      <c r="G22613"/>
      <c r="H22613"/>
      <c r="I22613"/>
    </row>
    <row r="22614" spans="6:9" x14ac:dyDescent="0.3">
      <c r="F22614"/>
      <c r="G22614"/>
      <c r="H22614"/>
      <c r="I22614"/>
    </row>
    <row r="22615" spans="6:9" x14ac:dyDescent="0.3">
      <c r="F22615"/>
      <c r="G22615"/>
      <c r="H22615"/>
      <c r="I22615"/>
    </row>
    <row r="22616" spans="6:9" x14ac:dyDescent="0.3">
      <c r="F22616"/>
      <c r="G22616"/>
      <c r="H22616"/>
      <c r="I22616"/>
    </row>
    <row r="22617" spans="6:9" x14ac:dyDescent="0.3">
      <c r="F22617"/>
      <c r="G22617"/>
      <c r="H22617"/>
      <c r="I22617"/>
    </row>
    <row r="22618" spans="6:9" x14ac:dyDescent="0.3">
      <c r="F22618"/>
      <c r="G22618"/>
      <c r="H22618"/>
      <c r="I22618"/>
    </row>
    <row r="22619" spans="6:9" x14ac:dyDescent="0.3">
      <c r="F22619"/>
      <c r="G22619"/>
      <c r="H22619"/>
      <c r="I22619"/>
    </row>
    <row r="22620" spans="6:9" x14ac:dyDescent="0.3">
      <c r="F22620"/>
      <c r="G22620"/>
      <c r="H22620"/>
      <c r="I22620"/>
    </row>
    <row r="22621" spans="6:9" x14ac:dyDescent="0.3">
      <c r="F22621"/>
      <c r="G22621"/>
      <c r="H22621"/>
      <c r="I22621"/>
    </row>
    <row r="22622" spans="6:9" x14ac:dyDescent="0.3">
      <c r="F22622"/>
      <c r="G22622"/>
      <c r="H22622"/>
      <c r="I22622"/>
    </row>
    <row r="22623" spans="6:9" x14ac:dyDescent="0.3">
      <c r="F22623"/>
      <c r="G22623"/>
      <c r="H22623"/>
      <c r="I22623"/>
    </row>
    <row r="22624" spans="6:9" x14ac:dyDescent="0.3">
      <c r="F22624"/>
      <c r="G22624"/>
      <c r="H22624"/>
      <c r="I22624"/>
    </row>
    <row r="22625" spans="6:9" x14ac:dyDescent="0.3">
      <c r="F22625"/>
      <c r="G22625"/>
      <c r="H22625"/>
      <c r="I22625"/>
    </row>
    <row r="22626" spans="6:9" x14ac:dyDescent="0.3">
      <c r="F22626"/>
      <c r="G22626"/>
      <c r="H22626"/>
      <c r="I22626"/>
    </row>
    <row r="22627" spans="6:9" x14ac:dyDescent="0.3">
      <c r="F22627"/>
      <c r="G22627"/>
      <c r="H22627"/>
      <c r="I22627"/>
    </row>
    <row r="22628" spans="6:9" x14ac:dyDescent="0.3">
      <c r="F22628"/>
      <c r="G22628"/>
      <c r="H22628"/>
      <c r="I22628"/>
    </row>
    <row r="22629" spans="6:9" x14ac:dyDescent="0.3">
      <c r="F22629"/>
      <c r="G22629"/>
      <c r="H22629"/>
      <c r="I22629"/>
    </row>
    <row r="22630" spans="6:9" x14ac:dyDescent="0.3">
      <c r="F22630"/>
      <c r="G22630"/>
      <c r="H22630"/>
      <c r="I22630"/>
    </row>
    <row r="22631" spans="6:9" x14ac:dyDescent="0.3">
      <c r="F22631"/>
      <c r="G22631"/>
      <c r="H22631"/>
      <c r="I22631"/>
    </row>
    <row r="22632" spans="6:9" x14ac:dyDescent="0.3">
      <c r="F22632"/>
      <c r="G22632"/>
      <c r="H22632"/>
      <c r="I22632"/>
    </row>
    <row r="22633" spans="6:9" x14ac:dyDescent="0.3">
      <c r="F22633"/>
      <c r="G22633"/>
      <c r="H22633"/>
      <c r="I22633"/>
    </row>
    <row r="22634" spans="6:9" x14ac:dyDescent="0.3">
      <c r="F22634"/>
      <c r="G22634"/>
      <c r="H22634"/>
      <c r="I22634"/>
    </row>
    <row r="22635" spans="6:9" x14ac:dyDescent="0.3">
      <c r="F22635"/>
      <c r="G22635"/>
      <c r="H22635"/>
      <c r="I22635"/>
    </row>
    <row r="22636" spans="6:9" x14ac:dyDescent="0.3">
      <c r="F22636"/>
      <c r="G22636"/>
      <c r="H22636"/>
      <c r="I22636"/>
    </row>
    <row r="22637" spans="6:9" x14ac:dyDescent="0.3">
      <c r="F22637"/>
      <c r="G22637"/>
      <c r="H22637"/>
      <c r="I22637"/>
    </row>
    <row r="22638" spans="6:9" x14ac:dyDescent="0.3">
      <c r="F22638"/>
      <c r="G22638"/>
      <c r="H22638"/>
      <c r="I22638"/>
    </row>
    <row r="22639" spans="6:9" x14ac:dyDescent="0.3">
      <c r="F22639"/>
      <c r="G22639"/>
      <c r="H22639"/>
      <c r="I22639"/>
    </row>
    <row r="22640" spans="6:9" x14ac:dyDescent="0.3">
      <c r="F22640"/>
      <c r="G22640"/>
      <c r="H22640"/>
      <c r="I22640"/>
    </row>
    <row r="22641" spans="6:9" x14ac:dyDescent="0.3">
      <c r="F22641"/>
      <c r="G22641"/>
      <c r="H22641"/>
      <c r="I22641"/>
    </row>
    <row r="22642" spans="6:9" x14ac:dyDescent="0.3">
      <c r="F22642"/>
      <c r="G22642"/>
      <c r="H22642"/>
      <c r="I22642"/>
    </row>
    <row r="22643" spans="6:9" x14ac:dyDescent="0.3">
      <c r="F22643"/>
      <c r="G22643"/>
      <c r="H22643"/>
      <c r="I22643"/>
    </row>
    <row r="22644" spans="6:9" x14ac:dyDescent="0.3">
      <c r="F22644"/>
      <c r="G22644"/>
      <c r="H22644"/>
      <c r="I22644"/>
    </row>
    <row r="22645" spans="6:9" x14ac:dyDescent="0.3">
      <c r="F22645"/>
      <c r="G22645"/>
      <c r="H22645"/>
      <c r="I22645"/>
    </row>
    <row r="22646" spans="6:9" x14ac:dyDescent="0.3">
      <c r="F22646"/>
      <c r="G22646"/>
      <c r="H22646"/>
      <c r="I22646"/>
    </row>
    <row r="22647" spans="6:9" x14ac:dyDescent="0.3">
      <c r="F22647"/>
      <c r="G22647"/>
      <c r="H22647"/>
      <c r="I22647"/>
    </row>
    <row r="22648" spans="6:9" x14ac:dyDescent="0.3">
      <c r="F22648"/>
      <c r="G22648"/>
      <c r="H22648"/>
      <c r="I22648"/>
    </row>
    <row r="22649" spans="6:9" x14ac:dyDescent="0.3">
      <c r="F22649"/>
      <c r="G22649"/>
      <c r="H22649"/>
      <c r="I22649"/>
    </row>
    <row r="22650" spans="6:9" x14ac:dyDescent="0.3">
      <c r="F22650"/>
      <c r="G22650"/>
      <c r="H22650"/>
      <c r="I22650"/>
    </row>
    <row r="22651" spans="6:9" x14ac:dyDescent="0.3">
      <c r="F22651"/>
      <c r="G22651"/>
      <c r="H22651"/>
      <c r="I22651"/>
    </row>
    <row r="22652" spans="6:9" x14ac:dyDescent="0.3">
      <c r="F22652"/>
      <c r="G22652"/>
      <c r="H22652"/>
      <c r="I22652"/>
    </row>
    <row r="22653" spans="6:9" x14ac:dyDescent="0.3">
      <c r="F22653"/>
      <c r="G22653"/>
      <c r="H22653"/>
      <c r="I22653"/>
    </row>
    <row r="22654" spans="6:9" x14ac:dyDescent="0.3">
      <c r="F22654"/>
      <c r="G22654"/>
      <c r="H22654"/>
      <c r="I22654"/>
    </row>
    <row r="22655" spans="6:9" x14ac:dyDescent="0.3">
      <c r="F22655"/>
      <c r="G22655"/>
      <c r="H22655"/>
      <c r="I22655"/>
    </row>
    <row r="22656" spans="6:9" x14ac:dyDescent="0.3">
      <c r="F22656"/>
      <c r="G22656"/>
      <c r="H22656"/>
      <c r="I22656"/>
    </row>
    <row r="22657" spans="6:9" x14ac:dyDescent="0.3">
      <c r="F22657"/>
      <c r="G22657"/>
      <c r="H22657"/>
      <c r="I22657"/>
    </row>
    <row r="22658" spans="6:9" x14ac:dyDescent="0.3">
      <c r="F22658"/>
      <c r="G22658"/>
      <c r="H22658"/>
      <c r="I22658"/>
    </row>
    <row r="22659" spans="6:9" x14ac:dyDescent="0.3">
      <c r="F22659"/>
      <c r="G22659"/>
      <c r="H22659"/>
      <c r="I22659"/>
    </row>
    <row r="22660" spans="6:9" x14ac:dyDescent="0.3">
      <c r="F22660"/>
      <c r="G22660"/>
      <c r="H22660"/>
      <c r="I22660"/>
    </row>
    <row r="22661" spans="6:9" x14ac:dyDescent="0.3">
      <c r="F22661"/>
      <c r="G22661"/>
      <c r="H22661"/>
      <c r="I22661"/>
    </row>
    <row r="22662" spans="6:9" x14ac:dyDescent="0.3">
      <c r="F22662"/>
      <c r="G22662"/>
      <c r="H22662"/>
      <c r="I22662"/>
    </row>
    <row r="22663" spans="6:9" x14ac:dyDescent="0.3">
      <c r="F22663"/>
      <c r="G22663"/>
      <c r="H22663"/>
      <c r="I22663"/>
    </row>
    <row r="22664" spans="6:9" x14ac:dyDescent="0.3">
      <c r="F22664"/>
      <c r="G22664"/>
      <c r="H22664"/>
      <c r="I22664"/>
    </row>
    <row r="22665" spans="6:9" x14ac:dyDescent="0.3">
      <c r="F22665"/>
      <c r="G22665"/>
      <c r="H22665"/>
      <c r="I22665"/>
    </row>
    <row r="22666" spans="6:9" x14ac:dyDescent="0.3">
      <c r="F22666"/>
      <c r="G22666"/>
      <c r="H22666"/>
      <c r="I22666"/>
    </row>
    <row r="22667" spans="6:9" x14ac:dyDescent="0.3">
      <c r="F22667"/>
      <c r="G22667"/>
      <c r="H22667"/>
      <c r="I22667"/>
    </row>
    <row r="22668" spans="6:9" x14ac:dyDescent="0.3">
      <c r="F22668"/>
      <c r="G22668"/>
      <c r="H22668"/>
      <c r="I22668"/>
    </row>
    <row r="22669" spans="6:9" x14ac:dyDescent="0.3">
      <c r="F22669"/>
      <c r="G22669"/>
      <c r="H22669"/>
      <c r="I22669"/>
    </row>
    <row r="22670" spans="6:9" x14ac:dyDescent="0.3">
      <c r="F22670"/>
      <c r="G22670"/>
      <c r="H22670"/>
      <c r="I22670"/>
    </row>
    <row r="22671" spans="6:9" x14ac:dyDescent="0.3">
      <c r="F22671"/>
      <c r="G22671"/>
      <c r="H22671"/>
      <c r="I22671"/>
    </row>
    <row r="22672" spans="6:9" x14ac:dyDescent="0.3">
      <c r="F22672"/>
      <c r="G22672"/>
      <c r="H22672"/>
      <c r="I22672"/>
    </row>
    <row r="22673" spans="6:9" x14ac:dyDescent="0.3">
      <c r="F22673"/>
      <c r="G22673"/>
      <c r="H22673"/>
      <c r="I22673"/>
    </row>
    <row r="22674" spans="6:9" x14ac:dyDescent="0.3">
      <c r="F22674"/>
      <c r="G22674"/>
      <c r="H22674"/>
      <c r="I22674"/>
    </row>
    <row r="22675" spans="6:9" x14ac:dyDescent="0.3">
      <c r="F22675"/>
      <c r="G22675"/>
      <c r="H22675"/>
      <c r="I22675"/>
    </row>
    <row r="22676" spans="6:9" x14ac:dyDescent="0.3">
      <c r="F22676"/>
      <c r="G22676"/>
      <c r="H22676"/>
      <c r="I22676"/>
    </row>
    <row r="22677" spans="6:9" x14ac:dyDescent="0.3">
      <c r="F22677"/>
      <c r="G22677"/>
      <c r="H22677"/>
      <c r="I22677"/>
    </row>
    <row r="22678" spans="6:9" x14ac:dyDescent="0.3">
      <c r="F22678"/>
      <c r="G22678"/>
      <c r="H22678"/>
      <c r="I22678"/>
    </row>
    <row r="22679" spans="6:9" x14ac:dyDescent="0.3">
      <c r="F22679"/>
      <c r="G22679"/>
      <c r="H22679"/>
      <c r="I22679"/>
    </row>
    <row r="22680" spans="6:9" x14ac:dyDescent="0.3">
      <c r="F22680"/>
      <c r="G22680"/>
      <c r="H22680"/>
      <c r="I22680"/>
    </row>
    <row r="22681" spans="6:9" x14ac:dyDescent="0.3">
      <c r="F22681"/>
      <c r="G22681"/>
      <c r="H22681"/>
      <c r="I22681"/>
    </row>
    <row r="22682" spans="6:9" x14ac:dyDescent="0.3">
      <c r="F22682"/>
      <c r="G22682"/>
      <c r="H22682"/>
      <c r="I22682"/>
    </row>
    <row r="22683" spans="6:9" x14ac:dyDescent="0.3">
      <c r="F22683"/>
      <c r="G22683"/>
      <c r="H22683"/>
      <c r="I22683"/>
    </row>
    <row r="22684" spans="6:9" x14ac:dyDescent="0.3">
      <c r="F22684"/>
      <c r="G22684"/>
      <c r="H22684"/>
      <c r="I22684"/>
    </row>
    <row r="22685" spans="6:9" x14ac:dyDescent="0.3">
      <c r="F22685"/>
      <c r="G22685"/>
      <c r="H22685"/>
      <c r="I22685"/>
    </row>
    <row r="22686" spans="6:9" x14ac:dyDescent="0.3">
      <c r="F22686"/>
      <c r="G22686"/>
      <c r="H22686"/>
      <c r="I22686"/>
    </row>
    <row r="22687" spans="6:9" x14ac:dyDescent="0.3">
      <c r="F22687"/>
      <c r="G22687"/>
      <c r="H22687"/>
      <c r="I22687"/>
    </row>
    <row r="22688" spans="6:9" x14ac:dyDescent="0.3">
      <c r="F22688"/>
      <c r="G22688"/>
      <c r="H22688"/>
      <c r="I22688"/>
    </row>
    <row r="22689" spans="6:9" x14ac:dyDescent="0.3">
      <c r="F22689"/>
      <c r="G22689"/>
      <c r="H22689"/>
      <c r="I22689"/>
    </row>
    <row r="22690" spans="6:9" x14ac:dyDescent="0.3">
      <c r="F22690"/>
      <c r="G22690"/>
      <c r="H22690"/>
      <c r="I22690"/>
    </row>
    <row r="22691" spans="6:9" x14ac:dyDescent="0.3">
      <c r="F22691"/>
      <c r="G22691"/>
      <c r="H22691"/>
      <c r="I22691"/>
    </row>
    <row r="22692" spans="6:9" x14ac:dyDescent="0.3">
      <c r="F22692"/>
      <c r="G22692"/>
      <c r="H22692"/>
      <c r="I22692"/>
    </row>
    <row r="22693" spans="6:9" x14ac:dyDescent="0.3">
      <c r="F22693"/>
      <c r="G22693"/>
      <c r="H22693"/>
      <c r="I22693"/>
    </row>
    <row r="22694" spans="6:9" x14ac:dyDescent="0.3">
      <c r="F22694"/>
      <c r="G22694"/>
      <c r="H22694"/>
      <c r="I22694"/>
    </row>
    <row r="22695" spans="6:9" x14ac:dyDescent="0.3">
      <c r="F22695"/>
      <c r="G22695"/>
      <c r="H22695"/>
      <c r="I22695"/>
    </row>
    <row r="22696" spans="6:9" x14ac:dyDescent="0.3">
      <c r="F22696"/>
      <c r="G22696"/>
      <c r="H22696"/>
      <c r="I22696"/>
    </row>
    <row r="22697" spans="6:9" x14ac:dyDescent="0.3">
      <c r="F22697"/>
      <c r="G22697"/>
      <c r="H22697"/>
      <c r="I22697"/>
    </row>
    <row r="22698" spans="6:9" x14ac:dyDescent="0.3">
      <c r="F22698"/>
      <c r="G22698"/>
      <c r="H22698"/>
      <c r="I22698"/>
    </row>
    <row r="22699" spans="6:9" x14ac:dyDescent="0.3">
      <c r="F22699"/>
      <c r="G22699"/>
      <c r="H22699"/>
      <c r="I22699"/>
    </row>
    <row r="22700" spans="6:9" x14ac:dyDescent="0.3">
      <c r="F22700"/>
      <c r="G22700"/>
      <c r="H22700"/>
      <c r="I22700"/>
    </row>
    <row r="22701" spans="6:9" x14ac:dyDescent="0.3">
      <c r="F22701"/>
      <c r="G22701"/>
      <c r="H22701"/>
      <c r="I22701"/>
    </row>
    <row r="22702" spans="6:9" x14ac:dyDescent="0.3">
      <c r="F22702"/>
      <c r="G22702"/>
      <c r="H22702"/>
      <c r="I22702"/>
    </row>
    <row r="22703" spans="6:9" x14ac:dyDescent="0.3">
      <c r="F22703"/>
      <c r="G22703"/>
      <c r="H22703"/>
      <c r="I22703"/>
    </row>
    <row r="22704" spans="6:9" x14ac:dyDescent="0.3">
      <c r="F22704"/>
      <c r="G22704"/>
      <c r="H22704"/>
      <c r="I22704"/>
    </row>
    <row r="22705" spans="6:9" x14ac:dyDescent="0.3">
      <c r="F22705"/>
      <c r="G22705"/>
      <c r="H22705"/>
      <c r="I22705"/>
    </row>
    <row r="22706" spans="6:9" x14ac:dyDescent="0.3">
      <c r="F22706"/>
      <c r="G22706"/>
      <c r="H22706"/>
      <c r="I22706"/>
    </row>
    <row r="22707" spans="6:9" x14ac:dyDescent="0.3">
      <c r="F22707"/>
      <c r="G22707"/>
      <c r="H22707"/>
      <c r="I22707"/>
    </row>
    <row r="22708" spans="6:9" x14ac:dyDescent="0.3">
      <c r="F22708"/>
      <c r="G22708"/>
      <c r="H22708"/>
      <c r="I22708"/>
    </row>
    <row r="22709" spans="6:9" x14ac:dyDescent="0.3">
      <c r="F22709"/>
      <c r="G22709"/>
      <c r="H22709"/>
      <c r="I22709"/>
    </row>
    <row r="22710" spans="6:9" x14ac:dyDescent="0.3">
      <c r="F22710"/>
      <c r="G22710"/>
      <c r="H22710"/>
      <c r="I22710"/>
    </row>
    <row r="22711" spans="6:9" x14ac:dyDescent="0.3">
      <c r="F22711"/>
      <c r="G22711"/>
      <c r="H22711"/>
      <c r="I22711"/>
    </row>
    <row r="22712" spans="6:9" x14ac:dyDescent="0.3">
      <c r="F22712"/>
      <c r="G22712"/>
      <c r="H22712"/>
      <c r="I22712"/>
    </row>
    <row r="22713" spans="6:9" x14ac:dyDescent="0.3">
      <c r="F22713"/>
      <c r="G22713"/>
      <c r="H22713"/>
      <c r="I22713"/>
    </row>
    <row r="22714" spans="6:9" x14ac:dyDescent="0.3">
      <c r="F22714"/>
      <c r="G22714"/>
      <c r="H22714"/>
      <c r="I22714"/>
    </row>
    <row r="22715" spans="6:9" x14ac:dyDescent="0.3">
      <c r="F22715"/>
      <c r="G22715"/>
      <c r="H22715"/>
      <c r="I22715"/>
    </row>
    <row r="22716" spans="6:9" x14ac:dyDescent="0.3">
      <c r="F22716"/>
      <c r="G22716"/>
      <c r="H22716"/>
      <c r="I22716"/>
    </row>
    <row r="22717" spans="6:9" x14ac:dyDescent="0.3">
      <c r="F22717"/>
      <c r="G22717"/>
      <c r="H22717"/>
      <c r="I22717"/>
    </row>
    <row r="22718" spans="6:9" x14ac:dyDescent="0.3">
      <c r="F22718"/>
      <c r="G22718"/>
      <c r="H22718"/>
      <c r="I22718"/>
    </row>
    <row r="22719" spans="6:9" x14ac:dyDescent="0.3">
      <c r="F22719"/>
      <c r="G22719"/>
      <c r="H22719"/>
      <c r="I22719"/>
    </row>
    <row r="22720" spans="6:9" x14ac:dyDescent="0.3">
      <c r="F22720"/>
      <c r="G22720"/>
      <c r="H22720"/>
      <c r="I22720"/>
    </row>
    <row r="22721" spans="6:9" x14ac:dyDescent="0.3">
      <c r="F22721"/>
      <c r="G22721"/>
      <c r="H22721"/>
      <c r="I22721"/>
    </row>
    <row r="22722" spans="6:9" x14ac:dyDescent="0.3">
      <c r="F22722"/>
      <c r="G22722"/>
      <c r="H22722"/>
      <c r="I22722"/>
    </row>
    <row r="22723" spans="6:9" x14ac:dyDescent="0.3">
      <c r="F22723"/>
      <c r="G22723"/>
      <c r="H22723"/>
      <c r="I22723"/>
    </row>
    <row r="22724" spans="6:9" x14ac:dyDescent="0.3">
      <c r="F22724"/>
      <c r="G22724"/>
      <c r="H22724"/>
      <c r="I22724"/>
    </row>
    <row r="22725" spans="6:9" x14ac:dyDescent="0.3">
      <c r="F22725"/>
      <c r="G22725"/>
      <c r="H22725"/>
      <c r="I22725"/>
    </row>
    <row r="22726" spans="6:9" x14ac:dyDescent="0.3">
      <c r="F22726"/>
      <c r="G22726"/>
      <c r="H22726"/>
      <c r="I22726"/>
    </row>
    <row r="22727" spans="6:9" x14ac:dyDescent="0.3">
      <c r="F22727"/>
      <c r="G22727"/>
      <c r="H22727"/>
      <c r="I22727"/>
    </row>
    <row r="22728" spans="6:9" x14ac:dyDescent="0.3">
      <c r="F22728"/>
      <c r="G22728"/>
      <c r="H22728"/>
      <c r="I22728"/>
    </row>
    <row r="22729" spans="6:9" x14ac:dyDescent="0.3">
      <c r="F22729"/>
      <c r="G22729"/>
      <c r="H22729"/>
      <c r="I22729"/>
    </row>
    <row r="22730" spans="6:9" x14ac:dyDescent="0.3">
      <c r="F22730"/>
      <c r="G22730"/>
      <c r="H22730"/>
      <c r="I22730"/>
    </row>
    <row r="22731" spans="6:9" x14ac:dyDescent="0.3">
      <c r="F22731"/>
      <c r="G22731"/>
      <c r="H22731"/>
      <c r="I22731"/>
    </row>
    <row r="22732" spans="6:9" x14ac:dyDescent="0.3">
      <c r="F22732"/>
      <c r="G22732"/>
      <c r="H22732"/>
      <c r="I22732"/>
    </row>
    <row r="22733" spans="6:9" x14ac:dyDescent="0.3">
      <c r="F22733"/>
      <c r="G22733"/>
      <c r="H22733"/>
      <c r="I22733"/>
    </row>
    <row r="22734" spans="6:9" x14ac:dyDescent="0.3">
      <c r="F22734"/>
      <c r="G22734"/>
      <c r="H22734"/>
      <c r="I22734"/>
    </row>
    <row r="22735" spans="6:9" x14ac:dyDescent="0.3">
      <c r="F22735"/>
      <c r="G22735"/>
      <c r="H22735"/>
      <c r="I22735"/>
    </row>
    <row r="22736" spans="6:9" x14ac:dyDescent="0.3">
      <c r="F22736"/>
      <c r="G22736"/>
      <c r="H22736"/>
      <c r="I22736"/>
    </row>
    <row r="22737" spans="6:9" x14ac:dyDescent="0.3">
      <c r="F22737"/>
      <c r="G22737"/>
      <c r="H22737"/>
      <c r="I22737"/>
    </row>
    <row r="22738" spans="6:9" x14ac:dyDescent="0.3">
      <c r="F22738"/>
      <c r="G22738"/>
      <c r="H22738"/>
      <c r="I22738"/>
    </row>
    <row r="22739" spans="6:9" x14ac:dyDescent="0.3">
      <c r="F22739"/>
      <c r="G22739"/>
      <c r="H22739"/>
      <c r="I22739"/>
    </row>
    <row r="22740" spans="6:9" x14ac:dyDescent="0.3">
      <c r="F22740"/>
      <c r="G22740"/>
      <c r="H22740"/>
      <c r="I22740"/>
    </row>
    <row r="22741" spans="6:9" x14ac:dyDescent="0.3">
      <c r="F22741"/>
      <c r="G22741"/>
      <c r="H22741"/>
      <c r="I22741"/>
    </row>
    <row r="22742" spans="6:9" x14ac:dyDescent="0.3">
      <c r="F22742"/>
      <c r="G22742"/>
      <c r="H22742"/>
      <c r="I22742"/>
    </row>
    <row r="22743" spans="6:9" x14ac:dyDescent="0.3">
      <c r="F22743"/>
      <c r="G22743"/>
      <c r="H22743"/>
      <c r="I22743"/>
    </row>
    <row r="22744" spans="6:9" x14ac:dyDescent="0.3">
      <c r="F22744"/>
      <c r="G22744"/>
      <c r="H22744"/>
      <c r="I22744"/>
    </row>
    <row r="22745" spans="6:9" x14ac:dyDescent="0.3">
      <c r="F22745"/>
      <c r="G22745"/>
      <c r="H22745"/>
      <c r="I22745"/>
    </row>
    <row r="22746" spans="6:9" x14ac:dyDescent="0.3">
      <c r="F22746"/>
      <c r="G22746"/>
      <c r="H22746"/>
      <c r="I22746"/>
    </row>
    <row r="22747" spans="6:9" x14ac:dyDescent="0.3">
      <c r="F22747"/>
      <c r="G22747"/>
      <c r="H22747"/>
      <c r="I22747"/>
    </row>
    <row r="22748" spans="6:9" x14ac:dyDescent="0.3">
      <c r="F22748"/>
      <c r="G22748"/>
      <c r="H22748"/>
      <c r="I22748"/>
    </row>
    <row r="22749" spans="6:9" x14ac:dyDescent="0.3">
      <c r="F22749"/>
      <c r="G22749"/>
      <c r="H22749"/>
      <c r="I22749"/>
    </row>
    <row r="22750" spans="6:9" x14ac:dyDescent="0.3">
      <c r="F22750"/>
      <c r="G22750"/>
      <c r="H22750"/>
      <c r="I22750"/>
    </row>
    <row r="22751" spans="6:9" x14ac:dyDescent="0.3">
      <c r="F22751"/>
      <c r="G22751"/>
      <c r="H22751"/>
      <c r="I22751"/>
    </row>
    <row r="22752" spans="6:9" x14ac:dyDescent="0.3">
      <c r="F22752"/>
      <c r="G22752"/>
      <c r="H22752"/>
      <c r="I22752"/>
    </row>
    <row r="22753" spans="6:9" x14ac:dyDescent="0.3">
      <c r="F22753"/>
      <c r="G22753"/>
      <c r="H22753"/>
      <c r="I22753"/>
    </row>
    <row r="22754" spans="6:9" x14ac:dyDescent="0.3">
      <c r="F22754"/>
      <c r="G22754"/>
      <c r="H22754"/>
      <c r="I22754"/>
    </row>
    <row r="22755" spans="6:9" x14ac:dyDescent="0.3">
      <c r="F22755"/>
      <c r="G22755"/>
      <c r="H22755"/>
      <c r="I22755"/>
    </row>
    <row r="22756" spans="6:9" x14ac:dyDescent="0.3">
      <c r="F22756"/>
      <c r="G22756"/>
      <c r="H22756"/>
      <c r="I22756"/>
    </row>
    <row r="22757" spans="6:9" x14ac:dyDescent="0.3">
      <c r="F22757"/>
      <c r="G22757"/>
      <c r="H22757"/>
      <c r="I22757"/>
    </row>
    <row r="22758" spans="6:9" x14ac:dyDescent="0.3">
      <c r="F22758"/>
      <c r="G22758"/>
      <c r="H22758"/>
      <c r="I22758"/>
    </row>
    <row r="22759" spans="6:9" x14ac:dyDescent="0.3">
      <c r="F22759"/>
      <c r="G22759"/>
      <c r="H22759"/>
      <c r="I22759"/>
    </row>
    <row r="22760" spans="6:9" x14ac:dyDescent="0.3">
      <c r="F22760"/>
      <c r="G22760"/>
      <c r="H22760"/>
      <c r="I22760"/>
    </row>
    <row r="22761" spans="6:9" x14ac:dyDescent="0.3">
      <c r="F22761"/>
      <c r="G22761"/>
      <c r="H22761"/>
      <c r="I22761"/>
    </row>
    <row r="22762" spans="6:9" x14ac:dyDescent="0.3">
      <c r="F22762"/>
      <c r="G22762"/>
      <c r="H22762"/>
      <c r="I22762"/>
    </row>
    <row r="22763" spans="6:9" x14ac:dyDescent="0.3">
      <c r="F22763"/>
      <c r="G22763"/>
      <c r="H22763"/>
      <c r="I22763"/>
    </row>
    <row r="22764" spans="6:9" x14ac:dyDescent="0.3">
      <c r="F22764"/>
      <c r="G22764"/>
      <c r="H22764"/>
      <c r="I22764"/>
    </row>
    <row r="22765" spans="6:9" x14ac:dyDescent="0.3">
      <c r="F22765"/>
      <c r="G22765"/>
      <c r="H22765"/>
      <c r="I22765"/>
    </row>
    <row r="22766" spans="6:9" x14ac:dyDescent="0.3">
      <c r="F22766"/>
      <c r="G22766"/>
      <c r="H22766"/>
      <c r="I22766"/>
    </row>
    <row r="22767" spans="6:9" x14ac:dyDescent="0.3">
      <c r="F22767"/>
      <c r="G22767"/>
      <c r="H22767"/>
      <c r="I22767"/>
    </row>
    <row r="22768" spans="6:9" x14ac:dyDescent="0.3">
      <c r="F22768"/>
      <c r="G22768"/>
      <c r="H22768"/>
      <c r="I22768"/>
    </row>
    <row r="22769" spans="6:9" x14ac:dyDescent="0.3">
      <c r="F22769"/>
      <c r="G22769"/>
      <c r="H22769"/>
      <c r="I22769"/>
    </row>
    <row r="22770" spans="6:9" x14ac:dyDescent="0.3">
      <c r="F22770"/>
      <c r="G22770"/>
      <c r="H22770"/>
      <c r="I22770"/>
    </row>
    <row r="22771" spans="6:9" x14ac:dyDescent="0.3">
      <c r="F22771"/>
      <c r="G22771"/>
      <c r="H22771"/>
      <c r="I22771"/>
    </row>
    <row r="22772" spans="6:9" x14ac:dyDescent="0.3">
      <c r="F22772"/>
      <c r="G22772"/>
      <c r="H22772"/>
      <c r="I22772"/>
    </row>
    <row r="22773" spans="6:9" x14ac:dyDescent="0.3">
      <c r="F22773"/>
      <c r="G22773"/>
      <c r="H22773"/>
      <c r="I22773"/>
    </row>
    <row r="22774" spans="6:9" x14ac:dyDescent="0.3">
      <c r="F22774"/>
      <c r="G22774"/>
      <c r="H22774"/>
      <c r="I22774"/>
    </row>
    <row r="22775" spans="6:9" x14ac:dyDescent="0.3">
      <c r="F22775"/>
      <c r="G22775"/>
      <c r="H22775"/>
      <c r="I22775"/>
    </row>
    <row r="22776" spans="6:9" x14ac:dyDescent="0.3">
      <c r="F22776"/>
      <c r="G22776"/>
      <c r="H22776"/>
      <c r="I22776"/>
    </row>
    <row r="22777" spans="6:9" x14ac:dyDescent="0.3">
      <c r="F22777"/>
      <c r="G22777"/>
      <c r="H22777"/>
      <c r="I22777"/>
    </row>
    <row r="22778" spans="6:9" x14ac:dyDescent="0.3">
      <c r="F22778"/>
      <c r="G22778"/>
      <c r="H22778"/>
      <c r="I22778"/>
    </row>
    <row r="22779" spans="6:9" x14ac:dyDescent="0.3">
      <c r="F22779"/>
      <c r="G22779"/>
      <c r="H22779"/>
      <c r="I22779"/>
    </row>
    <row r="22780" spans="6:9" x14ac:dyDescent="0.3">
      <c r="F22780"/>
      <c r="G22780"/>
      <c r="H22780"/>
      <c r="I22780"/>
    </row>
    <row r="22781" spans="6:9" x14ac:dyDescent="0.3">
      <c r="F22781"/>
      <c r="G22781"/>
      <c r="H22781"/>
      <c r="I22781"/>
    </row>
    <row r="22782" spans="6:9" x14ac:dyDescent="0.3">
      <c r="F22782"/>
      <c r="G22782"/>
      <c r="H22782"/>
      <c r="I22782"/>
    </row>
    <row r="22783" spans="6:9" x14ac:dyDescent="0.3">
      <c r="F22783"/>
      <c r="G22783"/>
      <c r="H22783"/>
      <c r="I22783"/>
    </row>
    <row r="22784" spans="6:9" x14ac:dyDescent="0.3">
      <c r="F22784"/>
      <c r="G22784"/>
      <c r="H22784"/>
      <c r="I22784"/>
    </row>
    <row r="22785" spans="6:9" x14ac:dyDescent="0.3">
      <c r="F22785"/>
      <c r="G22785"/>
      <c r="H22785"/>
      <c r="I22785"/>
    </row>
    <row r="22786" spans="6:9" x14ac:dyDescent="0.3">
      <c r="F22786"/>
      <c r="G22786"/>
      <c r="H22786"/>
      <c r="I22786"/>
    </row>
    <row r="22787" spans="6:9" x14ac:dyDescent="0.3">
      <c r="F22787"/>
      <c r="G22787"/>
      <c r="H22787"/>
      <c r="I22787"/>
    </row>
    <row r="22788" spans="6:9" x14ac:dyDescent="0.3">
      <c r="F22788"/>
      <c r="G22788"/>
      <c r="H22788"/>
      <c r="I22788"/>
    </row>
    <row r="22789" spans="6:9" x14ac:dyDescent="0.3">
      <c r="F22789"/>
      <c r="G22789"/>
      <c r="H22789"/>
      <c r="I22789"/>
    </row>
    <row r="22790" spans="6:9" x14ac:dyDescent="0.3">
      <c r="F22790"/>
      <c r="G22790"/>
      <c r="H22790"/>
      <c r="I22790"/>
    </row>
    <row r="22791" spans="6:9" x14ac:dyDescent="0.3">
      <c r="F22791"/>
      <c r="G22791"/>
      <c r="H22791"/>
      <c r="I22791"/>
    </row>
    <row r="22792" spans="6:9" x14ac:dyDescent="0.3">
      <c r="F22792"/>
      <c r="G22792"/>
      <c r="H22792"/>
      <c r="I22792"/>
    </row>
    <row r="22793" spans="6:9" x14ac:dyDescent="0.3">
      <c r="F22793"/>
      <c r="G22793"/>
      <c r="H22793"/>
      <c r="I22793"/>
    </row>
    <row r="22794" spans="6:9" x14ac:dyDescent="0.3">
      <c r="F22794"/>
      <c r="G22794"/>
      <c r="H22794"/>
      <c r="I22794"/>
    </row>
    <row r="22795" spans="6:9" x14ac:dyDescent="0.3">
      <c r="F22795"/>
      <c r="G22795"/>
      <c r="H22795"/>
      <c r="I22795"/>
    </row>
    <row r="22796" spans="6:9" x14ac:dyDescent="0.3">
      <c r="F22796"/>
      <c r="G22796"/>
      <c r="H22796"/>
      <c r="I22796"/>
    </row>
    <row r="22797" spans="6:9" x14ac:dyDescent="0.3">
      <c r="F22797"/>
      <c r="G22797"/>
      <c r="H22797"/>
      <c r="I22797"/>
    </row>
    <row r="22798" spans="6:9" x14ac:dyDescent="0.3">
      <c r="F22798"/>
      <c r="G22798"/>
      <c r="H22798"/>
      <c r="I22798"/>
    </row>
    <row r="22799" spans="6:9" x14ac:dyDescent="0.3">
      <c r="F22799"/>
      <c r="G22799"/>
      <c r="H22799"/>
      <c r="I22799"/>
    </row>
    <row r="22800" spans="6:9" x14ac:dyDescent="0.3">
      <c r="F22800"/>
      <c r="G22800"/>
      <c r="H22800"/>
      <c r="I22800"/>
    </row>
    <row r="22801" spans="6:9" x14ac:dyDescent="0.3">
      <c r="F22801"/>
      <c r="G22801"/>
      <c r="H22801"/>
      <c r="I22801"/>
    </row>
    <row r="22802" spans="6:9" x14ac:dyDescent="0.3">
      <c r="F22802"/>
      <c r="G22802"/>
      <c r="H22802"/>
      <c r="I22802"/>
    </row>
    <row r="22803" spans="6:9" x14ac:dyDescent="0.3">
      <c r="F22803"/>
      <c r="G22803"/>
      <c r="H22803"/>
      <c r="I22803"/>
    </row>
    <row r="22804" spans="6:9" x14ac:dyDescent="0.3">
      <c r="F22804"/>
      <c r="G22804"/>
      <c r="H22804"/>
      <c r="I22804"/>
    </row>
    <row r="22805" spans="6:9" x14ac:dyDescent="0.3">
      <c r="F22805"/>
      <c r="G22805"/>
      <c r="H22805"/>
      <c r="I22805"/>
    </row>
    <row r="22806" spans="6:9" x14ac:dyDescent="0.3">
      <c r="F22806"/>
      <c r="G22806"/>
      <c r="H22806"/>
      <c r="I22806"/>
    </row>
    <row r="22807" spans="6:9" x14ac:dyDescent="0.3">
      <c r="F22807"/>
      <c r="G22807"/>
      <c r="H22807"/>
      <c r="I22807"/>
    </row>
    <row r="22808" spans="6:9" x14ac:dyDescent="0.3">
      <c r="F22808"/>
      <c r="G22808"/>
      <c r="H22808"/>
      <c r="I22808"/>
    </row>
    <row r="22809" spans="6:9" x14ac:dyDescent="0.3">
      <c r="F22809"/>
      <c r="G22809"/>
      <c r="H22809"/>
      <c r="I22809"/>
    </row>
    <row r="22810" spans="6:9" x14ac:dyDescent="0.3">
      <c r="F22810"/>
      <c r="G22810"/>
      <c r="H22810"/>
      <c r="I22810"/>
    </row>
    <row r="22811" spans="6:9" x14ac:dyDescent="0.3">
      <c r="F22811"/>
      <c r="G22811"/>
      <c r="H22811"/>
      <c r="I22811"/>
    </row>
    <row r="22812" spans="6:9" x14ac:dyDescent="0.3">
      <c r="F22812"/>
      <c r="G22812"/>
      <c r="H22812"/>
      <c r="I22812"/>
    </row>
    <row r="22813" spans="6:9" x14ac:dyDescent="0.3">
      <c r="F22813"/>
      <c r="G22813"/>
      <c r="H22813"/>
      <c r="I22813"/>
    </row>
    <row r="22814" spans="6:9" x14ac:dyDescent="0.3">
      <c r="F22814"/>
      <c r="G22814"/>
      <c r="H22814"/>
      <c r="I22814"/>
    </row>
    <row r="22815" spans="6:9" x14ac:dyDescent="0.3">
      <c r="F22815"/>
      <c r="G22815"/>
      <c r="H22815"/>
      <c r="I22815"/>
    </row>
    <row r="22816" spans="6:9" x14ac:dyDescent="0.3">
      <c r="F22816"/>
      <c r="G22816"/>
      <c r="H22816"/>
      <c r="I22816"/>
    </row>
    <row r="22817" spans="6:9" x14ac:dyDescent="0.3">
      <c r="F22817"/>
      <c r="G22817"/>
      <c r="H22817"/>
      <c r="I22817"/>
    </row>
    <row r="22818" spans="6:9" x14ac:dyDescent="0.3">
      <c r="F22818"/>
      <c r="G22818"/>
      <c r="H22818"/>
      <c r="I22818"/>
    </row>
    <row r="22819" spans="6:9" x14ac:dyDescent="0.3">
      <c r="F22819"/>
      <c r="G22819"/>
      <c r="H22819"/>
      <c r="I22819"/>
    </row>
    <row r="22820" spans="6:9" x14ac:dyDescent="0.3">
      <c r="F22820"/>
      <c r="G22820"/>
      <c r="H22820"/>
      <c r="I22820"/>
    </row>
    <row r="22821" spans="6:9" x14ac:dyDescent="0.3">
      <c r="F22821"/>
      <c r="G22821"/>
      <c r="H22821"/>
      <c r="I22821"/>
    </row>
    <row r="22822" spans="6:9" x14ac:dyDescent="0.3">
      <c r="F22822"/>
      <c r="G22822"/>
      <c r="H22822"/>
      <c r="I22822"/>
    </row>
    <row r="22823" spans="6:9" x14ac:dyDescent="0.3">
      <c r="F22823"/>
      <c r="G22823"/>
      <c r="H22823"/>
      <c r="I22823"/>
    </row>
    <row r="22824" spans="6:9" x14ac:dyDescent="0.3">
      <c r="F22824"/>
      <c r="G22824"/>
      <c r="H22824"/>
      <c r="I22824"/>
    </row>
    <row r="22825" spans="6:9" x14ac:dyDescent="0.3">
      <c r="F22825"/>
      <c r="G22825"/>
      <c r="H22825"/>
      <c r="I22825"/>
    </row>
    <row r="22826" spans="6:9" x14ac:dyDescent="0.3">
      <c r="F22826"/>
      <c r="G22826"/>
      <c r="H22826"/>
      <c r="I22826"/>
    </row>
    <row r="22827" spans="6:9" x14ac:dyDescent="0.3">
      <c r="F22827"/>
      <c r="G22827"/>
      <c r="H22827"/>
      <c r="I22827"/>
    </row>
    <row r="22828" spans="6:9" x14ac:dyDescent="0.3">
      <c r="F22828"/>
      <c r="G22828"/>
      <c r="H22828"/>
      <c r="I22828"/>
    </row>
    <row r="22829" spans="6:9" x14ac:dyDescent="0.3">
      <c r="F22829"/>
      <c r="G22829"/>
      <c r="H22829"/>
      <c r="I22829"/>
    </row>
    <row r="22830" spans="6:9" x14ac:dyDescent="0.3">
      <c r="F22830"/>
      <c r="G22830"/>
      <c r="H22830"/>
      <c r="I22830"/>
    </row>
    <row r="22831" spans="6:9" x14ac:dyDescent="0.3">
      <c r="F22831"/>
      <c r="G22831"/>
      <c r="H22831"/>
      <c r="I22831"/>
    </row>
    <row r="22832" spans="6:9" x14ac:dyDescent="0.3">
      <c r="F22832"/>
      <c r="G22832"/>
      <c r="H22832"/>
      <c r="I22832"/>
    </row>
    <row r="22833" spans="6:9" x14ac:dyDescent="0.3">
      <c r="F22833"/>
      <c r="G22833"/>
      <c r="H22833"/>
      <c r="I22833"/>
    </row>
    <row r="22834" spans="6:9" x14ac:dyDescent="0.3">
      <c r="F22834"/>
      <c r="G22834"/>
      <c r="H22834"/>
      <c r="I22834"/>
    </row>
    <row r="22835" spans="6:9" x14ac:dyDescent="0.3">
      <c r="F22835"/>
      <c r="G22835"/>
      <c r="H22835"/>
      <c r="I22835"/>
    </row>
    <row r="22836" spans="6:9" x14ac:dyDescent="0.3">
      <c r="F22836"/>
      <c r="G22836"/>
      <c r="H22836"/>
      <c r="I22836"/>
    </row>
    <row r="22837" spans="6:9" x14ac:dyDescent="0.3">
      <c r="F22837"/>
      <c r="G22837"/>
      <c r="H22837"/>
      <c r="I22837"/>
    </row>
    <row r="22838" spans="6:9" x14ac:dyDescent="0.3">
      <c r="F22838"/>
      <c r="G22838"/>
      <c r="H22838"/>
      <c r="I22838"/>
    </row>
    <row r="22839" spans="6:9" x14ac:dyDescent="0.3">
      <c r="F22839"/>
      <c r="G22839"/>
      <c r="H22839"/>
      <c r="I22839"/>
    </row>
    <row r="22840" spans="6:9" x14ac:dyDescent="0.3">
      <c r="F22840"/>
      <c r="G22840"/>
      <c r="H22840"/>
      <c r="I22840"/>
    </row>
    <row r="22841" spans="6:9" x14ac:dyDescent="0.3">
      <c r="F22841"/>
      <c r="G22841"/>
      <c r="H22841"/>
      <c r="I22841"/>
    </row>
    <row r="22842" spans="6:9" x14ac:dyDescent="0.3">
      <c r="F22842"/>
      <c r="G22842"/>
      <c r="H22842"/>
      <c r="I22842"/>
    </row>
    <row r="22843" spans="6:9" x14ac:dyDescent="0.3">
      <c r="F22843"/>
      <c r="G22843"/>
      <c r="H22843"/>
      <c r="I22843"/>
    </row>
    <row r="22844" spans="6:9" x14ac:dyDescent="0.3">
      <c r="F22844"/>
      <c r="G22844"/>
      <c r="H22844"/>
      <c r="I22844"/>
    </row>
    <row r="22845" spans="6:9" x14ac:dyDescent="0.3">
      <c r="F22845"/>
      <c r="G22845"/>
      <c r="H22845"/>
      <c r="I22845"/>
    </row>
    <row r="22846" spans="6:9" x14ac:dyDescent="0.3">
      <c r="F22846"/>
      <c r="G22846"/>
      <c r="H22846"/>
      <c r="I22846"/>
    </row>
    <row r="22847" spans="6:9" x14ac:dyDescent="0.3">
      <c r="F22847"/>
      <c r="G22847"/>
      <c r="H22847"/>
      <c r="I22847"/>
    </row>
    <row r="22848" spans="6:9" x14ac:dyDescent="0.3">
      <c r="F22848"/>
      <c r="G22848"/>
      <c r="H22848"/>
      <c r="I22848"/>
    </row>
    <row r="22849" spans="6:9" x14ac:dyDescent="0.3">
      <c r="F22849"/>
      <c r="G22849"/>
      <c r="H22849"/>
      <c r="I22849"/>
    </row>
    <row r="22850" spans="6:9" x14ac:dyDescent="0.3">
      <c r="F22850"/>
      <c r="G22850"/>
      <c r="H22850"/>
      <c r="I22850"/>
    </row>
    <row r="22851" spans="6:9" x14ac:dyDescent="0.3">
      <c r="F22851"/>
      <c r="G22851"/>
      <c r="H22851"/>
      <c r="I22851"/>
    </row>
    <row r="22852" spans="6:9" x14ac:dyDescent="0.3">
      <c r="F22852"/>
      <c r="G22852"/>
      <c r="H22852"/>
      <c r="I22852"/>
    </row>
    <row r="22853" spans="6:9" x14ac:dyDescent="0.3">
      <c r="F22853"/>
      <c r="G22853"/>
      <c r="H22853"/>
      <c r="I22853"/>
    </row>
    <row r="22854" spans="6:9" x14ac:dyDescent="0.3">
      <c r="F22854"/>
      <c r="G22854"/>
      <c r="H22854"/>
      <c r="I22854"/>
    </row>
    <row r="22855" spans="6:9" x14ac:dyDescent="0.3">
      <c r="F22855"/>
      <c r="G22855"/>
      <c r="H22855"/>
      <c r="I22855"/>
    </row>
    <row r="22856" spans="6:9" x14ac:dyDescent="0.3">
      <c r="F22856"/>
      <c r="G22856"/>
      <c r="H22856"/>
      <c r="I22856"/>
    </row>
    <row r="22857" spans="6:9" x14ac:dyDescent="0.3">
      <c r="F22857"/>
      <c r="G22857"/>
      <c r="H22857"/>
      <c r="I22857"/>
    </row>
    <row r="22858" spans="6:9" x14ac:dyDescent="0.3">
      <c r="F22858"/>
      <c r="G22858"/>
      <c r="H22858"/>
      <c r="I22858"/>
    </row>
    <row r="22859" spans="6:9" x14ac:dyDescent="0.3">
      <c r="F22859"/>
      <c r="G22859"/>
      <c r="H22859"/>
      <c r="I22859"/>
    </row>
    <row r="22860" spans="6:9" x14ac:dyDescent="0.3">
      <c r="F22860"/>
      <c r="G22860"/>
      <c r="H22860"/>
      <c r="I22860"/>
    </row>
    <row r="22861" spans="6:9" x14ac:dyDescent="0.3">
      <c r="F22861"/>
      <c r="G22861"/>
      <c r="H22861"/>
      <c r="I22861"/>
    </row>
    <row r="22862" spans="6:9" x14ac:dyDescent="0.3">
      <c r="F22862"/>
      <c r="G22862"/>
      <c r="H22862"/>
      <c r="I22862"/>
    </row>
    <row r="22863" spans="6:9" x14ac:dyDescent="0.3">
      <c r="F22863"/>
      <c r="G22863"/>
      <c r="H22863"/>
      <c r="I22863"/>
    </row>
    <row r="22864" spans="6:9" x14ac:dyDescent="0.3">
      <c r="F22864"/>
      <c r="G22864"/>
      <c r="H22864"/>
      <c r="I22864"/>
    </row>
    <row r="22865" spans="6:9" x14ac:dyDescent="0.3">
      <c r="F22865"/>
      <c r="G22865"/>
      <c r="H22865"/>
      <c r="I22865"/>
    </row>
    <row r="22866" spans="6:9" x14ac:dyDescent="0.3">
      <c r="F22866"/>
      <c r="G22866"/>
      <c r="H22866"/>
      <c r="I22866"/>
    </row>
    <row r="22867" spans="6:9" x14ac:dyDescent="0.3">
      <c r="F22867"/>
      <c r="G22867"/>
      <c r="H22867"/>
      <c r="I22867"/>
    </row>
    <row r="22868" spans="6:9" x14ac:dyDescent="0.3">
      <c r="F22868"/>
      <c r="G22868"/>
      <c r="H22868"/>
      <c r="I22868"/>
    </row>
    <row r="22869" spans="6:9" x14ac:dyDescent="0.3">
      <c r="F22869"/>
      <c r="G22869"/>
      <c r="H22869"/>
      <c r="I22869"/>
    </row>
    <row r="22870" spans="6:9" x14ac:dyDescent="0.3">
      <c r="F22870"/>
      <c r="G22870"/>
      <c r="H22870"/>
      <c r="I22870"/>
    </row>
    <row r="22871" spans="6:9" x14ac:dyDescent="0.3">
      <c r="F22871"/>
      <c r="G22871"/>
      <c r="H22871"/>
      <c r="I22871"/>
    </row>
    <row r="22872" spans="6:9" x14ac:dyDescent="0.3">
      <c r="F22872"/>
      <c r="G22872"/>
      <c r="H22872"/>
      <c r="I22872"/>
    </row>
    <row r="22873" spans="6:9" x14ac:dyDescent="0.3">
      <c r="F22873"/>
      <c r="G22873"/>
      <c r="H22873"/>
      <c r="I22873"/>
    </row>
    <row r="22874" spans="6:9" x14ac:dyDescent="0.3">
      <c r="F22874"/>
      <c r="G22874"/>
      <c r="H22874"/>
      <c r="I22874"/>
    </row>
    <row r="22875" spans="6:9" x14ac:dyDescent="0.3">
      <c r="F22875"/>
      <c r="G22875"/>
      <c r="H22875"/>
      <c r="I22875"/>
    </row>
    <row r="22876" spans="6:9" x14ac:dyDescent="0.3">
      <c r="F22876"/>
      <c r="G22876"/>
      <c r="H22876"/>
      <c r="I22876"/>
    </row>
    <row r="22877" spans="6:9" x14ac:dyDescent="0.3">
      <c r="F22877"/>
      <c r="G22877"/>
      <c r="H22877"/>
      <c r="I22877"/>
    </row>
    <row r="22878" spans="6:9" x14ac:dyDescent="0.3">
      <c r="F22878"/>
      <c r="G22878"/>
      <c r="H22878"/>
      <c r="I22878"/>
    </row>
    <row r="22879" spans="6:9" x14ac:dyDescent="0.3">
      <c r="F22879"/>
      <c r="G22879"/>
      <c r="H22879"/>
      <c r="I22879"/>
    </row>
    <row r="22880" spans="6:9" x14ac:dyDescent="0.3">
      <c r="F22880"/>
      <c r="G22880"/>
      <c r="H22880"/>
      <c r="I22880"/>
    </row>
    <row r="22881" spans="6:9" x14ac:dyDescent="0.3">
      <c r="F22881"/>
      <c r="G22881"/>
      <c r="H22881"/>
      <c r="I22881"/>
    </row>
    <row r="22882" spans="6:9" x14ac:dyDescent="0.3">
      <c r="F22882"/>
      <c r="G22882"/>
      <c r="H22882"/>
      <c r="I22882"/>
    </row>
    <row r="22883" spans="6:9" x14ac:dyDescent="0.3">
      <c r="F22883"/>
      <c r="G22883"/>
      <c r="H22883"/>
      <c r="I22883"/>
    </row>
    <row r="22884" spans="6:9" x14ac:dyDescent="0.3">
      <c r="F22884"/>
      <c r="G22884"/>
      <c r="H22884"/>
      <c r="I22884"/>
    </row>
    <row r="22885" spans="6:9" x14ac:dyDescent="0.3">
      <c r="F22885"/>
      <c r="G22885"/>
      <c r="H22885"/>
      <c r="I22885"/>
    </row>
    <row r="22886" spans="6:9" x14ac:dyDescent="0.3">
      <c r="F22886"/>
      <c r="G22886"/>
      <c r="H22886"/>
      <c r="I22886"/>
    </row>
    <row r="22887" spans="6:9" x14ac:dyDescent="0.3">
      <c r="F22887"/>
      <c r="G22887"/>
      <c r="H22887"/>
      <c r="I22887"/>
    </row>
    <row r="22888" spans="6:9" x14ac:dyDescent="0.3">
      <c r="F22888"/>
      <c r="G22888"/>
      <c r="H22888"/>
      <c r="I22888"/>
    </row>
    <row r="22889" spans="6:9" x14ac:dyDescent="0.3">
      <c r="F22889"/>
      <c r="G22889"/>
      <c r="H22889"/>
      <c r="I22889"/>
    </row>
    <row r="22890" spans="6:9" x14ac:dyDescent="0.3">
      <c r="F22890"/>
      <c r="G22890"/>
      <c r="H22890"/>
      <c r="I22890"/>
    </row>
    <row r="22891" spans="6:9" x14ac:dyDescent="0.3">
      <c r="F22891"/>
      <c r="G22891"/>
      <c r="H22891"/>
      <c r="I22891"/>
    </row>
    <row r="22892" spans="6:9" x14ac:dyDescent="0.3">
      <c r="F22892"/>
      <c r="G22892"/>
      <c r="H22892"/>
      <c r="I22892"/>
    </row>
    <row r="22893" spans="6:9" x14ac:dyDescent="0.3">
      <c r="F22893"/>
      <c r="G22893"/>
      <c r="H22893"/>
      <c r="I22893"/>
    </row>
    <row r="22894" spans="6:9" x14ac:dyDescent="0.3">
      <c r="F22894"/>
      <c r="G22894"/>
      <c r="H22894"/>
      <c r="I22894"/>
    </row>
    <row r="22895" spans="6:9" x14ac:dyDescent="0.3">
      <c r="F22895"/>
      <c r="G22895"/>
      <c r="H22895"/>
      <c r="I22895"/>
    </row>
    <row r="22896" spans="6:9" x14ac:dyDescent="0.3">
      <c r="F22896"/>
      <c r="G22896"/>
      <c r="H22896"/>
      <c r="I22896"/>
    </row>
    <row r="22897" spans="6:9" x14ac:dyDescent="0.3">
      <c r="F22897"/>
      <c r="G22897"/>
      <c r="H22897"/>
      <c r="I22897"/>
    </row>
    <row r="22898" spans="6:9" x14ac:dyDescent="0.3">
      <c r="F22898"/>
      <c r="G22898"/>
      <c r="H22898"/>
      <c r="I22898"/>
    </row>
    <row r="22899" spans="6:9" x14ac:dyDescent="0.3">
      <c r="F22899"/>
      <c r="G22899"/>
      <c r="H22899"/>
      <c r="I22899"/>
    </row>
    <row r="22900" spans="6:9" x14ac:dyDescent="0.3">
      <c r="F22900"/>
      <c r="G22900"/>
      <c r="H22900"/>
      <c r="I22900"/>
    </row>
    <row r="22901" spans="6:9" x14ac:dyDescent="0.3">
      <c r="F22901"/>
      <c r="G22901"/>
      <c r="H22901"/>
      <c r="I22901"/>
    </row>
    <row r="22902" spans="6:9" x14ac:dyDescent="0.3">
      <c r="F22902"/>
      <c r="G22902"/>
      <c r="H22902"/>
      <c r="I22902"/>
    </row>
    <row r="22903" spans="6:9" x14ac:dyDescent="0.3">
      <c r="F22903"/>
      <c r="G22903"/>
      <c r="H22903"/>
      <c r="I22903"/>
    </row>
    <row r="22904" spans="6:9" x14ac:dyDescent="0.3">
      <c r="F22904"/>
      <c r="G22904"/>
      <c r="H22904"/>
      <c r="I22904"/>
    </row>
    <row r="22905" spans="6:9" x14ac:dyDescent="0.3">
      <c r="F22905"/>
      <c r="G22905"/>
      <c r="H22905"/>
      <c r="I22905"/>
    </row>
    <row r="22906" spans="6:9" x14ac:dyDescent="0.3">
      <c r="F22906"/>
      <c r="G22906"/>
      <c r="H22906"/>
      <c r="I22906"/>
    </row>
    <row r="22907" spans="6:9" x14ac:dyDescent="0.3">
      <c r="F22907"/>
      <c r="G22907"/>
      <c r="H22907"/>
      <c r="I22907"/>
    </row>
    <row r="22908" spans="6:9" x14ac:dyDescent="0.3">
      <c r="F22908"/>
      <c r="G22908"/>
      <c r="H22908"/>
      <c r="I22908"/>
    </row>
    <row r="22909" spans="6:9" x14ac:dyDescent="0.3">
      <c r="F22909"/>
      <c r="G22909"/>
      <c r="H22909"/>
      <c r="I22909"/>
    </row>
    <row r="22910" spans="6:9" x14ac:dyDescent="0.3">
      <c r="F22910"/>
      <c r="G22910"/>
      <c r="H22910"/>
      <c r="I22910"/>
    </row>
    <row r="22911" spans="6:9" x14ac:dyDescent="0.3">
      <c r="F22911"/>
      <c r="G22911"/>
      <c r="H22911"/>
      <c r="I22911"/>
    </row>
    <row r="22912" spans="6:9" x14ac:dyDescent="0.3">
      <c r="F22912"/>
      <c r="G22912"/>
      <c r="H22912"/>
      <c r="I22912"/>
    </row>
    <row r="22913" spans="6:9" x14ac:dyDescent="0.3">
      <c r="F22913"/>
      <c r="G22913"/>
      <c r="H22913"/>
      <c r="I22913"/>
    </row>
    <row r="22914" spans="6:9" x14ac:dyDescent="0.3">
      <c r="F22914"/>
      <c r="G22914"/>
      <c r="H22914"/>
      <c r="I22914"/>
    </row>
    <row r="22915" spans="6:9" x14ac:dyDescent="0.3">
      <c r="F22915"/>
      <c r="G22915"/>
      <c r="H22915"/>
      <c r="I22915"/>
    </row>
    <row r="22916" spans="6:9" x14ac:dyDescent="0.3">
      <c r="F22916"/>
      <c r="G22916"/>
      <c r="H22916"/>
      <c r="I22916"/>
    </row>
    <row r="22917" spans="6:9" x14ac:dyDescent="0.3">
      <c r="F22917"/>
      <c r="G22917"/>
      <c r="H22917"/>
      <c r="I22917"/>
    </row>
    <row r="22918" spans="6:9" x14ac:dyDescent="0.3">
      <c r="F22918"/>
      <c r="G22918"/>
      <c r="H22918"/>
      <c r="I22918"/>
    </row>
    <row r="22919" spans="6:9" x14ac:dyDescent="0.3">
      <c r="F22919"/>
      <c r="G22919"/>
      <c r="H22919"/>
      <c r="I22919"/>
    </row>
    <row r="22920" spans="6:9" x14ac:dyDescent="0.3">
      <c r="F22920"/>
      <c r="G22920"/>
      <c r="H22920"/>
      <c r="I22920"/>
    </row>
    <row r="22921" spans="6:9" x14ac:dyDescent="0.3">
      <c r="F22921"/>
      <c r="G22921"/>
      <c r="H22921"/>
      <c r="I22921"/>
    </row>
    <row r="22922" spans="6:9" x14ac:dyDescent="0.3">
      <c r="F22922"/>
      <c r="G22922"/>
      <c r="H22922"/>
      <c r="I22922"/>
    </row>
    <row r="22923" spans="6:9" x14ac:dyDescent="0.3">
      <c r="F22923"/>
      <c r="G22923"/>
      <c r="H22923"/>
      <c r="I22923"/>
    </row>
    <row r="22924" spans="6:9" x14ac:dyDescent="0.3">
      <c r="F22924"/>
      <c r="G22924"/>
      <c r="H22924"/>
      <c r="I22924"/>
    </row>
    <row r="22925" spans="6:9" x14ac:dyDescent="0.3">
      <c r="F22925"/>
      <c r="G22925"/>
      <c r="H22925"/>
      <c r="I22925"/>
    </row>
    <row r="22926" spans="6:9" x14ac:dyDescent="0.3">
      <c r="F22926"/>
      <c r="G22926"/>
      <c r="H22926"/>
      <c r="I22926"/>
    </row>
    <row r="22927" spans="6:9" x14ac:dyDescent="0.3">
      <c r="F22927"/>
      <c r="G22927"/>
      <c r="H22927"/>
      <c r="I22927"/>
    </row>
    <row r="22928" spans="6:9" x14ac:dyDescent="0.3">
      <c r="F22928"/>
      <c r="G22928"/>
      <c r="H22928"/>
      <c r="I22928"/>
    </row>
    <row r="22929" spans="6:9" x14ac:dyDescent="0.3">
      <c r="F22929"/>
      <c r="G22929"/>
      <c r="H22929"/>
      <c r="I22929"/>
    </row>
    <row r="22930" spans="6:9" x14ac:dyDescent="0.3">
      <c r="F22930"/>
      <c r="G22930"/>
      <c r="H22930"/>
      <c r="I22930"/>
    </row>
    <row r="22931" spans="6:9" x14ac:dyDescent="0.3">
      <c r="F22931"/>
      <c r="G22931"/>
      <c r="H22931"/>
      <c r="I22931"/>
    </row>
    <row r="22932" spans="6:9" x14ac:dyDescent="0.3">
      <c r="F22932"/>
      <c r="G22932"/>
      <c r="H22932"/>
      <c r="I22932"/>
    </row>
    <row r="22933" spans="6:9" x14ac:dyDescent="0.3">
      <c r="F22933"/>
      <c r="G22933"/>
      <c r="H22933"/>
      <c r="I22933"/>
    </row>
    <row r="22934" spans="6:9" x14ac:dyDescent="0.3">
      <c r="F22934"/>
      <c r="G22934"/>
      <c r="H22934"/>
      <c r="I22934"/>
    </row>
    <row r="22935" spans="6:9" x14ac:dyDescent="0.3">
      <c r="F22935"/>
      <c r="G22935"/>
      <c r="H22935"/>
      <c r="I22935"/>
    </row>
    <row r="22936" spans="6:9" x14ac:dyDescent="0.3">
      <c r="F22936"/>
      <c r="G22936"/>
      <c r="H22936"/>
      <c r="I22936"/>
    </row>
    <row r="22937" spans="6:9" x14ac:dyDescent="0.3">
      <c r="F22937"/>
      <c r="G22937"/>
      <c r="H22937"/>
      <c r="I22937"/>
    </row>
    <row r="22938" spans="6:9" x14ac:dyDescent="0.3">
      <c r="F22938"/>
      <c r="G22938"/>
      <c r="H22938"/>
      <c r="I22938"/>
    </row>
    <row r="22939" spans="6:9" x14ac:dyDescent="0.3">
      <c r="F22939"/>
      <c r="G22939"/>
      <c r="H22939"/>
      <c r="I22939"/>
    </row>
    <row r="22940" spans="6:9" x14ac:dyDescent="0.3">
      <c r="F22940"/>
      <c r="G22940"/>
      <c r="H22940"/>
      <c r="I22940"/>
    </row>
    <row r="22941" spans="6:9" x14ac:dyDescent="0.3">
      <c r="F22941"/>
      <c r="G22941"/>
      <c r="H22941"/>
      <c r="I22941"/>
    </row>
    <row r="22942" spans="6:9" x14ac:dyDescent="0.3">
      <c r="F22942"/>
      <c r="G22942"/>
      <c r="H22942"/>
      <c r="I22942"/>
    </row>
    <row r="22943" spans="6:9" x14ac:dyDescent="0.3">
      <c r="F22943"/>
      <c r="G22943"/>
      <c r="H22943"/>
      <c r="I22943"/>
    </row>
    <row r="22944" spans="6:9" x14ac:dyDescent="0.3">
      <c r="F22944"/>
      <c r="G22944"/>
      <c r="H22944"/>
      <c r="I22944"/>
    </row>
    <row r="22945" spans="6:9" x14ac:dyDescent="0.3">
      <c r="F22945"/>
      <c r="G22945"/>
      <c r="H22945"/>
      <c r="I22945"/>
    </row>
    <row r="22946" spans="6:9" x14ac:dyDescent="0.3">
      <c r="F22946"/>
      <c r="G22946"/>
      <c r="H22946"/>
      <c r="I22946"/>
    </row>
    <row r="22947" spans="6:9" x14ac:dyDescent="0.3">
      <c r="F22947"/>
      <c r="G22947"/>
      <c r="H22947"/>
      <c r="I22947"/>
    </row>
    <row r="22948" spans="6:9" x14ac:dyDescent="0.3">
      <c r="F22948"/>
      <c r="G22948"/>
      <c r="H22948"/>
      <c r="I22948"/>
    </row>
    <row r="22949" spans="6:9" x14ac:dyDescent="0.3">
      <c r="F22949"/>
      <c r="G22949"/>
      <c r="H22949"/>
      <c r="I22949"/>
    </row>
    <row r="22950" spans="6:9" x14ac:dyDescent="0.3">
      <c r="F22950"/>
      <c r="G22950"/>
      <c r="H22950"/>
      <c r="I22950"/>
    </row>
    <row r="22951" spans="6:9" x14ac:dyDescent="0.3">
      <c r="F22951"/>
      <c r="G22951"/>
      <c r="H22951"/>
      <c r="I22951"/>
    </row>
    <row r="22952" spans="6:9" x14ac:dyDescent="0.3">
      <c r="F22952"/>
      <c r="G22952"/>
      <c r="H22952"/>
      <c r="I22952"/>
    </row>
    <row r="22953" spans="6:9" x14ac:dyDescent="0.3">
      <c r="F22953"/>
      <c r="G22953"/>
      <c r="H22953"/>
      <c r="I22953"/>
    </row>
    <row r="22954" spans="6:9" x14ac:dyDescent="0.3">
      <c r="F22954"/>
      <c r="G22954"/>
      <c r="H22954"/>
      <c r="I22954"/>
    </row>
    <row r="22955" spans="6:9" x14ac:dyDescent="0.3">
      <c r="F22955"/>
      <c r="G22955"/>
      <c r="H22955"/>
      <c r="I22955"/>
    </row>
    <row r="22956" spans="6:9" x14ac:dyDescent="0.3">
      <c r="F22956"/>
      <c r="G22956"/>
      <c r="H22956"/>
      <c r="I22956"/>
    </row>
    <row r="22957" spans="6:9" x14ac:dyDescent="0.3">
      <c r="F22957"/>
      <c r="G22957"/>
      <c r="H22957"/>
      <c r="I22957"/>
    </row>
    <row r="22958" spans="6:9" x14ac:dyDescent="0.3">
      <c r="F22958"/>
      <c r="G22958"/>
      <c r="H22958"/>
      <c r="I22958"/>
    </row>
    <row r="22959" spans="6:9" x14ac:dyDescent="0.3">
      <c r="F22959"/>
      <c r="G22959"/>
      <c r="H22959"/>
      <c r="I22959"/>
    </row>
    <row r="22960" spans="6:9" x14ac:dyDescent="0.3">
      <c r="F22960"/>
      <c r="G22960"/>
      <c r="H22960"/>
      <c r="I22960"/>
    </row>
    <row r="22961" spans="6:9" x14ac:dyDescent="0.3">
      <c r="F22961"/>
      <c r="G22961"/>
      <c r="H22961"/>
      <c r="I22961"/>
    </row>
    <row r="22962" spans="6:9" x14ac:dyDescent="0.3">
      <c r="F22962"/>
      <c r="G22962"/>
      <c r="H22962"/>
      <c r="I22962"/>
    </row>
    <row r="22963" spans="6:9" x14ac:dyDescent="0.3">
      <c r="F22963"/>
      <c r="G22963"/>
      <c r="H22963"/>
      <c r="I22963"/>
    </row>
    <row r="22964" spans="6:9" x14ac:dyDescent="0.3">
      <c r="F22964"/>
      <c r="G22964"/>
      <c r="H22964"/>
      <c r="I22964"/>
    </row>
    <row r="22965" spans="6:9" x14ac:dyDescent="0.3">
      <c r="F22965"/>
      <c r="G22965"/>
      <c r="H22965"/>
      <c r="I22965"/>
    </row>
    <row r="22966" spans="6:9" x14ac:dyDescent="0.3">
      <c r="F22966"/>
      <c r="G22966"/>
      <c r="H22966"/>
      <c r="I22966"/>
    </row>
    <row r="22967" spans="6:9" x14ac:dyDescent="0.3">
      <c r="F22967"/>
      <c r="G22967"/>
      <c r="H22967"/>
      <c r="I22967"/>
    </row>
    <row r="22968" spans="6:9" x14ac:dyDescent="0.3">
      <c r="F22968"/>
      <c r="G22968"/>
      <c r="H22968"/>
      <c r="I22968"/>
    </row>
    <row r="22969" spans="6:9" x14ac:dyDescent="0.3">
      <c r="F22969"/>
      <c r="G22969"/>
      <c r="H22969"/>
      <c r="I22969"/>
    </row>
    <row r="22970" spans="6:9" x14ac:dyDescent="0.3">
      <c r="F22970"/>
      <c r="G22970"/>
      <c r="H22970"/>
      <c r="I22970"/>
    </row>
    <row r="22971" spans="6:9" x14ac:dyDescent="0.3">
      <c r="F22971"/>
      <c r="G22971"/>
      <c r="H22971"/>
      <c r="I22971"/>
    </row>
    <row r="22972" spans="6:9" x14ac:dyDescent="0.3">
      <c r="F22972"/>
      <c r="G22972"/>
      <c r="H22972"/>
      <c r="I22972"/>
    </row>
    <row r="22973" spans="6:9" x14ac:dyDescent="0.3">
      <c r="F22973"/>
      <c r="G22973"/>
      <c r="H22973"/>
      <c r="I22973"/>
    </row>
    <row r="22974" spans="6:9" x14ac:dyDescent="0.3">
      <c r="F22974"/>
      <c r="G22974"/>
      <c r="H22974"/>
      <c r="I22974"/>
    </row>
    <row r="22975" spans="6:9" x14ac:dyDescent="0.3">
      <c r="F22975"/>
      <c r="G22975"/>
      <c r="H22975"/>
      <c r="I22975"/>
    </row>
    <row r="22976" spans="6:9" x14ac:dyDescent="0.3">
      <c r="F22976"/>
      <c r="G22976"/>
      <c r="H22976"/>
      <c r="I22976"/>
    </row>
    <row r="22977" spans="6:9" x14ac:dyDescent="0.3">
      <c r="F22977"/>
      <c r="G22977"/>
      <c r="H22977"/>
      <c r="I22977"/>
    </row>
    <row r="22978" spans="6:9" x14ac:dyDescent="0.3">
      <c r="F22978"/>
      <c r="G22978"/>
      <c r="H22978"/>
      <c r="I22978"/>
    </row>
    <row r="22979" spans="6:9" x14ac:dyDescent="0.3">
      <c r="F22979"/>
      <c r="G22979"/>
      <c r="H22979"/>
      <c r="I22979"/>
    </row>
    <row r="22980" spans="6:9" x14ac:dyDescent="0.3">
      <c r="F22980"/>
      <c r="G22980"/>
      <c r="H22980"/>
      <c r="I22980"/>
    </row>
    <row r="22981" spans="6:9" x14ac:dyDescent="0.3">
      <c r="F22981"/>
      <c r="G22981"/>
      <c r="H22981"/>
      <c r="I22981"/>
    </row>
    <row r="22982" spans="6:9" x14ac:dyDescent="0.3">
      <c r="F22982"/>
      <c r="G22982"/>
      <c r="H22982"/>
      <c r="I22982"/>
    </row>
    <row r="22983" spans="6:9" x14ac:dyDescent="0.3">
      <c r="F22983"/>
      <c r="G22983"/>
      <c r="H22983"/>
      <c r="I22983"/>
    </row>
    <row r="22984" spans="6:9" x14ac:dyDescent="0.3">
      <c r="F22984"/>
      <c r="G22984"/>
      <c r="H22984"/>
      <c r="I22984"/>
    </row>
    <row r="22985" spans="6:9" x14ac:dyDescent="0.3">
      <c r="F22985"/>
      <c r="G22985"/>
      <c r="H22985"/>
      <c r="I22985"/>
    </row>
    <row r="22986" spans="6:9" x14ac:dyDescent="0.3">
      <c r="F22986"/>
      <c r="G22986"/>
      <c r="H22986"/>
      <c r="I22986"/>
    </row>
    <row r="22987" spans="6:9" x14ac:dyDescent="0.3">
      <c r="F22987"/>
      <c r="G22987"/>
      <c r="H22987"/>
      <c r="I22987"/>
    </row>
    <row r="22988" spans="6:9" x14ac:dyDescent="0.3">
      <c r="F22988"/>
      <c r="G22988"/>
      <c r="H22988"/>
      <c r="I22988"/>
    </row>
    <row r="22989" spans="6:9" x14ac:dyDescent="0.3">
      <c r="F22989"/>
      <c r="G22989"/>
      <c r="H22989"/>
      <c r="I22989"/>
    </row>
    <row r="22990" spans="6:9" x14ac:dyDescent="0.3">
      <c r="F22990"/>
      <c r="G22990"/>
      <c r="H22990"/>
      <c r="I22990"/>
    </row>
    <row r="22991" spans="6:9" x14ac:dyDescent="0.3">
      <c r="F22991"/>
      <c r="G22991"/>
      <c r="H22991"/>
      <c r="I22991"/>
    </row>
    <row r="22992" spans="6:9" x14ac:dyDescent="0.3">
      <c r="F22992"/>
      <c r="G22992"/>
      <c r="H22992"/>
      <c r="I22992"/>
    </row>
    <row r="22993" spans="6:9" x14ac:dyDescent="0.3">
      <c r="F22993"/>
      <c r="G22993"/>
      <c r="H22993"/>
      <c r="I22993"/>
    </row>
    <row r="22994" spans="6:9" x14ac:dyDescent="0.3">
      <c r="F22994"/>
      <c r="G22994"/>
      <c r="H22994"/>
      <c r="I22994"/>
    </row>
    <row r="22995" spans="6:9" x14ac:dyDescent="0.3">
      <c r="F22995"/>
      <c r="G22995"/>
      <c r="H22995"/>
      <c r="I22995"/>
    </row>
    <row r="22996" spans="6:9" x14ac:dyDescent="0.3">
      <c r="F22996"/>
      <c r="G22996"/>
      <c r="H22996"/>
      <c r="I22996"/>
    </row>
    <row r="22997" spans="6:9" x14ac:dyDescent="0.3">
      <c r="F22997"/>
      <c r="G22997"/>
      <c r="H22997"/>
      <c r="I22997"/>
    </row>
    <row r="22998" spans="6:9" x14ac:dyDescent="0.3">
      <c r="F22998"/>
      <c r="G22998"/>
      <c r="H22998"/>
      <c r="I22998"/>
    </row>
    <row r="22999" spans="6:9" x14ac:dyDescent="0.3">
      <c r="F22999"/>
      <c r="G22999"/>
      <c r="H22999"/>
      <c r="I22999"/>
    </row>
    <row r="23000" spans="6:9" x14ac:dyDescent="0.3">
      <c r="F23000"/>
      <c r="G23000"/>
      <c r="H23000"/>
      <c r="I23000"/>
    </row>
    <row r="23001" spans="6:9" x14ac:dyDescent="0.3">
      <c r="F23001"/>
      <c r="G23001"/>
      <c r="H23001"/>
      <c r="I23001"/>
    </row>
    <row r="23002" spans="6:9" x14ac:dyDescent="0.3">
      <c r="F23002"/>
      <c r="G23002"/>
      <c r="H23002"/>
      <c r="I23002"/>
    </row>
    <row r="23003" spans="6:9" x14ac:dyDescent="0.3">
      <c r="F23003"/>
      <c r="G23003"/>
      <c r="H23003"/>
      <c r="I23003"/>
    </row>
    <row r="23004" spans="6:9" x14ac:dyDescent="0.3">
      <c r="F23004"/>
      <c r="G23004"/>
      <c r="H23004"/>
      <c r="I23004"/>
    </row>
    <row r="23005" spans="6:9" x14ac:dyDescent="0.3">
      <c r="F23005"/>
      <c r="G23005"/>
      <c r="H23005"/>
      <c r="I23005"/>
    </row>
    <row r="23006" spans="6:9" x14ac:dyDescent="0.3">
      <c r="F23006"/>
      <c r="G23006"/>
      <c r="H23006"/>
      <c r="I23006"/>
    </row>
    <row r="23007" spans="6:9" x14ac:dyDescent="0.3">
      <c r="F23007"/>
      <c r="G23007"/>
      <c r="H23007"/>
      <c r="I23007"/>
    </row>
    <row r="23008" spans="6:9" x14ac:dyDescent="0.3">
      <c r="F23008"/>
      <c r="G23008"/>
      <c r="H23008"/>
      <c r="I23008"/>
    </row>
    <row r="23009" spans="6:9" x14ac:dyDescent="0.3">
      <c r="F23009"/>
      <c r="G23009"/>
      <c r="H23009"/>
      <c r="I23009"/>
    </row>
    <row r="23010" spans="6:9" x14ac:dyDescent="0.3">
      <c r="F23010"/>
      <c r="G23010"/>
      <c r="H23010"/>
      <c r="I23010"/>
    </row>
    <row r="23011" spans="6:9" x14ac:dyDescent="0.3">
      <c r="F23011"/>
      <c r="G23011"/>
      <c r="H23011"/>
      <c r="I23011"/>
    </row>
    <row r="23012" spans="6:9" x14ac:dyDescent="0.3">
      <c r="F23012"/>
      <c r="G23012"/>
      <c r="H23012"/>
      <c r="I23012"/>
    </row>
    <row r="23013" spans="6:9" x14ac:dyDescent="0.3">
      <c r="F23013"/>
      <c r="G23013"/>
      <c r="H23013"/>
      <c r="I23013"/>
    </row>
    <row r="23014" spans="6:9" x14ac:dyDescent="0.3">
      <c r="F23014"/>
      <c r="G23014"/>
      <c r="H23014"/>
      <c r="I23014"/>
    </row>
    <row r="23015" spans="6:9" x14ac:dyDescent="0.3">
      <c r="F23015"/>
      <c r="G23015"/>
      <c r="H23015"/>
      <c r="I23015"/>
    </row>
    <row r="23016" spans="6:9" x14ac:dyDescent="0.3">
      <c r="F23016"/>
      <c r="G23016"/>
      <c r="H23016"/>
      <c r="I23016"/>
    </row>
    <row r="23017" spans="6:9" x14ac:dyDescent="0.3">
      <c r="F23017"/>
      <c r="G23017"/>
      <c r="H23017"/>
      <c r="I23017"/>
    </row>
    <row r="23018" spans="6:9" x14ac:dyDescent="0.3">
      <c r="F23018"/>
      <c r="G23018"/>
      <c r="H23018"/>
      <c r="I23018"/>
    </row>
    <row r="23019" spans="6:9" x14ac:dyDescent="0.3">
      <c r="F23019"/>
      <c r="G23019"/>
      <c r="H23019"/>
      <c r="I23019"/>
    </row>
    <row r="23020" spans="6:9" x14ac:dyDescent="0.3">
      <c r="F23020"/>
      <c r="G23020"/>
      <c r="H23020"/>
      <c r="I23020"/>
    </row>
    <row r="23021" spans="6:9" x14ac:dyDescent="0.3">
      <c r="F23021"/>
      <c r="G23021"/>
      <c r="H23021"/>
      <c r="I23021"/>
    </row>
    <row r="23022" spans="6:9" x14ac:dyDescent="0.3">
      <c r="F23022"/>
      <c r="G23022"/>
      <c r="H23022"/>
      <c r="I23022"/>
    </row>
    <row r="23023" spans="6:9" x14ac:dyDescent="0.3">
      <c r="F23023"/>
      <c r="G23023"/>
      <c r="H23023"/>
      <c r="I23023"/>
    </row>
    <row r="23024" spans="6:9" x14ac:dyDescent="0.3">
      <c r="F23024"/>
      <c r="G23024"/>
      <c r="H23024"/>
      <c r="I23024"/>
    </row>
    <row r="23025" spans="6:9" x14ac:dyDescent="0.3">
      <c r="F23025"/>
      <c r="G23025"/>
      <c r="H23025"/>
      <c r="I23025"/>
    </row>
    <row r="23026" spans="6:9" x14ac:dyDescent="0.3">
      <c r="F23026"/>
      <c r="G23026"/>
      <c r="H23026"/>
      <c r="I23026"/>
    </row>
    <row r="23027" spans="6:9" x14ac:dyDescent="0.3">
      <c r="F23027"/>
      <c r="G23027"/>
      <c r="H23027"/>
      <c r="I23027"/>
    </row>
    <row r="23028" spans="6:9" x14ac:dyDescent="0.3">
      <c r="F23028"/>
      <c r="G23028"/>
      <c r="H23028"/>
      <c r="I23028"/>
    </row>
    <row r="23029" spans="6:9" x14ac:dyDescent="0.3">
      <c r="F23029"/>
      <c r="G23029"/>
      <c r="H23029"/>
      <c r="I23029"/>
    </row>
    <row r="23030" spans="6:9" x14ac:dyDescent="0.3">
      <c r="F23030"/>
      <c r="G23030"/>
      <c r="H23030"/>
      <c r="I23030"/>
    </row>
    <row r="23031" spans="6:9" x14ac:dyDescent="0.3">
      <c r="F23031"/>
      <c r="G23031"/>
      <c r="H23031"/>
      <c r="I23031"/>
    </row>
    <row r="23032" spans="6:9" x14ac:dyDescent="0.3">
      <c r="F23032"/>
      <c r="G23032"/>
      <c r="H23032"/>
      <c r="I23032"/>
    </row>
    <row r="23033" spans="6:9" x14ac:dyDescent="0.3">
      <c r="F23033"/>
      <c r="G23033"/>
      <c r="H23033"/>
      <c r="I23033"/>
    </row>
    <row r="23034" spans="6:9" x14ac:dyDescent="0.3">
      <c r="F23034"/>
      <c r="G23034"/>
      <c r="H23034"/>
      <c r="I23034"/>
    </row>
    <row r="23035" spans="6:9" x14ac:dyDescent="0.3">
      <c r="F23035"/>
      <c r="G23035"/>
      <c r="H23035"/>
      <c r="I23035"/>
    </row>
    <row r="23036" spans="6:9" x14ac:dyDescent="0.3">
      <c r="F23036"/>
      <c r="G23036"/>
      <c r="H23036"/>
      <c r="I23036"/>
    </row>
    <row r="23037" spans="6:9" x14ac:dyDescent="0.3">
      <c r="F23037"/>
      <c r="G23037"/>
      <c r="H23037"/>
      <c r="I23037"/>
    </row>
    <row r="23038" spans="6:9" x14ac:dyDescent="0.3">
      <c r="F23038"/>
      <c r="G23038"/>
      <c r="H23038"/>
      <c r="I23038"/>
    </row>
    <row r="23039" spans="6:9" x14ac:dyDescent="0.3">
      <c r="F23039"/>
      <c r="G23039"/>
      <c r="H23039"/>
      <c r="I23039"/>
    </row>
    <row r="23040" spans="6:9" x14ac:dyDescent="0.3">
      <c r="F23040"/>
      <c r="G23040"/>
      <c r="H23040"/>
      <c r="I23040"/>
    </row>
    <row r="23041" spans="6:9" x14ac:dyDescent="0.3">
      <c r="F23041"/>
      <c r="G23041"/>
      <c r="H23041"/>
      <c r="I23041"/>
    </row>
    <row r="23042" spans="6:9" x14ac:dyDescent="0.3">
      <c r="F23042"/>
      <c r="G23042"/>
      <c r="H23042"/>
      <c r="I23042"/>
    </row>
    <row r="23043" spans="6:9" x14ac:dyDescent="0.3">
      <c r="F23043"/>
      <c r="G23043"/>
      <c r="H23043"/>
      <c r="I23043"/>
    </row>
    <row r="23044" spans="6:9" x14ac:dyDescent="0.3">
      <c r="F23044"/>
      <c r="G23044"/>
      <c r="H23044"/>
      <c r="I23044"/>
    </row>
    <row r="23045" spans="6:9" x14ac:dyDescent="0.3">
      <c r="F23045"/>
      <c r="G23045"/>
      <c r="H23045"/>
      <c r="I23045"/>
    </row>
    <row r="23046" spans="6:9" x14ac:dyDescent="0.3">
      <c r="F23046"/>
      <c r="G23046"/>
      <c r="H23046"/>
      <c r="I23046"/>
    </row>
    <row r="23047" spans="6:9" x14ac:dyDescent="0.3">
      <c r="F23047"/>
      <c r="G23047"/>
      <c r="H23047"/>
      <c r="I23047"/>
    </row>
    <row r="23048" spans="6:9" x14ac:dyDescent="0.3">
      <c r="F23048"/>
      <c r="G23048"/>
      <c r="H23048"/>
      <c r="I23048"/>
    </row>
    <row r="23049" spans="6:9" x14ac:dyDescent="0.3">
      <c r="F23049"/>
      <c r="G23049"/>
      <c r="H23049"/>
      <c r="I23049"/>
    </row>
    <row r="23050" spans="6:9" x14ac:dyDescent="0.3">
      <c r="F23050"/>
      <c r="G23050"/>
      <c r="H23050"/>
      <c r="I23050"/>
    </row>
    <row r="23051" spans="6:9" x14ac:dyDescent="0.3">
      <c r="F23051"/>
      <c r="G23051"/>
      <c r="H23051"/>
      <c r="I23051"/>
    </row>
    <row r="23052" spans="6:9" x14ac:dyDescent="0.3">
      <c r="F23052"/>
      <c r="G23052"/>
      <c r="H23052"/>
      <c r="I23052"/>
    </row>
    <row r="23053" spans="6:9" x14ac:dyDescent="0.3">
      <c r="F23053"/>
      <c r="G23053"/>
      <c r="H23053"/>
      <c r="I23053"/>
    </row>
    <row r="23054" spans="6:9" x14ac:dyDescent="0.3">
      <c r="F23054"/>
      <c r="G23054"/>
      <c r="H23054"/>
      <c r="I23054"/>
    </row>
    <row r="23055" spans="6:9" x14ac:dyDescent="0.3">
      <c r="F23055"/>
      <c r="G23055"/>
      <c r="H23055"/>
      <c r="I23055"/>
    </row>
    <row r="23056" spans="6:9" x14ac:dyDescent="0.3">
      <c r="F23056"/>
      <c r="G23056"/>
      <c r="H23056"/>
      <c r="I23056"/>
    </row>
    <row r="23057" spans="6:9" x14ac:dyDescent="0.3">
      <c r="F23057"/>
      <c r="G23057"/>
      <c r="H23057"/>
      <c r="I23057"/>
    </row>
    <row r="23058" spans="6:9" x14ac:dyDescent="0.3">
      <c r="F23058"/>
      <c r="G23058"/>
      <c r="H23058"/>
      <c r="I23058"/>
    </row>
    <row r="23059" spans="6:9" x14ac:dyDescent="0.3">
      <c r="F23059"/>
      <c r="G23059"/>
      <c r="H23059"/>
      <c r="I23059"/>
    </row>
    <row r="23060" spans="6:9" x14ac:dyDescent="0.3">
      <c r="F23060"/>
      <c r="G23060"/>
      <c r="H23060"/>
      <c r="I23060"/>
    </row>
    <row r="23061" spans="6:9" x14ac:dyDescent="0.3">
      <c r="F23061"/>
      <c r="G23061"/>
      <c r="H23061"/>
      <c r="I23061"/>
    </row>
    <row r="23062" spans="6:9" x14ac:dyDescent="0.3">
      <c r="F23062"/>
      <c r="G23062"/>
      <c r="H23062"/>
      <c r="I23062"/>
    </row>
    <row r="23063" spans="6:9" x14ac:dyDescent="0.3">
      <c r="F23063"/>
      <c r="G23063"/>
      <c r="H23063"/>
      <c r="I23063"/>
    </row>
    <row r="23064" spans="6:9" x14ac:dyDescent="0.3">
      <c r="F23064"/>
      <c r="G23064"/>
      <c r="H23064"/>
      <c r="I23064"/>
    </row>
    <row r="23065" spans="6:9" x14ac:dyDescent="0.3">
      <c r="F23065"/>
      <c r="G23065"/>
      <c r="H23065"/>
      <c r="I23065"/>
    </row>
    <row r="23066" spans="6:9" x14ac:dyDescent="0.3">
      <c r="F23066"/>
      <c r="G23066"/>
      <c r="H23066"/>
      <c r="I23066"/>
    </row>
    <row r="23067" spans="6:9" x14ac:dyDescent="0.3">
      <c r="F23067"/>
      <c r="G23067"/>
      <c r="H23067"/>
      <c r="I23067"/>
    </row>
    <row r="23068" spans="6:9" x14ac:dyDescent="0.3">
      <c r="F23068"/>
      <c r="G23068"/>
      <c r="H23068"/>
      <c r="I23068"/>
    </row>
    <row r="23069" spans="6:9" x14ac:dyDescent="0.3">
      <c r="F23069"/>
      <c r="G23069"/>
      <c r="H23069"/>
      <c r="I23069"/>
    </row>
    <row r="23070" spans="6:9" x14ac:dyDescent="0.3">
      <c r="F23070"/>
      <c r="G23070"/>
      <c r="H23070"/>
      <c r="I23070"/>
    </row>
    <row r="23071" spans="6:9" x14ac:dyDescent="0.3">
      <c r="F23071"/>
      <c r="G23071"/>
      <c r="H23071"/>
      <c r="I23071"/>
    </row>
    <row r="23072" spans="6:9" x14ac:dyDescent="0.3">
      <c r="F23072"/>
      <c r="G23072"/>
      <c r="H23072"/>
      <c r="I23072"/>
    </row>
    <row r="23073" spans="6:9" x14ac:dyDescent="0.3">
      <c r="F23073"/>
      <c r="G23073"/>
      <c r="H23073"/>
      <c r="I23073"/>
    </row>
    <row r="23074" spans="6:9" x14ac:dyDescent="0.3">
      <c r="F23074"/>
      <c r="G23074"/>
      <c r="H23074"/>
      <c r="I23074"/>
    </row>
    <row r="23075" spans="6:9" x14ac:dyDescent="0.3">
      <c r="F23075"/>
      <c r="G23075"/>
      <c r="H23075"/>
      <c r="I23075"/>
    </row>
    <row r="23076" spans="6:9" x14ac:dyDescent="0.3">
      <c r="F23076"/>
      <c r="G23076"/>
      <c r="H23076"/>
      <c r="I23076"/>
    </row>
    <row r="23077" spans="6:9" x14ac:dyDescent="0.3">
      <c r="F23077"/>
      <c r="G23077"/>
      <c r="H23077"/>
      <c r="I23077"/>
    </row>
    <row r="23078" spans="6:9" x14ac:dyDescent="0.3">
      <c r="F23078"/>
      <c r="G23078"/>
      <c r="H23078"/>
      <c r="I23078"/>
    </row>
    <row r="23079" spans="6:9" x14ac:dyDescent="0.3">
      <c r="F23079"/>
      <c r="G23079"/>
      <c r="H23079"/>
      <c r="I23079"/>
    </row>
    <row r="23080" spans="6:9" x14ac:dyDescent="0.3">
      <c r="F23080"/>
      <c r="G23080"/>
      <c r="H23080"/>
      <c r="I23080"/>
    </row>
    <row r="23081" spans="6:9" x14ac:dyDescent="0.3">
      <c r="F23081"/>
      <c r="G23081"/>
      <c r="H23081"/>
      <c r="I23081"/>
    </row>
    <row r="23082" spans="6:9" x14ac:dyDescent="0.3">
      <c r="F23082"/>
      <c r="G23082"/>
      <c r="H23082"/>
      <c r="I23082"/>
    </row>
    <row r="23083" spans="6:9" x14ac:dyDescent="0.3">
      <c r="F23083"/>
      <c r="G23083"/>
      <c r="H23083"/>
      <c r="I23083"/>
    </row>
    <row r="23084" spans="6:9" x14ac:dyDescent="0.3">
      <c r="F23084"/>
      <c r="G23084"/>
      <c r="H23084"/>
      <c r="I23084"/>
    </row>
    <row r="23085" spans="6:9" x14ac:dyDescent="0.3">
      <c r="F23085"/>
      <c r="G23085"/>
      <c r="H23085"/>
      <c r="I23085"/>
    </row>
    <row r="23086" spans="6:9" x14ac:dyDescent="0.3">
      <c r="F23086"/>
      <c r="G23086"/>
      <c r="H23086"/>
      <c r="I23086"/>
    </row>
    <row r="23087" spans="6:9" x14ac:dyDescent="0.3">
      <c r="F23087"/>
      <c r="G23087"/>
      <c r="H23087"/>
      <c r="I23087"/>
    </row>
    <row r="23088" spans="6:9" x14ac:dyDescent="0.3">
      <c r="F23088"/>
      <c r="G23088"/>
      <c r="H23088"/>
      <c r="I23088"/>
    </row>
    <row r="23089" spans="6:9" x14ac:dyDescent="0.3">
      <c r="F23089"/>
      <c r="G23089"/>
      <c r="H23089"/>
      <c r="I23089"/>
    </row>
    <row r="23090" spans="6:9" x14ac:dyDescent="0.3">
      <c r="F23090"/>
      <c r="G23090"/>
      <c r="H23090"/>
      <c r="I23090"/>
    </row>
    <row r="23091" spans="6:9" x14ac:dyDescent="0.3">
      <c r="F23091"/>
      <c r="G23091"/>
      <c r="H23091"/>
      <c r="I23091"/>
    </row>
    <row r="23092" spans="6:9" x14ac:dyDescent="0.3">
      <c r="F23092"/>
      <c r="G23092"/>
      <c r="H23092"/>
      <c r="I23092"/>
    </row>
    <row r="23093" spans="6:9" x14ac:dyDescent="0.3">
      <c r="F23093"/>
      <c r="G23093"/>
      <c r="H23093"/>
      <c r="I23093"/>
    </row>
    <row r="23094" spans="6:9" x14ac:dyDescent="0.3">
      <c r="F23094"/>
      <c r="G23094"/>
      <c r="H23094"/>
      <c r="I23094"/>
    </row>
    <row r="23095" spans="6:9" x14ac:dyDescent="0.3">
      <c r="F23095"/>
      <c r="G23095"/>
      <c r="H23095"/>
      <c r="I23095"/>
    </row>
    <row r="23096" spans="6:9" x14ac:dyDescent="0.3">
      <c r="F23096"/>
      <c r="G23096"/>
      <c r="H23096"/>
      <c r="I23096"/>
    </row>
    <row r="23097" spans="6:9" x14ac:dyDescent="0.3">
      <c r="F23097"/>
      <c r="G23097"/>
      <c r="H23097"/>
      <c r="I23097"/>
    </row>
    <row r="23098" spans="6:9" x14ac:dyDescent="0.3">
      <c r="F23098"/>
      <c r="G23098"/>
      <c r="H23098"/>
      <c r="I23098"/>
    </row>
    <row r="23099" spans="6:9" x14ac:dyDescent="0.3">
      <c r="F23099"/>
      <c r="G23099"/>
      <c r="H23099"/>
      <c r="I23099"/>
    </row>
    <row r="23100" spans="6:9" x14ac:dyDescent="0.3">
      <c r="F23100"/>
      <c r="G23100"/>
      <c r="H23100"/>
      <c r="I23100"/>
    </row>
    <row r="23101" spans="6:9" x14ac:dyDescent="0.3">
      <c r="F23101"/>
      <c r="G23101"/>
      <c r="H23101"/>
      <c r="I23101"/>
    </row>
    <row r="23102" spans="6:9" x14ac:dyDescent="0.3">
      <c r="F23102"/>
      <c r="G23102"/>
      <c r="H23102"/>
      <c r="I23102"/>
    </row>
    <row r="23103" spans="6:9" x14ac:dyDescent="0.3">
      <c r="F23103"/>
      <c r="G23103"/>
      <c r="H23103"/>
      <c r="I23103"/>
    </row>
    <row r="23104" spans="6:9" x14ac:dyDescent="0.3">
      <c r="F23104"/>
      <c r="G23104"/>
      <c r="H23104"/>
      <c r="I23104"/>
    </row>
    <row r="23105" spans="6:9" x14ac:dyDescent="0.3">
      <c r="F23105"/>
      <c r="G23105"/>
      <c r="H23105"/>
      <c r="I23105"/>
    </row>
    <row r="23106" spans="6:9" x14ac:dyDescent="0.3">
      <c r="F23106"/>
      <c r="G23106"/>
      <c r="H23106"/>
      <c r="I23106"/>
    </row>
    <row r="23107" spans="6:9" x14ac:dyDescent="0.3">
      <c r="F23107"/>
      <c r="G23107"/>
      <c r="H23107"/>
      <c r="I23107"/>
    </row>
    <row r="23108" spans="6:9" x14ac:dyDescent="0.3">
      <c r="F23108"/>
      <c r="G23108"/>
      <c r="H23108"/>
      <c r="I23108"/>
    </row>
    <row r="23109" spans="6:9" x14ac:dyDescent="0.3">
      <c r="F23109"/>
      <c r="G23109"/>
      <c r="H23109"/>
      <c r="I23109"/>
    </row>
    <row r="23110" spans="6:9" x14ac:dyDescent="0.3">
      <c r="F23110"/>
      <c r="G23110"/>
      <c r="H23110"/>
      <c r="I23110"/>
    </row>
    <row r="23111" spans="6:9" x14ac:dyDescent="0.3">
      <c r="F23111"/>
      <c r="G23111"/>
      <c r="H23111"/>
      <c r="I23111"/>
    </row>
    <row r="23112" spans="6:9" x14ac:dyDescent="0.3">
      <c r="F23112"/>
      <c r="G23112"/>
      <c r="H23112"/>
      <c r="I23112"/>
    </row>
    <row r="23113" spans="6:9" x14ac:dyDescent="0.3">
      <c r="F23113"/>
      <c r="G23113"/>
      <c r="H23113"/>
      <c r="I23113"/>
    </row>
    <row r="23114" spans="6:9" x14ac:dyDescent="0.3">
      <c r="F23114"/>
      <c r="G23114"/>
      <c r="H23114"/>
      <c r="I23114"/>
    </row>
    <row r="23115" spans="6:9" x14ac:dyDescent="0.3">
      <c r="F23115"/>
      <c r="G23115"/>
      <c r="H23115"/>
      <c r="I23115"/>
    </row>
    <row r="23116" spans="6:9" x14ac:dyDescent="0.3">
      <c r="F23116"/>
      <c r="G23116"/>
      <c r="H23116"/>
      <c r="I23116"/>
    </row>
    <row r="23117" spans="6:9" x14ac:dyDescent="0.3">
      <c r="F23117"/>
      <c r="G23117"/>
      <c r="H23117"/>
      <c r="I23117"/>
    </row>
    <row r="23118" spans="6:9" x14ac:dyDescent="0.3">
      <c r="F23118"/>
      <c r="G23118"/>
      <c r="H23118"/>
      <c r="I23118"/>
    </row>
    <row r="23119" spans="6:9" x14ac:dyDescent="0.3">
      <c r="F23119"/>
      <c r="G23119"/>
      <c r="H23119"/>
      <c r="I23119"/>
    </row>
    <row r="23120" spans="6:9" x14ac:dyDescent="0.3">
      <c r="F23120"/>
      <c r="G23120"/>
      <c r="H23120"/>
      <c r="I23120"/>
    </row>
    <row r="23121" spans="6:9" x14ac:dyDescent="0.3">
      <c r="F23121"/>
      <c r="G23121"/>
      <c r="H23121"/>
      <c r="I23121"/>
    </row>
    <row r="23122" spans="6:9" x14ac:dyDescent="0.3">
      <c r="F23122"/>
      <c r="G23122"/>
      <c r="H23122"/>
      <c r="I23122"/>
    </row>
    <row r="23123" spans="6:9" x14ac:dyDescent="0.3">
      <c r="F23123"/>
      <c r="G23123"/>
      <c r="H23123"/>
      <c r="I23123"/>
    </row>
    <row r="23124" spans="6:9" x14ac:dyDescent="0.3">
      <c r="F23124"/>
      <c r="G23124"/>
      <c r="H23124"/>
      <c r="I23124"/>
    </row>
    <row r="23125" spans="6:9" x14ac:dyDescent="0.3">
      <c r="F23125"/>
      <c r="G23125"/>
      <c r="H23125"/>
      <c r="I23125"/>
    </row>
    <row r="23126" spans="6:9" x14ac:dyDescent="0.3">
      <c r="F23126"/>
      <c r="G23126"/>
      <c r="H23126"/>
      <c r="I23126"/>
    </row>
    <row r="23127" spans="6:9" x14ac:dyDescent="0.3">
      <c r="F23127"/>
      <c r="G23127"/>
      <c r="H23127"/>
      <c r="I23127"/>
    </row>
    <row r="23128" spans="6:9" x14ac:dyDescent="0.3">
      <c r="F23128"/>
      <c r="G23128"/>
      <c r="H23128"/>
      <c r="I23128"/>
    </row>
    <row r="23129" spans="6:9" x14ac:dyDescent="0.3">
      <c r="F23129"/>
      <c r="G23129"/>
      <c r="H23129"/>
      <c r="I23129"/>
    </row>
    <row r="23130" spans="6:9" x14ac:dyDescent="0.3">
      <c r="F23130"/>
      <c r="G23130"/>
      <c r="H23130"/>
      <c r="I23130"/>
    </row>
    <row r="23131" spans="6:9" x14ac:dyDescent="0.3">
      <c r="F23131"/>
      <c r="G23131"/>
      <c r="H23131"/>
      <c r="I23131"/>
    </row>
    <row r="23132" spans="6:9" x14ac:dyDescent="0.3">
      <c r="F23132"/>
      <c r="G23132"/>
      <c r="H23132"/>
      <c r="I23132"/>
    </row>
    <row r="23133" spans="6:9" x14ac:dyDescent="0.3">
      <c r="F23133"/>
      <c r="G23133"/>
      <c r="H23133"/>
      <c r="I23133"/>
    </row>
    <row r="23134" spans="6:9" x14ac:dyDescent="0.3">
      <c r="F23134"/>
      <c r="G23134"/>
      <c r="H23134"/>
      <c r="I23134"/>
    </row>
    <row r="23135" spans="6:9" x14ac:dyDescent="0.3">
      <c r="F23135"/>
      <c r="G23135"/>
      <c r="H23135"/>
      <c r="I23135"/>
    </row>
    <row r="23136" spans="6:9" x14ac:dyDescent="0.3">
      <c r="F23136"/>
      <c r="G23136"/>
      <c r="H23136"/>
      <c r="I23136"/>
    </row>
    <row r="23137" spans="6:9" x14ac:dyDescent="0.3">
      <c r="F23137"/>
      <c r="G23137"/>
      <c r="H23137"/>
      <c r="I23137"/>
    </row>
    <row r="23138" spans="6:9" x14ac:dyDescent="0.3">
      <c r="F23138"/>
      <c r="G23138"/>
      <c r="H23138"/>
      <c r="I23138"/>
    </row>
    <row r="23139" spans="6:9" x14ac:dyDescent="0.3">
      <c r="F23139"/>
      <c r="G23139"/>
      <c r="H23139"/>
      <c r="I23139"/>
    </row>
    <row r="23140" spans="6:9" x14ac:dyDescent="0.3">
      <c r="F23140"/>
      <c r="G23140"/>
      <c r="H23140"/>
      <c r="I23140"/>
    </row>
    <row r="23141" spans="6:9" x14ac:dyDescent="0.3">
      <c r="F23141"/>
      <c r="G23141"/>
      <c r="H23141"/>
      <c r="I23141"/>
    </row>
    <row r="23142" spans="6:9" x14ac:dyDescent="0.3">
      <c r="F23142"/>
      <c r="G23142"/>
      <c r="H23142"/>
      <c r="I23142"/>
    </row>
    <row r="23143" spans="6:9" x14ac:dyDescent="0.3">
      <c r="F23143"/>
      <c r="G23143"/>
      <c r="H23143"/>
      <c r="I23143"/>
    </row>
    <row r="23144" spans="6:9" x14ac:dyDescent="0.3">
      <c r="F23144"/>
      <c r="G23144"/>
      <c r="H23144"/>
      <c r="I23144"/>
    </row>
    <row r="23145" spans="6:9" x14ac:dyDescent="0.3">
      <c r="F23145"/>
      <c r="G23145"/>
      <c r="H23145"/>
      <c r="I23145"/>
    </row>
    <row r="23146" spans="6:9" x14ac:dyDescent="0.3">
      <c r="F23146"/>
      <c r="G23146"/>
      <c r="H23146"/>
      <c r="I23146"/>
    </row>
    <row r="23147" spans="6:9" x14ac:dyDescent="0.3">
      <c r="F23147"/>
      <c r="G23147"/>
      <c r="H23147"/>
      <c r="I23147"/>
    </row>
    <row r="23148" spans="6:9" x14ac:dyDescent="0.3">
      <c r="F23148"/>
      <c r="G23148"/>
      <c r="H23148"/>
      <c r="I23148"/>
    </row>
    <row r="23149" spans="6:9" x14ac:dyDescent="0.3">
      <c r="F23149"/>
      <c r="G23149"/>
      <c r="H23149"/>
      <c r="I23149"/>
    </row>
    <row r="23150" spans="6:9" x14ac:dyDescent="0.3">
      <c r="F23150"/>
      <c r="G23150"/>
      <c r="H23150"/>
      <c r="I23150"/>
    </row>
    <row r="23151" spans="6:9" x14ac:dyDescent="0.3">
      <c r="F23151"/>
      <c r="G23151"/>
      <c r="H23151"/>
      <c r="I23151"/>
    </row>
    <row r="23152" spans="6:9" x14ac:dyDescent="0.3">
      <c r="F23152"/>
      <c r="G23152"/>
      <c r="H23152"/>
      <c r="I23152"/>
    </row>
    <row r="23153" spans="6:9" x14ac:dyDescent="0.3">
      <c r="F23153"/>
      <c r="G23153"/>
      <c r="H23153"/>
      <c r="I23153"/>
    </row>
    <row r="23154" spans="6:9" x14ac:dyDescent="0.3">
      <c r="F23154"/>
      <c r="G23154"/>
      <c r="H23154"/>
      <c r="I23154"/>
    </row>
    <row r="23155" spans="6:9" x14ac:dyDescent="0.3">
      <c r="F23155"/>
      <c r="G23155"/>
      <c r="H23155"/>
      <c r="I23155"/>
    </row>
    <row r="23156" spans="6:9" x14ac:dyDescent="0.3">
      <c r="F23156"/>
      <c r="G23156"/>
      <c r="H23156"/>
      <c r="I23156"/>
    </row>
    <row r="23157" spans="6:9" x14ac:dyDescent="0.3">
      <c r="F23157"/>
      <c r="G23157"/>
      <c r="H23157"/>
      <c r="I23157"/>
    </row>
    <row r="23158" spans="6:9" x14ac:dyDescent="0.3">
      <c r="F23158"/>
      <c r="G23158"/>
      <c r="H23158"/>
      <c r="I23158"/>
    </row>
    <row r="23159" spans="6:9" x14ac:dyDescent="0.3">
      <c r="F23159"/>
      <c r="G23159"/>
      <c r="H23159"/>
      <c r="I23159"/>
    </row>
    <row r="23160" spans="6:9" x14ac:dyDescent="0.3">
      <c r="F23160"/>
      <c r="G23160"/>
      <c r="H23160"/>
      <c r="I23160"/>
    </row>
    <row r="23161" spans="6:9" x14ac:dyDescent="0.3">
      <c r="F23161"/>
      <c r="G23161"/>
      <c r="H23161"/>
      <c r="I23161"/>
    </row>
    <row r="23162" spans="6:9" x14ac:dyDescent="0.3">
      <c r="F23162"/>
      <c r="G23162"/>
      <c r="H23162"/>
      <c r="I23162"/>
    </row>
    <row r="23163" spans="6:9" x14ac:dyDescent="0.3">
      <c r="F23163"/>
      <c r="G23163"/>
      <c r="H23163"/>
      <c r="I23163"/>
    </row>
    <row r="23164" spans="6:9" x14ac:dyDescent="0.3">
      <c r="F23164"/>
      <c r="G23164"/>
      <c r="H23164"/>
      <c r="I23164"/>
    </row>
    <row r="23165" spans="6:9" x14ac:dyDescent="0.3">
      <c r="F23165"/>
      <c r="G23165"/>
      <c r="H23165"/>
      <c r="I23165"/>
    </row>
    <row r="23166" spans="6:9" x14ac:dyDescent="0.3">
      <c r="F23166"/>
      <c r="G23166"/>
      <c r="H23166"/>
      <c r="I23166"/>
    </row>
    <row r="23167" spans="6:9" x14ac:dyDescent="0.3">
      <c r="F23167"/>
      <c r="G23167"/>
      <c r="H23167"/>
      <c r="I23167"/>
    </row>
    <row r="23168" spans="6:9" x14ac:dyDescent="0.3">
      <c r="F23168"/>
      <c r="G23168"/>
      <c r="H23168"/>
      <c r="I23168"/>
    </row>
    <row r="23169" spans="6:9" x14ac:dyDescent="0.3">
      <c r="F23169"/>
      <c r="G23169"/>
      <c r="H23169"/>
      <c r="I23169"/>
    </row>
    <row r="23170" spans="6:9" x14ac:dyDescent="0.3">
      <c r="F23170"/>
      <c r="G23170"/>
      <c r="H23170"/>
      <c r="I23170"/>
    </row>
    <row r="23171" spans="6:9" x14ac:dyDescent="0.3">
      <c r="F23171"/>
      <c r="G23171"/>
      <c r="H23171"/>
      <c r="I23171"/>
    </row>
    <row r="23172" spans="6:9" x14ac:dyDescent="0.3">
      <c r="F23172"/>
      <c r="G23172"/>
      <c r="H23172"/>
      <c r="I23172"/>
    </row>
    <row r="23173" spans="6:9" x14ac:dyDescent="0.3">
      <c r="F23173"/>
      <c r="G23173"/>
      <c r="H23173"/>
      <c r="I23173"/>
    </row>
    <row r="23174" spans="6:9" x14ac:dyDescent="0.3">
      <c r="F23174"/>
      <c r="G23174"/>
      <c r="H23174"/>
      <c r="I23174"/>
    </row>
    <row r="23175" spans="6:9" x14ac:dyDescent="0.3">
      <c r="F23175"/>
      <c r="G23175"/>
      <c r="H23175"/>
      <c r="I23175"/>
    </row>
    <row r="23176" spans="6:9" x14ac:dyDescent="0.3">
      <c r="F23176"/>
      <c r="G23176"/>
      <c r="H23176"/>
      <c r="I23176"/>
    </row>
    <row r="23177" spans="6:9" x14ac:dyDescent="0.3">
      <c r="F23177"/>
      <c r="G23177"/>
      <c r="H23177"/>
      <c r="I23177"/>
    </row>
    <row r="23178" spans="6:9" x14ac:dyDescent="0.3">
      <c r="F23178"/>
      <c r="G23178"/>
      <c r="H23178"/>
      <c r="I23178"/>
    </row>
    <row r="23179" spans="6:9" x14ac:dyDescent="0.3">
      <c r="F23179"/>
      <c r="G23179"/>
      <c r="H23179"/>
      <c r="I23179"/>
    </row>
    <row r="23180" spans="6:9" x14ac:dyDescent="0.3">
      <c r="F23180"/>
      <c r="G23180"/>
      <c r="H23180"/>
      <c r="I23180"/>
    </row>
    <row r="23181" spans="6:9" x14ac:dyDescent="0.3">
      <c r="F23181"/>
      <c r="G23181"/>
      <c r="H23181"/>
      <c r="I23181"/>
    </row>
    <row r="23182" spans="6:9" x14ac:dyDescent="0.3">
      <c r="F23182"/>
      <c r="G23182"/>
      <c r="H23182"/>
      <c r="I23182"/>
    </row>
    <row r="23183" spans="6:9" x14ac:dyDescent="0.3">
      <c r="F23183"/>
      <c r="G23183"/>
      <c r="H23183"/>
      <c r="I23183"/>
    </row>
    <row r="23184" spans="6:9" x14ac:dyDescent="0.3">
      <c r="F23184"/>
      <c r="G23184"/>
      <c r="H23184"/>
      <c r="I23184"/>
    </row>
    <row r="23185" spans="6:9" x14ac:dyDescent="0.3">
      <c r="F23185"/>
      <c r="G23185"/>
      <c r="H23185"/>
      <c r="I23185"/>
    </row>
    <row r="23186" spans="6:9" x14ac:dyDescent="0.3">
      <c r="F23186"/>
      <c r="G23186"/>
      <c r="H23186"/>
      <c r="I23186"/>
    </row>
    <row r="23187" spans="6:9" x14ac:dyDescent="0.3">
      <c r="F23187"/>
      <c r="G23187"/>
      <c r="H23187"/>
      <c r="I23187"/>
    </row>
    <row r="23188" spans="6:9" x14ac:dyDescent="0.3">
      <c r="F23188"/>
      <c r="G23188"/>
      <c r="H23188"/>
      <c r="I23188"/>
    </row>
    <row r="23189" spans="6:9" x14ac:dyDescent="0.3">
      <c r="F23189"/>
      <c r="G23189"/>
      <c r="H23189"/>
      <c r="I23189"/>
    </row>
    <row r="23190" spans="6:9" x14ac:dyDescent="0.3">
      <c r="F23190"/>
      <c r="G23190"/>
      <c r="H23190"/>
      <c r="I23190"/>
    </row>
    <row r="23191" spans="6:9" x14ac:dyDescent="0.3">
      <c r="F23191"/>
      <c r="G23191"/>
      <c r="H23191"/>
      <c r="I23191"/>
    </row>
    <row r="23192" spans="6:9" x14ac:dyDescent="0.3">
      <c r="F23192"/>
      <c r="G23192"/>
      <c r="H23192"/>
      <c r="I23192"/>
    </row>
    <row r="23193" spans="6:9" x14ac:dyDescent="0.3">
      <c r="F23193"/>
      <c r="G23193"/>
      <c r="H23193"/>
      <c r="I23193"/>
    </row>
    <row r="23194" spans="6:9" x14ac:dyDescent="0.3">
      <c r="F23194"/>
      <c r="G23194"/>
      <c r="H23194"/>
      <c r="I23194"/>
    </row>
    <row r="23195" spans="6:9" x14ac:dyDescent="0.3">
      <c r="F23195"/>
      <c r="G23195"/>
      <c r="H23195"/>
      <c r="I23195"/>
    </row>
    <row r="23196" spans="6:9" x14ac:dyDescent="0.3">
      <c r="F23196"/>
      <c r="G23196"/>
      <c r="H23196"/>
      <c r="I23196"/>
    </row>
    <row r="23197" spans="6:9" x14ac:dyDescent="0.3">
      <c r="F23197"/>
      <c r="G23197"/>
      <c r="H23197"/>
      <c r="I23197"/>
    </row>
    <row r="23198" spans="6:9" x14ac:dyDescent="0.3">
      <c r="F23198"/>
      <c r="G23198"/>
      <c r="H23198"/>
      <c r="I23198"/>
    </row>
    <row r="23199" spans="6:9" x14ac:dyDescent="0.3">
      <c r="F23199"/>
      <c r="G23199"/>
      <c r="H23199"/>
      <c r="I23199"/>
    </row>
    <row r="23200" spans="6:9" x14ac:dyDescent="0.3">
      <c r="F23200"/>
      <c r="G23200"/>
      <c r="H23200"/>
      <c r="I23200"/>
    </row>
    <row r="23201" spans="6:9" x14ac:dyDescent="0.3">
      <c r="F23201"/>
      <c r="G23201"/>
      <c r="H23201"/>
      <c r="I23201"/>
    </row>
    <row r="23202" spans="6:9" x14ac:dyDescent="0.3">
      <c r="F23202"/>
      <c r="G23202"/>
      <c r="H23202"/>
      <c r="I23202"/>
    </row>
    <row r="23203" spans="6:9" x14ac:dyDescent="0.3">
      <c r="F23203"/>
      <c r="G23203"/>
      <c r="H23203"/>
      <c r="I23203"/>
    </row>
    <row r="23204" spans="6:9" x14ac:dyDescent="0.3">
      <c r="F23204"/>
      <c r="G23204"/>
      <c r="H23204"/>
      <c r="I23204"/>
    </row>
    <row r="23205" spans="6:9" x14ac:dyDescent="0.3">
      <c r="F23205"/>
      <c r="G23205"/>
      <c r="H23205"/>
      <c r="I23205"/>
    </row>
    <row r="23206" spans="6:9" x14ac:dyDescent="0.3">
      <c r="F23206"/>
      <c r="G23206"/>
      <c r="H23206"/>
      <c r="I23206"/>
    </row>
    <row r="23207" spans="6:9" x14ac:dyDescent="0.3">
      <c r="F23207"/>
      <c r="G23207"/>
      <c r="H23207"/>
      <c r="I23207"/>
    </row>
    <row r="23208" spans="6:9" x14ac:dyDescent="0.3">
      <c r="F23208"/>
      <c r="G23208"/>
      <c r="H23208"/>
      <c r="I23208"/>
    </row>
    <row r="23209" spans="6:9" x14ac:dyDescent="0.3">
      <c r="F23209"/>
      <c r="G23209"/>
      <c r="H23209"/>
      <c r="I23209"/>
    </row>
    <row r="23210" spans="6:9" x14ac:dyDescent="0.3">
      <c r="F23210"/>
      <c r="G23210"/>
      <c r="H23210"/>
      <c r="I23210"/>
    </row>
    <row r="23211" spans="6:9" x14ac:dyDescent="0.3">
      <c r="F23211"/>
      <c r="G23211"/>
      <c r="H23211"/>
      <c r="I23211"/>
    </row>
    <row r="23212" spans="6:9" x14ac:dyDescent="0.3">
      <c r="F23212"/>
      <c r="G23212"/>
      <c r="H23212"/>
      <c r="I23212"/>
    </row>
    <row r="23213" spans="6:9" x14ac:dyDescent="0.3">
      <c r="F23213"/>
      <c r="G23213"/>
      <c r="H23213"/>
      <c r="I23213"/>
    </row>
    <row r="23214" spans="6:9" x14ac:dyDescent="0.3">
      <c r="F23214"/>
      <c r="G23214"/>
      <c r="H23214"/>
      <c r="I23214"/>
    </row>
    <row r="23215" spans="6:9" x14ac:dyDescent="0.3">
      <c r="F23215"/>
      <c r="G23215"/>
      <c r="H23215"/>
      <c r="I23215"/>
    </row>
    <row r="23216" spans="6:9" x14ac:dyDescent="0.3">
      <c r="F23216"/>
      <c r="G23216"/>
      <c r="H23216"/>
      <c r="I23216"/>
    </row>
    <row r="23217" spans="6:9" x14ac:dyDescent="0.3">
      <c r="F23217"/>
      <c r="G23217"/>
      <c r="H23217"/>
      <c r="I23217"/>
    </row>
    <row r="23218" spans="6:9" x14ac:dyDescent="0.3">
      <c r="F23218"/>
      <c r="G23218"/>
      <c r="H23218"/>
      <c r="I23218"/>
    </row>
    <row r="23219" spans="6:9" x14ac:dyDescent="0.3">
      <c r="F23219"/>
      <c r="G23219"/>
      <c r="H23219"/>
      <c r="I23219"/>
    </row>
    <row r="23220" spans="6:9" x14ac:dyDescent="0.3">
      <c r="F23220"/>
      <c r="G23220"/>
      <c r="H23220"/>
      <c r="I23220"/>
    </row>
    <row r="23221" spans="6:9" x14ac:dyDescent="0.3">
      <c r="F23221"/>
      <c r="G23221"/>
      <c r="H23221"/>
      <c r="I23221"/>
    </row>
    <row r="23222" spans="6:9" x14ac:dyDescent="0.3">
      <c r="F23222"/>
      <c r="G23222"/>
      <c r="H23222"/>
      <c r="I23222"/>
    </row>
    <row r="23223" spans="6:9" x14ac:dyDescent="0.3">
      <c r="F23223"/>
      <c r="G23223"/>
      <c r="H23223"/>
      <c r="I23223"/>
    </row>
    <row r="23224" spans="6:9" x14ac:dyDescent="0.3">
      <c r="F23224"/>
      <c r="G23224"/>
      <c r="H23224"/>
      <c r="I23224"/>
    </row>
    <row r="23225" spans="6:9" x14ac:dyDescent="0.3">
      <c r="F23225"/>
      <c r="G23225"/>
      <c r="H23225"/>
      <c r="I23225"/>
    </row>
    <row r="23226" spans="6:9" x14ac:dyDescent="0.3">
      <c r="F23226"/>
      <c r="G23226"/>
      <c r="H23226"/>
      <c r="I23226"/>
    </row>
    <row r="23227" spans="6:9" x14ac:dyDescent="0.3">
      <c r="F23227"/>
      <c r="G23227"/>
      <c r="H23227"/>
      <c r="I23227"/>
    </row>
    <row r="23228" spans="6:9" x14ac:dyDescent="0.3">
      <c r="F23228"/>
      <c r="G23228"/>
      <c r="H23228"/>
      <c r="I23228"/>
    </row>
    <row r="23229" spans="6:9" x14ac:dyDescent="0.3">
      <c r="F23229"/>
      <c r="G23229"/>
      <c r="H23229"/>
      <c r="I23229"/>
    </row>
    <row r="23230" spans="6:9" x14ac:dyDescent="0.3">
      <c r="F23230"/>
      <c r="G23230"/>
      <c r="H23230"/>
      <c r="I23230"/>
    </row>
    <row r="23231" spans="6:9" x14ac:dyDescent="0.3">
      <c r="F23231"/>
      <c r="G23231"/>
      <c r="H23231"/>
      <c r="I23231"/>
    </row>
    <row r="23232" spans="6:9" x14ac:dyDescent="0.3">
      <c r="F23232"/>
      <c r="G23232"/>
      <c r="H23232"/>
      <c r="I23232"/>
    </row>
    <row r="23233" spans="6:9" x14ac:dyDescent="0.3">
      <c r="F23233"/>
      <c r="G23233"/>
      <c r="H23233"/>
      <c r="I23233"/>
    </row>
    <row r="23234" spans="6:9" x14ac:dyDescent="0.3">
      <c r="F23234"/>
      <c r="G23234"/>
      <c r="H23234"/>
      <c r="I23234"/>
    </row>
    <row r="23235" spans="6:9" x14ac:dyDescent="0.3">
      <c r="F23235"/>
      <c r="G23235"/>
      <c r="H23235"/>
      <c r="I23235"/>
    </row>
    <row r="23236" spans="6:9" x14ac:dyDescent="0.3">
      <c r="F23236"/>
      <c r="G23236"/>
      <c r="H23236"/>
      <c r="I23236"/>
    </row>
    <row r="23237" spans="6:9" x14ac:dyDescent="0.3">
      <c r="F23237"/>
      <c r="G23237"/>
      <c r="H23237"/>
      <c r="I23237"/>
    </row>
    <row r="23238" spans="6:9" x14ac:dyDescent="0.3">
      <c r="F23238"/>
      <c r="G23238"/>
      <c r="H23238"/>
      <c r="I23238"/>
    </row>
    <row r="23239" spans="6:9" x14ac:dyDescent="0.3">
      <c r="F23239"/>
      <c r="G23239"/>
      <c r="H23239"/>
      <c r="I23239"/>
    </row>
    <row r="23240" spans="6:9" x14ac:dyDescent="0.3">
      <c r="F23240"/>
      <c r="G23240"/>
      <c r="H23240"/>
      <c r="I23240"/>
    </row>
    <row r="23241" spans="6:9" x14ac:dyDescent="0.3">
      <c r="F23241"/>
      <c r="G23241"/>
      <c r="H23241"/>
      <c r="I23241"/>
    </row>
    <row r="23242" spans="6:9" x14ac:dyDescent="0.3">
      <c r="F23242"/>
      <c r="G23242"/>
      <c r="H23242"/>
      <c r="I23242"/>
    </row>
    <row r="23243" spans="6:9" x14ac:dyDescent="0.3">
      <c r="F23243"/>
      <c r="G23243"/>
      <c r="H23243"/>
      <c r="I23243"/>
    </row>
    <row r="23244" spans="6:9" x14ac:dyDescent="0.3">
      <c r="F23244"/>
      <c r="G23244"/>
      <c r="H23244"/>
      <c r="I23244"/>
    </row>
    <row r="23245" spans="6:9" x14ac:dyDescent="0.3">
      <c r="F23245"/>
      <c r="G23245"/>
      <c r="H23245"/>
      <c r="I23245"/>
    </row>
    <row r="23246" spans="6:9" x14ac:dyDescent="0.3">
      <c r="F23246"/>
      <c r="G23246"/>
      <c r="H23246"/>
      <c r="I23246"/>
    </row>
    <row r="23247" spans="6:9" x14ac:dyDescent="0.3">
      <c r="F23247"/>
      <c r="G23247"/>
      <c r="H23247"/>
      <c r="I23247"/>
    </row>
    <row r="23248" spans="6:9" x14ac:dyDescent="0.3">
      <c r="F23248"/>
      <c r="G23248"/>
      <c r="H23248"/>
      <c r="I23248"/>
    </row>
    <row r="23249" spans="6:9" x14ac:dyDescent="0.3">
      <c r="F23249"/>
      <c r="G23249"/>
      <c r="H23249"/>
      <c r="I23249"/>
    </row>
    <row r="23250" spans="6:9" x14ac:dyDescent="0.3">
      <c r="F23250"/>
      <c r="G23250"/>
      <c r="H23250"/>
      <c r="I23250"/>
    </row>
    <row r="23251" spans="6:9" x14ac:dyDescent="0.3">
      <c r="F23251"/>
      <c r="G23251"/>
      <c r="H23251"/>
      <c r="I23251"/>
    </row>
    <row r="23252" spans="6:9" x14ac:dyDescent="0.3">
      <c r="F23252"/>
      <c r="G23252"/>
      <c r="H23252"/>
      <c r="I23252"/>
    </row>
    <row r="23253" spans="6:9" x14ac:dyDescent="0.3">
      <c r="F23253"/>
      <c r="G23253"/>
      <c r="H23253"/>
      <c r="I23253"/>
    </row>
    <row r="23254" spans="6:9" x14ac:dyDescent="0.3">
      <c r="F23254"/>
      <c r="G23254"/>
      <c r="H23254"/>
      <c r="I23254"/>
    </row>
    <row r="23255" spans="6:9" x14ac:dyDescent="0.3">
      <c r="F23255"/>
      <c r="G23255"/>
      <c r="H23255"/>
      <c r="I23255"/>
    </row>
    <row r="23256" spans="6:9" x14ac:dyDescent="0.3">
      <c r="F23256"/>
      <c r="G23256"/>
      <c r="H23256"/>
      <c r="I23256"/>
    </row>
    <row r="23257" spans="6:9" x14ac:dyDescent="0.3">
      <c r="F23257"/>
      <c r="G23257"/>
      <c r="H23257"/>
      <c r="I23257"/>
    </row>
    <row r="23258" spans="6:9" x14ac:dyDescent="0.3">
      <c r="F23258"/>
      <c r="G23258"/>
      <c r="H23258"/>
      <c r="I23258"/>
    </row>
    <row r="23259" spans="6:9" x14ac:dyDescent="0.3">
      <c r="F23259"/>
      <c r="G23259"/>
      <c r="H23259"/>
      <c r="I23259"/>
    </row>
    <row r="23260" spans="6:9" x14ac:dyDescent="0.3">
      <c r="F23260"/>
      <c r="G23260"/>
      <c r="H23260"/>
      <c r="I23260"/>
    </row>
    <row r="23261" spans="6:9" x14ac:dyDescent="0.3">
      <c r="F23261"/>
      <c r="G23261"/>
      <c r="H23261"/>
      <c r="I23261"/>
    </row>
    <row r="23262" spans="6:9" x14ac:dyDescent="0.3">
      <c r="F23262"/>
      <c r="G23262"/>
      <c r="H23262"/>
      <c r="I23262"/>
    </row>
    <row r="23263" spans="6:9" x14ac:dyDescent="0.3">
      <c r="F23263"/>
      <c r="G23263"/>
      <c r="H23263"/>
      <c r="I23263"/>
    </row>
    <row r="23264" spans="6:9" x14ac:dyDescent="0.3">
      <c r="F23264"/>
      <c r="G23264"/>
      <c r="H23264"/>
      <c r="I23264"/>
    </row>
    <row r="23265" spans="6:9" x14ac:dyDescent="0.3">
      <c r="F23265"/>
      <c r="G23265"/>
      <c r="H23265"/>
      <c r="I23265"/>
    </row>
    <row r="23266" spans="6:9" x14ac:dyDescent="0.3">
      <c r="F23266"/>
      <c r="G23266"/>
      <c r="H23266"/>
      <c r="I23266"/>
    </row>
    <row r="23267" spans="6:9" x14ac:dyDescent="0.3">
      <c r="F23267"/>
      <c r="G23267"/>
      <c r="H23267"/>
      <c r="I23267"/>
    </row>
    <row r="23268" spans="6:9" x14ac:dyDescent="0.3">
      <c r="F23268"/>
      <c r="G23268"/>
      <c r="H23268"/>
      <c r="I23268"/>
    </row>
    <row r="23269" spans="6:9" x14ac:dyDescent="0.3">
      <c r="F23269"/>
      <c r="G23269"/>
      <c r="H23269"/>
      <c r="I23269"/>
    </row>
    <row r="23270" spans="6:9" x14ac:dyDescent="0.3">
      <c r="F23270"/>
      <c r="G23270"/>
      <c r="H23270"/>
      <c r="I23270"/>
    </row>
    <row r="23271" spans="6:9" x14ac:dyDescent="0.3">
      <c r="F23271"/>
      <c r="G23271"/>
      <c r="H23271"/>
      <c r="I23271"/>
    </row>
    <row r="23272" spans="6:9" x14ac:dyDescent="0.3">
      <c r="F23272"/>
      <c r="G23272"/>
      <c r="H23272"/>
      <c r="I23272"/>
    </row>
    <row r="23273" spans="6:9" x14ac:dyDescent="0.3">
      <c r="F23273"/>
      <c r="G23273"/>
      <c r="H23273"/>
      <c r="I23273"/>
    </row>
    <row r="23274" spans="6:9" x14ac:dyDescent="0.3">
      <c r="F23274"/>
      <c r="G23274"/>
      <c r="H23274"/>
      <c r="I23274"/>
    </row>
    <row r="23275" spans="6:9" x14ac:dyDescent="0.3">
      <c r="F23275"/>
      <c r="G23275"/>
      <c r="H23275"/>
      <c r="I23275"/>
    </row>
    <row r="23276" spans="6:9" x14ac:dyDescent="0.3">
      <c r="F23276"/>
      <c r="G23276"/>
      <c r="H23276"/>
      <c r="I23276"/>
    </row>
    <row r="23277" spans="6:9" x14ac:dyDescent="0.3">
      <c r="F23277"/>
      <c r="G23277"/>
      <c r="H23277"/>
      <c r="I23277"/>
    </row>
    <row r="23278" spans="6:9" x14ac:dyDescent="0.3">
      <c r="F23278"/>
      <c r="G23278"/>
      <c r="H23278"/>
      <c r="I23278"/>
    </row>
    <row r="23279" spans="6:9" x14ac:dyDescent="0.3">
      <c r="F23279"/>
      <c r="G23279"/>
      <c r="H23279"/>
      <c r="I23279"/>
    </row>
    <row r="23280" spans="6:9" x14ac:dyDescent="0.3">
      <c r="F23280"/>
      <c r="G23280"/>
      <c r="H23280"/>
      <c r="I23280"/>
    </row>
    <row r="23281" spans="6:9" x14ac:dyDescent="0.3">
      <c r="F23281"/>
      <c r="G23281"/>
      <c r="H23281"/>
      <c r="I23281"/>
    </row>
    <row r="23282" spans="6:9" x14ac:dyDescent="0.3">
      <c r="F23282"/>
      <c r="G23282"/>
      <c r="H23282"/>
      <c r="I23282"/>
    </row>
    <row r="23283" spans="6:9" x14ac:dyDescent="0.3">
      <c r="F23283"/>
      <c r="G23283"/>
      <c r="H23283"/>
      <c r="I23283"/>
    </row>
    <row r="23284" spans="6:9" x14ac:dyDescent="0.3">
      <c r="F23284"/>
      <c r="G23284"/>
      <c r="H23284"/>
      <c r="I23284"/>
    </row>
    <row r="23285" spans="6:9" x14ac:dyDescent="0.3">
      <c r="F23285"/>
      <c r="G23285"/>
      <c r="H23285"/>
      <c r="I23285"/>
    </row>
    <row r="23286" spans="6:9" x14ac:dyDescent="0.3">
      <c r="F23286"/>
      <c r="G23286"/>
      <c r="H23286"/>
      <c r="I23286"/>
    </row>
    <row r="23287" spans="6:9" x14ac:dyDescent="0.3">
      <c r="F23287"/>
      <c r="G23287"/>
      <c r="H23287"/>
      <c r="I23287"/>
    </row>
    <row r="23288" spans="6:9" x14ac:dyDescent="0.3">
      <c r="F23288"/>
      <c r="G23288"/>
      <c r="H23288"/>
      <c r="I23288"/>
    </row>
    <row r="23289" spans="6:9" x14ac:dyDescent="0.3">
      <c r="F23289"/>
      <c r="G23289"/>
      <c r="H23289"/>
      <c r="I23289"/>
    </row>
    <row r="23290" spans="6:9" x14ac:dyDescent="0.3">
      <c r="F23290"/>
      <c r="G23290"/>
      <c r="H23290"/>
      <c r="I23290"/>
    </row>
    <row r="23291" spans="6:9" x14ac:dyDescent="0.3">
      <c r="F23291"/>
      <c r="G23291"/>
      <c r="H23291"/>
      <c r="I23291"/>
    </row>
    <row r="23292" spans="6:9" x14ac:dyDescent="0.3">
      <c r="F23292"/>
      <c r="G23292"/>
      <c r="H23292"/>
      <c r="I23292"/>
    </row>
    <row r="23293" spans="6:9" x14ac:dyDescent="0.3">
      <c r="F23293"/>
      <c r="G23293"/>
      <c r="H23293"/>
      <c r="I23293"/>
    </row>
    <row r="23294" spans="6:9" x14ac:dyDescent="0.3">
      <c r="F23294"/>
      <c r="G23294"/>
      <c r="H23294"/>
      <c r="I23294"/>
    </row>
    <row r="23295" spans="6:9" x14ac:dyDescent="0.3">
      <c r="F23295"/>
      <c r="G23295"/>
      <c r="H23295"/>
      <c r="I23295"/>
    </row>
    <row r="23296" spans="6:9" x14ac:dyDescent="0.3">
      <c r="F23296"/>
      <c r="G23296"/>
      <c r="H23296"/>
      <c r="I23296"/>
    </row>
    <row r="23297" spans="6:9" x14ac:dyDescent="0.3">
      <c r="F23297"/>
      <c r="G23297"/>
      <c r="H23297"/>
      <c r="I23297"/>
    </row>
    <row r="23298" spans="6:9" x14ac:dyDescent="0.3">
      <c r="F23298"/>
      <c r="G23298"/>
      <c r="H23298"/>
      <c r="I23298"/>
    </row>
    <row r="23299" spans="6:9" x14ac:dyDescent="0.3">
      <c r="F23299"/>
      <c r="G23299"/>
      <c r="H23299"/>
      <c r="I23299"/>
    </row>
    <row r="23300" spans="6:9" x14ac:dyDescent="0.3">
      <c r="F23300"/>
      <c r="G23300"/>
      <c r="H23300"/>
      <c r="I23300"/>
    </row>
    <row r="23301" spans="6:9" x14ac:dyDescent="0.3">
      <c r="F23301"/>
      <c r="G23301"/>
      <c r="H23301"/>
      <c r="I23301"/>
    </row>
    <row r="23302" spans="6:9" x14ac:dyDescent="0.3">
      <c r="F23302"/>
      <c r="G23302"/>
      <c r="H23302"/>
      <c r="I23302"/>
    </row>
    <row r="23303" spans="6:9" x14ac:dyDescent="0.3">
      <c r="F23303"/>
      <c r="G23303"/>
      <c r="H23303"/>
      <c r="I23303"/>
    </row>
    <row r="23304" spans="6:9" x14ac:dyDescent="0.3">
      <c r="F23304"/>
      <c r="G23304"/>
      <c r="H23304"/>
      <c r="I23304"/>
    </row>
    <row r="23305" spans="6:9" x14ac:dyDescent="0.3">
      <c r="F23305"/>
      <c r="G23305"/>
      <c r="H23305"/>
      <c r="I23305"/>
    </row>
    <row r="23306" spans="6:9" x14ac:dyDescent="0.3">
      <c r="F23306"/>
      <c r="G23306"/>
      <c r="H23306"/>
      <c r="I23306"/>
    </row>
    <row r="23307" spans="6:9" x14ac:dyDescent="0.3">
      <c r="F23307"/>
      <c r="G23307"/>
      <c r="H23307"/>
      <c r="I23307"/>
    </row>
    <row r="23308" spans="6:9" x14ac:dyDescent="0.3">
      <c r="F23308"/>
      <c r="G23308"/>
      <c r="H23308"/>
      <c r="I23308"/>
    </row>
    <row r="23309" spans="6:9" x14ac:dyDescent="0.3">
      <c r="F23309"/>
      <c r="G23309"/>
      <c r="H23309"/>
      <c r="I23309"/>
    </row>
    <row r="23310" spans="6:9" x14ac:dyDescent="0.3">
      <c r="F23310"/>
      <c r="G23310"/>
      <c r="H23310"/>
      <c r="I23310"/>
    </row>
    <row r="23311" spans="6:9" x14ac:dyDescent="0.3">
      <c r="F23311"/>
      <c r="G23311"/>
      <c r="H23311"/>
      <c r="I23311"/>
    </row>
    <row r="23312" spans="6:9" x14ac:dyDescent="0.3">
      <c r="F23312"/>
      <c r="G23312"/>
      <c r="H23312"/>
      <c r="I23312"/>
    </row>
    <row r="23313" spans="6:9" x14ac:dyDescent="0.3">
      <c r="F23313"/>
      <c r="G23313"/>
      <c r="H23313"/>
      <c r="I23313"/>
    </row>
    <row r="23314" spans="6:9" x14ac:dyDescent="0.3">
      <c r="F23314"/>
      <c r="G23314"/>
      <c r="H23314"/>
      <c r="I23314"/>
    </row>
    <row r="23315" spans="6:9" x14ac:dyDescent="0.3">
      <c r="F23315"/>
      <c r="G23315"/>
      <c r="H23315"/>
      <c r="I23315"/>
    </row>
    <row r="23316" spans="6:9" x14ac:dyDescent="0.3">
      <c r="F23316"/>
      <c r="G23316"/>
      <c r="H23316"/>
      <c r="I23316"/>
    </row>
    <row r="23317" spans="6:9" x14ac:dyDescent="0.3">
      <c r="F23317"/>
      <c r="G23317"/>
      <c r="H23317"/>
      <c r="I23317"/>
    </row>
    <row r="23318" spans="6:9" x14ac:dyDescent="0.3">
      <c r="F23318"/>
      <c r="G23318"/>
      <c r="H23318"/>
      <c r="I23318"/>
    </row>
    <row r="23319" spans="6:9" x14ac:dyDescent="0.3">
      <c r="F23319"/>
      <c r="G23319"/>
      <c r="H23319"/>
      <c r="I23319"/>
    </row>
    <row r="23320" spans="6:9" x14ac:dyDescent="0.3">
      <c r="F23320"/>
      <c r="G23320"/>
      <c r="H23320"/>
      <c r="I23320"/>
    </row>
    <row r="23321" spans="6:9" x14ac:dyDescent="0.3">
      <c r="F23321"/>
      <c r="G23321"/>
      <c r="H23321"/>
      <c r="I23321"/>
    </row>
    <row r="23322" spans="6:9" x14ac:dyDescent="0.3">
      <c r="F23322"/>
      <c r="G23322"/>
      <c r="H23322"/>
      <c r="I23322"/>
    </row>
    <row r="23323" spans="6:9" x14ac:dyDescent="0.3">
      <c r="F23323"/>
      <c r="G23323"/>
      <c r="H23323"/>
      <c r="I23323"/>
    </row>
    <row r="23324" spans="6:9" x14ac:dyDescent="0.3">
      <c r="F23324"/>
      <c r="G23324"/>
      <c r="H23324"/>
      <c r="I23324"/>
    </row>
    <row r="23325" spans="6:9" x14ac:dyDescent="0.3">
      <c r="F23325"/>
      <c r="G23325"/>
      <c r="H23325"/>
      <c r="I23325"/>
    </row>
    <row r="23326" spans="6:9" x14ac:dyDescent="0.3">
      <c r="F23326"/>
      <c r="G23326"/>
      <c r="H23326"/>
      <c r="I23326"/>
    </row>
    <row r="23327" spans="6:9" x14ac:dyDescent="0.3">
      <c r="F23327"/>
      <c r="G23327"/>
      <c r="H23327"/>
      <c r="I23327"/>
    </row>
    <row r="23328" spans="6:9" x14ac:dyDescent="0.3">
      <c r="F23328"/>
      <c r="G23328"/>
      <c r="H23328"/>
      <c r="I23328"/>
    </row>
    <row r="23329" spans="6:9" x14ac:dyDescent="0.3">
      <c r="F23329"/>
      <c r="G23329"/>
      <c r="H23329"/>
      <c r="I23329"/>
    </row>
    <row r="23330" spans="6:9" x14ac:dyDescent="0.3">
      <c r="F23330"/>
      <c r="G23330"/>
      <c r="H23330"/>
      <c r="I23330"/>
    </row>
    <row r="23331" spans="6:9" x14ac:dyDescent="0.3">
      <c r="F23331"/>
      <c r="G23331"/>
      <c r="H23331"/>
      <c r="I23331"/>
    </row>
    <row r="23332" spans="6:9" x14ac:dyDescent="0.3">
      <c r="F23332"/>
      <c r="G23332"/>
      <c r="H23332"/>
      <c r="I23332"/>
    </row>
    <row r="23333" spans="6:9" x14ac:dyDescent="0.3">
      <c r="F23333"/>
      <c r="G23333"/>
      <c r="H23333"/>
      <c r="I23333"/>
    </row>
    <row r="23334" spans="6:9" x14ac:dyDescent="0.3">
      <c r="F23334"/>
      <c r="G23334"/>
      <c r="H23334"/>
      <c r="I23334"/>
    </row>
    <row r="23335" spans="6:9" x14ac:dyDescent="0.3">
      <c r="F23335"/>
      <c r="G23335"/>
      <c r="H23335"/>
      <c r="I23335"/>
    </row>
    <row r="23336" spans="6:9" x14ac:dyDescent="0.3">
      <c r="F23336"/>
      <c r="G23336"/>
      <c r="H23336"/>
      <c r="I23336"/>
    </row>
    <row r="23337" spans="6:9" x14ac:dyDescent="0.3">
      <c r="F23337"/>
      <c r="G23337"/>
      <c r="H23337"/>
      <c r="I23337"/>
    </row>
    <row r="23338" spans="6:9" x14ac:dyDescent="0.3">
      <c r="F23338"/>
      <c r="G23338"/>
      <c r="H23338"/>
      <c r="I23338"/>
    </row>
    <row r="23339" spans="6:9" x14ac:dyDescent="0.3">
      <c r="F23339"/>
      <c r="G23339"/>
      <c r="H23339"/>
      <c r="I23339"/>
    </row>
    <row r="23340" spans="6:9" x14ac:dyDescent="0.3">
      <c r="F23340"/>
      <c r="G23340"/>
      <c r="H23340"/>
      <c r="I23340"/>
    </row>
    <row r="23341" spans="6:9" x14ac:dyDescent="0.3">
      <c r="F23341"/>
      <c r="G23341"/>
      <c r="H23341"/>
      <c r="I23341"/>
    </row>
    <row r="23342" spans="6:9" x14ac:dyDescent="0.3">
      <c r="F23342"/>
      <c r="G23342"/>
      <c r="H23342"/>
      <c r="I23342"/>
    </row>
    <row r="23343" spans="6:9" x14ac:dyDescent="0.3">
      <c r="F23343"/>
      <c r="G23343"/>
      <c r="H23343"/>
      <c r="I23343"/>
    </row>
    <row r="23344" spans="6:9" x14ac:dyDescent="0.3">
      <c r="F23344"/>
      <c r="G23344"/>
      <c r="H23344"/>
      <c r="I23344"/>
    </row>
    <row r="23345" spans="6:9" x14ac:dyDescent="0.3">
      <c r="F23345"/>
      <c r="G23345"/>
      <c r="H23345"/>
      <c r="I23345"/>
    </row>
    <row r="23346" spans="6:9" x14ac:dyDescent="0.3">
      <c r="F23346"/>
      <c r="G23346"/>
      <c r="H23346"/>
      <c r="I23346"/>
    </row>
    <row r="23347" spans="6:9" x14ac:dyDescent="0.3">
      <c r="F23347"/>
      <c r="G23347"/>
      <c r="H23347"/>
      <c r="I23347"/>
    </row>
    <row r="23348" spans="6:9" x14ac:dyDescent="0.3">
      <c r="F23348"/>
      <c r="G23348"/>
      <c r="H23348"/>
      <c r="I23348"/>
    </row>
    <row r="23349" spans="6:9" x14ac:dyDescent="0.3">
      <c r="F23349"/>
      <c r="G23349"/>
      <c r="H23349"/>
      <c r="I23349"/>
    </row>
    <row r="23350" spans="6:9" x14ac:dyDescent="0.3">
      <c r="F23350"/>
      <c r="G23350"/>
      <c r="H23350"/>
      <c r="I23350"/>
    </row>
    <row r="23351" spans="6:9" x14ac:dyDescent="0.3">
      <c r="F23351"/>
      <c r="G23351"/>
      <c r="H23351"/>
      <c r="I23351"/>
    </row>
    <row r="23352" spans="6:9" x14ac:dyDescent="0.3">
      <c r="F23352"/>
      <c r="G23352"/>
      <c r="H23352"/>
      <c r="I23352"/>
    </row>
    <row r="23353" spans="6:9" x14ac:dyDescent="0.3">
      <c r="F23353"/>
      <c r="G23353"/>
      <c r="H23353"/>
      <c r="I23353"/>
    </row>
    <row r="23354" spans="6:9" x14ac:dyDescent="0.3">
      <c r="F23354"/>
      <c r="G23354"/>
      <c r="H23354"/>
      <c r="I23354"/>
    </row>
    <row r="23355" spans="6:9" x14ac:dyDescent="0.3">
      <c r="F23355"/>
      <c r="G23355"/>
      <c r="H23355"/>
      <c r="I23355"/>
    </row>
    <row r="23356" spans="6:9" x14ac:dyDescent="0.3">
      <c r="F23356"/>
      <c r="G23356"/>
      <c r="H23356"/>
      <c r="I23356"/>
    </row>
    <row r="23357" spans="6:9" x14ac:dyDescent="0.3">
      <c r="F23357"/>
      <c r="G23357"/>
      <c r="H23357"/>
      <c r="I23357"/>
    </row>
    <row r="23358" spans="6:9" x14ac:dyDescent="0.3">
      <c r="F23358"/>
      <c r="G23358"/>
      <c r="H23358"/>
      <c r="I23358"/>
    </row>
    <row r="23359" spans="6:9" x14ac:dyDescent="0.3">
      <c r="F23359"/>
      <c r="G23359"/>
      <c r="H23359"/>
      <c r="I23359"/>
    </row>
    <row r="23360" spans="6:9" x14ac:dyDescent="0.3">
      <c r="F23360"/>
      <c r="G23360"/>
      <c r="H23360"/>
      <c r="I23360"/>
    </row>
    <row r="23361" spans="6:9" x14ac:dyDescent="0.3">
      <c r="F23361"/>
      <c r="G23361"/>
      <c r="H23361"/>
      <c r="I23361"/>
    </row>
    <row r="23362" spans="6:9" x14ac:dyDescent="0.3">
      <c r="F23362"/>
      <c r="G23362"/>
      <c r="H23362"/>
      <c r="I23362"/>
    </row>
    <row r="23363" spans="6:9" x14ac:dyDescent="0.3">
      <c r="F23363"/>
      <c r="G23363"/>
      <c r="H23363"/>
      <c r="I23363"/>
    </row>
    <row r="23364" spans="6:9" x14ac:dyDescent="0.3">
      <c r="F23364"/>
      <c r="G23364"/>
      <c r="H23364"/>
      <c r="I23364"/>
    </row>
    <row r="23365" spans="6:9" x14ac:dyDescent="0.3">
      <c r="F23365"/>
      <c r="G23365"/>
      <c r="H23365"/>
      <c r="I23365"/>
    </row>
    <row r="23366" spans="6:9" x14ac:dyDescent="0.3">
      <c r="F23366"/>
      <c r="G23366"/>
      <c r="H23366"/>
      <c r="I23366"/>
    </row>
    <row r="23367" spans="6:9" x14ac:dyDescent="0.3">
      <c r="F23367"/>
      <c r="G23367"/>
      <c r="H23367"/>
      <c r="I23367"/>
    </row>
    <row r="23368" spans="6:9" x14ac:dyDescent="0.3">
      <c r="F23368"/>
      <c r="G23368"/>
      <c r="H23368"/>
      <c r="I23368"/>
    </row>
    <row r="23369" spans="6:9" x14ac:dyDescent="0.3">
      <c r="F23369"/>
      <c r="G23369"/>
      <c r="H23369"/>
      <c r="I23369"/>
    </row>
    <row r="23370" spans="6:9" x14ac:dyDescent="0.3">
      <c r="F23370"/>
      <c r="G23370"/>
      <c r="H23370"/>
      <c r="I23370"/>
    </row>
    <row r="23371" spans="6:9" x14ac:dyDescent="0.3">
      <c r="F23371"/>
      <c r="G23371"/>
      <c r="H23371"/>
      <c r="I23371"/>
    </row>
    <row r="23372" spans="6:9" x14ac:dyDescent="0.3">
      <c r="F23372"/>
      <c r="G23372"/>
      <c r="H23372"/>
      <c r="I23372"/>
    </row>
    <row r="23373" spans="6:9" x14ac:dyDescent="0.3">
      <c r="F23373"/>
      <c r="G23373"/>
      <c r="H23373"/>
      <c r="I23373"/>
    </row>
    <row r="23374" spans="6:9" x14ac:dyDescent="0.3">
      <c r="F23374"/>
      <c r="G23374"/>
      <c r="H23374"/>
      <c r="I23374"/>
    </row>
    <row r="23375" spans="6:9" x14ac:dyDescent="0.3">
      <c r="F23375"/>
      <c r="G23375"/>
      <c r="H23375"/>
      <c r="I23375"/>
    </row>
    <row r="23376" spans="6:9" x14ac:dyDescent="0.3">
      <c r="F23376"/>
      <c r="G23376"/>
      <c r="H23376"/>
      <c r="I23376"/>
    </row>
    <row r="23377" spans="6:9" x14ac:dyDescent="0.3">
      <c r="F23377"/>
      <c r="G23377"/>
      <c r="H23377"/>
      <c r="I23377"/>
    </row>
    <row r="23378" spans="6:9" x14ac:dyDescent="0.3">
      <c r="F23378"/>
      <c r="G23378"/>
      <c r="H23378"/>
      <c r="I23378"/>
    </row>
    <row r="23379" spans="6:9" x14ac:dyDescent="0.3">
      <c r="F23379"/>
      <c r="G23379"/>
      <c r="H23379"/>
      <c r="I23379"/>
    </row>
    <row r="23380" spans="6:9" x14ac:dyDescent="0.3">
      <c r="F23380"/>
      <c r="G23380"/>
      <c r="H23380"/>
      <c r="I23380"/>
    </row>
    <row r="23381" spans="6:9" x14ac:dyDescent="0.3">
      <c r="F23381"/>
      <c r="G23381"/>
      <c r="H23381"/>
      <c r="I23381"/>
    </row>
    <row r="23382" spans="6:9" x14ac:dyDescent="0.3">
      <c r="F23382"/>
      <c r="G23382"/>
      <c r="H23382"/>
      <c r="I23382"/>
    </row>
    <row r="23383" spans="6:9" x14ac:dyDescent="0.3">
      <c r="F23383"/>
      <c r="G23383"/>
      <c r="H23383"/>
      <c r="I23383"/>
    </row>
    <row r="23384" spans="6:9" x14ac:dyDescent="0.3">
      <c r="F23384"/>
      <c r="G23384"/>
      <c r="H23384"/>
      <c r="I23384"/>
    </row>
    <row r="23385" spans="6:9" x14ac:dyDescent="0.3">
      <c r="F23385"/>
      <c r="G23385"/>
      <c r="H23385"/>
      <c r="I23385"/>
    </row>
    <row r="23386" spans="6:9" x14ac:dyDescent="0.3">
      <c r="F23386"/>
      <c r="G23386"/>
      <c r="H23386"/>
      <c r="I23386"/>
    </row>
    <row r="23387" spans="6:9" x14ac:dyDescent="0.3">
      <c r="F23387"/>
      <c r="G23387"/>
      <c r="H23387"/>
      <c r="I23387"/>
    </row>
    <row r="23388" spans="6:9" x14ac:dyDescent="0.3">
      <c r="F23388"/>
      <c r="G23388"/>
      <c r="H23388"/>
      <c r="I23388"/>
    </row>
    <row r="23389" spans="6:9" x14ac:dyDescent="0.3">
      <c r="F23389"/>
      <c r="G23389"/>
      <c r="H23389"/>
      <c r="I23389"/>
    </row>
    <row r="23390" spans="6:9" x14ac:dyDescent="0.3">
      <c r="F23390"/>
      <c r="G23390"/>
      <c r="H23390"/>
      <c r="I23390"/>
    </row>
    <row r="23391" spans="6:9" x14ac:dyDescent="0.3">
      <c r="F23391"/>
      <c r="G23391"/>
      <c r="H23391"/>
      <c r="I23391"/>
    </row>
    <row r="23392" spans="6:9" x14ac:dyDescent="0.3">
      <c r="F23392"/>
      <c r="G23392"/>
      <c r="H23392"/>
      <c r="I23392"/>
    </row>
    <row r="23393" spans="6:9" x14ac:dyDescent="0.3">
      <c r="F23393"/>
      <c r="G23393"/>
      <c r="H23393"/>
      <c r="I23393"/>
    </row>
    <row r="23394" spans="6:9" x14ac:dyDescent="0.3">
      <c r="F23394"/>
      <c r="G23394"/>
      <c r="H23394"/>
      <c r="I23394"/>
    </row>
    <row r="23395" spans="6:9" x14ac:dyDescent="0.3">
      <c r="F23395"/>
      <c r="G23395"/>
      <c r="H23395"/>
      <c r="I23395"/>
    </row>
    <row r="23396" spans="6:9" x14ac:dyDescent="0.3">
      <c r="F23396"/>
      <c r="G23396"/>
      <c r="H23396"/>
      <c r="I23396"/>
    </row>
    <row r="23397" spans="6:9" x14ac:dyDescent="0.3">
      <c r="F23397"/>
      <c r="G23397"/>
      <c r="H23397"/>
      <c r="I23397"/>
    </row>
    <row r="23398" spans="6:9" x14ac:dyDescent="0.3">
      <c r="F23398"/>
      <c r="G23398"/>
      <c r="H23398"/>
      <c r="I23398"/>
    </row>
    <row r="23399" spans="6:9" x14ac:dyDescent="0.3">
      <c r="F23399"/>
      <c r="G23399"/>
      <c r="H23399"/>
      <c r="I23399"/>
    </row>
    <row r="23400" spans="6:9" x14ac:dyDescent="0.3">
      <c r="F23400"/>
      <c r="G23400"/>
      <c r="H23400"/>
      <c r="I23400"/>
    </row>
    <row r="23401" spans="6:9" x14ac:dyDescent="0.3">
      <c r="F23401"/>
      <c r="G23401"/>
      <c r="H23401"/>
      <c r="I23401"/>
    </row>
    <row r="23402" spans="6:9" x14ac:dyDescent="0.3">
      <c r="F23402"/>
      <c r="G23402"/>
      <c r="H23402"/>
      <c r="I23402"/>
    </row>
    <row r="23403" spans="6:9" x14ac:dyDescent="0.3">
      <c r="F23403"/>
      <c r="G23403"/>
      <c r="H23403"/>
      <c r="I23403"/>
    </row>
    <row r="23404" spans="6:9" x14ac:dyDescent="0.3">
      <c r="F23404"/>
      <c r="G23404"/>
      <c r="H23404"/>
      <c r="I23404"/>
    </row>
    <row r="23405" spans="6:9" x14ac:dyDescent="0.3">
      <c r="F23405"/>
      <c r="G23405"/>
      <c r="H23405"/>
      <c r="I23405"/>
    </row>
    <row r="23406" spans="6:9" x14ac:dyDescent="0.3">
      <c r="F23406"/>
      <c r="G23406"/>
      <c r="H23406"/>
      <c r="I23406"/>
    </row>
    <row r="23407" spans="6:9" x14ac:dyDescent="0.3">
      <c r="F23407"/>
      <c r="G23407"/>
      <c r="H23407"/>
      <c r="I23407"/>
    </row>
    <row r="23408" spans="6:9" x14ac:dyDescent="0.3">
      <c r="F23408"/>
      <c r="G23408"/>
      <c r="H23408"/>
      <c r="I23408"/>
    </row>
    <row r="23409" spans="6:9" x14ac:dyDescent="0.3">
      <c r="F23409"/>
      <c r="G23409"/>
      <c r="H23409"/>
      <c r="I23409"/>
    </row>
    <row r="23410" spans="6:9" x14ac:dyDescent="0.3">
      <c r="F23410"/>
      <c r="G23410"/>
      <c r="H23410"/>
      <c r="I23410"/>
    </row>
    <row r="23411" spans="6:9" x14ac:dyDescent="0.3">
      <c r="F23411"/>
      <c r="G23411"/>
      <c r="H23411"/>
      <c r="I23411"/>
    </row>
    <row r="23412" spans="6:9" x14ac:dyDescent="0.3">
      <c r="F23412"/>
      <c r="G23412"/>
      <c r="H23412"/>
      <c r="I23412"/>
    </row>
    <row r="23413" spans="6:9" x14ac:dyDescent="0.3">
      <c r="F23413"/>
      <c r="G23413"/>
      <c r="H23413"/>
      <c r="I23413"/>
    </row>
    <row r="23414" spans="6:9" x14ac:dyDescent="0.3">
      <c r="F23414"/>
      <c r="G23414"/>
      <c r="H23414"/>
      <c r="I23414"/>
    </row>
    <row r="23415" spans="6:9" x14ac:dyDescent="0.3">
      <c r="F23415"/>
      <c r="G23415"/>
      <c r="H23415"/>
      <c r="I23415"/>
    </row>
    <row r="23416" spans="6:9" x14ac:dyDescent="0.3">
      <c r="F23416"/>
      <c r="G23416"/>
      <c r="H23416"/>
      <c r="I23416"/>
    </row>
    <row r="23417" spans="6:9" x14ac:dyDescent="0.3">
      <c r="F23417"/>
      <c r="G23417"/>
      <c r="H23417"/>
      <c r="I23417"/>
    </row>
    <row r="23418" spans="6:9" x14ac:dyDescent="0.3">
      <c r="F23418"/>
      <c r="G23418"/>
      <c r="H23418"/>
      <c r="I23418"/>
    </row>
    <row r="23419" spans="6:9" x14ac:dyDescent="0.3">
      <c r="F23419"/>
      <c r="G23419"/>
      <c r="H23419"/>
      <c r="I23419"/>
    </row>
    <row r="23420" spans="6:9" x14ac:dyDescent="0.3">
      <c r="F23420"/>
      <c r="G23420"/>
      <c r="H23420"/>
      <c r="I23420"/>
    </row>
    <row r="23421" spans="6:9" x14ac:dyDescent="0.3">
      <c r="F23421"/>
      <c r="G23421"/>
      <c r="H23421"/>
      <c r="I23421"/>
    </row>
    <row r="23422" spans="6:9" x14ac:dyDescent="0.3">
      <c r="F23422"/>
      <c r="G23422"/>
      <c r="H23422"/>
      <c r="I23422"/>
    </row>
    <row r="23423" spans="6:9" x14ac:dyDescent="0.3">
      <c r="F23423"/>
      <c r="G23423"/>
      <c r="H23423"/>
      <c r="I23423"/>
    </row>
    <row r="23424" spans="6:9" x14ac:dyDescent="0.3">
      <c r="F23424"/>
      <c r="G23424"/>
      <c r="H23424"/>
      <c r="I23424"/>
    </row>
    <row r="23425" spans="6:9" x14ac:dyDescent="0.3">
      <c r="F23425"/>
      <c r="G23425"/>
      <c r="H23425"/>
      <c r="I23425"/>
    </row>
    <row r="23426" spans="6:9" x14ac:dyDescent="0.3">
      <c r="F23426"/>
      <c r="G23426"/>
      <c r="H23426"/>
      <c r="I23426"/>
    </row>
    <row r="23427" spans="6:9" x14ac:dyDescent="0.3">
      <c r="F23427"/>
      <c r="G23427"/>
      <c r="H23427"/>
      <c r="I23427"/>
    </row>
    <row r="23428" spans="6:9" x14ac:dyDescent="0.3">
      <c r="F23428"/>
      <c r="G23428"/>
      <c r="H23428"/>
      <c r="I23428"/>
    </row>
    <row r="23429" spans="6:9" x14ac:dyDescent="0.3">
      <c r="F23429"/>
      <c r="G23429"/>
      <c r="H23429"/>
      <c r="I23429"/>
    </row>
    <row r="23430" spans="6:9" x14ac:dyDescent="0.3">
      <c r="F23430"/>
      <c r="G23430"/>
      <c r="H23430"/>
      <c r="I23430"/>
    </row>
    <row r="23431" spans="6:9" x14ac:dyDescent="0.3">
      <c r="F23431"/>
      <c r="G23431"/>
      <c r="H23431"/>
      <c r="I23431"/>
    </row>
    <row r="23432" spans="6:9" x14ac:dyDescent="0.3">
      <c r="F23432"/>
      <c r="G23432"/>
      <c r="H23432"/>
      <c r="I23432"/>
    </row>
    <row r="23433" spans="6:9" x14ac:dyDescent="0.3">
      <c r="F23433"/>
      <c r="G23433"/>
      <c r="H23433"/>
      <c r="I23433"/>
    </row>
    <row r="23434" spans="6:9" x14ac:dyDescent="0.3">
      <c r="F23434"/>
      <c r="G23434"/>
      <c r="H23434"/>
      <c r="I23434"/>
    </row>
    <row r="23435" spans="6:9" x14ac:dyDescent="0.3">
      <c r="F23435"/>
      <c r="G23435"/>
      <c r="H23435"/>
      <c r="I23435"/>
    </row>
    <row r="23436" spans="6:9" x14ac:dyDescent="0.3">
      <c r="F23436"/>
      <c r="G23436"/>
      <c r="H23436"/>
      <c r="I23436"/>
    </row>
    <row r="23437" spans="6:9" x14ac:dyDescent="0.3">
      <c r="F23437"/>
      <c r="G23437"/>
      <c r="H23437"/>
      <c r="I23437"/>
    </row>
    <row r="23438" spans="6:9" x14ac:dyDescent="0.3">
      <c r="F23438"/>
      <c r="G23438"/>
      <c r="H23438"/>
      <c r="I23438"/>
    </row>
    <row r="23439" spans="6:9" x14ac:dyDescent="0.3">
      <c r="F23439"/>
      <c r="G23439"/>
      <c r="H23439"/>
      <c r="I23439"/>
    </row>
    <row r="23440" spans="6:9" x14ac:dyDescent="0.3">
      <c r="F23440"/>
      <c r="G23440"/>
      <c r="H23440"/>
      <c r="I23440"/>
    </row>
    <row r="23441" spans="6:9" x14ac:dyDescent="0.3">
      <c r="F23441"/>
      <c r="G23441"/>
      <c r="H23441"/>
      <c r="I23441"/>
    </row>
    <row r="23442" spans="6:9" x14ac:dyDescent="0.3">
      <c r="F23442"/>
      <c r="G23442"/>
      <c r="H23442"/>
      <c r="I23442"/>
    </row>
    <row r="23443" spans="6:9" x14ac:dyDescent="0.3">
      <c r="F23443"/>
      <c r="G23443"/>
      <c r="H23443"/>
      <c r="I23443"/>
    </row>
    <row r="23444" spans="6:9" x14ac:dyDescent="0.3">
      <c r="F23444"/>
      <c r="G23444"/>
      <c r="H23444"/>
      <c r="I23444"/>
    </row>
    <row r="23445" spans="6:9" x14ac:dyDescent="0.3">
      <c r="F23445"/>
      <c r="G23445"/>
      <c r="H23445"/>
      <c r="I23445"/>
    </row>
    <row r="23446" spans="6:9" x14ac:dyDescent="0.3">
      <c r="F23446"/>
      <c r="G23446"/>
      <c r="H23446"/>
      <c r="I23446"/>
    </row>
    <row r="23447" spans="6:9" x14ac:dyDescent="0.3">
      <c r="F23447"/>
      <c r="G23447"/>
      <c r="H23447"/>
      <c r="I23447"/>
    </row>
    <row r="23448" spans="6:9" x14ac:dyDescent="0.3">
      <c r="F23448"/>
      <c r="G23448"/>
      <c r="H23448"/>
      <c r="I23448"/>
    </row>
    <row r="23449" spans="6:9" x14ac:dyDescent="0.3">
      <c r="F23449"/>
      <c r="G23449"/>
      <c r="H23449"/>
      <c r="I23449"/>
    </row>
    <row r="23450" spans="6:9" x14ac:dyDescent="0.3">
      <c r="F23450"/>
      <c r="G23450"/>
      <c r="H23450"/>
      <c r="I23450"/>
    </row>
    <row r="23451" spans="6:9" x14ac:dyDescent="0.3">
      <c r="F23451"/>
      <c r="G23451"/>
      <c r="H23451"/>
      <c r="I23451"/>
    </row>
    <row r="23452" spans="6:9" x14ac:dyDescent="0.3">
      <c r="F23452"/>
      <c r="G23452"/>
      <c r="H23452"/>
      <c r="I23452"/>
    </row>
    <row r="23453" spans="6:9" x14ac:dyDescent="0.3">
      <c r="F23453"/>
      <c r="G23453"/>
      <c r="H23453"/>
      <c r="I23453"/>
    </row>
    <row r="23454" spans="6:9" x14ac:dyDescent="0.3">
      <c r="F23454"/>
      <c r="G23454"/>
      <c r="H23454"/>
      <c r="I23454"/>
    </row>
    <row r="23455" spans="6:9" x14ac:dyDescent="0.3">
      <c r="F23455"/>
      <c r="G23455"/>
      <c r="H23455"/>
      <c r="I23455"/>
    </row>
    <row r="23456" spans="6:9" x14ac:dyDescent="0.3">
      <c r="F23456"/>
      <c r="G23456"/>
      <c r="H23456"/>
      <c r="I23456"/>
    </row>
    <row r="23457" spans="6:9" x14ac:dyDescent="0.3">
      <c r="F23457"/>
      <c r="G23457"/>
      <c r="H23457"/>
      <c r="I23457"/>
    </row>
    <row r="23458" spans="6:9" x14ac:dyDescent="0.3">
      <c r="F23458"/>
      <c r="G23458"/>
      <c r="H23458"/>
      <c r="I23458"/>
    </row>
    <row r="23459" spans="6:9" x14ac:dyDescent="0.3">
      <c r="F23459"/>
      <c r="G23459"/>
      <c r="H23459"/>
      <c r="I23459"/>
    </row>
    <row r="23460" spans="6:9" x14ac:dyDescent="0.3">
      <c r="F23460"/>
      <c r="G23460"/>
      <c r="H23460"/>
      <c r="I23460"/>
    </row>
    <row r="23461" spans="6:9" x14ac:dyDescent="0.3">
      <c r="F23461"/>
      <c r="G23461"/>
      <c r="H23461"/>
      <c r="I23461"/>
    </row>
    <row r="23462" spans="6:9" x14ac:dyDescent="0.3">
      <c r="F23462"/>
      <c r="G23462"/>
      <c r="H23462"/>
      <c r="I23462"/>
    </row>
    <row r="23463" spans="6:9" x14ac:dyDescent="0.3">
      <c r="F23463"/>
      <c r="G23463"/>
      <c r="H23463"/>
      <c r="I23463"/>
    </row>
    <row r="23464" spans="6:9" x14ac:dyDescent="0.3">
      <c r="F23464"/>
      <c r="G23464"/>
      <c r="H23464"/>
      <c r="I23464"/>
    </row>
    <row r="23465" spans="6:9" x14ac:dyDescent="0.3">
      <c r="F23465"/>
      <c r="G23465"/>
      <c r="H23465"/>
      <c r="I23465"/>
    </row>
    <row r="23466" spans="6:9" x14ac:dyDescent="0.3">
      <c r="F23466"/>
      <c r="G23466"/>
      <c r="H23466"/>
      <c r="I23466"/>
    </row>
    <row r="23467" spans="6:9" x14ac:dyDescent="0.3">
      <c r="F23467"/>
      <c r="G23467"/>
      <c r="H23467"/>
      <c r="I23467"/>
    </row>
    <row r="23468" spans="6:9" x14ac:dyDescent="0.3">
      <c r="F23468"/>
      <c r="G23468"/>
      <c r="H23468"/>
      <c r="I23468"/>
    </row>
    <row r="23469" spans="6:9" x14ac:dyDescent="0.3">
      <c r="F23469"/>
      <c r="G23469"/>
      <c r="H23469"/>
      <c r="I23469"/>
    </row>
    <row r="23470" spans="6:9" x14ac:dyDescent="0.3">
      <c r="F23470"/>
      <c r="G23470"/>
      <c r="H23470"/>
      <c r="I23470"/>
    </row>
    <row r="23471" spans="6:9" x14ac:dyDescent="0.3">
      <c r="F23471"/>
      <c r="G23471"/>
      <c r="H23471"/>
      <c r="I23471"/>
    </row>
    <row r="23472" spans="6:9" x14ac:dyDescent="0.3">
      <c r="F23472"/>
      <c r="G23472"/>
      <c r="H23472"/>
      <c r="I23472"/>
    </row>
    <row r="23473" spans="6:9" x14ac:dyDescent="0.3">
      <c r="F23473"/>
      <c r="G23473"/>
      <c r="H23473"/>
      <c r="I23473"/>
    </row>
    <row r="23474" spans="6:9" x14ac:dyDescent="0.3">
      <c r="F23474"/>
      <c r="G23474"/>
      <c r="H23474"/>
      <c r="I23474"/>
    </row>
    <row r="23475" spans="6:9" x14ac:dyDescent="0.3">
      <c r="F23475"/>
      <c r="G23475"/>
      <c r="H23475"/>
      <c r="I23475"/>
    </row>
    <row r="23476" spans="6:9" x14ac:dyDescent="0.3">
      <c r="F23476"/>
      <c r="G23476"/>
      <c r="H23476"/>
      <c r="I23476"/>
    </row>
    <row r="23477" spans="6:9" x14ac:dyDescent="0.3">
      <c r="F23477"/>
      <c r="G23477"/>
      <c r="H23477"/>
      <c r="I23477"/>
    </row>
    <row r="23478" spans="6:9" x14ac:dyDescent="0.3">
      <c r="F23478"/>
      <c r="G23478"/>
      <c r="H23478"/>
      <c r="I23478"/>
    </row>
    <row r="23479" spans="6:9" x14ac:dyDescent="0.3">
      <c r="F23479"/>
      <c r="G23479"/>
      <c r="H23479"/>
      <c r="I23479"/>
    </row>
    <row r="23480" spans="6:9" x14ac:dyDescent="0.3">
      <c r="F23480"/>
      <c r="G23480"/>
      <c r="H23480"/>
      <c r="I23480"/>
    </row>
    <row r="23481" spans="6:9" x14ac:dyDescent="0.3">
      <c r="F23481"/>
      <c r="G23481"/>
      <c r="H23481"/>
      <c r="I23481"/>
    </row>
    <row r="23482" spans="6:9" x14ac:dyDescent="0.3">
      <c r="F23482"/>
      <c r="G23482"/>
      <c r="H23482"/>
      <c r="I23482"/>
    </row>
    <row r="23483" spans="6:9" x14ac:dyDescent="0.3">
      <c r="F23483"/>
      <c r="G23483"/>
      <c r="H23483"/>
      <c r="I23483"/>
    </row>
    <row r="23484" spans="6:9" x14ac:dyDescent="0.3">
      <c r="F23484"/>
      <c r="G23484"/>
      <c r="H23484"/>
      <c r="I23484"/>
    </row>
    <row r="23485" spans="6:9" x14ac:dyDescent="0.3">
      <c r="F23485"/>
      <c r="G23485"/>
      <c r="H23485"/>
      <c r="I23485"/>
    </row>
    <row r="23486" spans="6:9" x14ac:dyDescent="0.3">
      <c r="F23486"/>
      <c r="G23486"/>
      <c r="H23486"/>
      <c r="I23486"/>
    </row>
    <row r="23487" spans="6:9" x14ac:dyDescent="0.3">
      <c r="F23487"/>
      <c r="G23487"/>
      <c r="H23487"/>
      <c r="I23487"/>
    </row>
    <row r="23488" spans="6:9" x14ac:dyDescent="0.3">
      <c r="F23488"/>
      <c r="G23488"/>
      <c r="H23488"/>
      <c r="I23488"/>
    </row>
    <row r="23489" spans="6:9" x14ac:dyDescent="0.3">
      <c r="F23489"/>
      <c r="G23489"/>
      <c r="H23489"/>
      <c r="I23489"/>
    </row>
    <row r="23490" spans="6:9" x14ac:dyDescent="0.3">
      <c r="F23490"/>
      <c r="G23490"/>
      <c r="H23490"/>
      <c r="I23490"/>
    </row>
    <row r="23491" spans="6:9" x14ac:dyDescent="0.3">
      <c r="F23491"/>
      <c r="G23491"/>
      <c r="H23491"/>
      <c r="I23491"/>
    </row>
    <row r="23492" spans="6:9" x14ac:dyDescent="0.3">
      <c r="F23492"/>
      <c r="G23492"/>
      <c r="H23492"/>
      <c r="I23492"/>
    </row>
    <row r="23493" spans="6:9" x14ac:dyDescent="0.3">
      <c r="F23493"/>
      <c r="G23493"/>
      <c r="H23493"/>
      <c r="I23493"/>
    </row>
    <row r="23494" spans="6:9" x14ac:dyDescent="0.3">
      <c r="F23494"/>
      <c r="G23494"/>
      <c r="H23494"/>
      <c r="I23494"/>
    </row>
    <row r="23495" spans="6:9" x14ac:dyDescent="0.3">
      <c r="F23495"/>
      <c r="G23495"/>
      <c r="H23495"/>
      <c r="I23495"/>
    </row>
    <row r="23496" spans="6:9" x14ac:dyDescent="0.3">
      <c r="F23496"/>
      <c r="G23496"/>
      <c r="H23496"/>
      <c r="I23496"/>
    </row>
    <row r="23497" spans="6:9" x14ac:dyDescent="0.3">
      <c r="F23497"/>
      <c r="G23497"/>
      <c r="H23497"/>
      <c r="I23497"/>
    </row>
    <row r="23498" spans="6:9" x14ac:dyDescent="0.3">
      <c r="F23498"/>
      <c r="G23498"/>
      <c r="H23498"/>
      <c r="I23498"/>
    </row>
    <row r="23499" spans="6:9" x14ac:dyDescent="0.3">
      <c r="F23499"/>
      <c r="G23499"/>
      <c r="H23499"/>
      <c r="I23499"/>
    </row>
    <row r="23500" spans="6:9" x14ac:dyDescent="0.3">
      <c r="F23500"/>
      <c r="G23500"/>
      <c r="H23500"/>
      <c r="I23500"/>
    </row>
    <row r="23501" spans="6:9" x14ac:dyDescent="0.3">
      <c r="F23501"/>
      <c r="G23501"/>
      <c r="H23501"/>
      <c r="I23501"/>
    </row>
    <row r="23502" spans="6:9" x14ac:dyDescent="0.3">
      <c r="F23502"/>
      <c r="G23502"/>
      <c r="H23502"/>
      <c r="I23502"/>
    </row>
    <row r="23503" spans="6:9" x14ac:dyDescent="0.3">
      <c r="F23503"/>
      <c r="G23503"/>
      <c r="H23503"/>
      <c r="I23503"/>
    </row>
    <row r="23504" spans="6:9" x14ac:dyDescent="0.3">
      <c r="F23504"/>
      <c r="G23504"/>
      <c r="H23504"/>
      <c r="I23504"/>
    </row>
    <row r="23505" spans="6:9" x14ac:dyDescent="0.3">
      <c r="F23505"/>
      <c r="G23505"/>
      <c r="H23505"/>
      <c r="I23505"/>
    </row>
    <row r="23506" spans="6:9" x14ac:dyDescent="0.3">
      <c r="F23506"/>
      <c r="G23506"/>
      <c r="H23506"/>
      <c r="I23506"/>
    </row>
    <row r="23507" spans="6:9" x14ac:dyDescent="0.3">
      <c r="F23507"/>
      <c r="G23507"/>
      <c r="H23507"/>
      <c r="I23507"/>
    </row>
    <row r="23508" spans="6:9" x14ac:dyDescent="0.3">
      <c r="F23508"/>
      <c r="G23508"/>
      <c r="H23508"/>
      <c r="I23508"/>
    </row>
    <row r="23509" spans="6:9" x14ac:dyDescent="0.3">
      <c r="F23509"/>
      <c r="G23509"/>
      <c r="H23509"/>
      <c r="I23509"/>
    </row>
    <row r="23510" spans="6:9" x14ac:dyDescent="0.3">
      <c r="F23510"/>
      <c r="G23510"/>
      <c r="H23510"/>
      <c r="I23510"/>
    </row>
    <row r="23511" spans="6:9" x14ac:dyDescent="0.3">
      <c r="F23511"/>
      <c r="G23511"/>
      <c r="H23511"/>
      <c r="I23511"/>
    </row>
    <row r="23512" spans="6:9" x14ac:dyDescent="0.3">
      <c r="F23512"/>
      <c r="G23512"/>
      <c r="H23512"/>
      <c r="I23512"/>
    </row>
    <row r="23513" spans="6:9" x14ac:dyDescent="0.3">
      <c r="F23513"/>
      <c r="G23513"/>
      <c r="H23513"/>
      <c r="I23513"/>
    </row>
    <row r="23514" spans="6:9" x14ac:dyDescent="0.3">
      <c r="F23514"/>
      <c r="G23514"/>
      <c r="H23514"/>
      <c r="I23514"/>
    </row>
    <row r="23515" spans="6:9" x14ac:dyDescent="0.3">
      <c r="F23515"/>
      <c r="G23515"/>
      <c r="H23515"/>
      <c r="I23515"/>
    </row>
    <row r="23516" spans="6:9" x14ac:dyDescent="0.3">
      <c r="F23516"/>
      <c r="G23516"/>
      <c r="H23516"/>
      <c r="I23516"/>
    </row>
    <row r="23517" spans="6:9" x14ac:dyDescent="0.3">
      <c r="F23517"/>
      <c r="G23517"/>
      <c r="H23517"/>
      <c r="I23517"/>
    </row>
    <row r="23518" spans="6:9" x14ac:dyDescent="0.3">
      <c r="F23518"/>
      <c r="G23518"/>
      <c r="H23518"/>
      <c r="I23518"/>
    </row>
    <row r="23519" spans="6:9" x14ac:dyDescent="0.3">
      <c r="F23519"/>
      <c r="G23519"/>
      <c r="H23519"/>
      <c r="I23519"/>
    </row>
    <row r="23520" spans="6:9" x14ac:dyDescent="0.3">
      <c r="F23520"/>
      <c r="G23520"/>
      <c r="H23520"/>
      <c r="I23520"/>
    </row>
    <row r="23521" spans="6:9" x14ac:dyDescent="0.3">
      <c r="F23521"/>
      <c r="G23521"/>
      <c r="H23521"/>
      <c r="I23521"/>
    </row>
    <row r="23522" spans="6:9" x14ac:dyDescent="0.3">
      <c r="F23522"/>
      <c r="G23522"/>
      <c r="H23522"/>
      <c r="I23522"/>
    </row>
    <row r="23523" spans="6:9" x14ac:dyDescent="0.3">
      <c r="F23523"/>
      <c r="G23523"/>
      <c r="H23523"/>
      <c r="I23523"/>
    </row>
    <row r="23524" spans="6:9" x14ac:dyDescent="0.3">
      <c r="F23524"/>
      <c r="G23524"/>
      <c r="H23524"/>
      <c r="I23524"/>
    </row>
    <row r="23525" spans="6:9" x14ac:dyDescent="0.3">
      <c r="F23525"/>
      <c r="G23525"/>
      <c r="H23525"/>
      <c r="I23525"/>
    </row>
    <row r="23526" spans="6:9" x14ac:dyDescent="0.3">
      <c r="F23526"/>
      <c r="G23526"/>
      <c r="H23526"/>
      <c r="I23526"/>
    </row>
    <row r="23527" spans="6:9" x14ac:dyDescent="0.3">
      <c r="F23527"/>
      <c r="G23527"/>
      <c r="H23527"/>
      <c r="I23527"/>
    </row>
    <row r="23528" spans="6:9" x14ac:dyDescent="0.3">
      <c r="F23528"/>
      <c r="G23528"/>
      <c r="H23528"/>
      <c r="I23528"/>
    </row>
    <row r="23529" spans="6:9" x14ac:dyDescent="0.3">
      <c r="F23529"/>
      <c r="G23529"/>
      <c r="H23529"/>
      <c r="I23529"/>
    </row>
    <row r="23530" spans="6:9" x14ac:dyDescent="0.3">
      <c r="F23530"/>
      <c r="G23530"/>
      <c r="H23530"/>
      <c r="I23530"/>
    </row>
    <row r="23531" spans="6:9" x14ac:dyDescent="0.3">
      <c r="F23531"/>
      <c r="G23531"/>
      <c r="H23531"/>
      <c r="I23531"/>
    </row>
    <row r="23532" spans="6:9" x14ac:dyDescent="0.3">
      <c r="F23532"/>
      <c r="G23532"/>
      <c r="H23532"/>
      <c r="I23532"/>
    </row>
    <row r="23533" spans="6:9" x14ac:dyDescent="0.3">
      <c r="F23533"/>
      <c r="G23533"/>
      <c r="H23533"/>
      <c r="I23533"/>
    </row>
    <row r="23534" spans="6:9" x14ac:dyDescent="0.3">
      <c r="F23534"/>
      <c r="G23534"/>
      <c r="H23534"/>
      <c r="I23534"/>
    </row>
    <row r="23535" spans="6:9" x14ac:dyDescent="0.3">
      <c r="F23535"/>
      <c r="G23535"/>
      <c r="H23535"/>
      <c r="I23535"/>
    </row>
    <row r="23536" spans="6:9" x14ac:dyDescent="0.3">
      <c r="F23536"/>
      <c r="G23536"/>
      <c r="H23536"/>
      <c r="I23536"/>
    </row>
    <row r="23537" spans="6:9" x14ac:dyDescent="0.3">
      <c r="F23537"/>
      <c r="G23537"/>
      <c r="H23537"/>
      <c r="I23537"/>
    </row>
    <row r="23538" spans="6:9" x14ac:dyDescent="0.3">
      <c r="F23538"/>
      <c r="G23538"/>
      <c r="H23538"/>
      <c r="I23538"/>
    </row>
    <row r="23539" spans="6:9" x14ac:dyDescent="0.3">
      <c r="F23539"/>
      <c r="G23539"/>
      <c r="H23539"/>
      <c r="I23539"/>
    </row>
    <row r="23540" spans="6:9" x14ac:dyDescent="0.3">
      <c r="F23540"/>
      <c r="G23540"/>
      <c r="H23540"/>
      <c r="I23540"/>
    </row>
    <row r="23541" spans="6:9" x14ac:dyDescent="0.3">
      <c r="F23541"/>
      <c r="G23541"/>
      <c r="H23541"/>
      <c r="I23541"/>
    </row>
    <row r="23542" spans="6:9" x14ac:dyDescent="0.3">
      <c r="F23542"/>
      <c r="G23542"/>
      <c r="H23542"/>
      <c r="I23542"/>
    </row>
    <row r="23543" spans="6:9" x14ac:dyDescent="0.3">
      <c r="F23543"/>
      <c r="G23543"/>
      <c r="H23543"/>
      <c r="I23543"/>
    </row>
    <row r="23544" spans="6:9" x14ac:dyDescent="0.3">
      <c r="F23544"/>
      <c r="G23544"/>
      <c r="H23544"/>
      <c r="I23544"/>
    </row>
    <row r="23545" spans="6:9" x14ac:dyDescent="0.3">
      <c r="F23545"/>
      <c r="G23545"/>
      <c r="H23545"/>
      <c r="I23545"/>
    </row>
    <row r="23546" spans="6:9" x14ac:dyDescent="0.3">
      <c r="F23546"/>
      <c r="G23546"/>
      <c r="H23546"/>
      <c r="I23546"/>
    </row>
    <row r="23547" spans="6:9" x14ac:dyDescent="0.3">
      <c r="F23547"/>
      <c r="G23547"/>
      <c r="H23547"/>
      <c r="I23547"/>
    </row>
    <row r="23548" spans="6:9" x14ac:dyDescent="0.3">
      <c r="F23548"/>
      <c r="G23548"/>
      <c r="H23548"/>
      <c r="I23548"/>
    </row>
    <row r="23549" spans="6:9" x14ac:dyDescent="0.3">
      <c r="F23549"/>
      <c r="G23549"/>
      <c r="H23549"/>
      <c r="I23549"/>
    </row>
    <row r="23550" spans="6:9" x14ac:dyDescent="0.3">
      <c r="F23550"/>
      <c r="G23550"/>
      <c r="H23550"/>
      <c r="I23550"/>
    </row>
    <row r="23551" spans="6:9" x14ac:dyDescent="0.3">
      <c r="F23551"/>
      <c r="G23551"/>
      <c r="H23551"/>
      <c r="I23551"/>
    </row>
    <row r="23552" spans="6:9" x14ac:dyDescent="0.3">
      <c r="F23552"/>
      <c r="G23552"/>
      <c r="H23552"/>
      <c r="I23552"/>
    </row>
    <row r="23553" spans="6:9" x14ac:dyDescent="0.3">
      <c r="F23553"/>
      <c r="G23553"/>
      <c r="H23553"/>
      <c r="I23553"/>
    </row>
    <row r="23554" spans="6:9" x14ac:dyDescent="0.3">
      <c r="F23554"/>
      <c r="G23554"/>
      <c r="H23554"/>
      <c r="I23554"/>
    </row>
    <row r="23555" spans="6:9" x14ac:dyDescent="0.3">
      <c r="F23555"/>
      <c r="G23555"/>
      <c r="H23555"/>
      <c r="I23555"/>
    </row>
    <row r="23556" spans="6:9" x14ac:dyDescent="0.3">
      <c r="F23556"/>
      <c r="G23556"/>
      <c r="H23556"/>
      <c r="I23556"/>
    </row>
    <row r="23557" spans="6:9" x14ac:dyDescent="0.3">
      <c r="F23557"/>
      <c r="G23557"/>
      <c r="H23557"/>
      <c r="I23557"/>
    </row>
    <row r="23558" spans="6:9" x14ac:dyDescent="0.3">
      <c r="F23558"/>
      <c r="G23558"/>
      <c r="H23558"/>
      <c r="I23558"/>
    </row>
    <row r="23559" spans="6:9" x14ac:dyDescent="0.3">
      <c r="F23559"/>
      <c r="G23559"/>
      <c r="H23559"/>
      <c r="I23559"/>
    </row>
    <row r="23560" spans="6:9" x14ac:dyDescent="0.3">
      <c r="F23560"/>
      <c r="G23560"/>
      <c r="H23560"/>
      <c r="I23560"/>
    </row>
    <row r="23561" spans="6:9" x14ac:dyDescent="0.3">
      <c r="F23561"/>
      <c r="G23561"/>
      <c r="H23561"/>
      <c r="I23561"/>
    </row>
    <row r="23562" spans="6:9" x14ac:dyDescent="0.3">
      <c r="F23562"/>
      <c r="G23562"/>
      <c r="H23562"/>
      <c r="I23562"/>
    </row>
    <row r="23563" spans="6:9" x14ac:dyDescent="0.3">
      <c r="F23563"/>
      <c r="G23563"/>
      <c r="H23563"/>
      <c r="I23563"/>
    </row>
    <row r="23564" spans="6:9" x14ac:dyDescent="0.3">
      <c r="F23564"/>
      <c r="G23564"/>
      <c r="H23564"/>
      <c r="I23564"/>
    </row>
    <row r="23565" spans="6:9" x14ac:dyDescent="0.3">
      <c r="F23565"/>
      <c r="G23565"/>
      <c r="H23565"/>
      <c r="I23565"/>
    </row>
    <row r="23566" spans="6:9" x14ac:dyDescent="0.3">
      <c r="F23566"/>
      <c r="G23566"/>
      <c r="H23566"/>
      <c r="I23566"/>
    </row>
    <row r="23567" spans="6:9" x14ac:dyDescent="0.3">
      <c r="F23567"/>
      <c r="G23567"/>
      <c r="H23567"/>
      <c r="I23567"/>
    </row>
    <row r="23568" spans="6:9" x14ac:dyDescent="0.3">
      <c r="F23568"/>
      <c r="G23568"/>
      <c r="H23568"/>
      <c r="I23568"/>
    </row>
    <row r="23569" spans="6:9" x14ac:dyDescent="0.3">
      <c r="F23569"/>
      <c r="G23569"/>
      <c r="H23569"/>
      <c r="I23569"/>
    </row>
    <row r="23570" spans="6:9" x14ac:dyDescent="0.3">
      <c r="F23570"/>
      <c r="G23570"/>
      <c r="H23570"/>
      <c r="I23570"/>
    </row>
    <row r="23571" spans="6:9" x14ac:dyDescent="0.3">
      <c r="F23571"/>
      <c r="G23571"/>
      <c r="H23571"/>
      <c r="I23571"/>
    </row>
    <row r="23572" spans="6:9" x14ac:dyDescent="0.3">
      <c r="F23572"/>
      <c r="G23572"/>
      <c r="H23572"/>
      <c r="I23572"/>
    </row>
    <row r="23573" spans="6:9" x14ac:dyDescent="0.3">
      <c r="F23573"/>
      <c r="G23573"/>
      <c r="H23573"/>
      <c r="I23573"/>
    </row>
    <row r="23574" spans="6:9" x14ac:dyDescent="0.3">
      <c r="F23574"/>
      <c r="G23574"/>
      <c r="H23574"/>
      <c r="I23574"/>
    </row>
    <row r="23575" spans="6:9" x14ac:dyDescent="0.3">
      <c r="F23575"/>
      <c r="G23575"/>
      <c r="H23575"/>
      <c r="I23575"/>
    </row>
    <row r="23576" spans="6:9" x14ac:dyDescent="0.3">
      <c r="F23576"/>
      <c r="G23576"/>
      <c r="H23576"/>
      <c r="I23576"/>
    </row>
    <row r="23577" spans="6:9" x14ac:dyDescent="0.3">
      <c r="F23577"/>
      <c r="G23577"/>
      <c r="H23577"/>
      <c r="I23577"/>
    </row>
    <row r="23578" spans="6:9" x14ac:dyDescent="0.3">
      <c r="F23578"/>
      <c r="G23578"/>
      <c r="H23578"/>
      <c r="I23578"/>
    </row>
    <row r="23579" spans="6:9" x14ac:dyDescent="0.3">
      <c r="F23579"/>
      <c r="G23579"/>
      <c r="H23579"/>
      <c r="I23579"/>
    </row>
    <row r="23580" spans="6:9" x14ac:dyDescent="0.3">
      <c r="F23580"/>
      <c r="G23580"/>
      <c r="H23580"/>
      <c r="I23580"/>
    </row>
    <row r="23581" spans="6:9" x14ac:dyDescent="0.3">
      <c r="F23581"/>
      <c r="G23581"/>
      <c r="H23581"/>
      <c r="I23581"/>
    </row>
    <row r="23582" spans="6:9" x14ac:dyDescent="0.3">
      <c r="F23582"/>
      <c r="G23582"/>
      <c r="H23582"/>
      <c r="I23582"/>
    </row>
    <row r="23583" spans="6:9" x14ac:dyDescent="0.3">
      <c r="F23583"/>
      <c r="G23583"/>
      <c r="H23583"/>
      <c r="I23583"/>
    </row>
    <row r="23584" spans="6:9" x14ac:dyDescent="0.3">
      <c r="F23584"/>
      <c r="G23584"/>
      <c r="H23584"/>
      <c r="I23584"/>
    </row>
    <row r="23585" spans="6:9" x14ac:dyDescent="0.3">
      <c r="F23585"/>
      <c r="G23585"/>
      <c r="H23585"/>
      <c r="I23585"/>
    </row>
    <row r="23586" spans="6:9" x14ac:dyDescent="0.3">
      <c r="F23586"/>
      <c r="G23586"/>
      <c r="H23586"/>
      <c r="I23586"/>
    </row>
    <row r="23587" spans="6:9" x14ac:dyDescent="0.3">
      <c r="F23587"/>
      <c r="G23587"/>
      <c r="H23587"/>
      <c r="I23587"/>
    </row>
    <row r="23588" spans="6:9" x14ac:dyDescent="0.3">
      <c r="F23588"/>
      <c r="G23588"/>
      <c r="H23588"/>
      <c r="I23588"/>
    </row>
    <row r="23589" spans="6:9" x14ac:dyDescent="0.3">
      <c r="F23589"/>
      <c r="G23589"/>
      <c r="H23589"/>
      <c r="I23589"/>
    </row>
    <row r="23590" spans="6:9" x14ac:dyDescent="0.3">
      <c r="F23590"/>
      <c r="G23590"/>
      <c r="H23590"/>
      <c r="I23590"/>
    </row>
    <row r="23591" spans="6:9" x14ac:dyDescent="0.3">
      <c r="F23591"/>
      <c r="G23591"/>
      <c r="H23591"/>
      <c r="I23591"/>
    </row>
    <row r="23592" spans="6:9" x14ac:dyDescent="0.3">
      <c r="F23592"/>
      <c r="G23592"/>
      <c r="H23592"/>
      <c r="I23592"/>
    </row>
    <row r="23593" spans="6:9" x14ac:dyDescent="0.3">
      <c r="F23593"/>
      <c r="G23593"/>
      <c r="H23593"/>
      <c r="I23593"/>
    </row>
    <row r="23594" spans="6:9" x14ac:dyDescent="0.3">
      <c r="F23594"/>
      <c r="G23594"/>
      <c r="H23594"/>
      <c r="I23594"/>
    </row>
    <row r="23595" spans="6:9" x14ac:dyDescent="0.3">
      <c r="F23595"/>
      <c r="G23595"/>
      <c r="H23595"/>
      <c r="I23595"/>
    </row>
    <row r="23596" spans="6:9" x14ac:dyDescent="0.3">
      <c r="F23596"/>
      <c r="G23596"/>
      <c r="H23596"/>
      <c r="I23596"/>
    </row>
    <row r="23597" spans="6:9" x14ac:dyDescent="0.3">
      <c r="F23597"/>
      <c r="G23597"/>
      <c r="H23597"/>
      <c r="I23597"/>
    </row>
    <row r="23598" spans="6:9" x14ac:dyDescent="0.3">
      <c r="F23598"/>
      <c r="G23598"/>
      <c r="H23598"/>
      <c r="I23598"/>
    </row>
    <row r="23599" spans="6:9" x14ac:dyDescent="0.3">
      <c r="F23599"/>
      <c r="G23599"/>
      <c r="H23599"/>
      <c r="I23599"/>
    </row>
    <row r="23600" spans="6:9" x14ac:dyDescent="0.3">
      <c r="F23600"/>
      <c r="G23600"/>
      <c r="H23600"/>
      <c r="I23600"/>
    </row>
    <row r="23601" spans="6:9" x14ac:dyDescent="0.3">
      <c r="F23601"/>
      <c r="G23601"/>
      <c r="H23601"/>
      <c r="I23601"/>
    </row>
    <row r="23602" spans="6:9" x14ac:dyDescent="0.3">
      <c r="F23602"/>
      <c r="G23602"/>
      <c r="H23602"/>
      <c r="I23602"/>
    </row>
    <row r="23603" spans="6:9" x14ac:dyDescent="0.3">
      <c r="F23603"/>
      <c r="G23603"/>
      <c r="H23603"/>
      <c r="I23603"/>
    </row>
    <row r="23604" spans="6:9" x14ac:dyDescent="0.3">
      <c r="F23604"/>
      <c r="G23604"/>
      <c r="H23604"/>
      <c r="I23604"/>
    </row>
    <row r="23605" spans="6:9" x14ac:dyDescent="0.3">
      <c r="F23605"/>
      <c r="G23605"/>
      <c r="H23605"/>
      <c r="I23605"/>
    </row>
    <row r="23606" spans="6:9" x14ac:dyDescent="0.3">
      <c r="F23606"/>
      <c r="G23606"/>
      <c r="H23606"/>
      <c r="I23606"/>
    </row>
    <row r="23607" spans="6:9" x14ac:dyDescent="0.3">
      <c r="F23607"/>
      <c r="G23607"/>
      <c r="H23607"/>
      <c r="I23607"/>
    </row>
    <row r="23608" spans="6:9" x14ac:dyDescent="0.3">
      <c r="F23608"/>
      <c r="G23608"/>
      <c r="H23608"/>
      <c r="I23608"/>
    </row>
    <row r="23609" spans="6:9" x14ac:dyDescent="0.3">
      <c r="F23609"/>
      <c r="G23609"/>
      <c r="H23609"/>
      <c r="I23609"/>
    </row>
    <row r="23610" spans="6:9" x14ac:dyDescent="0.3">
      <c r="F23610"/>
      <c r="G23610"/>
      <c r="H23610"/>
      <c r="I23610"/>
    </row>
    <row r="23611" spans="6:9" x14ac:dyDescent="0.3">
      <c r="F23611"/>
      <c r="G23611"/>
      <c r="H23611"/>
      <c r="I23611"/>
    </row>
    <row r="23612" spans="6:9" x14ac:dyDescent="0.3">
      <c r="F23612"/>
      <c r="G23612"/>
      <c r="H23612"/>
      <c r="I23612"/>
    </row>
    <row r="23613" spans="6:9" x14ac:dyDescent="0.3">
      <c r="F23613"/>
      <c r="G23613"/>
      <c r="H23613"/>
      <c r="I23613"/>
    </row>
    <row r="23614" spans="6:9" x14ac:dyDescent="0.3">
      <c r="F23614"/>
      <c r="G23614"/>
      <c r="H23614"/>
      <c r="I23614"/>
    </row>
    <row r="23615" spans="6:9" x14ac:dyDescent="0.3">
      <c r="F23615"/>
      <c r="G23615"/>
      <c r="H23615"/>
      <c r="I23615"/>
    </row>
    <row r="23616" spans="6:9" x14ac:dyDescent="0.3">
      <c r="F23616"/>
      <c r="G23616"/>
      <c r="H23616"/>
      <c r="I23616"/>
    </row>
    <row r="23617" spans="6:9" x14ac:dyDescent="0.3">
      <c r="F23617"/>
      <c r="G23617"/>
      <c r="H23617"/>
      <c r="I23617"/>
    </row>
    <row r="23618" spans="6:9" x14ac:dyDescent="0.3">
      <c r="F23618"/>
      <c r="G23618"/>
      <c r="H23618"/>
      <c r="I23618"/>
    </row>
    <row r="23619" spans="6:9" x14ac:dyDescent="0.3">
      <c r="F23619"/>
      <c r="G23619"/>
      <c r="H23619"/>
      <c r="I23619"/>
    </row>
    <row r="23620" spans="6:9" x14ac:dyDescent="0.3">
      <c r="F23620"/>
      <c r="G23620"/>
      <c r="H23620"/>
      <c r="I23620"/>
    </row>
    <row r="23621" spans="6:9" x14ac:dyDescent="0.3">
      <c r="F23621"/>
      <c r="G23621"/>
      <c r="H23621"/>
      <c r="I23621"/>
    </row>
    <row r="23622" spans="6:9" x14ac:dyDescent="0.3">
      <c r="F23622"/>
      <c r="G23622"/>
      <c r="H23622"/>
      <c r="I23622"/>
    </row>
    <row r="23623" spans="6:9" x14ac:dyDescent="0.3">
      <c r="F23623"/>
      <c r="G23623"/>
      <c r="H23623"/>
      <c r="I23623"/>
    </row>
    <row r="23624" spans="6:9" x14ac:dyDescent="0.3">
      <c r="F23624"/>
      <c r="G23624"/>
      <c r="H23624"/>
      <c r="I23624"/>
    </row>
    <row r="23625" spans="6:9" x14ac:dyDescent="0.3">
      <c r="F23625"/>
      <c r="G23625"/>
      <c r="H23625"/>
      <c r="I23625"/>
    </row>
    <row r="23626" spans="6:9" x14ac:dyDescent="0.3">
      <c r="F23626"/>
      <c r="G23626"/>
      <c r="H23626"/>
      <c r="I23626"/>
    </row>
    <row r="23627" spans="6:9" x14ac:dyDescent="0.3">
      <c r="F23627"/>
      <c r="G23627"/>
      <c r="H23627"/>
      <c r="I23627"/>
    </row>
    <row r="23628" spans="6:9" x14ac:dyDescent="0.3">
      <c r="F23628"/>
      <c r="G23628"/>
      <c r="H23628"/>
      <c r="I23628"/>
    </row>
    <row r="23629" spans="6:9" x14ac:dyDescent="0.3">
      <c r="F23629"/>
      <c r="G23629"/>
      <c r="H23629"/>
      <c r="I23629"/>
    </row>
    <row r="23630" spans="6:9" x14ac:dyDescent="0.3">
      <c r="F23630"/>
      <c r="G23630"/>
      <c r="H23630"/>
      <c r="I23630"/>
    </row>
    <row r="23631" spans="6:9" x14ac:dyDescent="0.3">
      <c r="F23631"/>
      <c r="G23631"/>
      <c r="H23631"/>
      <c r="I23631"/>
    </row>
    <row r="23632" spans="6:9" x14ac:dyDescent="0.3">
      <c r="F23632"/>
      <c r="G23632"/>
      <c r="H23632"/>
      <c r="I23632"/>
    </row>
    <row r="23633" spans="6:9" x14ac:dyDescent="0.3">
      <c r="F23633"/>
      <c r="G23633"/>
      <c r="H23633"/>
      <c r="I23633"/>
    </row>
    <row r="23634" spans="6:9" x14ac:dyDescent="0.3">
      <c r="F23634"/>
      <c r="G23634"/>
      <c r="H23634"/>
      <c r="I23634"/>
    </row>
    <row r="23635" spans="6:9" x14ac:dyDescent="0.3">
      <c r="F23635"/>
      <c r="G23635"/>
      <c r="H23635"/>
      <c r="I23635"/>
    </row>
    <row r="23636" spans="6:9" x14ac:dyDescent="0.3">
      <c r="F23636"/>
      <c r="G23636"/>
      <c r="H23636"/>
      <c r="I23636"/>
    </row>
    <row r="23637" spans="6:9" x14ac:dyDescent="0.3">
      <c r="F23637"/>
      <c r="G23637"/>
      <c r="H23637"/>
      <c r="I23637"/>
    </row>
    <row r="23638" spans="6:9" x14ac:dyDescent="0.3">
      <c r="F23638"/>
      <c r="G23638"/>
      <c r="H23638"/>
      <c r="I23638"/>
    </row>
    <row r="23639" spans="6:9" x14ac:dyDescent="0.3">
      <c r="F23639"/>
      <c r="G23639"/>
      <c r="H23639"/>
      <c r="I23639"/>
    </row>
    <row r="23640" spans="6:9" x14ac:dyDescent="0.3">
      <c r="F23640"/>
      <c r="G23640"/>
      <c r="H23640"/>
      <c r="I23640"/>
    </row>
    <row r="23641" spans="6:9" x14ac:dyDescent="0.3">
      <c r="F23641"/>
      <c r="G23641"/>
      <c r="H23641"/>
      <c r="I23641"/>
    </row>
    <row r="23642" spans="6:9" x14ac:dyDescent="0.3">
      <c r="F23642"/>
      <c r="G23642"/>
      <c r="H23642"/>
      <c r="I23642"/>
    </row>
    <row r="23643" spans="6:9" x14ac:dyDescent="0.3">
      <c r="F23643"/>
      <c r="G23643"/>
      <c r="H23643"/>
      <c r="I23643"/>
    </row>
    <row r="23644" spans="6:9" x14ac:dyDescent="0.3">
      <c r="F23644"/>
      <c r="G23644"/>
      <c r="H23644"/>
      <c r="I23644"/>
    </row>
    <row r="23645" spans="6:9" x14ac:dyDescent="0.3">
      <c r="F23645"/>
      <c r="G23645"/>
      <c r="H23645"/>
      <c r="I23645"/>
    </row>
    <row r="23646" spans="6:9" x14ac:dyDescent="0.3">
      <c r="F23646"/>
      <c r="G23646"/>
      <c r="H23646"/>
      <c r="I23646"/>
    </row>
    <row r="23647" spans="6:9" x14ac:dyDescent="0.3">
      <c r="F23647"/>
      <c r="G23647"/>
      <c r="H23647"/>
      <c r="I23647"/>
    </row>
    <row r="23648" spans="6:9" x14ac:dyDescent="0.3">
      <c r="F23648"/>
      <c r="G23648"/>
      <c r="H23648"/>
      <c r="I23648"/>
    </row>
    <row r="23649" spans="6:9" x14ac:dyDescent="0.3">
      <c r="F23649"/>
      <c r="G23649"/>
      <c r="H23649"/>
      <c r="I23649"/>
    </row>
    <row r="23650" spans="6:9" x14ac:dyDescent="0.3">
      <c r="F23650"/>
      <c r="G23650"/>
      <c r="H23650"/>
      <c r="I23650"/>
    </row>
    <row r="23651" spans="6:9" x14ac:dyDescent="0.3">
      <c r="F23651"/>
      <c r="G23651"/>
      <c r="H23651"/>
      <c r="I23651"/>
    </row>
    <row r="23652" spans="6:9" x14ac:dyDescent="0.3">
      <c r="F23652"/>
      <c r="G23652"/>
      <c r="H23652"/>
      <c r="I23652"/>
    </row>
    <row r="23653" spans="6:9" x14ac:dyDescent="0.3">
      <c r="F23653"/>
      <c r="G23653"/>
      <c r="H23653"/>
      <c r="I23653"/>
    </row>
    <row r="23654" spans="6:9" x14ac:dyDescent="0.3">
      <c r="F23654"/>
      <c r="G23654"/>
      <c r="H23654"/>
      <c r="I23654"/>
    </row>
    <row r="23655" spans="6:9" x14ac:dyDescent="0.3">
      <c r="F23655"/>
      <c r="G23655"/>
      <c r="H23655"/>
      <c r="I23655"/>
    </row>
    <row r="23656" spans="6:9" x14ac:dyDescent="0.3">
      <c r="F23656"/>
      <c r="G23656"/>
      <c r="H23656"/>
      <c r="I23656"/>
    </row>
    <row r="23657" spans="6:9" x14ac:dyDescent="0.3">
      <c r="F23657"/>
      <c r="G23657"/>
      <c r="H23657"/>
      <c r="I23657"/>
    </row>
    <row r="23658" spans="6:9" x14ac:dyDescent="0.3">
      <c r="F23658"/>
      <c r="G23658"/>
      <c r="H23658"/>
      <c r="I23658"/>
    </row>
    <row r="23659" spans="6:9" x14ac:dyDescent="0.3">
      <c r="F23659"/>
      <c r="G23659"/>
      <c r="H23659"/>
      <c r="I23659"/>
    </row>
    <row r="23660" spans="6:9" x14ac:dyDescent="0.3">
      <c r="F23660"/>
      <c r="G23660"/>
      <c r="H23660"/>
      <c r="I23660"/>
    </row>
    <row r="23661" spans="6:9" x14ac:dyDescent="0.3">
      <c r="F23661"/>
      <c r="G23661"/>
      <c r="H23661"/>
      <c r="I23661"/>
    </row>
    <row r="23662" spans="6:9" x14ac:dyDescent="0.3">
      <c r="F23662"/>
      <c r="G23662"/>
      <c r="H23662"/>
      <c r="I23662"/>
    </row>
    <row r="23663" spans="6:9" x14ac:dyDescent="0.3">
      <c r="F23663"/>
      <c r="G23663"/>
      <c r="H23663"/>
      <c r="I23663"/>
    </row>
    <row r="23664" spans="6:9" x14ac:dyDescent="0.3">
      <c r="F23664"/>
      <c r="G23664"/>
      <c r="H23664"/>
      <c r="I23664"/>
    </row>
    <row r="23665" spans="6:9" x14ac:dyDescent="0.3">
      <c r="F23665"/>
      <c r="G23665"/>
      <c r="H23665"/>
      <c r="I23665"/>
    </row>
    <row r="23666" spans="6:9" x14ac:dyDescent="0.3">
      <c r="F23666"/>
      <c r="G23666"/>
      <c r="H23666"/>
      <c r="I23666"/>
    </row>
    <row r="23667" spans="6:9" x14ac:dyDescent="0.3">
      <c r="F23667"/>
      <c r="G23667"/>
      <c r="H23667"/>
      <c r="I23667"/>
    </row>
    <row r="23668" spans="6:9" x14ac:dyDescent="0.3">
      <c r="F23668"/>
      <c r="G23668"/>
      <c r="H23668"/>
      <c r="I23668"/>
    </row>
    <row r="23669" spans="6:9" x14ac:dyDescent="0.3">
      <c r="F23669"/>
      <c r="G23669"/>
      <c r="H23669"/>
      <c r="I23669"/>
    </row>
    <row r="23670" spans="6:9" x14ac:dyDescent="0.3">
      <c r="F23670"/>
      <c r="G23670"/>
      <c r="H23670"/>
      <c r="I23670"/>
    </row>
    <row r="23671" spans="6:9" x14ac:dyDescent="0.3">
      <c r="F23671"/>
      <c r="G23671"/>
      <c r="H23671"/>
      <c r="I23671"/>
    </row>
    <row r="23672" spans="6:9" x14ac:dyDescent="0.3">
      <c r="F23672"/>
      <c r="G23672"/>
      <c r="H23672"/>
      <c r="I23672"/>
    </row>
    <row r="23673" spans="6:9" x14ac:dyDescent="0.3">
      <c r="F23673"/>
      <c r="G23673"/>
      <c r="H23673"/>
      <c r="I23673"/>
    </row>
    <row r="23674" spans="6:9" x14ac:dyDescent="0.3">
      <c r="F23674"/>
      <c r="G23674"/>
      <c r="H23674"/>
      <c r="I23674"/>
    </row>
    <row r="23675" spans="6:9" x14ac:dyDescent="0.3">
      <c r="F23675"/>
      <c r="G23675"/>
      <c r="H23675"/>
      <c r="I23675"/>
    </row>
    <row r="23676" spans="6:9" x14ac:dyDescent="0.3">
      <c r="F23676"/>
      <c r="G23676"/>
      <c r="H23676"/>
      <c r="I23676"/>
    </row>
    <row r="23677" spans="6:9" x14ac:dyDescent="0.3">
      <c r="F23677"/>
      <c r="G23677"/>
      <c r="H23677"/>
      <c r="I23677"/>
    </row>
    <row r="23678" spans="6:9" x14ac:dyDescent="0.3">
      <c r="F23678"/>
      <c r="G23678"/>
      <c r="H23678"/>
      <c r="I23678"/>
    </row>
    <row r="23679" spans="6:9" x14ac:dyDescent="0.3">
      <c r="F23679"/>
      <c r="G23679"/>
      <c r="H23679"/>
      <c r="I23679"/>
    </row>
    <row r="23680" spans="6:9" x14ac:dyDescent="0.3">
      <c r="F23680"/>
      <c r="G23680"/>
      <c r="H23680"/>
      <c r="I23680"/>
    </row>
    <row r="23681" spans="6:9" x14ac:dyDescent="0.3">
      <c r="F23681"/>
      <c r="G23681"/>
      <c r="H23681"/>
      <c r="I23681"/>
    </row>
    <row r="23682" spans="6:9" x14ac:dyDescent="0.3">
      <c r="F23682"/>
      <c r="G23682"/>
      <c r="H23682"/>
      <c r="I23682"/>
    </row>
    <row r="23683" spans="6:9" x14ac:dyDescent="0.3">
      <c r="F23683"/>
      <c r="G23683"/>
      <c r="H23683"/>
      <c r="I23683"/>
    </row>
    <row r="23684" spans="6:9" x14ac:dyDescent="0.3">
      <c r="F23684"/>
      <c r="G23684"/>
      <c r="H23684"/>
      <c r="I23684"/>
    </row>
    <row r="23685" spans="6:9" x14ac:dyDescent="0.3">
      <c r="F23685"/>
      <c r="G23685"/>
      <c r="H23685"/>
      <c r="I23685"/>
    </row>
    <row r="23686" spans="6:9" x14ac:dyDescent="0.3">
      <c r="F23686"/>
      <c r="G23686"/>
      <c r="H23686"/>
      <c r="I23686"/>
    </row>
    <row r="23687" spans="6:9" x14ac:dyDescent="0.3">
      <c r="F23687"/>
      <c r="G23687"/>
      <c r="H23687"/>
      <c r="I23687"/>
    </row>
    <row r="23688" spans="6:9" x14ac:dyDescent="0.3">
      <c r="F23688"/>
      <c r="G23688"/>
      <c r="H23688"/>
      <c r="I23688"/>
    </row>
    <row r="23689" spans="6:9" x14ac:dyDescent="0.3">
      <c r="F23689"/>
      <c r="G23689"/>
      <c r="H23689"/>
      <c r="I23689"/>
    </row>
    <row r="23690" spans="6:9" x14ac:dyDescent="0.3">
      <c r="F23690"/>
      <c r="G23690"/>
      <c r="H23690"/>
      <c r="I23690"/>
    </row>
    <row r="23691" spans="6:9" x14ac:dyDescent="0.3">
      <c r="F23691"/>
      <c r="G23691"/>
      <c r="H23691"/>
      <c r="I23691"/>
    </row>
    <row r="23692" spans="6:9" x14ac:dyDescent="0.3">
      <c r="F23692"/>
      <c r="G23692"/>
      <c r="H23692"/>
      <c r="I23692"/>
    </row>
    <row r="23693" spans="6:9" x14ac:dyDescent="0.3">
      <c r="F23693"/>
      <c r="G23693"/>
      <c r="H23693"/>
      <c r="I23693"/>
    </row>
    <row r="23694" spans="6:9" x14ac:dyDescent="0.3">
      <c r="F23694"/>
      <c r="G23694"/>
      <c r="H23694"/>
      <c r="I23694"/>
    </row>
    <row r="23695" spans="6:9" x14ac:dyDescent="0.3">
      <c r="F23695"/>
      <c r="G23695"/>
      <c r="H23695"/>
      <c r="I23695"/>
    </row>
    <row r="23696" spans="6:9" x14ac:dyDescent="0.3">
      <c r="F23696"/>
      <c r="G23696"/>
      <c r="H23696"/>
      <c r="I23696"/>
    </row>
    <row r="23697" spans="6:9" x14ac:dyDescent="0.3">
      <c r="F23697"/>
      <c r="G23697"/>
      <c r="H23697"/>
      <c r="I23697"/>
    </row>
    <row r="23698" spans="6:9" x14ac:dyDescent="0.3">
      <c r="F23698"/>
      <c r="G23698"/>
      <c r="H23698"/>
      <c r="I23698"/>
    </row>
    <row r="23699" spans="6:9" x14ac:dyDescent="0.3">
      <c r="F23699"/>
      <c r="G23699"/>
      <c r="H23699"/>
      <c r="I23699"/>
    </row>
    <row r="23700" spans="6:9" x14ac:dyDescent="0.3">
      <c r="F23700"/>
      <c r="G23700"/>
      <c r="H23700"/>
      <c r="I23700"/>
    </row>
    <row r="23701" spans="6:9" x14ac:dyDescent="0.3">
      <c r="F23701"/>
      <c r="G23701"/>
      <c r="H23701"/>
      <c r="I23701"/>
    </row>
    <row r="23702" spans="6:9" x14ac:dyDescent="0.3">
      <c r="F23702"/>
      <c r="G23702"/>
      <c r="H23702"/>
      <c r="I23702"/>
    </row>
    <row r="23703" spans="6:9" x14ac:dyDescent="0.3">
      <c r="F23703"/>
      <c r="G23703"/>
      <c r="H23703"/>
      <c r="I23703"/>
    </row>
    <row r="23704" spans="6:9" x14ac:dyDescent="0.3">
      <c r="F23704"/>
      <c r="G23704"/>
      <c r="H23704"/>
      <c r="I23704"/>
    </row>
    <row r="23705" spans="6:9" x14ac:dyDescent="0.3">
      <c r="F23705"/>
      <c r="G23705"/>
      <c r="H23705"/>
      <c r="I23705"/>
    </row>
    <row r="23706" spans="6:9" x14ac:dyDescent="0.3">
      <c r="F23706"/>
      <c r="G23706"/>
      <c r="H23706"/>
      <c r="I23706"/>
    </row>
    <row r="23707" spans="6:9" x14ac:dyDescent="0.3">
      <c r="F23707"/>
      <c r="G23707"/>
      <c r="H23707"/>
      <c r="I23707"/>
    </row>
    <row r="23708" spans="6:9" x14ac:dyDescent="0.3">
      <c r="F23708"/>
      <c r="G23708"/>
      <c r="H23708"/>
      <c r="I23708"/>
    </row>
    <row r="23709" spans="6:9" x14ac:dyDescent="0.3">
      <c r="F23709"/>
      <c r="G23709"/>
      <c r="H23709"/>
      <c r="I23709"/>
    </row>
    <row r="23710" spans="6:9" x14ac:dyDescent="0.3">
      <c r="F23710"/>
      <c r="G23710"/>
      <c r="H23710"/>
      <c r="I23710"/>
    </row>
    <row r="23711" spans="6:9" x14ac:dyDescent="0.3">
      <c r="F23711"/>
      <c r="G23711"/>
      <c r="H23711"/>
      <c r="I23711"/>
    </row>
    <row r="23712" spans="6:9" x14ac:dyDescent="0.3">
      <c r="F23712"/>
      <c r="G23712"/>
      <c r="H23712"/>
      <c r="I23712"/>
    </row>
    <row r="23713" spans="6:9" x14ac:dyDescent="0.3">
      <c r="F23713"/>
      <c r="G23713"/>
      <c r="H23713"/>
      <c r="I23713"/>
    </row>
    <row r="23714" spans="6:9" x14ac:dyDescent="0.3">
      <c r="F23714"/>
      <c r="G23714"/>
      <c r="H23714"/>
      <c r="I23714"/>
    </row>
    <row r="23715" spans="6:9" x14ac:dyDescent="0.3">
      <c r="F23715"/>
      <c r="G23715"/>
      <c r="H23715"/>
      <c r="I23715"/>
    </row>
    <row r="23716" spans="6:9" x14ac:dyDescent="0.3">
      <c r="F23716"/>
      <c r="G23716"/>
      <c r="H23716"/>
      <c r="I23716"/>
    </row>
    <row r="23717" spans="6:9" x14ac:dyDescent="0.3">
      <c r="F23717"/>
      <c r="G23717"/>
      <c r="H23717"/>
      <c r="I23717"/>
    </row>
    <row r="23718" spans="6:9" x14ac:dyDescent="0.3">
      <c r="F23718"/>
      <c r="G23718"/>
      <c r="H23718"/>
      <c r="I23718"/>
    </row>
    <row r="23719" spans="6:9" x14ac:dyDescent="0.3">
      <c r="F23719"/>
      <c r="G23719"/>
      <c r="H23719"/>
      <c r="I23719"/>
    </row>
    <row r="23720" spans="6:9" x14ac:dyDescent="0.3">
      <c r="F23720"/>
      <c r="G23720"/>
      <c r="H23720"/>
      <c r="I23720"/>
    </row>
    <row r="23721" spans="6:9" x14ac:dyDescent="0.3">
      <c r="F23721"/>
      <c r="G23721"/>
      <c r="H23721"/>
      <c r="I23721"/>
    </row>
    <row r="23722" spans="6:9" x14ac:dyDescent="0.3">
      <c r="F23722"/>
      <c r="G23722"/>
      <c r="H23722"/>
      <c r="I23722"/>
    </row>
    <row r="23723" spans="6:9" x14ac:dyDescent="0.3">
      <c r="F23723"/>
      <c r="G23723"/>
      <c r="H23723"/>
      <c r="I23723"/>
    </row>
    <row r="23724" spans="6:9" x14ac:dyDescent="0.3">
      <c r="F23724"/>
      <c r="G23724"/>
      <c r="H23724"/>
      <c r="I23724"/>
    </row>
    <row r="23725" spans="6:9" x14ac:dyDescent="0.3">
      <c r="F23725"/>
      <c r="G23725"/>
      <c r="H23725"/>
      <c r="I23725"/>
    </row>
    <row r="23726" spans="6:9" x14ac:dyDescent="0.3">
      <c r="F23726"/>
      <c r="G23726"/>
      <c r="H23726"/>
      <c r="I23726"/>
    </row>
    <row r="23727" spans="6:9" x14ac:dyDescent="0.3">
      <c r="F23727"/>
      <c r="G23727"/>
      <c r="H23727"/>
      <c r="I23727"/>
    </row>
    <row r="23728" spans="6:9" x14ac:dyDescent="0.3">
      <c r="F23728"/>
      <c r="G23728"/>
      <c r="H23728"/>
      <c r="I23728"/>
    </row>
    <row r="23729" spans="6:9" x14ac:dyDescent="0.3">
      <c r="F23729"/>
      <c r="G23729"/>
      <c r="H23729"/>
      <c r="I23729"/>
    </row>
    <row r="23730" spans="6:9" x14ac:dyDescent="0.3">
      <c r="F23730"/>
      <c r="G23730"/>
      <c r="H23730"/>
      <c r="I23730"/>
    </row>
    <row r="23731" spans="6:9" x14ac:dyDescent="0.3">
      <c r="F23731"/>
      <c r="G23731"/>
      <c r="H23731"/>
      <c r="I23731"/>
    </row>
    <row r="23732" spans="6:9" x14ac:dyDescent="0.3">
      <c r="F23732"/>
      <c r="G23732"/>
      <c r="H23732"/>
      <c r="I23732"/>
    </row>
    <row r="23733" spans="6:9" x14ac:dyDescent="0.3">
      <c r="F23733"/>
      <c r="G23733"/>
      <c r="H23733"/>
      <c r="I23733"/>
    </row>
    <row r="23734" spans="6:9" x14ac:dyDescent="0.3">
      <c r="F23734"/>
      <c r="G23734"/>
      <c r="H23734"/>
      <c r="I23734"/>
    </row>
    <row r="23735" spans="6:9" x14ac:dyDescent="0.3">
      <c r="F23735"/>
      <c r="G23735"/>
      <c r="H23735"/>
      <c r="I23735"/>
    </row>
    <row r="23736" spans="6:9" x14ac:dyDescent="0.3">
      <c r="F23736"/>
      <c r="G23736"/>
      <c r="H23736"/>
      <c r="I23736"/>
    </row>
    <row r="23737" spans="6:9" x14ac:dyDescent="0.3">
      <c r="F23737"/>
      <c r="G23737"/>
      <c r="H23737"/>
      <c r="I23737"/>
    </row>
    <row r="23738" spans="6:9" x14ac:dyDescent="0.3">
      <c r="F23738"/>
      <c r="G23738"/>
      <c r="H23738"/>
      <c r="I23738"/>
    </row>
    <row r="23739" spans="6:9" x14ac:dyDescent="0.3">
      <c r="F23739"/>
      <c r="G23739"/>
      <c r="H23739"/>
      <c r="I23739"/>
    </row>
    <row r="23740" spans="6:9" x14ac:dyDescent="0.3">
      <c r="F23740"/>
      <c r="G23740"/>
      <c r="H23740"/>
      <c r="I23740"/>
    </row>
    <row r="23741" spans="6:9" x14ac:dyDescent="0.3">
      <c r="F23741"/>
      <c r="G23741"/>
      <c r="H23741"/>
      <c r="I23741"/>
    </row>
    <row r="23742" spans="6:9" x14ac:dyDescent="0.3">
      <c r="F23742"/>
      <c r="G23742"/>
      <c r="H23742"/>
      <c r="I23742"/>
    </row>
    <row r="23743" spans="6:9" x14ac:dyDescent="0.3">
      <c r="F23743"/>
      <c r="G23743"/>
      <c r="H23743"/>
      <c r="I23743"/>
    </row>
    <row r="23744" spans="6:9" x14ac:dyDescent="0.3">
      <c r="F23744"/>
      <c r="G23744"/>
      <c r="H23744"/>
      <c r="I23744"/>
    </row>
    <row r="23745" spans="6:9" x14ac:dyDescent="0.3">
      <c r="F23745"/>
      <c r="G23745"/>
      <c r="H23745"/>
      <c r="I23745"/>
    </row>
    <row r="23746" spans="6:9" x14ac:dyDescent="0.3">
      <c r="F23746"/>
      <c r="G23746"/>
      <c r="H23746"/>
      <c r="I23746"/>
    </row>
    <row r="23747" spans="6:9" x14ac:dyDescent="0.3">
      <c r="F23747"/>
      <c r="G23747"/>
      <c r="H23747"/>
      <c r="I23747"/>
    </row>
    <row r="23748" spans="6:9" x14ac:dyDescent="0.3">
      <c r="F23748"/>
      <c r="G23748"/>
      <c r="H23748"/>
      <c r="I23748"/>
    </row>
    <row r="23749" spans="6:9" x14ac:dyDescent="0.3">
      <c r="F23749"/>
      <c r="G23749"/>
      <c r="H23749"/>
      <c r="I23749"/>
    </row>
    <row r="23750" spans="6:9" x14ac:dyDescent="0.3">
      <c r="F23750"/>
      <c r="G23750"/>
      <c r="H23750"/>
      <c r="I23750"/>
    </row>
    <row r="23751" spans="6:9" x14ac:dyDescent="0.3">
      <c r="F23751"/>
      <c r="G23751"/>
      <c r="H23751"/>
      <c r="I23751"/>
    </row>
    <row r="23752" spans="6:9" x14ac:dyDescent="0.3">
      <c r="F23752"/>
      <c r="G23752"/>
      <c r="H23752"/>
      <c r="I23752"/>
    </row>
    <row r="23753" spans="6:9" x14ac:dyDescent="0.3">
      <c r="F23753"/>
      <c r="G23753"/>
      <c r="H23753"/>
      <c r="I23753"/>
    </row>
    <row r="23754" spans="6:9" x14ac:dyDescent="0.3">
      <c r="F23754"/>
      <c r="G23754"/>
      <c r="H23754"/>
      <c r="I23754"/>
    </row>
    <row r="23755" spans="6:9" x14ac:dyDescent="0.3">
      <c r="F23755"/>
      <c r="G23755"/>
      <c r="H23755"/>
      <c r="I23755"/>
    </row>
    <row r="23756" spans="6:9" x14ac:dyDescent="0.3">
      <c r="F23756"/>
      <c r="G23756"/>
      <c r="H23756"/>
      <c r="I23756"/>
    </row>
    <row r="23757" spans="6:9" x14ac:dyDescent="0.3">
      <c r="F23757"/>
      <c r="G23757"/>
      <c r="H23757"/>
      <c r="I23757"/>
    </row>
    <row r="23758" spans="6:9" x14ac:dyDescent="0.3">
      <c r="F23758"/>
      <c r="G23758"/>
      <c r="H23758"/>
      <c r="I23758"/>
    </row>
    <row r="23759" spans="6:9" x14ac:dyDescent="0.3">
      <c r="F23759"/>
      <c r="G23759"/>
      <c r="H23759"/>
      <c r="I23759"/>
    </row>
    <row r="23760" spans="6:9" x14ac:dyDescent="0.3">
      <c r="F23760"/>
      <c r="G23760"/>
      <c r="H23760"/>
      <c r="I23760"/>
    </row>
    <row r="23761" spans="6:9" x14ac:dyDescent="0.3">
      <c r="F23761"/>
      <c r="G23761"/>
      <c r="H23761"/>
      <c r="I23761"/>
    </row>
    <row r="23762" spans="6:9" x14ac:dyDescent="0.3">
      <c r="F23762"/>
      <c r="G23762"/>
      <c r="H23762"/>
      <c r="I23762"/>
    </row>
    <row r="23763" spans="6:9" x14ac:dyDescent="0.3">
      <c r="F23763"/>
      <c r="G23763"/>
      <c r="H23763"/>
      <c r="I23763"/>
    </row>
    <row r="23764" spans="6:9" x14ac:dyDescent="0.3">
      <c r="F23764"/>
      <c r="G23764"/>
      <c r="H23764"/>
      <c r="I23764"/>
    </row>
    <row r="23765" spans="6:9" x14ac:dyDescent="0.3">
      <c r="F23765"/>
      <c r="G23765"/>
      <c r="H23765"/>
      <c r="I23765"/>
    </row>
    <row r="23766" spans="6:9" x14ac:dyDescent="0.3">
      <c r="F23766"/>
      <c r="G23766"/>
      <c r="H23766"/>
      <c r="I23766"/>
    </row>
    <row r="23767" spans="6:9" x14ac:dyDescent="0.3">
      <c r="F23767"/>
      <c r="G23767"/>
      <c r="H23767"/>
      <c r="I23767"/>
    </row>
    <row r="23768" spans="6:9" x14ac:dyDescent="0.3">
      <c r="F23768"/>
      <c r="G23768"/>
      <c r="H23768"/>
      <c r="I23768"/>
    </row>
    <row r="23769" spans="6:9" x14ac:dyDescent="0.3">
      <c r="F23769"/>
      <c r="G23769"/>
      <c r="H23769"/>
      <c r="I23769"/>
    </row>
    <row r="23770" spans="6:9" x14ac:dyDescent="0.3">
      <c r="F23770"/>
      <c r="G23770"/>
      <c r="H23770"/>
      <c r="I23770"/>
    </row>
    <row r="23771" spans="6:9" x14ac:dyDescent="0.3">
      <c r="F23771"/>
      <c r="G23771"/>
      <c r="H23771"/>
      <c r="I23771"/>
    </row>
    <row r="23772" spans="6:9" x14ac:dyDescent="0.3">
      <c r="F23772"/>
      <c r="G23772"/>
      <c r="H23772"/>
      <c r="I23772"/>
    </row>
    <row r="23773" spans="6:9" x14ac:dyDescent="0.3">
      <c r="F23773"/>
      <c r="G23773"/>
      <c r="H23773"/>
      <c r="I23773"/>
    </row>
    <row r="23774" spans="6:9" x14ac:dyDescent="0.3">
      <c r="F23774"/>
      <c r="G23774"/>
      <c r="H23774"/>
      <c r="I23774"/>
    </row>
    <row r="23775" spans="6:9" x14ac:dyDescent="0.3">
      <c r="F23775"/>
      <c r="G23775"/>
      <c r="H23775"/>
      <c r="I23775"/>
    </row>
    <row r="23776" spans="6:9" x14ac:dyDescent="0.3">
      <c r="F23776"/>
      <c r="G23776"/>
      <c r="H23776"/>
      <c r="I23776"/>
    </row>
    <row r="23777" spans="6:9" x14ac:dyDescent="0.3">
      <c r="F23777"/>
      <c r="G23777"/>
      <c r="H23777"/>
      <c r="I23777"/>
    </row>
    <row r="23778" spans="6:9" x14ac:dyDescent="0.3">
      <c r="F23778"/>
      <c r="G23778"/>
      <c r="H23778"/>
      <c r="I23778"/>
    </row>
    <row r="23779" spans="6:9" x14ac:dyDescent="0.3">
      <c r="F23779"/>
      <c r="G23779"/>
      <c r="H23779"/>
      <c r="I23779"/>
    </row>
    <row r="23780" spans="6:9" x14ac:dyDescent="0.3">
      <c r="F23780"/>
      <c r="G23780"/>
      <c r="H23780"/>
      <c r="I23780"/>
    </row>
    <row r="23781" spans="6:9" x14ac:dyDescent="0.3">
      <c r="F23781"/>
      <c r="G23781"/>
      <c r="H23781"/>
      <c r="I23781"/>
    </row>
    <row r="23782" spans="6:9" x14ac:dyDescent="0.3">
      <c r="F23782"/>
      <c r="G23782"/>
      <c r="H23782"/>
      <c r="I23782"/>
    </row>
    <row r="23783" spans="6:9" x14ac:dyDescent="0.3">
      <c r="F23783"/>
      <c r="G23783"/>
      <c r="H23783"/>
      <c r="I23783"/>
    </row>
    <row r="23784" spans="6:9" x14ac:dyDescent="0.3">
      <c r="F23784"/>
      <c r="G23784"/>
      <c r="H23784"/>
      <c r="I23784"/>
    </row>
    <row r="23785" spans="6:9" x14ac:dyDescent="0.3">
      <c r="F23785"/>
      <c r="G23785"/>
      <c r="H23785"/>
      <c r="I23785"/>
    </row>
    <row r="23786" spans="6:9" x14ac:dyDescent="0.3">
      <c r="F23786"/>
      <c r="G23786"/>
      <c r="H23786"/>
      <c r="I23786"/>
    </row>
    <row r="23787" spans="6:9" x14ac:dyDescent="0.3">
      <c r="F23787"/>
      <c r="G23787"/>
      <c r="H23787"/>
      <c r="I23787"/>
    </row>
    <row r="23788" spans="6:9" x14ac:dyDescent="0.3">
      <c r="F23788"/>
      <c r="G23788"/>
      <c r="H23788"/>
      <c r="I23788"/>
    </row>
    <row r="23789" spans="6:9" x14ac:dyDescent="0.3">
      <c r="F23789"/>
      <c r="G23789"/>
      <c r="H23789"/>
      <c r="I23789"/>
    </row>
    <row r="23790" spans="6:9" x14ac:dyDescent="0.3">
      <c r="F23790"/>
      <c r="G23790"/>
      <c r="H23790"/>
      <c r="I23790"/>
    </row>
    <row r="23791" spans="6:9" x14ac:dyDescent="0.3">
      <c r="F23791"/>
      <c r="G23791"/>
      <c r="H23791"/>
      <c r="I23791"/>
    </row>
    <row r="23792" spans="6:9" x14ac:dyDescent="0.3">
      <c r="F23792"/>
      <c r="G23792"/>
      <c r="H23792"/>
      <c r="I23792"/>
    </row>
    <row r="23793" spans="6:9" x14ac:dyDescent="0.3">
      <c r="F23793"/>
      <c r="G23793"/>
      <c r="H23793"/>
      <c r="I23793"/>
    </row>
    <row r="23794" spans="6:9" x14ac:dyDescent="0.3">
      <c r="F23794"/>
      <c r="G23794"/>
      <c r="H23794"/>
      <c r="I23794"/>
    </row>
    <row r="23795" spans="6:9" x14ac:dyDescent="0.3">
      <c r="F23795"/>
      <c r="G23795"/>
      <c r="H23795"/>
      <c r="I23795"/>
    </row>
    <row r="23796" spans="6:9" x14ac:dyDescent="0.3">
      <c r="F23796"/>
      <c r="G23796"/>
      <c r="H23796"/>
      <c r="I23796"/>
    </row>
    <row r="23797" spans="6:9" x14ac:dyDescent="0.3">
      <c r="F23797"/>
      <c r="G23797"/>
      <c r="H23797"/>
      <c r="I23797"/>
    </row>
    <row r="23798" spans="6:9" x14ac:dyDescent="0.3">
      <c r="F23798"/>
      <c r="G23798"/>
      <c r="H23798"/>
      <c r="I23798"/>
    </row>
    <row r="23799" spans="6:9" x14ac:dyDescent="0.3">
      <c r="F23799"/>
      <c r="G23799"/>
      <c r="H23799"/>
      <c r="I23799"/>
    </row>
    <row r="23800" spans="6:9" x14ac:dyDescent="0.3">
      <c r="F23800"/>
      <c r="G23800"/>
      <c r="H23800"/>
      <c r="I23800"/>
    </row>
    <row r="23801" spans="6:9" x14ac:dyDescent="0.3">
      <c r="F23801"/>
      <c r="G23801"/>
      <c r="H23801"/>
      <c r="I23801"/>
    </row>
    <row r="23802" spans="6:9" x14ac:dyDescent="0.3">
      <c r="F23802"/>
      <c r="G23802"/>
      <c r="H23802"/>
      <c r="I23802"/>
    </row>
    <row r="23803" spans="6:9" x14ac:dyDescent="0.3">
      <c r="F23803"/>
      <c r="G23803"/>
      <c r="H23803"/>
      <c r="I23803"/>
    </row>
    <row r="23804" spans="6:9" x14ac:dyDescent="0.3">
      <c r="F23804"/>
      <c r="G23804"/>
      <c r="H23804"/>
      <c r="I23804"/>
    </row>
    <row r="23805" spans="6:9" x14ac:dyDescent="0.3">
      <c r="F23805"/>
      <c r="G23805"/>
      <c r="H23805"/>
      <c r="I23805"/>
    </row>
    <row r="23806" spans="6:9" x14ac:dyDescent="0.3">
      <c r="F23806"/>
      <c r="G23806"/>
      <c r="H23806"/>
      <c r="I23806"/>
    </row>
    <row r="23807" spans="6:9" x14ac:dyDescent="0.3">
      <c r="F23807"/>
      <c r="G23807"/>
      <c r="H23807"/>
      <c r="I23807"/>
    </row>
    <row r="23808" spans="6:9" x14ac:dyDescent="0.3">
      <c r="F23808"/>
      <c r="G23808"/>
      <c r="H23808"/>
      <c r="I23808"/>
    </row>
    <row r="23809" spans="6:9" x14ac:dyDescent="0.3">
      <c r="F23809"/>
      <c r="G23809"/>
      <c r="H23809"/>
      <c r="I23809"/>
    </row>
    <row r="23810" spans="6:9" x14ac:dyDescent="0.3">
      <c r="F23810"/>
      <c r="G23810"/>
      <c r="H23810"/>
      <c r="I23810"/>
    </row>
    <row r="23811" spans="6:9" x14ac:dyDescent="0.3">
      <c r="F23811"/>
      <c r="G23811"/>
      <c r="H23811"/>
      <c r="I23811"/>
    </row>
    <row r="23812" spans="6:9" x14ac:dyDescent="0.3">
      <c r="F23812"/>
      <c r="G23812"/>
      <c r="H23812"/>
      <c r="I23812"/>
    </row>
    <row r="23813" spans="6:9" x14ac:dyDescent="0.3">
      <c r="F23813"/>
      <c r="G23813"/>
      <c r="H23813"/>
      <c r="I23813"/>
    </row>
    <row r="23814" spans="6:9" x14ac:dyDescent="0.3">
      <c r="F23814"/>
      <c r="G23814"/>
      <c r="H23814"/>
      <c r="I23814"/>
    </row>
    <row r="23815" spans="6:9" x14ac:dyDescent="0.3">
      <c r="F23815"/>
      <c r="G23815"/>
      <c r="H23815"/>
      <c r="I23815"/>
    </row>
    <row r="23816" spans="6:9" x14ac:dyDescent="0.3">
      <c r="F23816"/>
      <c r="G23816"/>
      <c r="H23816"/>
      <c r="I23816"/>
    </row>
    <row r="23817" spans="6:9" x14ac:dyDescent="0.3">
      <c r="F23817"/>
      <c r="G23817"/>
      <c r="H23817"/>
      <c r="I23817"/>
    </row>
    <row r="23818" spans="6:9" x14ac:dyDescent="0.3">
      <c r="F23818"/>
      <c r="G23818"/>
      <c r="H23818"/>
      <c r="I23818"/>
    </row>
    <row r="23819" spans="6:9" x14ac:dyDescent="0.3">
      <c r="F23819"/>
      <c r="G23819"/>
      <c r="H23819"/>
      <c r="I23819"/>
    </row>
    <row r="23820" spans="6:9" x14ac:dyDescent="0.3">
      <c r="F23820"/>
      <c r="G23820"/>
      <c r="H23820"/>
      <c r="I23820"/>
    </row>
    <row r="23821" spans="6:9" x14ac:dyDescent="0.3">
      <c r="F23821"/>
      <c r="G23821"/>
      <c r="H23821"/>
      <c r="I23821"/>
    </row>
    <row r="23822" spans="6:9" x14ac:dyDescent="0.3">
      <c r="F23822"/>
      <c r="G23822"/>
      <c r="H23822"/>
      <c r="I23822"/>
    </row>
    <row r="23823" spans="6:9" x14ac:dyDescent="0.3">
      <c r="F23823"/>
      <c r="G23823"/>
      <c r="H23823"/>
      <c r="I23823"/>
    </row>
    <row r="23824" spans="6:9" x14ac:dyDescent="0.3">
      <c r="F23824"/>
      <c r="G23824"/>
      <c r="H23824"/>
      <c r="I23824"/>
    </row>
    <row r="23825" spans="6:9" x14ac:dyDescent="0.3">
      <c r="F23825"/>
      <c r="G23825"/>
      <c r="H23825"/>
      <c r="I23825"/>
    </row>
    <row r="23826" spans="6:9" x14ac:dyDescent="0.3">
      <c r="F23826"/>
      <c r="G23826"/>
      <c r="H23826"/>
      <c r="I23826"/>
    </row>
    <row r="23827" spans="6:9" x14ac:dyDescent="0.3">
      <c r="F23827"/>
      <c r="G23827"/>
      <c r="H23827"/>
      <c r="I23827"/>
    </row>
    <row r="23828" spans="6:9" x14ac:dyDescent="0.3">
      <c r="F23828"/>
      <c r="G23828"/>
      <c r="H23828"/>
      <c r="I23828"/>
    </row>
    <row r="23829" spans="6:9" x14ac:dyDescent="0.3">
      <c r="F23829"/>
      <c r="G23829"/>
      <c r="H23829"/>
      <c r="I23829"/>
    </row>
    <row r="23830" spans="6:9" x14ac:dyDescent="0.3">
      <c r="F23830"/>
      <c r="G23830"/>
      <c r="H23830"/>
      <c r="I23830"/>
    </row>
    <row r="23831" spans="6:9" x14ac:dyDescent="0.3">
      <c r="F23831"/>
      <c r="G23831"/>
      <c r="H23831"/>
      <c r="I23831"/>
    </row>
    <row r="23832" spans="6:9" x14ac:dyDescent="0.3">
      <c r="F23832"/>
      <c r="G23832"/>
      <c r="H23832"/>
      <c r="I23832"/>
    </row>
    <row r="23833" spans="6:9" x14ac:dyDescent="0.3">
      <c r="F23833"/>
      <c r="G23833"/>
      <c r="H23833"/>
      <c r="I23833"/>
    </row>
    <row r="23834" spans="6:9" x14ac:dyDescent="0.3">
      <c r="F23834"/>
      <c r="G23834"/>
      <c r="H23834"/>
      <c r="I23834"/>
    </row>
    <row r="23835" spans="6:9" x14ac:dyDescent="0.3">
      <c r="F23835"/>
      <c r="G23835"/>
      <c r="H23835"/>
      <c r="I23835"/>
    </row>
    <row r="23836" spans="6:9" x14ac:dyDescent="0.3">
      <c r="F23836"/>
      <c r="G23836"/>
      <c r="H23836"/>
      <c r="I23836"/>
    </row>
    <row r="23837" spans="6:9" x14ac:dyDescent="0.3">
      <c r="F23837"/>
      <c r="G23837"/>
      <c r="H23837"/>
      <c r="I23837"/>
    </row>
    <row r="23838" spans="6:9" x14ac:dyDescent="0.3">
      <c r="F23838"/>
      <c r="G23838"/>
      <c r="H23838"/>
      <c r="I23838"/>
    </row>
    <row r="23839" spans="6:9" x14ac:dyDescent="0.3">
      <c r="F23839"/>
      <c r="G23839"/>
      <c r="H23839"/>
      <c r="I23839"/>
    </row>
    <row r="23840" spans="6:9" x14ac:dyDescent="0.3">
      <c r="F23840"/>
      <c r="G23840"/>
      <c r="H23840"/>
      <c r="I23840"/>
    </row>
    <row r="23841" spans="6:9" x14ac:dyDescent="0.3">
      <c r="F23841"/>
      <c r="G23841"/>
      <c r="H23841"/>
      <c r="I23841"/>
    </row>
    <row r="23842" spans="6:9" x14ac:dyDescent="0.3">
      <c r="F23842"/>
      <c r="G23842"/>
      <c r="H23842"/>
      <c r="I23842"/>
    </row>
    <row r="23843" spans="6:9" x14ac:dyDescent="0.3">
      <c r="F23843"/>
      <c r="G23843"/>
      <c r="H23843"/>
      <c r="I23843"/>
    </row>
    <row r="23844" spans="6:9" x14ac:dyDescent="0.3">
      <c r="F23844"/>
      <c r="G23844"/>
      <c r="H23844"/>
      <c r="I23844"/>
    </row>
    <row r="23845" spans="6:9" x14ac:dyDescent="0.3">
      <c r="F23845"/>
      <c r="G23845"/>
      <c r="H23845"/>
      <c r="I23845"/>
    </row>
    <row r="23846" spans="6:9" x14ac:dyDescent="0.3">
      <c r="F23846"/>
      <c r="G23846"/>
      <c r="H23846"/>
      <c r="I23846"/>
    </row>
    <row r="23847" spans="6:9" x14ac:dyDescent="0.3">
      <c r="F23847"/>
      <c r="G23847"/>
      <c r="H23847"/>
      <c r="I23847"/>
    </row>
    <row r="23848" spans="6:9" x14ac:dyDescent="0.3">
      <c r="F23848"/>
      <c r="G23848"/>
      <c r="H23848"/>
      <c r="I23848"/>
    </row>
    <row r="23849" spans="6:9" x14ac:dyDescent="0.3">
      <c r="F23849"/>
      <c r="G23849"/>
      <c r="H23849"/>
      <c r="I23849"/>
    </row>
    <row r="23850" spans="6:9" x14ac:dyDescent="0.3">
      <c r="F23850"/>
      <c r="G23850"/>
      <c r="H23850"/>
      <c r="I23850"/>
    </row>
    <row r="23851" spans="6:9" x14ac:dyDescent="0.3">
      <c r="F23851"/>
      <c r="G23851"/>
      <c r="H23851"/>
      <c r="I23851"/>
    </row>
    <row r="23852" spans="6:9" x14ac:dyDescent="0.3">
      <c r="F23852"/>
      <c r="G23852"/>
      <c r="H23852"/>
      <c r="I23852"/>
    </row>
    <row r="23853" spans="6:9" x14ac:dyDescent="0.3">
      <c r="F23853"/>
      <c r="G23853"/>
      <c r="H23853"/>
      <c r="I23853"/>
    </row>
    <row r="23854" spans="6:9" x14ac:dyDescent="0.3">
      <c r="F23854"/>
      <c r="G23854"/>
      <c r="H23854"/>
      <c r="I23854"/>
    </row>
    <row r="23855" spans="6:9" x14ac:dyDescent="0.3">
      <c r="F23855"/>
      <c r="G23855"/>
      <c r="H23855"/>
      <c r="I23855"/>
    </row>
    <row r="23856" spans="6:9" x14ac:dyDescent="0.3">
      <c r="F23856"/>
      <c r="G23856"/>
      <c r="H23856"/>
      <c r="I23856"/>
    </row>
    <row r="23857" spans="6:9" x14ac:dyDescent="0.3">
      <c r="F23857"/>
      <c r="G23857"/>
      <c r="H23857"/>
      <c r="I23857"/>
    </row>
    <row r="23858" spans="6:9" x14ac:dyDescent="0.3">
      <c r="F23858"/>
      <c r="G23858"/>
      <c r="H23858"/>
      <c r="I23858"/>
    </row>
    <row r="23859" spans="6:9" x14ac:dyDescent="0.3">
      <c r="F23859"/>
      <c r="G23859"/>
      <c r="H23859"/>
      <c r="I23859"/>
    </row>
    <row r="23860" spans="6:9" x14ac:dyDescent="0.3">
      <c r="F23860"/>
      <c r="G23860"/>
      <c r="H23860"/>
      <c r="I23860"/>
    </row>
    <row r="23861" spans="6:9" x14ac:dyDescent="0.3">
      <c r="F23861"/>
      <c r="G23861"/>
      <c r="H23861"/>
      <c r="I23861"/>
    </row>
    <row r="23862" spans="6:9" x14ac:dyDescent="0.3">
      <c r="F23862"/>
      <c r="G23862"/>
      <c r="H23862"/>
      <c r="I23862"/>
    </row>
    <row r="23863" spans="6:9" x14ac:dyDescent="0.3">
      <c r="F23863"/>
      <c r="G23863"/>
      <c r="H23863"/>
      <c r="I23863"/>
    </row>
    <row r="23864" spans="6:9" x14ac:dyDescent="0.3">
      <c r="F23864"/>
      <c r="G23864"/>
      <c r="H23864"/>
      <c r="I23864"/>
    </row>
    <row r="23865" spans="6:9" x14ac:dyDescent="0.3">
      <c r="F23865"/>
      <c r="G23865"/>
      <c r="H23865"/>
      <c r="I23865"/>
    </row>
    <row r="23866" spans="6:9" x14ac:dyDescent="0.3">
      <c r="F23866"/>
      <c r="G23866"/>
      <c r="H23866"/>
      <c r="I23866"/>
    </row>
    <row r="23867" spans="6:9" x14ac:dyDescent="0.3">
      <c r="F23867"/>
      <c r="G23867"/>
      <c r="H23867"/>
      <c r="I23867"/>
    </row>
    <row r="23868" spans="6:9" x14ac:dyDescent="0.3">
      <c r="F23868"/>
      <c r="G23868"/>
      <c r="H23868"/>
      <c r="I23868"/>
    </row>
    <row r="23869" spans="6:9" x14ac:dyDescent="0.3">
      <c r="F23869"/>
      <c r="G23869"/>
      <c r="H23869"/>
      <c r="I23869"/>
    </row>
    <row r="23870" spans="6:9" x14ac:dyDescent="0.3">
      <c r="F23870"/>
      <c r="G23870"/>
      <c r="H23870"/>
      <c r="I23870"/>
    </row>
    <row r="23871" spans="6:9" x14ac:dyDescent="0.3">
      <c r="F23871"/>
      <c r="G23871"/>
      <c r="H23871"/>
      <c r="I23871"/>
    </row>
    <row r="23872" spans="6:9" x14ac:dyDescent="0.3">
      <c r="F23872"/>
      <c r="G23872"/>
      <c r="H23872"/>
      <c r="I23872"/>
    </row>
    <row r="23873" spans="6:9" x14ac:dyDescent="0.3">
      <c r="F23873"/>
      <c r="G23873"/>
      <c r="H23873"/>
      <c r="I23873"/>
    </row>
    <row r="23874" spans="6:9" x14ac:dyDescent="0.3">
      <c r="F23874"/>
      <c r="G23874"/>
      <c r="H23874"/>
      <c r="I23874"/>
    </row>
    <row r="23875" spans="6:9" x14ac:dyDescent="0.3">
      <c r="F23875"/>
      <c r="G23875"/>
      <c r="H23875"/>
      <c r="I23875"/>
    </row>
    <row r="23876" spans="6:9" x14ac:dyDescent="0.3">
      <c r="F23876"/>
      <c r="G23876"/>
      <c r="H23876"/>
      <c r="I23876"/>
    </row>
    <row r="23877" spans="6:9" x14ac:dyDescent="0.3">
      <c r="F23877"/>
      <c r="G23877"/>
      <c r="H23877"/>
      <c r="I23877"/>
    </row>
    <row r="23878" spans="6:9" x14ac:dyDescent="0.3">
      <c r="F23878"/>
      <c r="G23878"/>
      <c r="H23878"/>
      <c r="I23878"/>
    </row>
    <row r="23879" spans="6:9" x14ac:dyDescent="0.3">
      <c r="F23879"/>
      <c r="G23879"/>
      <c r="H23879"/>
      <c r="I23879"/>
    </row>
    <row r="23880" spans="6:9" x14ac:dyDescent="0.3">
      <c r="F23880"/>
      <c r="G23880"/>
      <c r="H23880"/>
      <c r="I23880"/>
    </row>
    <row r="23881" spans="6:9" x14ac:dyDescent="0.3">
      <c r="F23881"/>
      <c r="G23881"/>
      <c r="H23881"/>
      <c r="I23881"/>
    </row>
    <row r="23882" spans="6:9" x14ac:dyDescent="0.3">
      <c r="F23882"/>
      <c r="G23882"/>
      <c r="H23882"/>
      <c r="I23882"/>
    </row>
    <row r="23883" spans="6:9" x14ac:dyDescent="0.3">
      <c r="F23883"/>
      <c r="G23883"/>
      <c r="H23883"/>
      <c r="I23883"/>
    </row>
    <row r="23884" spans="6:9" x14ac:dyDescent="0.3">
      <c r="F23884"/>
      <c r="G23884"/>
      <c r="H23884"/>
      <c r="I23884"/>
    </row>
    <row r="23885" spans="6:9" x14ac:dyDescent="0.3">
      <c r="F23885"/>
      <c r="G23885"/>
      <c r="H23885"/>
      <c r="I23885"/>
    </row>
    <row r="23886" spans="6:9" x14ac:dyDescent="0.3">
      <c r="F23886"/>
      <c r="G23886"/>
      <c r="H23886"/>
      <c r="I23886"/>
    </row>
    <row r="23887" spans="6:9" x14ac:dyDescent="0.3">
      <c r="F23887"/>
      <c r="G23887"/>
      <c r="H23887"/>
      <c r="I23887"/>
    </row>
    <row r="23888" spans="6:9" x14ac:dyDescent="0.3">
      <c r="F23888"/>
      <c r="G23888"/>
      <c r="H23888"/>
      <c r="I23888"/>
    </row>
    <row r="23889" spans="6:9" x14ac:dyDescent="0.3">
      <c r="F23889"/>
      <c r="G23889"/>
      <c r="H23889"/>
      <c r="I23889"/>
    </row>
    <row r="23890" spans="6:9" x14ac:dyDescent="0.3">
      <c r="F23890"/>
      <c r="G23890"/>
      <c r="H23890"/>
      <c r="I23890"/>
    </row>
    <row r="23891" spans="6:9" x14ac:dyDescent="0.3">
      <c r="F23891"/>
      <c r="G23891"/>
      <c r="H23891"/>
      <c r="I23891"/>
    </row>
    <row r="23892" spans="6:9" x14ac:dyDescent="0.3">
      <c r="F23892"/>
      <c r="G23892"/>
      <c r="H23892"/>
      <c r="I23892"/>
    </row>
    <row r="23893" spans="6:9" x14ac:dyDescent="0.3">
      <c r="F23893"/>
      <c r="G23893"/>
      <c r="H23893"/>
      <c r="I23893"/>
    </row>
    <row r="23894" spans="6:9" x14ac:dyDescent="0.3">
      <c r="F23894"/>
      <c r="G23894"/>
      <c r="H23894"/>
      <c r="I23894"/>
    </row>
    <row r="23895" spans="6:9" x14ac:dyDescent="0.3">
      <c r="F23895"/>
      <c r="G23895"/>
      <c r="H23895"/>
      <c r="I23895"/>
    </row>
    <row r="23896" spans="6:9" x14ac:dyDescent="0.3">
      <c r="F23896"/>
      <c r="G23896"/>
      <c r="H23896"/>
      <c r="I23896"/>
    </row>
    <row r="23897" spans="6:9" x14ac:dyDescent="0.3">
      <c r="F23897"/>
      <c r="G23897"/>
      <c r="H23897"/>
      <c r="I23897"/>
    </row>
    <row r="23898" spans="6:9" x14ac:dyDescent="0.3">
      <c r="F23898"/>
      <c r="G23898"/>
      <c r="H23898"/>
      <c r="I23898"/>
    </row>
    <row r="23899" spans="6:9" x14ac:dyDescent="0.3">
      <c r="F23899"/>
      <c r="G23899"/>
      <c r="H23899"/>
      <c r="I23899"/>
    </row>
    <row r="23900" spans="6:9" x14ac:dyDescent="0.3">
      <c r="F23900"/>
      <c r="G23900"/>
      <c r="H23900"/>
      <c r="I23900"/>
    </row>
    <row r="23901" spans="6:9" x14ac:dyDescent="0.3">
      <c r="F23901"/>
      <c r="G23901"/>
      <c r="H23901"/>
      <c r="I23901"/>
    </row>
    <row r="23902" spans="6:9" x14ac:dyDescent="0.3">
      <c r="F23902"/>
      <c r="G23902"/>
      <c r="H23902"/>
      <c r="I23902"/>
    </row>
    <row r="23903" spans="6:9" x14ac:dyDescent="0.3">
      <c r="F23903"/>
      <c r="G23903"/>
      <c r="H23903"/>
      <c r="I23903"/>
    </row>
    <row r="23904" spans="6:9" x14ac:dyDescent="0.3">
      <c r="F23904"/>
      <c r="G23904"/>
      <c r="H23904"/>
      <c r="I23904"/>
    </row>
    <row r="23905" spans="6:9" x14ac:dyDescent="0.3">
      <c r="F23905"/>
      <c r="G23905"/>
      <c r="H23905"/>
      <c r="I23905"/>
    </row>
    <row r="23906" spans="6:9" x14ac:dyDescent="0.3">
      <c r="F23906"/>
      <c r="G23906"/>
      <c r="H23906"/>
      <c r="I23906"/>
    </row>
    <row r="23907" spans="6:9" x14ac:dyDescent="0.3">
      <c r="F23907"/>
      <c r="G23907"/>
      <c r="H23907"/>
      <c r="I23907"/>
    </row>
    <row r="23908" spans="6:9" x14ac:dyDescent="0.3">
      <c r="F23908"/>
      <c r="G23908"/>
      <c r="H23908"/>
      <c r="I23908"/>
    </row>
    <row r="23909" spans="6:9" x14ac:dyDescent="0.3">
      <c r="F23909"/>
      <c r="G23909"/>
      <c r="H23909"/>
      <c r="I23909"/>
    </row>
    <row r="23910" spans="6:9" x14ac:dyDescent="0.3">
      <c r="F23910"/>
      <c r="G23910"/>
      <c r="H23910"/>
      <c r="I23910"/>
    </row>
    <row r="23911" spans="6:9" x14ac:dyDescent="0.3">
      <c r="F23911"/>
      <c r="G23911"/>
      <c r="H23911"/>
      <c r="I23911"/>
    </row>
    <row r="23912" spans="6:9" x14ac:dyDescent="0.3">
      <c r="F23912"/>
      <c r="G23912"/>
      <c r="H23912"/>
      <c r="I23912"/>
    </row>
    <row r="23913" spans="6:9" x14ac:dyDescent="0.3">
      <c r="F23913"/>
      <c r="G23913"/>
      <c r="H23913"/>
      <c r="I23913"/>
    </row>
    <row r="23914" spans="6:9" x14ac:dyDescent="0.3">
      <c r="F23914"/>
      <c r="G23914"/>
      <c r="H23914"/>
      <c r="I23914"/>
    </row>
    <row r="23915" spans="6:9" x14ac:dyDescent="0.3">
      <c r="F23915"/>
      <c r="G23915"/>
      <c r="H23915"/>
      <c r="I23915"/>
    </row>
    <row r="23916" spans="6:9" x14ac:dyDescent="0.3">
      <c r="F23916"/>
      <c r="G23916"/>
      <c r="H23916"/>
      <c r="I23916"/>
    </row>
    <row r="23917" spans="6:9" x14ac:dyDescent="0.3">
      <c r="F23917"/>
      <c r="G23917"/>
      <c r="H23917"/>
      <c r="I23917"/>
    </row>
    <row r="23918" spans="6:9" x14ac:dyDescent="0.3">
      <c r="F23918"/>
      <c r="G23918"/>
      <c r="H23918"/>
      <c r="I23918"/>
    </row>
    <row r="23919" spans="6:9" x14ac:dyDescent="0.3">
      <c r="F23919"/>
      <c r="G23919"/>
      <c r="H23919"/>
      <c r="I23919"/>
    </row>
    <row r="23920" spans="6:9" x14ac:dyDescent="0.3">
      <c r="F23920"/>
      <c r="G23920"/>
      <c r="H23920"/>
      <c r="I23920"/>
    </row>
    <row r="23921" spans="6:9" x14ac:dyDescent="0.3">
      <c r="F23921"/>
      <c r="G23921"/>
      <c r="H23921"/>
      <c r="I23921"/>
    </row>
    <row r="23922" spans="6:9" x14ac:dyDescent="0.3">
      <c r="F23922"/>
      <c r="G23922"/>
      <c r="H23922"/>
      <c r="I23922"/>
    </row>
    <row r="23923" spans="6:9" x14ac:dyDescent="0.3">
      <c r="F23923"/>
      <c r="G23923"/>
      <c r="H23923"/>
      <c r="I23923"/>
    </row>
    <row r="23924" spans="6:9" x14ac:dyDescent="0.3">
      <c r="F23924"/>
      <c r="G23924"/>
      <c r="H23924"/>
      <c r="I23924"/>
    </row>
    <row r="23925" spans="6:9" x14ac:dyDescent="0.3">
      <c r="F23925"/>
      <c r="G23925"/>
      <c r="H23925"/>
      <c r="I23925"/>
    </row>
    <row r="23926" spans="6:9" x14ac:dyDescent="0.3">
      <c r="F23926"/>
      <c r="G23926"/>
      <c r="H23926"/>
      <c r="I23926"/>
    </row>
    <row r="23927" spans="6:9" x14ac:dyDescent="0.3">
      <c r="F23927"/>
      <c r="G23927"/>
      <c r="H23927"/>
      <c r="I23927"/>
    </row>
    <row r="23928" spans="6:9" x14ac:dyDescent="0.3">
      <c r="F23928"/>
      <c r="G23928"/>
      <c r="H23928"/>
      <c r="I23928"/>
    </row>
    <row r="23929" spans="6:9" x14ac:dyDescent="0.3">
      <c r="F23929"/>
      <c r="G23929"/>
      <c r="H23929"/>
      <c r="I23929"/>
    </row>
    <row r="23930" spans="6:9" x14ac:dyDescent="0.3">
      <c r="F23930"/>
      <c r="G23930"/>
      <c r="H23930"/>
      <c r="I23930"/>
    </row>
    <row r="23931" spans="6:9" x14ac:dyDescent="0.3">
      <c r="F23931"/>
      <c r="G23931"/>
      <c r="H23931"/>
      <c r="I23931"/>
    </row>
    <row r="23932" spans="6:9" x14ac:dyDescent="0.3">
      <c r="F23932"/>
      <c r="G23932"/>
      <c r="H23932"/>
      <c r="I23932"/>
    </row>
    <row r="23933" spans="6:9" x14ac:dyDescent="0.3">
      <c r="F23933"/>
      <c r="G23933"/>
      <c r="H23933"/>
      <c r="I23933"/>
    </row>
    <row r="23934" spans="6:9" x14ac:dyDescent="0.3">
      <c r="F23934"/>
      <c r="G23934"/>
      <c r="H23934"/>
      <c r="I23934"/>
    </row>
    <row r="23935" spans="6:9" x14ac:dyDescent="0.3">
      <c r="F23935"/>
      <c r="G23935"/>
      <c r="H23935"/>
      <c r="I23935"/>
    </row>
    <row r="23936" spans="6:9" x14ac:dyDescent="0.3">
      <c r="F23936"/>
      <c r="G23936"/>
      <c r="H23936"/>
      <c r="I23936"/>
    </row>
    <row r="23937" spans="6:9" x14ac:dyDescent="0.3">
      <c r="F23937"/>
      <c r="G23937"/>
      <c r="H23937"/>
      <c r="I23937"/>
    </row>
    <row r="23938" spans="6:9" x14ac:dyDescent="0.3">
      <c r="F23938"/>
      <c r="G23938"/>
      <c r="H23938"/>
      <c r="I23938"/>
    </row>
    <row r="23939" spans="6:9" x14ac:dyDescent="0.3">
      <c r="F23939"/>
      <c r="G23939"/>
      <c r="H23939"/>
      <c r="I23939"/>
    </row>
    <row r="23940" spans="6:9" x14ac:dyDescent="0.3">
      <c r="F23940"/>
      <c r="G23940"/>
      <c r="H23940"/>
      <c r="I23940"/>
    </row>
    <row r="23941" spans="6:9" x14ac:dyDescent="0.3">
      <c r="F23941"/>
      <c r="G23941"/>
      <c r="H23941"/>
      <c r="I23941"/>
    </row>
    <row r="23942" spans="6:9" x14ac:dyDescent="0.3">
      <c r="F23942"/>
      <c r="G23942"/>
      <c r="H23942"/>
      <c r="I23942"/>
    </row>
    <row r="23943" spans="6:9" x14ac:dyDescent="0.3">
      <c r="F23943"/>
      <c r="G23943"/>
      <c r="H23943"/>
      <c r="I23943"/>
    </row>
    <row r="23944" spans="6:9" x14ac:dyDescent="0.3">
      <c r="F23944"/>
      <c r="G23944"/>
      <c r="H23944"/>
      <c r="I23944"/>
    </row>
    <row r="23945" spans="6:9" x14ac:dyDescent="0.3">
      <c r="F23945"/>
      <c r="G23945"/>
      <c r="H23945"/>
      <c r="I23945"/>
    </row>
    <row r="23946" spans="6:9" x14ac:dyDescent="0.3">
      <c r="F23946"/>
      <c r="G23946"/>
      <c r="H23946"/>
      <c r="I23946"/>
    </row>
    <row r="23947" spans="6:9" x14ac:dyDescent="0.3">
      <c r="F23947"/>
      <c r="G23947"/>
      <c r="H23947"/>
      <c r="I23947"/>
    </row>
    <row r="23948" spans="6:9" x14ac:dyDescent="0.3">
      <c r="F23948"/>
      <c r="G23948"/>
      <c r="H23948"/>
      <c r="I23948"/>
    </row>
    <row r="23949" spans="6:9" x14ac:dyDescent="0.3">
      <c r="F23949"/>
      <c r="G23949"/>
      <c r="H23949"/>
      <c r="I23949"/>
    </row>
    <row r="23950" spans="6:9" x14ac:dyDescent="0.3">
      <c r="F23950"/>
      <c r="G23950"/>
      <c r="H23950"/>
      <c r="I23950"/>
    </row>
    <row r="23951" spans="6:9" x14ac:dyDescent="0.3">
      <c r="F23951"/>
      <c r="G23951"/>
      <c r="H23951"/>
      <c r="I23951"/>
    </row>
    <row r="23952" spans="6:9" x14ac:dyDescent="0.3">
      <c r="F23952"/>
      <c r="G23952"/>
      <c r="H23952"/>
      <c r="I23952"/>
    </row>
    <row r="23953" spans="6:9" x14ac:dyDescent="0.3">
      <c r="F23953"/>
      <c r="G23953"/>
      <c r="H23953"/>
      <c r="I23953"/>
    </row>
    <row r="23954" spans="6:9" x14ac:dyDescent="0.3">
      <c r="F23954"/>
      <c r="G23954"/>
      <c r="H23954"/>
      <c r="I23954"/>
    </row>
    <row r="23955" spans="6:9" x14ac:dyDescent="0.3">
      <c r="F23955"/>
      <c r="G23955"/>
      <c r="H23955"/>
      <c r="I23955"/>
    </row>
    <row r="23956" spans="6:9" x14ac:dyDescent="0.3">
      <c r="F23956"/>
      <c r="G23956"/>
      <c r="H23956"/>
      <c r="I23956"/>
    </row>
    <row r="23957" spans="6:9" x14ac:dyDescent="0.3">
      <c r="F23957"/>
      <c r="G23957"/>
      <c r="H23957"/>
      <c r="I23957"/>
    </row>
    <row r="23958" spans="6:9" x14ac:dyDescent="0.3">
      <c r="F23958"/>
      <c r="G23958"/>
      <c r="H23958"/>
      <c r="I23958"/>
    </row>
    <row r="23959" spans="6:9" x14ac:dyDescent="0.3">
      <c r="F23959"/>
      <c r="G23959"/>
      <c r="H23959"/>
      <c r="I23959"/>
    </row>
    <row r="23960" spans="6:9" x14ac:dyDescent="0.3">
      <c r="F23960"/>
      <c r="G23960"/>
      <c r="H23960"/>
      <c r="I23960"/>
    </row>
    <row r="23961" spans="6:9" x14ac:dyDescent="0.3">
      <c r="F23961"/>
      <c r="G23961"/>
      <c r="H23961"/>
      <c r="I23961"/>
    </row>
    <row r="23962" spans="6:9" x14ac:dyDescent="0.3">
      <c r="F23962"/>
      <c r="G23962"/>
      <c r="H23962"/>
      <c r="I23962"/>
    </row>
    <row r="23963" spans="6:9" x14ac:dyDescent="0.3">
      <c r="F23963"/>
      <c r="G23963"/>
      <c r="H23963"/>
      <c r="I23963"/>
    </row>
    <row r="23964" spans="6:9" x14ac:dyDescent="0.3">
      <c r="F23964"/>
      <c r="G23964"/>
      <c r="H23964"/>
      <c r="I23964"/>
    </row>
    <row r="23965" spans="6:9" x14ac:dyDescent="0.3">
      <c r="F23965"/>
      <c r="G23965"/>
      <c r="H23965"/>
      <c r="I23965"/>
    </row>
    <row r="23966" spans="6:9" x14ac:dyDescent="0.3">
      <c r="F23966"/>
      <c r="G23966"/>
      <c r="H23966"/>
      <c r="I23966"/>
    </row>
    <row r="23967" spans="6:9" x14ac:dyDescent="0.3">
      <c r="F23967"/>
      <c r="G23967"/>
      <c r="H23967"/>
      <c r="I23967"/>
    </row>
    <row r="23968" spans="6:9" x14ac:dyDescent="0.3">
      <c r="F23968"/>
      <c r="G23968"/>
      <c r="H23968"/>
      <c r="I23968"/>
    </row>
    <row r="23969" spans="6:9" x14ac:dyDescent="0.3">
      <c r="F23969"/>
      <c r="G23969"/>
      <c r="H23969"/>
      <c r="I23969"/>
    </row>
    <row r="23970" spans="6:9" x14ac:dyDescent="0.3">
      <c r="F23970"/>
      <c r="G23970"/>
      <c r="H23970"/>
      <c r="I23970"/>
    </row>
    <row r="23971" spans="6:9" x14ac:dyDescent="0.3">
      <c r="F23971"/>
      <c r="G23971"/>
      <c r="H23971"/>
      <c r="I23971"/>
    </row>
    <row r="23972" spans="6:9" x14ac:dyDescent="0.3">
      <c r="F23972"/>
      <c r="G23972"/>
      <c r="H23972"/>
      <c r="I23972"/>
    </row>
    <row r="23973" spans="6:9" x14ac:dyDescent="0.3">
      <c r="F23973"/>
      <c r="G23973"/>
      <c r="H23973"/>
      <c r="I23973"/>
    </row>
    <row r="23974" spans="6:9" x14ac:dyDescent="0.3">
      <c r="F23974"/>
      <c r="G23974"/>
      <c r="H23974"/>
      <c r="I23974"/>
    </row>
    <row r="23975" spans="6:9" x14ac:dyDescent="0.3">
      <c r="F23975"/>
      <c r="G23975"/>
      <c r="H23975"/>
      <c r="I23975"/>
    </row>
    <row r="23976" spans="6:9" x14ac:dyDescent="0.3">
      <c r="F23976"/>
      <c r="G23976"/>
      <c r="H23976"/>
      <c r="I23976"/>
    </row>
    <row r="23977" spans="6:9" x14ac:dyDescent="0.3">
      <c r="F23977"/>
      <c r="G23977"/>
      <c r="H23977"/>
      <c r="I23977"/>
    </row>
    <row r="23978" spans="6:9" x14ac:dyDescent="0.3">
      <c r="F23978"/>
      <c r="G23978"/>
      <c r="H23978"/>
      <c r="I23978"/>
    </row>
    <row r="23979" spans="6:9" x14ac:dyDescent="0.3">
      <c r="F23979"/>
      <c r="G23979"/>
      <c r="H23979"/>
      <c r="I23979"/>
    </row>
    <row r="23980" spans="6:9" x14ac:dyDescent="0.3">
      <c r="F23980"/>
      <c r="G23980"/>
      <c r="H23980"/>
      <c r="I23980"/>
    </row>
    <row r="23981" spans="6:9" x14ac:dyDescent="0.3">
      <c r="F23981"/>
      <c r="G23981"/>
      <c r="H23981"/>
      <c r="I23981"/>
    </row>
    <row r="23982" spans="6:9" x14ac:dyDescent="0.3">
      <c r="F23982"/>
      <c r="G23982"/>
      <c r="H23982"/>
      <c r="I23982"/>
    </row>
    <row r="23983" spans="6:9" x14ac:dyDescent="0.3">
      <c r="F23983"/>
      <c r="G23983"/>
      <c r="H23983"/>
      <c r="I23983"/>
    </row>
    <row r="23984" spans="6:9" x14ac:dyDescent="0.3">
      <c r="F23984"/>
      <c r="G23984"/>
      <c r="H23984"/>
      <c r="I23984"/>
    </row>
    <row r="23985" spans="6:9" x14ac:dyDescent="0.3">
      <c r="F23985"/>
      <c r="G23985"/>
      <c r="H23985"/>
      <c r="I23985"/>
    </row>
    <row r="23986" spans="6:9" x14ac:dyDescent="0.3">
      <c r="F23986"/>
      <c r="G23986"/>
      <c r="H23986"/>
      <c r="I23986"/>
    </row>
    <row r="23987" spans="6:9" x14ac:dyDescent="0.3">
      <c r="F23987"/>
      <c r="G23987"/>
      <c r="H23987"/>
      <c r="I23987"/>
    </row>
    <row r="23988" spans="6:9" x14ac:dyDescent="0.3">
      <c r="F23988"/>
      <c r="G23988"/>
      <c r="H23988"/>
      <c r="I23988"/>
    </row>
    <row r="23989" spans="6:9" x14ac:dyDescent="0.3">
      <c r="F23989"/>
      <c r="G23989"/>
      <c r="H23989"/>
      <c r="I23989"/>
    </row>
    <row r="23990" spans="6:9" x14ac:dyDescent="0.3">
      <c r="F23990"/>
      <c r="G23990"/>
      <c r="H23990"/>
      <c r="I23990"/>
    </row>
    <row r="23991" spans="6:9" x14ac:dyDescent="0.3">
      <c r="F23991"/>
      <c r="G23991"/>
      <c r="H23991"/>
      <c r="I23991"/>
    </row>
    <row r="23992" spans="6:9" x14ac:dyDescent="0.3">
      <c r="F23992"/>
      <c r="G23992"/>
      <c r="H23992"/>
      <c r="I23992"/>
    </row>
    <row r="23993" spans="6:9" x14ac:dyDescent="0.3">
      <c r="F23993"/>
      <c r="G23993"/>
      <c r="H23993"/>
      <c r="I23993"/>
    </row>
    <row r="23994" spans="6:9" x14ac:dyDescent="0.3">
      <c r="F23994"/>
      <c r="G23994"/>
      <c r="H23994"/>
      <c r="I23994"/>
    </row>
    <row r="23995" spans="6:9" x14ac:dyDescent="0.3">
      <c r="F23995"/>
      <c r="G23995"/>
      <c r="H23995"/>
      <c r="I23995"/>
    </row>
    <row r="23996" spans="6:9" x14ac:dyDescent="0.3">
      <c r="F23996"/>
      <c r="G23996"/>
      <c r="H23996"/>
      <c r="I23996"/>
    </row>
    <row r="23997" spans="6:9" x14ac:dyDescent="0.3">
      <c r="F23997"/>
      <c r="G23997"/>
      <c r="H23997"/>
      <c r="I23997"/>
    </row>
    <row r="23998" spans="6:9" x14ac:dyDescent="0.3">
      <c r="F23998"/>
      <c r="G23998"/>
      <c r="H23998"/>
      <c r="I23998"/>
    </row>
    <row r="23999" spans="6:9" x14ac:dyDescent="0.3">
      <c r="F23999"/>
      <c r="G23999"/>
      <c r="H23999"/>
      <c r="I23999"/>
    </row>
    <row r="24000" spans="6:9" x14ac:dyDescent="0.3">
      <c r="F24000"/>
      <c r="G24000"/>
      <c r="H24000"/>
      <c r="I24000"/>
    </row>
    <row r="24001" spans="6:9" x14ac:dyDescent="0.3">
      <c r="F24001"/>
      <c r="G24001"/>
      <c r="H24001"/>
      <c r="I24001"/>
    </row>
    <row r="24002" spans="6:9" x14ac:dyDescent="0.3">
      <c r="F24002"/>
      <c r="G24002"/>
      <c r="H24002"/>
      <c r="I24002"/>
    </row>
    <row r="24003" spans="6:9" x14ac:dyDescent="0.3">
      <c r="F24003"/>
      <c r="G24003"/>
      <c r="H24003"/>
      <c r="I24003"/>
    </row>
    <row r="24004" spans="6:9" x14ac:dyDescent="0.3">
      <c r="F24004"/>
      <c r="G24004"/>
      <c r="H24004"/>
      <c r="I24004"/>
    </row>
    <row r="24005" spans="6:9" x14ac:dyDescent="0.3">
      <c r="F24005"/>
      <c r="G24005"/>
      <c r="H24005"/>
      <c r="I24005"/>
    </row>
    <row r="24006" spans="6:9" x14ac:dyDescent="0.3">
      <c r="F24006"/>
      <c r="G24006"/>
      <c r="H24006"/>
      <c r="I24006"/>
    </row>
    <row r="24007" spans="6:9" x14ac:dyDescent="0.3">
      <c r="F24007"/>
      <c r="G24007"/>
      <c r="H24007"/>
      <c r="I24007"/>
    </row>
    <row r="24008" spans="6:9" x14ac:dyDescent="0.3">
      <c r="F24008"/>
      <c r="G24008"/>
      <c r="H24008"/>
      <c r="I24008"/>
    </row>
    <row r="24009" spans="6:9" x14ac:dyDescent="0.3">
      <c r="F24009"/>
      <c r="G24009"/>
      <c r="H24009"/>
      <c r="I24009"/>
    </row>
    <row r="24010" spans="6:9" x14ac:dyDescent="0.3">
      <c r="F24010"/>
      <c r="G24010"/>
      <c r="H24010"/>
      <c r="I24010"/>
    </row>
    <row r="24011" spans="6:9" x14ac:dyDescent="0.3">
      <c r="F24011"/>
      <c r="G24011"/>
      <c r="H24011"/>
      <c r="I24011"/>
    </row>
    <row r="24012" spans="6:9" x14ac:dyDescent="0.3">
      <c r="F24012"/>
      <c r="G24012"/>
      <c r="H24012"/>
      <c r="I24012"/>
    </row>
    <row r="24013" spans="6:9" x14ac:dyDescent="0.3">
      <c r="F24013"/>
      <c r="G24013"/>
      <c r="H24013"/>
      <c r="I24013"/>
    </row>
    <row r="24014" spans="6:9" x14ac:dyDescent="0.3">
      <c r="F24014"/>
      <c r="G24014"/>
      <c r="H24014"/>
      <c r="I24014"/>
    </row>
    <row r="24015" spans="6:9" x14ac:dyDescent="0.3">
      <c r="F24015"/>
      <c r="G24015"/>
      <c r="H24015"/>
      <c r="I24015"/>
    </row>
    <row r="24016" spans="6:9" x14ac:dyDescent="0.3">
      <c r="F24016"/>
      <c r="G24016"/>
      <c r="H24016"/>
      <c r="I24016"/>
    </row>
    <row r="24017" spans="6:9" x14ac:dyDescent="0.3">
      <c r="F24017"/>
      <c r="G24017"/>
      <c r="H24017"/>
      <c r="I24017"/>
    </row>
    <row r="24018" spans="6:9" x14ac:dyDescent="0.3">
      <c r="F24018"/>
      <c r="G24018"/>
      <c r="H24018"/>
      <c r="I24018"/>
    </row>
    <row r="24019" spans="6:9" x14ac:dyDescent="0.3">
      <c r="F24019"/>
      <c r="G24019"/>
      <c r="H24019"/>
      <c r="I24019"/>
    </row>
    <row r="24020" spans="6:9" x14ac:dyDescent="0.3">
      <c r="F24020"/>
      <c r="G24020"/>
      <c r="H24020"/>
      <c r="I24020"/>
    </row>
    <row r="24021" spans="6:9" x14ac:dyDescent="0.3">
      <c r="F24021"/>
      <c r="G24021"/>
      <c r="H24021"/>
      <c r="I24021"/>
    </row>
    <row r="24022" spans="6:9" x14ac:dyDescent="0.3">
      <c r="F24022"/>
      <c r="G24022"/>
      <c r="H24022"/>
      <c r="I24022"/>
    </row>
    <row r="24023" spans="6:9" x14ac:dyDescent="0.3">
      <c r="F24023"/>
      <c r="G24023"/>
      <c r="H24023"/>
      <c r="I24023"/>
    </row>
    <row r="24024" spans="6:9" x14ac:dyDescent="0.3">
      <c r="F24024"/>
      <c r="G24024"/>
      <c r="H24024"/>
      <c r="I24024"/>
    </row>
    <row r="24025" spans="6:9" x14ac:dyDescent="0.3">
      <c r="F24025"/>
      <c r="G24025"/>
      <c r="H24025"/>
      <c r="I24025"/>
    </row>
    <row r="24026" spans="6:9" x14ac:dyDescent="0.3">
      <c r="F24026"/>
      <c r="G24026"/>
      <c r="H24026"/>
      <c r="I24026"/>
    </row>
    <row r="24027" spans="6:9" x14ac:dyDescent="0.3">
      <c r="F24027"/>
      <c r="G24027"/>
      <c r="H24027"/>
      <c r="I24027"/>
    </row>
    <row r="24028" spans="6:9" x14ac:dyDescent="0.3">
      <c r="F24028"/>
      <c r="G24028"/>
      <c r="H24028"/>
      <c r="I24028"/>
    </row>
    <row r="24029" spans="6:9" x14ac:dyDescent="0.3">
      <c r="F24029"/>
      <c r="G24029"/>
      <c r="H24029"/>
      <c r="I24029"/>
    </row>
    <row r="24030" spans="6:9" x14ac:dyDescent="0.3">
      <c r="F24030"/>
      <c r="G24030"/>
      <c r="H24030"/>
      <c r="I24030"/>
    </row>
    <row r="24031" spans="6:9" x14ac:dyDescent="0.3">
      <c r="F24031"/>
      <c r="G24031"/>
      <c r="H24031"/>
      <c r="I24031"/>
    </row>
    <row r="24032" spans="6:9" x14ac:dyDescent="0.3">
      <c r="F24032"/>
      <c r="G24032"/>
      <c r="H24032"/>
      <c r="I24032"/>
    </row>
    <row r="24033" spans="6:9" x14ac:dyDescent="0.3">
      <c r="F24033"/>
      <c r="G24033"/>
      <c r="H24033"/>
      <c r="I24033"/>
    </row>
    <row r="24034" spans="6:9" x14ac:dyDescent="0.3">
      <c r="F24034"/>
      <c r="G24034"/>
      <c r="H24034"/>
      <c r="I24034"/>
    </row>
    <row r="24035" spans="6:9" x14ac:dyDescent="0.3">
      <c r="F24035"/>
      <c r="G24035"/>
      <c r="H24035"/>
      <c r="I24035"/>
    </row>
    <row r="24036" spans="6:9" x14ac:dyDescent="0.3">
      <c r="F24036"/>
      <c r="G24036"/>
      <c r="H24036"/>
      <c r="I24036"/>
    </row>
    <row r="24037" spans="6:9" x14ac:dyDescent="0.3">
      <c r="F24037"/>
      <c r="G24037"/>
      <c r="H24037"/>
      <c r="I24037"/>
    </row>
    <row r="24038" spans="6:9" x14ac:dyDescent="0.3">
      <c r="F24038"/>
      <c r="G24038"/>
      <c r="H24038"/>
      <c r="I24038"/>
    </row>
    <row r="24039" spans="6:9" x14ac:dyDescent="0.3">
      <c r="F24039"/>
      <c r="G24039"/>
      <c r="H24039"/>
      <c r="I24039"/>
    </row>
    <row r="24040" spans="6:9" x14ac:dyDescent="0.3">
      <c r="F24040"/>
      <c r="G24040"/>
      <c r="H24040"/>
      <c r="I24040"/>
    </row>
    <row r="24041" spans="6:9" x14ac:dyDescent="0.3">
      <c r="F24041"/>
      <c r="G24041"/>
      <c r="H24041"/>
      <c r="I24041"/>
    </row>
    <row r="24042" spans="6:9" x14ac:dyDescent="0.3">
      <c r="F24042"/>
      <c r="G24042"/>
      <c r="H24042"/>
      <c r="I24042"/>
    </row>
    <row r="24043" spans="6:9" x14ac:dyDescent="0.3">
      <c r="F24043"/>
      <c r="G24043"/>
      <c r="H24043"/>
      <c r="I24043"/>
    </row>
    <row r="24044" spans="6:9" x14ac:dyDescent="0.3">
      <c r="F24044"/>
      <c r="G24044"/>
      <c r="H24044"/>
      <c r="I24044"/>
    </row>
    <row r="24045" spans="6:9" x14ac:dyDescent="0.3">
      <c r="F24045"/>
      <c r="G24045"/>
      <c r="H24045"/>
      <c r="I24045"/>
    </row>
    <row r="24046" spans="6:9" x14ac:dyDescent="0.3">
      <c r="F24046"/>
      <c r="G24046"/>
      <c r="H24046"/>
      <c r="I24046"/>
    </row>
    <row r="24047" spans="6:9" x14ac:dyDescent="0.3">
      <c r="F24047"/>
      <c r="G24047"/>
      <c r="H24047"/>
      <c r="I24047"/>
    </row>
    <row r="24048" spans="6:9" x14ac:dyDescent="0.3">
      <c r="F24048"/>
      <c r="G24048"/>
      <c r="H24048"/>
      <c r="I24048"/>
    </row>
    <row r="24049" spans="6:9" x14ac:dyDescent="0.3">
      <c r="F24049"/>
      <c r="G24049"/>
      <c r="H24049"/>
      <c r="I24049"/>
    </row>
    <row r="24050" spans="6:9" x14ac:dyDescent="0.3">
      <c r="F24050"/>
      <c r="G24050"/>
      <c r="H24050"/>
      <c r="I24050"/>
    </row>
    <row r="24051" spans="6:9" x14ac:dyDescent="0.3">
      <c r="F24051"/>
      <c r="G24051"/>
      <c r="H24051"/>
      <c r="I24051"/>
    </row>
    <row r="24052" spans="6:9" x14ac:dyDescent="0.3">
      <c r="F24052"/>
      <c r="G24052"/>
      <c r="H24052"/>
      <c r="I24052"/>
    </row>
    <row r="24053" spans="6:9" x14ac:dyDescent="0.3">
      <c r="F24053"/>
      <c r="G24053"/>
      <c r="H24053"/>
      <c r="I24053"/>
    </row>
    <row r="24054" spans="6:9" x14ac:dyDescent="0.3">
      <c r="F24054"/>
      <c r="G24054"/>
      <c r="H24054"/>
      <c r="I24054"/>
    </row>
    <row r="24055" spans="6:9" x14ac:dyDescent="0.3">
      <c r="F24055"/>
      <c r="G24055"/>
      <c r="H24055"/>
      <c r="I24055"/>
    </row>
    <row r="24056" spans="6:9" x14ac:dyDescent="0.3">
      <c r="F24056"/>
      <c r="G24056"/>
      <c r="H24056"/>
      <c r="I24056"/>
    </row>
    <row r="24057" spans="6:9" x14ac:dyDescent="0.3">
      <c r="F24057"/>
      <c r="G24057"/>
      <c r="H24057"/>
      <c r="I24057"/>
    </row>
    <row r="24058" spans="6:9" x14ac:dyDescent="0.3">
      <c r="F24058"/>
      <c r="G24058"/>
      <c r="H24058"/>
      <c r="I24058"/>
    </row>
    <row r="24059" spans="6:9" x14ac:dyDescent="0.3">
      <c r="F24059"/>
      <c r="G24059"/>
      <c r="H24059"/>
      <c r="I24059"/>
    </row>
    <row r="24060" spans="6:9" x14ac:dyDescent="0.3">
      <c r="F24060"/>
      <c r="G24060"/>
      <c r="H24060"/>
      <c r="I24060"/>
    </row>
    <row r="24061" spans="6:9" x14ac:dyDescent="0.3">
      <c r="F24061"/>
      <c r="G24061"/>
      <c r="H24061"/>
      <c r="I24061"/>
    </row>
    <row r="24062" spans="6:9" x14ac:dyDescent="0.3">
      <c r="F24062"/>
      <c r="G24062"/>
      <c r="H24062"/>
      <c r="I24062"/>
    </row>
    <row r="24063" spans="6:9" x14ac:dyDescent="0.3">
      <c r="F24063"/>
      <c r="G24063"/>
      <c r="H24063"/>
      <c r="I24063"/>
    </row>
    <row r="24064" spans="6:9" x14ac:dyDescent="0.3">
      <c r="F24064"/>
      <c r="G24064"/>
      <c r="H24064"/>
      <c r="I24064"/>
    </row>
    <row r="24065" spans="6:9" x14ac:dyDescent="0.3">
      <c r="F24065"/>
      <c r="G24065"/>
      <c r="H24065"/>
      <c r="I24065"/>
    </row>
    <row r="24066" spans="6:9" x14ac:dyDescent="0.3">
      <c r="F24066"/>
      <c r="G24066"/>
      <c r="H24066"/>
      <c r="I24066"/>
    </row>
    <row r="24067" spans="6:9" x14ac:dyDescent="0.3">
      <c r="F24067"/>
      <c r="G24067"/>
      <c r="H24067"/>
      <c r="I24067"/>
    </row>
    <row r="24068" spans="6:9" x14ac:dyDescent="0.3">
      <c r="F24068"/>
      <c r="G24068"/>
      <c r="H24068"/>
      <c r="I24068"/>
    </row>
    <row r="24069" spans="6:9" x14ac:dyDescent="0.3">
      <c r="F24069"/>
      <c r="G24069"/>
      <c r="H24069"/>
      <c r="I24069"/>
    </row>
    <row r="24070" spans="6:9" x14ac:dyDescent="0.3">
      <c r="F24070"/>
      <c r="G24070"/>
      <c r="H24070"/>
      <c r="I24070"/>
    </row>
    <row r="24071" spans="6:9" x14ac:dyDescent="0.3">
      <c r="F24071"/>
      <c r="G24071"/>
      <c r="H24071"/>
      <c r="I24071"/>
    </row>
    <row r="24072" spans="6:9" x14ac:dyDescent="0.3">
      <c r="F24072"/>
      <c r="G24072"/>
      <c r="H24072"/>
      <c r="I24072"/>
    </row>
    <row r="24073" spans="6:9" x14ac:dyDescent="0.3">
      <c r="F24073"/>
      <c r="G24073"/>
      <c r="H24073"/>
      <c r="I24073"/>
    </row>
    <row r="24074" spans="6:9" x14ac:dyDescent="0.3">
      <c r="F24074"/>
      <c r="G24074"/>
      <c r="H24074"/>
      <c r="I24074"/>
    </row>
    <row r="24075" spans="6:9" x14ac:dyDescent="0.3">
      <c r="F24075"/>
      <c r="G24075"/>
      <c r="H24075"/>
      <c r="I24075"/>
    </row>
    <row r="24076" spans="6:9" x14ac:dyDescent="0.3">
      <c r="F24076"/>
      <c r="G24076"/>
      <c r="H24076"/>
      <c r="I24076"/>
    </row>
    <row r="24077" spans="6:9" x14ac:dyDescent="0.3">
      <c r="F24077"/>
      <c r="G24077"/>
      <c r="H24077"/>
      <c r="I24077"/>
    </row>
    <row r="24078" spans="6:9" x14ac:dyDescent="0.3">
      <c r="F24078"/>
      <c r="G24078"/>
      <c r="H24078"/>
      <c r="I24078"/>
    </row>
    <row r="24079" spans="6:9" x14ac:dyDescent="0.3">
      <c r="F24079"/>
      <c r="G24079"/>
      <c r="H24079"/>
      <c r="I24079"/>
    </row>
    <row r="24080" spans="6:9" x14ac:dyDescent="0.3">
      <c r="F24080"/>
      <c r="G24080"/>
      <c r="H24080"/>
      <c r="I24080"/>
    </row>
    <row r="24081" spans="6:9" x14ac:dyDescent="0.3">
      <c r="F24081"/>
      <c r="G24081"/>
      <c r="H24081"/>
      <c r="I24081"/>
    </row>
    <row r="24082" spans="6:9" x14ac:dyDescent="0.3">
      <c r="F24082"/>
      <c r="G24082"/>
      <c r="H24082"/>
      <c r="I24082"/>
    </row>
    <row r="24083" spans="6:9" x14ac:dyDescent="0.3">
      <c r="F24083"/>
      <c r="G24083"/>
      <c r="H24083"/>
      <c r="I24083"/>
    </row>
    <row r="24084" spans="6:9" x14ac:dyDescent="0.3">
      <c r="F24084"/>
      <c r="G24084"/>
      <c r="H24084"/>
      <c r="I24084"/>
    </row>
    <row r="24085" spans="6:9" x14ac:dyDescent="0.3">
      <c r="F24085"/>
      <c r="G24085"/>
      <c r="H24085"/>
      <c r="I24085"/>
    </row>
    <row r="24086" spans="6:9" x14ac:dyDescent="0.3">
      <c r="F24086"/>
      <c r="G24086"/>
      <c r="H24086"/>
      <c r="I24086"/>
    </row>
    <row r="24087" spans="6:9" x14ac:dyDescent="0.3">
      <c r="F24087"/>
      <c r="G24087"/>
      <c r="H24087"/>
      <c r="I24087"/>
    </row>
    <row r="24088" spans="6:9" x14ac:dyDescent="0.3">
      <c r="F24088"/>
      <c r="G24088"/>
      <c r="H24088"/>
      <c r="I24088"/>
    </row>
    <row r="24089" spans="6:9" x14ac:dyDescent="0.3">
      <c r="F24089"/>
      <c r="G24089"/>
      <c r="H24089"/>
      <c r="I24089"/>
    </row>
    <row r="24090" spans="6:9" x14ac:dyDescent="0.3">
      <c r="F24090"/>
      <c r="G24090"/>
      <c r="H24090"/>
      <c r="I24090"/>
    </row>
    <row r="24091" spans="6:9" x14ac:dyDescent="0.3">
      <c r="F24091"/>
      <c r="G24091"/>
      <c r="H24091"/>
      <c r="I24091"/>
    </row>
    <row r="24092" spans="6:9" x14ac:dyDescent="0.3">
      <c r="F24092"/>
      <c r="G24092"/>
      <c r="H24092"/>
      <c r="I24092"/>
    </row>
    <row r="24093" spans="6:9" x14ac:dyDescent="0.3">
      <c r="F24093"/>
      <c r="G24093"/>
      <c r="H24093"/>
      <c r="I24093"/>
    </row>
    <row r="24094" spans="6:9" x14ac:dyDescent="0.3">
      <c r="F24094"/>
      <c r="G24094"/>
      <c r="H24094"/>
      <c r="I24094"/>
    </row>
    <row r="24095" spans="6:9" x14ac:dyDescent="0.3">
      <c r="F24095"/>
      <c r="G24095"/>
      <c r="H24095"/>
      <c r="I24095"/>
    </row>
    <row r="24096" spans="6:9" x14ac:dyDescent="0.3">
      <c r="F24096"/>
      <c r="G24096"/>
      <c r="H24096"/>
      <c r="I24096"/>
    </row>
    <row r="24097" spans="6:9" x14ac:dyDescent="0.3">
      <c r="F24097"/>
      <c r="G24097"/>
      <c r="H24097"/>
      <c r="I24097"/>
    </row>
    <row r="24098" spans="6:9" x14ac:dyDescent="0.3">
      <c r="F24098"/>
      <c r="G24098"/>
      <c r="H24098"/>
      <c r="I24098"/>
    </row>
    <row r="24099" spans="6:9" x14ac:dyDescent="0.3">
      <c r="F24099"/>
      <c r="G24099"/>
      <c r="H24099"/>
      <c r="I24099"/>
    </row>
    <row r="24100" spans="6:9" x14ac:dyDescent="0.3">
      <c r="F24100"/>
      <c r="G24100"/>
      <c r="H24100"/>
      <c r="I24100"/>
    </row>
    <row r="24101" spans="6:9" x14ac:dyDescent="0.3">
      <c r="F24101"/>
      <c r="G24101"/>
      <c r="H24101"/>
      <c r="I24101"/>
    </row>
    <row r="24102" spans="6:9" x14ac:dyDescent="0.3">
      <c r="F24102"/>
      <c r="G24102"/>
      <c r="H24102"/>
      <c r="I24102"/>
    </row>
    <row r="24103" spans="6:9" x14ac:dyDescent="0.3">
      <c r="F24103"/>
      <c r="G24103"/>
      <c r="H24103"/>
      <c r="I24103"/>
    </row>
    <row r="24104" spans="6:9" x14ac:dyDescent="0.3">
      <c r="F24104"/>
      <c r="G24104"/>
      <c r="H24104"/>
      <c r="I24104"/>
    </row>
    <row r="24105" spans="6:9" x14ac:dyDescent="0.3">
      <c r="F24105"/>
      <c r="G24105"/>
      <c r="H24105"/>
      <c r="I24105"/>
    </row>
    <row r="24106" spans="6:9" x14ac:dyDescent="0.3">
      <c r="F24106"/>
      <c r="G24106"/>
      <c r="H24106"/>
      <c r="I24106"/>
    </row>
    <row r="24107" spans="6:9" x14ac:dyDescent="0.3">
      <c r="F24107"/>
      <c r="G24107"/>
      <c r="H24107"/>
      <c r="I24107"/>
    </row>
    <row r="24108" spans="6:9" x14ac:dyDescent="0.3">
      <c r="F24108"/>
      <c r="G24108"/>
      <c r="H24108"/>
      <c r="I24108"/>
    </row>
    <row r="24109" spans="6:9" x14ac:dyDescent="0.3">
      <c r="F24109"/>
      <c r="G24109"/>
      <c r="H24109"/>
      <c r="I24109"/>
    </row>
    <row r="24110" spans="6:9" x14ac:dyDescent="0.3">
      <c r="F24110"/>
      <c r="G24110"/>
      <c r="H24110"/>
      <c r="I24110"/>
    </row>
    <row r="24111" spans="6:9" x14ac:dyDescent="0.3">
      <c r="F24111"/>
      <c r="G24111"/>
      <c r="H24111"/>
      <c r="I24111"/>
    </row>
    <row r="24112" spans="6:9" x14ac:dyDescent="0.3">
      <c r="F24112"/>
      <c r="G24112"/>
      <c r="H24112"/>
      <c r="I24112"/>
    </row>
    <row r="24113" spans="6:9" x14ac:dyDescent="0.3">
      <c r="F24113"/>
      <c r="G24113"/>
      <c r="H24113"/>
      <c r="I24113"/>
    </row>
    <row r="24114" spans="6:9" x14ac:dyDescent="0.3">
      <c r="F24114"/>
      <c r="G24114"/>
      <c r="H24114"/>
      <c r="I24114"/>
    </row>
    <row r="24115" spans="6:9" x14ac:dyDescent="0.3">
      <c r="F24115"/>
      <c r="G24115"/>
      <c r="H24115"/>
      <c r="I24115"/>
    </row>
    <row r="24116" spans="6:9" x14ac:dyDescent="0.3">
      <c r="F24116"/>
      <c r="G24116"/>
      <c r="H24116"/>
      <c r="I24116"/>
    </row>
    <row r="24117" spans="6:9" x14ac:dyDescent="0.3">
      <c r="F24117"/>
      <c r="G24117"/>
      <c r="H24117"/>
      <c r="I24117"/>
    </row>
    <row r="24118" spans="6:9" x14ac:dyDescent="0.3">
      <c r="F24118"/>
      <c r="G24118"/>
      <c r="H24118"/>
      <c r="I24118"/>
    </row>
    <row r="24119" spans="6:9" x14ac:dyDescent="0.3">
      <c r="F24119"/>
      <c r="G24119"/>
      <c r="H24119"/>
      <c r="I24119"/>
    </row>
    <row r="24120" spans="6:9" x14ac:dyDescent="0.3">
      <c r="F24120"/>
      <c r="G24120"/>
      <c r="H24120"/>
      <c r="I24120"/>
    </row>
    <row r="24121" spans="6:9" x14ac:dyDescent="0.3">
      <c r="F24121"/>
      <c r="G24121"/>
      <c r="H24121"/>
      <c r="I24121"/>
    </row>
    <row r="24122" spans="6:9" x14ac:dyDescent="0.3">
      <c r="F24122"/>
      <c r="G24122"/>
      <c r="H24122"/>
      <c r="I24122"/>
    </row>
    <row r="24123" spans="6:9" x14ac:dyDescent="0.3">
      <c r="F24123"/>
      <c r="G24123"/>
      <c r="H24123"/>
      <c r="I24123"/>
    </row>
    <row r="24124" spans="6:9" x14ac:dyDescent="0.3">
      <c r="F24124"/>
      <c r="G24124"/>
      <c r="H24124"/>
      <c r="I24124"/>
    </row>
    <row r="24125" spans="6:9" x14ac:dyDescent="0.3">
      <c r="F24125"/>
      <c r="G24125"/>
      <c r="H24125"/>
      <c r="I24125"/>
    </row>
    <row r="24126" spans="6:9" x14ac:dyDescent="0.3">
      <c r="F24126"/>
      <c r="G24126"/>
      <c r="H24126"/>
      <c r="I24126"/>
    </row>
    <row r="24127" spans="6:9" x14ac:dyDescent="0.3">
      <c r="F24127"/>
      <c r="G24127"/>
      <c r="H24127"/>
      <c r="I24127"/>
    </row>
    <row r="24128" spans="6:9" x14ac:dyDescent="0.3">
      <c r="F24128"/>
      <c r="G24128"/>
      <c r="H24128"/>
      <c r="I24128"/>
    </row>
    <row r="24129" spans="6:9" x14ac:dyDescent="0.3">
      <c r="F24129"/>
      <c r="G24129"/>
      <c r="H24129"/>
      <c r="I24129"/>
    </row>
    <row r="24130" spans="6:9" x14ac:dyDescent="0.3">
      <c r="F24130"/>
      <c r="G24130"/>
      <c r="H24130"/>
      <c r="I24130"/>
    </row>
    <row r="24131" spans="6:9" x14ac:dyDescent="0.3">
      <c r="F24131"/>
      <c r="G24131"/>
      <c r="H24131"/>
      <c r="I24131"/>
    </row>
    <row r="24132" spans="6:9" x14ac:dyDescent="0.3">
      <c r="F24132"/>
      <c r="G24132"/>
      <c r="H24132"/>
      <c r="I24132"/>
    </row>
    <row r="24133" spans="6:9" x14ac:dyDescent="0.3">
      <c r="F24133"/>
      <c r="G24133"/>
      <c r="H24133"/>
      <c r="I24133"/>
    </row>
    <row r="24134" spans="6:9" x14ac:dyDescent="0.3">
      <c r="F24134"/>
      <c r="G24134"/>
      <c r="H24134"/>
      <c r="I24134"/>
    </row>
    <row r="24135" spans="6:9" x14ac:dyDescent="0.3">
      <c r="F24135"/>
      <c r="G24135"/>
      <c r="H24135"/>
      <c r="I24135"/>
    </row>
    <row r="24136" spans="6:9" x14ac:dyDescent="0.3">
      <c r="F24136"/>
      <c r="G24136"/>
      <c r="H24136"/>
      <c r="I24136"/>
    </row>
    <row r="24137" spans="6:9" x14ac:dyDescent="0.3">
      <c r="F24137"/>
      <c r="G24137"/>
      <c r="H24137"/>
      <c r="I24137"/>
    </row>
    <row r="24138" spans="6:9" x14ac:dyDescent="0.3">
      <c r="F24138"/>
      <c r="G24138"/>
      <c r="H24138"/>
      <c r="I24138"/>
    </row>
    <row r="24139" spans="6:9" x14ac:dyDescent="0.3">
      <c r="F24139"/>
      <c r="G24139"/>
      <c r="H24139"/>
      <c r="I24139"/>
    </row>
    <row r="24140" spans="6:9" x14ac:dyDescent="0.3">
      <c r="F24140"/>
      <c r="G24140"/>
      <c r="H24140"/>
      <c r="I24140"/>
    </row>
    <row r="24141" spans="6:9" x14ac:dyDescent="0.3">
      <c r="F24141"/>
      <c r="G24141"/>
      <c r="H24141"/>
      <c r="I24141"/>
    </row>
    <row r="24142" spans="6:9" x14ac:dyDescent="0.3">
      <c r="F24142"/>
      <c r="G24142"/>
      <c r="H24142"/>
      <c r="I24142"/>
    </row>
    <row r="24143" spans="6:9" x14ac:dyDescent="0.3">
      <c r="F24143"/>
      <c r="G24143"/>
      <c r="H24143"/>
      <c r="I24143"/>
    </row>
    <row r="24144" spans="6:9" x14ac:dyDescent="0.3">
      <c r="F24144"/>
      <c r="G24144"/>
      <c r="H24144"/>
      <c r="I24144"/>
    </row>
    <row r="24145" spans="6:9" x14ac:dyDescent="0.3">
      <c r="F24145"/>
      <c r="G24145"/>
      <c r="H24145"/>
      <c r="I24145"/>
    </row>
    <row r="24146" spans="6:9" x14ac:dyDescent="0.3">
      <c r="F24146"/>
      <c r="G24146"/>
      <c r="H24146"/>
      <c r="I24146"/>
    </row>
    <row r="24147" spans="6:9" x14ac:dyDescent="0.3">
      <c r="F24147"/>
      <c r="G24147"/>
      <c r="H24147"/>
      <c r="I24147"/>
    </row>
    <row r="24148" spans="6:9" x14ac:dyDescent="0.3">
      <c r="F24148"/>
      <c r="G24148"/>
      <c r="H24148"/>
      <c r="I24148"/>
    </row>
    <row r="24149" spans="6:9" x14ac:dyDescent="0.3">
      <c r="F24149"/>
      <c r="G24149"/>
      <c r="H24149"/>
      <c r="I24149"/>
    </row>
    <row r="24150" spans="6:9" x14ac:dyDescent="0.3">
      <c r="F24150"/>
      <c r="G24150"/>
      <c r="H24150"/>
      <c r="I24150"/>
    </row>
    <row r="24151" spans="6:9" x14ac:dyDescent="0.3">
      <c r="F24151"/>
      <c r="G24151"/>
      <c r="H24151"/>
      <c r="I24151"/>
    </row>
    <row r="24152" spans="6:9" x14ac:dyDescent="0.3">
      <c r="F24152"/>
      <c r="G24152"/>
      <c r="H24152"/>
      <c r="I24152"/>
    </row>
    <row r="24153" spans="6:9" x14ac:dyDescent="0.3">
      <c r="F24153"/>
      <c r="G24153"/>
      <c r="H24153"/>
      <c r="I24153"/>
    </row>
    <row r="24154" spans="6:9" x14ac:dyDescent="0.3">
      <c r="F24154"/>
      <c r="G24154"/>
      <c r="H24154"/>
      <c r="I24154"/>
    </row>
    <row r="24155" spans="6:9" x14ac:dyDescent="0.3">
      <c r="F24155"/>
      <c r="G24155"/>
      <c r="H24155"/>
      <c r="I24155"/>
    </row>
    <row r="24156" spans="6:9" x14ac:dyDescent="0.3">
      <c r="F24156"/>
      <c r="G24156"/>
      <c r="H24156"/>
      <c r="I24156"/>
    </row>
    <row r="24157" spans="6:9" x14ac:dyDescent="0.3">
      <c r="F24157"/>
      <c r="G24157"/>
      <c r="H24157"/>
      <c r="I24157"/>
    </row>
    <row r="24158" spans="6:9" x14ac:dyDescent="0.3">
      <c r="F24158"/>
      <c r="G24158"/>
      <c r="H24158"/>
      <c r="I24158"/>
    </row>
    <row r="24159" spans="6:9" x14ac:dyDescent="0.3">
      <c r="F24159"/>
      <c r="G24159"/>
      <c r="H24159"/>
      <c r="I24159"/>
    </row>
    <row r="24160" spans="6:9" x14ac:dyDescent="0.3">
      <c r="F24160"/>
      <c r="G24160"/>
      <c r="H24160"/>
      <c r="I24160"/>
    </row>
    <row r="24161" spans="6:9" x14ac:dyDescent="0.3">
      <c r="F24161"/>
      <c r="G24161"/>
      <c r="H24161"/>
      <c r="I24161"/>
    </row>
    <row r="24162" spans="6:9" x14ac:dyDescent="0.3">
      <c r="F24162"/>
      <c r="G24162"/>
      <c r="H24162"/>
      <c r="I24162"/>
    </row>
    <row r="24163" spans="6:9" x14ac:dyDescent="0.3">
      <c r="F24163"/>
      <c r="G24163"/>
      <c r="H24163"/>
      <c r="I24163"/>
    </row>
    <row r="24164" spans="6:9" x14ac:dyDescent="0.3">
      <c r="F24164"/>
      <c r="G24164"/>
      <c r="H24164"/>
      <c r="I24164"/>
    </row>
    <row r="24165" spans="6:9" x14ac:dyDescent="0.3">
      <c r="F24165"/>
      <c r="G24165"/>
      <c r="H24165"/>
      <c r="I24165"/>
    </row>
    <row r="24166" spans="6:9" x14ac:dyDescent="0.3">
      <c r="F24166"/>
      <c r="G24166"/>
      <c r="H24166"/>
      <c r="I24166"/>
    </row>
    <row r="24167" spans="6:9" x14ac:dyDescent="0.3">
      <c r="F24167"/>
      <c r="G24167"/>
      <c r="H24167"/>
      <c r="I24167"/>
    </row>
    <row r="24168" spans="6:9" x14ac:dyDescent="0.3">
      <c r="F24168"/>
      <c r="G24168"/>
      <c r="H24168"/>
      <c r="I24168"/>
    </row>
    <row r="24169" spans="6:9" x14ac:dyDescent="0.3">
      <c r="F24169"/>
      <c r="G24169"/>
      <c r="H24169"/>
      <c r="I24169"/>
    </row>
    <row r="24170" spans="6:9" x14ac:dyDescent="0.3">
      <c r="F24170"/>
      <c r="G24170"/>
      <c r="H24170"/>
      <c r="I24170"/>
    </row>
    <row r="24171" spans="6:9" x14ac:dyDescent="0.3">
      <c r="F24171"/>
      <c r="G24171"/>
      <c r="H24171"/>
      <c r="I24171"/>
    </row>
    <row r="24172" spans="6:9" x14ac:dyDescent="0.3">
      <c r="F24172"/>
      <c r="G24172"/>
      <c r="H24172"/>
      <c r="I24172"/>
    </row>
    <row r="24173" spans="6:9" x14ac:dyDescent="0.3">
      <c r="F24173"/>
      <c r="G24173"/>
      <c r="H24173"/>
      <c r="I24173"/>
    </row>
    <row r="24174" spans="6:9" x14ac:dyDescent="0.3">
      <c r="F24174"/>
      <c r="G24174"/>
      <c r="H24174"/>
      <c r="I24174"/>
    </row>
    <row r="24175" spans="6:9" x14ac:dyDescent="0.3">
      <c r="F24175"/>
      <c r="G24175"/>
      <c r="H24175"/>
      <c r="I24175"/>
    </row>
    <row r="24176" spans="6:9" x14ac:dyDescent="0.3">
      <c r="F24176"/>
      <c r="G24176"/>
      <c r="H24176"/>
      <c r="I24176"/>
    </row>
    <row r="24177" spans="6:9" x14ac:dyDescent="0.3">
      <c r="F24177"/>
      <c r="G24177"/>
      <c r="H24177"/>
      <c r="I24177"/>
    </row>
    <row r="24178" spans="6:9" x14ac:dyDescent="0.3">
      <c r="F24178"/>
      <c r="G24178"/>
      <c r="H24178"/>
      <c r="I24178"/>
    </row>
    <row r="24179" spans="6:9" x14ac:dyDescent="0.3">
      <c r="F24179"/>
      <c r="G24179"/>
      <c r="H24179"/>
      <c r="I24179"/>
    </row>
    <row r="24180" spans="6:9" x14ac:dyDescent="0.3">
      <c r="F24180"/>
      <c r="G24180"/>
      <c r="H24180"/>
      <c r="I24180"/>
    </row>
    <row r="24181" spans="6:9" x14ac:dyDescent="0.3">
      <c r="F24181"/>
      <c r="G24181"/>
      <c r="H24181"/>
      <c r="I24181"/>
    </row>
    <row r="24182" spans="6:9" x14ac:dyDescent="0.3">
      <c r="F24182"/>
      <c r="G24182"/>
      <c r="H24182"/>
      <c r="I24182"/>
    </row>
    <row r="24183" spans="6:9" x14ac:dyDescent="0.3">
      <c r="F24183"/>
      <c r="G24183"/>
      <c r="H24183"/>
      <c r="I24183"/>
    </row>
    <row r="24184" spans="6:9" x14ac:dyDescent="0.3">
      <c r="F24184"/>
      <c r="G24184"/>
      <c r="H24184"/>
      <c r="I24184"/>
    </row>
    <row r="24185" spans="6:9" x14ac:dyDescent="0.3">
      <c r="F24185"/>
      <c r="G24185"/>
      <c r="H24185"/>
      <c r="I24185"/>
    </row>
    <row r="24186" spans="6:9" x14ac:dyDescent="0.3">
      <c r="F24186"/>
      <c r="G24186"/>
      <c r="H24186"/>
      <c r="I24186"/>
    </row>
    <row r="24187" spans="6:9" x14ac:dyDescent="0.3">
      <c r="F24187"/>
      <c r="G24187"/>
      <c r="H24187"/>
      <c r="I24187"/>
    </row>
    <row r="24188" spans="6:9" x14ac:dyDescent="0.3">
      <c r="F24188"/>
      <c r="G24188"/>
      <c r="H24188"/>
      <c r="I24188"/>
    </row>
    <row r="24189" spans="6:9" x14ac:dyDescent="0.3">
      <c r="F24189"/>
      <c r="G24189"/>
      <c r="H24189"/>
      <c r="I24189"/>
    </row>
    <row r="24190" spans="6:9" x14ac:dyDescent="0.3">
      <c r="F24190"/>
      <c r="G24190"/>
      <c r="H24190"/>
      <c r="I24190"/>
    </row>
    <row r="24191" spans="6:9" x14ac:dyDescent="0.3">
      <c r="F24191"/>
      <c r="G24191"/>
      <c r="H24191"/>
      <c r="I24191"/>
    </row>
    <row r="24192" spans="6:9" x14ac:dyDescent="0.3">
      <c r="F24192"/>
      <c r="G24192"/>
      <c r="H24192"/>
      <c r="I24192"/>
    </row>
    <row r="24193" spans="6:9" x14ac:dyDescent="0.3">
      <c r="F24193"/>
      <c r="G24193"/>
      <c r="H24193"/>
      <c r="I24193"/>
    </row>
    <row r="24194" spans="6:9" x14ac:dyDescent="0.3">
      <c r="F24194"/>
      <c r="G24194"/>
      <c r="H24194"/>
      <c r="I24194"/>
    </row>
    <row r="24195" spans="6:9" x14ac:dyDescent="0.3">
      <c r="F24195"/>
      <c r="G24195"/>
      <c r="H24195"/>
      <c r="I24195"/>
    </row>
    <row r="24196" spans="6:9" x14ac:dyDescent="0.3">
      <c r="F24196"/>
      <c r="G24196"/>
      <c r="H24196"/>
      <c r="I24196"/>
    </row>
    <row r="24197" spans="6:9" x14ac:dyDescent="0.3">
      <c r="F24197"/>
      <c r="G24197"/>
      <c r="H24197"/>
      <c r="I24197"/>
    </row>
    <row r="24198" spans="6:9" x14ac:dyDescent="0.3">
      <c r="F24198"/>
      <c r="G24198"/>
      <c r="H24198"/>
      <c r="I24198"/>
    </row>
    <row r="24199" spans="6:9" x14ac:dyDescent="0.3">
      <c r="F24199"/>
      <c r="G24199"/>
      <c r="H24199"/>
      <c r="I24199"/>
    </row>
    <row r="24200" spans="6:9" x14ac:dyDescent="0.3">
      <c r="F24200"/>
      <c r="G24200"/>
      <c r="H24200"/>
      <c r="I24200"/>
    </row>
    <row r="24201" spans="6:9" x14ac:dyDescent="0.3">
      <c r="F24201"/>
      <c r="G24201"/>
      <c r="H24201"/>
      <c r="I24201"/>
    </row>
    <row r="24202" spans="6:9" x14ac:dyDescent="0.3">
      <c r="F24202"/>
      <c r="G24202"/>
      <c r="H24202"/>
      <c r="I24202"/>
    </row>
    <row r="24203" spans="6:9" x14ac:dyDescent="0.3">
      <c r="F24203"/>
      <c r="G24203"/>
      <c r="H24203"/>
      <c r="I24203"/>
    </row>
    <row r="24204" spans="6:9" x14ac:dyDescent="0.3">
      <c r="F24204"/>
      <c r="G24204"/>
      <c r="H24204"/>
      <c r="I24204"/>
    </row>
    <row r="24205" spans="6:9" x14ac:dyDescent="0.3">
      <c r="F24205"/>
      <c r="G24205"/>
      <c r="H24205"/>
      <c r="I24205"/>
    </row>
    <row r="24206" spans="6:9" x14ac:dyDescent="0.3">
      <c r="F24206"/>
      <c r="G24206"/>
      <c r="H24206"/>
      <c r="I24206"/>
    </row>
    <row r="24207" spans="6:9" x14ac:dyDescent="0.3">
      <c r="F24207"/>
      <c r="G24207"/>
      <c r="H24207"/>
      <c r="I24207"/>
    </row>
    <row r="24208" spans="6:9" x14ac:dyDescent="0.3">
      <c r="F24208"/>
      <c r="G24208"/>
      <c r="H24208"/>
      <c r="I24208"/>
    </row>
    <row r="24209" spans="6:9" x14ac:dyDescent="0.3">
      <c r="F24209"/>
      <c r="G24209"/>
      <c r="H24209"/>
      <c r="I24209"/>
    </row>
    <row r="24210" spans="6:9" x14ac:dyDescent="0.3">
      <c r="F24210"/>
      <c r="G24210"/>
      <c r="H24210"/>
      <c r="I24210"/>
    </row>
    <row r="24211" spans="6:9" x14ac:dyDescent="0.3">
      <c r="F24211"/>
      <c r="G24211"/>
      <c r="H24211"/>
      <c r="I24211"/>
    </row>
    <row r="24212" spans="6:9" x14ac:dyDescent="0.3">
      <c r="F24212"/>
      <c r="G24212"/>
      <c r="H24212"/>
      <c r="I24212"/>
    </row>
    <row r="24213" spans="6:9" x14ac:dyDescent="0.3">
      <c r="F24213"/>
      <c r="G24213"/>
      <c r="H24213"/>
      <c r="I24213"/>
    </row>
    <row r="24214" spans="6:9" x14ac:dyDescent="0.3">
      <c r="F24214"/>
      <c r="G24214"/>
      <c r="H24214"/>
      <c r="I24214"/>
    </row>
    <row r="24215" spans="6:9" x14ac:dyDescent="0.3">
      <c r="F24215"/>
      <c r="G24215"/>
      <c r="H24215"/>
      <c r="I24215"/>
    </row>
    <row r="24216" spans="6:9" x14ac:dyDescent="0.3">
      <c r="F24216"/>
      <c r="G24216"/>
      <c r="H24216"/>
      <c r="I24216"/>
    </row>
    <row r="24217" spans="6:9" x14ac:dyDescent="0.3">
      <c r="F24217"/>
      <c r="G24217"/>
      <c r="H24217"/>
      <c r="I24217"/>
    </row>
    <row r="24218" spans="6:9" x14ac:dyDescent="0.3">
      <c r="F24218"/>
      <c r="G24218"/>
      <c r="H24218"/>
      <c r="I24218"/>
    </row>
    <row r="24219" spans="6:9" x14ac:dyDescent="0.3">
      <c r="F24219"/>
      <c r="G24219"/>
      <c r="H24219"/>
      <c r="I24219"/>
    </row>
    <row r="24220" spans="6:9" x14ac:dyDescent="0.3">
      <c r="F24220"/>
      <c r="G24220"/>
      <c r="H24220"/>
      <c r="I24220"/>
    </row>
    <row r="24221" spans="6:9" x14ac:dyDescent="0.3">
      <c r="F24221"/>
      <c r="G24221"/>
      <c r="H24221"/>
      <c r="I24221"/>
    </row>
    <row r="24222" spans="6:9" x14ac:dyDescent="0.3">
      <c r="F24222"/>
      <c r="G24222"/>
      <c r="H24222"/>
      <c r="I24222"/>
    </row>
    <row r="24223" spans="6:9" x14ac:dyDescent="0.3">
      <c r="F24223"/>
      <c r="G24223"/>
      <c r="H24223"/>
      <c r="I24223"/>
    </row>
    <row r="24224" spans="6:9" x14ac:dyDescent="0.3">
      <c r="F24224"/>
      <c r="G24224"/>
      <c r="H24224"/>
      <c r="I24224"/>
    </row>
    <row r="24225" spans="6:9" x14ac:dyDescent="0.3">
      <c r="F24225"/>
      <c r="G24225"/>
      <c r="H24225"/>
      <c r="I24225"/>
    </row>
    <row r="24226" spans="6:9" x14ac:dyDescent="0.3">
      <c r="F24226"/>
      <c r="G24226"/>
      <c r="H24226"/>
      <c r="I24226"/>
    </row>
    <row r="24227" spans="6:9" x14ac:dyDescent="0.3">
      <c r="F24227"/>
      <c r="G24227"/>
      <c r="H24227"/>
      <c r="I24227"/>
    </row>
    <row r="24228" spans="6:9" x14ac:dyDescent="0.3">
      <c r="F24228"/>
      <c r="G24228"/>
      <c r="H24228"/>
      <c r="I24228"/>
    </row>
    <row r="24229" spans="6:9" x14ac:dyDescent="0.3">
      <c r="F24229"/>
      <c r="G24229"/>
      <c r="H24229"/>
      <c r="I24229"/>
    </row>
    <row r="24230" spans="6:9" x14ac:dyDescent="0.3">
      <c r="F24230"/>
      <c r="G24230"/>
      <c r="H24230"/>
      <c r="I24230"/>
    </row>
    <row r="24231" spans="6:9" x14ac:dyDescent="0.3">
      <c r="F24231"/>
      <c r="G24231"/>
      <c r="H24231"/>
      <c r="I24231"/>
    </row>
    <row r="24232" spans="6:9" x14ac:dyDescent="0.3">
      <c r="F24232"/>
      <c r="G24232"/>
      <c r="H24232"/>
      <c r="I24232"/>
    </row>
    <row r="24233" spans="6:9" x14ac:dyDescent="0.3">
      <c r="F24233"/>
      <c r="G24233"/>
      <c r="H24233"/>
      <c r="I24233"/>
    </row>
    <row r="24234" spans="6:9" x14ac:dyDescent="0.3">
      <c r="F24234"/>
      <c r="G24234"/>
      <c r="H24234"/>
      <c r="I24234"/>
    </row>
    <row r="24235" spans="6:9" x14ac:dyDescent="0.3">
      <c r="F24235"/>
      <c r="G24235"/>
      <c r="H24235"/>
      <c r="I24235"/>
    </row>
    <row r="24236" spans="6:9" x14ac:dyDescent="0.3">
      <c r="F24236"/>
      <c r="G24236"/>
      <c r="H24236"/>
      <c r="I24236"/>
    </row>
    <row r="24237" spans="6:9" x14ac:dyDescent="0.3">
      <c r="F24237"/>
      <c r="G24237"/>
      <c r="H24237"/>
      <c r="I24237"/>
    </row>
    <row r="24238" spans="6:9" x14ac:dyDescent="0.3">
      <c r="F24238"/>
      <c r="G24238"/>
      <c r="H24238"/>
      <c r="I24238"/>
    </row>
    <row r="24239" spans="6:9" x14ac:dyDescent="0.3">
      <c r="F24239"/>
      <c r="G24239"/>
      <c r="H24239"/>
      <c r="I24239"/>
    </row>
    <row r="24240" spans="6:9" x14ac:dyDescent="0.3">
      <c r="F24240"/>
      <c r="G24240"/>
      <c r="H24240"/>
      <c r="I24240"/>
    </row>
    <row r="24241" spans="6:9" x14ac:dyDescent="0.3">
      <c r="F24241"/>
      <c r="G24241"/>
      <c r="H24241"/>
      <c r="I24241"/>
    </row>
    <row r="24242" spans="6:9" x14ac:dyDescent="0.3">
      <c r="F24242"/>
      <c r="G24242"/>
      <c r="H24242"/>
      <c r="I24242"/>
    </row>
    <row r="24243" spans="6:9" x14ac:dyDescent="0.3">
      <c r="F24243"/>
      <c r="G24243"/>
      <c r="H24243"/>
      <c r="I24243"/>
    </row>
    <row r="24244" spans="6:9" x14ac:dyDescent="0.3">
      <c r="F24244"/>
      <c r="G24244"/>
      <c r="H24244"/>
      <c r="I24244"/>
    </row>
    <row r="24245" spans="6:9" x14ac:dyDescent="0.3">
      <c r="F24245"/>
      <c r="G24245"/>
      <c r="H24245"/>
      <c r="I24245"/>
    </row>
    <row r="24246" spans="6:9" x14ac:dyDescent="0.3">
      <c r="F24246"/>
      <c r="G24246"/>
      <c r="H24246"/>
      <c r="I24246"/>
    </row>
    <row r="24247" spans="6:9" x14ac:dyDescent="0.3">
      <c r="F24247"/>
      <c r="G24247"/>
      <c r="H24247"/>
      <c r="I24247"/>
    </row>
    <row r="24248" spans="6:9" x14ac:dyDescent="0.3">
      <c r="F24248"/>
      <c r="G24248"/>
      <c r="H24248"/>
      <c r="I24248"/>
    </row>
    <row r="24249" spans="6:9" x14ac:dyDescent="0.3">
      <c r="F24249"/>
      <c r="G24249"/>
      <c r="H24249"/>
      <c r="I24249"/>
    </row>
    <row r="24250" spans="6:9" x14ac:dyDescent="0.3">
      <c r="F24250"/>
      <c r="G24250"/>
      <c r="H24250"/>
      <c r="I24250"/>
    </row>
    <row r="24251" spans="6:9" x14ac:dyDescent="0.3">
      <c r="F24251"/>
      <c r="G24251"/>
      <c r="H24251"/>
      <c r="I24251"/>
    </row>
    <row r="24252" spans="6:9" x14ac:dyDescent="0.3">
      <c r="F24252"/>
      <c r="G24252"/>
      <c r="H24252"/>
      <c r="I24252"/>
    </row>
    <row r="24253" spans="6:9" x14ac:dyDescent="0.3">
      <c r="F24253"/>
      <c r="G24253"/>
      <c r="H24253"/>
      <c r="I24253"/>
    </row>
    <row r="24254" spans="6:9" x14ac:dyDescent="0.3">
      <c r="F24254"/>
      <c r="G24254"/>
      <c r="H24254"/>
      <c r="I24254"/>
    </row>
    <row r="24255" spans="6:9" x14ac:dyDescent="0.3">
      <c r="F24255"/>
      <c r="G24255"/>
      <c r="H24255"/>
      <c r="I24255"/>
    </row>
    <row r="24256" spans="6:9" x14ac:dyDescent="0.3">
      <c r="F24256"/>
      <c r="G24256"/>
      <c r="H24256"/>
      <c r="I24256"/>
    </row>
    <row r="24257" spans="6:9" x14ac:dyDescent="0.3">
      <c r="F24257"/>
      <c r="G24257"/>
      <c r="H24257"/>
      <c r="I24257"/>
    </row>
    <row r="24258" spans="6:9" x14ac:dyDescent="0.3">
      <c r="F24258"/>
      <c r="G24258"/>
      <c r="H24258"/>
      <c r="I24258"/>
    </row>
    <row r="24259" spans="6:9" x14ac:dyDescent="0.3">
      <c r="F24259"/>
      <c r="G24259"/>
      <c r="H24259"/>
      <c r="I24259"/>
    </row>
    <row r="24260" spans="6:9" x14ac:dyDescent="0.3">
      <c r="F24260"/>
      <c r="G24260"/>
      <c r="H24260"/>
      <c r="I24260"/>
    </row>
    <row r="24261" spans="6:9" x14ac:dyDescent="0.3">
      <c r="F24261"/>
      <c r="G24261"/>
      <c r="H24261"/>
      <c r="I24261"/>
    </row>
    <row r="24262" spans="6:9" x14ac:dyDescent="0.3">
      <c r="F24262"/>
      <c r="G24262"/>
      <c r="H24262"/>
      <c r="I24262"/>
    </row>
    <row r="24263" spans="6:9" x14ac:dyDescent="0.3">
      <c r="F24263"/>
      <c r="G24263"/>
      <c r="H24263"/>
      <c r="I24263"/>
    </row>
    <row r="24264" spans="6:9" x14ac:dyDescent="0.3">
      <c r="F24264"/>
      <c r="G24264"/>
      <c r="H24264"/>
      <c r="I24264"/>
    </row>
    <row r="24265" spans="6:9" x14ac:dyDescent="0.3">
      <c r="F24265"/>
      <c r="G24265"/>
      <c r="H24265"/>
      <c r="I24265"/>
    </row>
    <row r="24266" spans="6:9" x14ac:dyDescent="0.3">
      <c r="F24266"/>
      <c r="G24266"/>
      <c r="H24266"/>
      <c r="I24266"/>
    </row>
    <row r="24267" spans="6:9" x14ac:dyDescent="0.3">
      <c r="F24267"/>
      <c r="G24267"/>
      <c r="H24267"/>
      <c r="I24267"/>
    </row>
    <row r="24268" spans="6:9" x14ac:dyDescent="0.3">
      <c r="F24268"/>
      <c r="G24268"/>
      <c r="H24268"/>
      <c r="I24268"/>
    </row>
    <row r="24269" spans="6:9" x14ac:dyDescent="0.3">
      <c r="F24269"/>
      <c r="G24269"/>
      <c r="H24269"/>
      <c r="I24269"/>
    </row>
    <row r="24270" spans="6:9" x14ac:dyDescent="0.3">
      <c r="F24270"/>
      <c r="G24270"/>
      <c r="H24270"/>
      <c r="I24270"/>
    </row>
    <row r="24271" spans="6:9" x14ac:dyDescent="0.3">
      <c r="F24271"/>
      <c r="G24271"/>
      <c r="H24271"/>
      <c r="I24271"/>
    </row>
    <row r="24272" spans="6:9" x14ac:dyDescent="0.3">
      <c r="F24272"/>
      <c r="G24272"/>
      <c r="H24272"/>
      <c r="I24272"/>
    </row>
    <row r="24273" spans="6:9" x14ac:dyDescent="0.3">
      <c r="F24273"/>
      <c r="G24273"/>
      <c r="H24273"/>
      <c r="I24273"/>
    </row>
    <row r="24274" spans="6:9" x14ac:dyDescent="0.3">
      <c r="F24274"/>
      <c r="G24274"/>
      <c r="H24274"/>
      <c r="I24274"/>
    </row>
    <row r="24275" spans="6:9" x14ac:dyDescent="0.3">
      <c r="F24275"/>
      <c r="G24275"/>
      <c r="H24275"/>
      <c r="I24275"/>
    </row>
    <row r="24276" spans="6:9" x14ac:dyDescent="0.3">
      <c r="F24276"/>
      <c r="G24276"/>
      <c r="H24276"/>
      <c r="I24276"/>
    </row>
    <row r="24277" spans="6:9" x14ac:dyDescent="0.3">
      <c r="F24277"/>
      <c r="G24277"/>
      <c r="H24277"/>
      <c r="I24277"/>
    </row>
    <row r="24278" spans="6:9" x14ac:dyDescent="0.3">
      <c r="F24278"/>
      <c r="G24278"/>
      <c r="H24278"/>
      <c r="I24278"/>
    </row>
    <row r="24279" spans="6:9" x14ac:dyDescent="0.3">
      <c r="F24279"/>
      <c r="G24279"/>
      <c r="H24279"/>
      <c r="I24279"/>
    </row>
    <row r="24280" spans="6:9" x14ac:dyDescent="0.3">
      <c r="F24280"/>
      <c r="G24280"/>
      <c r="H24280"/>
      <c r="I24280"/>
    </row>
    <row r="24281" spans="6:9" x14ac:dyDescent="0.3">
      <c r="F24281"/>
      <c r="G24281"/>
      <c r="H24281"/>
      <c r="I24281"/>
    </row>
    <row r="24282" spans="6:9" x14ac:dyDescent="0.3">
      <c r="F24282"/>
      <c r="G24282"/>
      <c r="H24282"/>
      <c r="I24282"/>
    </row>
    <row r="24283" spans="6:9" x14ac:dyDescent="0.3">
      <c r="F24283"/>
      <c r="G24283"/>
      <c r="H24283"/>
      <c r="I24283"/>
    </row>
    <row r="24284" spans="6:9" x14ac:dyDescent="0.3">
      <c r="F24284"/>
      <c r="G24284"/>
      <c r="H24284"/>
      <c r="I24284"/>
    </row>
    <row r="24285" spans="6:9" x14ac:dyDescent="0.3">
      <c r="F24285"/>
      <c r="G24285"/>
      <c r="H24285"/>
      <c r="I24285"/>
    </row>
    <row r="24286" spans="6:9" x14ac:dyDescent="0.3">
      <c r="F24286"/>
      <c r="G24286"/>
      <c r="H24286"/>
      <c r="I24286"/>
    </row>
    <row r="24287" spans="6:9" x14ac:dyDescent="0.3">
      <c r="F24287"/>
      <c r="G24287"/>
      <c r="H24287"/>
      <c r="I24287"/>
    </row>
    <row r="24288" spans="6:9" x14ac:dyDescent="0.3">
      <c r="F24288"/>
      <c r="G24288"/>
      <c r="H24288"/>
      <c r="I24288"/>
    </row>
    <row r="24289" spans="6:9" x14ac:dyDescent="0.3">
      <c r="F24289"/>
      <c r="G24289"/>
      <c r="H24289"/>
      <c r="I24289"/>
    </row>
    <row r="24290" spans="6:9" x14ac:dyDescent="0.3">
      <c r="F24290"/>
      <c r="G24290"/>
      <c r="H24290"/>
      <c r="I24290"/>
    </row>
    <row r="24291" spans="6:9" x14ac:dyDescent="0.3">
      <c r="F24291"/>
      <c r="G24291"/>
      <c r="H24291"/>
      <c r="I24291"/>
    </row>
    <row r="24292" spans="6:9" x14ac:dyDescent="0.3">
      <c r="F24292"/>
      <c r="G24292"/>
      <c r="H24292"/>
      <c r="I24292"/>
    </row>
    <row r="24293" spans="6:9" x14ac:dyDescent="0.3">
      <c r="F24293"/>
      <c r="G24293"/>
      <c r="H24293"/>
      <c r="I24293"/>
    </row>
    <row r="24294" spans="6:9" x14ac:dyDescent="0.3">
      <c r="F24294"/>
      <c r="G24294"/>
      <c r="H24294"/>
      <c r="I24294"/>
    </row>
    <row r="24295" spans="6:9" x14ac:dyDescent="0.3">
      <c r="F24295"/>
      <c r="G24295"/>
      <c r="H24295"/>
      <c r="I24295"/>
    </row>
    <row r="24296" spans="6:9" x14ac:dyDescent="0.3">
      <c r="F24296"/>
      <c r="G24296"/>
      <c r="H24296"/>
      <c r="I24296"/>
    </row>
    <row r="24297" spans="6:9" x14ac:dyDescent="0.3">
      <c r="F24297"/>
      <c r="G24297"/>
      <c r="H24297"/>
      <c r="I24297"/>
    </row>
    <row r="24298" spans="6:9" x14ac:dyDescent="0.3">
      <c r="F24298"/>
      <c r="G24298"/>
      <c r="H24298"/>
      <c r="I24298"/>
    </row>
    <row r="24299" spans="6:9" x14ac:dyDescent="0.3">
      <c r="F24299"/>
      <c r="G24299"/>
      <c r="H24299"/>
      <c r="I24299"/>
    </row>
    <row r="24300" spans="6:9" x14ac:dyDescent="0.3">
      <c r="F24300"/>
      <c r="G24300"/>
      <c r="H24300"/>
      <c r="I24300"/>
    </row>
    <row r="24301" spans="6:9" x14ac:dyDescent="0.3">
      <c r="F24301"/>
      <c r="G24301"/>
      <c r="H24301"/>
      <c r="I24301"/>
    </row>
    <row r="24302" spans="6:9" x14ac:dyDescent="0.3">
      <c r="F24302"/>
      <c r="G24302"/>
      <c r="H24302"/>
      <c r="I24302"/>
    </row>
    <row r="24303" spans="6:9" x14ac:dyDescent="0.3">
      <c r="F24303"/>
      <c r="G24303"/>
      <c r="H24303"/>
      <c r="I24303"/>
    </row>
    <row r="24304" spans="6:9" x14ac:dyDescent="0.3">
      <c r="F24304"/>
      <c r="G24304"/>
      <c r="H24304"/>
      <c r="I24304"/>
    </row>
    <row r="24305" spans="6:9" x14ac:dyDescent="0.3">
      <c r="F24305"/>
      <c r="G24305"/>
      <c r="H24305"/>
      <c r="I24305"/>
    </row>
    <row r="24306" spans="6:9" x14ac:dyDescent="0.3">
      <c r="F24306"/>
      <c r="G24306"/>
      <c r="H24306"/>
      <c r="I24306"/>
    </row>
    <row r="24307" spans="6:9" x14ac:dyDescent="0.3">
      <c r="F24307"/>
      <c r="G24307"/>
      <c r="H24307"/>
      <c r="I24307"/>
    </row>
    <row r="24308" spans="6:9" x14ac:dyDescent="0.3">
      <c r="F24308"/>
      <c r="G24308"/>
      <c r="H24308"/>
      <c r="I24308"/>
    </row>
    <row r="24309" spans="6:9" x14ac:dyDescent="0.3">
      <c r="F24309"/>
      <c r="G24309"/>
      <c r="H24309"/>
      <c r="I24309"/>
    </row>
    <row r="24310" spans="6:9" x14ac:dyDescent="0.3">
      <c r="F24310"/>
      <c r="G24310"/>
      <c r="H24310"/>
      <c r="I24310"/>
    </row>
    <row r="24311" spans="6:9" x14ac:dyDescent="0.3">
      <c r="F24311"/>
      <c r="G24311"/>
      <c r="H24311"/>
      <c r="I24311"/>
    </row>
    <row r="24312" spans="6:9" x14ac:dyDescent="0.3">
      <c r="F24312"/>
      <c r="G24312"/>
      <c r="H24312"/>
      <c r="I24312"/>
    </row>
    <row r="24313" spans="6:9" x14ac:dyDescent="0.3">
      <c r="F24313"/>
      <c r="G24313"/>
      <c r="H24313"/>
      <c r="I24313"/>
    </row>
    <row r="24314" spans="6:9" x14ac:dyDescent="0.3">
      <c r="F24314"/>
      <c r="G24314"/>
      <c r="H24314"/>
      <c r="I24314"/>
    </row>
    <row r="24315" spans="6:9" x14ac:dyDescent="0.3">
      <c r="F24315"/>
      <c r="G24315"/>
      <c r="H24315"/>
      <c r="I24315"/>
    </row>
    <row r="24316" spans="6:9" x14ac:dyDescent="0.3">
      <c r="F24316"/>
      <c r="G24316"/>
      <c r="H24316"/>
      <c r="I24316"/>
    </row>
    <row r="24317" spans="6:9" x14ac:dyDescent="0.3">
      <c r="F24317"/>
      <c r="G24317"/>
      <c r="H24317"/>
      <c r="I24317"/>
    </row>
    <row r="24318" spans="6:9" x14ac:dyDescent="0.3">
      <c r="F24318"/>
      <c r="G24318"/>
      <c r="H24318"/>
      <c r="I24318"/>
    </row>
    <row r="24319" spans="6:9" x14ac:dyDescent="0.3">
      <c r="F24319"/>
      <c r="G24319"/>
      <c r="H24319"/>
      <c r="I24319"/>
    </row>
    <row r="24320" spans="6:9" x14ac:dyDescent="0.3">
      <c r="F24320"/>
      <c r="G24320"/>
      <c r="H24320"/>
      <c r="I24320"/>
    </row>
    <row r="24321" spans="6:9" x14ac:dyDescent="0.3">
      <c r="F24321"/>
      <c r="G24321"/>
      <c r="H24321"/>
      <c r="I24321"/>
    </row>
    <row r="24322" spans="6:9" x14ac:dyDescent="0.3">
      <c r="F24322"/>
      <c r="G24322"/>
      <c r="H24322"/>
      <c r="I24322"/>
    </row>
    <row r="24323" spans="6:9" x14ac:dyDescent="0.3">
      <c r="F24323"/>
      <c r="G24323"/>
      <c r="H24323"/>
      <c r="I24323"/>
    </row>
    <row r="24324" spans="6:9" x14ac:dyDescent="0.3">
      <c r="F24324"/>
      <c r="G24324"/>
      <c r="H24324"/>
      <c r="I24324"/>
    </row>
    <row r="24325" spans="6:9" x14ac:dyDescent="0.3">
      <c r="F24325"/>
      <c r="G24325"/>
      <c r="H24325"/>
      <c r="I24325"/>
    </row>
    <row r="24326" spans="6:9" x14ac:dyDescent="0.3">
      <c r="F24326"/>
      <c r="G24326"/>
      <c r="H24326"/>
      <c r="I24326"/>
    </row>
    <row r="24327" spans="6:9" x14ac:dyDescent="0.3">
      <c r="F24327"/>
      <c r="G24327"/>
      <c r="H24327"/>
      <c r="I24327"/>
    </row>
    <row r="24328" spans="6:9" x14ac:dyDescent="0.3">
      <c r="F24328"/>
      <c r="G24328"/>
      <c r="H24328"/>
      <c r="I24328"/>
    </row>
    <row r="24329" spans="6:9" x14ac:dyDescent="0.3">
      <c r="F24329"/>
      <c r="G24329"/>
      <c r="H24329"/>
      <c r="I24329"/>
    </row>
    <row r="24330" spans="6:9" x14ac:dyDescent="0.3">
      <c r="F24330"/>
      <c r="G24330"/>
      <c r="H24330"/>
      <c r="I24330"/>
    </row>
    <row r="24331" spans="6:9" x14ac:dyDescent="0.3">
      <c r="F24331"/>
      <c r="G24331"/>
      <c r="H24331"/>
      <c r="I24331"/>
    </row>
    <row r="24332" spans="6:9" x14ac:dyDescent="0.3">
      <c r="F24332"/>
      <c r="G24332"/>
      <c r="H24332"/>
      <c r="I24332"/>
    </row>
    <row r="24333" spans="6:9" x14ac:dyDescent="0.3">
      <c r="F24333"/>
      <c r="G24333"/>
      <c r="H24333"/>
      <c r="I24333"/>
    </row>
    <row r="24334" spans="6:9" x14ac:dyDescent="0.3">
      <c r="F24334"/>
      <c r="G24334"/>
      <c r="H24334"/>
      <c r="I24334"/>
    </row>
    <row r="24335" spans="6:9" x14ac:dyDescent="0.3">
      <c r="F24335"/>
      <c r="G24335"/>
      <c r="H24335"/>
      <c r="I24335"/>
    </row>
    <row r="24336" spans="6:9" x14ac:dyDescent="0.3">
      <c r="F24336"/>
      <c r="G24336"/>
      <c r="H24336"/>
      <c r="I24336"/>
    </row>
    <row r="24337" spans="6:9" x14ac:dyDescent="0.3">
      <c r="F24337"/>
      <c r="G24337"/>
      <c r="H24337"/>
      <c r="I24337"/>
    </row>
    <row r="24338" spans="6:9" x14ac:dyDescent="0.3">
      <c r="F24338"/>
      <c r="G24338"/>
      <c r="H24338"/>
      <c r="I24338"/>
    </row>
    <row r="24339" spans="6:9" x14ac:dyDescent="0.3">
      <c r="F24339"/>
      <c r="G24339"/>
      <c r="H24339"/>
      <c r="I24339"/>
    </row>
    <row r="24340" spans="6:9" x14ac:dyDescent="0.3">
      <c r="F24340"/>
      <c r="G24340"/>
      <c r="H24340"/>
      <c r="I24340"/>
    </row>
    <row r="24341" spans="6:9" x14ac:dyDescent="0.3">
      <c r="F24341"/>
      <c r="G24341"/>
      <c r="H24341"/>
      <c r="I24341"/>
    </row>
    <row r="24342" spans="6:9" x14ac:dyDescent="0.3">
      <c r="F24342"/>
      <c r="G24342"/>
      <c r="H24342"/>
      <c r="I24342"/>
    </row>
    <row r="24343" spans="6:9" x14ac:dyDescent="0.3">
      <c r="F24343"/>
      <c r="G24343"/>
      <c r="H24343"/>
      <c r="I24343"/>
    </row>
    <row r="24344" spans="6:9" x14ac:dyDescent="0.3">
      <c r="F24344"/>
      <c r="G24344"/>
      <c r="H24344"/>
      <c r="I24344"/>
    </row>
    <row r="24345" spans="6:9" x14ac:dyDescent="0.3">
      <c r="F24345"/>
      <c r="G24345"/>
      <c r="H24345"/>
      <c r="I24345"/>
    </row>
    <row r="24346" spans="6:9" x14ac:dyDescent="0.3">
      <c r="F24346"/>
      <c r="G24346"/>
      <c r="H24346"/>
      <c r="I24346"/>
    </row>
    <row r="24347" spans="6:9" x14ac:dyDescent="0.3">
      <c r="F24347"/>
      <c r="G24347"/>
      <c r="H24347"/>
      <c r="I24347"/>
    </row>
    <row r="24348" spans="6:9" x14ac:dyDescent="0.3">
      <c r="F24348"/>
      <c r="G24348"/>
      <c r="H24348"/>
      <c r="I24348"/>
    </row>
    <row r="24349" spans="6:9" x14ac:dyDescent="0.3">
      <c r="F24349"/>
      <c r="G24349"/>
      <c r="H24349"/>
      <c r="I24349"/>
    </row>
    <row r="24350" spans="6:9" x14ac:dyDescent="0.3">
      <c r="F24350"/>
      <c r="G24350"/>
      <c r="H24350"/>
      <c r="I24350"/>
    </row>
    <row r="24351" spans="6:9" x14ac:dyDescent="0.3">
      <c r="F24351"/>
      <c r="G24351"/>
      <c r="H24351"/>
      <c r="I24351"/>
    </row>
    <row r="24352" spans="6:9" x14ac:dyDescent="0.3">
      <c r="F24352"/>
      <c r="G24352"/>
      <c r="H24352"/>
      <c r="I24352"/>
    </row>
    <row r="24353" spans="6:9" x14ac:dyDescent="0.3">
      <c r="F24353"/>
      <c r="G24353"/>
      <c r="H24353"/>
      <c r="I24353"/>
    </row>
    <row r="24354" spans="6:9" x14ac:dyDescent="0.3">
      <c r="F24354"/>
      <c r="G24354"/>
      <c r="H24354"/>
      <c r="I24354"/>
    </row>
    <row r="24355" spans="6:9" x14ac:dyDescent="0.3">
      <c r="F24355"/>
      <c r="G24355"/>
      <c r="H24355"/>
      <c r="I24355"/>
    </row>
    <row r="24356" spans="6:9" x14ac:dyDescent="0.3">
      <c r="F24356"/>
      <c r="G24356"/>
      <c r="H24356"/>
      <c r="I24356"/>
    </row>
    <row r="24357" spans="6:9" x14ac:dyDescent="0.3">
      <c r="F24357"/>
      <c r="G24357"/>
      <c r="H24357"/>
      <c r="I24357"/>
    </row>
    <row r="24358" spans="6:9" x14ac:dyDescent="0.3">
      <c r="F24358"/>
      <c r="G24358"/>
      <c r="H24358"/>
      <c r="I24358"/>
    </row>
    <row r="24359" spans="6:9" x14ac:dyDescent="0.3">
      <c r="F24359"/>
      <c r="G24359"/>
      <c r="H24359"/>
      <c r="I24359"/>
    </row>
    <row r="24360" spans="6:9" x14ac:dyDescent="0.3">
      <c r="F24360"/>
      <c r="G24360"/>
      <c r="H24360"/>
      <c r="I24360"/>
    </row>
    <row r="24361" spans="6:9" x14ac:dyDescent="0.3">
      <c r="F24361"/>
      <c r="G24361"/>
      <c r="H24361"/>
      <c r="I24361"/>
    </row>
    <row r="24362" spans="6:9" x14ac:dyDescent="0.3">
      <c r="F24362"/>
      <c r="G24362"/>
      <c r="H24362"/>
      <c r="I24362"/>
    </row>
    <row r="24363" spans="6:9" x14ac:dyDescent="0.3">
      <c r="F24363"/>
      <c r="G24363"/>
      <c r="H24363"/>
      <c r="I24363"/>
    </row>
    <row r="24364" spans="6:9" x14ac:dyDescent="0.3">
      <c r="F24364"/>
      <c r="G24364"/>
      <c r="H24364"/>
      <c r="I24364"/>
    </row>
    <row r="24365" spans="6:9" x14ac:dyDescent="0.3">
      <c r="F24365"/>
      <c r="G24365"/>
      <c r="H24365"/>
      <c r="I24365"/>
    </row>
    <row r="24366" spans="6:9" x14ac:dyDescent="0.3">
      <c r="F24366"/>
      <c r="G24366"/>
      <c r="H24366"/>
      <c r="I24366"/>
    </row>
    <row r="24367" spans="6:9" x14ac:dyDescent="0.3">
      <c r="F24367"/>
      <c r="G24367"/>
      <c r="H24367"/>
      <c r="I24367"/>
    </row>
    <row r="24368" spans="6:9" x14ac:dyDescent="0.3">
      <c r="F24368"/>
      <c r="G24368"/>
      <c r="H24368"/>
      <c r="I24368"/>
    </row>
    <row r="24369" spans="6:9" x14ac:dyDescent="0.3">
      <c r="F24369"/>
      <c r="G24369"/>
      <c r="H24369"/>
      <c r="I24369"/>
    </row>
    <row r="24370" spans="6:9" x14ac:dyDescent="0.3">
      <c r="F24370"/>
      <c r="G24370"/>
      <c r="H24370"/>
      <c r="I24370"/>
    </row>
    <row r="24371" spans="6:9" x14ac:dyDescent="0.3">
      <c r="F24371"/>
      <c r="G24371"/>
      <c r="H24371"/>
      <c r="I24371"/>
    </row>
    <row r="24372" spans="6:9" x14ac:dyDescent="0.3">
      <c r="F24372"/>
      <c r="G24372"/>
      <c r="H24372"/>
      <c r="I24372"/>
    </row>
    <row r="24373" spans="6:9" x14ac:dyDescent="0.3">
      <c r="F24373"/>
      <c r="G24373"/>
      <c r="H24373"/>
      <c r="I24373"/>
    </row>
    <row r="24374" spans="6:9" x14ac:dyDescent="0.3">
      <c r="F24374"/>
      <c r="G24374"/>
      <c r="H24374"/>
      <c r="I24374"/>
    </row>
    <row r="24375" spans="6:9" x14ac:dyDescent="0.3">
      <c r="F24375"/>
      <c r="G24375"/>
      <c r="H24375"/>
      <c r="I24375"/>
    </row>
    <row r="24376" spans="6:9" x14ac:dyDescent="0.3">
      <c r="F24376"/>
      <c r="G24376"/>
      <c r="H24376"/>
      <c r="I24376"/>
    </row>
    <row r="24377" spans="6:9" x14ac:dyDescent="0.3">
      <c r="F24377"/>
      <c r="G24377"/>
      <c r="H24377"/>
      <c r="I24377"/>
    </row>
    <row r="24378" spans="6:9" x14ac:dyDescent="0.3">
      <c r="F24378"/>
      <c r="G24378"/>
      <c r="H24378"/>
      <c r="I24378"/>
    </row>
    <row r="24379" spans="6:9" x14ac:dyDescent="0.3">
      <c r="F24379"/>
      <c r="G24379"/>
      <c r="H24379"/>
      <c r="I24379"/>
    </row>
    <row r="24380" spans="6:9" x14ac:dyDescent="0.3">
      <c r="F24380"/>
      <c r="G24380"/>
      <c r="H24380"/>
      <c r="I24380"/>
    </row>
    <row r="24381" spans="6:9" x14ac:dyDescent="0.3">
      <c r="F24381"/>
      <c r="G24381"/>
      <c r="H24381"/>
      <c r="I24381"/>
    </row>
    <row r="24382" spans="6:9" x14ac:dyDescent="0.3">
      <c r="F24382"/>
      <c r="G24382"/>
      <c r="H24382"/>
      <c r="I24382"/>
    </row>
    <row r="24383" spans="6:9" x14ac:dyDescent="0.3">
      <c r="F24383"/>
      <c r="G24383"/>
      <c r="H24383"/>
      <c r="I24383"/>
    </row>
    <row r="24384" spans="6:9" x14ac:dyDescent="0.3">
      <c r="F24384"/>
      <c r="G24384"/>
      <c r="H24384"/>
      <c r="I24384"/>
    </row>
    <row r="24385" spans="6:9" x14ac:dyDescent="0.3">
      <c r="F24385"/>
      <c r="G24385"/>
      <c r="H24385"/>
      <c r="I24385"/>
    </row>
    <row r="24386" spans="6:9" x14ac:dyDescent="0.3">
      <c r="F24386"/>
      <c r="G24386"/>
      <c r="H24386"/>
      <c r="I24386"/>
    </row>
    <row r="24387" spans="6:9" x14ac:dyDescent="0.3">
      <c r="F24387"/>
      <c r="G24387"/>
      <c r="H24387"/>
      <c r="I24387"/>
    </row>
    <row r="24388" spans="6:9" x14ac:dyDescent="0.3">
      <c r="F24388"/>
      <c r="G24388"/>
      <c r="H24388"/>
      <c r="I24388"/>
    </row>
    <row r="24389" spans="6:9" x14ac:dyDescent="0.3">
      <c r="F24389"/>
      <c r="G24389"/>
      <c r="H24389"/>
      <c r="I24389"/>
    </row>
    <row r="24390" spans="6:9" x14ac:dyDescent="0.3">
      <c r="F24390"/>
      <c r="G24390"/>
      <c r="H24390"/>
      <c r="I24390"/>
    </row>
    <row r="24391" spans="6:9" x14ac:dyDescent="0.3">
      <c r="F24391"/>
      <c r="G24391"/>
      <c r="H24391"/>
      <c r="I24391"/>
    </row>
    <row r="24392" spans="6:9" x14ac:dyDescent="0.3">
      <c r="F24392"/>
      <c r="G24392"/>
      <c r="H24392"/>
      <c r="I24392"/>
    </row>
    <row r="24393" spans="6:9" x14ac:dyDescent="0.3">
      <c r="F24393"/>
      <c r="G24393"/>
      <c r="H24393"/>
      <c r="I24393"/>
    </row>
    <row r="24394" spans="6:9" x14ac:dyDescent="0.3">
      <c r="F24394"/>
      <c r="G24394"/>
      <c r="H24394"/>
      <c r="I24394"/>
    </row>
    <row r="24395" spans="6:9" x14ac:dyDescent="0.3">
      <c r="F24395"/>
      <c r="G24395"/>
      <c r="H24395"/>
      <c r="I24395"/>
    </row>
    <row r="24396" spans="6:9" x14ac:dyDescent="0.3">
      <c r="F24396"/>
      <c r="G24396"/>
      <c r="H24396"/>
      <c r="I24396"/>
    </row>
    <row r="24397" spans="6:9" x14ac:dyDescent="0.3">
      <c r="F24397"/>
      <c r="G24397"/>
      <c r="H24397"/>
      <c r="I24397"/>
    </row>
    <row r="24398" spans="6:9" x14ac:dyDescent="0.3">
      <c r="F24398"/>
      <c r="G24398"/>
      <c r="H24398"/>
      <c r="I24398"/>
    </row>
    <row r="24399" spans="6:9" x14ac:dyDescent="0.3">
      <c r="F24399"/>
      <c r="G24399"/>
      <c r="H24399"/>
      <c r="I24399"/>
    </row>
    <row r="24400" spans="6:9" x14ac:dyDescent="0.3">
      <c r="F24400"/>
      <c r="G24400"/>
      <c r="H24400"/>
      <c r="I24400"/>
    </row>
    <row r="24401" spans="6:9" x14ac:dyDescent="0.3">
      <c r="F24401"/>
      <c r="G24401"/>
      <c r="H24401"/>
      <c r="I24401"/>
    </row>
    <row r="24402" spans="6:9" x14ac:dyDescent="0.3">
      <c r="F24402"/>
      <c r="G24402"/>
      <c r="H24402"/>
      <c r="I24402"/>
    </row>
    <row r="24403" spans="6:9" x14ac:dyDescent="0.3">
      <c r="F24403"/>
      <c r="G24403"/>
      <c r="H24403"/>
      <c r="I24403"/>
    </row>
    <row r="24404" spans="6:9" x14ac:dyDescent="0.3">
      <c r="F24404"/>
      <c r="G24404"/>
      <c r="H24404"/>
      <c r="I24404"/>
    </row>
    <row r="24405" spans="6:9" x14ac:dyDescent="0.3">
      <c r="F24405"/>
      <c r="G24405"/>
      <c r="H24405"/>
      <c r="I24405"/>
    </row>
    <row r="24406" spans="6:9" x14ac:dyDescent="0.3">
      <c r="F24406"/>
      <c r="G24406"/>
      <c r="H24406"/>
      <c r="I24406"/>
    </row>
    <row r="24407" spans="6:9" x14ac:dyDescent="0.3">
      <c r="F24407"/>
      <c r="G24407"/>
      <c r="H24407"/>
      <c r="I24407"/>
    </row>
    <row r="24408" spans="6:9" x14ac:dyDescent="0.3">
      <c r="F24408"/>
      <c r="G24408"/>
      <c r="H24408"/>
      <c r="I24408"/>
    </row>
    <row r="24409" spans="6:9" x14ac:dyDescent="0.3">
      <c r="F24409"/>
      <c r="G24409"/>
      <c r="H24409"/>
      <c r="I24409"/>
    </row>
    <row r="24410" spans="6:9" x14ac:dyDescent="0.3">
      <c r="F24410"/>
      <c r="G24410"/>
      <c r="H24410"/>
      <c r="I24410"/>
    </row>
    <row r="24411" spans="6:9" x14ac:dyDescent="0.3">
      <c r="F24411"/>
      <c r="G24411"/>
      <c r="H24411"/>
      <c r="I24411"/>
    </row>
    <row r="24412" spans="6:9" x14ac:dyDescent="0.3">
      <c r="F24412"/>
      <c r="G24412"/>
      <c r="H24412"/>
      <c r="I24412"/>
    </row>
    <row r="24413" spans="6:9" x14ac:dyDescent="0.3">
      <c r="F24413"/>
      <c r="G24413"/>
      <c r="H24413"/>
      <c r="I24413"/>
    </row>
    <row r="24414" spans="6:9" x14ac:dyDescent="0.3">
      <c r="F24414"/>
      <c r="G24414"/>
      <c r="H24414"/>
      <c r="I24414"/>
    </row>
    <row r="24415" spans="6:9" x14ac:dyDescent="0.3">
      <c r="F24415"/>
      <c r="G24415"/>
      <c r="H24415"/>
      <c r="I24415"/>
    </row>
    <row r="24416" spans="6:9" x14ac:dyDescent="0.3">
      <c r="F24416"/>
      <c r="G24416"/>
      <c r="H24416"/>
      <c r="I24416"/>
    </row>
    <row r="24417" spans="6:9" x14ac:dyDescent="0.3">
      <c r="F24417"/>
      <c r="G24417"/>
      <c r="H24417"/>
      <c r="I24417"/>
    </row>
    <row r="24418" spans="6:9" x14ac:dyDescent="0.3">
      <c r="F24418"/>
      <c r="G24418"/>
      <c r="H24418"/>
      <c r="I24418"/>
    </row>
    <row r="24419" spans="6:9" x14ac:dyDescent="0.3">
      <c r="F24419"/>
      <c r="G24419"/>
      <c r="H24419"/>
      <c r="I24419"/>
    </row>
    <row r="24420" spans="6:9" x14ac:dyDescent="0.3">
      <c r="F24420"/>
      <c r="G24420"/>
      <c r="H24420"/>
      <c r="I24420"/>
    </row>
    <row r="24421" spans="6:9" x14ac:dyDescent="0.3">
      <c r="F24421"/>
      <c r="G24421"/>
      <c r="H24421"/>
      <c r="I24421"/>
    </row>
    <row r="24422" spans="6:9" x14ac:dyDescent="0.3">
      <c r="F24422"/>
      <c r="G24422"/>
      <c r="H24422"/>
      <c r="I24422"/>
    </row>
    <row r="24423" spans="6:9" x14ac:dyDescent="0.3">
      <c r="F24423"/>
      <c r="G24423"/>
      <c r="H24423"/>
      <c r="I24423"/>
    </row>
    <row r="24424" spans="6:9" x14ac:dyDescent="0.3">
      <c r="F24424"/>
      <c r="G24424"/>
      <c r="H24424"/>
      <c r="I24424"/>
    </row>
    <row r="24425" spans="6:9" x14ac:dyDescent="0.3">
      <c r="F24425"/>
      <c r="G24425"/>
      <c r="H24425"/>
      <c r="I24425"/>
    </row>
    <row r="24426" spans="6:9" x14ac:dyDescent="0.3">
      <c r="F24426"/>
      <c r="G24426"/>
      <c r="H24426"/>
      <c r="I24426"/>
    </row>
    <row r="24427" spans="6:9" x14ac:dyDescent="0.3">
      <c r="F24427"/>
      <c r="G24427"/>
      <c r="H24427"/>
      <c r="I24427"/>
    </row>
    <row r="24428" spans="6:9" x14ac:dyDescent="0.3">
      <c r="F24428"/>
      <c r="G24428"/>
      <c r="H24428"/>
      <c r="I24428"/>
    </row>
    <row r="24429" spans="6:9" x14ac:dyDescent="0.3">
      <c r="F24429"/>
      <c r="G24429"/>
      <c r="H24429"/>
      <c r="I24429"/>
    </row>
    <row r="24430" spans="6:9" x14ac:dyDescent="0.3">
      <c r="F24430"/>
      <c r="G24430"/>
      <c r="H24430"/>
      <c r="I24430"/>
    </row>
    <row r="24431" spans="6:9" x14ac:dyDescent="0.3">
      <c r="F24431"/>
      <c r="G24431"/>
      <c r="H24431"/>
      <c r="I24431"/>
    </row>
    <row r="24432" spans="6:9" x14ac:dyDescent="0.3">
      <c r="F24432"/>
      <c r="G24432"/>
      <c r="H24432"/>
      <c r="I24432"/>
    </row>
    <row r="24433" spans="6:9" x14ac:dyDescent="0.3">
      <c r="F24433"/>
      <c r="G24433"/>
      <c r="H24433"/>
      <c r="I24433"/>
    </row>
    <row r="24434" spans="6:9" x14ac:dyDescent="0.3">
      <c r="F24434"/>
      <c r="G24434"/>
      <c r="H24434"/>
      <c r="I24434"/>
    </row>
    <row r="24435" spans="6:9" x14ac:dyDescent="0.3">
      <c r="F24435"/>
      <c r="G24435"/>
      <c r="H24435"/>
      <c r="I24435"/>
    </row>
    <row r="24436" spans="6:9" x14ac:dyDescent="0.3">
      <c r="F24436"/>
      <c r="G24436"/>
      <c r="H24436"/>
      <c r="I24436"/>
    </row>
    <row r="24437" spans="6:9" x14ac:dyDescent="0.3">
      <c r="F24437"/>
      <c r="G24437"/>
      <c r="H24437"/>
      <c r="I24437"/>
    </row>
    <row r="24438" spans="6:9" x14ac:dyDescent="0.3">
      <c r="F24438"/>
      <c r="G24438"/>
      <c r="H24438"/>
      <c r="I24438"/>
    </row>
    <row r="24439" spans="6:9" x14ac:dyDescent="0.3">
      <c r="F24439"/>
      <c r="G24439"/>
      <c r="H24439"/>
      <c r="I24439"/>
    </row>
    <row r="24440" spans="6:9" x14ac:dyDescent="0.3">
      <c r="F24440"/>
      <c r="G24440"/>
      <c r="H24440"/>
      <c r="I24440"/>
    </row>
    <row r="24441" spans="6:9" x14ac:dyDescent="0.3">
      <c r="F24441"/>
      <c r="G24441"/>
      <c r="H24441"/>
      <c r="I24441"/>
    </row>
    <row r="24442" spans="6:9" x14ac:dyDescent="0.3">
      <c r="F24442"/>
      <c r="G24442"/>
      <c r="H24442"/>
      <c r="I24442"/>
    </row>
    <row r="24443" spans="6:9" x14ac:dyDescent="0.3">
      <c r="F24443"/>
      <c r="G24443"/>
      <c r="H24443"/>
      <c r="I24443"/>
    </row>
    <row r="24444" spans="6:9" x14ac:dyDescent="0.3">
      <c r="F24444"/>
      <c r="G24444"/>
      <c r="H24444"/>
      <c r="I24444"/>
    </row>
    <row r="24445" spans="6:9" x14ac:dyDescent="0.3">
      <c r="F24445"/>
      <c r="G24445"/>
      <c r="H24445"/>
      <c r="I24445"/>
    </row>
    <row r="24446" spans="6:9" x14ac:dyDescent="0.3">
      <c r="F24446"/>
      <c r="G24446"/>
      <c r="H24446"/>
      <c r="I24446"/>
    </row>
    <row r="24447" spans="6:9" x14ac:dyDescent="0.3">
      <c r="F24447"/>
      <c r="G24447"/>
      <c r="H24447"/>
      <c r="I24447"/>
    </row>
    <row r="24448" spans="6:9" x14ac:dyDescent="0.3">
      <c r="F24448"/>
      <c r="G24448"/>
      <c r="H24448"/>
      <c r="I24448"/>
    </row>
    <row r="24449" spans="6:9" x14ac:dyDescent="0.3">
      <c r="F24449"/>
      <c r="G24449"/>
      <c r="H24449"/>
      <c r="I24449"/>
    </row>
    <row r="24450" spans="6:9" x14ac:dyDescent="0.3">
      <c r="F24450"/>
      <c r="G24450"/>
      <c r="H24450"/>
      <c r="I24450"/>
    </row>
    <row r="24451" spans="6:9" x14ac:dyDescent="0.3">
      <c r="F24451"/>
      <c r="G24451"/>
      <c r="H24451"/>
      <c r="I24451"/>
    </row>
    <row r="24452" spans="6:9" x14ac:dyDescent="0.3">
      <c r="F24452"/>
      <c r="G24452"/>
      <c r="H24452"/>
      <c r="I24452"/>
    </row>
    <row r="24453" spans="6:9" x14ac:dyDescent="0.3">
      <c r="F24453"/>
      <c r="G24453"/>
      <c r="H24453"/>
      <c r="I24453"/>
    </row>
    <row r="24454" spans="6:9" x14ac:dyDescent="0.3">
      <c r="F24454"/>
      <c r="G24454"/>
      <c r="H24454"/>
      <c r="I24454"/>
    </row>
    <row r="24455" spans="6:9" x14ac:dyDescent="0.3">
      <c r="F24455"/>
      <c r="G24455"/>
      <c r="H24455"/>
      <c r="I24455"/>
    </row>
    <row r="24456" spans="6:9" x14ac:dyDescent="0.3">
      <c r="F24456"/>
      <c r="G24456"/>
      <c r="H24456"/>
      <c r="I24456"/>
    </row>
    <row r="24457" spans="6:9" x14ac:dyDescent="0.3">
      <c r="F24457"/>
      <c r="G24457"/>
      <c r="H24457"/>
      <c r="I24457"/>
    </row>
    <row r="24458" spans="6:9" x14ac:dyDescent="0.3">
      <c r="F24458"/>
      <c r="G24458"/>
      <c r="H24458"/>
      <c r="I24458"/>
    </row>
    <row r="24459" spans="6:9" x14ac:dyDescent="0.3">
      <c r="F24459"/>
      <c r="G24459"/>
      <c r="H24459"/>
      <c r="I24459"/>
    </row>
    <row r="24460" spans="6:9" x14ac:dyDescent="0.3">
      <c r="F24460"/>
      <c r="G24460"/>
      <c r="H24460"/>
      <c r="I24460"/>
    </row>
    <row r="24461" spans="6:9" x14ac:dyDescent="0.3">
      <c r="F24461"/>
      <c r="G24461"/>
      <c r="H24461"/>
      <c r="I24461"/>
    </row>
    <row r="24462" spans="6:9" x14ac:dyDescent="0.3">
      <c r="F24462"/>
      <c r="G24462"/>
      <c r="H24462"/>
      <c r="I24462"/>
    </row>
    <row r="24463" spans="6:9" x14ac:dyDescent="0.3">
      <c r="F24463"/>
      <c r="G24463"/>
      <c r="H24463"/>
      <c r="I24463"/>
    </row>
    <row r="24464" spans="6:9" x14ac:dyDescent="0.3">
      <c r="F24464"/>
      <c r="G24464"/>
      <c r="H24464"/>
      <c r="I24464"/>
    </row>
    <row r="24465" spans="6:9" x14ac:dyDescent="0.3">
      <c r="F24465"/>
      <c r="G24465"/>
      <c r="H24465"/>
      <c r="I24465"/>
    </row>
    <row r="24466" spans="6:9" x14ac:dyDescent="0.3">
      <c r="F24466"/>
      <c r="G24466"/>
      <c r="H24466"/>
      <c r="I24466"/>
    </row>
    <row r="24467" spans="6:9" x14ac:dyDescent="0.3">
      <c r="F24467"/>
      <c r="G24467"/>
      <c r="H24467"/>
      <c r="I24467"/>
    </row>
    <row r="24468" spans="6:9" x14ac:dyDescent="0.3">
      <c r="F24468"/>
      <c r="G24468"/>
      <c r="H24468"/>
      <c r="I24468"/>
    </row>
    <row r="24469" spans="6:9" x14ac:dyDescent="0.3">
      <c r="F24469"/>
      <c r="G24469"/>
      <c r="H24469"/>
      <c r="I24469"/>
    </row>
    <row r="24470" spans="6:9" x14ac:dyDescent="0.3">
      <c r="F24470"/>
      <c r="G24470"/>
      <c r="H24470"/>
      <c r="I24470"/>
    </row>
    <row r="24471" spans="6:9" x14ac:dyDescent="0.3">
      <c r="F24471"/>
      <c r="G24471"/>
      <c r="H24471"/>
      <c r="I24471"/>
    </row>
    <row r="24472" spans="6:9" x14ac:dyDescent="0.3">
      <c r="F24472"/>
      <c r="G24472"/>
      <c r="H24472"/>
      <c r="I24472"/>
    </row>
    <row r="24473" spans="6:9" x14ac:dyDescent="0.3">
      <c r="F24473"/>
      <c r="G24473"/>
      <c r="H24473"/>
      <c r="I24473"/>
    </row>
    <row r="24474" spans="6:9" x14ac:dyDescent="0.3">
      <c r="F24474"/>
      <c r="G24474"/>
      <c r="H24474"/>
      <c r="I24474"/>
    </row>
    <row r="24475" spans="6:9" x14ac:dyDescent="0.3">
      <c r="F24475"/>
      <c r="G24475"/>
      <c r="H24475"/>
      <c r="I24475"/>
    </row>
    <row r="24476" spans="6:9" x14ac:dyDescent="0.3">
      <c r="F24476"/>
      <c r="G24476"/>
      <c r="H24476"/>
      <c r="I24476"/>
    </row>
    <row r="24477" spans="6:9" x14ac:dyDescent="0.3">
      <c r="F24477"/>
      <c r="G24477"/>
      <c r="H24477"/>
      <c r="I24477"/>
    </row>
    <row r="24478" spans="6:9" x14ac:dyDescent="0.3">
      <c r="F24478"/>
      <c r="G24478"/>
      <c r="H24478"/>
      <c r="I24478"/>
    </row>
    <row r="24479" spans="6:9" x14ac:dyDescent="0.3">
      <c r="F24479"/>
      <c r="G24479"/>
      <c r="H24479"/>
      <c r="I24479"/>
    </row>
    <row r="24480" spans="6:9" x14ac:dyDescent="0.3">
      <c r="F24480"/>
      <c r="G24480"/>
      <c r="H24480"/>
      <c r="I24480"/>
    </row>
    <row r="24481" spans="6:9" x14ac:dyDescent="0.3">
      <c r="F24481"/>
      <c r="G24481"/>
      <c r="H24481"/>
      <c r="I24481"/>
    </row>
    <row r="24482" spans="6:9" x14ac:dyDescent="0.3">
      <c r="F24482"/>
      <c r="G24482"/>
      <c r="H24482"/>
      <c r="I24482"/>
    </row>
    <row r="24483" spans="6:9" x14ac:dyDescent="0.3">
      <c r="F24483"/>
      <c r="G24483"/>
      <c r="H24483"/>
      <c r="I24483"/>
    </row>
    <row r="24484" spans="6:9" x14ac:dyDescent="0.3">
      <c r="F24484"/>
      <c r="G24484"/>
      <c r="H24484"/>
      <c r="I24484"/>
    </row>
    <row r="24485" spans="6:9" x14ac:dyDescent="0.3">
      <c r="F24485"/>
      <c r="G24485"/>
      <c r="H24485"/>
      <c r="I24485"/>
    </row>
    <row r="24486" spans="6:9" x14ac:dyDescent="0.3">
      <c r="F24486"/>
      <c r="G24486"/>
      <c r="H24486"/>
      <c r="I24486"/>
    </row>
    <row r="24487" spans="6:9" x14ac:dyDescent="0.3">
      <c r="F24487"/>
      <c r="G24487"/>
      <c r="H24487"/>
      <c r="I24487"/>
    </row>
    <row r="24488" spans="6:9" x14ac:dyDescent="0.3">
      <c r="F24488"/>
      <c r="G24488"/>
      <c r="H24488"/>
      <c r="I24488"/>
    </row>
    <row r="24489" spans="6:9" x14ac:dyDescent="0.3">
      <c r="F24489"/>
      <c r="G24489"/>
      <c r="H24489"/>
      <c r="I24489"/>
    </row>
    <row r="24490" spans="6:9" x14ac:dyDescent="0.3">
      <c r="F24490"/>
      <c r="G24490"/>
      <c r="H24490"/>
      <c r="I24490"/>
    </row>
    <row r="24491" spans="6:9" x14ac:dyDescent="0.3">
      <c r="F24491"/>
      <c r="G24491"/>
      <c r="H24491"/>
      <c r="I24491"/>
    </row>
    <row r="24492" spans="6:9" x14ac:dyDescent="0.3">
      <c r="F24492"/>
      <c r="G24492"/>
      <c r="H24492"/>
      <c r="I24492"/>
    </row>
    <row r="24493" spans="6:9" x14ac:dyDescent="0.3">
      <c r="F24493"/>
      <c r="G24493"/>
      <c r="H24493"/>
      <c r="I24493"/>
    </row>
    <row r="24494" spans="6:9" x14ac:dyDescent="0.3">
      <c r="F24494"/>
      <c r="G24494"/>
      <c r="H24494"/>
      <c r="I24494"/>
    </row>
    <row r="24495" spans="6:9" x14ac:dyDescent="0.3">
      <c r="F24495"/>
      <c r="G24495"/>
      <c r="H24495"/>
      <c r="I24495"/>
    </row>
    <row r="24496" spans="6:9" x14ac:dyDescent="0.3">
      <c r="F24496"/>
      <c r="G24496"/>
      <c r="H24496"/>
      <c r="I24496"/>
    </row>
    <row r="24497" spans="6:9" x14ac:dyDescent="0.3">
      <c r="F24497"/>
      <c r="G24497"/>
      <c r="H24497"/>
      <c r="I24497"/>
    </row>
    <row r="24498" spans="6:9" x14ac:dyDescent="0.3">
      <c r="F24498"/>
      <c r="G24498"/>
      <c r="H24498"/>
      <c r="I24498"/>
    </row>
    <row r="24499" spans="6:9" x14ac:dyDescent="0.3">
      <c r="F24499"/>
      <c r="G24499"/>
      <c r="H24499"/>
      <c r="I24499"/>
    </row>
    <row r="24500" spans="6:9" x14ac:dyDescent="0.3">
      <c r="F24500"/>
      <c r="G24500"/>
      <c r="H24500"/>
      <c r="I24500"/>
    </row>
    <row r="24501" spans="6:9" x14ac:dyDescent="0.3">
      <c r="F24501"/>
      <c r="G24501"/>
      <c r="H24501"/>
      <c r="I24501"/>
    </row>
    <row r="24502" spans="6:9" x14ac:dyDescent="0.3">
      <c r="F24502"/>
      <c r="G24502"/>
      <c r="H24502"/>
      <c r="I24502"/>
    </row>
    <row r="24503" spans="6:9" x14ac:dyDescent="0.3">
      <c r="F24503"/>
      <c r="G24503"/>
      <c r="H24503"/>
      <c r="I24503"/>
    </row>
    <row r="24504" spans="6:9" x14ac:dyDescent="0.3">
      <c r="F24504"/>
      <c r="G24504"/>
      <c r="H24504"/>
      <c r="I24504"/>
    </row>
    <row r="24505" spans="6:9" x14ac:dyDescent="0.3">
      <c r="F24505"/>
      <c r="G24505"/>
      <c r="H24505"/>
      <c r="I24505"/>
    </row>
    <row r="24506" spans="6:9" x14ac:dyDescent="0.3">
      <c r="F24506"/>
      <c r="G24506"/>
      <c r="H24506"/>
      <c r="I24506"/>
    </row>
    <row r="24507" spans="6:9" x14ac:dyDescent="0.3">
      <c r="F24507"/>
      <c r="G24507"/>
      <c r="H24507"/>
      <c r="I24507"/>
    </row>
    <row r="24508" spans="6:9" x14ac:dyDescent="0.3">
      <c r="F24508"/>
      <c r="G24508"/>
      <c r="H24508"/>
      <c r="I24508"/>
    </row>
    <row r="24509" spans="6:9" x14ac:dyDescent="0.3">
      <c r="F24509"/>
      <c r="G24509"/>
      <c r="H24509"/>
      <c r="I24509"/>
    </row>
    <row r="24510" spans="6:9" x14ac:dyDescent="0.3">
      <c r="F24510"/>
      <c r="G24510"/>
      <c r="H24510"/>
      <c r="I24510"/>
    </row>
    <row r="24511" spans="6:9" x14ac:dyDescent="0.3">
      <c r="F24511"/>
      <c r="G24511"/>
      <c r="H24511"/>
      <c r="I24511"/>
    </row>
    <row r="24512" spans="6:9" x14ac:dyDescent="0.3">
      <c r="F24512"/>
      <c r="G24512"/>
      <c r="H24512"/>
      <c r="I24512"/>
    </row>
    <row r="24513" spans="6:9" x14ac:dyDescent="0.3">
      <c r="F24513"/>
      <c r="G24513"/>
      <c r="H24513"/>
      <c r="I24513"/>
    </row>
    <row r="24514" spans="6:9" x14ac:dyDescent="0.3">
      <c r="F24514"/>
      <c r="G24514"/>
      <c r="H24514"/>
      <c r="I24514"/>
    </row>
    <row r="24515" spans="6:9" x14ac:dyDescent="0.3">
      <c r="F24515"/>
      <c r="G24515"/>
      <c r="H24515"/>
      <c r="I24515"/>
    </row>
    <row r="24516" spans="6:9" x14ac:dyDescent="0.3">
      <c r="F24516"/>
      <c r="G24516"/>
      <c r="H24516"/>
      <c r="I24516"/>
    </row>
    <row r="24517" spans="6:9" x14ac:dyDescent="0.3">
      <c r="F24517"/>
      <c r="G24517"/>
      <c r="H24517"/>
      <c r="I24517"/>
    </row>
    <row r="24518" spans="6:9" x14ac:dyDescent="0.3">
      <c r="F24518"/>
      <c r="G24518"/>
      <c r="H24518"/>
      <c r="I24518"/>
    </row>
    <row r="24519" spans="6:9" x14ac:dyDescent="0.3">
      <c r="F24519"/>
      <c r="G24519"/>
      <c r="H24519"/>
      <c r="I24519"/>
    </row>
    <row r="24520" spans="6:9" x14ac:dyDescent="0.3">
      <c r="F24520"/>
      <c r="G24520"/>
      <c r="H24520"/>
      <c r="I24520"/>
    </row>
    <row r="24521" spans="6:9" x14ac:dyDescent="0.3">
      <c r="F24521"/>
      <c r="G24521"/>
      <c r="H24521"/>
      <c r="I24521"/>
    </row>
    <row r="24522" spans="6:9" x14ac:dyDescent="0.3">
      <c r="F24522"/>
      <c r="G24522"/>
      <c r="H24522"/>
      <c r="I24522"/>
    </row>
    <row r="24523" spans="6:9" x14ac:dyDescent="0.3">
      <c r="F24523"/>
      <c r="G24523"/>
      <c r="H24523"/>
      <c r="I24523"/>
    </row>
    <row r="24524" spans="6:9" x14ac:dyDescent="0.3">
      <c r="F24524"/>
      <c r="G24524"/>
      <c r="H24524"/>
      <c r="I24524"/>
    </row>
    <row r="24525" spans="6:9" x14ac:dyDescent="0.3">
      <c r="F24525"/>
      <c r="G24525"/>
      <c r="H24525"/>
      <c r="I24525"/>
    </row>
    <row r="24526" spans="6:9" x14ac:dyDescent="0.3">
      <c r="F24526"/>
      <c r="G24526"/>
      <c r="H24526"/>
      <c r="I24526"/>
    </row>
    <row r="24527" spans="6:9" x14ac:dyDescent="0.3">
      <c r="F24527"/>
      <c r="G24527"/>
      <c r="H24527"/>
      <c r="I24527"/>
    </row>
    <row r="24528" spans="6:9" x14ac:dyDescent="0.3">
      <c r="F24528"/>
      <c r="G24528"/>
      <c r="H24528"/>
      <c r="I24528"/>
    </row>
    <row r="24529" spans="6:9" x14ac:dyDescent="0.3">
      <c r="F24529"/>
      <c r="G24529"/>
      <c r="H24529"/>
      <c r="I24529"/>
    </row>
    <row r="24530" spans="6:9" x14ac:dyDescent="0.3">
      <c r="F24530"/>
      <c r="G24530"/>
      <c r="H24530"/>
      <c r="I24530"/>
    </row>
    <row r="24531" spans="6:9" x14ac:dyDescent="0.3">
      <c r="F24531"/>
      <c r="G24531"/>
      <c r="H24531"/>
      <c r="I24531"/>
    </row>
    <row r="24532" spans="6:9" x14ac:dyDescent="0.3">
      <c r="F24532"/>
      <c r="G24532"/>
      <c r="H24532"/>
      <c r="I24532"/>
    </row>
    <row r="24533" spans="6:9" x14ac:dyDescent="0.3">
      <c r="F24533"/>
      <c r="G24533"/>
      <c r="H24533"/>
      <c r="I24533"/>
    </row>
    <row r="24534" spans="6:9" x14ac:dyDescent="0.3">
      <c r="F24534"/>
      <c r="G24534"/>
      <c r="H24534"/>
      <c r="I24534"/>
    </row>
    <row r="24535" spans="6:9" x14ac:dyDescent="0.3">
      <c r="F24535"/>
      <c r="G24535"/>
      <c r="H24535"/>
      <c r="I24535"/>
    </row>
    <row r="24536" spans="6:9" x14ac:dyDescent="0.3">
      <c r="F24536"/>
      <c r="G24536"/>
      <c r="H24536"/>
      <c r="I24536"/>
    </row>
    <row r="24537" spans="6:9" x14ac:dyDescent="0.3">
      <c r="F24537"/>
      <c r="G24537"/>
      <c r="H24537"/>
      <c r="I24537"/>
    </row>
    <row r="24538" spans="6:9" x14ac:dyDescent="0.3">
      <c r="F24538"/>
      <c r="G24538"/>
      <c r="H24538"/>
      <c r="I24538"/>
    </row>
    <row r="24539" spans="6:9" x14ac:dyDescent="0.3">
      <c r="F24539"/>
      <c r="G24539"/>
      <c r="H24539"/>
      <c r="I24539"/>
    </row>
    <row r="24540" spans="6:9" x14ac:dyDescent="0.3">
      <c r="F24540"/>
      <c r="G24540"/>
      <c r="H24540"/>
      <c r="I24540"/>
    </row>
    <row r="24541" spans="6:9" x14ac:dyDescent="0.3">
      <c r="F24541"/>
      <c r="G24541"/>
      <c r="H24541"/>
      <c r="I24541"/>
    </row>
    <row r="24542" spans="6:9" x14ac:dyDescent="0.3">
      <c r="F24542"/>
      <c r="G24542"/>
      <c r="H24542"/>
      <c r="I24542"/>
    </row>
    <row r="24543" spans="6:9" x14ac:dyDescent="0.3">
      <c r="F24543"/>
      <c r="G24543"/>
      <c r="H24543"/>
      <c r="I24543"/>
    </row>
    <row r="24544" spans="6:9" x14ac:dyDescent="0.3">
      <c r="F24544"/>
      <c r="G24544"/>
      <c r="H24544"/>
      <c r="I24544"/>
    </row>
    <row r="24545" spans="6:9" x14ac:dyDescent="0.3">
      <c r="F24545"/>
      <c r="G24545"/>
      <c r="H24545"/>
      <c r="I24545"/>
    </row>
    <row r="24546" spans="6:9" x14ac:dyDescent="0.3">
      <c r="F24546"/>
      <c r="G24546"/>
      <c r="H24546"/>
      <c r="I24546"/>
    </row>
    <row r="24547" spans="6:9" x14ac:dyDescent="0.3">
      <c r="F24547"/>
      <c r="G24547"/>
      <c r="H24547"/>
      <c r="I24547"/>
    </row>
    <row r="24548" spans="6:9" x14ac:dyDescent="0.3">
      <c r="F24548"/>
      <c r="G24548"/>
      <c r="H24548"/>
      <c r="I24548"/>
    </row>
    <row r="24549" spans="6:9" x14ac:dyDescent="0.3">
      <c r="F24549"/>
      <c r="G24549"/>
      <c r="H24549"/>
      <c r="I24549"/>
    </row>
    <row r="24550" spans="6:9" x14ac:dyDescent="0.3">
      <c r="F24550"/>
      <c r="G24550"/>
      <c r="H24550"/>
      <c r="I24550"/>
    </row>
    <row r="24551" spans="6:9" x14ac:dyDescent="0.3">
      <c r="F24551"/>
      <c r="G24551"/>
      <c r="H24551"/>
      <c r="I24551"/>
    </row>
    <row r="24552" spans="6:9" x14ac:dyDescent="0.3">
      <c r="F24552"/>
      <c r="G24552"/>
      <c r="H24552"/>
      <c r="I24552"/>
    </row>
    <row r="24553" spans="6:9" x14ac:dyDescent="0.3">
      <c r="F24553"/>
      <c r="G24553"/>
      <c r="H24553"/>
      <c r="I24553"/>
    </row>
    <row r="24554" spans="6:9" x14ac:dyDescent="0.3">
      <c r="F24554"/>
      <c r="G24554"/>
      <c r="H24554"/>
      <c r="I24554"/>
    </row>
    <row r="24555" spans="6:9" x14ac:dyDescent="0.3">
      <c r="F24555"/>
      <c r="G24555"/>
      <c r="H24555"/>
      <c r="I24555"/>
    </row>
    <row r="24556" spans="6:9" x14ac:dyDescent="0.3">
      <c r="F24556"/>
      <c r="G24556"/>
      <c r="H24556"/>
      <c r="I24556"/>
    </row>
    <row r="24557" spans="6:9" x14ac:dyDescent="0.3">
      <c r="F24557"/>
      <c r="G24557"/>
      <c r="H24557"/>
      <c r="I24557"/>
    </row>
    <row r="24558" spans="6:9" x14ac:dyDescent="0.3">
      <c r="F24558"/>
      <c r="G24558"/>
      <c r="H24558"/>
      <c r="I24558"/>
    </row>
    <row r="24559" spans="6:9" x14ac:dyDescent="0.3">
      <c r="F24559"/>
      <c r="G24559"/>
      <c r="H24559"/>
      <c r="I24559"/>
    </row>
    <row r="24560" spans="6:9" x14ac:dyDescent="0.3">
      <c r="F24560"/>
      <c r="G24560"/>
      <c r="H24560"/>
      <c r="I24560"/>
    </row>
    <row r="24561" spans="6:9" x14ac:dyDescent="0.3">
      <c r="F24561"/>
      <c r="G24561"/>
      <c r="H24561"/>
      <c r="I24561"/>
    </row>
    <row r="24562" spans="6:9" x14ac:dyDescent="0.3">
      <c r="F24562"/>
      <c r="G24562"/>
      <c r="H24562"/>
      <c r="I24562"/>
    </row>
    <row r="24563" spans="6:9" x14ac:dyDescent="0.3">
      <c r="F24563"/>
      <c r="G24563"/>
      <c r="H24563"/>
      <c r="I24563"/>
    </row>
    <row r="24564" spans="6:9" x14ac:dyDescent="0.3">
      <c r="F24564"/>
      <c r="G24564"/>
      <c r="H24564"/>
      <c r="I24564"/>
    </row>
    <row r="24565" spans="6:9" x14ac:dyDescent="0.3">
      <c r="F24565"/>
      <c r="G24565"/>
      <c r="H24565"/>
      <c r="I24565"/>
    </row>
    <row r="24566" spans="6:9" x14ac:dyDescent="0.3">
      <c r="F24566"/>
      <c r="G24566"/>
      <c r="H24566"/>
      <c r="I24566"/>
    </row>
    <row r="24567" spans="6:9" x14ac:dyDescent="0.3">
      <c r="F24567"/>
      <c r="G24567"/>
      <c r="H24567"/>
      <c r="I24567"/>
    </row>
    <row r="24568" spans="6:9" x14ac:dyDescent="0.3">
      <c r="F24568"/>
      <c r="G24568"/>
      <c r="H24568"/>
      <c r="I24568"/>
    </row>
    <row r="24569" spans="6:9" x14ac:dyDescent="0.3">
      <c r="F24569"/>
      <c r="G24569"/>
      <c r="H24569"/>
      <c r="I24569"/>
    </row>
    <row r="24570" spans="6:9" x14ac:dyDescent="0.3">
      <c r="F24570"/>
      <c r="G24570"/>
      <c r="H24570"/>
      <c r="I24570"/>
    </row>
    <row r="24571" spans="6:9" x14ac:dyDescent="0.3">
      <c r="F24571"/>
      <c r="G24571"/>
      <c r="H24571"/>
      <c r="I24571"/>
    </row>
    <row r="24572" spans="6:9" x14ac:dyDescent="0.3">
      <c r="F24572"/>
      <c r="G24572"/>
      <c r="H24572"/>
      <c r="I24572"/>
    </row>
    <row r="24573" spans="6:9" x14ac:dyDescent="0.3">
      <c r="F24573"/>
      <c r="G24573"/>
      <c r="H24573"/>
      <c r="I24573"/>
    </row>
    <row r="24574" spans="6:9" x14ac:dyDescent="0.3">
      <c r="F24574"/>
      <c r="G24574"/>
      <c r="H24574"/>
      <c r="I24574"/>
    </row>
    <row r="24575" spans="6:9" x14ac:dyDescent="0.3">
      <c r="F24575"/>
      <c r="G24575"/>
      <c r="H24575"/>
      <c r="I24575"/>
    </row>
    <row r="24576" spans="6:9" x14ac:dyDescent="0.3">
      <c r="F24576"/>
      <c r="G24576"/>
      <c r="H24576"/>
      <c r="I24576"/>
    </row>
    <row r="24577" spans="6:9" x14ac:dyDescent="0.3">
      <c r="F24577"/>
      <c r="G24577"/>
      <c r="H24577"/>
      <c r="I24577"/>
    </row>
    <row r="24578" spans="6:9" x14ac:dyDescent="0.3">
      <c r="F24578"/>
      <c r="G24578"/>
      <c r="H24578"/>
      <c r="I24578"/>
    </row>
    <row r="24579" spans="6:9" x14ac:dyDescent="0.3">
      <c r="F24579"/>
      <c r="G24579"/>
      <c r="H24579"/>
      <c r="I24579"/>
    </row>
    <row r="24580" spans="6:9" x14ac:dyDescent="0.3">
      <c r="F24580"/>
      <c r="G24580"/>
      <c r="H24580"/>
      <c r="I24580"/>
    </row>
    <row r="24581" spans="6:9" x14ac:dyDescent="0.3">
      <c r="F24581"/>
      <c r="G24581"/>
      <c r="H24581"/>
      <c r="I24581"/>
    </row>
    <row r="24582" spans="6:9" x14ac:dyDescent="0.3">
      <c r="F24582"/>
      <c r="G24582"/>
      <c r="H24582"/>
      <c r="I24582"/>
    </row>
    <row r="24583" spans="6:9" x14ac:dyDescent="0.3">
      <c r="F24583"/>
      <c r="G24583"/>
      <c r="H24583"/>
      <c r="I24583"/>
    </row>
    <row r="24584" spans="6:9" x14ac:dyDescent="0.3">
      <c r="F24584"/>
      <c r="G24584"/>
      <c r="H24584"/>
      <c r="I24584"/>
    </row>
    <row r="24585" spans="6:9" x14ac:dyDescent="0.3">
      <c r="F24585"/>
      <c r="G24585"/>
      <c r="H24585"/>
      <c r="I24585"/>
    </row>
    <row r="24586" spans="6:9" x14ac:dyDescent="0.3">
      <c r="F24586"/>
      <c r="G24586"/>
      <c r="H24586"/>
      <c r="I24586"/>
    </row>
    <row r="24587" spans="6:9" x14ac:dyDescent="0.3">
      <c r="F24587"/>
      <c r="G24587"/>
      <c r="H24587"/>
      <c r="I24587"/>
    </row>
    <row r="24588" spans="6:9" x14ac:dyDescent="0.3">
      <c r="F24588"/>
      <c r="G24588"/>
      <c r="H24588"/>
      <c r="I24588"/>
    </row>
    <row r="24589" spans="6:9" x14ac:dyDescent="0.3">
      <c r="F24589"/>
      <c r="G24589"/>
      <c r="H24589"/>
      <c r="I24589"/>
    </row>
    <row r="24590" spans="6:9" x14ac:dyDescent="0.3">
      <c r="F24590"/>
      <c r="G24590"/>
      <c r="H24590"/>
      <c r="I24590"/>
    </row>
    <row r="24591" spans="6:9" x14ac:dyDescent="0.3">
      <c r="F24591"/>
      <c r="G24591"/>
      <c r="H24591"/>
      <c r="I24591"/>
    </row>
    <row r="24592" spans="6:9" x14ac:dyDescent="0.3">
      <c r="F24592"/>
      <c r="G24592"/>
      <c r="H24592"/>
      <c r="I24592"/>
    </row>
    <row r="24593" spans="6:9" x14ac:dyDescent="0.3">
      <c r="F24593"/>
      <c r="G24593"/>
      <c r="H24593"/>
      <c r="I24593"/>
    </row>
    <row r="24594" spans="6:9" x14ac:dyDescent="0.3">
      <c r="F24594"/>
      <c r="G24594"/>
      <c r="H24594"/>
      <c r="I24594"/>
    </row>
    <row r="24595" spans="6:9" x14ac:dyDescent="0.3">
      <c r="F24595"/>
      <c r="G24595"/>
      <c r="H24595"/>
      <c r="I24595"/>
    </row>
    <row r="24596" spans="6:9" x14ac:dyDescent="0.3">
      <c r="F24596"/>
      <c r="G24596"/>
      <c r="H24596"/>
      <c r="I24596"/>
    </row>
    <row r="24597" spans="6:9" x14ac:dyDescent="0.3">
      <c r="F24597"/>
      <c r="G24597"/>
      <c r="H24597"/>
      <c r="I24597"/>
    </row>
    <row r="24598" spans="6:9" x14ac:dyDescent="0.3">
      <c r="F24598"/>
      <c r="G24598"/>
      <c r="H24598"/>
      <c r="I24598"/>
    </row>
    <row r="24599" spans="6:9" x14ac:dyDescent="0.3">
      <c r="F24599"/>
      <c r="G24599"/>
      <c r="H24599"/>
      <c r="I24599"/>
    </row>
    <row r="24600" spans="6:9" x14ac:dyDescent="0.3">
      <c r="F24600"/>
      <c r="G24600"/>
      <c r="H24600"/>
      <c r="I24600"/>
    </row>
    <row r="24601" spans="6:9" x14ac:dyDescent="0.3">
      <c r="F24601"/>
      <c r="G24601"/>
      <c r="H24601"/>
      <c r="I24601"/>
    </row>
    <row r="24602" spans="6:9" x14ac:dyDescent="0.3">
      <c r="F24602"/>
      <c r="G24602"/>
      <c r="H24602"/>
      <c r="I24602"/>
    </row>
    <row r="24603" spans="6:9" x14ac:dyDescent="0.3">
      <c r="F24603"/>
      <c r="G24603"/>
      <c r="H24603"/>
      <c r="I24603"/>
    </row>
    <row r="24604" spans="6:9" x14ac:dyDescent="0.3">
      <c r="F24604"/>
      <c r="G24604"/>
      <c r="H24604"/>
      <c r="I24604"/>
    </row>
    <row r="24605" spans="6:9" x14ac:dyDescent="0.3">
      <c r="F24605"/>
      <c r="G24605"/>
      <c r="H24605"/>
      <c r="I24605"/>
    </row>
    <row r="24606" spans="6:9" x14ac:dyDescent="0.3">
      <c r="F24606"/>
      <c r="G24606"/>
      <c r="H24606"/>
      <c r="I24606"/>
    </row>
    <row r="24607" spans="6:9" x14ac:dyDescent="0.3">
      <c r="F24607"/>
      <c r="G24607"/>
      <c r="H24607"/>
      <c r="I24607"/>
    </row>
    <row r="24608" spans="6:9" x14ac:dyDescent="0.3">
      <c r="F24608"/>
      <c r="G24608"/>
      <c r="H24608"/>
      <c r="I24608"/>
    </row>
    <row r="24609" spans="6:9" x14ac:dyDescent="0.3">
      <c r="F24609"/>
      <c r="G24609"/>
      <c r="H24609"/>
      <c r="I24609"/>
    </row>
    <row r="24610" spans="6:9" x14ac:dyDescent="0.3">
      <c r="F24610"/>
      <c r="G24610"/>
      <c r="H24610"/>
      <c r="I24610"/>
    </row>
    <row r="24611" spans="6:9" x14ac:dyDescent="0.3">
      <c r="F24611"/>
      <c r="G24611"/>
      <c r="H24611"/>
      <c r="I24611"/>
    </row>
    <row r="24612" spans="6:9" x14ac:dyDescent="0.3">
      <c r="F24612"/>
      <c r="G24612"/>
      <c r="H24612"/>
      <c r="I24612"/>
    </row>
    <row r="24613" spans="6:9" x14ac:dyDescent="0.3">
      <c r="F24613"/>
      <c r="G24613"/>
      <c r="H24613"/>
      <c r="I24613"/>
    </row>
    <row r="24614" spans="6:9" x14ac:dyDescent="0.3">
      <c r="F24614"/>
      <c r="G24614"/>
      <c r="H24614"/>
      <c r="I24614"/>
    </row>
    <row r="24615" spans="6:9" x14ac:dyDescent="0.3">
      <c r="F24615"/>
      <c r="G24615"/>
      <c r="H24615"/>
      <c r="I24615"/>
    </row>
    <row r="24616" spans="6:9" x14ac:dyDescent="0.3">
      <c r="F24616"/>
      <c r="G24616"/>
      <c r="H24616"/>
      <c r="I24616"/>
    </row>
    <row r="24617" spans="6:9" x14ac:dyDescent="0.3">
      <c r="F24617"/>
      <c r="G24617"/>
      <c r="H24617"/>
      <c r="I24617"/>
    </row>
    <row r="24618" spans="6:9" x14ac:dyDescent="0.3">
      <c r="F24618"/>
      <c r="G24618"/>
      <c r="H24618"/>
      <c r="I24618"/>
    </row>
    <row r="24619" spans="6:9" x14ac:dyDescent="0.3">
      <c r="F24619"/>
      <c r="G24619"/>
      <c r="H24619"/>
      <c r="I24619"/>
    </row>
    <row r="24620" spans="6:9" x14ac:dyDescent="0.3">
      <c r="F24620"/>
      <c r="G24620"/>
      <c r="H24620"/>
      <c r="I24620"/>
    </row>
    <row r="24621" spans="6:9" x14ac:dyDescent="0.3">
      <c r="F24621"/>
      <c r="G24621"/>
      <c r="H24621"/>
      <c r="I24621"/>
    </row>
    <row r="24622" spans="6:9" x14ac:dyDescent="0.3">
      <c r="F24622"/>
      <c r="G24622"/>
      <c r="H24622"/>
      <c r="I24622"/>
    </row>
    <row r="24623" spans="6:9" x14ac:dyDescent="0.3">
      <c r="F24623"/>
      <c r="G24623"/>
      <c r="H24623"/>
      <c r="I24623"/>
    </row>
    <row r="24624" spans="6:9" x14ac:dyDescent="0.3">
      <c r="F24624"/>
      <c r="G24624"/>
      <c r="H24624"/>
      <c r="I24624"/>
    </row>
    <row r="24625" spans="6:9" x14ac:dyDescent="0.3">
      <c r="F24625"/>
      <c r="G24625"/>
      <c r="H24625"/>
      <c r="I24625"/>
    </row>
    <row r="24626" spans="6:9" x14ac:dyDescent="0.3">
      <c r="F24626"/>
      <c r="G24626"/>
      <c r="H24626"/>
      <c r="I24626"/>
    </row>
    <row r="24627" spans="6:9" x14ac:dyDescent="0.3">
      <c r="F24627"/>
      <c r="G24627"/>
      <c r="H24627"/>
      <c r="I24627"/>
    </row>
    <row r="24628" spans="6:9" x14ac:dyDescent="0.3">
      <c r="F24628"/>
      <c r="G24628"/>
      <c r="H24628"/>
      <c r="I24628"/>
    </row>
    <row r="24629" spans="6:9" x14ac:dyDescent="0.3">
      <c r="F24629"/>
      <c r="G24629"/>
      <c r="H24629"/>
      <c r="I24629"/>
    </row>
    <row r="24630" spans="6:9" x14ac:dyDescent="0.3">
      <c r="F24630"/>
      <c r="G24630"/>
      <c r="H24630"/>
      <c r="I24630"/>
    </row>
    <row r="24631" spans="6:9" x14ac:dyDescent="0.3">
      <c r="F24631"/>
      <c r="G24631"/>
      <c r="H24631"/>
      <c r="I24631"/>
    </row>
    <row r="24632" spans="6:9" x14ac:dyDescent="0.3">
      <c r="F24632"/>
      <c r="G24632"/>
      <c r="H24632"/>
      <c r="I24632"/>
    </row>
    <row r="24633" spans="6:9" x14ac:dyDescent="0.3">
      <c r="F24633"/>
      <c r="G24633"/>
      <c r="H24633"/>
      <c r="I24633"/>
    </row>
    <row r="24634" spans="6:9" x14ac:dyDescent="0.3">
      <c r="F24634"/>
      <c r="G24634"/>
      <c r="H24634"/>
      <c r="I24634"/>
    </row>
    <row r="24635" spans="6:9" x14ac:dyDescent="0.3">
      <c r="F24635"/>
      <c r="G24635"/>
      <c r="H24635"/>
      <c r="I24635"/>
    </row>
    <row r="24636" spans="6:9" x14ac:dyDescent="0.3">
      <c r="F24636"/>
      <c r="G24636"/>
      <c r="H24636"/>
      <c r="I24636"/>
    </row>
    <row r="24637" spans="6:9" x14ac:dyDescent="0.3">
      <c r="F24637"/>
      <c r="G24637"/>
      <c r="H24637"/>
      <c r="I24637"/>
    </row>
    <row r="24638" spans="6:9" x14ac:dyDescent="0.3">
      <c r="F24638"/>
      <c r="G24638"/>
      <c r="H24638"/>
      <c r="I24638"/>
    </row>
    <row r="24639" spans="6:9" x14ac:dyDescent="0.3">
      <c r="F24639"/>
      <c r="G24639"/>
      <c r="H24639"/>
      <c r="I24639"/>
    </row>
    <row r="24640" spans="6:9" x14ac:dyDescent="0.3">
      <c r="F24640"/>
      <c r="G24640"/>
      <c r="H24640"/>
      <c r="I24640"/>
    </row>
    <row r="24641" spans="6:9" x14ac:dyDescent="0.3">
      <c r="F24641"/>
      <c r="G24641"/>
      <c r="H24641"/>
      <c r="I24641"/>
    </row>
    <row r="24642" spans="6:9" x14ac:dyDescent="0.3">
      <c r="F24642"/>
      <c r="G24642"/>
      <c r="H24642"/>
      <c r="I24642"/>
    </row>
    <row r="24643" spans="6:9" x14ac:dyDescent="0.3">
      <c r="F24643"/>
      <c r="G24643"/>
      <c r="H24643"/>
      <c r="I24643"/>
    </row>
    <row r="24644" spans="6:9" x14ac:dyDescent="0.3">
      <c r="F24644"/>
      <c r="G24644"/>
      <c r="H24644"/>
      <c r="I24644"/>
    </row>
    <row r="24645" spans="6:9" x14ac:dyDescent="0.3">
      <c r="F24645"/>
      <c r="G24645"/>
      <c r="H24645"/>
      <c r="I24645"/>
    </row>
    <row r="24646" spans="6:9" x14ac:dyDescent="0.3">
      <c r="F24646"/>
      <c r="G24646"/>
      <c r="H24646"/>
      <c r="I24646"/>
    </row>
    <row r="24647" spans="6:9" x14ac:dyDescent="0.3">
      <c r="F24647"/>
      <c r="G24647"/>
      <c r="H24647"/>
      <c r="I24647"/>
    </row>
    <row r="24648" spans="6:9" x14ac:dyDescent="0.3">
      <c r="F24648"/>
      <c r="G24648"/>
      <c r="H24648"/>
      <c r="I24648"/>
    </row>
    <row r="24649" spans="6:9" x14ac:dyDescent="0.3">
      <c r="F24649"/>
      <c r="G24649"/>
      <c r="H24649"/>
      <c r="I24649"/>
    </row>
    <row r="24650" spans="6:9" x14ac:dyDescent="0.3">
      <c r="F24650"/>
      <c r="G24650"/>
      <c r="H24650"/>
      <c r="I24650"/>
    </row>
    <row r="24651" spans="6:9" x14ac:dyDescent="0.3">
      <c r="F24651"/>
      <c r="G24651"/>
      <c r="H24651"/>
      <c r="I24651"/>
    </row>
    <row r="24652" spans="6:9" x14ac:dyDescent="0.3">
      <c r="F24652"/>
      <c r="G24652"/>
      <c r="H24652"/>
      <c r="I24652"/>
    </row>
    <row r="24653" spans="6:9" x14ac:dyDescent="0.3">
      <c r="F24653"/>
      <c r="G24653"/>
      <c r="H24653"/>
      <c r="I24653"/>
    </row>
    <row r="24654" spans="6:9" x14ac:dyDescent="0.3">
      <c r="F24654"/>
      <c r="G24654"/>
      <c r="H24654"/>
      <c r="I24654"/>
    </row>
    <row r="24655" spans="6:9" x14ac:dyDescent="0.3">
      <c r="F24655"/>
      <c r="G24655"/>
      <c r="H24655"/>
      <c r="I24655"/>
    </row>
    <row r="24656" spans="6:9" x14ac:dyDescent="0.3">
      <c r="F24656"/>
      <c r="G24656"/>
      <c r="H24656"/>
      <c r="I24656"/>
    </row>
    <row r="24657" spans="6:9" x14ac:dyDescent="0.3">
      <c r="F24657"/>
      <c r="G24657"/>
      <c r="H24657"/>
      <c r="I24657"/>
    </row>
    <row r="24658" spans="6:9" x14ac:dyDescent="0.3">
      <c r="F24658"/>
      <c r="G24658"/>
      <c r="H24658"/>
      <c r="I24658"/>
    </row>
    <row r="24659" spans="6:9" x14ac:dyDescent="0.3">
      <c r="F24659"/>
      <c r="G24659"/>
      <c r="H24659"/>
      <c r="I24659"/>
    </row>
    <row r="24660" spans="6:9" x14ac:dyDescent="0.3">
      <c r="F24660"/>
      <c r="G24660"/>
      <c r="H24660"/>
      <c r="I24660"/>
    </row>
    <row r="24661" spans="6:9" x14ac:dyDescent="0.3">
      <c r="F24661"/>
      <c r="G24661"/>
      <c r="H24661"/>
      <c r="I24661"/>
    </row>
    <row r="24662" spans="6:9" x14ac:dyDescent="0.3">
      <c r="F24662"/>
      <c r="G24662"/>
      <c r="H24662"/>
      <c r="I24662"/>
    </row>
    <row r="24663" spans="6:9" x14ac:dyDescent="0.3">
      <c r="F24663"/>
      <c r="G24663"/>
      <c r="H24663"/>
      <c r="I24663"/>
    </row>
    <row r="24664" spans="6:9" x14ac:dyDescent="0.3">
      <c r="F24664"/>
      <c r="G24664"/>
      <c r="H24664"/>
      <c r="I24664"/>
    </row>
    <row r="24665" spans="6:9" x14ac:dyDescent="0.3">
      <c r="F24665"/>
      <c r="G24665"/>
      <c r="H24665"/>
      <c r="I24665"/>
    </row>
    <row r="24666" spans="6:9" x14ac:dyDescent="0.3">
      <c r="F24666"/>
      <c r="G24666"/>
      <c r="H24666"/>
      <c r="I24666"/>
    </row>
    <row r="24667" spans="6:9" x14ac:dyDescent="0.3">
      <c r="F24667"/>
      <c r="G24667"/>
      <c r="H24667"/>
      <c r="I24667"/>
    </row>
    <row r="24668" spans="6:9" x14ac:dyDescent="0.3">
      <c r="F24668"/>
      <c r="G24668"/>
      <c r="H24668"/>
      <c r="I24668"/>
    </row>
    <row r="24669" spans="6:9" x14ac:dyDescent="0.3">
      <c r="F24669"/>
      <c r="G24669"/>
      <c r="H24669"/>
      <c r="I24669"/>
    </row>
    <row r="24670" spans="6:9" x14ac:dyDescent="0.3">
      <c r="F24670"/>
      <c r="G24670"/>
      <c r="H24670"/>
      <c r="I24670"/>
    </row>
    <row r="24671" spans="6:9" x14ac:dyDescent="0.3">
      <c r="F24671"/>
      <c r="G24671"/>
      <c r="H24671"/>
      <c r="I24671"/>
    </row>
    <row r="24672" spans="6:9" x14ac:dyDescent="0.3">
      <c r="F24672"/>
      <c r="G24672"/>
      <c r="H24672"/>
      <c r="I24672"/>
    </row>
    <row r="24673" spans="6:9" x14ac:dyDescent="0.3">
      <c r="F24673"/>
      <c r="G24673"/>
      <c r="H24673"/>
      <c r="I24673"/>
    </row>
    <row r="24674" spans="6:9" x14ac:dyDescent="0.3">
      <c r="F24674"/>
      <c r="G24674"/>
      <c r="H24674"/>
      <c r="I24674"/>
    </row>
    <row r="24675" spans="6:9" x14ac:dyDescent="0.3">
      <c r="F24675"/>
      <c r="G24675"/>
      <c r="H24675"/>
      <c r="I24675"/>
    </row>
    <row r="24676" spans="6:9" x14ac:dyDescent="0.3">
      <c r="F24676"/>
      <c r="G24676"/>
      <c r="H24676"/>
      <c r="I24676"/>
    </row>
    <row r="24677" spans="6:9" x14ac:dyDescent="0.3">
      <c r="F24677"/>
      <c r="G24677"/>
      <c r="H24677"/>
      <c r="I24677"/>
    </row>
    <row r="24678" spans="6:9" x14ac:dyDescent="0.3">
      <c r="F24678"/>
      <c r="G24678"/>
      <c r="H24678"/>
      <c r="I24678"/>
    </row>
    <row r="24679" spans="6:9" x14ac:dyDescent="0.3">
      <c r="F24679"/>
      <c r="G24679"/>
      <c r="H24679"/>
      <c r="I24679"/>
    </row>
    <row r="24680" spans="6:9" x14ac:dyDescent="0.3">
      <c r="F24680"/>
      <c r="G24680"/>
      <c r="H24680"/>
      <c r="I24680"/>
    </row>
    <row r="24681" spans="6:9" x14ac:dyDescent="0.3">
      <c r="F24681"/>
      <c r="G24681"/>
      <c r="H24681"/>
      <c r="I24681"/>
    </row>
    <row r="24682" spans="6:9" x14ac:dyDescent="0.3">
      <c r="F24682"/>
      <c r="G24682"/>
      <c r="H24682"/>
      <c r="I24682"/>
    </row>
    <row r="24683" spans="6:9" x14ac:dyDescent="0.3">
      <c r="F24683"/>
      <c r="G24683"/>
      <c r="H24683"/>
      <c r="I24683"/>
    </row>
    <row r="24684" spans="6:9" x14ac:dyDescent="0.3">
      <c r="F24684"/>
      <c r="G24684"/>
      <c r="H24684"/>
      <c r="I24684"/>
    </row>
    <row r="24685" spans="6:9" x14ac:dyDescent="0.3">
      <c r="F24685"/>
      <c r="G24685"/>
      <c r="H24685"/>
      <c r="I24685"/>
    </row>
    <row r="24686" spans="6:9" x14ac:dyDescent="0.3">
      <c r="F24686"/>
      <c r="G24686"/>
      <c r="H24686"/>
      <c r="I24686"/>
    </row>
    <row r="24687" spans="6:9" x14ac:dyDescent="0.3">
      <c r="F24687"/>
      <c r="G24687"/>
      <c r="H24687"/>
      <c r="I24687"/>
    </row>
    <row r="24688" spans="6:9" x14ac:dyDescent="0.3">
      <c r="F24688"/>
      <c r="G24688"/>
      <c r="H24688"/>
      <c r="I24688"/>
    </row>
    <row r="24689" spans="6:9" x14ac:dyDescent="0.3">
      <c r="F24689"/>
      <c r="G24689"/>
      <c r="H24689"/>
      <c r="I24689"/>
    </row>
    <row r="24690" spans="6:9" x14ac:dyDescent="0.3">
      <c r="F24690"/>
      <c r="G24690"/>
      <c r="H24690"/>
      <c r="I24690"/>
    </row>
    <row r="24691" spans="6:9" x14ac:dyDescent="0.3">
      <c r="F24691"/>
      <c r="G24691"/>
      <c r="H24691"/>
      <c r="I24691"/>
    </row>
    <row r="24692" spans="6:9" x14ac:dyDescent="0.3">
      <c r="F24692"/>
      <c r="G24692"/>
      <c r="H24692"/>
      <c r="I24692"/>
    </row>
    <row r="24693" spans="6:9" x14ac:dyDescent="0.3">
      <c r="F24693"/>
      <c r="G24693"/>
      <c r="H24693"/>
      <c r="I24693"/>
    </row>
    <row r="24694" spans="6:9" x14ac:dyDescent="0.3">
      <c r="F24694"/>
      <c r="G24694"/>
      <c r="H24694"/>
      <c r="I24694"/>
    </row>
    <row r="24695" spans="6:9" x14ac:dyDescent="0.3">
      <c r="F24695"/>
      <c r="G24695"/>
      <c r="H24695"/>
      <c r="I24695"/>
    </row>
    <row r="24696" spans="6:9" x14ac:dyDescent="0.3">
      <c r="F24696"/>
      <c r="G24696"/>
      <c r="H24696"/>
      <c r="I24696"/>
    </row>
    <row r="24697" spans="6:9" x14ac:dyDescent="0.3">
      <c r="F24697"/>
      <c r="G24697"/>
      <c r="H24697"/>
      <c r="I24697"/>
    </row>
    <row r="24698" spans="6:9" x14ac:dyDescent="0.3">
      <c r="F24698"/>
      <c r="G24698"/>
      <c r="H24698"/>
      <c r="I24698"/>
    </row>
    <row r="24699" spans="6:9" x14ac:dyDescent="0.3">
      <c r="F24699"/>
      <c r="G24699"/>
      <c r="H24699"/>
      <c r="I24699"/>
    </row>
    <row r="24700" spans="6:9" x14ac:dyDescent="0.3">
      <c r="F24700"/>
      <c r="G24700"/>
      <c r="H24700"/>
      <c r="I24700"/>
    </row>
    <row r="24701" spans="6:9" x14ac:dyDescent="0.3">
      <c r="F24701"/>
      <c r="G24701"/>
      <c r="H24701"/>
      <c r="I24701"/>
    </row>
    <row r="24702" spans="6:9" x14ac:dyDescent="0.3">
      <c r="F24702"/>
      <c r="G24702"/>
      <c r="H24702"/>
      <c r="I24702"/>
    </row>
    <row r="24703" spans="6:9" x14ac:dyDescent="0.3">
      <c r="F24703"/>
      <c r="G24703"/>
      <c r="H24703"/>
      <c r="I24703"/>
    </row>
    <row r="24704" spans="6:9" x14ac:dyDescent="0.3">
      <c r="F24704"/>
      <c r="G24704"/>
      <c r="H24704"/>
      <c r="I24704"/>
    </row>
    <row r="24705" spans="6:9" x14ac:dyDescent="0.3">
      <c r="F24705"/>
      <c r="G24705"/>
      <c r="H24705"/>
      <c r="I24705"/>
    </row>
    <row r="24706" spans="6:9" x14ac:dyDescent="0.3">
      <c r="F24706"/>
      <c r="G24706"/>
      <c r="H24706"/>
      <c r="I24706"/>
    </row>
    <row r="24707" spans="6:9" x14ac:dyDescent="0.3">
      <c r="F24707"/>
      <c r="G24707"/>
      <c r="H24707"/>
      <c r="I24707"/>
    </row>
    <row r="24708" spans="6:9" x14ac:dyDescent="0.3">
      <c r="F24708"/>
      <c r="G24708"/>
      <c r="H24708"/>
      <c r="I24708"/>
    </row>
    <row r="24709" spans="6:9" x14ac:dyDescent="0.3">
      <c r="F24709"/>
      <c r="G24709"/>
      <c r="H24709"/>
      <c r="I24709"/>
    </row>
    <row r="24710" spans="6:9" x14ac:dyDescent="0.3">
      <c r="F24710"/>
      <c r="G24710"/>
      <c r="H24710"/>
      <c r="I24710"/>
    </row>
    <row r="24711" spans="6:9" x14ac:dyDescent="0.3">
      <c r="F24711"/>
      <c r="G24711"/>
      <c r="H24711"/>
      <c r="I24711"/>
    </row>
    <row r="24712" spans="6:9" x14ac:dyDescent="0.3">
      <c r="F24712"/>
      <c r="G24712"/>
      <c r="H24712"/>
      <c r="I24712"/>
    </row>
    <row r="24713" spans="6:9" x14ac:dyDescent="0.3">
      <c r="F24713"/>
      <c r="G24713"/>
      <c r="H24713"/>
      <c r="I24713"/>
    </row>
    <row r="24714" spans="6:9" x14ac:dyDescent="0.3">
      <c r="F24714"/>
      <c r="G24714"/>
      <c r="H24714"/>
      <c r="I24714"/>
    </row>
    <row r="24715" spans="6:9" x14ac:dyDescent="0.3">
      <c r="F24715"/>
      <c r="G24715"/>
      <c r="H24715"/>
      <c r="I24715"/>
    </row>
    <row r="24716" spans="6:9" x14ac:dyDescent="0.3">
      <c r="F24716"/>
      <c r="G24716"/>
      <c r="H24716"/>
      <c r="I24716"/>
    </row>
    <row r="24717" spans="6:9" x14ac:dyDescent="0.3">
      <c r="F24717"/>
      <c r="G24717"/>
      <c r="H24717"/>
      <c r="I24717"/>
    </row>
    <row r="24718" spans="6:9" x14ac:dyDescent="0.3">
      <c r="F24718"/>
      <c r="G24718"/>
      <c r="H24718"/>
      <c r="I24718"/>
    </row>
    <row r="24719" spans="6:9" x14ac:dyDescent="0.3">
      <c r="F24719"/>
      <c r="G24719"/>
      <c r="H24719"/>
      <c r="I24719"/>
    </row>
    <row r="24720" spans="6:9" x14ac:dyDescent="0.3">
      <c r="F24720"/>
      <c r="G24720"/>
      <c r="H24720"/>
      <c r="I24720"/>
    </row>
    <row r="24721" spans="6:9" x14ac:dyDescent="0.3">
      <c r="F24721"/>
      <c r="G24721"/>
      <c r="H24721"/>
      <c r="I24721"/>
    </row>
    <row r="24722" spans="6:9" x14ac:dyDescent="0.3">
      <c r="F24722"/>
      <c r="G24722"/>
      <c r="H24722"/>
      <c r="I24722"/>
    </row>
    <row r="24723" spans="6:9" x14ac:dyDescent="0.3">
      <c r="F24723"/>
      <c r="G24723"/>
      <c r="H24723"/>
      <c r="I24723"/>
    </row>
    <row r="24724" spans="6:9" x14ac:dyDescent="0.3">
      <c r="F24724"/>
      <c r="G24724"/>
      <c r="H24724"/>
      <c r="I24724"/>
    </row>
    <row r="24725" spans="6:9" x14ac:dyDescent="0.3">
      <c r="F24725"/>
      <c r="G24725"/>
      <c r="H24725"/>
      <c r="I24725"/>
    </row>
    <row r="24726" spans="6:9" x14ac:dyDescent="0.3">
      <c r="F24726"/>
      <c r="G24726"/>
      <c r="H24726"/>
      <c r="I24726"/>
    </row>
    <row r="24727" spans="6:9" x14ac:dyDescent="0.3">
      <c r="F24727"/>
      <c r="G24727"/>
      <c r="H24727"/>
      <c r="I24727"/>
    </row>
    <row r="24728" spans="6:9" x14ac:dyDescent="0.3">
      <c r="F24728"/>
      <c r="G24728"/>
      <c r="H24728"/>
      <c r="I24728"/>
    </row>
    <row r="24729" spans="6:9" x14ac:dyDescent="0.3">
      <c r="F24729"/>
      <c r="G24729"/>
      <c r="H24729"/>
      <c r="I24729"/>
    </row>
    <row r="24730" spans="6:9" x14ac:dyDescent="0.3">
      <c r="F24730"/>
      <c r="G24730"/>
      <c r="H24730"/>
      <c r="I24730"/>
    </row>
    <row r="24731" spans="6:9" x14ac:dyDescent="0.3">
      <c r="F24731"/>
      <c r="G24731"/>
      <c r="H24731"/>
      <c r="I24731"/>
    </row>
    <row r="24732" spans="6:9" x14ac:dyDescent="0.3">
      <c r="F24732"/>
      <c r="G24732"/>
      <c r="H24732"/>
      <c r="I24732"/>
    </row>
    <row r="24733" spans="6:9" x14ac:dyDescent="0.3">
      <c r="F24733"/>
      <c r="G24733"/>
      <c r="H24733"/>
      <c r="I24733"/>
    </row>
    <row r="24734" spans="6:9" x14ac:dyDescent="0.3">
      <c r="F24734"/>
      <c r="G24734"/>
      <c r="H24734"/>
      <c r="I24734"/>
    </row>
    <row r="24735" spans="6:9" x14ac:dyDescent="0.3">
      <c r="F24735"/>
      <c r="G24735"/>
      <c r="H24735"/>
      <c r="I24735"/>
    </row>
    <row r="24736" spans="6:9" x14ac:dyDescent="0.3">
      <c r="F24736"/>
      <c r="G24736"/>
      <c r="H24736"/>
      <c r="I24736"/>
    </row>
    <row r="24737" spans="6:9" x14ac:dyDescent="0.3">
      <c r="F24737"/>
      <c r="G24737"/>
      <c r="H24737"/>
      <c r="I24737"/>
    </row>
    <row r="24738" spans="6:9" x14ac:dyDescent="0.3">
      <c r="F24738"/>
      <c r="G24738"/>
      <c r="H24738"/>
      <c r="I24738"/>
    </row>
    <row r="24739" spans="6:9" x14ac:dyDescent="0.3">
      <c r="F24739"/>
      <c r="G24739"/>
      <c r="H24739"/>
      <c r="I24739"/>
    </row>
    <row r="24740" spans="6:9" x14ac:dyDescent="0.3">
      <c r="F24740"/>
      <c r="G24740"/>
      <c r="H24740"/>
      <c r="I24740"/>
    </row>
    <row r="24741" spans="6:9" x14ac:dyDescent="0.3">
      <c r="F24741"/>
      <c r="G24741"/>
      <c r="H24741"/>
      <c r="I24741"/>
    </row>
    <row r="24742" spans="6:9" x14ac:dyDescent="0.3">
      <c r="F24742"/>
      <c r="G24742"/>
      <c r="H24742"/>
      <c r="I24742"/>
    </row>
    <row r="24743" spans="6:9" x14ac:dyDescent="0.3">
      <c r="F24743"/>
      <c r="G24743"/>
      <c r="H24743"/>
      <c r="I24743"/>
    </row>
    <row r="24744" spans="6:9" x14ac:dyDescent="0.3">
      <c r="F24744"/>
      <c r="G24744"/>
      <c r="H24744"/>
      <c r="I24744"/>
    </row>
    <row r="24745" spans="6:9" x14ac:dyDescent="0.3">
      <c r="F24745"/>
      <c r="G24745"/>
      <c r="H24745"/>
      <c r="I24745"/>
    </row>
    <row r="24746" spans="6:9" x14ac:dyDescent="0.3">
      <c r="F24746"/>
      <c r="G24746"/>
      <c r="H24746"/>
      <c r="I24746"/>
    </row>
    <row r="24747" spans="6:9" x14ac:dyDescent="0.3">
      <c r="F24747"/>
      <c r="G24747"/>
      <c r="H24747"/>
      <c r="I24747"/>
    </row>
    <row r="24748" spans="6:9" x14ac:dyDescent="0.3">
      <c r="F24748"/>
      <c r="G24748"/>
      <c r="H24748"/>
      <c r="I24748"/>
    </row>
    <row r="24749" spans="6:9" x14ac:dyDescent="0.3">
      <c r="F24749"/>
      <c r="G24749"/>
      <c r="H24749"/>
      <c r="I24749"/>
    </row>
    <row r="24750" spans="6:9" x14ac:dyDescent="0.3">
      <c r="F24750"/>
      <c r="G24750"/>
      <c r="H24750"/>
      <c r="I24750"/>
    </row>
    <row r="24751" spans="6:9" x14ac:dyDescent="0.3">
      <c r="F24751"/>
      <c r="G24751"/>
      <c r="H24751"/>
      <c r="I24751"/>
    </row>
    <row r="24752" spans="6:9" x14ac:dyDescent="0.3">
      <c r="F24752"/>
      <c r="G24752"/>
      <c r="H24752"/>
      <c r="I24752"/>
    </row>
    <row r="24753" spans="6:9" x14ac:dyDescent="0.3">
      <c r="F24753"/>
      <c r="G24753"/>
      <c r="H24753"/>
      <c r="I24753"/>
    </row>
    <row r="24754" spans="6:9" x14ac:dyDescent="0.3">
      <c r="F24754"/>
      <c r="G24754"/>
      <c r="H24754"/>
      <c r="I24754"/>
    </row>
    <row r="24755" spans="6:9" x14ac:dyDescent="0.3">
      <c r="F24755"/>
      <c r="G24755"/>
      <c r="H24755"/>
      <c r="I24755"/>
    </row>
    <row r="24756" spans="6:9" x14ac:dyDescent="0.3">
      <c r="F24756"/>
      <c r="G24756"/>
      <c r="H24756"/>
      <c r="I24756"/>
    </row>
    <row r="24757" spans="6:9" x14ac:dyDescent="0.3">
      <c r="F24757"/>
      <c r="G24757"/>
      <c r="H24757"/>
      <c r="I24757"/>
    </row>
    <row r="24758" spans="6:9" x14ac:dyDescent="0.3">
      <c r="F24758"/>
      <c r="G24758"/>
      <c r="H24758"/>
      <c r="I24758"/>
    </row>
    <row r="24759" spans="6:9" x14ac:dyDescent="0.3">
      <c r="F24759"/>
      <c r="G24759"/>
      <c r="H24759"/>
      <c r="I24759"/>
    </row>
    <row r="24760" spans="6:9" x14ac:dyDescent="0.3">
      <c r="F24760"/>
      <c r="G24760"/>
      <c r="H24760"/>
      <c r="I24760"/>
    </row>
    <row r="24761" spans="6:9" x14ac:dyDescent="0.3">
      <c r="F24761"/>
      <c r="G24761"/>
      <c r="H24761"/>
      <c r="I24761"/>
    </row>
    <row r="24762" spans="6:9" x14ac:dyDescent="0.3">
      <c r="F24762"/>
      <c r="G24762"/>
      <c r="H24762"/>
      <c r="I24762"/>
    </row>
    <row r="24763" spans="6:9" x14ac:dyDescent="0.3">
      <c r="F24763"/>
      <c r="G24763"/>
      <c r="H24763"/>
      <c r="I24763"/>
    </row>
    <row r="24764" spans="6:9" x14ac:dyDescent="0.3">
      <c r="F24764"/>
      <c r="G24764"/>
      <c r="H24764"/>
      <c r="I24764"/>
    </row>
    <row r="24765" spans="6:9" x14ac:dyDescent="0.3">
      <c r="F24765"/>
      <c r="G24765"/>
      <c r="H24765"/>
      <c r="I24765"/>
    </row>
    <row r="24766" spans="6:9" x14ac:dyDescent="0.3">
      <c r="F24766"/>
      <c r="G24766"/>
      <c r="H24766"/>
      <c r="I24766"/>
    </row>
    <row r="24767" spans="6:9" x14ac:dyDescent="0.3">
      <c r="F24767"/>
      <c r="G24767"/>
      <c r="H24767"/>
      <c r="I24767"/>
    </row>
    <row r="24768" spans="6:9" x14ac:dyDescent="0.3">
      <c r="F24768"/>
      <c r="G24768"/>
      <c r="H24768"/>
      <c r="I24768"/>
    </row>
    <row r="24769" spans="6:9" x14ac:dyDescent="0.3">
      <c r="F24769"/>
      <c r="G24769"/>
      <c r="H24769"/>
      <c r="I24769"/>
    </row>
    <row r="24770" spans="6:9" x14ac:dyDescent="0.3">
      <c r="F24770"/>
      <c r="G24770"/>
      <c r="H24770"/>
      <c r="I24770"/>
    </row>
    <row r="24771" spans="6:9" x14ac:dyDescent="0.3">
      <c r="F24771"/>
      <c r="G24771"/>
      <c r="H24771"/>
      <c r="I24771"/>
    </row>
    <row r="24772" spans="6:9" x14ac:dyDescent="0.3">
      <c r="F24772"/>
      <c r="G24772"/>
      <c r="H24772"/>
      <c r="I24772"/>
    </row>
    <row r="24773" spans="6:9" x14ac:dyDescent="0.3">
      <c r="F24773"/>
      <c r="G24773"/>
      <c r="H24773"/>
      <c r="I24773"/>
    </row>
    <row r="24774" spans="6:9" x14ac:dyDescent="0.3">
      <c r="F24774"/>
      <c r="G24774"/>
      <c r="H24774"/>
      <c r="I24774"/>
    </row>
    <row r="24775" spans="6:9" x14ac:dyDescent="0.3">
      <c r="F24775"/>
      <c r="G24775"/>
      <c r="H24775"/>
      <c r="I24775"/>
    </row>
    <row r="24776" spans="6:9" x14ac:dyDescent="0.3">
      <c r="F24776"/>
      <c r="G24776"/>
      <c r="H24776"/>
      <c r="I24776"/>
    </row>
    <row r="24777" spans="6:9" x14ac:dyDescent="0.3">
      <c r="F24777"/>
      <c r="G24777"/>
      <c r="H24777"/>
      <c r="I24777"/>
    </row>
    <row r="24778" spans="6:9" x14ac:dyDescent="0.3">
      <c r="F24778"/>
      <c r="G24778"/>
      <c r="H24778"/>
      <c r="I24778"/>
    </row>
    <row r="24779" spans="6:9" x14ac:dyDescent="0.3">
      <c r="F24779"/>
      <c r="G24779"/>
      <c r="H24779"/>
      <c r="I24779"/>
    </row>
    <row r="24780" spans="6:9" x14ac:dyDescent="0.3">
      <c r="F24780"/>
      <c r="G24780"/>
      <c r="H24780"/>
      <c r="I24780"/>
    </row>
    <row r="24781" spans="6:9" x14ac:dyDescent="0.3">
      <c r="F24781"/>
      <c r="G24781"/>
      <c r="H24781"/>
      <c r="I24781"/>
    </row>
    <row r="24782" spans="6:9" x14ac:dyDescent="0.3">
      <c r="F24782"/>
      <c r="G24782"/>
      <c r="H24782"/>
      <c r="I24782"/>
    </row>
    <row r="24783" spans="6:9" x14ac:dyDescent="0.3">
      <c r="F24783"/>
      <c r="G24783"/>
      <c r="H24783"/>
      <c r="I24783"/>
    </row>
    <row r="24784" spans="6:9" x14ac:dyDescent="0.3">
      <c r="F24784"/>
      <c r="G24784"/>
      <c r="H24784"/>
      <c r="I24784"/>
    </row>
    <row r="24785" spans="6:9" x14ac:dyDescent="0.3">
      <c r="F24785"/>
      <c r="G24785"/>
      <c r="H24785"/>
      <c r="I24785"/>
    </row>
    <row r="24786" spans="6:9" x14ac:dyDescent="0.3">
      <c r="F24786"/>
      <c r="G24786"/>
      <c r="H24786"/>
      <c r="I24786"/>
    </row>
    <row r="24787" spans="6:9" x14ac:dyDescent="0.3">
      <c r="F24787"/>
      <c r="G24787"/>
      <c r="H24787"/>
      <c r="I24787"/>
    </row>
    <row r="24788" spans="6:9" x14ac:dyDescent="0.3">
      <c r="F24788"/>
      <c r="G24788"/>
      <c r="H24788"/>
      <c r="I24788"/>
    </row>
    <row r="24789" spans="6:9" x14ac:dyDescent="0.3">
      <c r="F24789"/>
      <c r="G24789"/>
      <c r="H24789"/>
      <c r="I24789"/>
    </row>
    <row r="24790" spans="6:9" x14ac:dyDescent="0.3">
      <c r="F24790"/>
      <c r="G24790"/>
      <c r="H24790"/>
      <c r="I24790"/>
    </row>
    <row r="24791" spans="6:9" x14ac:dyDescent="0.3">
      <c r="F24791"/>
      <c r="G24791"/>
      <c r="H24791"/>
      <c r="I24791"/>
    </row>
    <row r="24792" spans="6:9" x14ac:dyDescent="0.3">
      <c r="F24792"/>
      <c r="G24792"/>
      <c r="H24792"/>
      <c r="I24792"/>
    </row>
    <row r="24793" spans="6:9" x14ac:dyDescent="0.3">
      <c r="F24793"/>
      <c r="G24793"/>
      <c r="H24793"/>
      <c r="I24793"/>
    </row>
    <row r="24794" spans="6:9" x14ac:dyDescent="0.3">
      <c r="F24794"/>
      <c r="G24794"/>
      <c r="H24794"/>
      <c r="I24794"/>
    </row>
    <row r="24795" spans="6:9" x14ac:dyDescent="0.3">
      <c r="F24795"/>
      <c r="G24795"/>
      <c r="H24795"/>
      <c r="I24795"/>
    </row>
    <row r="24796" spans="6:9" x14ac:dyDescent="0.3">
      <c r="F24796"/>
      <c r="G24796"/>
      <c r="H24796"/>
      <c r="I24796"/>
    </row>
    <row r="24797" spans="6:9" x14ac:dyDescent="0.3">
      <c r="F24797"/>
      <c r="G24797"/>
      <c r="H24797"/>
      <c r="I24797"/>
    </row>
    <row r="24798" spans="6:9" x14ac:dyDescent="0.3">
      <c r="F24798"/>
      <c r="G24798"/>
      <c r="H24798"/>
      <c r="I24798"/>
    </row>
    <row r="24799" spans="6:9" x14ac:dyDescent="0.3">
      <c r="F24799"/>
      <c r="G24799"/>
      <c r="H24799"/>
      <c r="I24799"/>
    </row>
    <row r="24800" spans="6:9" x14ac:dyDescent="0.3">
      <c r="F24800"/>
      <c r="G24800"/>
      <c r="H24800"/>
      <c r="I24800"/>
    </row>
    <row r="24801" spans="6:9" x14ac:dyDescent="0.3">
      <c r="F24801"/>
      <c r="G24801"/>
      <c r="H24801"/>
      <c r="I24801"/>
    </row>
    <row r="24802" spans="6:9" x14ac:dyDescent="0.3">
      <c r="F24802"/>
      <c r="G24802"/>
      <c r="H24802"/>
      <c r="I24802"/>
    </row>
    <row r="24803" spans="6:9" x14ac:dyDescent="0.3">
      <c r="F24803"/>
      <c r="G24803"/>
      <c r="H24803"/>
      <c r="I24803"/>
    </row>
    <row r="24804" spans="6:9" x14ac:dyDescent="0.3">
      <c r="F24804"/>
      <c r="G24804"/>
      <c r="H24804"/>
      <c r="I24804"/>
    </row>
    <row r="24805" spans="6:9" x14ac:dyDescent="0.3">
      <c r="F24805"/>
      <c r="G24805"/>
      <c r="H24805"/>
      <c r="I24805"/>
    </row>
    <row r="24806" spans="6:9" x14ac:dyDescent="0.3">
      <c r="F24806"/>
      <c r="G24806"/>
      <c r="H24806"/>
      <c r="I24806"/>
    </row>
    <row r="24807" spans="6:9" x14ac:dyDescent="0.3">
      <c r="F24807"/>
      <c r="G24807"/>
      <c r="H24807"/>
      <c r="I24807"/>
    </row>
    <row r="24808" spans="6:9" x14ac:dyDescent="0.3">
      <c r="F24808"/>
      <c r="G24808"/>
      <c r="H24808"/>
      <c r="I24808"/>
    </row>
    <row r="24809" spans="6:9" x14ac:dyDescent="0.3">
      <c r="F24809"/>
      <c r="G24809"/>
      <c r="H24809"/>
      <c r="I24809"/>
    </row>
    <row r="24810" spans="6:9" x14ac:dyDescent="0.3">
      <c r="F24810"/>
      <c r="G24810"/>
      <c r="H24810"/>
      <c r="I24810"/>
    </row>
    <row r="24811" spans="6:9" x14ac:dyDescent="0.3">
      <c r="F24811"/>
      <c r="G24811"/>
      <c r="H24811"/>
      <c r="I24811"/>
    </row>
    <row r="24812" spans="6:9" x14ac:dyDescent="0.3">
      <c r="F24812"/>
      <c r="G24812"/>
      <c r="H24812"/>
      <c r="I24812"/>
    </row>
    <row r="24813" spans="6:9" x14ac:dyDescent="0.3">
      <c r="F24813"/>
      <c r="G24813"/>
      <c r="H24813"/>
      <c r="I24813"/>
    </row>
    <row r="24814" spans="6:9" x14ac:dyDescent="0.3">
      <c r="F24814"/>
      <c r="G24814"/>
      <c r="H24814"/>
      <c r="I24814"/>
    </row>
    <row r="24815" spans="6:9" x14ac:dyDescent="0.3">
      <c r="F24815"/>
      <c r="G24815"/>
      <c r="H24815"/>
      <c r="I24815"/>
    </row>
    <row r="24816" spans="6:9" x14ac:dyDescent="0.3">
      <c r="F24816"/>
      <c r="G24816"/>
      <c r="H24816"/>
      <c r="I24816"/>
    </row>
    <row r="24817" spans="6:9" x14ac:dyDescent="0.3">
      <c r="F24817"/>
      <c r="G24817"/>
      <c r="H24817"/>
      <c r="I24817"/>
    </row>
    <row r="24818" spans="6:9" x14ac:dyDescent="0.3">
      <c r="F24818"/>
      <c r="G24818"/>
      <c r="H24818"/>
      <c r="I24818"/>
    </row>
    <row r="24819" spans="6:9" x14ac:dyDescent="0.3">
      <c r="F24819"/>
      <c r="G24819"/>
      <c r="H24819"/>
      <c r="I24819"/>
    </row>
    <row r="24820" spans="6:9" x14ac:dyDescent="0.3">
      <c r="F24820"/>
      <c r="G24820"/>
      <c r="H24820"/>
      <c r="I24820"/>
    </row>
    <row r="24821" spans="6:9" x14ac:dyDescent="0.3">
      <c r="F24821"/>
      <c r="G24821"/>
      <c r="H24821"/>
      <c r="I24821"/>
    </row>
    <row r="24822" spans="6:9" x14ac:dyDescent="0.3">
      <c r="F24822"/>
      <c r="G24822"/>
      <c r="H24822"/>
      <c r="I24822"/>
    </row>
    <row r="24823" spans="6:9" x14ac:dyDescent="0.3">
      <c r="F24823"/>
      <c r="G24823"/>
      <c r="H24823"/>
      <c r="I24823"/>
    </row>
    <row r="24824" spans="6:9" x14ac:dyDescent="0.3">
      <c r="F24824"/>
      <c r="G24824"/>
      <c r="H24824"/>
      <c r="I24824"/>
    </row>
    <row r="24825" spans="6:9" x14ac:dyDescent="0.3">
      <c r="F24825"/>
      <c r="G24825"/>
      <c r="H24825"/>
      <c r="I24825"/>
    </row>
    <row r="24826" spans="6:9" x14ac:dyDescent="0.3">
      <c r="F24826"/>
      <c r="G24826"/>
      <c r="H24826"/>
      <c r="I24826"/>
    </row>
    <row r="24827" spans="6:9" x14ac:dyDescent="0.3">
      <c r="F24827"/>
      <c r="G24827"/>
      <c r="H24827"/>
      <c r="I24827"/>
    </row>
    <row r="24828" spans="6:9" x14ac:dyDescent="0.3">
      <c r="F24828"/>
      <c r="G24828"/>
      <c r="H24828"/>
      <c r="I24828"/>
    </row>
    <row r="24829" spans="6:9" x14ac:dyDescent="0.3">
      <c r="F24829"/>
      <c r="G24829"/>
      <c r="H24829"/>
      <c r="I24829"/>
    </row>
    <row r="24830" spans="6:9" x14ac:dyDescent="0.3">
      <c r="F24830"/>
      <c r="G24830"/>
      <c r="H24830"/>
      <c r="I24830"/>
    </row>
    <row r="24831" spans="6:9" x14ac:dyDescent="0.3">
      <c r="F24831"/>
      <c r="G24831"/>
      <c r="H24831"/>
      <c r="I24831"/>
    </row>
    <row r="24832" spans="6:9" x14ac:dyDescent="0.3">
      <c r="F24832"/>
      <c r="G24832"/>
      <c r="H24832"/>
      <c r="I24832"/>
    </row>
    <row r="24833" spans="6:9" x14ac:dyDescent="0.3">
      <c r="F24833"/>
      <c r="G24833"/>
      <c r="H24833"/>
      <c r="I24833"/>
    </row>
    <row r="24834" spans="6:9" x14ac:dyDescent="0.3">
      <c r="F24834"/>
      <c r="G24834"/>
      <c r="H24834"/>
      <c r="I24834"/>
    </row>
    <row r="24835" spans="6:9" x14ac:dyDescent="0.3">
      <c r="F24835"/>
      <c r="G24835"/>
      <c r="H24835"/>
      <c r="I24835"/>
    </row>
    <row r="24836" spans="6:9" x14ac:dyDescent="0.3">
      <c r="F24836"/>
      <c r="G24836"/>
      <c r="H24836"/>
      <c r="I24836"/>
    </row>
    <row r="24837" spans="6:9" x14ac:dyDescent="0.3">
      <c r="F24837"/>
      <c r="G24837"/>
      <c r="H24837"/>
      <c r="I24837"/>
    </row>
    <row r="24838" spans="6:9" x14ac:dyDescent="0.3">
      <c r="F24838"/>
      <c r="G24838"/>
      <c r="H24838"/>
      <c r="I24838"/>
    </row>
    <row r="24839" spans="6:9" x14ac:dyDescent="0.3">
      <c r="F24839"/>
      <c r="G24839"/>
      <c r="H24839"/>
      <c r="I24839"/>
    </row>
    <row r="24840" spans="6:9" x14ac:dyDescent="0.3">
      <c r="F24840"/>
      <c r="G24840"/>
      <c r="H24840"/>
      <c r="I24840"/>
    </row>
    <row r="24841" spans="6:9" x14ac:dyDescent="0.3">
      <c r="F24841"/>
      <c r="G24841"/>
      <c r="H24841"/>
      <c r="I24841"/>
    </row>
    <row r="24842" spans="6:9" x14ac:dyDescent="0.3">
      <c r="F24842"/>
      <c r="G24842"/>
      <c r="H24842"/>
      <c r="I24842"/>
    </row>
    <row r="24843" spans="6:9" x14ac:dyDescent="0.3">
      <c r="F24843"/>
      <c r="G24843"/>
      <c r="H24843"/>
      <c r="I24843"/>
    </row>
    <row r="24844" spans="6:9" x14ac:dyDescent="0.3">
      <c r="F24844"/>
      <c r="G24844"/>
      <c r="H24844"/>
      <c r="I24844"/>
    </row>
    <row r="24845" spans="6:9" x14ac:dyDescent="0.3">
      <c r="F24845"/>
      <c r="G24845"/>
      <c r="H24845"/>
      <c r="I24845"/>
    </row>
    <row r="24846" spans="6:9" x14ac:dyDescent="0.3">
      <c r="F24846"/>
      <c r="G24846"/>
      <c r="H24846"/>
      <c r="I24846"/>
    </row>
    <row r="24847" spans="6:9" x14ac:dyDescent="0.3">
      <c r="F24847"/>
      <c r="G24847"/>
      <c r="H24847"/>
      <c r="I24847"/>
    </row>
    <row r="24848" spans="6:9" x14ac:dyDescent="0.3">
      <c r="F24848"/>
      <c r="G24848"/>
      <c r="H24848"/>
      <c r="I24848"/>
    </row>
    <row r="24849" spans="6:9" x14ac:dyDescent="0.3">
      <c r="F24849"/>
      <c r="G24849"/>
      <c r="H24849"/>
      <c r="I24849"/>
    </row>
    <row r="24850" spans="6:9" x14ac:dyDescent="0.3">
      <c r="F24850"/>
      <c r="G24850"/>
      <c r="H24850"/>
      <c r="I24850"/>
    </row>
    <row r="24851" spans="6:9" x14ac:dyDescent="0.3">
      <c r="F24851"/>
      <c r="G24851"/>
      <c r="H24851"/>
      <c r="I24851"/>
    </row>
    <row r="24852" spans="6:9" x14ac:dyDescent="0.3">
      <c r="F24852"/>
      <c r="G24852"/>
      <c r="H24852"/>
      <c r="I24852"/>
    </row>
    <row r="24853" spans="6:9" x14ac:dyDescent="0.3">
      <c r="F24853"/>
      <c r="G24853"/>
      <c r="H24853"/>
      <c r="I24853"/>
    </row>
    <row r="24854" spans="6:9" x14ac:dyDescent="0.3">
      <c r="F24854"/>
      <c r="G24854"/>
      <c r="H24854"/>
      <c r="I24854"/>
    </row>
    <row r="24855" spans="6:9" x14ac:dyDescent="0.3">
      <c r="F24855"/>
      <c r="G24855"/>
      <c r="H24855"/>
      <c r="I24855"/>
    </row>
    <row r="24856" spans="6:9" x14ac:dyDescent="0.3">
      <c r="F24856"/>
      <c r="G24856"/>
      <c r="H24856"/>
      <c r="I24856"/>
    </row>
    <row r="24857" spans="6:9" x14ac:dyDescent="0.3">
      <c r="F24857"/>
      <c r="G24857"/>
      <c r="H24857"/>
      <c r="I24857"/>
    </row>
    <row r="24858" spans="6:9" x14ac:dyDescent="0.3">
      <c r="F24858"/>
      <c r="G24858"/>
      <c r="H24858"/>
      <c r="I24858"/>
    </row>
    <row r="24859" spans="6:9" x14ac:dyDescent="0.3">
      <c r="F24859"/>
      <c r="G24859"/>
      <c r="H24859"/>
      <c r="I24859"/>
    </row>
    <row r="24860" spans="6:9" x14ac:dyDescent="0.3">
      <c r="F24860"/>
      <c r="G24860"/>
      <c r="H24860"/>
      <c r="I24860"/>
    </row>
    <row r="24861" spans="6:9" x14ac:dyDescent="0.3">
      <c r="F24861"/>
      <c r="G24861"/>
      <c r="H24861"/>
      <c r="I24861"/>
    </row>
    <row r="24862" spans="6:9" x14ac:dyDescent="0.3">
      <c r="F24862"/>
      <c r="G24862"/>
      <c r="H24862"/>
      <c r="I24862"/>
    </row>
    <row r="24863" spans="6:9" x14ac:dyDescent="0.3">
      <c r="F24863"/>
      <c r="G24863"/>
      <c r="H24863"/>
      <c r="I24863"/>
    </row>
    <row r="24864" spans="6:9" x14ac:dyDescent="0.3">
      <c r="F24864"/>
      <c r="G24864"/>
      <c r="H24864"/>
      <c r="I24864"/>
    </row>
    <row r="24865" spans="6:9" x14ac:dyDescent="0.3">
      <c r="F24865"/>
      <c r="G24865"/>
      <c r="H24865"/>
      <c r="I24865"/>
    </row>
    <row r="24866" spans="6:9" x14ac:dyDescent="0.3">
      <c r="F24866"/>
      <c r="G24866"/>
      <c r="H24866"/>
      <c r="I24866"/>
    </row>
    <row r="24867" spans="6:9" x14ac:dyDescent="0.3">
      <c r="F24867"/>
      <c r="G24867"/>
      <c r="H24867"/>
      <c r="I24867"/>
    </row>
    <row r="24868" spans="6:9" x14ac:dyDescent="0.3">
      <c r="F24868"/>
      <c r="G24868"/>
      <c r="H24868"/>
      <c r="I24868"/>
    </row>
    <row r="24869" spans="6:9" x14ac:dyDescent="0.3">
      <c r="F24869"/>
      <c r="G24869"/>
      <c r="H24869"/>
      <c r="I24869"/>
    </row>
    <row r="24870" spans="6:9" x14ac:dyDescent="0.3">
      <c r="F24870"/>
      <c r="G24870"/>
      <c r="H24870"/>
      <c r="I24870"/>
    </row>
    <row r="24871" spans="6:9" x14ac:dyDescent="0.3">
      <c r="F24871"/>
      <c r="G24871"/>
      <c r="H24871"/>
      <c r="I24871"/>
    </row>
    <row r="24872" spans="6:9" x14ac:dyDescent="0.3">
      <c r="F24872"/>
      <c r="G24872"/>
      <c r="H24872"/>
      <c r="I24872"/>
    </row>
    <row r="24873" spans="6:9" x14ac:dyDescent="0.3">
      <c r="F24873"/>
      <c r="G24873"/>
      <c r="H24873"/>
      <c r="I24873"/>
    </row>
    <row r="24874" spans="6:9" x14ac:dyDescent="0.3">
      <c r="F24874"/>
      <c r="G24874"/>
      <c r="H24874"/>
      <c r="I24874"/>
    </row>
    <row r="24875" spans="6:9" x14ac:dyDescent="0.3">
      <c r="F24875"/>
      <c r="G24875"/>
      <c r="H24875"/>
      <c r="I24875"/>
    </row>
    <row r="24876" spans="6:9" x14ac:dyDescent="0.3">
      <c r="F24876"/>
      <c r="G24876"/>
      <c r="H24876"/>
      <c r="I24876"/>
    </row>
    <row r="24877" spans="6:9" x14ac:dyDescent="0.3">
      <c r="F24877"/>
      <c r="G24877"/>
      <c r="H24877"/>
      <c r="I24877"/>
    </row>
    <row r="24878" spans="6:9" x14ac:dyDescent="0.3">
      <c r="F24878"/>
      <c r="G24878"/>
      <c r="H24878"/>
      <c r="I24878"/>
    </row>
    <row r="24879" spans="6:9" x14ac:dyDescent="0.3">
      <c r="F24879"/>
      <c r="G24879"/>
      <c r="H24879"/>
      <c r="I24879"/>
    </row>
    <row r="24880" spans="6:9" x14ac:dyDescent="0.3">
      <c r="F24880"/>
      <c r="G24880"/>
      <c r="H24880"/>
      <c r="I24880"/>
    </row>
    <row r="24881" spans="6:9" x14ac:dyDescent="0.3">
      <c r="F24881"/>
      <c r="G24881"/>
      <c r="H24881"/>
      <c r="I24881"/>
    </row>
    <row r="24882" spans="6:9" x14ac:dyDescent="0.3">
      <c r="F24882"/>
      <c r="G24882"/>
      <c r="H24882"/>
      <c r="I24882"/>
    </row>
    <row r="24883" spans="6:9" x14ac:dyDescent="0.3">
      <c r="F24883"/>
      <c r="G24883"/>
      <c r="H24883"/>
      <c r="I24883"/>
    </row>
    <row r="24884" spans="6:9" x14ac:dyDescent="0.3">
      <c r="F24884"/>
      <c r="G24884"/>
      <c r="H24884"/>
      <c r="I24884"/>
    </row>
    <row r="24885" spans="6:9" x14ac:dyDescent="0.3">
      <c r="F24885"/>
      <c r="G24885"/>
      <c r="H24885"/>
      <c r="I24885"/>
    </row>
    <row r="24886" spans="6:9" x14ac:dyDescent="0.3">
      <c r="F24886"/>
      <c r="G24886"/>
      <c r="H24886"/>
      <c r="I24886"/>
    </row>
    <row r="24887" spans="6:9" x14ac:dyDescent="0.3">
      <c r="F24887"/>
      <c r="G24887"/>
      <c r="H24887"/>
      <c r="I24887"/>
    </row>
    <row r="24888" spans="6:9" x14ac:dyDescent="0.3">
      <c r="F24888"/>
      <c r="G24888"/>
      <c r="H24888"/>
      <c r="I24888"/>
    </row>
    <row r="24889" spans="6:9" x14ac:dyDescent="0.3">
      <c r="F24889"/>
      <c r="G24889"/>
      <c r="H24889"/>
      <c r="I24889"/>
    </row>
    <row r="24890" spans="6:9" x14ac:dyDescent="0.3">
      <c r="F24890"/>
      <c r="G24890"/>
      <c r="H24890"/>
      <c r="I24890"/>
    </row>
    <row r="24891" spans="6:9" x14ac:dyDescent="0.3">
      <c r="F24891"/>
      <c r="G24891"/>
      <c r="H24891"/>
      <c r="I24891"/>
    </row>
    <row r="24892" spans="6:9" x14ac:dyDescent="0.3">
      <c r="F24892"/>
      <c r="G24892"/>
      <c r="H24892"/>
      <c r="I24892"/>
    </row>
    <row r="24893" spans="6:9" x14ac:dyDescent="0.3">
      <c r="F24893"/>
      <c r="G24893"/>
      <c r="H24893"/>
      <c r="I24893"/>
    </row>
    <row r="24894" spans="6:9" x14ac:dyDescent="0.3">
      <c r="F24894"/>
      <c r="G24894"/>
      <c r="H24894"/>
      <c r="I24894"/>
    </row>
    <row r="24895" spans="6:9" x14ac:dyDescent="0.3">
      <c r="F24895"/>
      <c r="G24895"/>
      <c r="H24895"/>
      <c r="I24895"/>
    </row>
    <row r="24896" spans="6:9" x14ac:dyDescent="0.3">
      <c r="F24896"/>
      <c r="G24896"/>
      <c r="H24896"/>
      <c r="I24896"/>
    </row>
    <row r="24897" spans="6:9" x14ac:dyDescent="0.3">
      <c r="F24897"/>
      <c r="G24897"/>
      <c r="H24897"/>
      <c r="I24897"/>
    </row>
    <row r="24898" spans="6:9" x14ac:dyDescent="0.3">
      <c r="F24898"/>
      <c r="G24898"/>
      <c r="H24898"/>
      <c r="I24898"/>
    </row>
    <row r="24899" spans="6:9" x14ac:dyDescent="0.3">
      <c r="F24899"/>
      <c r="G24899"/>
      <c r="H24899"/>
      <c r="I24899"/>
    </row>
    <row r="24900" spans="6:9" x14ac:dyDescent="0.3">
      <c r="F24900"/>
      <c r="G24900"/>
      <c r="H24900"/>
      <c r="I24900"/>
    </row>
    <row r="24901" spans="6:9" x14ac:dyDescent="0.3">
      <c r="F24901"/>
      <c r="G24901"/>
      <c r="H24901"/>
      <c r="I24901"/>
    </row>
    <row r="24902" spans="6:9" x14ac:dyDescent="0.3">
      <c r="F24902"/>
      <c r="G24902"/>
      <c r="H24902"/>
      <c r="I24902"/>
    </row>
    <row r="24903" spans="6:9" x14ac:dyDescent="0.3">
      <c r="F24903"/>
      <c r="G24903"/>
      <c r="H24903"/>
      <c r="I24903"/>
    </row>
    <row r="24904" spans="6:9" x14ac:dyDescent="0.3">
      <c r="F24904"/>
      <c r="G24904"/>
      <c r="H24904"/>
      <c r="I24904"/>
    </row>
    <row r="24905" spans="6:9" x14ac:dyDescent="0.3">
      <c r="F24905"/>
      <c r="G24905"/>
      <c r="H24905"/>
      <c r="I24905"/>
    </row>
    <row r="24906" spans="6:9" x14ac:dyDescent="0.3">
      <c r="F24906"/>
      <c r="G24906"/>
      <c r="H24906"/>
      <c r="I24906"/>
    </row>
    <row r="24907" spans="6:9" x14ac:dyDescent="0.3">
      <c r="F24907"/>
      <c r="G24907"/>
      <c r="H24907"/>
      <c r="I24907"/>
    </row>
    <row r="24908" spans="6:9" x14ac:dyDescent="0.3">
      <c r="F24908"/>
      <c r="G24908"/>
      <c r="H24908"/>
      <c r="I24908"/>
    </row>
    <row r="24909" spans="6:9" x14ac:dyDescent="0.3">
      <c r="F24909"/>
      <c r="G24909"/>
      <c r="H24909"/>
      <c r="I24909"/>
    </row>
    <row r="24910" spans="6:9" x14ac:dyDescent="0.3">
      <c r="F24910"/>
      <c r="G24910"/>
      <c r="H24910"/>
      <c r="I24910"/>
    </row>
    <row r="24911" spans="6:9" x14ac:dyDescent="0.3">
      <c r="F24911"/>
      <c r="G24911"/>
      <c r="H24911"/>
      <c r="I24911"/>
    </row>
    <row r="24912" spans="6:9" x14ac:dyDescent="0.3">
      <c r="F24912"/>
      <c r="G24912"/>
      <c r="H24912"/>
      <c r="I24912"/>
    </row>
    <row r="24913" spans="6:9" x14ac:dyDescent="0.3">
      <c r="F24913"/>
      <c r="G24913"/>
      <c r="H24913"/>
      <c r="I24913"/>
    </row>
    <row r="24914" spans="6:9" x14ac:dyDescent="0.3">
      <c r="F24914"/>
      <c r="G24914"/>
      <c r="H24914"/>
      <c r="I24914"/>
    </row>
    <row r="24915" spans="6:9" x14ac:dyDescent="0.3">
      <c r="F24915"/>
      <c r="G24915"/>
      <c r="H24915"/>
      <c r="I24915"/>
    </row>
    <row r="24916" spans="6:9" x14ac:dyDescent="0.3">
      <c r="F24916"/>
      <c r="G24916"/>
      <c r="H24916"/>
      <c r="I24916"/>
    </row>
    <row r="24917" spans="6:9" x14ac:dyDescent="0.3">
      <c r="F24917"/>
      <c r="G24917"/>
      <c r="H24917"/>
      <c r="I24917"/>
    </row>
    <row r="24918" spans="6:9" x14ac:dyDescent="0.3">
      <c r="F24918"/>
      <c r="G24918"/>
      <c r="H24918"/>
      <c r="I24918"/>
    </row>
    <row r="24919" spans="6:9" x14ac:dyDescent="0.3">
      <c r="F24919"/>
      <c r="G24919"/>
      <c r="H24919"/>
      <c r="I24919"/>
    </row>
    <row r="24920" spans="6:9" x14ac:dyDescent="0.3">
      <c r="F24920"/>
      <c r="G24920"/>
      <c r="H24920"/>
      <c r="I24920"/>
    </row>
    <row r="24921" spans="6:9" x14ac:dyDescent="0.3">
      <c r="F24921"/>
      <c r="G24921"/>
      <c r="H24921"/>
      <c r="I24921"/>
    </row>
    <row r="24922" spans="6:9" x14ac:dyDescent="0.3">
      <c r="F24922"/>
      <c r="G24922"/>
      <c r="H24922"/>
      <c r="I24922"/>
    </row>
    <row r="24923" spans="6:9" x14ac:dyDescent="0.3">
      <c r="F24923"/>
      <c r="G24923"/>
      <c r="H24923"/>
      <c r="I24923"/>
    </row>
    <row r="24924" spans="6:9" x14ac:dyDescent="0.3">
      <c r="F24924"/>
      <c r="G24924"/>
      <c r="H24924"/>
      <c r="I24924"/>
    </row>
    <row r="24925" spans="6:9" x14ac:dyDescent="0.3">
      <c r="F24925"/>
      <c r="G24925"/>
      <c r="H24925"/>
      <c r="I24925"/>
    </row>
    <row r="24926" spans="6:9" x14ac:dyDescent="0.3">
      <c r="F24926"/>
      <c r="G24926"/>
      <c r="H24926"/>
      <c r="I24926"/>
    </row>
    <row r="24927" spans="6:9" x14ac:dyDescent="0.3">
      <c r="F24927"/>
      <c r="G24927"/>
      <c r="H24927"/>
      <c r="I24927"/>
    </row>
    <row r="24928" spans="6:9" x14ac:dyDescent="0.3">
      <c r="F24928"/>
      <c r="G24928"/>
      <c r="H24928"/>
      <c r="I24928"/>
    </row>
    <row r="24929" spans="6:9" x14ac:dyDescent="0.3">
      <c r="F24929"/>
      <c r="G24929"/>
      <c r="H24929"/>
      <c r="I24929"/>
    </row>
    <row r="24930" spans="6:9" x14ac:dyDescent="0.3">
      <c r="F24930"/>
      <c r="G24930"/>
      <c r="H24930"/>
      <c r="I24930"/>
    </row>
    <row r="24931" spans="6:9" x14ac:dyDescent="0.3">
      <c r="F24931"/>
      <c r="G24931"/>
      <c r="H24931"/>
      <c r="I24931"/>
    </row>
    <row r="24932" spans="6:9" x14ac:dyDescent="0.3">
      <c r="F24932"/>
      <c r="G24932"/>
      <c r="H24932"/>
      <c r="I24932"/>
    </row>
    <row r="24933" spans="6:9" x14ac:dyDescent="0.3">
      <c r="F24933"/>
      <c r="G24933"/>
      <c r="H24933"/>
      <c r="I24933"/>
    </row>
    <row r="24934" spans="6:9" x14ac:dyDescent="0.3">
      <c r="F24934"/>
      <c r="G24934"/>
      <c r="H24934"/>
      <c r="I24934"/>
    </row>
    <row r="24935" spans="6:9" x14ac:dyDescent="0.3">
      <c r="F24935"/>
      <c r="G24935"/>
      <c r="H24935"/>
      <c r="I24935"/>
    </row>
    <row r="24936" spans="6:9" x14ac:dyDescent="0.3">
      <c r="F24936"/>
      <c r="G24936"/>
      <c r="H24936"/>
      <c r="I24936"/>
    </row>
    <row r="24937" spans="6:9" x14ac:dyDescent="0.3">
      <c r="F24937"/>
      <c r="G24937"/>
      <c r="H24937"/>
      <c r="I24937"/>
    </row>
    <row r="24938" spans="6:9" x14ac:dyDescent="0.3">
      <c r="F24938"/>
      <c r="G24938"/>
      <c r="H24938"/>
      <c r="I24938"/>
    </row>
    <row r="24939" spans="6:9" x14ac:dyDescent="0.3">
      <c r="F24939"/>
      <c r="G24939"/>
      <c r="H24939"/>
      <c r="I24939"/>
    </row>
    <row r="24940" spans="6:9" x14ac:dyDescent="0.3">
      <c r="F24940"/>
      <c r="G24940"/>
      <c r="H24940"/>
      <c r="I24940"/>
    </row>
    <row r="24941" spans="6:9" x14ac:dyDescent="0.3">
      <c r="F24941"/>
      <c r="G24941"/>
      <c r="H24941"/>
      <c r="I24941"/>
    </row>
    <row r="24942" spans="6:9" x14ac:dyDescent="0.3">
      <c r="F24942"/>
      <c r="G24942"/>
      <c r="H24942"/>
      <c r="I24942"/>
    </row>
    <row r="24943" spans="6:9" x14ac:dyDescent="0.3">
      <c r="F24943"/>
      <c r="G24943"/>
      <c r="H24943"/>
      <c r="I24943"/>
    </row>
    <row r="24944" spans="6:9" x14ac:dyDescent="0.3">
      <c r="F24944"/>
      <c r="G24944"/>
      <c r="H24944"/>
      <c r="I24944"/>
    </row>
    <row r="24945" spans="6:9" x14ac:dyDescent="0.3">
      <c r="F24945"/>
      <c r="G24945"/>
      <c r="H24945"/>
      <c r="I24945"/>
    </row>
    <row r="24946" spans="6:9" x14ac:dyDescent="0.3">
      <c r="F24946"/>
      <c r="G24946"/>
      <c r="H24946"/>
      <c r="I24946"/>
    </row>
    <row r="24947" spans="6:9" x14ac:dyDescent="0.3">
      <c r="F24947"/>
      <c r="G24947"/>
      <c r="H24947"/>
      <c r="I24947"/>
    </row>
    <row r="24948" spans="6:9" x14ac:dyDescent="0.3">
      <c r="F24948"/>
      <c r="G24948"/>
      <c r="H24948"/>
      <c r="I24948"/>
    </row>
    <row r="24949" spans="6:9" x14ac:dyDescent="0.3">
      <c r="F24949"/>
      <c r="G24949"/>
      <c r="H24949"/>
      <c r="I24949"/>
    </row>
    <row r="24950" spans="6:9" x14ac:dyDescent="0.3">
      <c r="F24950"/>
      <c r="G24950"/>
      <c r="H24950"/>
      <c r="I24950"/>
    </row>
    <row r="24951" spans="6:9" x14ac:dyDescent="0.3">
      <c r="F24951"/>
      <c r="G24951"/>
      <c r="H24951"/>
      <c r="I24951"/>
    </row>
    <row r="24952" spans="6:9" x14ac:dyDescent="0.3">
      <c r="F24952"/>
      <c r="G24952"/>
      <c r="H24952"/>
      <c r="I24952"/>
    </row>
    <row r="24953" spans="6:9" x14ac:dyDescent="0.3">
      <c r="F24953"/>
      <c r="G24953"/>
      <c r="H24953"/>
      <c r="I24953"/>
    </row>
    <row r="24954" spans="6:9" x14ac:dyDescent="0.3">
      <c r="F24954"/>
      <c r="G24954"/>
      <c r="H24954"/>
      <c r="I24954"/>
    </row>
    <row r="24955" spans="6:9" x14ac:dyDescent="0.3">
      <c r="F24955"/>
      <c r="G24955"/>
      <c r="H24955"/>
      <c r="I24955"/>
    </row>
    <row r="24956" spans="6:9" x14ac:dyDescent="0.3">
      <c r="F24956"/>
      <c r="G24956"/>
      <c r="H24956"/>
      <c r="I24956"/>
    </row>
    <row r="24957" spans="6:9" x14ac:dyDescent="0.3">
      <c r="F24957"/>
      <c r="G24957"/>
      <c r="H24957"/>
      <c r="I24957"/>
    </row>
    <row r="24958" spans="6:9" x14ac:dyDescent="0.3">
      <c r="F24958"/>
      <c r="G24958"/>
      <c r="H24958"/>
      <c r="I24958"/>
    </row>
    <row r="24959" spans="6:9" x14ac:dyDescent="0.3">
      <c r="F24959"/>
      <c r="G24959"/>
      <c r="H24959"/>
      <c r="I24959"/>
    </row>
    <row r="24960" spans="6:9" x14ac:dyDescent="0.3">
      <c r="F24960"/>
      <c r="G24960"/>
      <c r="H24960"/>
      <c r="I24960"/>
    </row>
    <row r="24961" spans="6:9" x14ac:dyDescent="0.3">
      <c r="F24961"/>
      <c r="G24961"/>
      <c r="H24961"/>
      <c r="I24961"/>
    </row>
    <row r="24962" spans="6:9" x14ac:dyDescent="0.3">
      <c r="F24962"/>
      <c r="G24962"/>
      <c r="H24962"/>
      <c r="I24962"/>
    </row>
    <row r="24963" spans="6:9" x14ac:dyDescent="0.3">
      <c r="F24963"/>
      <c r="G24963"/>
      <c r="H24963"/>
      <c r="I24963"/>
    </row>
    <row r="24964" spans="6:9" x14ac:dyDescent="0.3">
      <c r="F24964"/>
      <c r="G24964"/>
      <c r="H24964"/>
      <c r="I24964"/>
    </row>
    <row r="24965" spans="6:9" x14ac:dyDescent="0.3">
      <c r="F24965"/>
      <c r="G24965"/>
      <c r="H24965"/>
      <c r="I24965"/>
    </row>
    <row r="24966" spans="6:9" x14ac:dyDescent="0.3">
      <c r="F24966"/>
      <c r="G24966"/>
      <c r="H24966"/>
      <c r="I24966"/>
    </row>
    <row r="24967" spans="6:9" x14ac:dyDescent="0.3">
      <c r="F24967"/>
      <c r="G24967"/>
      <c r="H24967"/>
      <c r="I24967"/>
    </row>
    <row r="24968" spans="6:9" x14ac:dyDescent="0.3">
      <c r="F24968"/>
      <c r="G24968"/>
      <c r="H24968"/>
      <c r="I24968"/>
    </row>
    <row r="24969" spans="6:9" x14ac:dyDescent="0.3">
      <c r="F24969"/>
      <c r="G24969"/>
      <c r="H24969"/>
      <c r="I24969"/>
    </row>
    <row r="24970" spans="6:9" x14ac:dyDescent="0.3">
      <c r="F24970"/>
      <c r="G24970"/>
      <c r="H24970"/>
      <c r="I24970"/>
    </row>
    <row r="24971" spans="6:9" x14ac:dyDescent="0.3">
      <c r="F24971"/>
      <c r="G24971"/>
      <c r="H24971"/>
      <c r="I24971"/>
    </row>
    <row r="24972" spans="6:9" x14ac:dyDescent="0.3">
      <c r="F24972"/>
      <c r="G24972"/>
      <c r="H24972"/>
      <c r="I24972"/>
    </row>
    <row r="24973" spans="6:9" x14ac:dyDescent="0.3">
      <c r="F24973"/>
      <c r="G24973"/>
      <c r="H24973"/>
      <c r="I24973"/>
    </row>
    <row r="24974" spans="6:9" x14ac:dyDescent="0.3">
      <c r="F24974"/>
      <c r="G24974"/>
      <c r="H24974"/>
      <c r="I24974"/>
    </row>
    <row r="24975" spans="6:9" x14ac:dyDescent="0.3">
      <c r="F24975"/>
      <c r="G24975"/>
      <c r="H24975"/>
      <c r="I24975"/>
    </row>
    <row r="24976" spans="6:9" x14ac:dyDescent="0.3">
      <c r="F24976"/>
      <c r="G24976"/>
      <c r="H24976"/>
      <c r="I24976"/>
    </row>
    <row r="24977" spans="6:9" x14ac:dyDescent="0.3">
      <c r="F24977"/>
      <c r="G24977"/>
      <c r="H24977"/>
      <c r="I24977"/>
    </row>
    <row r="24978" spans="6:9" x14ac:dyDescent="0.3">
      <c r="F24978"/>
      <c r="G24978"/>
      <c r="H24978"/>
      <c r="I24978"/>
    </row>
    <row r="24979" spans="6:9" x14ac:dyDescent="0.3">
      <c r="F24979"/>
      <c r="G24979"/>
      <c r="H24979"/>
      <c r="I24979"/>
    </row>
    <row r="24980" spans="6:9" x14ac:dyDescent="0.3">
      <c r="F24980"/>
      <c r="G24980"/>
      <c r="H24980"/>
      <c r="I24980"/>
    </row>
    <row r="24981" spans="6:9" x14ac:dyDescent="0.3">
      <c r="F24981"/>
      <c r="G24981"/>
      <c r="H24981"/>
      <c r="I24981"/>
    </row>
    <row r="24982" spans="6:9" x14ac:dyDescent="0.3">
      <c r="F24982"/>
      <c r="G24982"/>
      <c r="H24982"/>
      <c r="I24982"/>
    </row>
    <row r="24983" spans="6:9" x14ac:dyDescent="0.3">
      <c r="F24983"/>
      <c r="G24983"/>
      <c r="H24983"/>
      <c r="I24983"/>
    </row>
    <row r="24984" spans="6:9" x14ac:dyDescent="0.3">
      <c r="F24984"/>
      <c r="G24984"/>
      <c r="H24984"/>
      <c r="I24984"/>
    </row>
    <row r="24985" spans="6:9" x14ac:dyDescent="0.3">
      <c r="F24985"/>
      <c r="G24985"/>
      <c r="H24985"/>
      <c r="I24985"/>
    </row>
    <row r="24986" spans="6:9" x14ac:dyDescent="0.3">
      <c r="F24986"/>
      <c r="G24986"/>
      <c r="H24986"/>
      <c r="I24986"/>
    </row>
    <row r="24987" spans="6:9" x14ac:dyDescent="0.3">
      <c r="F24987"/>
      <c r="G24987"/>
      <c r="H24987"/>
      <c r="I24987"/>
    </row>
    <row r="24988" spans="6:9" x14ac:dyDescent="0.3">
      <c r="F24988"/>
      <c r="G24988"/>
      <c r="H24988"/>
      <c r="I24988"/>
    </row>
    <row r="24989" spans="6:9" x14ac:dyDescent="0.3">
      <c r="F24989"/>
      <c r="G24989"/>
      <c r="H24989"/>
      <c r="I24989"/>
    </row>
    <row r="24990" spans="6:9" x14ac:dyDescent="0.3">
      <c r="F24990"/>
      <c r="G24990"/>
      <c r="H24990"/>
      <c r="I24990"/>
    </row>
    <row r="24991" spans="6:9" x14ac:dyDescent="0.3">
      <c r="F24991"/>
      <c r="G24991"/>
      <c r="H24991"/>
      <c r="I24991"/>
    </row>
    <row r="24992" spans="6:9" x14ac:dyDescent="0.3">
      <c r="F24992"/>
      <c r="G24992"/>
      <c r="H24992"/>
      <c r="I24992"/>
    </row>
    <row r="24993" spans="6:9" x14ac:dyDescent="0.3">
      <c r="F24993"/>
      <c r="G24993"/>
      <c r="H24993"/>
      <c r="I24993"/>
    </row>
    <row r="24994" spans="6:9" x14ac:dyDescent="0.3">
      <c r="F24994"/>
      <c r="G24994"/>
      <c r="H24994"/>
      <c r="I24994"/>
    </row>
    <row r="24995" spans="6:9" x14ac:dyDescent="0.3">
      <c r="F24995"/>
      <c r="G24995"/>
      <c r="H24995"/>
      <c r="I24995"/>
    </row>
    <row r="24996" spans="6:9" x14ac:dyDescent="0.3">
      <c r="F24996"/>
      <c r="G24996"/>
      <c r="H24996"/>
      <c r="I24996"/>
    </row>
    <row r="24997" spans="6:9" x14ac:dyDescent="0.3">
      <c r="F24997"/>
      <c r="G24997"/>
      <c r="H24997"/>
      <c r="I24997"/>
    </row>
    <row r="24998" spans="6:9" x14ac:dyDescent="0.3">
      <c r="F24998"/>
      <c r="G24998"/>
      <c r="H24998"/>
      <c r="I24998"/>
    </row>
    <row r="24999" spans="6:9" x14ac:dyDescent="0.3">
      <c r="F24999"/>
      <c r="G24999"/>
      <c r="H24999"/>
      <c r="I24999"/>
    </row>
    <row r="25000" spans="6:9" x14ac:dyDescent="0.3">
      <c r="F25000"/>
      <c r="G25000"/>
      <c r="H25000"/>
      <c r="I25000"/>
    </row>
    <row r="25001" spans="6:9" x14ac:dyDescent="0.3">
      <c r="F25001"/>
      <c r="G25001"/>
      <c r="H25001"/>
      <c r="I25001"/>
    </row>
    <row r="25002" spans="6:9" x14ac:dyDescent="0.3">
      <c r="F25002"/>
      <c r="G25002"/>
      <c r="H25002"/>
      <c r="I25002"/>
    </row>
    <row r="25003" spans="6:9" x14ac:dyDescent="0.3">
      <c r="F25003"/>
      <c r="G25003"/>
      <c r="H25003"/>
      <c r="I25003"/>
    </row>
    <row r="25004" spans="6:9" x14ac:dyDescent="0.3">
      <c r="F25004"/>
      <c r="G25004"/>
      <c r="H25004"/>
      <c r="I25004"/>
    </row>
    <row r="25005" spans="6:9" x14ac:dyDescent="0.3">
      <c r="F25005"/>
      <c r="G25005"/>
      <c r="H25005"/>
      <c r="I25005"/>
    </row>
    <row r="25006" spans="6:9" x14ac:dyDescent="0.3">
      <c r="F25006"/>
      <c r="G25006"/>
      <c r="H25006"/>
      <c r="I25006"/>
    </row>
    <row r="25007" spans="6:9" x14ac:dyDescent="0.3">
      <c r="F25007"/>
      <c r="G25007"/>
      <c r="H25007"/>
      <c r="I25007"/>
    </row>
    <row r="25008" spans="6:9" x14ac:dyDescent="0.3">
      <c r="F25008"/>
      <c r="G25008"/>
      <c r="H25008"/>
      <c r="I25008"/>
    </row>
    <row r="25009" spans="6:9" x14ac:dyDescent="0.3">
      <c r="F25009"/>
      <c r="G25009"/>
      <c r="H25009"/>
      <c r="I25009"/>
    </row>
    <row r="25010" spans="6:9" x14ac:dyDescent="0.3">
      <c r="F25010"/>
      <c r="G25010"/>
      <c r="H25010"/>
      <c r="I25010"/>
    </row>
    <row r="25011" spans="6:9" x14ac:dyDescent="0.3">
      <c r="F25011"/>
      <c r="G25011"/>
      <c r="H25011"/>
      <c r="I25011"/>
    </row>
    <row r="25012" spans="6:9" x14ac:dyDescent="0.3">
      <c r="F25012"/>
      <c r="G25012"/>
      <c r="H25012"/>
      <c r="I25012"/>
    </row>
    <row r="25013" spans="6:9" x14ac:dyDescent="0.3">
      <c r="F25013"/>
      <c r="G25013"/>
      <c r="H25013"/>
      <c r="I25013"/>
    </row>
    <row r="25014" spans="6:9" x14ac:dyDescent="0.3">
      <c r="F25014"/>
      <c r="G25014"/>
      <c r="H25014"/>
      <c r="I25014"/>
    </row>
    <row r="25015" spans="6:9" x14ac:dyDescent="0.3">
      <c r="F25015"/>
      <c r="G25015"/>
      <c r="H25015"/>
      <c r="I25015"/>
    </row>
    <row r="25016" spans="6:9" x14ac:dyDescent="0.3">
      <c r="F25016"/>
      <c r="G25016"/>
      <c r="H25016"/>
      <c r="I25016"/>
    </row>
    <row r="25017" spans="6:9" x14ac:dyDescent="0.3">
      <c r="F25017"/>
      <c r="G25017"/>
      <c r="H25017"/>
      <c r="I25017"/>
    </row>
    <row r="25018" spans="6:9" x14ac:dyDescent="0.3">
      <c r="F25018"/>
      <c r="G25018"/>
      <c r="H25018"/>
      <c r="I25018"/>
    </row>
    <row r="25019" spans="6:9" x14ac:dyDescent="0.3">
      <c r="F25019"/>
      <c r="G25019"/>
      <c r="H25019"/>
      <c r="I25019"/>
    </row>
    <row r="25020" spans="6:9" x14ac:dyDescent="0.3">
      <c r="F25020"/>
      <c r="G25020"/>
      <c r="H25020"/>
      <c r="I25020"/>
    </row>
    <row r="25021" spans="6:9" x14ac:dyDescent="0.3">
      <c r="F25021"/>
      <c r="G25021"/>
      <c r="H25021"/>
      <c r="I25021"/>
    </row>
    <row r="25022" spans="6:9" x14ac:dyDescent="0.3">
      <c r="F25022"/>
      <c r="G25022"/>
      <c r="H25022"/>
      <c r="I25022"/>
    </row>
    <row r="25023" spans="6:9" x14ac:dyDescent="0.3">
      <c r="F25023"/>
      <c r="G25023"/>
      <c r="H25023"/>
      <c r="I25023"/>
    </row>
    <row r="25024" spans="6:9" x14ac:dyDescent="0.3">
      <c r="F25024"/>
      <c r="G25024"/>
      <c r="H25024"/>
      <c r="I25024"/>
    </row>
    <row r="25025" spans="6:9" x14ac:dyDescent="0.3">
      <c r="F25025"/>
      <c r="G25025"/>
      <c r="H25025"/>
      <c r="I25025"/>
    </row>
    <row r="25026" spans="6:9" x14ac:dyDescent="0.3">
      <c r="F25026"/>
      <c r="G25026"/>
      <c r="H25026"/>
      <c r="I25026"/>
    </row>
    <row r="25027" spans="6:9" x14ac:dyDescent="0.3">
      <c r="F25027"/>
      <c r="G25027"/>
      <c r="H25027"/>
      <c r="I25027"/>
    </row>
    <row r="25028" spans="6:9" x14ac:dyDescent="0.3">
      <c r="F25028"/>
      <c r="G25028"/>
      <c r="H25028"/>
      <c r="I25028"/>
    </row>
    <row r="25029" spans="6:9" x14ac:dyDescent="0.3">
      <c r="F25029"/>
      <c r="G25029"/>
      <c r="H25029"/>
      <c r="I25029"/>
    </row>
    <row r="25030" spans="6:9" x14ac:dyDescent="0.3">
      <c r="F25030"/>
      <c r="G25030"/>
      <c r="H25030"/>
      <c r="I25030"/>
    </row>
    <row r="25031" spans="6:9" x14ac:dyDescent="0.3">
      <c r="F25031"/>
      <c r="G25031"/>
      <c r="H25031"/>
      <c r="I25031"/>
    </row>
    <row r="25032" spans="6:9" x14ac:dyDescent="0.3">
      <c r="F25032"/>
      <c r="G25032"/>
      <c r="H25032"/>
      <c r="I25032"/>
    </row>
    <row r="25033" spans="6:9" x14ac:dyDescent="0.3">
      <c r="F25033"/>
      <c r="G25033"/>
      <c r="H25033"/>
      <c r="I25033"/>
    </row>
    <row r="25034" spans="6:9" x14ac:dyDescent="0.3">
      <c r="F25034"/>
      <c r="G25034"/>
      <c r="H25034"/>
      <c r="I25034"/>
    </row>
    <row r="25035" spans="6:9" x14ac:dyDescent="0.3">
      <c r="F25035"/>
      <c r="G25035"/>
      <c r="H25035"/>
      <c r="I25035"/>
    </row>
    <row r="25036" spans="6:9" x14ac:dyDescent="0.3">
      <c r="F25036"/>
      <c r="G25036"/>
      <c r="H25036"/>
      <c r="I25036"/>
    </row>
    <row r="25037" spans="6:9" x14ac:dyDescent="0.3">
      <c r="F25037"/>
      <c r="G25037"/>
      <c r="H25037"/>
      <c r="I25037"/>
    </row>
    <row r="25038" spans="6:9" x14ac:dyDescent="0.3">
      <c r="F25038"/>
      <c r="G25038"/>
      <c r="H25038"/>
      <c r="I25038"/>
    </row>
    <row r="25039" spans="6:9" x14ac:dyDescent="0.3">
      <c r="F25039"/>
      <c r="G25039"/>
      <c r="H25039"/>
      <c r="I25039"/>
    </row>
    <row r="25040" spans="6:9" x14ac:dyDescent="0.3">
      <c r="F25040"/>
      <c r="G25040"/>
      <c r="H25040"/>
      <c r="I25040"/>
    </row>
    <row r="25041" spans="6:9" x14ac:dyDescent="0.3">
      <c r="F25041"/>
      <c r="G25041"/>
      <c r="H25041"/>
      <c r="I25041"/>
    </row>
    <row r="25042" spans="6:9" x14ac:dyDescent="0.3">
      <c r="F25042"/>
      <c r="G25042"/>
      <c r="H25042"/>
      <c r="I25042"/>
    </row>
    <row r="25043" spans="6:9" x14ac:dyDescent="0.3">
      <c r="F25043"/>
      <c r="G25043"/>
      <c r="H25043"/>
      <c r="I25043"/>
    </row>
    <row r="25044" spans="6:9" x14ac:dyDescent="0.3">
      <c r="F25044"/>
      <c r="G25044"/>
      <c r="H25044"/>
      <c r="I25044"/>
    </row>
    <row r="25045" spans="6:9" x14ac:dyDescent="0.3">
      <c r="F25045"/>
      <c r="G25045"/>
      <c r="H25045"/>
      <c r="I25045"/>
    </row>
    <row r="25046" spans="6:9" x14ac:dyDescent="0.3">
      <c r="F25046"/>
      <c r="G25046"/>
      <c r="H25046"/>
      <c r="I25046"/>
    </row>
    <row r="25047" spans="6:9" x14ac:dyDescent="0.3">
      <c r="F25047"/>
      <c r="G25047"/>
      <c r="H25047"/>
      <c r="I25047"/>
    </row>
    <row r="25048" spans="6:9" x14ac:dyDescent="0.3">
      <c r="F25048"/>
      <c r="G25048"/>
      <c r="H25048"/>
      <c r="I25048"/>
    </row>
    <row r="25049" spans="6:9" x14ac:dyDescent="0.3">
      <c r="F25049"/>
      <c r="G25049"/>
      <c r="H25049"/>
      <c r="I25049"/>
    </row>
    <row r="25050" spans="6:9" x14ac:dyDescent="0.3">
      <c r="F25050"/>
      <c r="G25050"/>
      <c r="H25050"/>
      <c r="I25050"/>
    </row>
    <row r="25051" spans="6:9" x14ac:dyDescent="0.3">
      <c r="F25051"/>
      <c r="G25051"/>
      <c r="H25051"/>
      <c r="I25051"/>
    </row>
    <row r="25052" spans="6:9" x14ac:dyDescent="0.3">
      <c r="F25052"/>
      <c r="G25052"/>
      <c r="H25052"/>
      <c r="I25052"/>
    </row>
    <row r="25053" spans="6:9" x14ac:dyDescent="0.3">
      <c r="F25053"/>
      <c r="G25053"/>
      <c r="H25053"/>
      <c r="I25053"/>
    </row>
    <row r="25054" spans="6:9" x14ac:dyDescent="0.3">
      <c r="F25054"/>
      <c r="G25054"/>
      <c r="H25054"/>
      <c r="I25054"/>
    </row>
    <row r="25055" spans="6:9" x14ac:dyDescent="0.3">
      <c r="F25055"/>
      <c r="G25055"/>
      <c r="H25055"/>
      <c r="I25055"/>
    </row>
    <row r="25056" spans="6:9" x14ac:dyDescent="0.3">
      <c r="F25056"/>
      <c r="G25056"/>
      <c r="H25056"/>
      <c r="I25056"/>
    </row>
    <row r="25057" spans="6:9" x14ac:dyDescent="0.3">
      <c r="F25057"/>
      <c r="G25057"/>
      <c r="H25057"/>
      <c r="I25057"/>
    </row>
    <row r="25058" spans="6:9" x14ac:dyDescent="0.3">
      <c r="F25058"/>
      <c r="G25058"/>
      <c r="H25058"/>
      <c r="I25058"/>
    </row>
    <row r="25059" spans="6:9" x14ac:dyDescent="0.3">
      <c r="F25059"/>
      <c r="G25059"/>
      <c r="H25059"/>
      <c r="I25059"/>
    </row>
    <row r="25060" spans="6:9" x14ac:dyDescent="0.3">
      <c r="F25060"/>
      <c r="G25060"/>
      <c r="H25060"/>
      <c r="I25060"/>
    </row>
    <row r="25061" spans="6:9" x14ac:dyDescent="0.3">
      <c r="F25061"/>
      <c r="G25061"/>
      <c r="H25061"/>
      <c r="I25061"/>
    </row>
    <row r="25062" spans="6:9" x14ac:dyDescent="0.3">
      <c r="F25062"/>
      <c r="G25062"/>
      <c r="H25062"/>
      <c r="I25062"/>
    </row>
    <row r="25063" spans="6:9" x14ac:dyDescent="0.3">
      <c r="F25063"/>
      <c r="G25063"/>
      <c r="H25063"/>
      <c r="I25063"/>
    </row>
    <row r="25064" spans="6:9" x14ac:dyDescent="0.3">
      <c r="F25064"/>
      <c r="G25064"/>
      <c r="H25064"/>
      <c r="I25064"/>
    </row>
    <row r="25065" spans="6:9" x14ac:dyDescent="0.3">
      <c r="F25065"/>
      <c r="G25065"/>
      <c r="H25065"/>
      <c r="I25065"/>
    </row>
    <row r="25066" spans="6:9" x14ac:dyDescent="0.3">
      <c r="F25066"/>
      <c r="G25066"/>
      <c r="H25066"/>
      <c r="I25066"/>
    </row>
    <row r="25067" spans="6:9" x14ac:dyDescent="0.3">
      <c r="F25067"/>
      <c r="G25067"/>
      <c r="H25067"/>
      <c r="I25067"/>
    </row>
    <row r="25068" spans="6:9" x14ac:dyDescent="0.3">
      <c r="F25068"/>
      <c r="G25068"/>
      <c r="H25068"/>
      <c r="I25068"/>
    </row>
    <row r="25069" spans="6:9" x14ac:dyDescent="0.3">
      <c r="F25069"/>
      <c r="G25069"/>
      <c r="H25069"/>
      <c r="I25069"/>
    </row>
    <row r="25070" spans="6:9" x14ac:dyDescent="0.3">
      <c r="F25070"/>
      <c r="G25070"/>
      <c r="H25070"/>
      <c r="I25070"/>
    </row>
    <row r="25071" spans="6:9" x14ac:dyDescent="0.3">
      <c r="F25071"/>
      <c r="G25071"/>
      <c r="H25071"/>
      <c r="I25071"/>
    </row>
    <row r="25072" spans="6:9" x14ac:dyDescent="0.3">
      <c r="F25072"/>
      <c r="G25072"/>
      <c r="H25072"/>
      <c r="I25072"/>
    </row>
    <row r="25073" spans="6:9" x14ac:dyDescent="0.3">
      <c r="F25073"/>
      <c r="G25073"/>
      <c r="H25073"/>
      <c r="I25073"/>
    </row>
    <row r="25074" spans="6:9" x14ac:dyDescent="0.3">
      <c r="F25074"/>
      <c r="G25074"/>
      <c r="H25074"/>
      <c r="I25074"/>
    </row>
    <row r="25075" spans="6:9" x14ac:dyDescent="0.3">
      <c r="F25075"/>
      <c r="G25075"/>
      <c r="H25075"/>
      <c r="I25075"/>
    </row>
    <row r="25076" spans="6:9" x14ac:dyDescent="0.3">
      <c r="F25076"/>
      <c r="G25076"/>
      <c r="H25076"/>
      <c r="I25076"/>
    </row>
    <row r="25077" spans="6:9" x14ac:dyDescent="0.3">
      <c r="F25077"/>
      <c r="G25077"/>
      <c r="H25077"/>
      <c r="I25077"/>
    </row>
    <row r="25078" spans="6:9" x14ac:dyDescent="0.3">
      <c r="F25078"/>
      <c r="G25078"/>
      <c r="H25078"/>
      <c r="I25078"/>
    </row>
    <row r="25079" spans="6:9" x14ac:dyDescent="0.3">
      <c r="F25079"/>
      <c r="G25079"/>
      <c r="H25079"/>
      <c r="I25079"/>
    </row>
    <row r="25080" spans="6:9" x14ac:dyDescent="0.3">
      <c r="F25080"/>
      <c r="G25080"/>
      <c r="H25080"/>
      <c r="I25080"/>
    </row>
    <row r="25081" spans="6:9" x14ac:dyDescent="0.3">
      <c r="F25081"/>
      <c r="G25081"/>
      <c r="H25081"/>
      <c r="I25081"/>
    </row>
    <row r="25082" spans="6:9" x14ac:dyDescent="0.3">
      <c r="F25082"/>
      <c r="G25082"/>
      <c r="H25082"/>
      <c r="I25082"/>
    </row>
    <row r="25083" spans="6:9" x14ac:dyDescent="0.3">
      <c r="F25083"/>
      <c r="G25083"/>
      <c r="H25083"/>
      <c r="I25083"/>
    </row>
    <row r="25084" spans="6:9" x14ac:dyDescent="0.3">
      <c r="F25084"/>
      <c r="G25084"/>
      <c r="H25084"/>
      <c r="I25084"/>
    </row>
    <row r="25085" spans="6:9" x14ac:dyDescent="0.3">
      <c r="F25085"/>
      <c r="G25085"/>
      <c r="H25085"/>
      <c r="I25085"/>
    </row>
    <row r="25086" spans="6:9" x14ac:dyDescent="0.3">
      <c r="F25086"/>
      <c r="G25086"/>
      <c r="H25086"/>
      <c r="I25086"/>
    </row>
    <row r="25087" spans="6:9" x14ac:dyDescent="0.3">
      <c r="F25087"/>
      <c r="G25087"/>
      <c r="H25087"/>
      <c r="I25087"/>
    </row>
    <row r="25088" spans="6:9" x14ac:dyDescent="0.3">
      <c r="F25088"/>
      <c r="G25088"/>
      <c r="H25088"/>
      <c r="I25088"/>
    </row>
    <row r="25089" spans="6:9" x14ac:dyDescent="0.3">
      <c r="F25089"/>
      <c r="G25089"/>
      <c r="H25089"/>
      <c r="I25089"/>
    </row>
    <row r="25090" spans="6:9" x14ac:dyDescent="0.3">
      <c r="F25090"/>
      <c r="G25090"/>
      <c r="H25090"/>
      <c r="I25090"/>
    </row>
    <row r="25091" spans="6:9" x14ac:dyDescent="0.3">
      <c r="F25091"/>
      <c r="G25091"/>
      <c r="H25091"/>
      <c r="I25091"/>
    </row>
    <row r="25092" spans="6:9" x14ac:dyDescent="0.3">
      <c r="F25092"/>
      <c r="G25092"/>
      <c r="H25092"/>
      <c r="I25092"/>
    </row>
    <row r="25093" spans="6:9" x14ac:dyDescent="0.3">
      <c r="F25093"/>
      <c r="G25093"/>
      <c r="H25093"/>
      <c r="I25093"/>
    </row>
    <row r="25094" spans="6:9" x14ac:dyDescent="0.3">
      <c r="F25094"/>
      <c r="G25094"/>
      <c r="H25094"/>
      <c r="I25094"/>
    </row>
    <row r="25095" spans="6:9" x14ac:dyDescent="0.3">
      <c r="F25095"/>
      <c r="G25095"/>
      <c r="H25095"/>
      <c r="I25095"/>
    </row>
    <row r="25096" spans="6:9" x14ac:dyDescent="0.3">
      <c r="F25096"/>
      <c r="G25096"/>
      <c r="H25096"/>
      <c r="I25096"/>
    </row>
    <row r="25097" spans="6:9" x14ac:dyDescent="0.3">
      <c r="F25097"/>
      <c r="G25097"/>
      <c r="H25097"/>
      <c r="I25097"/>
    </row>
    <row r="25098" spans="6:9" x14ac:dyDescent="0.3">
      <c r="F25098"/>
      <c r="G25098"/>
      <c r="H25098"/>
      <c r="I25098"/>
    </row>
    <row r="25099" spans="6:9" x14ac:dyDescent="0.3">
      <c r="F25099"/>
      <c r="G25099"/>
      <c r="H25099"/>
      <c r="I25099"/>
    </row>
    <row r="25100" spans="6:9" x14ac:dyDescent="0.3">
      <c r="F25100"/>
      <c r="G25100"/>
      <c r="H25100"/>
      <c r="I25100"/>
    </row>
    <row r="25101" spans="6:9" x14ac:dyDescent="0.3">
      <c r="F25101"/>
      <c r="G25101"/>
      <c r="H25101"/>
      <c r="I25101"/>
    </row>
    <row r="25102" spans="6:9" x14ac:dyDescent="0.3">
      <c r="F25102"/>
      <c r="G25102"/>
      <c r="H25102"/>
      <c r="I25102"/>
    </row>
    <row r="25103" spans="6:9" x14ac:dyDescent="0.3">
      <c r="F25103"/>
      <c r="G25103"/>
      <c r="H25103"/>
      <c r="I25103"/>
    </row>
    <row r="25104" spans="6:9" x14ac:dyDescent="0.3">
      <c r="F25104"/>
      <c r="G25104"/>
      <c r="H25104"/>
      <c r="I25104"/>
    </row>
    <row r="25105" spans="6:9" x14ac:dyDescent="0.3">
      <c r="F25105"/>
      <c r="G25105"/>
      <c r="H25105"/>
      <c r="I25105"/>
    </row>
    <row r="25106" spans="6:9" x14ac:dyDescent="0.3">
      <c r="F25106"/>
      <c r="G25106"/>
      <c r="H25106"/>
      <c r="I25106"/>
    </row>
    <row r="25107" spans="6:9" x14ac:dyDescent="0.3">
      <c r="F25107"/>
      <c r="G25107"/>
      <c r="H25107"/>
      <c r="I25107"/>
    </row>
    <row r="25108" spans="6:9" x14ac:dyDescent="0.3">
      <c r="F25108"/>
      <c r="G25108"/>
      <c r="H25108"/>
      <c r="I25108"/>
    </row>
    <row r="25109" spans="6:9" x14ac:dyDescent="0.3">
      <c r="F25109"/>
      <c r="G25109"/>
      <c r="H25109"/>
      <c r="I25109"/>
    </row>
    <row r="25110" spans="6:9" x14ac:dyDescent="0.3">
      <c r="F25110"/>
      <c r="G25110"/>
      <c r="H25110"/>
      <c r="I25110"/>
    </row>
    <row r="25111" spans="6:9" x14ac:dyDescent="0.3">
      <c r="F25111"/>
      <c r="G25111"/>
      <c r="H25111"/>
      <c r="I25111"/>
    </row>
    <row r="25112" spans="6:9" x14ac:dyDescent="0.3">
      <c r="F25112"/>
      <c r="G25112"/>
      <c r="H25112"/>
      <c r="I25112"/>
    </row>
    <row r="25113" spans="6:9" x14ac:dyDescent="0.3">
      <c r="F25113"/>
      <c r="G25113"/>
      <c r="H25113"/>
      <c r="I25113"/>
    </row>
    <row r="25114" spans="6:9" x14ac:dyDescent="0.3">
      <c r="F25114"/>
      <c r="G25114"/>
      <c r="H25114"/>
      <c r="I25114"/>
    </row>
    <row r="25115" spans="6:9" x14ac:dyDescent="0.3">
      <c r="F25115"/>
      <c r="G25115"/>
      <c r="H25115"/>
      <c r="I25115"/>
    </row>
    <row r="25116" spans="6:9" x14ac:dyDescent="0.3">
      <c r="F25116"/>
      <c r="G25116"/>
      <c r="H25116"/>
      <c r="I25116"/>
    </row>
    <row r="25117" spans="6:9" x14ac:dyDescent="0.3">
      <c r="F25117"/>
      <c r="G25117"/>
      <c r="H25117"/>
      <c r="I25117"/>
    </row>
    <row r="25118" spans="6:9" x14ac:dyDescent="0.3">
      <c r="F25118"/>
      <c r="G25118"/>
      <c r="H25118"/>
      <c r="I25118"/>
    </row>
    <row r="25119" spans="6:9" x14ac:dyDescent="0.3">
      <c r="F25119"/>
      <c r="G25119"/>
      <c r="H25119"/>
      <c r="I25119"/>
    </row>
    <row r="25120" spans="6:9" x14ac:dyDescent="0.3">
      <c r="F25120"/>
      <c r="G25120"/>
      <c r="H25120"/>
      <c r="I25120"/>
    </row>
    <row r="25121" spans="6:9" x14ac:dyDescent="0.3">
      <c r="F25121"/>
      <c r="G25121"/>
      <c r="H25121"/>
      <c r="I25121"/>
    </row>
    <row r="25122" spans="6:9" x14ac:dyDescent="0.3">
      <c r="F25122"/>
      <c r="G25122"/>
      <c r="H25122"/>
      <c r="I25122"/>
    </row>
    <row r="25123" spans="6:9" x14ac:dyDescent="0.3">
      <c r="F25123"/>
      <c r="G25123"/>
      <c r="H25123"/>
      <c r="I25123"/>
    </row>
    <row r="25124" spans="6:9" x14ac:dyDescent="0.3">
      <c r="F25124"/>
      <c r="G25124"/>
      <c r="H25124"/>
      <c r="I25124"/>
    </row>
    <row r="25125" spans="6:9" x14ac:dyDescent="0.3">
      <c r="F25125"/>
      <c r="G25125"/>
      <c r="H25125"/>
      <c r="I25125"/>
    </row>
    <row r="25126" spans="6:9" x14ac:dyDescent="0.3">
      <c r="F25126"/>
      <c r="G25126"/>
      <c r="H25126"/>
      <c r="I25126"/>
    </row>
    <row r="25127" spans="6:9" x14ac:dyDescent="0.3">
      <c r="F25127"/>
      <c r="G25127"/>
      <c r="H25127"/>
      <c r="I25127"/>
    </row>
    <row r="25128" spans="6:9" x14ac:dyDescent="0.3">
      <c r="F25128"/>
      <c r="G25128"/>
      <c r="H25128"/>
      <c r="I25128"/>
    </row>
    <row r="25129" spans="6:9" x14ac:dyDescent="0.3">
      <c r="F25129"/>
      <c r="G25129"/>
      <c r="H25129"/>
      <c r="I25129"/>
    </row>
    <row r="25130" spans="6:9" x14ac:dyDescent="0.3">
      <c r="F25130"/>
      <c r="G25130"/>
      <c r="H25130"/>
      <c r="I25130"/>
    </row>
    <row r="25131" spans="6:9" x14ac:dyDescent="0.3">
      <c r="F25131"/>
      <c r="G25131"/>
      <c r="H25131"/>
      <c r="I25131"/>
    </row>
    <row r="25132" spans="6:9" x14ac:dyDescent="0.3">
      <c r="F25132"/>
      <c r="G25132"/>
      <c r="H25132"/>
      <c r="I25132"/>
    </row>
    <row r="25133" spans="6:9" x14ac:dyDescent="0.3">
      <c r="F25133"/>
      <c r="G25133"/>
      <c r="H25133"/>
      <c r="I25133"/>
    </row>
    <row r="25134" spans="6:9" x14ac:dyDescent="0.3">
      <c r="F25134"/>
      <c r="G25134"/>
      <c r="H25134"/>
      <c r="I25134"/>
    </row>
    <row r="25135" spans="6:9" x14ac:dyDescent="0.3">
      <c r="F25135"/>
      <c r="G25135"/>
      <c r="H25135"/>
      <c r="I25135"/>
    </row>
    <row r="25136" spans="6:9" x14ac:dyDescent="0.3">
      <c r="F25136"/>
      <c r="G25136"/>
      <c r="H25136"/>
      <c r="I25136"/>
    </row>
    <row r="25137" spans="6:9" x14ac:dyDescent="0.3">
      <c r="F25137"/>
      <c r="G25137"/>
      <c r="H25137"/>
      <c r="I25137"/>
    </row>
    <row r="25138" spans="6:9" x14ac:dyDescent="0.3">
      <c r="F25138"/>
      <c r="G25138"/>
      <c r="H25138"/>
      <c r="I25138"/>
    </row>
    <row r="25139" spans="6:9" x14ac:dyDescent="0.3">
      <c r="F25139"/>
      <c r="G25139"/>
      <c r="H25139"/>
      <c r="I25139"/>
    </row>
    <row r="25140" spans="6:9" x14ac:dyDescent="0.3">
      <c r="F25140"/>
      <c r="G25140"/>
      <c r="H25140"/>
      <c r="I25140"/>
    </row>
    <row r="25141" spans="6:9" x14ac:dyDescent="0.3">
      <c r="F25141"/>
      <c r="G25141"/>
      <c r="H25141"/>
      <c r="I25141"/>
    </row>
    <row r="25142" spans="6:9" x14ac:dyDescent="0.3">
      <c r="F25142"/>
      <c r="G25142"/>
      <c r="H25142"/>
      <c r="I25142"/>
    </row>
    <row r="25143" spans="6:9" x14ac:dyDescent="0.3">
      <c r="F25143"/>
      <c r="G25143"/>
      <c r="H25143"/>
      <c r="I25143"/>
    </row>
    <row r="25144" spans="6:9" x14ac:dyDescent="0.3">
      <c r="F25144"/>
      <c r="G25144"/>
      <c r="H25144"/>
      <c r="I25144"/>
    </row>
    <row r="25145" spans="6:9" x14ac:dyDescent="0.3">
      <c r="F25145"/>
      <c r="G25145"/>
      <c r="H25145"/>
      <c r="I25145"/>
    </row>
    <row r="25146" spans="6:9" x14ac:dyDescent="0.3">
      <c r="F25146"/>
      <c r="G25146"/>
      <c r="H25146"/>
      <c r="I25146"/>
    </row>
    <row r="25147" spans="6:9" x14ac:dyDescent="0.3">
      <c r="F25147"/>
      <c r="G25147"/>
      <c r="H25147"/>
      <c r="I25147"/>
    </row>
    <row r="25148" spans="6:9" x14ac:dyDescent="0.3">
      <c r="F25148"/>
      <c r="G25148"/>
      <c r="H25148"/>
      <c r="I25148"/>
    </row>
    <row r="25149" spans="6:9" x14ac:dyDescent="0.3">
      <c r="F25149"/>
      <c r="G25149"/>
      <c r="H25149"/>
      <c r="I25149"/>
    </row>
    <row r="25150" spans="6:9" x14ac:dyDescent="0.3">
      <c r="F25150"/>
      <c r="G25150"/>
      <c r="H25150"/>
      <c r="I25150"/>
    </row>
    <row r="25151" spans="6:9" x14ac:dyDescent="0.3">
      <c r="F25151"/>
      <c r="G25151"/>
      <c r="H25151"/>
      <c r="I25151"/>
    </row>
    <row r="25152" spans="6:9" x14ac:dyDescent="0.3">
      <c r="F25152"/>
      <c r="G25152"/>
      <c r="H25152"/>
      <c r="I25152"/>
    </row>
    <row r="25153" spans="6:9" x14ac:dyDescent="0.3">
      <c r="F25153"/>
      <c r="G25153"/>
      <c r="H25153"/>
      <c r="I25153"/>
    </row>
    <row r="25154" spans="6:9" x14ac:dyDescent="0.3">
      <c r="F25154"/>
      <c r="G25154"/>
      <c r="H25154"/>
      <c r="I25154"/>
    </row>
    <row r="25155" spans="6:9" x14ac:dyDescent="0.3">
      <c r="F25155"/>
      <c r="G25155"/>
      <c r="H25155"/>
      <c r="I25155"/>
    </row>
    <row r="25156" spans="6:9" x14ac:dyDescent="0.3">
      <c r="F25156"/>
      <c r="G25156"/>
      <c r="H25156"/>
      <c r="I25156"/>
    </row>
    <row r="25157" spans="6:9" x14ac:dyDescent="0.3">
      <c r="F25157"/>
      <c r="G25157"/>
      <c r="H25157"/>
      <c r="I25157"/>
    </row>
    <row r="25158" spans="6:9" x14ac:dyDescent="0.3">
      <c r="F25158"/>
      <c r="G25158"/>
      <c r="H25158"/>
      <c r="I25158"/>
    </row>
    <row r="25159" spans="6:9" x14ac:dyDescent="0.3">
      <c r="F25159"/>
      <c r="G25159"/>
      <c r="H25159"/>
      <c r="I25159"/>
    </row>
    <row r="25160" spans="6:9" x14ac:dyDescent="0.3">
      <c r="F25160"/>
      <c r="G25160"/>
      <c r="H25160"/>
      <c r="I25160"/>
    </row>
    <row r="25161" spans="6:9" x14ac:dyDescent="0.3">
      <c r="F25161"/>
      <c r="G25161"/>
      <c r="H25161"/>
      <c r="I25161"/>
    </row>
    <row r="25162" spans="6:9" x14ac:dyDescent="0.3">
      <c r="F25162"/>
      <c r="G25162"/>
      <c r="H25162"/>
      <c r="I25162"/>
    </row>
    <row r="25163" spans="6:9" x14ac:dyDescent="0.3">
      <c r="F25163"/>
      <c r="G25163"/>
      <c r="H25163"/>
      <c r="I25163"/>
    </row>
    <row r="25164" spans="6:9" x14ac:dyDescent="0.3">
      <c r="F25164"/>
      <c r="G25164"/>
      <c r="H25164"/>
      <c r="I25164"/>
    </row>
    <row r="25165" spans="6:9" x14ac:dyDescent="0.3">
      <c r="F25165"/>
      <c r="G25165"/>
      <c r="H25165"/>
      <c r="I25165"/>
    </row>
    <row r="25166" spans="6:9" x14ac:dyDescent="0.3">
      <c r="F25166"/>
      <c r="G25166"/>
      <c r="H25166"/>
      <c r="I25166"/>
    </row>
    <row r="25167" spans="6:9" x14ac:dyDescent="0.3">
      <c r="F25167"/>
      <c r="G25167"/>
      <c r="H25167"/>
      <c r="I25167"/>
    </row>
    <row r="25168" spans="6:9" x14ac:dyDescent="0.3">
      <c r="F25168"/>
      <c r="G25168"/>
      <c r="H25168"/>
      <c r="I25168"/>
    </row>
    <row r="25169" spans="6:9" x14ac:dyDescent="0.3">
      <c r="F25169"/>
      <c r="G25169"/>
      <c r="H25169"/>
      <c r="I25169"/>
    </row>
    <row r="25170" spans="6:9" x14ac:dyDescent="0.3">
      <c r="F25170"/>
      <c r="G25170"/>
      <c r="H25170"/>
      <c r="I25170"/>
    </row>
    <row r="25171" spans="6:9" x14ac:dyDescent="0.3">
      <c r="F25171"/>
      <c r="G25171"/>
      <c r="H25171"/>
      <c r="I25171"/>
    </row>
    <row r="25172" spans="6:9" x14ac:dyDescent="0.3">
      <c r="F25172"/>
      <c r="G25172"/>
      <c r="H25172"/>
      <c r="I25172"/>
    </row>
    <row r="25173" spans="6:9" x14ac:dyDescent="0.3">
      <c r="F25173"/>
      <c r="G25173"/>
      <c r="H25173"/>
      <c r="I25173"/>
    </row>
    <row r="25174" spans="6:9" x14ac:dyDescent="0.3">
      <c r="F25174"/>
      <c r="G25174"/>
      <c r="H25174"/>
      <c r="I25174"/>
    </row>
    <row r="25175" spans="6:9" x14ac:dyDescent="0.3">
      <c r="F25175"/>
      <c r="G25175"/>
      <c r="H25175"/>
      <c r="I25175"/>
    </row>
    <row r="25176" spans="6:9" x14ac:dyDescent="0.3">
      <c r="F25176"/>
      <c r="G25176"/>
      <c r="H25176"/>
      <c r="I25176"/>
    </row>
    <row r="25177" spans="6:9" x14ac:dyDescent="0.3">
      <c r="F25177"/>
      <c r="G25177"/>
      <c r="H25177"/>
      <c r="I25177"/>
    </row>
    <row r="25178" spans="6:9" x14ac:dyDescent="0.3">
      <c r="F25178"/>
      <c r="G25178"/>
      <c r="H25178"/>
      <c r="I25178"/>
    </row>
    <row r="25179" spans="6:9" x14ac:dyDescent="0.3">
      <c r="F25179"/>
      <c r="G25179"/>
      <c r="H25179"/>
      <c r="I25179"/>
    </row>
    <row r="25180" spans="6:9" x14ac:dyDescent="0.3">
      <c r="F25180"/>
      <c r="G25180"/>
      <c r="H25180"/>
      <c r="I25180"/>
    </row>
    <row r="25181" spans="6:9" x14ac:dyDescent="0.3">
      <c r="F25181"/>
      <c r="G25181"/>
      <c r="H25181"/>
      <c r="I25181"/>
    </row>
    <row r="25182" spans="6:9" x14ac:dyDescent="0.3">
      <c r="F25182"/>
      <c r="G25182"/>
      <c r="H25182"/>
      <c r="I25182"/>
    </row>
    <row r="25183" spans="6:9" x14ac:dyDescent="0.3">
      <c r="F25183"/>
      <c r="G25183"/>
      <c r="H25183"/>
      <c r="I25183"/>
    </row>
    <row r="25184" spans="6:9" x14ac:dyDescent="0.3">
      <c r="F25184"/>
      <c r="G25184"/>
      <c r="H25184"/>
      <c r="I25184"/>
    </row>
    <row r="25185" spans="6:9" x14ac:dyDescent="0.3">
      <c r="F25185"/>
      <c r="G25185"/>
      <c r="H25185"/>
      <c r="I25185"/>
    </row>
    <row r="25186" spans="6:9" x14ac:dyDescent="0.3">
      <c r="F25186"/>
      <c r="G25186"/>
      <c r="H25186"/>
      <c r="I25186"/>
    </row>
    <row r="25187" spans="6:9" x14ac:dyDescent="0.3">
      <c r="F25187"/>
      <c r="G25187"/>
      <c r="H25187"/>
      <c r="I25187"/>
    </row>
    <row r="25188" spans="6:9" x14ac:dyDescent="0.3">
      <c r="F25188"/>
      <c r="G25188"/>
      <c r="H25188"/>
      <c r="I25188"/>
    </row>
    <row r="25189" spans="6:9" x14ac:dyDescent="0.3">
      <c r="F25189"/>
      <c r="G25189"/>
      <c r="H25189"/>
      <c r="I25189"/>
    </row>
    <row r="25190" spans="6:9" x14ac:dyDescent="0.3">
      <c r="F25190"/>
      <c r="G25190"/>
      <c r="H25190"/>
      <c r="I25190"/>
    </row>
    <row r="25191" spans="6:9" x14ac:dyDescent="0.3">
      <c r="F25191"/>
      <c r="G25191"/>
      <c r="H25191"/>
      <c r="I25191"/>
    </row>
    <row r="25192" spans="6:9" x14ac:dyDescent="0.3">
      <c r="F25192"/>
      <c r="G25192"/>
      <c r="H25192"/>
      <c r="I25192"/>
    </row>
    <row r="25193" spans="6:9" x14ac:dyDescent="0.3">
      <c r="F25193"/>
      <c r="G25193"/>
      <c r="H25193"/>
      <c r="I25193"/>
    </row>
    <row r="25194" spans="6:9" x14ac:dyDescent="0.3">
      <c r="F25194"/>
      <c r="G25194"/>
      <c r="H25194"/>
      <c r="I25194"/>
    </row>
    <row r="25195" spans="6:9" x14ac:dyDescent="0.3">
      <c r="F25195"/>
      <c r="G25195"/>
      <c r="H25195"/>
      <c r="I25195"/>
    </row>
    <row r="25196" spans="6:9" x14ac:dyDescent="0.3">
      <c r="F25196"/>
      <c r="G25196"/>
      <c r="H25196"/>
      <c r="I25196"/>
    </row>
    <row r="25197" spans="6:9" x14ac:dyDescent="0.3">
      <c r="F25197"/>
      <c r="G25197"/>
      <c r="H25197"/>
      <c r="I25197"/>
    </row>
    <row r="25198" spans="6:9" x14ac:dyDescent="0.3">
      <c r="F25198"/>
      <c r="G25198"/>
      <c r="H25198"/>
      <c r="I25198"/>
    </row>
    <row r="25199" spans="6:9" x14ac:dyDescent="0.3">
      <c r="F25199"/>
      <c r="G25199"/>
      <c r="H25199"/>
      <c r="I25199"/>
    </row>
    <row r="25200" spans="6:9" x14ac:dyDescent="0.3">
      <c r="F25200"/>
      <c r="G25200"/>
      <c r="H25200"/>
      <c r="I25200"/>
    </row>
    <row r="25201" spans="6:9" x14ac:dyDescent="0.3">
      <c r="F25201"/>
      <c r="G25201"/>
      <c r="H25201"/>
      <c r="I25201"/>
    </row>
    <row r="25202" spans="6:9" x14ac:dyDescent="0.3">
      <c r="F25202"/>
      <c r="G25202"/>
      <c r="H25202"/>
      <c r="I25202"/>
    </row>
    <row r="25203" spans="6:9" x14ac:dyDescent="0.3">
      <c r="F25203"/>
      <c r="G25203"/>
      <c r="H25203"/>
      <c r="I25203"/>
    </row>
    <row r="25204" spans="6:9" x14ac:dyDescent="0.3">
      <c r="F25204"/>
      <c r="G25204"/>
      <c r="H25204"/>
      <c r="I25204"/>
    </row>
    <row r="25205" spans="6:9" x14ac:dyDescent="0.3">
      <c r="F25205"/>
      <c r="G25205"/>
      <c r="H25205"/>
      <c r="I25205"/>
    </row>
    <row r="25206" spans="6:9" x14ac:dyDescent="0.3">
      <c r="F25206"/>
      <c r="G25206"/>
      <c r="H25206"/>
      <c r="I25206"/>
    </row>
    <row r="25207" spans="6:9" x14ac:dyDescent="0.3">
      <c r="F25207"/>
      <c r="G25207"/>
      <c r="H25207"/>
      <c r="I25207"/>
    </row>
    <row r="25208" spans="6:9" x14ac:dyDescent="0.3">
      <c r="F25208"/>
      <c r="G25208"/>
      <c r="H25208"/>
      <c r="I25208"/>
    </row>
    <row r="25209" spans="6:9" x14ac:dyDescent="0.3">
      <c r="F25209"/>
      <c r="G25209"/>
      <c r="H25209"/>
      <c r="I25209"/>
    </row>
    <row r="25210" spans="6:9" x14ac:dyDescent="0.3">
      <c r="F25210"/>
      <c r="G25210"/>
      <c r="H25210"/>
      <c r="I25210"/>
    </row>
    <row r="25211" spans="6:9" x14ac:dyDescent="0.3">
      <c r="F25211"/>
      <c r="G25211"/>
      <c r="H25211"/>
      <c r="I25211"/>
    </row>
    <row r="25212" spans="6:9" x14ac:dyDescent="0.3">
      <c r="F25212"/>
      <c r="G25212"/>
      <c r="H25212"/>
      <c r="I25212"/>
    </row>
    <row r="25213" spans="6:9" x14ac:dyDescent="0.3">
      <c r="F25213"/>
      <c r="G25213"/>
      <c r="H25213"/>
      <c r="I25213"/>
    </row>
    <row r="25214" spans="6:9" x14ac:dyDescent="0.3">
      <c r="F25214"/>
      <c r="G25214"/>
      <c r="H25214"/>
      <c r="I25214"/>
    </row>
    <row r="25215" spans="6:9" x14ac:dyDescent="0.3">
      <c r="F25215"/>
      <c r="G25215"/>
      <c r="H25215"/>
      <c r="I25215"/>
    </row>
    <row r="25216" spans="6:9" x14ac:dyDescent="0.3">
      <c r="F25216"/>
      <c r="G25216"/>
      <c r="H25216"/>
      <c r="I25216"/>
    </row>
    <row r="25217" spans="6:9" x14ac:dyDescent="0.3">
      <c r="F25217"/>
      <c r="G25217"/>
      <c r="H25217"/>
      <c r="I25217"/>
    </row>
    <row r="25218" spans="6:9" x14ac:dyDescent="0.3">
      <c r="F25218"/>
      <c r="G25218"/>
      <c r="H25218"/>
      <c r="I25218"/>
    </row>
    <row r="25219" spans="6:9" x14ac:dyDescent="0.3">
      <c r="F25219"/>
      <c r="G25219"/>
      <c r="H25219"/>
      <c r="I25219"/>
    </row>
    <row r="25220" spans="6:9" x14ac:dyDescent="0.3">
      <c r="F25220"/>
      <c r="G25220"/>
      <c r="H25220"/>
      <c r="I25220"/>
    </row>
    <row r="25221" spans="6:9" x14ac:dyDescent="0.3">
      <c r="F25221"/>
      <c r="G25221"/>
      <c r="H25221"/>
      <c r="I25221"/>
    </row>
    <row r="25222" spans="6:9" x14ac:dyDescent="0.3">
      <c r="F25222"/>
      <c r="G25222"/>
      <c r="H25222"/>
      <c r="I25222"/>
    </row>
    <row r="25223" spans="6:9" x14ac:dyDescent="0.3">
      <c r="F25223"/>
      <c r="G25223"/>
      <c r="H25223"/>
      <c r="I25223"/>
    </row>
    <row r="25224" spans="6:9" x14ac:dyDescent="0.3">
      <c r="F25224"/>
      <c r="G25224"/>
      <c r="H25224"/>
      <c r="I25224"/>
    </row>
    <row r="25225" spans="6:9" x14ac:dyDescent="0.3">
      <c r="F25225"/>
      <c r="G25225"/>
      <c r="H25225"/>
      <c r="I25225"/>
    </row>
    <row r="25226" spans="6:9" x14ac:dyDescent="0.3">
      <c r="F25226"/>
      <c r="G25226"/>
      <c r="H25226"/>
      <c r="I25226"/>
    </row>
    <row r="25227" spans="6:9" x14ac:dyDescent="0.3">
      <c r="F25227"/>
      <c r="G25227"/>
      <c r="H25227"/>
      <c r="I25227"/>
    </row>
    <row r="25228" spans="6:9" x14ac:dyDescent="0.3">
      <c r="F25228"/>
      <c r="G25228"/>
      <c r="H25228"/>
      <c r="I25228"/>
    </row>
    <row r="25229" spans="6:9" x14ac:dyDescent="0.3">
      <c r="F25229"/>
      <c r="G25229"/>
      <c r="H25229"/>
      <c r="I25229"/>
    </row>
    <row r="25230" spans="6:9" x14ac:dyDescent="0.3">
      <c r="F25230"/>
      <c r="G25230"/>
      <c r="H25230"/>
      <c r="I25230"/>
    </row>
    <row r="25231" spans="6:9" x14ac:dyDescent="0.3">
      <c r="F25231"/>
      <c r="G25231"/>
      <c r="H25231"/>
      <c r="I25231"/>
    </row>
    <row r="25232" spans="6:9" x14ac:dyDescent="0.3">
      <c r="F25232"/>
      <c r="G25232"/>
      <c r="H25232"/>
      <c r="I25232"/>
    </row>
    <row r="25233" spans="6:9" x14ac:dyDescent="0.3">
      <c r="F25233"/>
      <c r="G25233"/>
      <c r="H25233"/>
      <c r="I25233"/>
    </row>
    <row r="25234" spans="6:9" x14ac:dyDescent="0.3">
      <c r="F25234"/>
      <c r="G25234"/>
      <c r="H25234"/>
      <c r="I25234"/>
    </row>
    <row r="25235" spans="6:9" x14ac:dyDescent="0.3">
      <c r="F25235"/>
      <c r="G25235"/>
      <c r="H25235"/>
      <c r="I25235"/>
    </row>
    <row r="25236" spans="6:9" x14ac:dyDescent="0.3">
      <c r="F25236"/>
      <c r="G25236"/>
      <c r="H25236"/>
      <c r="I25236"/>
    </row>
    <row r="25237" spans="6:9" x14ac:dyDescent="0.3">
      <c r="F25237"/>
      <c r="G25237"/>
      <c r="H25237"/>
      <c r="I25237"/>
    </row>
    <row r="25238" spans="6:9" x14ac:dyDescent="0.3">
      <c r="F25238"/>
      <c r="G25238"/>
      <c r="H25238"/>
      <c r="I25238"/>
    </row>
    <row r="25239" spans="6:9" x14ac:dyDescent="0.3">
      <c r="F25239"/>
      <c r="G25239"/>
      <c r="H25239"/>
      <c r="I25239"/>
    </row>
    <row r="25240" spans="6:9" x14ac:dyDescent="0.3">
      <c r="F25240"/>
      <c r="G25240"/>
      <c r="H25240"/>
      <c r="I25240"/>
    </row>
    <row r="25241" spans="6:9" x14ac:dyDescent="0.3">
      <c r="F25241"/>
      <c r="G25241"/>
      <c r="H25241"/>
      <c r="I25241"/>
    </row>
    <row r="25242" spans="6:9" x14ac:dyDescent="0.3">
      <c r="F25242"/>
      <c r="G25242"/>
      <c r="H25242"/>
      <c r="I25242"/>
    </row>
    <row r="25243" spans="6:9" x14ac:dyDescent="0.3">
      <c r="F25243"/>
      <c r="G25243"/>
      <c r="H25243"/>
      <c r="I25243"/>
    </row>
    <row r="25244" spans="6:9" x14ac:dyDescent="0.3">
      <c r="F25244"/>
      <c r="G25244"/>
      <c r="H25244"/>
      <c r="I25244"/>
    </row>
    <row r="25245" spans="6:9" x14ac:dyDescent="0.3">
      <c r="F25245"/>
      <c r="G25245"/>
      <c r="H25245"/>
      <c r="I25245"/>
    </row>
    <row r="25246" spans="6:9" x14ac:dyDescent="0.3">
      <c r="F25246"/>
      <c r="G25246"/>
      <c r="H25246"/>
      <c r="I25246"/>
    </row>
    <row r="25247" spans="6:9" x14ac:dyDescent="0.3">
      <c r="F25247"/>
      <c r="G25247"/>
      <c r="H25247"/>
      <c r="I25247"/>
    </row>
    <row r="25248" spans="6:9" x14ac:dyDescent="0.3">
      <c r="F25248"/>
      <c r="G25248"/>
      <c r="H25248"/>
      <c r="I25248"/>
    </row>
    <row r="25249" spans="6:9" x14ac:dyDescent="0.3">
      <c r="F25249"/>
      <c r="G25249"/>
      <c r="H25249"/>
      <c r="I25249"/>
    </row>
    <row r="25250" spans="6:9" x14ac:dyDescent="0.3">
      <c r="F25250"/>
      <c r="G25250"/>
      <c r="H25250"/>
      <c r="I25250"/>
    </row>
    <row r="25251" spans="6:9" x14ac:dyDescent="0.3">
      <c r="F25251"/>
      <c r="G25251"/>
      <c r="H25251"/>
      <c r="I25251"/>
    </row>
    <row r="25252" spans="6:9" x14ac:dyDescent="0.3">
      <c r="F25252"/>
      <c r="G25252"/>
      <c r="H25252"/>
      <c r="I25252"/>
    </row>
    <row r="25253" spans="6:9" x14ac:dyDescent="0.3">
      <c r="F25253"/>
      <c r="G25253"/>
      <c r="H25253"/>
      <c r="I25253"/>
    </row>
    <row r="25254" spans="6:9" x14ac:dyDescent="0.3">
      <c r="F25254"/>
      <c r="G25254"/>
      <c r="H25254"/>
      <c r="I25254"/>
    </row>
    <row r="25255" spans="6:9" x14ac:dyDescent="0.3">
      <c r="F25255"/>
      <c r="G25255"/>
      <c r="H25255"/>
      <c r="I25255"/>
    </row>
    <row r="25256" spans="6:9" x14ac:dyDescent="0.3">
      <c r="F25256"/>
      <c r="G25256"/>
      <c r="H25256"/>
      <c r="I25256"/>
    </row>
    <row r="25257" spans="6:9" x14ac:dyDescent="0.3">
      <c r="F25257"/>
      <c r="G25257"/>
      <c r="H25257"/>
      <c r="I25257"/>
    </row>
    <row r="25258" spans="6:9" x14ac:dyDescent="0.3">
      <c r="F25258"/>
      <c r="G25258"/>
      <c r="H25258"/>
      <c r="I25258"/>
    </row>
    <row r="25259" spans="6:9" x14ac:dyDescent="0.3">
      <c r="F25259"/>
      <c r="G25259"/>
      <c r="H25259"/>
      <c r="I25259"/>
    </row>
    <row r="25260" spans="6:9" x14ac:dyDescent="0.3">
      <c r="F25260"/>
      <c r="G25260"/>
      <c r="H25260"/>
      <c r="I25260"/>
    </row>
    <row r="25261" spans="6:9" x14ac:dyDescent="0.3">
      <c r="F25261"/>
      <c r="G25261"/>
      <c r="H25261"/>
      <c r="I25261"/>
    </row>
    <row r="25262" spans="6:9" x14ac:dyDescent="0.3">
      <c r="F25262"/>
      <c r="G25262"/>
      <c r="H25262"/>
      <c r="I25262"/>
    </row>
    <row r="25263" spans="6:9" x14ac:dyDescent="0.3">
      <c r="F25263"/>
      <c r="G25263"/>
      <c r="H25263"/>
      <c r="I25263"/>
    </row>
    <row r="25264" spans="6:9" x14ac:dyDescent="0.3">
      <c r="F25264"/>
      <c r="G25264"/>
      <c r="H25264"/>
      <c r="I25264"/>
    </row>
    <row r="25265" spans="6:9" x14ac:dyDescent="0.3">
      <c r="F25265"/>
      <c r="G25265"/>
      <c r="H25265"/>
      <c r="I25265"/>
    </row>
    <row r="25266" spans="6:9" x14ac:dyDescent="0.3">
      <c r="F25266"/>
      <c r="G25266"/>
      <c r="H25266"/>
      <c r="I25266"/>
    </row>
    <row r="25267" spans="6:9" x14ac:dyDescent="0.3">
      <c r="F25267"/>
      <c r="G25267"/>
      <c r="H25267"/>
      <c r="I25267"/>
    </row>
    <row r="25268" spans="6:9" x14ac:dyDescent="0.3">
      <c r="F25268"/>
      <c r="G25268"/>
      <c r="H25268"/>
      <c r="I25268"/>
    </row>
    <row r="25269" spans="6:9" x14ac:dyDescent="0.3">
      <c r="F25269"/>
      <c r="G25269"/>
      <c r="H25269"/>
      <c r="I25269"/>
    </row>
    <row r="25270" spans="6:9" x14ac:dyDescent="0.3">
      <c r="F25270"/>
      <c r="G25270"/>
      <c r="H25270"/>
      <c r="I25270"/>
    </row>
    <row r="25271" spans="6:9" x14ac:dyDescent="0.3">
      <c r="F25271"/>
      <c r="G25271"/>
      <c r="H25271"/>
      <c r="I25271"/>
    </row>
    <row r="25272" spans="6:9" x14ac:dyDescent="0.3">
      <c r="F25272"/>
      <c r="G25272"/>
      <c r="H25272"/>
      <c r="I25272"/>
    </row>
    <row r="25273" spans="6:9" x14ac:dyDescent="0.3">
      <c r="F25273"/>
      <c r="G25273"/>
      <c r="H25273"/>
      <c r="I25273"/>
    </row>
    <row r="25274" spans="6:9" x14ac:dyDescent="0.3">
      <c r="F25274"/>
      <c r="G25274"/>
      <c r="H25274"/>
      <c r="I25274"/>
    </row>
    <row r="25275" spans="6:9" x14ac:dyDescent="0.3">
      <c r="F25275"/>
      <c r="G25275"/>
      <c r="H25275"/>
      <c r="I25275"/>
    </row>
    <row r="25276" spans="6:9" x14ac:dyDescent="0.3">
      <c r="F25276"/>
      <c r="G25276"/>
      <c r="H25276"/>
      <c r="I25276"/>
    </row>
    <row r="25277" spans="6:9" x14ac:dyDescent="0.3">
      <c r="F25277"/>
      <c r="G25277"/>
      <c r="H25277"/>
      <c r="I25277"/>
    </row>
    <row r="25278" spans="6:9" x14ac:dyDescent="0.3">
      <c r="F25278"/>
      <c r="G25278"/>
      <c r="H25278"/>
      <c r="I25278"/>
    </row>
    <row r="25279" spans="6:9" x14ac:dyDescent="0.3">
      <c r="F25279"/>
      <c r="G25279"/>
      <c r="H25279"/>
      <c r="I25279"/>
    </row>
    <row r="25280" spans="6:9" x14ac:dyDescent="0.3">
      <c r="F25280"/>
      <c r="G25280"/>
      <c r="H25280"/>
      <c r="I25280"/>
    </row>
    <row r="25281" spans="6:9" x14ac:dyDescent="0.3">
      <c r="F25281"/>
      <c r="G25281"/>
      <c r="H25281"/>
      <c r="I25281"/>
    </row>
    <row r="25282" spans="6:9" x14ac:dyDescent="0.3">
      <c r="F25282"/>
      <c r="G25282"/>
      <c r="H25282"/>
      <c r="I25282"/>
    </row>
    <row r="25283" spans="6:9" x14ac:dyDescent="0.3">
      <c r="F25283"/>
      <c r="G25283"/>
      <c r="H25283"/>
      <c r="I25283"/>
    </row>
    <row r="25284" spans="6:9" x14ac:dyDescent="0.3">
      <c r="F25284"/>
      <c r="G25284"/>
      <c r="H25284"/>
      <c r="I25284"/>
    </row>
    <row r="25285" spans="6:9" x14ac:dyDescent="0.3">
      <c r="F25285"/>
      <c r="G25285"/>
      <c r="H25285"/>
      <c r="I25285"/>
    </row>
    <row r="25286" spans="6:9" x14ac:dyDescent="0.3">
      <c r="F25286"/>
      <c r="G25286"/>
      <c r="H25286"/>
      <c r="I25286"/>
    </row>
    <row r="25287" spans="6:9" x14ac:dyDescent="0.3">
      <c r="F25287"/>
      <c r="G25287"/>
      <c r="H25287"/>
      <c r="I25287"/>
    </row>
    <row r="25288" spans="6:9" x14ac:dyDescent="0.3">
      <c r="F25288"/>
      <c r="G25288"/>
      <c r="H25288"/>
      <c r="I25288"/>
    </row>
    <row r="25289" spans="6:9" x14ac:dyDescent="0.3">
      <c r="F25289"/>
      <c r="G25289"/>
      <c r="H25289"/>
      <c r="I25289"/>
    </row>
    <row r="25290" spans="6:9" x14ac:dyDescent="0.3">
      <c r="F25290"/>
      <c r="G25290"/>
      <c r="H25290"/>
      <c r="I25290"/>
    </row>
    <row r="25291" spans="6:9" x14ac:dyDescent="0.3">
      <c r="F25291"/>
      <c r="G25291"/>
      <c r="H25291"/>
      <c r="I25291"/>
    </row>
    <row r="25292" spans="6:9" x14ac:dyDescent="0.3">
      <c r="F25292"/>
      <c r="G25292"/>
      <c r="H25292"/>
      <c r="I25292"/>
    </row>
    <row r="25293" spans="6:9" x14ac:dyDescent="0.3">
      <c r="F25293"/>
      <c r="G25293"/>
      <c r="H25293"/>
      <c r="I25293"/>
    </row>
    <row r="25294" spans="6:9" x14ac:dyDescent="0.3">
      <c r="F25294"/>
      <c r="G25294"/>
      <c r="H25294"/>
      <c r="I25294"/>
    </row>
    <row r="25295" spans="6:9" x14ac:dyDescent="0.3">
      <c r="F25295"/>
      <c r="G25295"/>
      <c r="H25295"/>
      <c r="I25295"/>
    </row>
    <row r="25296" spans="6:9" x14ac:dyDescent="0.3">
      <c r="F25296"/>
      <c r="G25296"/>
      <c r="H25296"/>
      <c r="I25296"/>
    </row>
    <row r="25297" spans="6:9" x14ac:dyDescent="0.3">
      <c r="F25297"/>
      <c r="G25297"/>
      <c r="H25297"/>
      <c r="I25297"/>
    </row>
    <row r="25298" spans="6:9" x14ac:dyDescent="0.3">
      <c r="F25298"/>
      <c r="G25298"/>
      <c r="H25298"/>
      <c r="I25298"/>
    </row>
    <row r="25299" spans="6:9" x14ac:dyDescent="0.3">
      <c r="F25299"/>
      <c r="G25299"/>
      <c r="H25299"/>
      <c r="I25299"/>
    </row>
    <row r="25300" spans="6:9" x14ac:dyDescent="0.3">
      <c r="F25300"/>
      <c r="G25300"/>
      <c r="H25300"/>
      <c r="I25300"/>
    </row>
    <row r="25301" spans="6:9" x14ac:dyDescent="0.3">
      <c r="F25301"/>
      <c r="G25301"/>
      <c r="H25301"/>
      <c r="I25301"/>
    </row>
    <row r="25302" spans="6:9" x14ac:dyDescent="0.3">
      <c r="F25302"/>
      <c r="G25302"/>
      <c r="H25302"/>
      <c r="I25302"/>
    </row>
    <row r="25303" spans="6:9" x14ac:dyDescent="0.3">
      <c r="F25303"/>
      <c r="G25303"/>
      <c r="H25303"/>
      <c r="I25303"/>
    </row>
    <row r="25304" spans="6:9" x14ac:dyDescent="0.3">
      <c r="F25304"/>
      <c r="G25304"/>
      <c r="H25304"/>
      <c r="I25304"/>
    </row>
    <row r="25305" spans="6:9" x14ac:dyDescent="0.3">
      <c r="F25305"/>
      <c r="G25305"/>
      <c r="H25305"/>
      <c r="I25305"/>
    </row>
    <row r="25306" spans="6:9" x14ac:dyDescent="0.3">
      <c r="F25306"/>
      <c r="G25306"/>
      <c r="H25306"/>
      <c r="I25306"/>
    </row>
    <row r="25307" spans="6:9" x14ac:dyDescent="0.3">
      <c r="F25307"/>
      <c r="G25307"/>
      <c r="H25307"/>
      <c r="I25307"/>
    </row>
    <row r="25308" spans="6:9" x14ac:dyDescent="0.3">
      <c r="F25308"/>
      <c r="G25308"/>
      <c r="H25308"/>
      <c r="I25308"/>
    </row>
    <row r="25309" spans="6:9" x14ac:dyDescent="0.3">
      <c r="F25309"/>
      <c r="G25309"/>
      <c r="H25309"/>
      <c r="I25309"/>
    </row>
    <row r="25310" spans="6:9" x14ac:dyDescent="0.3">
      <c r="F25310"/>
      <c r="G25310"/>
      <c r="H25310"/>
      <c r="I25310"/>
    </row>
    <row r="25311" spans="6:9" x14ac:dyDescent="0.3">
      <c r="F25311"/>
      <c r="G25311"/>
      <c r="H25311"/>
      <c r="I25311"/>
    </row>
    <row r="25312" spans="6:9" x14ac:dyDescent="0.3">
      <c r="F25312"/>
      <c r="G25312"/>
      <c r="H25312"/>
      <c r="I25312"/>
    </row>
    <row r="25313" spans="6:9" x14ac:dyDescent="0.3">
      <c r="F25313"/>
      <c r="G25313"/>
      <c r="H25313"/>
      <c r="I25313"/>
    </row>
    <row r="25314" spans="6:9" x14ac:dyDescent="0.3">
      <c r="F25314"/>
      <c r="G25314"/>
      <c r="H25314"/>
      <c r="I25314"/>
    </row>
    <row r="25315" spans="6:9" x14ac:dyDescent="0.3">
      <c r="F25315"/>
      <c r="G25315"/>
      <c r="H25315"/>
      <c r="I25315"/>
    </row>
    <row r="25316" spans="6:9" x14ac:dyDescent="0.3">
      <c r="F25316"/>
      <c r="G25316"/>
      <c r="H25316"/>
      <c r="I25316"/>
    </row>
    <row r="25317" spans="6:9" x14ac:dyDescent="0.3">
      <c r="F25317"/>
      <c r="G25317"/>
      <c r="H25317"/>
      <c r="I25317"/>
    </row>
    <row r="25318" spans="6:9" x14ac:dyDescent="0.3">
      <c r="F25318"/>
      <c r="G25318"/>
      <c r="H25318"/>
      <c r="I25318"/>
    </row>
    <row r="25319" spans="6:9" x14ac:dyDescent="0.3">
      <c r="F25319"/>
      <c r="G25319"/>
      <c r="H25319"/>
      <c r="I25319"/>
    </row>
    <row r="25320" spans="6:9" x14ac:dyDescent="0.3">
      <c r="F25320"/>
      <c r="G25320"/>
      <c r="H25320"/>
      <c r="I25320"/>
    </row>
    <row r="25321" spans="6:9" x14ac:dyDescent="0.3">
      <c r="F25321"/>
      <c r="G25321"/>
      <c r="H25321"/>
      <c r="I25321"/>
    </row>
    <row r="25322" spans="6:9" x14ac:dyDescent="0.3">
      <c r="F25322"/>
      <c r="G25322"/>
      <c r="H25322"/>
      <c r="I25322"/>
    </row>
    <row r="25323" spans="6:9" x14ac:dyDescent="0.3">
      <c r="F25323"/>
      <c r="G25323"/>
      <c r="H25323"/>
      <c r="I25323"/>
    </row>
    <row r="25324" spans="6:9" x14ac:dyDescent="0.3">
      <c r="F25324"/>
      <c r="G25324"/>
      <c r="H25324"/>
      <c r="I25324"/>
    </row>
    <row r="25325" spans="6:9" x14ac:dyDescent="0.3">
      <c r="F25325"/>
      <c r="G25325"/>
      <c r="H25325"/>
      <c r="I25325"/>
    </row>
    <row r="25326" spans="6:9" x14ac:dyDescent="0.3">
      <c r="F25326"/>
      <c r="G25326"/>
      <c r="H25326"/>
      <c r="I25326"/>
    </row>
    <row r="25327" spans="6:9" x14ac:dyDescent="0.3">
      <c r="F25327"/>
      <c r="G25327"/>
      <c r="H25327"/>
      <c r="I25327"/>
    </row>
    <row r="25328" spans="6:9" x14ac:dyDescent="0.3">
      <c r="F25328"/>
      <c r="G25328"/>
      <c r="H25328"/>
      <c r="I25328"/>
    </row>
    <row r="25329" spans="6:9" x14ac:dyDescent="0.3">
      <c r="F25329"/>
      <c r="G25329"/>
      <c r="H25329"/>
      <c r="I25329"/>
    </row>
    <row r="25330" spans="6:9" x14ac:dyDescent="0.3">
      <c r="F25330"/>
      <c r="G25330"/>
      <c r="H25330"/>
      <c r="I25330"/>
    </row>
    <row r="25331" spans="6:9" x14ac:dyDescent="0.3">
      <c r="F25331"/>
      <c r="G25331"/>
      <c r="H25331"/>
      <c r="I25331"/>
    </row>
    <row r="25332" spans="6:9" x14ac:dyDescent="0.3">
      <c r="F25332"/>
      <c r="G25332"/>
      <c r="H25332"/>
      <c r="I25332"/>
    </row>
    <row r="25333" spans="6:9" x14ac:dyDescent="0.3">
      <c r="F25333"/>
      <c r="G25333"/>
      <c r="H25333"/>
      <c r="I25333"/>
    </row>
    <row r="25334" spans="6:9" x14ac:dyDescent="0.3">
      <c r="F25334"/>
      <c r="G25334"/>
      <c r="H25334"/>
      <c r="I25334"/>
    </row>
    <row r="25335" spans="6:9" x14ac:dyDescent="0.3">
      <c r="F25335"/>
      <c r="G25335"/>
      <c r="H25335"/>
      <c r="I25335"/>
    </row>
    <row r="25336" spans="6:9" x14ac:dyDescent="0.3">
      <c r="F25336"/>
      <c r="G25336"/>
      <c r="H25336"/>
      <c r="I25336"/>
    </row>
    <row r="25337" spans="6:9" x14ac:dyDescent="0.3">
      <c r="F25337"/>
      <c r="G25337"/>
      <c r="H25337"/>
      <c r="I25337"/>
    </row>
    <row r="25338" spans="6:9" x14ac:dyDescent="0.3">
      <c r="F25338"/>
      <c r="G25338"/>
      <c r="H25338"/>
      <c r="I25338"/>
    </row>
    <row r="25339" spans="6:9" x14ac:dyDescent="0.3">
      <c r="F25339"/>
      <c r="G25339"/>
      <c r="H25339"/>
      <c r="I25339"/>
    </row>
    <row r="25340" spans="6:9" x14ac:dyDescent="0.3">
      <c r="F25340"/>
      <c r="G25340"/>
      <c r="H25340"/>
      <c r="I25340"/>
    </row>
    <row r="25341" spans="6:9" x14ac:dyDescent="0.3">
      <c r="F25341"/>
      <c r="G25341"/>
      <c r="H25341"/>
      <c r="I25341"/>
    </row>
    <row r="25342" spans="6:9" x14ac:dyDescent="0.3">
      <c r="F25342"/>
      <c r="G25342"/>
      <c r="H25342"/>
      <c r="I25342"/>
    </row>
    <row r="25343" spans="6:9" x14ac:dyDescent="0.3">
      <c r="F25343"/>
      <c r="G25343"/>
      <c r="H25343"/>
      <c r="I25343"/>
    </row>
    <row r="25344" spans="6:9" x14ac:dyDescent="0.3">
      <c r="F25344"/>
      <c r="G25344"/>
      <c r="H25344"/>
      <c r="I25344"/>
    </row>
    <row r="25345" spans="6:9" x14ac:dyDescent="0.3">
      <c r="F25345"/>
      <c r="G25345"/>
      <c r="H25345"/>
      <c r="I25345"/>
    </row>
    <row r="25346" spans="6:9" x14ac:dyDescent="0.3">
      <c r="F25346"/>
      <c r="G25346"/>
      <c r="H25346"/>
      <c r="I25346"/>
    </row>
    <row r="25347" spans="6:9" x14ac:dyDescent="0.3">
      <c r="F25347"/>
      <c r="G25347"/>
      <c r="H25347"/>
      <c r="I25347"/>
    </row>
    <row r="25348" spans="6:9" x14ac:dyDescent="0.3">
      <c r="F25348"/>
      <c r="G25348"/>
      <c r="H25348"/>
      <c r="I25348"/>
    </row>
    <row r="25349" spans="6:9" x14ac:dyDescent="0.3">
      <c r="F25349"/>
      <c r="G25349"/>
      <c r="H25349"/>
      <c r="I25349"/>
    </row>
    <row r="25350" spans="6:9" x14ac:dyDescent="0.3">
      <c r="F25350"/>
      <c r="G25350"/>
      <c r="H25350"/>
      <c r="I25350"/>
    </row>
    <row r="25351" spans="6:9" x14ac:dyDescent="0.3">
      <c r="F25351"/>
      <c r="G25351"/>
      <c r="H25351"/>
      <c r="I25351"/>
    </row>
    <row r="25352" spans="6:9" x14ac:dyDescent="0.3">
      <c r="F25352"/>
      <c r="G25352"/>
      <c r="H25352"/>
      <c r="I25352"/>
    </row>
    <row r="25353" spans="6:9" x14ac:dyDescent="0.3">
      <c r="F25353"/>
      <c r="G25353"/>
      <c r="H25353"/>
      <c r="I25353"/>
    </row>
    <row r="25354" spans="6:9" x14ac:dyDescent="0.3">
      <c r="F25354"/>
      <c r="G25354"/>
      <c r="H25354"/>
      <c r="I25354"/>
    </row>
    <row r="25355" spans="6:9" x14ac:dyDescent="0.3">
      <c r="F25355"/>
      <c r="G25355"/>
      <c r="H25355"/>
      <c r="I25355"/>
    </row>
    <row r="25356" spans="6:9" x14ac:dyDescent="0.3">
      <c r="F25356"/>
      <c r="G25356"/>
      <c r="H25356"/>
      <c r="I25356"/>
    </row>
    <row r="25357" spans="6:9" x14ac:dyDescent="0.3">
      <c r="F25357"/>
      <c r="G25357"/>
      <c r="H25357"/>
      <c r="I25357"/>
    </row>
    <row r="25358" spans="6:9" x14ac:dyDescent="0.3">
      <c r="F25358"/>
      <c r="G25358"/>
      <c r="H25358"/>
      <c r="I25358"/>
    </row>
    <row r="25359" spans="6:9" x14ac:dyDescent="0.3">
      <c r="F25359"/>
      <c r="G25359"/>
      <c r="H25359"/>
      <c r="I25359"/>
    </row>
    <row r="25360" spans="6:9" x14ac:dyDescent="0.3">
      <c r="F25360"/>
      <c r="G25360"/>
      <c r="H25360"/>
      <c r="I25360"/>
    </row>
    <row r="25361" spans="6:9" x14ac:dyDescent="0.3">
      <c r="F25361"/>
      <c r="G25361"/>
      <c r="H25361"/>
      <c r="I25361"/>
    </row>
    <row r="25362" spans="6:9" x14ac:dyDescent="0.3">
      <c r="F25362"/>
      <c r="G25362"/>
      <c r="H25362"/>
      <c r="I25362"/>
    </row>
    <row r="25363" spans="6:9" x14ac:dyDescent="0.3">
      <c r="F25363"/>
      <c r="G25363"/>
      <c r="H25363"/>
      <c r="I25363"/>
    </row>
    <row r="25364" spans="6:9" x14ac:dyDescent="0.3">
      <c r="F25364"/>
      <c r="G25364"/>
      <c r="H25364"/>
      <c r="I25364"/>
    </row>
    <row r="25365" spans="6:9" x14ac:dyDescent="0.3">
      <c r="F25365"/>
      <c r="G25365"/>
      <c r="H25365"/>
      <c r="I25365"/>
    </row>
    <row r="25366" spans="6:9" x14ac:dyDescent="0.3">
      <c r="F25366"/>
      <c r="G25366"/>
      <c r="H25366"/>
      <c r="I25366"/>
    </row>
    <row r="25367" spans="6:9" x14ac:dyDescent="0.3">
      <c r="F25367"/>
      <c r="G25367"/>
      <c r="H25367"/>
      <c r="I25367"/>
    </row>
    <row r="25368" spans="6:9" x14ac:dyDescent="0.3">
      <c r="F25368"/>
      <c r="G25368"/>
      <c r="H25368"/>
      <c r="I25368"/>
    </row>
    <row r="25369" spans="6:9" x14ac:dyDescent="0.3">
      <c r="F25369"/>
      <c r="G25369"/>
      <c r="H25369"/>
      <c r="I25369"/>
    </row>
    <row r="25370" spans="6:9" x14ac:dyDescent="0.3">
      <c r="F25370"/>
      <c r="G25370"/>
      <c r="H25370"/>
      <c r="I25370"/>
    </row>
    <row r="25371" spans="6:9" x14ac:dyDescent="0.3">
      <c r="F25371"/>
      <c r="G25371"/>
      <c r="H25371"/>
      <c r="I25371"/>
    </row>
    <row r="25372" spans="6:9" x14ac:dyDescent="0.3">
      <c r="F25372"/>
      <c r="G25372"/>
      <c r="H25372"/>
      <c r="I25372"/>
    </row>
    <row r="25373" spans="6:9" x14ac:dyDescent="0.3">
      <c r="F25373"/>
      <c r="G25373"/>
      <c r="H25373"/>
      <c r="I25373"/>
    </row>
    <row r="25374" spans="6:9" x14ac:dyDescent="0.3">
      <c r="F25374"/>
      <c r="G25374"/>
      <c r="H25374"/>
      <c r="I25374"/>
    </row>
    <row r="25375" spans="6:9" x14ac:dyDescent="0.3">
      <c r="F25375"/>
      <c r="G25375"/>
      <c r="H25375"/>
      <c r="I25375"/>
    </row>
    <row r="25376" spans="6:9" x14ac:dyDescent="0.3">
      <c r="F25376"/>
      <c r="G25376"/>
      <c r="H25376"/>
      <c r="I25376"/>
    </row>
    <row r="25377" spans="6:9" x14ac:dyDescent="0.3">
      <c r="F25377"/>
      <c r="G25377"/>
      <c r="H25377"/>
      <c r="I25377"/>
    </row>
    <row r="25378" spans="6:9" x14ac:dyDescent="0.3">
      <c r="F25378"/>
      <c r="G25378"/>
      <c r="H25378"/>
      <c r="I25378"/>
    </row>
    <row r="25379" spans="6:9" x14ac:dyDescent="0.3">
      <c r="F25379"/>
      <c r="G25379"/>
      <c r="H25379"/>
      <c r="I25379"/>
    </row>
    <row r="25380" spans="6:9" x14ac:dyDescent="0.3">
      <c r="F25380"/>
      <c r="G25380"/>
      <c r="H25380"/>
      <c r="I25380"/>
    </row>
    <row r="25381" spans="6:9" x14ac:dyDescent="0.3">
      <c r="F25381"/>
      <c r="G25381"/>
      <c r="H25381"/>
      <c r="I25381"/>
    </row>
    <row r="25382" spans="6:9" x14ac:dyDescent="0.3">
      <c r="F25382"/>
      <c r="G25382"/>
      <c r="H25382"/>
      <c r="I25382"/>
    </row>
    <row r="25383" spans="6:9" x14ac:dyDescent="0.3">
      <c r="F25383"/>
      <c r="G25383"/>
      <c r="H25383"/>
      <c r="I25383"/>
    </row>
    <row r="25384" spans="6:9" x14ac:dyDescent="0.3">
      <c r="F25384"/>
      <c r="G25384"/>
      <c r="H25384"/>
      <c r="I25384"/>
    </row>
    <row r="25385" spans="6:9" x14ac:dyDescent="0.3">
      <c r="F25385"/>
      <c r="G25385"/>
      <c r="H25385"/>
      <c r="I25385"/>
    </row>
    <row r="25386" spans="6:9" x14ac:dyDescent="0.3">
      <c r="F25386"/>
      <c r="G25386"/>
      <c r="H25386"/>
      <c r="I25386"/>
    </row>
    <row r="25387" spans="6:9" x14ac:dyDescent="0.3">
      <c r="F25387"/>
      <c r="G25387"/>
      <c r="H25387"/>
      <c r="I25387"/>
    </row>
    <row r="25388" spans="6:9" x14ac:dyDescent="0.3">
      <c r="F25388"/>
      <c r="G25388"/>
      <c r="H25388"/>
      <c r="I25388"/>
    </row>
    <row r="25389" spans="6:9" x14ac:dyDescent="0.3">
      <c r="F25389"/>
      <c r="G25389"/>
      <c r="H25389"/>
      <c r="I25389"/>
    </row>
    <row r="25390" spans="6:9" x14ac:dyDescent="0.3">
      <c r="F25390"/>
      <c r="G25390"/>
      <c r="H25390"/>
      <c r="I25390"/>
    </row>
    <row r="25391" spans="6:9" x14ac:dyDescent="0.3">
      <c r="F25391"/>
      <c r="G25391"/>
      <c r="H25391"/>
      <c r="I25391"/>
    </row>
    <row r="25392" spans="6:9" x14ac:dyDescent="0.3">
      <c r="F25392"/>
      <c r="G25392"/>
      <c r="H25392"/>
      <c r="I25392"/>
    </row>
    <row r="25393" spans="6:9" x14ac:dyDescent="0.3">
      <c r="F25393"/>
      <c r="G25393"/>
      <c r="H25393"/>
      <c r="I25393"/>
    </row>
    <row r="25394" spans="6:9" x14ac:dyDescent="0.3">
      <c r="F25394"/>
      <c r="G25394"/>
      <c r="H25394"/>
      <c r="I25394"/>
    </row>
    <row r="25395" spans="6:9" x14ac:dyDescent="0.3">
      <c r="F25395"/>
      <c r="G25395"/>
      <c r="H25395"/>
      <c r="I25395"/>
    </row>
    <row r="25396" spans="6:9" x14ac:dyDescent="0.3">
      <c r="F25396"/>
      <c r="G25396"/>
      <c r="H25396"/>
      <c r="I25396"/>
    </row>
    <row r="25397" spans="6:9" x14ac:dyDescent="0.3">
      <c r="F25397"/>
      <c r="G25397"/>
      <c r="H25397"/>
      <c r="I25397"/>
    </row>
    <row r="25398" spans="6:9" x14ac:dyDescent="0.3">
      <c r="F25398"/>
      <c r="G25398"/>
      <c r="H25398"/>
      <c r="I25398"/>
    </row>
    <row r="25399" spans="6:9" x14ac:dyDescent="0.3">
      <c r="F25399"/>
      <c r="G25399"/>
      <c r="H25399"/>
      <c r="I25399"/>
    </row>
    <row r="25400" spans="6:9" x14ac:dyDescent="0.3">
      <c r="F25400"/>
      <c r="G25400"/>
      <c r="H25400"/>
      <c r="I25400"/>
    </row>
    <row r="25401" spans="6:9" x14ac:dyDescent="0.3">
      <c r="F25401"/>
      <c r="G25401"/>
      <c r="H25401"/>
      <c r="I25401"/>
    </row>
    <row r="25402" spans="6:9" x14ac:dyDescent="0.3">
      <c r="F25402"/>
      <c r="G25402"/>
      <c r="H25402"/>
      <c r="I25402"/>
    </row>
    <row r="25403" spans="6:9" x14ac:dyDescent="0.3">
      <c r="F25403"/>
      <c r="G25403"/>
      <c r="H25403"/>
      <c r="I25403"/>
    </row>
    <row r="25404" spans="6:9" x14ac:dyDescent="0.3">
      <c r="F25404"/>
      <c r="G25404"/>
      <c r="H25404"/>
      <c r="I25404"/>
    </row>
    <row r="25405" spans="6:9" x14ac:dyDescent="0.3">
      <c r="F25405"/>
      <c r="G25405"/>
      <c r="H25405"/>
      <c r="I25405"/>
    </row>
    <row r="25406" spans="6:9" x14ac:dyDescent="0.3">
      <c r="F25406"/>
      <c r="G25406"/>
      <c r="H25406"/>
      <c r="I25406"/>
    </row>
    <row r="25407" spans="6:9" x14ac:dyDescent="0.3">
      <c r="F25407"/>
      <c r="G25407"/>
      <c r="H25407"/>
      <c r="I25407"/>
    </row>
    <row r="25408" spans="6:9" x14ac:dyDescent="0.3">
      <c r="F25408"/>
      <c r="G25408"/>
      <c r="H25408"/>
      <c r="I25408"/>
    </row>
    <row r="25409" spans="6:9" x14ac:dyDescent="0.3">
      <c r="F25409"/>
      <c r="G25409"/>
      <c r="H25409"/>
      <c r="I25409"/>
    </row>
    <row r="25410" spans="6:9" x14ac:dyDescent="0.3">
      <c r="F25410"/>
      <c r="G25410"/>
      <c r="H25410"/>
      <c r="I25410"/>
    </row>
    <row r="25411" spans="6:9" x14ac:dyDescent="0.3">
      <c r="F25411"/>
      <c r="G25411"/>
      <c r="H25411"/>
      <c r="I25411"/>
    </row>
    <row r="25412" spans="6:9" x14ac:dyDescent="0.3">
      <c r="F25412"/>
      <c r="G25412"/>
      <c r="H25412"/>
      <c r="I25412"/>
    </row>
    <row r="25413" spans="6:9" x14ac:dyDescent="0.3">
      <c r="F25413"/>
      <c r="G25413"/>
      <c r="H25413"/>
      <c r="I25413"/>
    </row>
    <row r="25414" spans="6:9" x14ac:dyDescent="0.3">
      <c r="F25414"/>
      <c r="G25414"/>
      <c r="H25414"/>
      <c r="I25414"/>
    </row>
    <row r="25415" spans="6:9" x14ac:dyDescent="0.3">
      <c r="F25415"/>
      <c r="G25415"/>
      <c r="H25415"/>
      <c r="I25415"/>
    </row>
    <row r="25416" spans="6:9" x14ac:dyDescent="0.3">
      <c r="F25416"/>
      <c r="G25416"/>
      <c r="H25416"/>
      <c r="I25416"/>
    </row>
    <row r="25417" spans="6:9" x14ac:dyDescent="0.3">
      <c r="F25417"/>
      <c r="G25417"/>
      <c r="H25417"/>
      <c r="I25417"/>
    </row>
    <row r="25418" spans="6:9" x14ac:dyDescent="0.3">
      <c r="F25418"/>
      <c r="G25418"/>
      <c r="H25418"/>
      <c r="I25418"/>
    </row>
    <row r="25419" spans="6:9" x14ac:dyDescent="0.3">
      <c r="F25419"/>
      <c r="G25419"/>
      <c r="H25419"/>
      <c r="I25419"/>
    </row>
    <row r="25420" spans="6:9" x14ac:dyDescent="0.3">
      <c r="F25420"/>
      <c r="G25420"/>
      <c r="H25420"/>
      <c r="I25420"/>
    </row>
    <row r="25421" spans="6:9" x14ac:dyDescent="0.3">
      <c r="F25421"/>
      <c r="G25421"/>
      <c r="H25421"/>
      <c r="I25421"/>
    </row>
    <row r="25422" spans="6:9" x14ac:dyDescent="0.3">
      <c r="F25422"/>
      <c r="G25422"/>
      <c r="H25422"/>
      <c r="I25422"/>
    </row>
    <row r="25423" spans="6:9" x14ac:dyDescent="0.3">
      <c r="F25423"/>
      <c r="G25423"/>
      <c r="H25423"/>
      <c r="I25423"/>
    </row>
    <row r="25424" spans="6:9" x14ac:dyDescent="0.3">
      <c r="F25424"/>
      <c r="G25424"/>
      <c r="H25424"/>
      <c r="I25424"/>
    </row>
    <row r="25425" spans="6:9" x14ac:dyDescent="0.3">
      <c r="F25425"/>
      <c r="G25425"/>
      <c r="H25425"/>
      <c r="I25425"/>
    </row>
    <row r="25426" spans="6:9" x14ac:dyDescent="0.3">
      <c r="F25426"/>
      <c r="G25426"/>
      <c r="H25426"/>
      <c r="I25426"/>
    </row>
    <row r="25427" spans="6:9" x14ac:dyDescent="0.3">
      <c r="F25427"/>
      <c r="G25427"/>
      <c r="H25427"/>
      <c r="I25427"/>
    </row>
    <row r="25428" spans="6:9" x14ac:dyDescent="0.3">
      <c r="F25428"/>
      <c r="G25428"/>
      <c r="H25428"/>
      <c r="I25428"/>
    </row>
    <row r="25429" spans="6:9" x14ac:dyDescent="0.3">
      <c r="F25429"/>
      <c r="G25429"/>
      <c r="H25429"/>
      <c r="I25429"/>
    </row>
    <row r="25430" spans="6:9" x14ac:dyDescent="0.3">
      <c r="F25430"/>
      <c r="G25430"/>
      <c r="H25430"/>
      <c r="I25430"/>
    </row>
    <row r="25431" spans="6:9" x14ac:dyDescent="0.3">
      <c r="F25431"/>
      <c r="G25431"/>
      <c r="H25431"/>
      <c r="I25431"/>
    </row>
    <row r="25432" spans="6:9" x14ac:dyDescent="0.3">
      <c r="F25432"/>
      <c r="G25432"/>
      <c r="H25432"/>
      <c r="I25432"/>
    </row>
    <row r="25433" spans="6:9" x14ac:dyDescent="0.3">
      <c r="F25433"/>
      <c r="G25433"/>
      <c r="H25433"/>
      <c r="I25433"/>
    </row>
    <row r="25434" spans="6:9" x14ac:dyDescent="0.3">
      <c r="F25434"/>
      <c r="G25434"/>
      <c r="H25434"/>
      <c r="I25434"/>
    </row>
    <row r="25435" spans="6:9" x14ac:dyDescent="0.3">
      <c r="F25435"/>
      <c r="G25435"/>
      <c r="H25435"/>
      <c r="I25435"/>
    </row>
    <row r="25436" spans="6:9" x14ac:dyDescent="0.3">
      <c r="F25436"/>
      <c r="G25436"/>
      <c r="H25436"/>
      <c r="I25436"/>
    </row>
    <row r="25437" spans="6:9" x14ac:dyDescent="0.3">
      <c r="F25437"/>
      <c r="G25437"/>
      <c r="H25437"/>
      <c r="I25437"/>
    </row>
    <row r="25438" spans="6:9" x14ac:dyDescent="0.3">
      <c r="F25438"/>
      <c r="G25438"/>
      <c r="H25438"/>
      <c r="I25438"/>
    </row>
    <row r="25439" spans="6:9" x14ac:dyDescent="0.3">
      <c r="F25439"/>
      <c r="G25439"/>
      <c r="H25439"/>
      <c r="I25439"/>
    </row>
    <row r="25440" spans="6:9" x14ac:dyDescent="0.3">
      <c r="F25440"/>
      <c r="G25440"/>
      <c r="H25440"/>
      <c r="I25440"/>
    </row>
    <row r="25441" spans="6:9" x14ac:dyDescent="0.3">
      <c r="F25441"/>
      <c r="G25441"/>
      <c r="H25441"/>
      <c r="I25441"/>
    </row>
    <row r="25442" spans="6:9" x14ac:dyDescent="0.3">
      <c r="F25442"/>
      <c r="G25442"/>
      <c r="H25442"/>
      <c r="I25442"/>
    </row>
    <row r="25443" spans="6:9" x14ac:dyDescent="0.3">
      <c r="F25443"/>
      <c r="G25443"/>
      <c r="H25443"/>
      <c r="I25443"/>
    </row>
    <row r="25444" spans="6:9" x14ac:dyDescent="0.3">
      <c r="F25444"/>
      <c r="G25444"/>
      <c r="H25444"/>
      <c r="I25444"/>
    </row>
    <row r="25445" spans="6:9" x14ac:dyDescent="0.3">
      <c r="F25445"/>
      <c r="G25445"/>
      <c r="H25445"/>
      <c r="I25445"/>
    </row>
    <row r="25446" spans="6:9" x14ac:dyDescent="0.3">
      <c r="F25446"/>
      <c r="G25446"/>
      <c r="H25446"/>
      <c r="I25446"/>
    </row>
    <row r="25447" spans="6:9" x14ac:dyDescent="0.3">
      <c r="F25447"/>
      <c r="G25447"/>
      <c r="H25447"/>
      <c r="I25447"/>
    </row>
    <row r="25448" spans="6:9" x14ac:dyDescent="0.3">
      <c r="F25448"/>
      <c r="G25448"/>
      <c r="H25448"/>
      <c r="I25448"/>
    </row>
    <row r="25449" spans="6:9" x14ac:dyDescent="0.3">
      <c r="F25449"/>
      <c r="G25449"/>
      <c r="H25449"/>
      <c r="I25449"/>
    </row>
    <row r="25450" spans="6:9" x14ac:dyDescent="0.3">
      <c r="F25450"/>
      <c r="G25450"/>
      <c r="H25450"/>
      <c r="I25450"/>
    </row>
    <row r="25451" spans="6:9" x14ac:dyDescent="0.3">
      <c r="F25451"/>
      <c r="G25451"/>
      <c r="H25451"/>
      <c r="I25451"/>
    </row>
    <row r="25452" spans="6:9" x14ac:dyDescent="0.3">
      <c r="F25452"/>
      <c r="G25452"/>
      <c r="H25452"/>
      <c r="I25452"/>
    </row>
    <row r="25453" spans="6:9" x14ac:dyDescent="0.3">
      <c r="F25453"/>
      <c r="G25453"/>
      <c r="H25453"/>
      <c r="I25453"/>
    </row>
    <row r="25454" spans="6:9" x14ac:dyDescent="0.3">
      <c r="F25454"/>
      <c r="G25454"/>
      <c r="H25454"/>
      <c r="I25454"/>
    </row>
    <row r="25455" spans="6:9" x14ac:dyDescent="0.3">
      <c r="F25455"/>
      <c r="G25455"/>
      <c r="H25455"/>
      <c r="I25455"/>
    </row>
    <row r="25456" spans="6:9" x14ac:dyDescent="0.3">
      <c r="F25456"/>
      <c r="G25456"/>
      <c r="H25456"/>
      <c r="I25456"/>
    </row>
    <row r="25457" spans="6:9" x14ac:dyDescent="0.3">
      <c r="F25457"/>
      <c r="G25457"/>
      <c r="H25457"/>
      <c r="I25457"/>
    </row>
    <row r="25458" spans="6:9" x14ac:dyDescent="0.3">
      <c r="F25458"/>
      <c r="G25458"/>
      <c r="H25458"/>
      <c r="I25458"/>
    </row>
    <row r="25459" spans="6:9" x14ac:dyDescent="0.3">
      <c r="F25459"/>
      <c r="G25459"/>
      <c r="H25459"/>
      <c r="I25459"/>
    </row>
    <row r="25460" spans="6:9" x14ac:dyDescent="0.3">
      <c r="F25460"/>
      <c r="G25460"/>
      <c r="H25460"/>
      <c r="I25460"/>
    </row>
    <row r="25461" spans="6:9" x14ac:dyDescent="0.3">
      <c r="F25461"/>
      <c r="G25461"/>
      <c r="H25461"/>
      <c r="I25461"/>
    </row>
    <row r="25462" spans="6:9" x14ac:dyDescent="0.3">
      <c r="F25462"/>
      <c r="G25462"/>
      <c r="H25462"/>
      <c r="I25462"/>
    </row>
    <row r="25463" spans="6:9" x14ac:dyDescent="0.3">
      <c r="F25463"/>
      <c r="G25463"/>
      <c r="H25463"/>
      <c r="I25463"/>
    </row>
    <row r="25464" spans="6:9" x14ac:dyDescent="0.3">
      <c r="F25464"/>
      <c r="G25464"/>
      <c r="H25464"/>
      <c r="I25464"/>
    </row>
    <row r="25465" spans="6:9" x14ac:dyDescent="0.3">
      <c r="F25465"/>
      <c r="G25465"/>
      <c r="H25465"/>
      <c r="I25465"/>
    </row>
    <row r="25466" spans="6:9" x14ac:dyDescent="0.3">
      <c r="F25466"/>
      <c r="G25466"/>
      <c r="H25466"/>
      <c r="I25466"/>
    </row>
    <row r="25467" spans="6:9" x14ac:dyDescent="0.3">
      <c r="F25467"/>
      <c r="G25467"/>
      <c r="H25467"/>
      <c r="I25467"/>
    </row>
    <row r="25468" spans="6:9" x14ac:dyDescent="0.3">
      <c r="F25468"/>
      <c r="G25468"/>
      <c r="H25468"/>
      <c r="I25468"/>
    </row>
    <row r="25469" spans="6:9" x14ac:dyDescent="0.3">
      <c r="F25469"/>
      <c r="G25469"/>
      <c r="H25469"/>
      <c r="I25469"/>
    </row>
    <row r="25470" spans="6:9" x14ac:dyDescent="0.3">
      <c r="F25470"/>
      <c r="G25470"/>
      <c r="H25470"/>
      <c r="I25470"/>
    </row>
    <row r="25471" spans="6:9" x14ac:dyDescent="0.3">
      <c r="F25471"/>
      <c r="G25471"/>
      <c r="H25471"/>
      <c r="I25471"/>
    </row>
    <row r="25472" spans="6:9" x14ac:dyDescent="0.3">
      <c r="F25472"/>
      <c r="G25472"/>
      <c r="H25472"/>
      <c r="I25472"/>
    </row>
    <row r="25473" spans="6:9" x14ac:dyDescent="0.3">
      <c r="F25473"/>
      <c r="G25473"/>
      <c r="H25473"/>
      <c r="I25473"/>
    </row>
    <row r="25474" spans="6:9" x14ac:dyDescent="0.3">
      <c r="F25474"/>
      <c r="G25474"/>
      <c r="H25474"/>
      <c r="I25474"/>
    </row>
    <row r="25475" spans="6:9" x14ac:dyDescent="0.3">
      <c r="F25475"/>
      <c r="G25475"/>
      <c r="H25475"/>
      <c r="I25475"/>
    </row>
    <row r="25476" spans="6:9" x14ac:dyDescent="0.3">
      <c r="F25476"/>
      <c r="G25476"/>
      <c r="H25476"/>
      <c r="I25476"/>
    </row>
    <row r="25477" spans="6:9" x14ac:dyDescent="0.3">
      <c r="F25477"/>
      <c r="G25477"/>
      <c r="H25477"/>
      <c r="I25477"/>
    </row>
    <row r="25478" spans="6:9" x14ac:dyDescent="0.3">
      <c r="F25478"/>
      <c r="G25478"/>
      <c r="H25478"/>
      <c r="I25478"/>
    </row>
    <row r="25479" spans="6:9" x14ac:dyDescent="0.3">
      <c r="F25479"/>
      <c r="G25479"/>
      <c r="H25479"/>
      <c r="I25479"/>
    </row>
    <row r="25480" spans="6:9" x14ac:dyDescent="0.3">
      <c r="F25480"/>
      <c r="G25480"/>
      <c r="H25480"/>
      <c r="I25480"/>
    </row>
    <row r="25481" spans="6:9" x14ac:dyDescent="0.3">
      <c r="F25481"/>
      <c r="G25481"/>
      <c r="H25481"/>
      <c r="I25481"/>
    </row>
    <row r="25482" spans="6:9" x14ac:dyDescent="0.3">
      <c r="F25482"/>
      <c r="G25482"/>
      <c r="H25482"/>
      <c r="I25482"/>
    </row>
    <row r="25483" spans="6:9" x14ac:dyDescent="0.3">
      <c r="F25483"/>
      <c r="G25483"/>
      <c r="H25483"/>
      <c r="I25483"/>
    </row>
    <row r="25484" spans="6:9" x14ac:dyDescent="0.3">
      <c r="F25484"/>
      <c r="G25484"/>
      <c r="H25484"/>
      <c r="I25484"/>
    </row>
    <row r="25485" spans="6:9" x14ac:dyDescent="0.3">
      <c r="F25485"/>
      <c r="G25485"/>
      <c r="H25485"/>
      <c r="I25485"/>
    </row>
    <row r="25486" spans="6:9" x14ac:dyDescent="0.3">
      <c r="F25486"/>
      <c r="G25486"/>
      <c r="H25486"/>
      <c r="I25486"/>
    </row>
    <row r="25487" spans="6:9" x14ac:dyDescent="0.3">
      <c r="F25487"/>
      <c r="G25487"/>
      <c r="H25487"/>
      <c r="I25487"/>
    </row>
    <row r="25488" spans="6:9" x14ac:dyDescent="0.3">
      <c r="F25488"/>
      <c r="G25488"/>
      <c r="H25488"/>
      <c r="I25488"/>
    </row>
    <row r="25489" spans="6:9" x14ac:dyDescent="0.3">
      <c r="F25489"/>
      <c r="G25489"/>
      <c r="H25489"/>
      <c r="I25489"/>
    </row>
    <row r="25490" spans="6:9" x14ac:dyDescent="0.3">
      <c r="F25490"/>
      <c r="G25490"/>
      <c r="H25490"/>
      <c r="I25490"/>
    </row>
    <row r="25491" spans="6:9" x14ac:dyDescent="0.3">
      <c r="F25491"/>
      <c r="G25491"/>
      <c r="H25491"/>
      <c r="I25491"/>
    </row>
    <row r="25492" spans="6:9" x14ac:dyDescent="0.3">
      <c r="F25492"/>
      <c r="G25492"/>
      <c r="H25492"/>
      <c r="I25492"/>
    </row>
    <row r="25493" spans="6:9" x14ac:dyDescent="0.3">
      <c r="F25493"/>
      <c r="G25493"/>
      <c r="H25493"/>
      <c r="I25493"/>
    </row>
    <row r="25494" spans="6:9" x14ac:dyDescent="0.3">
      <c r="F25494"/>
      <c r="G25494"/>
      <c r="H25494"/>
      <c r="I25494"/>
    </row>
    <row r="25495" spans="6:9" x14ac:dyDescent="0.3">
      <c r="F25495"/>
      <c r="G25495"/>
      <c r="H25495"/>
      <c r="I25495"/>
    </row>
    <row r="25496" spans="6:9" x14ac:dyDescent="0.3">
      <c r="F25496"/>
      <c r="G25496"/>
      <c r="H25496"/>
      <c r="I25496"/>
    </row>
    <row r="25497" spans="6:9" x14ac:dyDescent="0.3">
      <c r="F25497"/>
      <c r="G25497"/>
      <c r="H25497"/>
      <c r="I25497"/>
    </row>
    <row r="25498" spans="6:9" x14ac:dyDescent="0.3">
      <c r="F25498"/>
      <c r="G25498"/>
      <c r="H25498"/>
      <c r="I25498"/>
    </row>
    <row r="25499" spans="6:9" x14ac:dyDescent="0.3">
      <c r="F25499"/>
      <c r="G25499"/>
      <c r="H25499"/>
      <c r="I25499"/>
    </row>
    <row r="25500" spans="6:9" x14ac:dyDescent="0.3">
      <c r="F25500"/>
      <c r="G25500"/>
      <c r="H25500"/>
      <c r="I25500"/>
    </row>
    <row r="25501" spans="6:9" x14ac:dyDescent="0.3">
      <c r="F25501"/>
      <c r="G25501"/>
      <c r="H25501"/>
      <c r="I25501"/>
    </row>
    <row r="25502" spans="6:9" x14ac:dyDescent="0.3">
      <c r="F25502"/>
      <c r="G25502"/>
      <c r="H25502"/>
      <c r="I25502"/>
    </row>
    <row r="25503" spans="6:9" x14ac:dyDescent="0.3">
      <c r="F25503"/>
      <c r="G25503"/>
      <c r="H25503"/>
      <c r="I25503"/>
    </row>
    <row r="25504" spans="6:9" x14ac:dyDescent="0.3">
      <c r="F25504"/>
      <c r="G25504"/>
      <c r="H25504"/>
      <c r="I25504"/>
    </row>
    <row r="25505" spans="6:9" x14ac:dyDescent="0.3">
      <c r="F25505"/>
      <c r="G25505"/>
      <c r="H25505"/>
      <c r="I25505"/>
    </row>
    <row r="25506" spans="6:9" x14ac:dyDescent="0.3">
      <c r="F25506"/>
      <c r="G25506"/>
      <c r="H25506"/>
      <c r="I25506"/>
    </row>
    <row r="25507" spans="6:9" x14ac:dyDescent="0.3">
      <c r="F25507"/>
      <c r="G25507"/>
      <c r="H25507"/>
      <c r="I25507"/>
    </row>
    <row r="25508" spans="6:9" x14ac:dyDescent="0.3">
      <c r="F25508"/>
      <c r="G25508"/>
      <c r="H25508"/>
      <c r="I25508"/>
    </row>
    <row r="25509" spans="6:9" x14ac:dyDescent="0.3">
      <c r="F25509"/>
      <c r="G25509"/>
      <c r="H25509"/>
      <c r="I25509"/>
    </row>
    <row r="25510" spans="6:9" x14ac:dyDescent="0.3">
      <c r="F25510"/>
      <c r="G25510"/>
      <c r="H25510"/>
      <c r="I25510"/>
    </row>
    <row r="25511" spans="6:9" x14ac:dyDescent="0.3">
      <c r="F25511"/>
      <c r="G25511"/>
      <c r="H25511"/>
      <c r="I25511"/>
    </row>
    <row r="25512" spans="6:9" x14ac:dyDescent="0.3">
      <c r="F25512"/>
      <c r="G25512"/>
      <c r="H25512"/>
      <c r="I25512"/>
    </row>
    <row r="25513" spans="6:9" x14ac:dyDescent="0.3">
      <c r="F25513"/>
      <c r="G25513"/>
      <c r="H25513"/>
      <c r="I25513"/>
    </row>
    <row r="25514" spans="6:9" x14ac:dyDescent="0.3">
      <c r="F25514"/>
      <c r="G25514"/>
      <c r="H25514"/>
      <c r="I25514"/>
    </row>
    <row r="25515" spans="6:9" x14ac:dyDescent="0.3">
      <c r="F25515"/>
      <c r="G25515"/>
      <c r="H25515"/>
      <c r="I25515"/>
    </row>
    <row r="25516" spans="6:9" x14ac:dyDescent="0.3">
      <c r="F25516"/>
      <c r="G25516"/>
      <c r="H25516"/>
      <c r="I25516"/>
    </row>
    <row r="25517" spans="6:9" x14ac:dyDescent="0.3">
      <c r="F25517"/>
      <c r="G25517"/>
      <c r="H25517"/>
      <c r="I25517"/>
    </row>
    <row r="25518" spans="6:9" x14ac:dyDescent="0.3">
      <c r="F25518"/>
      <c r="G25518"/>
      <c r="H25518"/>
      <c r="I25518"/>
    </row>
    <row r="25519" spans="6:9" x14ac:dyDescent="0.3">
      <c r="F25519"/>
      <c r="G25519"/>
      <c r="H25519"/>
      <c r="I25519"/>
    </row>
    <row r="25520" spans="6:9" x14ac:dyDescent="0.3">
      <c r="F25520"/>
      <c r="G25520"/>
      <c r="H25520"/>
      <c r="I25520"/>
    </row>
    <row r="25521" spans="6:9" x14ac:dyDescent="0.3">
      <c r="F25521"/>
      <c r="G25521"/>
      <c r="H25521"/>
      <c r="I25521"/>
    </row>
    <row r="25522" spans="6:9" x14ac:dyDescent="0.3">
      <c r="F25522"/>
      <c r="G25522"/>
      <c r="H25522"/>
      <c r="I25522"/>
    </row>
    <row r="25523" spans="6:9" x14ac:dyDescent="0.3">
      <c r="F25523"/>
      <c r="G25523"/>
      <c r="H25523"/>
      <c r="I25523"/>
    </row>
    <row r="25524" spans="6:9" x14ac:dyDescent="0.3">
      <c r="F25524"/>
      <c r="G25524"/>
      <c r="H25524"/>
      <c r="I25524"/>
    </row>
    <row r="25525" spans="6:9" x14ac:dyDescent="0.3">
      <c r="F25525"/>
      <c r="G25525"/>
      <c r="H25525"/>
      <c r="I25525"/>
    </row>
    <row r="25526" spans="6:9" x14ac:dyDescent="0.3">
      <c r="F25526"/>
      <c r="G25526"/>
      <c r="H25526"/>
      <c r="I25526"/>
    </row>
    <row r="25527" spans="6:9" x14ac:dyDescent="0.3">
      <c r="F25527"/>
      <c r="G25527"/>
      <c r="H25527"/>
      <c r="I25527"/>
    </row>
    <row r="25528" spans="6:9" x14ac:dyDescent="0.3">
      <c r="F25528"/>
      <c r="G25528"/>
      <c r="H25528"/>
      <c r="I25528"/>
    </row>
    <row r="25529" spans="6:9" x14ac:dyDescent="0.3">
      <c r="F25529"/>
      <c r="G25529"/>
      <c r="H25529"/>
      <c r="I25529"/>
    </row>
    <row r="25530" spans="6:9" x14ac:dyDescent="0.3">
      <c r="F25530"/>
      <c r="G25530"/>
      <c r="H25530"/>
      <c r="I25530"/>
    </row>
    <row r="25531" spans="6:9" x14ac:dyDescent="0.3">
      <c r="F25531"/>
      <c r="G25531"/>
      <c r="H25531"/>
      <c r="I25531"/>
    </row>
    <row r="25532" spans="6:9" x14ac:dyDescent="0.3">
      <c r="F25532"/>
      <c r="G25532"/>
      <c r="H25532"/>
      <c r="I25532"/>
    </row>
    <row r="25533" spans="6:9" x14ac:dyDescent="0.3">
      <c r="F25533"/>
      <c r="G25533"/>
      <c r="H25533"/>
      <c r="I25533"/>
    </row>
    <row r="25534" spans="6:9" x14ac:dyDescent="0.3">
      <c r="F25534"/>
      <c r="G25534"/>
      <c r="H25534"/>
      <c r="I25534"/>
    </row>
    <row r="25535" spans="6:9" x14ac:dyDescent="0.3">
      <c r="F25535"/>
      <c r="G25535"/>
      <c r="H25535"/>
      <c r="I25535"/>
    </row>
    <row r="25536" spans="6:9" x14ac:dyDescent="0.3">
      <c r="F25536"/>
      <c r="G25536"/>
      <c r="H25536"/>
      <c r="I25536"/>
    </row>
    <row r="25537" spans="6:9" x14ac:dyDescent="0.3">
      <c r="F25537"/>
      <c r="G25537"/>
      <c r="H25537"/>
      <c r="I25537"/>
    </row>
    <row r="25538" spans="6:9" x14ac:dyDescent="0.3">
      <c r="F25538"/>
      <c r="G25538"/>
      <c r="H25538"/>
      <c r="I25538"/>
    </row>
    <row r="25539" spans="6:9" x14ac:dyDescent="0.3">
      <c r="F25539"/>
      <c r="G25539"/>
      <c r="H25539"/>
      <c r="I25539"/>
    </row>
    <row r="25540" spans="6:9" x14ac:dyDescent="0.3">
      <c r="F25540"/>
      <c r="G25540"/>
      <c r="H25540"/>
      <c r="I25540"/>
    </row>
    <row r="25541" spans="6:9" x14ac:dyDescent="0.3">
      <c r="F25541"/>
      <c r="G25541"/>
      <c r="H25541"/>
      <c r="I25541"/>
    </row>
    <row r="25542" spans="6:9" x14ac:dyDescent="0.3">
      <c r="F25542"/>
      <c r="G25542"/>
      <c r="H25542"/>
      <c r="I25542"/>
    </row>
    <row r="25543" spans="6:9" x14ac:dyDescent="0.3">
      <c r="F25543"/>
      <c r="G25543"/>
      <c r="H25543"/>
      <c r="I25543"/>
    </row>
    <row r="25544" spans="6:9" x14ac:dyDescent="0.3">
      <c r="F25544"/>
      <c r="G25544"/>
      <c r="H25544"/>
      <c r="I25544"/>
    </row>
    <row r="25545" spans="6:9" x14ac:dyDescent="0.3">
      <c r="F25545"/>
      <c r="G25545"/>
      <c r="H25545"/>
      <c r="I25545"/>
    </row>
    <row r="25546" spans="6:9" x14ac:dyDescent="0.3">
      <c r="F25546"/>
      <c r="G25546"/>
      <c r="H25546"/>
      <c r="I25546"/>
    </row>
    <row r="25547" spans="6:9" x14ac:dyDescent="0.3">
      <c r="F25547"/>
      <c r="G25547"/>
      <c r="H25547"/>
      <c r="I25547"/>
    </row>
    <row r="25548" spans="6:9" x14ac:dyDescent="0.3">
      <c r="F25548"/>
      <c r="G25548"/>
      <c r="H25548"/>
      <c r="I25548"/>
    </row>
    <row r="25549" spans="6:9" x14ac:dyDescent="0.3">
      <c r="F25549"/>
      <c r="G25549"/>
      <c r="H25549"/>
      <c r="I25549"/>
    </row>
    <row r="25550" spans="6:9" x14ac:dyDescent="0.3">
      <c r="F25550"/>
      <c r="G25550"/>
      <c r="H25550"/>
      <c r="I25550"/>
    </row>
    <row r="25551" spans="6:9" x14ac:dyDescent="0.3">
      <c r="F25551"/>
      <c r="G25551"/>
      <c r="H25551"/>
      <c r="I25551"/>
    </row>
    <row r="25552" spans="6:9" x14ac:dyDescent="0.3">
      <c r="F25552"/>
      <c r="G25552"/>
      <c r="H25552"/>
      <c r="I25552"/>
    </row>
    <row r="25553" spans="6:9" x14ac:dyDescent="0.3">
      <c r="F25553"/>
      <c r="G25553"/>
      <c r="H25553"/>
      <c r="I25553"/>
    </row>
    <row r="25554" spans="6:9" x14ac:dyDescent="0.3">
      <c r="F25554"/>
      <c r="G25554"/>
      <c r="H25554"/>
      <c r="I25554"/>
    </row>
    <row r="25555" spans="6:9" x14ac:dyDescent="0.3">
      <c r="F25555"/>
      <c r="G25555"/>
      <c r="H25555"/>
      <c r="I25555"/>
    </row>
    <row r="25556" spans="6:9" x14ac:dyDescent="0.3">
      <c r="F25556"/>
      <c r="G25556"/>
      <c r="H25556"/>
      <c r="I25556"/>
    </row>
    <row r="25557" spans="6:9" x14ac:dyDescent="0.3">
      <c r="F25557"/>
      <c r="G25557"/>
      <c r="H25557"/>
      <c r="I25557"/>
    </row>
    <row r="25558" spans="6:9" x14ac:dyDescent="0.3">
      <c r="F25558"/>
      <c r="G25558"/>
      <c r="H25558"/>
      <c r="I25558"/>
    </row>
    <row r="25559" spans="6:9" x14ac:dyDescent="0.3">
      <c r="F25559"/>
      <c r="G25559"/>
      <c r="H25559"/>
      <c r="I25559"/>
    </row>
    <row r="25560" spans="6:9" x14ac:dyDescent="0.3">
      <c r="F25560"/>
      <c r="G25560"/>
      <c r="H25560"/>
      <c r="I25560"/>
    </row>
    <row r="25561" spans="6:9" x14ac:dyDescent="0.3">
      <c r="F25561"/>
      <c r="G25561"/>
      <c r="H25561"/>
      <c r="I25561"/>
    </row>
    <row r="25562" spans="6:9" x14ac:dyDescent="0.3">
      <c r="F25562"/>
      <c r="G25562"/>
      <c r="H25562"/>
      <c r="I25562"/>
    </row>
    <row r="25563" spans="6:9" x14ac:dyDescent="0.3">
      <c r="F25563"/>
      <c r="G25563"/>
      <c r="H25563"/>
      <c r="I25563"/>
    </row>
    <row r="25564" spans="6:9" x14ac:dyDescent="0.3">
      <c r="F25564"/>
      <c r="G25564"/>
      <c r="H25564"/>
      <c r="I25564"/>
    </row>
    <row r="25565" spans="6:9" x14ac:dyDescent="0.3">
      <c r="F25565"/>
      <c r="G25565"/>
      <c r="H25565"/>
      <c r="I25565"/>
    </row>
    <row r="25566" spans="6:9" x14ac:dyDescent="0.3">
      <c r="F25566"/>
      <c r="G25566"/>
      <c r="H25566"/>
      <c r="I25566"/>
    </row>
    <row r="25567" spans="6:9" x14ac:dyDescent="0.3">
      <c r="F25567"/>
      <c r="G25567"/>
      <c r="H25567"/>
      <c r="I25567"/>
    </row>
    <row r="25568" spans="6:9" x14ac:dyDescent="0.3">
      <c r="F25568"/>
      <c r="G25568"/>
      <c r="H25568"/>
      <c r="I25568"/>
    </row>
    <row r="25569" spans="6:9" x14ac:dyDescent="0.3">
      <c r="F25569"/>
      <c r="G25569"/>
      <c r="H25569"/>
      <c r="I25569"/>
    </row>
    <row r="25570" spans="6:9" x14ac:dyDescent="0.3">
      <c r="F25570"/>
      <c r="G25570"/>
      <c r="H25570"/>
      <c r="I25570"/>
    </row>
    <row r="25571" spans="6:9" x14ac:dyDescent="0.3">
      <c r="F25571"/>
      <c r="G25571"/>
      <c r="H25571"/>
      <c r="I25571"/>
    </row>
    <row r="25572" spans="6:9" x14ac:dyDescent="0.3">
      <c r="F25572"/>
      <c r="G25572"/>
      <c r="H25572"/>
      <c r="I25572"/>
    </row>
    <row r="25573" spans="6:9" x14ac:dyDescent="0.3">
      <c r="F25573"/>
      <c r="G25573"/>
      <c r="H25573"/>
      <c r="I25573"/>
    </row>
    <row r="25574" spans="6:9" x14ac:dyDescent="0.3">
      <c r="F25574"/>
      <c r="G25574"/>
      <c r="H25574"/>
      <c r="I25574"/>
    </row>
    <row r="25575" spans="6:9" x14ac:dyDescent="0.3">
      <c r="F25575"/>
      <c r="G25575"/>
      <c r="H25575"/>
      <c r="I25575"/>
    </row>
    <row r="25576" spans="6:9" x14ac:dyDescent="0.3">
      <c r="F25576"/>
      <c r="G25576"/>
      <c r="H25576"/>
      <c r="I25576"/>
    </row>
    <row r="25577" spans="6:9" x14ac:dyDescent="0.3">
      <c r="F25577"/>
      <c r="G25577"/>
      <c r="H25577"/>
      <c r="I25577"/>
    </row>
    <row r="25578" spans="6:9" x14ac:dyDescent="0.3">
      <c r="F25578"/>
      <c r="G25578"/>
      <c r="H25578"/>
      <c r="I25578"/>
    </row>
    <row r="25579" spans="6:9" x14ac:dyDescent="0.3">
      <c r="F25579"/>
      <c r="G25579"/>
      <c r="H25579"/>
      <c r="I25579"/>
    </row>
    <row r="25580" spans="6:9" x14ac:dyDescent="0.3">
      <c r="F25580"/>
      <c r="G25580"/>
      <c r="H25580"/>
      <c r="I25580"/>
    </row>
    <row r="25581" spans="6:9" x14ac:dyDescent="0.3">
      <c r="F25581"/>
      <c r="G25581"/>
      <c r="H25581"/>
      <c r="I25581"/>
    </row>
    <row r="25582" spans="6:9" x14ac:dyDescent="0.3">
      <c r="F25582"/>
      <c r="G25582"/>
      <c r="H25582"/>
      <c r="I25582"/>
    </row>
    <row r="25583" spans="6:9" x14ac:dyDescent="0.3">
      <c r="F25583"/>
      <c r="G25583"/>
      <c r="H25583"/>
      <c r="I25583"/>
    </row>
    <row r="25584" spans="6:9" x14ac:dyDescent="0.3">
      <c r="F25584"/>
      <c r="G25584"/>
      <c r="H25584"/>
      <c r="I25584"/>
    </row>
    <row r="25585" spans="6:9" x14ac:dyDescent="0.3">
      <c r="F25585"/>
      <c r="G25585"/>
      <c r="H25585"/>
      <c r="I25585"/>
    </row>
    <row r="25586" spans="6:9" x14ac:dyDescent="0.3">
      <c r="F25586"/>
      <c r="G25586"/>
      <c r="H25586"/>
      <c r="I25586"/>
    </row>
    <row r="25587" spans="6:9" x14ac:dyDescent="0.3">
      <c r="F25587"/>
      <c r="G25587"/>
      <c r="H25587"/>
      <c r="I25587"/>
    </row>
    <row r="25588" spans="6:9" x14ac:dyDescent="0.3">
      <c r="F25588"/>
      <c r="G25588"/>
      <c r="H25588"/>
      <c r="I25588"/>
    </row>
    <row r="25589" spans="6:9" x14ac:dyDescent="0.3">
      <c r="F25589"/>
      <c r="G25589"/>
      <c r="H25589"/>
      <c r="I25589"/>
    </row>
    <row r="25590" spans="6:9" x14ac:dyDescent="0.3">
      <c r="F25590"/>
      <c r="G25590"/>
      <c r="H25590"/>
      <c r="I25590"/>
    </row>
    <row r="25591" spans="6:9" x14ac:dyDescent="0.3">
      <c r="F25591"/>
      <c r="G25591"/>
      <c r="H25591"/>
      <c r="I25591"/>
    </row>
    <row r="25592" spans="6:9" x14ac:dyDescent="0.3">
      <c r="F25592"/>
      <c r="G25592"/>
      <c r="H25592"/>
      <c r="I25592"/>
    </row>
    <row r="25593" spans="6:9" x14ac:dyDescent="0.3">
      <c r="F25593"/>
      <c r="G25593"/>
      <c r="H25593"/>
      <c r="I25593"/>
    </row>
    <row r="25594" spans="6:9" x14ac:dyDescent="0.3">
      <c r="F25594"/>
      <c r="G25594"/>
      <c r="H25594"/>
      <c r="I25594"/>
    </row>
    <row r="25595" spans="6:9" x14ac:dyDescent="0.3">
      <c r="F25595"/>
      <c r="G25595"/>
      <c r="H25595"/>
      <c r="I25595"/>
    </row>
    <row r="25596" spans="6:9" x14ac:dyDescent="0.3">
      <c r="F25596"/>
      <c r="G25596"/>
      <c r="H25596"/>
      <c r="I25596"/>
    </row>
    <row r="25597" spans="6:9" x14ac:dyDescent="0.3">
      <c r="F25597"/>
      <c r="G25597"/>
      <c r="H25597"/>
      <c r="I25597"/>
    </row>
    <row r="25598" spans="6:9" x14ac:dyDescent="0.3">
      <c r="F25598"/>
      <c r="G25598"/>
      <c r="H25598"/>
      <c r="I25598"/>
    </row>
    <row r="25599" spans="6:9" x14ac:dyDescent="0.3">
      <c r="F25599"/>
      <c r="G25599"/>
      <c r="H25599"/>
      <c r="I25599"/>
    </row>
    <row r="25600" spans="6:9" x14ac:dyDescent="0.3">
      <c r="F25600"/>
      <c r="G25600"/>
      <c r="H25600"/>
      <c r="I25600"/>
    </row>
    <row r="25601" spans="6:9" x14ac:dyDescent="0.3">
      <c r="F25601"/>
      <c r="G25601"/>
      <c r="H25601"/>
      <c r="I25601"/>
    </row>
    <row r="25602" spans="6:9" x14ac:dyDescent="0.3">
      <c r="F25602"/>
      <c r="G25602"/>
      <c r="H25602"/>
      <c r="I25602"/>
    </row>
    <row r="25603" spans="6:9" x14ac:dyDescent="0.3">
      <c r="F25603"/>
      <c r="G25603"/>
      <c r="H25603"/>
      <c r="I25603"/>
    </row>
    <row r="25604" spans="6:9" x14ac:dyDescent="0.3">
      <c r="F25604"/>
      <c r="G25604"/>
      <c r="H25604"/>
      <c r="I25604"/>
    </row>
    <row r="25605" spans="6:9" x14ac:dyDescent="0.3">
      <c r="F25605"/>
      <c r="G25605"/>
      <c r="H25605"/>
      <c r="I25605"/>
    </row>
    <row r="25606" spans="6:9" x14ac:dyDescent="0.3">
      <c r="F25606"/>
      <c r="G25606"/>
      <c r="H25606"/>
      <c r="I25606"/>
    </row>
    <row r="25607" spans="6:9" x14ac:dyDescent="0.3">
      <c r="F25607"/>
      <c r="G25607"/>
      <c r="H25607"/>
      <c r="I25607"/>
    </row>
    <row r="25608" spans="6:9" x14ac:dyDescent="0.3">
      <c r="F25608"/>
      <c r="G25608"/>
      <c r="H25608"/>
      <c r="I25608"/>
    </row>
    <row r="25609" spans="6:9" x14ac:dyDescent="0.3">
      <c r="F25609"/>
      <c r="G25609"/>
      <c r="H25609"/>
      <c r="I25609"/>
    </row>
    <row r="25610" spans="6:9" x14ac:dyDescent="0.3">
      <c r="F25610"/>
      <c r="G25610"/>
      <c r="H25610"/>
      <c r="I25610"/>
    </row>
    <row r="25611" spans="6:9" x14ac:dyDescent="0.3">
      <c r="F25611"/>
      <c r="G25611"/>
      <c r="H25611"/>
      <c r="I25611"/>
    </row>
    <row r="25612" spans="6:9" x14ac:dyDescent="0.3">
      <c r="F25612"/>
      <c r="G25612"/>
      <c r="H25612"/>
      <c r="I25612"/>
    </row>
    <row r="25613" spans="6:9" x14ac:dyDescent="0.3">
      <c r="F25613"/>
      <c r="G25613"/>
      <c r="H25613"/>
      <c r="I25613"/>
    </row>
    <row r="25614" spans="6:9" x14ac:dyDescent="0.3">
      <c r="F25614"/>
      <c r="G25614"/>
      <c r="H25614"/>
      <c r="I25614"/>
    </row>
    <row r="25615" spans="6:9" x14ac:dyDescent="0.3">
      <c r="F25615"/>
      <c r="G25615"/>
      <c r="H25615"/>
      <c r="I25615"/>
    </row>
    <row r="25616" spans="6:9" x14ac:dyDescent="0.3">
      <c r="F25616"/>
      <c r="G25616"/>
      <c r="H25616"/>
      <c r="I25616"/>
    </row>
    <row r="25617" spans="6:9" x14ac:dyDescent="0.3">
      <c r="F25617"/>
      <c r="G25617"/>
      <c r="H25617"/>
      <c r="I25617"/>
    </row>
    <row r="25618" spans="6:9" x14ac:dyDescent="0.3">
      <c r="F25618"/>
      <c r="G25618"/>
      <c r="H25618"/>
      <c r="I25618"/>
    </row>
    <row r="25619" spans="6:9" x14ac:dyDescent="0.3">
      <c r="F25619"/>
      <c r="G25619"/>
      <c r="H25619"/>
      <c r="I25619"/>
    </row>
    <row r="25620" spans="6:9" x14ac:dyDescent="0.3">
      <c r="F25620"/>
      <c r="G25620"/>
      <c r="H25620"/>
      <c r="I25620"/>
    </row>
    <row r="25621" spans="6:9" x14ac:dyDescent="0.3">
      <c r="F25621"/>
      <c r="G25621"/>
      <c r="H25621"/>
      <c r="I25621"/>
    </row>
    <row r="25622" spans="6:9" x14ac:dyDescent="0.3">
      <c r="F25622"/>
      <c r="G25622"/>
      <c r="H25622"/>
      <c r="I25622"/>
    </row>
    <row r="25623" spans="6:9" x14ac:dyDescent="0.3">
      <c r="F25623"/>
      <c r="G25623"/>
      <c r="H25623"/>
      <c r="I25623"/>
    </row>
    <row r="25624" spans="6:9" x14ac:dyDescent="0.3">
      <c r="F25624"/>
      <c r="G25624"/>
      <c r="H25624"/>
      <c r="I25624"/>
    </row>
    <row r="25625" spans="6:9" x14ac:dyDescent="0.3">
      <c r="F25625"/>
      <c r="G25625"/>
      <c r="H25625"/>
      <c r="I25625"/>
    </row>
    <row r="25626" spans="6:9" x14ac:dyDescent="0.3">
      <c r="F25626"/>
      <c r="G25626"/>
      <c r="H25626"/>
      <c r="I25626"/>
    </row>
    <row r="25627" spans="6:9" x14ac:dyDescent="0.3">
      <c r="F25627"/>
      <c r="G25627"/>
      <c r="H25627"/>
      <c r="I25627"/>
    </row>
    <row r="25628" spans="6:9" x14ac:dyDescent="0.3">
      <c r="F25628"/>
      <c r="G25628"/>
      <c r="H25628"/>
      <c r="I25628"/>
    </row>
    <row r="25629" spans="6:9" x14ac:dyDescent="0.3">
      <c r="F25629"/>
      <c r="G25629"/>
      <c r="H25629"/>
      <c r="I25629"/>
    </row>
    <row r="25630" spans="6:9" x14ac:dyDescent="0.3">
      <c r="F25630"/>
      <c r="G25630"/>
      <c r="H25630"/>
      <c r="I25630"/>
    </row>
    <row r="25631" spans="6:9" x14ac:dyDescent="0.3">
      <c r="F25631"/>
      <c r="G25631"/>
      <c r="H25631"/>
      <c r="I25631"/>
    </row>
    <row r="25632" spans="6:9" x14ac:dyDescent="0.3">
      <c r="F25632"/>
      <c r="G25632"/>
      <c r="H25632"/>
      <c r="I25632"/>
    </row>
    <row r="25633" spans="6:9" x14ac:dyDescent="0.3">
      <c r="F25633"/>
      <c r="G25633"/>
      <c r="H25633"/>
      <c r="I25633"/>
    </row>
    <row r="25634" spans="6:9" x14ac:dyDescent="0.3">
      <c r="F25634"/>
      <c r="G25634"/>
      <c r="H25634"/>
      <c r="I25634"/>
    </row>
    <row r="25635" spans="6:9" x14ac:dyDescent="0.3">
      <c r="F25635"/>
      <c r="G25635"/>
      <c r="H25635"/>
      <c r="I25635"/>
    </row>
    <row r="25636" spans="6:9" x14ac:dyDescent="0.3">
      <c r="F25636"/>
      <c r="G25636"/>
      <c r="H25636"/>
      <c r="I25636"/>
    </row>
    <row r="25637" spans="6:9" x14ac:dyDescent="0.3">
      <c r="F25637"/>
      <c r="G25637"/>
      <c r="H25637"/>
      <c r="I25637"/>
    </row>
    <row r="25638" spans="6:9" x14ac:dyDescent="0.3">
      <c r="F25638"/>
      <c r="G25638"/>
      <c r="H25638"/>
      <c r="I25638"/>
    </row>
    <row r="25639" spans="6:9" x14ac:dyDescent="0.3">
      <c r="F25639"/>
      <c r="G25639"/>
      <c r="H25639"/>
      <c r="I25639"/>
    </row>
    <row r="25640" spans="6:9" x14ac:dyDescent="0.3">
      <c r="F25640"/>
      <c r="G25640"/>
      <c r="H25640"/>
      <c r="I25640"/>
    </row>
    <row r="25641" spans="6:9" x14ac:dyDescent="0.3">
      <c r="F25641"/>
      <c r="G25641"/>
      <c r="H25641"/>
      <c r="I25641"/>
    </row>
    <row r="25642" spans="6:9" x14ac:dyDescent="0.3">
      <c r="F25642"/>
      <c r="G25642"/>
      <c r="H25642"/>
      <c r="I25642"/>
    </row>
    <row r="25643" spans="6:9" x14ac:dyDescent="0.3">
      <c r="F25643"/>
      <c r="G25643"/>
      <c r="H25643"/>
      <c r="I25643"/>
    </row>
    <row r="25644" spans="6:9" x14ac:dyDescent="0.3">
      <c r="F25644"/>
      <c r="G25644"/>
      <c r="H25644"/>
      <c r="I25644"/>
    </row>
    <row r="25645" spans="6:9" x14ac:dyDescent="0.3">
      <c r="F25645"/>
      <c r="G25645"/>
      <c r="H25645"/>
      <c r="I25645"/>
    </row>
    <row r="25646" spans="6:9" x14ac:dyDescent="0.3">
      <c r="F25646"/>
      <c r="G25646"/>
      <c r="H25646"/>
      <c r="I25646"/>
    </row>
    <row r="25647" spans="6:9" x14ac:dyDescent="0.3">
      <c r="F25647"/>
      <c r="G25647"/>
      <c r="H25647"/>
      <c r="I25647"/>
    </row>
    <row r="25648" spans="6:9" x14ac:dyDescent="0.3">
      <c r="F25648"/>
      <c r="G25648"/>
      <c r="H25648"/>
      <c r="I25648"/>
    </row>
    <row r="25649" spans="6:9" x14ac:dyDescent="0.3">
      <c r="F25649"/>
      <c r="G25649"/>
      <c r="H25649"/>
      <c r="I25649"/>
    </row>
    <row r="25650" spans="6:9" x14ac:dyDescent="0.3">
      <c r="F25650"/>
      <c r="G25650"/>
      <c r="H25650"/>
      <c r="I25650"/>
    </row>
    <row r="25651" spans="6:9" x14ac:dyDescent="0.3">
      <c r="F25651"/>
      <c r="G25651"/>
      <c r="H25651"/>
      <c r="I25651"/>
    </row>
    <row r="25652" spans="6:9" x14ac:dyDescent="0.3">
      <c r="F25652"/>
      <c r="G25652"/>
      <c r="H25652"/>
      <c r="I25652"/>
    </row>
    <row r="25653" spans="6:9" x14ac:dyDescent="0.3">
      <c r="F25653"/>
      <c r="G25653"/>
      <c r="H25653"/>
      <c r="I25653"/>
    </row>
    <row r="25654" spans="6:9" x14ac:dyDescent="0.3">
      <c r="F25654"/>
      <c r="G25654"/>
      <c r="H25654"/>
      <c r="I25654"/>
    </row>
    <row r="25655" spans="6:9" x14ac:dyDescent="0.3">
      <c r="F25655"/>
      <c r="G25655"/>
      <c r="H25655"/>
      <c r="I25655"/>
    </row>
    <row r="25656" spans="6:9" x14ac:dyDescent="0.3">
      <c r="F25656"/>
      <c r="G25656"/>
      <c r="H25656"/>
      <c r="I25656"/>
    </row>
    <row r="25657" spans="6:9" x14ac:dyDescent="0.3">
      <c r="F25657"/>
      <c r="G25657"/>
      <c r="H25657"/>
      <c r="I25657"/>
    </row>
    <row r="25658" spans="6:9" x14ac:dyDescent="0.3">
      <c r="F25658"/>
      <c r="G25658"/>
      <c r="H25658"/>
      <c r="I25658"/>
    </row>
    <row r="25659" spans="6:9" x14ac:dyDescent="0.3">
      <c r="F25659"/>
      <c r="G25659"/>
      <c r="H25659"/>
      <c r="I25659"/>
    </row>
    <row r="25660" spans="6:9" x14ac:dyDescent="0.3">
      <c r="F25660"/>
      <c r="G25660"/>
      <c r="H25660"/>
      <c r="I25660"/>
    </row>
    <row r="25661" spans="6:9" x14ac:dyDescent="0.3">
      <c r="F25661"/>
      <c r="G25661"/>
      <c r="H25661"/>
      <c r="I25661"/>
    </row>
    <row r="25662" spans="6:9" x14ac:dyDescent="0.3">
      <c r="F25662"/>
      <c r="G25662"/>
      <c r="H25662"/>
      <c r="I25662"/>
    </row>
    <row r="25663" spans="6:9" x14ac:dyDescent="0.3">
      <c r="F25663"/>
      <c r="G25663"/>
      <c r="H25663"/>
      <c r="I25663"/>
    </row>
    <row r="25664" spans="6:9" x14ac:dyDescent="0.3">
      <c r="F25664"/>
      <c r="G25664"/>
      <c r="H25664"/>
      <c r="I25664"/>
    </row>
    <row r="25665" spans="6:9" x14ac:dyDescent="0.3">
      <c r="F25665"/>
      <c r="G25665"/>
      <c r="H25665"/>
      <c r="I25665"/>
    </row>
    <row r="25666" spans="6:9" x14ac:dyDescent="0.3">
      <c r="F25666"/>
      <c r="G25666"/>
      <c r="H25666"/>
      <c r="I25666"/>
    </row>
    <row r="25667" spans="6:9" x14ac:dyDescent="0.3">
      <c r="F25667"/>
      <c r="G25667"/>
      <c r="H25667"/>
      <c r="I25667"/>
    </row>
    <row r="25668" spans="6:9" x14ac:dyDescent="0.3">
      <c r="F25668"/>
      <c r="G25668"/>
      <c r="H25668"/>
      <c r="I25668"/>
    </row>
    <row r="25669" spans="6:9" x14ac:dyDescent="0.3">
      <c r="F25669"/>
      <c r="G25669"/>
      <c r="H25669"/>
      <c r="I25669"/>
    </row>
    <row r="25670" spans="6:9" x14ac:dyDescent="0.3">
      <c r="F25670"/>
      <c r="G25670"/>
      <c r="H25670"/>
      <c r="I25670"/>
    </row>
    <row r="25671" spans="6:9" x14ac:dyDescent="0.3">
      <c r="F25671"/>
      <c r="G25671"/>
      <c r="H25671"/>
      <c r="I25671"/>
    </row>
    <row r="25672" spans="6:9" x14ac:dyDescent="0.3">
      <c r="F25672"/>
      <c r="G25672"/>
      <c r="H25672"/>
      <c r="I25672"/>
    </row>
    <row r="25673" spans="6:9" x14ac:dyDescent="0.3">
      <c r="F25673"/>
      <c r="G25673"/>
      <c r="H25673"/>
      <c r="I25673"/>
    </row>
    <row r="25674" spans="6:9" x14ac:dyDescent="0.3">
      <c r="F25674"/>
      <c r="G25674"/>
      <c r="H25674"/>
      <c r="I25674"/>
    </row>
    <row r="25675" spans="6:9" x14ac:dyDescent="0.3">
      <c r="F25675"/>
      <c r="G25675"/>
      <c r="H25675"/>
      <c r="I25675"/>
    </row>
    <row r="25676" spans="6:9" x14ac:dyDescent="0.3">
      <c r="F25676"/>
      <c r="G25676"/>
      <c r="H25676"/>
      <c r="I25676"/>
    </row>
    <row r="25677" spans="6:9" x14ac:dyDescent="0.3">
      <c r="F25677"/>
      <c r="G25677"/>
      <c r="H25677"/>
      <c r="I25677"/>
    </row>
    <row r="25678" spans="6:9" x14ac:dyDescent="0.3">
      <c r="F25678"/>
      <c r="G25678"/>
      <c r="H25678"/>
      <c r="I25678"/>
    </row>
    <row r="25679" spans="6:9" x14ac:dyDescent="0.3">
      <c r="F25679"/>
      <c r="G25679"/>
      <c r="H25679"/>
      <c r="I25679"/>
    </row>
    <row r="25680" spans="6:9" x14ac:dyDescent="0.3">
      <c r="F25680"/>
      <c r="G25680"/>
      <c r="H25680"/>
      <c r="I25680"/>
    </row>
    <row r="25681" spans="6:9" x14ac:dyDescent="0.3">
      <c r="F25681"/>
      <c r="G25681"/>
      <c r="H25681"/>
      <c r="I25681"/>
    </row>
    <row r="25682" spans="6:9" x14ac:dyDescent="0.3">
      <c r="F25682"/>
      <c r="G25682"/>
      <c r="H25682"/>
      <c r="I25682"/>
    </row>
    <row r="25683" spans="6:9" x14ac:dyDescent="0.3">
      <c r="F25683"/>
      <c r="G25683"/>
      <c r="H25683"/>
      <c r="I25683"/>
    </row>
    <row r="25684" spans="6:9" x14ac:dyDescent="0.3">
      <c r="F25684"/>
      <c r="G25684"/>
      <c r="H25684"/>
      <c r="I25684"/>
    </row>
    <row r="25685" spans="6:9" x14ac:dyDescent="0.3">
      <c r="F25685"/>
      <c r="G25685"/>
      <c r="H25685"/>
      <c r="I25685"/>
    </row>
    <row r="25686" spans="6:9" x14ac:dyDescent="0.3">
      <c r="F25686"/>
      <c r="G25686"/>
      <c r="H25686"/>
      <c r="I25686"/>
    </row>
    <row r="25687" spans="6:9" x14ac:dyDescent="0.3">
      <c r="F25687"/>
      <c r="G25687"/>
      <c r="H25687"/>
      <c r="I25687"/>
    </row>
    <row r="25688" spans="6:9" x14ac:dyDescent="0.3">
      <c r="F25688"/>
      <c r="G25688"/>
      <c r="H25688"/>
      <c r="I25688"/>
    </row>
    <row r="25689" spans="6:9" x14ac:dyDescent="0.3">
      <c r="F25689"/>
      <c r="G25689"/>
      <c r="H25689"/>
      <c r="I25689"/>
    </row>
    <row r="25690" spans="6:9" x14ac:dyDescent="0.3">
      <c r="F25690"/>
      <c r="G25690"/>
      <c r="H25690"/>
      <c r="I25690"/>
    </row>
    <row r="25691" spans="6:9" x14ac:dyDescent="0.3">
      <c r="F25691"/>
      <c r="G25691"/>
      <c r="H25691"/>
      <c r="I25691"/>
    </row>
    <row r="25692" spans="6:9" x14ac:dyDescent="0.3">
      <c r="F25692"/>
      <c r="G25692"/>
      <c r="H25692"/>
      <c r="I25692"/>
    </row>
    <row r="25693" spans="6:9" x14ac:dyDescent="0.3">
      <c r="F25693"/>
      <c r="G25693"/>
      <c r="H25693"/>
      <c r="I25693"/>
    </row>
    <row r="25694" spans="6:9" x14ac:dyDescent="0.3">
      <c r="F25694"/>
      <c r="G25694"/>
      <c r="H25694"/>
      <c r="I25694"/>
    </row>
    <row r="25695" spans="6:9" x14ac:dyDescent="0.3">
      <c r="F25695"/>
      <c r="G25695"/>
      <c r="H25695"/>
      <c r="I25695"/>
    </row>
    <row r="25696" spans="6:9" x14ac:dyDescent="0.3">
      <c r="F25696"/>
      <c r="G25696"/>
      <c r="H25696"/>
      <c r="I25696"/>
    </row>
    <row r="25697" spans="6:9" x14ac:dyDescent="0.3">
      <c r="F25697"/>
      <c r="G25697"/>
      <c r="H25697"/>
      <c r="I25697"/>
    </row>
    <row r="25698" spans="6:9" x14ac:dyDescent="0.3">
      <c r="F25698"/>
      <c r="G25698"/>
      <c r="H25698"/>
      <c r="I25698"/>
    </row>
    <row r="25699" spans="6:9" x14ac:dyDescent="0.3">
      <c r="F25699"/>
      <c r="G25699"/>
      <c r="H25699"/>
      <c r="I25699"/>
    </row>
    <row r="25700" spans="6:9" x14ac:dyDescent="0.3">
      <c r="F25700"/>
      <c r="G25700"/>
      <c r="H25700"/>
      <c r="I25700"/>
    </row>
    <row r="25701" spans="6:9" x14ac:dyDescent="0.3">
      <c r="F25701"/>
      <c r="G25701"/>
      <c r="H25701"/>
      <c r="I25701"/>
    </row>
    <row r="25702" spans="6:9" x14ac:dyDescent="0.3">
      <c r="F25702"/>
      <c r="G25702"/>
      <c r="H25702"/>
      <c r="I25702"/>
    </row>
    <row r="25703" spans="6:9" x14ac:dyDescent="0.3">
      <c r="F25703"/>
      <c r="G25703"/>
      <c r="H25703"/>
      <c r="I25703"/>
    </row>
    <row r="25704" spans="6:9" x14ac:dyDescent="0.3">
      <c r="F25704"/>
      <c r="G25704"/>
      <c r="H25704"/>
      <c r="I25704"/>
    </row>
    <row r="25705" spans="6:9" x14ac:dyDescent="0.3">
      <c r="F25705"/>
      <c r="G25705"/>
      <c r="H25705"/>
      <c r="I25705"/>
    </row>
    <row r="25706" spans="6:9" x14ac:dyDescent="0.3">
      <c r="F25706"/>
      <c r="G25706"/>
      <c r="H25706"/>
      <c r="I25706"/>
    </row>
    <row r="25707" spans="6:9" x14ac:dyDescent="0.3">
      <c r="F25707"/>
      <c r="G25707"/>
      <c r="H25707"/>
      <c r="I25707"/>
    </row>
    <row r="25708" spans="6:9" x14ac:dyDescent="0.3">
      <c r="F25708"/>
      <c r="G25708"/>
      <c r="H25708"/>
      <c r="I25708"/>
    </row>
    <row r="25709" spans="6:9" x14ac:dyDescent="0.3">
      <c r="F25709"/>
      <c r="G25709"/>
      <c r="H25709"/>
      <c r="I25709"/>
    </row>
    <row r="25710" spans="6:9" x14ac:dyDescent="0.3">
      <c r="F25710"/>
      <c r="G25710"/>
      <c r="H25710"/>
      <c r="I25710"/>
    </row>
    <row r="25711" spans="6:9" x14ac:dyDescent="0.3">
      <c r="F25711"/>
      <c r="G25711"/>
      <c r="H25711"/>
      <c r="I25711"/>
    </row>
    <row r="25712" spans="6:9" x14ac:dyDescent="0.3">
      <c r="F25712"/>
      <c r="G25712"/>
      <c r="H25712"/>
      <c r="I25712"/>
    </row>
    <row r="25713" spans="6:9" x14ac:dyDescent="0.3">
      <c r="F25713"/>
      <c r="G25713"/>
      <c r="H25713"/>
      <c r="I25713"/>
    </row>
    <row r="25714" spans="6:9" x14ac:dyDescent="0.3">
      <c r="F25714"/>
      <c r="G25714"/>
      <c r="H25714"/>
      <c r="I25714"/>
    </row>
    <row r="25715" spans="6:9" x14ac:dyDescent="0.3">
      <c r="F25715"/>
      <c r="G25715"/>
      <c r="H25715"/>
      <c r="I25715"/>
    </row>
    <row r="25716" spans="6:9" x14ac:dyDescent="0.3">
      <c r="F25716"/>
      <c r="G25716"/>
      <c r="H25716"/>
      <c r="I25716"/>
    </row>
    <row r="25717" spans="6:9" x14ac:dyDescent="0.3">
      <c r="F25717"/>
      <c r="G25717"/>
      <c r="H25717"/>
      <c r="I25717"/>
    </row>
    <row r="25718" spans="6:9" x14ac:dyDescent="0.3">
      <c r="F25718"/>
      <c r="G25718"/>
      <c r="H25718"/>
      <c r="I25718"/>
    </row>
    <row r="25719" spans="6:9" x14ac:dyDescent="0.3">
      <c r="F25719"/>
      <c r="G25719"/>
      <c r="H25719"/>
      <c r="I25719"/>
    </row>
    <row r="25720" spans="6:9" x14ac:dyDescent="0.3">
      <c r="F25720"/>
      <c r="G25720"/>
      <c r="H25720"/>
      <c r="I25720"/>
    </row>
    <row r="25721" spans="6:9" x14ac:dyDescent="0.3">
      <c r="F25721"/>
      <c r="G25721"/>
      <c r="H25721"/>
      <c r="I25721"/>
    </row>
    <row r="25722" spans="6:9" x14ac:dyDescent="0.3">
      <c r="F25722"/>
      <c r="G25722"/>
      <c r="H25722"/>
      <c r="I25722"/>
    </row>
    <row r="25723" spans="6:9" x14ac:dyDescent="0.3">
      <c r="F25723"/>
      <c r="G25723"/>
      <c r="H25723"/>
      <c r="I25723"/>
    </row>
    <row r="25724" spans="6:9" x14ac:dyDescent="0.3">
      <c r="F25724"/>
      <c r="G25724"/>
      <c r="H25724"/>
      <c r="I25724"/>
    </row>
    <row r="25725" spans="6:9" x14ac:dyDescent="0.3">
      <c r="F25725"/>
      <c r="G25725"/>
      <c r="H25725"/>
      <c r="I25725"/>
    </row>
    <row r="25726" spans="6:9" x14ac:dyDescent="0.3">
      <c r="F25726"/>
      <c r="G25726"/>
      <c r="H25726"/>
      <c r="I25726"/>
    </row>
    <row r="25727" spans="6:9" x14ac:dyDescent="0.3">
      <c r="F25727"/>
      <c r="G25727"/>
      <c r="H25727"/>
      <c r="I25727"/>
    </row>
    <row r="25728" spans="6:9" x14ac:dyDescent="0.3">
      <c r="F25728"/>
      <c r="G25728"/>
      <c r="H25728"/>
      <c r="I25728"/>
    </row>
    <row r="25729" spans="6:9" x14ac:dyDescent="0.3">
      <c r="F25729"/>
      <c r="G25729"/>
      <c r="H25729"/>
      <c r="I25729"/>
    </row>
    <row r="25730" spans="6:9" x14ac:dyDescent="0.3">
      <c r="F25730"/>
      <c r="G25730"/>
      <c r="H25730"/>
      <c r="I25730"/>
    </row>
    <row r="25731" spans="6:9" x14ac:dyDescent="0.3">
      <c r="F25731"/>
      <c r="G25731"/>
      <c r="H25731"/>
      <c r="I25731"/>
    </row>
    <row r="25732" spans="6:9" x14ac:dyDescent="0.3">
      <c r="F25732"/>
      <c r="G25732"/>
      <c r="H25732"/>
      <c r="I25732"/>
    </row>
    <row r="25733" spans="6:9" x14ac:dyDescent="0.3">
      <c r="F25733"/>
      <c r="G25733"/>
      <c r="H25733"/>
      <c r="I25733"/>
    </row>
    <row r="25734" spans="6:9" x14ac:dyDescent="0.3">
      <c r="F25734"/>
      <c r="G25734"/>
      <c r="H25734"/>
      <c r="I25734"/>
    </row>
    <row r="25735" spans="6:9" x14ac:dyDescent="0.3">
      <c r="F25735"/>
      <c r="G25735"/>
      <c r="H25735"/>
      <c r="I25735"/>
    </row>
    <row r="25736" spans="6:9" x14ac:dyDescent="0.3">
      <c r="F25736"/>
      <c r="G25736"/>
      <c r="H25736"/>
      <c r="I25736"/>
    </row>
    <row r="25737" spans="6:9" x14ac:dyDescent="0.3">
      <c r="F25737"/>
      <c r="G25737"/>
      <c r="H25737"/>
      <c r="I25737"/>
    </row>
    <row r="25738" spans="6:9" x14ac:dyDescent="0.3">
      <c r="F25738"/>
      <c r="G25738"/>
      <c r="H25738"/>
      <c r="I25738"/>
    </row>
    <row r="25739" spans="6:9" x14ac:dyDescent="0.3">
      <c r="F25739"/>
      <c r="G25739"/>
      <c r="H25739"/>
      <c r="I25739"/>
    </row>
    <row r="25740" spans="6:9" x14ac:dyDescent="0.3">
      <c r="F25740"/>
      <c r="G25740"/>
      <c r="H25740"/>
      <c r="I25740"/>
    </row>
    <row r="25741" spans="6:9" x14ac:dyDescent="0.3">
      <c r="F25741"/>
      <c r="G25741"/>
      <c r="H25741"/>
      <c r="I25741"/>
    </row>
    <row r="25742" spans="6:9" x14ac:dyDescent="0.3">
      <c r="F25742"/>
      <c r="G25742"/>
      <c r="H25742"/>
      <c r="I25742"/>
    </row>
    <row r="25743" spans="6:9" x14ac:dyDescent="0.3">
      <c r="F25743"/>
      <c r="G25743"/>
      <c r="H25743"/>
      <c r="I25743"/>
    </row>
    <row r="25744" spans="6:9" x14ac:dyDescent="0.3">
      <c r="F25744"/>
      <c r="G25744"/>
      <c r="H25744"/>
      <c r="I25744"/>
    </row>
    <row r="25745" spans="6:9" x14ac:dyDescent="0.3">
      <c r="F25745"/>
      <c r="G25745"/>
      <c r="H25745"/>
      <c r="I25745"/>
    </row>
    <row r="25746" spans="6:9" x14ac:dyDescent="0.3">
      <c r="F25746"/>
      <c r="G25746"/>
      <c r="H25746"/>
      <c r="I25746"/>
    </row>
    <row r="25747" spans="6:9" x14ac:dyDescent="0.3">
      <c r="F25747"/>
      <c r="G25747"/>
      <c r="H25747"/>
      <c r="I25747"/>
    </row>
    <row r="25748" spans="6:9" x14ac:dyDescent="0.3">
      <c r="F25748"/>
      <c r="G25748"/>
      <c r="H25748"/>
      <c r="I25748"/>
    </row>
    <row r="25749" spans="6:9" x14ac:dyDescent="0.3">
      <c r="F25749"/>
      <c r="G25749"/>
      <c r="H25749"/>
      <c r="I25749"/>
    </row>
    <row r="25750" spans="6:9" x14ac:dyDescent="0.3">
      <c r="F25750"/>
      <c r="G25750"/>
      <c r="H25750"/>
      <c r="I25750"/>
    </row>
    <row r="25751" spans="6:9" x14ac:dyDescent="0.3">
      <c r="F25751"/>
      <c r="G25751"/>
      <c r="H25751"/>
      <c r="I25751"/>
    </row>
    <row r="25752" spans="6:9" x14ac:dyDescent="0.3">
      <c r="F25752"/>
      <c r="G25752"/>
      <c r="H25752"/>
      <c r="I25752"/>
    </row>
    <row r="25753" spans="6:9" x14ac:dyDescent="0.3">
      <c r="F25753"/>
      <c r="G25753"/>
      <c r="H25753"/>
      <c r="I25753"/>
    </row>
    <row r="25754" spans="6:9" x14ac:dyDescent="0.3">
      <c r="F25754"/>
      <c r="G25754"/>
      <c r="H25754"/>
      <c r="I25754"/>
    </row>
    <row r="25755" spans="6:9" x14ac:dyDescent="0.3">
      <c r="F25755"/>
      <c r="G25755"/>
      <c r="H25755"/>
      <c r="I25755"/>
    </row>
    <row r="25756" spans="6:9" x14ac:dyDescent="0.3">
      <c r="F25756"/>
      <c r="G25756"/>
      <c r="H25756"/>
      <c r="I25756"/>
    </row>
    <row r="25757" spans="6:9" x14ac:dyDescent="0.3">
      <c r="F25757"/>
      <c r="G25757"/>
      <c r="H25757"/>
      <c r="I25757"/>
    </row>
    <row r="25758" spans="6:9" x14ac:dyDescent="0.3">
      <c r="F25758"/>
      <c r="G25758"/>
      <c r="H25758"/>
      <c r="I25758"/>
    </row>
    <row r="25759" spans="6:9" x14ac:dyDescent="0.3">
      <c r="F25759"/>
      <c r="G25759"/>
      <c r="H25759"/>
      <c r="I25759"/>
    </row>
    <row r="25760" spans="6:9" x14ac:dyDescent="0.3">
      <c r="F25760"/>
      <c r="G25760"/>
      <c r="H25760"/>
      <c r="I25760"/>
    </row>
    <row r="25761" spans="6:9" x14ac:dyDescent="0.3">
      <c r="F25761"/>
      <c r="G25761"/>
      <c r="H25761"/>
      <c r="I25761"/>
    </row>
    <row r="25762" spans="6:9" x14ac:dyDescent="0.3">
      <c r="F25762"/>
      <c r="G25762"/>
      <c r="H25762"/>
      <c r="I25762"/>
    </row>
    <row r="25763" spans="6:9" x14ac:dyDescent="0.3">
      <c r="F25763"/>
      <c r="G25763"/>
      <c r="H25763"/>
      <c r="I25763"/>
    </row>
    <row r="25764" spans="6:9" x14ac:dyDescent="0.3">
      <c r="F25764"/>
      <c r="G25764"/>
      <c r="H25764"/>
      <c r="I25764"/>
    </row>
    <row r="25765" spans="6:9" x14ac:dyDescent="0.3">
      <c r="F25765"/>
      <c r="G25765"/>
      <c r="H25765"/>
      <c r="I25765"/>
    </row>
    <row r="25766" spans="6:9" x14ac:dyDescent="0.3">
      <c r="F25766"/>
      <c r="G25766"/>
      <c r="H25766"/>
      <c r="I25766"/>
    </row>
    <row r="25767" spans="6:9" x14ac:dyDescent="0.3">
      <c r="F25767"/>
      <c r="G25767"/>
      <c r="H25767"/>
      <c r="I25767"/>
    </row>
    <row r="25768" spans="6:9" x14ac:dyDescent="0.3">
      <c r="F25768"/>
      <c r="G25768"/>
      <c r="H25768"/>
      <c r="I25768"/>
    </row>
    <row r="25769" spans="6:9" x14ac:dyDescent="0.3">
      <c r="F25769"/>
      <c r="G25769"/>
      <c r="H25769"/>
      <c r="I25769"/>
    </row>
    <row r="25770" spans="6:9" x14ac:dyDescent="0.3">
      <c r="F25770"/>
      <c r="G25770"/>
      <c r="H25770"/>
      <c r="I25770"/>
    </row>
    <row r="25771" spans="6:9" x14ac:dyDescent="0.3">
      <c r="F25771"/>
      <c r="G25771"/>
      <c r="H25771"/>
      <c r="I25771"/>
    </row>
    <row r="25772" spans="6:9" x14ac:dyDescent="0.3">
      <c r="F25772"/>
      <c r="G25772"/>
      <c r="H25772"/>
      <c r="I25772"/>
    </row>
    <row r="25773" spans="6:9" x14ac:dyDescent="0.3">
      <c r="F25773"/>
      <c r="G25773"/>
      <c r="H25773"/>
      <c r="I25773"/>
    </row>
    <row r="25774" spans="6:9" x14ac:dyDescent="0.3">
      <c r="F25774"/>
      <c r="G25774"/>
      <c r="H25774"/>
      <c r="I25774"/>
    </row>
    <row r="25775" spans="6:9" x14ac:dyDescent="0.3">
      <c r="F25775"/>
      <c r="G25775"/>
      <c r="H25775"/>
      <c r="I25775"/>
    </row>
    <row r="25776" spans="6:9" x14ac:dyDescent="0.3">
      <c r="F25776"/>
      <c r="G25776"/>
      <c r="H25776"/>
      <c r="I25776"/>
    </row>
    <row r="25777" spans="6:9" x14ac:dyDescent="0.3">
      <c r="F25777"/>
      <c r="G25777"/>
      <c r="H25777"/>
      <c r="I25777"/>
    </row>
    <row r="25778" spans="6:9" x14ac:dyDescent="0.3">
      <c r="F25778"/>
      <c r="G25778"/>
      <c r="H25778"/>
      <c r="I25778"/>
    </row>
    <row r="25779" spans="6:9" x14ac:dyDescent="0.3">
      <c r="F25779"/>
      <c r="G25779"/>
      <c r="H25779"/>
      <c r="I25779"/>
    </row>
    <row r="25780" spans="6:9" x14ac:dyDescent="0.3">
      <c r="F25780"/>
      <c r="G25780"/>
      <c r="H25780"/>
      <c r="I25780"/>
    </row>
    <row r="25781" spans="6:9" x14ac:dyDescent="0.3">
      <c r="F25781"/>
      <c r="G25781"/>
      <c r="H25781"/>
      <c r="I25781"/>
    </row>
    <row r="25782" spans="6:9" x14ac:dyDescent="0.3">
      <c r="F25782"/>
      <c r="G25782"/>
      <c r="H25782"/>
      <c r="I25782"/>
    </row>
    <row r="25783" spans="6:9" x14ac:dyDescent="0.3">
      <c r="F25783"/>
      <c r="G25783"/>
      <c r="H25783"/>
      <c r="I25783"/>
    </row>
    <row r="25784" spans="6:9" x14ac:dyDescent="0.3">
      <c r="F25784"/>
      <c r="G25784"/>
      <c r="H25784"/>
      <c r="I25784"/>
    </row>
    <row r="25785" spans="6:9" x14ac:dyDescent="0.3">
      <c r="F25785"/>
      <c r="G25785"/>
      <c r="H25785"/>
      <c r="I25785"/>
    </row>
    <row r="25786" spans="6:9" x14ac:dyDescent="0.3">
      <c r="F25786"/>
      <c r="G25786"/>
      <c r="H25786"/>
      <c r="I25786"/>
    </row>
    <row r="25787" spans="6:9" x14ac:dyDescent="0.3">
      <c r="F25787"/>
      <c r="G25787"/>
      <c r="H25787"/>
      <c r="I25787"/>
    </row>
    <row r="25788" spans="6:9" x14ac:dyDescent="0.3">
      <c r="F25788"/>
      <c r="G25788"/>
      <c r="H25788"/>
      <c r="I25788"/>
    </row>
    <row r="25789" spans="6:9" x14ac:dyDescent="0.3">
      <c r="F25789"/>
      <c r="G25789"/>
      <c r="H25789"/>
      <c r="I25789"/>
    </row>
    <row r="25790" spans="6:9" x14ac:dyDescent="0.3">
      <c r="F25790"/>
      <c r="G25790"/>
      <c r="H25790"/>
      <c r="I25790"/>
    </row>
    <row r="25791" spans="6:9" x14ac:dyDescent="0.3">
      <c r="F25791"/>
      <c r="G25791"/>
      <c r="H25791"/>
      <c r="I25791"/>
    </row>
    <row r="25792" spans="6:9" x14ac:dyDescent="0.3">
      <c r="F25792"/>
      <c r="G25792"/>
      <c r="H25792"/>
      <c r="I25792"/>
    </row>
    <row r="25793" spans="6:9" x14ac:dyDescent="0.3">
      <c r="F25793"/>
      <c r="G25793"/>
      <c r="H25793"/>
      <c r="I25793"/>
    </row>
    <row r="25794" spans="6:9" x14ac:dyDescent="0.3">
      <c r="F25794"/>
      <c r="G25794"/>
      <c r="H25794"/>
      <c r="I25794"/>
    </row>
    <row r="25795" spans="6:9" x14ac:dyDescent="0.3">
      <c r="F25795"/>
      <c r="G25795"/>
      <c r="H25795"/>
      <c r="I25795"/>
    </row>
    <row r="25796" spans="6:9" x14ac:dyDescent="0.3">
      <c r="F25796"/>
      <c r="G25796"/>
      <c r="H25796"/>
      <c r="I25796"/>
    </row>
    <row r="25797" spans="6:9" x14ac:dyDescent="0.3">
      <c r="F25797"/>
      <c r="G25797"/>
      <c r="H25797"/>
      <c r="I25797"/>
    </row>
    <row r="25798" spans="6:9" x14ac:dyDescent="0.3">
      <c r="F25798"/>
      <c r="G25798"/>
      <c r="H25798"/>
      <c r="I25798"/>
    </row>
    <row r="25799" spans="6:9" x14ac:dyDescent="0.3">
      <c r="F25799"/>
      <c r="G25799"/>
      <c r="H25799"/>
      <c r="I25799"/>
    </row>
    <row r="25800" spans="6:9" x14ac:dyDescent="0.3">
      <c r="F25800"/>
      <c r="G25800"/>
      <c r="H25800"/>
      <c r="I25800"/>
    </row>
    <row r="25801" spans="6:9" x14ac:dyDescent="0.3">
      <c r="F25801"/>
      <c r="G25801"/>
      <c r="H25801"/>
      <c r="I25801"/>
    </row>
    <row r="25802" spans="6:9" x14ac:dyDescent="0.3">
      <c r="F25802"/>
      <c r="G25802"/>
      <c r="H25802"/>
      <c r="I25802"/>
    </row>
    <row r="25803" spans="6:9" x14ac:dyDescent="0.3">
      <c r="F25803"/>
      <c r="G25803"/>
      <c r="H25803"/>
      <c r="I25803"/>
    </row>
    <row r="25804" spans="6:9" x14ac:dyDescent="0.3">
      <c r="F25804"/>
      <c r="G25804"/>
      <c r="H25804"/>
      <c r="I25804"/>
    </row>
    <row r="25805" spans="6:9" x14ac:dyDescent="0.3">
      <c r="F25805"/>
      <c r="G25805"/>
      <c r="H25805"/>
      <c r="I25805"/>
    </row>
    <row r="25806" spans="6:9" x14ac:dyDescent="0.3">
      <c r="F25806"/>
      <c r="G25806"/>
      <c r="H25806"/>
      <c r="I25806"/>
    </row>
    <row r="25807" spans="6:9" x14ac:dyDescent="0.3">
      <c r="F25807"/>
      <c r="G25807"/>
      <c r="H25807"/>
      <c r="I25807"/>
    </row>
    <row r="25808" spans="6:9" x14ac:dyDescent="0.3">
      <c r="F25808"/>
      <c r="G25808"/>
      <c r="H25808"/>
      <c r="I25808"/>
    </row>
    <row r="25809" spans="6:9" x14ac:dyDescent="0.3">
      <c r="F25809"/>
      <c r="G25809"/>
      <c r="H25809"/>
      <c r="I25809"/>
    </row>
    <row r="25810" spans="6:9" x14ac:dyDescent="0.3">
      <c r="F25810"/>
      <c r="G25810"/>
      <c r="H25810"/>
      <c r="I25810"/>
    </row>
    <row r="25811" spans="6:9" x14ac:dyDescent="0.3">
      <c r="F25811"/>
      <c r="G25811"/>
      <c r="H25811"/>
      <c r="I25811"/>
    </row>
    <row r="25812" spans="6:9" x14ac:dyDescent="0.3">
      <c r="F25812"/>
      <c r="G25812"/>
      <c r="H25812"/>
      <c r="I25812"/>
    </row>
    <row r="25813" spans="6:9" x14ac:dyDescent="0.3">
      <c r="F25813"/>
      <c r="G25813"/>
      <c r="H25813"/>
      <c r="I25813"/>
    </row>
    <row r="25814" spans="6:9" x14ac:dyDescent="0.3">
      <c r="F25814"/>
      <c r="G25814"/>
      <c r="H25814"/>
      <c r="I25814"/>
    </row>
    <row r="25815" spans="6:9" x14ac:dyDescent="0.3">
      <c r="F25815"/>
      <c r="G25815"/>
      <c r="H25815"/>
      <c r="I25815"/>
    </row>
    <row r="25816" spans="6:9" x14ac:dyDescent="0.3">
      <c r="F25816"/>
      <c r="G25816"/>
      <c r="H25816"/>
      <c r="I25816"/>
    </row>
    <row r="25817" spans="6:9" x14ac:dyDescent="0.3">
      <c r="F25817"/>
      <c r="G25817"/>
      <c r="H25817"/>
      <c r="I25817"/>
    </row>
    <row r="25818" spans="6:9" x14ac:dyDescent="0.3">
      <c r="F25818"/>
      <c r="G25818"/>
      <c r="H25818"/>
      <c r="I25818"/>
    </row>
    <row r="25819" spans="6:9" x14ac:dyDescent="0.3">
      <c r="F25819"/>
      <c r="G25819"/>
      <c r="H25819"/>
      <c r="I25819"/>
    </row>
    <row r="25820" spans="6:9" x14ac:dyDescent="0.3">
      <c r="F25820"/>
      <c r="G25820"/>
      <c r="H25820"/>
      <c r="I25820"/>
    </row>
    <row r="25821" spans="6:9" x14ac:dyDescent="0.3">
      <c r="F25821"/>
      <c r="G25821"/>
      <c r="H25821"/>
      <c r="I25821"/>
    </row>
    <row r="25822" spans="6:9" x14ac:dyDescent="0.3">
      <c r="F25822"/>
      <c r="G25822"/>
      <c r="H25822"/>
      <c r="I25822"/>
    </row>
    <row r="25823" spans="6:9" x14ac:dyDescent="0.3">
      <c r="F25823"/>
      <c r="G25823"/>
      <c r="H25823"/>
      <c r="I25823"/>
    </row>
    <row r="25824" spans="6:9" x14ac:dyDescent="0.3">
      <c r="F25824"/>
      <c r="G25824"/>
      <c r="H25824"/>
      <c r="I25824"/>
    </row>
    <row r="25825" spans="6:9" x14ac:dyDescent="0.3">
      <c r="F25825"/>
      <c r="G25825"/>
      <c r="H25825"/>
      <c r="I25825"/>
    </row>
    <row r="25826" spans="6:9" x14ac:dyDescent="0.3">
      <c r="F25826"/>
      <c r="G25826"/>
      <c r="H25826"/>
      <c r="I25826"/>
    </row>
    <row r="25827" spans="6:9" x14ac:dyDescent="0.3">
      <c r="F25827"/>
      <c r="G25827"/>
      <c r="H25827"/>
      <c r="I25827"/>
    </row>
    <row r="25828" spans="6:9" x14ac:dyDescent="0.3">
      <c r="F25828"/>
      <c r="G25828"/>
      <c r="H25828"/>
      <c r="I25828"/>
    </row>
    <row r="25829" spans="6:9" x14ac:dyDescent="0.3">
      <c r="F25829"/>
      <c r="G25829"/>
      <c r="H25829"/>
      <c r="I25829"/>
    </row>
    <row r="25830" spans="6:9" x14ac:dyDescent="0.3">
      <c r="F25830"/>
      <c r="G25830"/>
      <c r="H25830"/>
      <c r="I25830"/>
    </row>
    <row r="25831" spans="6:9" x14ac:dyDescent="0.3">
      <c r="F25831"/>
      <c r="G25831"/>
      <c r="H25831"/>
      <c r="I25831"/>
    </row>
    <row r="25832" spans="6:9" x14ac:dyDescent="0.3">
      <c r="F25832"/>
      <c r="G25832"/>
      <c r="H25832"/>
      <c r="I25832"/>
    </row>
    <row r="25833" spans="6:9" x14ac:dyDescent="0.3">
      <c r="F25833"/>
      <c r="G25833"/>
      <c r="H25833"/>
      <c r="I25833"/>
    </row>
    <row r="25834" spans="6:9" x14ac:dyDescent="0.3">
      <c r="F25834"/>
      <c r="G25834"/>
      <c r="H25834"/>
      <c r="I25834"/>
    </row>
    <row r="25835" spans="6:9" x14ac:dyDescent="0.3">
      <c r="F25835"/>
      <c r="G25835"/>
      <c r="H25835"/>
      <c r="I25835"/>
    </row>
    <row r="25836" spans="6:9" x14ac:dyDescent="0.3">
      <c r="F25836"/>
      <c r="G25836"/>
      <c r="H25836"/>
      <c r="I25836"/>
    </row>
    <row r="25837" spans="6:9" x14ac:dyDescent="0.3">
      <c r="F25837"/>
      <c r="G25837"/>
      <c r="H25837"/>
      <c r="I25837"/>
    </row>
    <row r="25838" spans="6:9" x14ac:dyDescent="0.3">
      <c r="F25838"/>
      <c r="G25838"/>
      <c r="H25838"/>
      <c r="I25838"/>
    </row>
    <row r="25839" spans="6:9" x14ac:dyDescent="0.3">
      <c r="F25839"/>
      <c r="G25839"/>
      <c r="H25839"/>
      <c r="I25839"/>
    </row>
    <row r="25840" spans="6:9" x14ac:dyDescent="0.3">
      <c r="F25840"/>
      <c r="G25840"/>
      <c r="H25840"/>
      <c r="I25840"/>
    </row>
    <row r="25841" spans="6:9" x14ac:dyDescent="0.3">
      <c r="F25841"/>
      <c r="G25841"/>
      <c r="H25841"/>
      <c r="I25841"/>
    </row>
    <row r="25842" spans="6:9" x14ac:dyDescent="0.3">
      <c r="F25842"/>
      <c r="G25842"/>
      <c r="H25842"/>
      <c r="I25842"/>
    </row>
    <row r="25843" spans="6:9" x14ac:dyDescent="0.3">
      <c r="F25843"/>
      <c r="G25843"/>
      <c r="H25843"/>
      <c r="I25843"/>
    </row>
    <row r="25844" spans="6:9" x14ac:dyDescent="0.3">
      <c r="F25844"/>
      <c r="G25844"/>
      <c r="H25844"/>
      <c r="I25844"/>
    </row>
    <row r="25845" spans="6:9" x14ac:dyDescent="0.3">
      <c r="F25845"/>
      <c r="G25845"/>
      <c r="H25845"/>
      <c r="I25845"/>
    </row>
    <row r="25846" spans="6:9" x14ac:dyDescent="0.3">
      <c r="F25846"/>
      <c r="G25846"/>
      <c r="H25846"/>
      <c r="I25846"/>
    </row>
    <row r="25847" spans="6:9" x14ac:dyDescent="0.3">
      <c r="F25847"/>
      <c r="G25847"/>
      <c r="H25847"/>
      <c r="I25847"/>
    </row>
    <row r="25848" spans="6:9" x14ac:dyDescent="0.3">
      <c r="F25848"/>
      <c r="G25848"/>
      <c r="H25848"/>
      <c r="I25848"/>
    </row>
    <row r="25849" spans="6:9" x14ac:dyDescent="0.3">
      <c r="F25849"/>
      <c r="G25849"/>
      <c r="H25849"/>
      <c r="I25849"/>
    </row>
    <row r="25850" spans="6:9" x14ac:dyDescent="0.3">
      <c r="F25850"/>
      <c r="G25850"/>
      <c r="H25850"/>
      <c r="I25850"/>
    </row>
    <row r="25851" spans="6:9" x14ac:dyDescent="0.3">
      <c r="F25851"/>
      <c r="G25851"/>
      <c r="H25851"/>
      <c r="I25851"/>
    </row>
    <row r="25852" spans="6:9" x14ac:dyDescent="0.3">
      <c r="F25852"/>
      <c r="G25852"/>
      <c r="H25852"/>
      <c r="I25852"/>
    </row>
    <row r="25853" spans="6:9" x14ac:dyDescent="0.3">
      <c r="F25853"/>
      <c r="G25853"/>
      <c r="H25853"/>
      <c r="I25853"/>
    </row>
    <row r="25854" spans="6:9" x14ac:dyDescent="0.3">
      <c r="F25854"/>
      <c r="G25854"/>
      <c r="H25854"/>
      <c r="I25854"/>
    </row>
    <row r="25855" spans="6:9" x14ac:dyDescent="0.3">
      <c r="F25855"/>
      <c r="G25855"/>
      <c r="H25855"/>
      <c r="I25855"/>
    </row>
    <row r="25856" spans="6:9" x14ac:dyDescent="0.3">
      <c r="F25856"/>
      <c r="G25856"/>
      <c r="H25856"/>
      <c r="I25856"/>
    </row>
    <row r="25857" spans="6:9" x14ac:dyDescent="0.3">
      <c r="F25857"/>
      <c r="G25857"/>
      <c r="H25857"/>
      <c r="I25857"/>
    </row>
    <row r="25858" spans="6:9" x14ac:dyDescent="0.3">
      <c r="F25858"/>
      <c r="G25858"/>
      <c r="H25858"/>
      <c r="I25858"/>
    </row>
    <row r="25859" spans="6:9" x14ac:dyDescent="0.3">
      <c r="F25859"/>
      <c r="G25859"/>
      <c r="H25859"/>
      <c r="I25859"/>
    </row>
    <row r="25860" spans="6:9" x14ac:dyDescent="0.3">
      <c r="F25860"/>
      <c r="G25860"/>
      <c r="H25860"/>
      <c r="I25860"/>
    </row>
    <row r="25861" spans="6:9" x14ac:dyDescent="0.3">
      <c r="F25861"/>
      <c r="G25861"/>
      <c r="H25861"/>
      <c r="I25861"/>
    </row>
    <row r="25862" spans="6:9" x14ac:dyDescent="0.3">
      <c r="F25862"/>
      <c r="G25862"/>
      <c r="H25862"/>
      <c r="I25862"/>
    </row>
    <row r="25863" spans="6:9" x14ac:dyDescent="0.3">
      <c r="F25863"/>
      <c r="G25863"/>
      <c r="H25863"/>
      <c r="I25863"/>
    </row>
    <row r="25864" spans="6:9" x14ac:dyDescent="0.3">
      <c r="F25864"/>
      <c r="G25864"/>
      <c r="H25864"/>
      <c r="I25864"/>
    </row>
    <row r="25865" spans="6:9" x14ac:dyDescent="0.3">
      <c r="F25865"/>
      <c r="G25865"/>
      <c r="H25865"/>
      <c r="I25865"/>
    </row>
    <row r="25866" spans="6:9" x14ac:dyDescent="0.3">
      <c r="F25866"/>
      <c r="G25866"/>
      <c r="H25866"/>
      <c r="I25866"/>
    </row>
    <row r="25867" spans="6:9" x14ac:dyDescent="0.3">
      <c r="F25867"/>
      <c r="G25867"/>
      <c r="H25867"/>
      <c r="I25867"/>
    </row>
    <row r="25868" spans="6:9" x14ac:dyDescent="0.3">
      <c r="F25868"/>
      <c r="G25868"/>
      <c r="H25868"/>
      <c r="I25868"/>
    </row>
    <row r="25869" spans="6:9" x14ac:dyDescent="0.3">
      <c r="F25869"/>
      <c r="G25869"/>
      <c r="H25869"/>
      <c r="I25869"/>
    </row>
    <row r="25870" spans="6:9" x14ac:dyDescent="0.3">
      <c r="F25870"/>
      <c r="G25870"/>
      <c r="H25870"/>
      <c r="I25870"/>
    </row>
    <row r="25871" spans="6:9" x14ac:dyDescent="0.3">
      <c r="F25871"/>
      <c r="G25871"/>
      <c r="H25871"/>
      <c r="I25871"/>
    </row>
    <row r="25872" spans="6:9" x14ac:dyDescent="0.3">
      <c r="F25872"/>
      <c r="G25872"/>
      <c r="H25872"/>
      <c r="I25872"/>
    </row>
    <row r="25873" spans="6:9" x14ac:dyDescent="0.3">
      <c r="F25873"/>
      <c r="G25873"/>
      <c r="H25873"/>
      <c r="I25873"/>
    </row>
    <row r="25874" spans="6:9" x14ac:dyDescent="0.3">
      <c r="F25874"/>
      <c r="G25874"/>
      <c r="H25874"/>
      <c r="I25874"/>
    </row>
    <row r="25875" spans="6:9" x14ac:dyDescent="0.3">
      <c r="F25875"/>
      <c r="G25875"/>
      <c r="H25875"/>
      <c r="I25875"/>
    </row>
    <row r="25876" spans="6:9" x14ac:dyDescent="0.3">
      <c r="F25876"/>
      <c r="G25876"/>
      <c r="H25876"/>
      <c r="I25876"/>
    </row>
    <row r="25877" spans="6:9" x14ac:dyDescent="0.3">
      <c r="F25877"/>
      <c r="G25877"/>
      <c r="H25877"/>
      <c r="I25877"/>
    </row>
    <row r="25878" spans="6:9" x14ac:dyDescent="0.3">
      <c r="F25878"/>
      <c r="G25878"/>
      <c r="H25878"/>
      <c r="I25878"/>
    </row>
    <row r="25879" spans="6:9" x14ac:dyDescent="0.3">
      <c r="F25879"/>
      <c r="G25879"/>
      <c r="H25879"/>
      <c r="I25879"/>
    </row>
    <row r="25880" spans="6:9" x14ac:dyDescent="0.3">
      <c r="F25880"/>
      <c r="G25880"/>
      <c r="H25880"/>
      <c r="I25880"/>
    </row>
    <row r="25881" spans="6:9" x14ac:dyDescent="0.3">
      <c r="F25881"/>
      <c r="G25881"/>
      <c r="H25881"/>
      <c r="I25881"/>
    </row>
    <row r="25882" spans="6:9" x14ac:dyDescent="0.3">
      <c r="F25882"/>
      <c r="G25882"/>
      <c r="H25882"/>
      <c r="I25882"/>
    </row>
    <row r="25883" spans="6:9" x14ac:dyDescent="0.3">
      <c r="F25883"/>
      <c r="G25883"/>
      <c r="H25883"/>
      <c r="I25883"/>
    </row>
    <row r="25884" spans="6:9" x14ac:dyDescent="0.3">
      <c r="F25884"/>
      <c r="G25884"/>
      <c r="H25884"/>
      <c r="I25884"/>
    </row>
    <row r="25885" spans="6:9" x14ac:dyDescent="0.3">
      <c r="F25885"/>
      <c r="G25885"/>
      <c r="H25885"/>
      <c r="I25885"/>
    </row>
    <row r="25886" spans="6:9" x14ac:dyDescent="0.3">
      <c r="F25886"/>
      <c r="G25886"/>
      <c r="H25886"/>
      <c r="I25886"/>
    </row>
    <row r="25887" spans="6:9" x14ac:dyDescent="0.3">
      <c r="F25887"/>
      <c r="G25887"/>
      <c r="H25887"/>
      <c r="I25887"/>
    </row>
    <row r="25888" spans="6:9" x14ac:dyDescent="0.3">
      <c r="F25888"/>
      <c r="G25888"/>
      <c r="H25888"/>
      <c r="I25888"/>
    </row>
    <row r="25889" spans="6:9" x14ac:dyDescent="0.3">
      <c r="F25889"/>
      <c r="G25889"/>
      <c r="H25889"/>
      <c r="I25889"/>
    </row>
    <row r="25890" spans="6:9" x14ac:dyDescent="0.3">
      <c r="F25890"/>
      <c r="G25890"/>
      <c r="H25890"/>
      <c r="I25890"/>
    </row>
    <row r="25891" spans="6:9" x14ac:dyDescent="0.3">
      <c r="F25891"/>
      <c r="G25891"/>
      <c r="H25891"/>
      <c r="I25891"/>
    </row>
    <row r="25892" spans="6:9" x14ac:dyDescent="0.3">
      <c r="F25892"/>
      <c r="G25892"/>
      <c r="H25892"/>
      <c r="I25892"/>
    </row>
    <row r="25893" spans="6:9" x14ac:dyDescent="0.3">
      <c r="F25893"/>
      <c r="G25893"/>
      <c r="H25893"/>
      <c r="I25893"/>
    </row>
    <row r="25894" spans="6:9" x14ac:dyDescent="0.3">
      <c r="F25894"/>
      <c r="G25894"/>
      <c r="H25894"/>
      <c r="I25894"/>
    </row>
    <row r="25895" spans="6:9" x14ac:dyDescent="0.3">
      <c r="F25895"/>
      <c r="G25895"/>
      <c r="H25895"/>
      <c r="I25895"/>
    </row>
    <row r="25896" spans="6:9" x14ac:dyDescent="0.3">
      <c r="F25896"/>
      <c r="G25896"/>
      <c r="H25896"/>
      <c r="I25896"/>
    </row>
    <row r="25897" spans="6:9" x14ac:dyDescent="0.3">
      <c r="F25897"/>
      <c r="G25897"/>
      <c r="H25897"/>
      <c r="I25897"/>
    </row>
    <row r="25898" spans="6:9" x14ac:dyDescent="0.3">
      <c r="F25898"/>
      <c r="G25898"/>
      <c r="H25898"/>
      <c r="I25898"/>
    </row>
    <row r="25899" spans="6:9" x14ac:dyDescent="0.3">
      <c r="F25899"/>
      <c r="G25899"/>
      <c r="H25899"/>
      <c r="I25899"/>
    </row>
    <row r="25900" spans="6:9" x14ac:dyDescent="0.3">
      <c r="F25900"/>
      <c r="G25900"/>
      <c r="H25900"/>
      <c r="I25900"/>
    </row>
    <row r="25901" spans="6:9" x14ac:dyDescent="0.3">
      <c r="F25901"/>
      <c r="G25901"/>
      <c r="H25901"/>
      <c r="I25901"/>
    </row>
    <row r="25902" spans="6:9" x14ac:dyDescent="0.3">
      <c r="F25902"/>
      <c r="G25902"/>
      <c r="H25902"/>
      <c r="I25902"/>
    </row>
    <row r="25903" spans="6:9" x14ac:dyDescent="0.3">
      <c r="F25903"/>
      <c r="G25903"/>
      <c r="H25903"/>
      <c r="I25903"/>
    </row>
    <row r="25904" spans="6:9" x14ac:dyDescent="0.3">
      <c r="F25904"/>
      <c r="G25904"/>
      <c r="H25904"/>
      <c r="I25904"/>
    </row>
    <row r="25905" spans="6:9" x14ac:dyDescent="0.3">
      <c r="F25905"/>
      <c r="G25905"/>
      <c r="H25905"/>
      <c r="I25905"/>
    </row>
    <row r="25906" spans="6:9" x14ac:dyDescent="0.3">
      <c r="F25906"/>
      <c r="G25906"/>
      <c r="H25906"/>
      <c r="I25906"/>
    </row>
    <row r="25907" spans="6:9" x14ac:dyDescent="0.3">
      <c r="F25907"/>
      <c r="G25907"/>
      <c r="H25907"/>
      <c r="I25907"/>
    </row>
    <row r="25908" spans="6:9" x14ac:dyDescent="0.3">
      <c r="F25908"/>
      <c r="G25908"/>
      <c r="H25908"/>
      <c r="I25908"/>
    </row>
    <row r="25909" spans="6:9" x14ac:dyDescent="0.3">
      <c r="F25909"/>
      <c r="G25909"/>
      <c r="H25909"/>
      <c r="I25909"/>
    </row>
    <row r="25910" spans="6:9" x14ac:dyDescent="0.3">
      <c r="F25910"/>
      <c r="G25910"/>
      <c r="H25910"/>
      <c r="I25910"/>
    </row>
    <row r="25911" spans="6:9" x14ac:dyDescent="0.3">
      <c r="F25911"/>
      <c r="G25911"/>
      <c r="H25911"/>
      <c r="I25911"/>
    </row>
    <row r="25912" spans="6:9" x14ac:dyDescent="0.3">
      <c r="F25912"/>
      <c r="G25912"/>
      <c r="H25912"/>
      <c r="I25912"/>
    </row>
    <row r="25913" spans="6:9" x14ac:dyDescent="0.3">
      <c r="F25913"/>
      <c r="G25913"/>
      <c r="H25913"/>
      <c r="I25913"/>
    </row>
    <row r="25914" spans="6:9" x14ac:dyDescent="0.3">
      <c r="F25914"/>
      <c r="G25914"/>
      <c r="H25914"/>
      <c r="I25914"/>
    </row>
    <row r="25915" spans="6:9" x14ac:dyDescent="0.3">
      <c r="F25915"/>
      <c r="G25915"/>
      <c r="H25915"/>
      <c r="I25915"/>
    </row>
    <row r="25916" spans="6:9" x14ac:dyDescent="0.3">
      <c r="F25916"/>
      <c r="G25916"/>
      <c r="H25916"/>
      <c r="I25916"/>
    </row>
    <row r="25917" spans="6:9" x14ac:dyDescent="0.3">
      <c r="F25917"/>
      <c r="G25917"/>
      <c r="H25917"/>
      <c r="I25917"/>
    </row>
    <row r="25918" spans="6:9" x14ac:dyDescent="0.3">
      <c r="F25918"/>
      <c r="G25918"/>
      <c r="H25918"/>
      <c r="I25918"/>
    </row>
    <row r="25919" spans="6:9" x14ac:dyDescent="0.3">
      <c r="F25919"/>
      <c r="G25919"/>
      <c r="H25919"/>
      <c r="I25919"/>
    </row>
    <row r="25920" spans="6:9" x14ac:dyDescent="0.3">
      <c r="F25920"/>
      <c r="G25920"/>
      <c r="H25920"/>
      <c r="I25920"/>
    </row>
    <row r="25921" spans="6:9" x14ac:dyDescent="0.3">
      <c r="F25921"/>
      <c r="G25921"/>
      <c r="H25921"/>
      <c r="I25921"/>
    </row>
    <row r="25922" spans="6:9" x14ac:dyDescent="0.3">
      <c r="F25922"/>
      <c r="G25922"/>
      <c r="H25922"/>
      <c r="I25922"/>
    </row>
    <row r="25923" spans="6:9" x14ac:dyDescent="0.3">
      <c r="F25923"/>
      <c r="G25923"/>
      <c r="H25923"/>
      <c r="I25923"/>
    </row>
    <row r="25924" spans="6:9" x14ac:dyDescent="0.3">
      <c r="F25924"/>
      <c r="G25924"/>
      <c r="H25924"/>
      <c r="I25924"/>
    </row>
    <row r="25925" spans="6:9" x14ac:dyDescent="0.3">
      <c r="F25925"/>
      <c r="G25925"/>
      <c r="H25925"/>
      <c r="I25925"/>
    </row>
    <row r="25926" spans="6:9" x14ac:dyDescent="0.3">
      <c r="F25926"/>
      <c r="G25926"/>
      <c r="H25926"/>
      <c r="I25926"/>
    </row>
    <row r="25927" spans="6:9" x14ac:dyDescent="0.3">
      <c r="F25927"/>
      <c r="G25927"/>
      <c r="H25927"/>
      <c r="I25927"/>
    </row>
    <row r="25928" spans="6:9" x14ac:dyDescent="0.3">
      <c r="F25928"/>
      <c r="G25928"/>
      <c r="H25928"/>
      <c r="I25928"/>
    </row>
    <row r="25929" spans="6:9" x14ac:dyDescent="0.3">
      <c r="F25929"/>
      <c r="G25929"/>
      <c r="H25929"/>
      <c r="I25929"/>
    </row>
    <row r="25930" spans="6:9" x14ac:dyDescent="0.3">
      <c r="F25930"/>
      <c r="G25930"/>
      <c r="H25930"/>
      <c r="I25930"/>
    </row>
    <row r="25931" spans="6:9" x14ac:dyDescent="0.3">
      <c r="F25931"/>
      <c r="G25931"/>
      <c r="H25931"/>
      <c r="I25931"/>
    </row>
    <row r="25932" spans="6:9" x14ac:dyDescent="0.3">
      <c r="F25932"/>
      <c r="G25932"/>
      <c r="H25932"/>
      <c r="I25932"/>
    </row>
    <row r="25933" spans="6:9" x14ac:dyDescent="0.3">
      <c r="F25933"/>
      <c r="G25933"/>
      <c r="H25933"/>
      <c r="I25933"/>
    </row>
    <row r="25934" spans="6:9" x14ac:dyDescent="0.3">
      <c r="F25934"/>
      <c r="G25934"/>
      <c r="H25934"/>
      <c r="I25934"/>
    </row>
    <row r="25935" spans="6:9" x14ac:dyDescent="0.3">
      <c r="F25935"/>
      <c r="G25935"/>
      <c r="H25935"/>
      <c r="I25935"/>
    </row>
    <row r="25936" spans="6:9" x14ac:dyDescent="0.3">
      <c r="F25936"/>
      <c r="G25936"/>
      <c r="H25936"/>
      <c r="I25936"/>
    </row>
    <row r="25937" spans="6:9" x14ac:dyDescent="0.3">
      <c r="F25937"/>
      <c r="G25937"/>
      <c r="H25937"/>
      <c r="I25937"/>
    </row>
    <row r="25938" spans="6:9" x14ac:dyDescent="0.3">
      <c r="F25938"/>
      <c r="G25938"/>
      <c r="H25938"/>
      <c r="I25938"/>
    </row>
    <row r="25939" spans="6:9" x14ac:dyDescent="0.3">
      <c r="F25939"/>
      <c r="G25939"/>
      <c r="H25939"/>
      <c r="I25939"/>
    </row>
    <row r="25940" spans="6:9" x14ac:dyDescent="0.3">
      <c r="F25940"/>
      <c r="G25940"/>
      <c r="H25940"/>
      <c r="I25940"/>
    </row>
    <row r="25941" spans="6:9" x14ac:dyDescent="0.3">
      <c r="F25941"/>
      <c r="G25941"/>
      <c r="H25941"/>
      <c r="I25941"/>
    </row>
    <row r="25942" spans="6:9" x14ac:dyDescent="0.3">
      <c r="F25942"/>
      <c r="G25942"/>
      <c r="H25942"/>
      <c r="I25942"/>
    </row>
    <row r="25943" spans="6:9" x14ac:dyDescent="0.3">
      <c r="F25943"/>
      <c r="G25943"/>
      <c r="H25943"/>
      <c r="I25943"/>
    </row>
    <row r="25944" spans="6:9" x14ac:dyDescent="0.3">
      <c r="F25944"/>
      <c r="G25944"/>
      <c r="H25944"/>
      <c r="I25944"/>
    </row>
    <row r="25945" spans="6:9" x14ac:dyDescent="0.3">
      <c r="F25945"/>
      <c r="G25945"/>
      <c r="H25945"/>
      <c r="I25945"/>
    </row>
    <row r="25946" spans="6:9" x14ac:dyDescent="0.3">
      <c r="F25946"/>
      <c r="G25946"/>
      <c r="H25946"/>
      <c r="I25946"/>
    </row>
    <row r="25947" spans="6:9" x14ac:dyDescent="0.3">
      <c r="F25947"/>
      <c r="G25947"/>
      <c r="H25947"/>
      <c r="I25947"/>
    </row>
    <row r="25948" spans="6:9" x14ac:dyDescent="0.3">
      <c r="F25948"/>
      <c r="G25948"/>
      <c r="H25948"/>
      <c r="I25948"/>
    </row>
    <row r="25949" spans="6:9" x14ac:dyDescent="0.3">
      <c r="F25949"/>
      <c r="G25949"/>
      <c r="H25949"/>
      <c r="I25949"/>
    </row>
    <row r="25950" spans="6:9" x14ac:dyDescent="0.3">
      <c r="F25950"/>
      <c r="G25950"/>
      <c r="H25950"/>
      <c r="I25950"/>
    </row>
    <row r="25951" spans="6:9" x14ac:dyDescent="0.3">
      <c r="F25951"/>
      <c r="G25951"/>
      <c r="H25951"/>
      <c r="I25951"/>
    </row>
    <row r="25952" spans="6:9" x14ac:dyDescent="0.3">
      <c r="F25952"/>
      <c r="G25952"/>
      <c r="H25952"/>
      <c r="I25952"/>
    </row>
    <row r="25953" spans="6:9" x14ac:dyDescent="0.3">
      <c r="F25953"/>
      <c r="G25953"/>
      <c r="H25953"/>
      <c r="I25953"/>
    </row>
    <row r="25954" spans="6:9" x14ac:dyDescent="0.3">
      <c r="F25954"/>
      <c r="G25954"/>
      <c r="H25954"/>
      <c r="I25954"/>
    </row>
    <row r="25955" spans="6:9" x14ac:dyDescent="0.3">
      <c r="F25955"/>
      <c r="G25955"/>
      <c r="H25955"/>
      <c r="I25955"/>
    </row>
    <row r="25956" spans="6:9" x14ac:dyDescent="0.3">
      <c r="F25956"/>
      <c r="G25956"/>
      <c r="H25956"/>
      <c r="I25956"/>
    </row>
    <row r="25957" spans="6:9" x14ac:dyDescent="0.3">
      <c r="F25957"/>
      <c r="G25957"/>
      <c r="H25957"/>
      <c r="I25957"/>
    </row>
    <row r="25958" spans="6:9" x14ac:dyDescent="0.3">
      <c r="F25958"/>
      <c r="G25958"/>
      <c r="H25958"/>
      <c r="I25958"/>
    </row>
    <row r="25959" spans="6:9" x14ac:dyDescent="0.3">
      <c r="F25959"/>
      <c r="G25959"/>
      <c r="H25959"/>
      <c r="I25959"/>
    </row>
    <row r="25960" spans="6:9" x14ac:dyDescent="0.3">
      <c r="F25960"/>
      <c r="G25960"/>
      <c r="H25960"/>
      <c r="I25960"/>
    </row>
    <row r="25961" spans="6:9" x14ac:dyDescent="0.3">
      <c r="F25961"/>
      <c r="G25961"/>
      <c r="H25961"/>
      <c r="I25961"/>
    </row>
    <row r="25962" spans="6:9" x14ac:dyDescent="0.3">
      <c r="F25962"/>
      <c r="G25962"/>
      <c r="H25962"/>
      <c r="I25962"/>
    </row>
    <row r="25963" spans="6:9" x14ac:dyDescent="0.3">
      <c r="F25963"/>
      <c r="G25963"/>
      <c r="H25963"/>
      <c r="I25963"/>
    </row>
    <row r="25964" spans="6:9" x14ac:dyDescent="0.3">
      <c r="F25964"/>
      <c r="G25964"/>
      <c r="H25964"/>
      <c r="I25964"/>
    </row>
    <row r="25965" spans="6:9" x14ac:dyDescent="0.3">
      <c r="F25965"/>
      <c r="G25965"/>
      <c r="H25965"/>
      <c r="I25965"/>
    </row>
    <row r="25966" spans="6:9" x14ac:dyDescent="0.3">
      <c r="F25966"/>
      <c r="G25966"/>
      <c r="H25966"/>
      <c r="I25966"/>
    </row>
    <row r="25967" spans="6:9" x14ac:dyDescent="0.3">
      <c r="F25967"/>
      <c r="G25967"/>
      <c r="H25967"/>
      <c r="I25967"/>
    </row>
    <row r="25968" spans="6:9" x14ac:dyDescent="0.3">
      <c r="F25968"/>
      <c r="G25968"/>
      <c r="H25968"/>
      <c r="I25968"/>
    </row>
    <row r="25969" spans="6:9" x14ac:dyDescent="0.3">
      <c r="F25969"/>
      <c r="G25969"/>
      <c r="H25969"/>
      <c r="I25969"/>
    </row>
    <row r="25970" spans="6:9" x14ac:dyDescent="0.3">
      <c r="F25970"/>
      <c r="G25970"/>
      <c r="H25970"/>
      <c r="I25970"/>
    </row>
    <row r="25971" spans="6:9" x14ac:dyDescent="0.3">
      <c r="F25971"/>
      <c r="G25971"/>
      <c r="H25971"/>
      <c r="I25971"/>
    </row>
    <row r="25972" spans="6:9" x14ac:dyDescent="0.3">
      <c r="F25972"/>
      <c r="G25972"/>
      <c r="H25972"/>
      <c r="I25972"/>
    </row>
    <row r="25973" spans="6:9" x14ac:dyDescent="0.3">
      <c r="F25973"/>
      <c r="G25973"/>
      <c r="H25973"/>
      <c r="I25973"/>
    </row>
    <row r="25974" spans="6:9" x14ac:dyDescent="0.3">
      <c r="F25974"/>
      <c r="G25974"/>
      <c r="H25974"/>
      <c r="I25974"/>
    </row>
    <row r="25975" spans="6:9" x14ac:dyDescent="0.3">
      <c r="F25975"/>
      <c r="G25975"/>
      <c r="H25975"/>
      <c r="I25975"/>
    </row>
    <row r="25976" spans="6:9" x14ac:dyDescent="0.3">
      <c r="F25976"/>
      <c r="G25976"/>
      <c r="H25976"/>
      <c r="I25976"/>
    </row>
    <row r="25977" spans="6:9" x14ac:dyDescent="0.3">
      <c r="F25977"/>
      <c r="G25977"/>
      <c r="H25977"/>
      <c r="I25977"/>
    </row>
    <row r="25978" spans="6:9" x14ac:dyDescent="0.3">
      <c r="F25978"/>
      <c r="G25978"/>
      <c r="H25978"/>
      <c r="I25978"/>
    </row>
    <row r="25979" spans="6:9" x14ac:dyDescent="0.3">
      <c r="F25979"/>
      <c r="G25979"/>
      <c r="H25979"/>
      <c r="I25979"/>
    </row>
    <row r="25980" spans="6:9" x14ac:dyDescent="0.3">
      <c r="F25980"/>
      <c r="G25980"/>
      <c r="H25980"/>
      <c r="I25980"/>
    </row>
    <row r="25981" spans="6:9" x14ac:dyDescent="0.3">
      <c r="F25981"/>
      <c r="G25981"/>
      <c r="H25981"/>
      <c r="I25981"/>
    </row>
    <row r="25982" spans="6:9" x14ac:dyDescent="0.3">
      <c r="F25982"/>
      <c r="G25982"/>
      <c r="H25982"/>
      <c r="I25982"/>
    </row>
    <row r="25983" spans="6:9" x14ac:dyDescent="0.3">
      <c r="F25983"/>
      <c r="G25983"/>
      <c r="H25983"/>
      <c r="I25983"/>
    </row>
    <row r="25984" spans="6:9" x14ac:dyDescent="0.3">
      <c r="F25984"/>
      <c r="G25984"/>
      <c r="H25984"/>
      <c r="I25984"/>
    </row>
    <row r="25985" spans="6:9" x14ac:dyDescent="0.3">
      <c r="F25985"/>
      <c r="G25985"/>
      <c r="H25985"/>
      <c r="I25985"/>
    </row>
    <row r="25986" spans="6:9" x14ac:dyDescent="0.3">
      <c r="F25986"/>
      <c r="G25986"/>
      <c r="H25986"/>
      <c r="I25986"/>
    </row>
    <row r="25987" spans="6:9" x14ac:dyDescent="0.3">
      <c r="F25987"/>
      <c r="G25987"/>
      <c r="H25987"/>
      <c r="I25987"/>
    </row>
    <row r="25988" spans="6:9" x14ac:dyDescent="0.3">
      <c r="F25988"/>
      <c r="G25988"/>
      <c r="H25988"/>
      <c r="I25988"/>
    </row>
    <row r="25989" spans="6:9" x14ac:dyDescent="0.3">
      <c r="F25989"/>
      <c r="G25989"/>
      <c r="H25989"/>
      <c r="I25989"/>
    </row>
    <row r="25990" spans="6:9" x14ac:dyDescent="0.3">
      <c r="F25990"/>
      <c r="G25990"/>
      <c r="H25990"/>
      <c r="I25990"/>
    </row>
    <row r="25991" spans="6:9" x14ac:dyDescent="0.3">
      <c r="F25991"/>
      <c r="G25991"/>
      <c r="H25991"/>
      <c r="I25991"/>
    </row>
    <row r="25992" spans="6:9" x14ac:dyDescent="0.3">
      <c r="F25992"/>
      <c r="G25992"/>
      <c r="H25992"/>
      <c r="I25992"/>
    </row>
    <row r="25993" spans="6:9" x14ac:dyDescent="0.3">
      <c r="F25993"/>
      <c r="G25993"/>
      <c r="H25993"/>
      <c r="I25993"/>
    </row>
    <row r="25994" spans="6:9" x14ac:dyDescent="0.3">
      <c r="F25994"/>
      <c r="G25994"/>
      <c r="H25994"/>
      <c r="I25994"/>
    </row>
    <row r="25995" spans="6:9" x14ac:dyDescent="0.3">
      <c r="F25995"/>
      <c r="G25995"/>
      <c r="H25995"/>
      <c r="I25995"/>
    </row>
    <row r="25996" spans="6:9" x14ac:dyDescent="0.3">
      <c r="F25996"/>
      <c r="G25996"/>
      <c r="H25996"/>
      <c r="I25996"/>
    </row>
    <row r="25997" spans="6:9" x14ac:dyDescent="0.3">
      <c r="F25997"/>
      <c r="G25997"/>
      <c r="H25997"/>
      <c r="I25997"/>
    </row>
    <row r="25998" spans="6:9" x14ac:dyDescent="0.3">
      <c r="F25998"/>
      <c r="G25998"/>
      <c r="H25998"/>
      <c r="I25998"/>
    </row>
    <row r="25999" spans="6:9" x14ac:dyDescent="0.3">
      <c r="F25999"/>
      <c r="G25999"/>
      <c r="H25999"/>
      <c r="I25999"/>
    </row>
    <row r="26000" spans="6:9" x14ac:dyDescent="0.3">
      <c r="F26000"/>
      <c r="G26000"/>
      <c r="H26000"/>
      <c r="I26000"/>
    </row>
    <row r="26001" spans="6:9" x14ac:dyDescent="0.3">
      <c r="F26001"/>
      <c r="G26001"/>
      <c r="H26001"/>
      <c r="I26001"/>
    </row>
    <row r="26002" spans="6:9" x14ac:dyDescent="0.3">
      <c r="F26002"/>
      <c r="G26002"/>
      <c r="H26002"/>
      <c r="I26002"/>
    </row>
    <row r="26003" spans="6:9" x14ac:dyDescent="0.3">
      <c r="F26003"/>
      <c r="G26003"/>
      <c r="H26003"/>
      <c r="I26003"/>
    </row>
    <row r="26004" spans="6:9" x14ac:dyDescent="0.3">
      <c r="F26004"/>
      <c r="G26004"/>
      <c r="H26004"/>
      <c r="I26004"/>
    </row>
    <row r="26005" spans="6:9" x14ac:dyDescent="0.3">
      <c r="F26005"/>
      <c r="G26005"/>
      <c r="H26005"/>
      <c r="I26005"/>
    </row>
    <row r="26006" spans="6:9" x14ac:dyDescent="0.3">
      <c r="F26006"/>
      <c r="G26006"/>
      <c r="H26006"/>
      <c r="I26006"/>
    </row>
    <row r="26007" spans="6:9" x14ac:dyDescent="0.3">
      <c r="F26007"/>
      <c r="G26007"/>
      <c r="H26007"/>
      <c r="I26007"/>
    </row>
    <row r="26008" spans="6:9" x14ac:dyDescent="0.3">
      <c r="F26008"/>
      <c r="G26008"/>
      <c r="H26008"/>
      <c r="I26008"/>
    </row>
    <row r="26009" spans="6:9" x14ac:dyDescent="0.3">
      <c r="F26009"/>
      <c r="G26009"/>
      <c r="H26009"/>
      <c r="I26009"/>
    </row>
    <row r="26010" spans="6:9" x14ac:dyDescent="0.3">
      <c r="F26010"/>
      <c r="G26010"/>
      <c r="H26010"/>
      <c r="I26010"/>
    </row>
    <row r="26011" spans="6:9" x14ac:dyDescent="0.3">
      <c r="F26011"/>
      <c r="G26011"/>
      <c r="H26011"/>
      <c r="I26011"/>
    </row>
    <row r="26012" spans="6:9" x14ac:dyDescent="0.3">
      <c r="F26012"/>
      <c r="G26012"/>
      <c r="H26012"/>
      <c r="I26012"/>
    </row>
    <row r="26013" spans="6:9" x14ac:dyDescent="0.3">
      <c r="F26013"/>
      <c r="G26013"/>
      <c r="H26013"/>
      <c r="I26013"/>
    </row>
    <row r="26014" spans="6:9" x14ac:dyDescent="0.3">
      <c r="F26014"/>
      <c r="G26014"/>
      <c r="H26014"/>
      <c r="I26014"/>
    </row>
    <row r="26015" spans="6:9" x14ac:dyDescent="0.3">
      <c r="F26015"/>
      <c r="G26015"/>
      <c r="H26015"/>
      <c r="I26015"/>
    </row>
    <row r="26016" spans="6:9" x14ac:dyDescent="0.3">
      <c r="F26016"/>
      <c r="G26016"/>
      <c r="H26016"/>
      <c r="I26016"/>
    </row>
    <row r="26017" spans="6:9" x14ac:dyDescent="0.3">
      <c r="F26017"/>
      <c r="G26017"/>
      <c r="H26017"/>
      <c r="I26017"/>
    </row>
    <row r="26018" spans="6:9" x14ac:dyDescent="0.3">
      <c r="F26018"/>
      <c r="G26018"/>
      <c r="H26018"/>
      <c r="I26018"/>
    </row>
    <row r="26019" spans="6:9" x14ac:dyDescent="0.3">
      <c r="F26019"/>
      <c r="G26019"/>
      <c r="H26019"/>
      <c r="I26019"/>
    </row>
    <row r="26020" spans="6:9" x14ac:dyDescent="0.3">
      <c r="F26020"/>
      <c r="G26020"/>
      <c r="H26020"/>
      <c r="I26020"/>
    </row>
    <row r="26021" spans="6:9" x14ac:dyDescent="0.3">
      <c r="F26021"/>
      <c r="G26021"/>
      <c r="H26021"/>
      <c r="I26021"/>
    </row>
    <row r="26022" spans="6:9" x14ac:dyDescent="0.3">
      <c r="F26022"/>
      <c r="G26022"/>
      <c r="H26022"/>
      <c r="I26022"/>
    </row>
    <row r="26023" spans="6:9" x14ac:dyDescent="0.3">
      <c r="F26023"/>
      <c r="G26023"/>
      <c r="H26023"/>
      <c r="I26023"/>
    </row>
    <row r="26024" spans="6:9" x14ac:dyDescent="0.3">
      <c r="F26024"/>
      <c r="G26024"/>
      <c r="H26024"/>
      <c r="I26024"/>
    </row>
    <row r="26025" spans="6:9" x14ac:dyDescent="0.3">
      <c r="F26025"/>
      <c r="G26025"/>
      <c r="H26025"/>
      <c r="I26025"/>
    </row>
    <row r="26026" spans="6:9" x14ac:dyDescent="0.3">
      <c r="F26026"/>
      <c r="G26026"/>
      <c r="H26026"/>
      <c r="I26026"/>
    </row>
    <row r="26027" spans="6:9" x14ac:dyDescent="0.3">
      <c r="F26027"/>
      <c r="G26027"/>
      <c r="H26027"/>
      <c r="I26027"/>
    </row>
    <row r="26028" spans="6:9" x14ac:dyDescent="0.3">
      <c r="F26028"/>
      <c r="G26028"/>
      <c r="H26028"/>
      <c r="I26028"/>
    </row>
    <row r="26029" spans="6:9" x14ac:dyDescent="0.3">
      <c r="F26029"/>
      <c r="G26029"/>
      <c r="H26029"/>
      <c r="I26029"/>
    </row>
    <row r="26030" spans="6:9" x14ac:dyDescent="0.3">
      <c r="F26030"/>
      <c r="G26030"/>
      <c r="H26030"/>
      <c r="I26030"/>
    </row>
    <row r="26031" spans="6:9" x14ac:dyDescent="0.3">
      <c r="F26031"/>
      <c r="G26031"/>
      <c r="H26031"/>
      <c r="I26031"/>
    </row>
    <row r="26032" spans="6:9" x14ac:dyDescent="0.3">
      <c r="F26032"/>
      <c r="G26032"/>
      <c r="H26032"/>
      <c r="I26032"/>
    </row>
    <row r="26033" spans="6:9" x14ac:dyDescent="0.3">
      <c r="F26033"/>
      <c r="G26033"/>
      <c r="H26033"/>
      <c r="I26033"/>
    </row>
    <row r="26034" spans="6:9" x14ac:dyDescent="0.3">
      <c r="F26034"/>
      <c r="G26034"/>
      <c r="H26034"/>
      <c r="I26034"/>
    </row>
    <row r="26035" spans="6:9" x14ac:dyDescent="0.3">
      <c r="F26035"/>
      <c r="G26035"/>
      <c r="H26035"/>
      <c r="I26035"/>
    </row>
    <row r="26036" spans="6:9" x14ac:dyDescent="0.3">
      <c r="F26036"/>
      <c r="G26036"/>
      <c r="H26036"/>
      <c r="I26036"/>
    </row>
    <row r="26037" spans="6:9" x14ac:dyDescent="0.3">
      <c r="F26037"/>
      <c r="G26037"/>
      <c r="H26037"/>
      <c r="I26037"/>
    </row>
    <row r="26038" spans="6:9" x14ac:dyDescent="0.3">
      <c r="F26038"/>
      <c r="G26038"/>
      <c r="H26038"/>
      <c r="I26038"/>
    </row>
    <row r="26039" spans="6:9" x14ac:dyDescent="0.3">
      <c r="F26039"/>
      <c r="G26039"/>
      <c r="H26039"/>
      <c r="I26039"/>
    </row>
    <row r="26040" spans="6:9" x14ac:dyDescent="0.3">
      <c r="F26040"/>
      <c r="G26040"/>
      <c r="H26040"/>
      <c r="I26040"/>
    </row>
    <row r="26041" spans="6:9" x14ac:dyDescent="0.3">
      <c r="F26041"/>
      <c r="G26041"/>
      <c r="H26041"/>
      <c r="I26041"/>
    </row>
    <row r="26042" spans="6:9" x14ac:dyDescent="0.3">
      <c r="F26042"/>
      <c r="G26042"/>
      <c r="H26042"/>
      <c r="I26042"/>
    </row>
    <row r="26043" spans="6:9" x14ac:dyDescent="0.3">
      <c r="F26043"/>
      <c r="G26043"/>
      <c r="H26043"/>
      <c r="I26043"/>
    </row>
    <row r="26044" spans="6:9" x14ac:dyDescent="0.3">
      <c r="F26044"/>
      <c r="G26044"/>
      <c r="H26044"/>
      <c r="I26044"/>
    </row>
    <row r="26045" spans="6:9" x14ac:dyDescent="0.3">
      <c r="F26045"/>
      <c r="G26045"/>
      <c r="H26045"/>
      <c r="I26045"/>
    </row>
    <row r="26046" spans="6:9" x14ac:dyDescent="0.3">
      <c r="F26046"/>
      <c r="G26046"/>
      <c r="H26046"/>
      <c r="I26046"/>
    </row>
    <row r="26047" spans="6:9" x14ac:dyDescent="0.3">
      <c r="F26047"/>
      <c r="G26047"/>
      <c r="H26047"/>
      <c r="I26047"/>
    </row>
    <row r="26048" spans="6:9" x14ac:dyDescent="0.3">
      <c r="F26048"/>
      <c r="G26048"/>
      <c r="H26048"/>
      <c r="I26048"/>
    </row>
    <row r="26049" spans="6:9" x14ac:dyDescent="0.3">
      <c r="F26049"/>
      <c r="G26049"/>
      <c r="H26049"/>
      <c r="I26049"/>
    </row>
    <row r="26050" spans="6:9" x14ac:dyDescent="0.3">
      <c r="F26050"/>
      <c r="G26050"/>
      <c r="H26050"/>
      <c r="I26050"/>
    </row>
    <row r="26051" spans="6:9" x14ac:dyDescent="0.3">
      <c r="F26051"/>
      <c r="G26051"/>
      <c r="H26051"/>
      <c r="I26051"/>
    </row>
    <row r="26052" spans="6:9" x14ac:dyDescent="0.3">
      <c r="F26052"/>
      <c r="G26052"/>
      <c r="H26052"/>
      <c r="I26052"/>
    </row>
    <row r="26053" spans="6:9" x14ac:dyDescent="0.3">
      <c r="F26053"/>
      <c r="G26053"/>
      <c r="H26053"/>
      <c r="I26053"/>
    </row>
    <row r="26054" spans="6:9" x14ac:dyDescent="0.3">
      <c r="F26054"/>
      <c r="G26054"/>
      <c r="H26054"/>
      <c r="I26054"/>
    </row>
    <row r="26055" spans="6:9" x14ac:dyDescent="0.3">
      <c r="F26055"/>
      <c r="G26055"/>
      <c r="H26055"/>
      <c r="I26055"/>
    </row>
    <row r="26056" spans="6:9" x14ac:dyDescent="0.3">
      <c r="F26056"/>
      <c r="G26056"/>
      <c r="H26056"/>
      <c r="I26056"/>
    </row>
    <row r="26057" spans="6:9" x14ac:dyDescent="0.3">
      <c r="F26057"/>
      <c r="G26057"/>
      <c r="H26057"/>
      <c r="I26057"/>
    </row>
    <row r="26058" spans="6:9" x14ac:dyDescent="0.3">
      <c r="F26058"/>
      <c r="G26058"/>
      <c r="H26058"/>
      <c r="I26058"/>
    </row>
    <row r="26059" spans="6:9" x14ac:dyDescent="0.3">
      <c r="F26059"/>
      <c r="G26059"/>
      <c r="H26059"/>
      <c r="I26059"/>
    </row>
    <row r="26060" spans="6:9" x14ac:dyDescent="0.3">
      <c r="F26060"/>
      <c r="G26060"/>
      <c r="H26060"/>
      <c r="I26060"/>
    </row>
    <row r="26061" spans="6:9" x14ac:dyDescent="0.3">
      <c r="F26061"/>
      <c r="G26061"/>
      <c r="H26061"/>
      <c r="I26061"/>
    </row>
    <row r="26062" spans="6:9" x14ac:dyDescent="0.3">
      <c r="F26062"/>
      <c r="G26062"/>
      <c r="H26062"/>
      <c r="I26062"/>
    </row>
    <row r="26063" spans="6:9" x14ac:dyDescent="0.3">
      <c r="F26063"/>
      <c r="G26063"/>
      <c r="H26063"/>
      <c r="I26063"/>
    </row>
    <row r="26064" spans="6:9" x14ac:dyDescent="0.3">
      <c r="F26064"/>
      <c r="G26064"/>
      <c r="H26064"/>
      <c r="I26064"/>
    </row>
    <row r="26065" spans="6:9" x14ac:dyDescent="0.3">
      <c r="F26065"/>
      <c r="G26065"/>
      <c r="H26065"/>
      <c r="I26065"/>
    </row>
    <row r="26066" spans="6:9" x14ac:dyDescent="0.3">
      <c r="F26066"/>
      <c r="G26066"/>
      <c r="H26066"/>
      <c r="I26066"/>
    </row>
    <row r="26067" spans="6:9" x14ac:dyDescent="0.3">
      <c r="F26067"/>
      <c r="G26067"/>
      <c r="H26067"/>
      <c r="I26067"/>
    </row>
    <row r="26068" spans="6:9" x14ac:dyDescent="0.3">
      <c r="F26068"/>
      <c r="G26068"/>
      <c r="H26068"/>
      <c r="I26068"/>
    </row>
    <row r="26069" spans="6:9" x14ac:dyDescent="0.3">
      <c r="F26069"/>
      <c r="G26069"/>
      <c r="H26069"/>
      <c r="I26069"/>
    </row>
    <row r="26070" spans="6:9" x14ac:dyDescent="0.3">
      <c r="F26070"/>
      <c r="G26070"/>
      <c r="H26070"/>
      <c r="I26070"/>
    </row>
    <row r="26071" spans="6:9" x14ac:dyDescent="0.3">
      <c r="F26071"/>
      <c r="G26071"/>
      <c r="H26071"/>
      <c r="I26071"/>
    </row>
    <row r="26072" spans="6:9" x14ac:dyDescent="0.3">
      <c r="F26072"/>
      <c r="G26072"/>
      <c r="H26072"/>
      <c r="I26072"/>
    </row>
    <row r="26073" spans="6:9" x14ac:dyDescent="0.3">
      <c r="F26073"/>
      <c r="G26073"/>
      <c r="H26073"/>
      <c r="I26073"/>
    </row>
    <row r="26074" spans="6:9" x14ac:dyDescent="0.3">
      <c r="F26074"/>
      <c r="G26074"/>
      <c r="H26074"/>
      <c r="I26074"/>
    </row>
    <row r="26075" spans="6:9" x14ac:dyDescent="0.3">
      <c r="F26075"/>
      <c r="G26075"/>
      <c r="H26075"/>
      <c r="I26075"/>
    </row>
    <row r="26076" spans="6:9" x14ac:dyDescent="0.3">
      <c r="F26076"/>
      <c r="G26076"/>
      <c r="H26076"/>
      <c r="I26076"/>
    </row>
    <row r="26077" spans="6:9" x14ac:dyDescent="0.3">
      <c r="F26077"/>
      <c r="G26077"/>
      <c r="H26077"/>
      <c r="I26077"/>
    </row>
    <row r="26078" spans="6:9" x14ac:dyDescent="0.3">
      <c r="F26078"/>
      <c r="G26078"/>
      <c r="H26078"/>
      <c r="I26078"/>
    </row>
    <row r="26079" spans="6:9" x14ac:dyDescent="0.3">
      <c r="F26079"/>
      <c r="G26079"/>
      <c r="H26079"/>
      <c r="I26079"/>
    </row>
    <row r="26080" spans="6:9" x14ac:dyDescent="0.3">
      <c r="F26080"/>
      <c r="G26080"/>
      <c r="H26080"/>
      <c r="I26080"/>
    </row>
    <row r="26081" spans="6:9" x14ac:dyDescent="0.3">
      <c r="F26081"/>
      <c r="G26081"/>
      <c r="H26081"/>
      <c r="I26081"/>
    </row>
    <row r="26082" spans="6:9" x14ac:dyDescent="0.3">
      <c r="F26082"/>
      <c r="G26082"/>
      <c r="H26082"/>
      <c r="I26082"/>
    </row>
    <row r="26083" spans="6:9" x14ac:dyDescent="0.3">
      <c r="F26083"/>
      <c r="G26083"/>
      <c r="H26083"/>
      <c r="I26083"/>
    </row>
    <row r="26084" spans="6:9" x14ac:dyDescent="0.3">
      <c r="F26084"/>
      <c r="G26084"/>
      <c r="H26084"/>
      <c r="I26084"/>
    </row>
    <row r="26085" spans="6:9" x14ac:dyDescent="0.3">
      <c r="F26085"/>
      <c r="G26085"/>
      <c r="H26085"/>
      <c r="I26085"/>
    </row>
    <row r="26086" spans="6:9" x14ac:dyDescent="0.3">
      <c r="F26086"/>
      <c r="G26086"/>
      <c r="H26086"/>
      <c r="I26086"/>
    </row>
    <row r="26087" spans="6:9" x14ac:dyDescent="0.3">
      <c r="F26087"/>
      <c r="G26087"/>
      <c r="H26087"/>
      <c r="I26087"/>
    </row>
    <row r="26088" spans="6:9" x14ac:dyDescent="0.3">
      <c r="F26088"/>
      <c r="G26088"/>
      <c r="H26088"/>
      <c r="I26088"/>
    </row>
    <row r="26089" spans="6:9" x14ac:dyDescent="0.3">
      <c r="F26089"/>
      <c r="G26089"/>
      <c r="H26089"/>
      <c r="I26089"/>
    </row>
    <row r="26090" spans="6:9" x14ac:dyDescent="0.3">
      <c r="F26090"/>
      <c r="G26090"/>
      <c r="H26090"/>
      <c r="I26090"/>
    </row>
    <row r="26091" spans="6:9" x14ac:dyDescent="0.3">
      <c r="F26091"/>
      <c r="G26091"/>
      <c r="H26091"/>
      <c r="I26091"/>
    </row>
    <row r="26092" spans="6:9" x14ac:dyDescent="0.3">
      <c r="F26092"/>
      <c r="G26092"/>
      <c r="H26092"/>
      <c r="I26092"/>
    </row>
    <row r="26093" spans="6:9" x14ac:dyDescent="0.3">
      <c r="F26093"/>
      <c r="G26093"/>
      <c r="H26093"/>
      <c r="I26093"/>
    </row>
    <row r="26094" spans="6:9" x14ac:dyDescent="0.3">
      <c r="F26094"/>
      <c r="G26094"/>
      <c r="H26094"/>
      <c r="I26094"/>
    </row>
    <row r="26095" spans="6:9" x14ac:dyDescent="0.3">
      <c r="F26095"/>
      <c r="G26095"/>
      <c r="H26095"/>
      <c r="I26095"/>
    </row>
    <row r="26096" spans="6:9" x14ac:dyDescent="0.3">
      <c r="F26096"/>
      <c r="G26096"/>
      <c r="H26096"/>
      <c r="I26096"/>
    </row>
    <row r="26097" spans="6:9" x14ac:dyDescent="0.3">
      <c r="F26097"/>
      <c r="G26097"/>
      <c r="H26097"/>
      <c r="I26097"/>
    </row>
    <row r="26098" spans="6:9" x14ac:dyDescent="0.3">
      <c r="F26098"/>
      <c r="G26098"/>
      <c r="H26098"/>
      <c r="I26098"/>
    </row>
    <row r="26099" spans="6:9" x14ac:dyDescent="0.3">
      <c r="F26099"/>
      <c r="G26099"/>
      <c r="H26099"/>
      <c r="I26099"/>
    </row>
    <row r="26100" spans="6:9" x14ac:dyDescent="0.3">
      <c r="F26100"/>
      <c r="G26100"/>
      <c r="H26100"/>
      <c r="I26100"/>
    </row>
    <row r="26101" spans="6:9" x14ac:dyDescent="0.3">
      <c r="F26101"/>
      <c r="G26101"/>
      <c r="H26101"/>
      <c r="I26101"/>
    </row>
    <row r="26102" spans="6:9" x14ac:dyDescent="0.3">
      <c r="F26102"/>
      <c r="G26102"/>
      <c r="H26102"/>
      <c r="I26102"/>
    </row>
    <row r="26103" spans="6:9" x14ac:dyDescent="0.3">
      <c r="F26103"/>
      <c r="G26103"/>
      <c r="H26103"/>
      <c r="I26103"/>
    </row>
    <row r="26104" spans="6:9" x14ac:dyDescent="0.3">
      <c r="F26104"/>
      <c r="G26104"/>
      <c r="H26104"/>
      <c r="I26104"/>
    </row>
    <row r="26105" spans="6:9" x14ac:dyDescent="0.3">
      <c r="F26105"/>
      <c r="G26105"/>
      <c r="H26105"/>
      <c r="I26105"/>
    </row>
    <row r="26106" spans="6:9" x14ac:dyDescent="0.3">
      <c r="F26106"/>
      <c r="G26106"/>
      <c r="H26106"/>
      <c r="I26106"/>
    </row>
    <row r="26107" spans="6:9" x14ac:dyDescent="0.3">
      <c r="F26107"/>
      <c r="G26107"/>
      <c r="H26107"/>
      <c r="I26107"/>
    </row>
    <row r="26108" spans="6:9" x14ac:dyDescent="0.3">
      <c r="F26108"/>
      <c r="G26108"/>
      <c r="H26108"/>
      <c r="I26108"/>
    </row>
    <row r="26109" spans="6:9" x14ac:dyDescent="0.3">
      <c r="F26109"/>
      <c r="G26109"/>
      <c r="H26109"/>
      <c r="I26109"/>
    </row>
    <row r="26110" spans="6:9" x14ac:dyDescent="0.3">
      <c r="F26110"/>
      <c r="G26110"/>
      <c r="H26110"/>
      <c r="I26110"/>
    </row>
    <row r="26111" spans="6:9" x14ac:dyDescent="0.3">
      <c r="F26111"/>
      <c r="G26111"/>
      <c r="H26111"/>
      <c r="I26111"/>
    </row>
    <row r="26112" spans="6:9" x14ac:dyDescent="0.3">
      <c r="F26112"/>
      <c r="G26112"/>
      <c r="H26112"/>
      <c r="I26112"/>
    </row>
    <row r="26113" spans="6:9" x14ac:dyDescent="0.3">
      <c r="F26113"/>
      <c r="G26113"/>
      <c r="H26113"/>
      <c r="I26113"/>
    </row>
    <row r="26114" spans="6:9" x14ac:dyDescent="0.3">
      <c r="F26114"/>
      <c r="G26114"/>
      <c r="H26114"/>
      <c r="I26114"/>
    </row>
    <row r="26115" spans="6:9" x14ac:dyDescent="0.3">
      <c r="F26115"/>
      <c r="G26115"/>
      <c r="H26115"/>
      <c r="I26115"/>
    </row>
    <row r="26116" spans="6:9" x14ac:dyDescent="0.3">
      <c r="F26116"/>
      <c r="G26116"/>
      <c r="H26116"/>
      <c r="I26116"/>
    </row>
    <row r="26117" spans="6:9" x14ac:dyDescent="0.3">
      <c r="F26117"/>
      <c r="G26117"/>
      <c r="H26117"/>
      <c r="I26117"/>
    </row>
    <row r="26118" spans="6:9" x14ac:dyDescent="0.3">
      <c r="F26118"/>
      <c r="G26118"/>
      <c r="H26118"/>
      <c r="I26118"/>
    </row>
    <row r="26119" spans="6:9" x14ac:dyDescent="0.3">
      <c r="F26119"/>
      <c r="G26119"/>
      <c r="H26119"/>
      <c r="I26119"/>
    </row>
    <row r="26120" spans="6:9" x14ac:dyDescent="0.3">
      <c r="F26120"/>
      <c r="G26120"/>
      <c r="H26120"/>
      <c r="I26120"/>
    </row>
    <row r="26121" spans="6:9" x14ac:dyDescent="0.3">
      <c r="F26121"/>
      <c r="G26121"/>
      <c r="H26121"/>
      <c r="I26121"/>
    </row>
    <row r="26122" spans="6:9" x14ac:dyDescent="0.3">
      <c r="F26122"/>
      <c r="G26122"/>
      <c r="H26122"/>
      <c r="I26122"/>
    </row>
    <row r="26123" spans="6:9" x14ac:dyDescent="0.3">
      <c r="F26123"/>
      <c r="G26123"/>
      <c r="H26123"/>
      <c r="I26123"/>
    </row>
    <row r="26124" spans="6:9" x14ac:dyDescent="0.3">
      <c r="F26124"/>
      <c r="G26124"/>
      <c r="H26124"/>
      <c r="I26124"/>
    </row>
    <row r="26125" spans="6:9" x14ac:dyDescent="0.3">
      <c r="F26125"/>
      <c r="G26125"/>
      <c r="H26125"/>
      <c r="I26125"/>
    </row>
    <row r="26126" spans="6:9" x14ac:dyDescent="0.3">
      <c r="F26126"/>
      <c r="G26126"/>
      <c r="H26126"/>
      <c r="I26126"/>
    </row>
    <row r="26127" spans="6:9" x14ac:dyDescent="0.3">
      <c r="F26127"/>
      <c r="G26127"/>
      <c r="H26127"/>
      <c r="I26127"/>
    </row>
    <row r="26128" spans="6:9" x14ac:dyDescent="0.3">
      <c r="F26128"/>
      <c r="G26128"/>
      <c r="H26128"/>
      <c r="I26128"/>
    </row>
    <row r="26129" spans="6:9" x14ac:dyDescent="0.3">
      <c r="F26129"/>
      <c r="G26129"/>
      <c r="H26129"/>
      <c r="I26129"/>
    </row>
    <row r="26130" spans="6:9" x14ac:dyDescent="0.3">
      <c r="F26130"/>
      <c r="G26130"/>
      <c r="H26130"/>
      <c r="I26130"/>
    </row>
    <row r="26131" spans="6:9" x14ac:dyDescent="0.3">
      <c r="F26131"/>
      <c r="G26131"/>
      <c r="H26131"/>
      <c r="I26131"/>
    </row>
    <row r="26132" spans="6:9" x14ac:dyDescent="0.3">
      <c r="F26132"/>
      <c r="G26132"/>
      <c r="H26132"/>
      <c r="I26132"/>
    </row>
    <row r="26133" spans="6:9" x14ac:dyDescent="0.3">
      <c r="F26133"/>
      <c r="G26133"/>
      <c r="H26133"/>
      <c r="I26133"/>
    </row>
    <row r="26134" spans="6:9" x14ac:dyDescent="0.3">
      <c r="F26134"/>
      <c r="G26134"/>
      <c r="H26134"/>
      <c r="I26134"/>
    </row>
    <row r="26135" spans="6:9" x14ac:dyDescent="0.3">
      <c r="F26135"/>
      <c r="G26135"/>
      <c r="H26135"/>
      <c r="I26135"/>
    </row>
    <row r="26136" spans="6:9" x14ac:dyDescent="0.3">
      <c r="F26136"/>
      <c r="G26136"/>
      <c r="H26136"/>
      <c r="I26136"/>
    </row>
    <row r="26137" spans="6:9" x14ac:dyDescent="0.3">
      <c r="F26137"/>
      <c r="G26137"/>
      <c r="H26137"/>
      <c r="I26137"/>
    </row>
    <row r="26138" spans="6:9" x14ac:dyDescent="0.3">
      <c r="F26138"/>
      <c r="G26138"/>
      <c r="H26138"/>
      <c r="I26138"/>
    </row>
    <row r="26139" spans="6:9" x14ac:dyDescent="0.3">
      <c r="F26139"/>
      <c r="G26139"/>
      <c r="H26139"/>
      <c r="I26139"/>
    </row>
    <row r="26140" spans="6:9" x14ac:dyDescent="0.3">
      <c r="F26140"/>
      <c r="G26140"/>
      <c r="H26140"/>
      <c r="I26140"/>
    </row>
    <row r="26141" spans="6:9" x14ac:dyDescent="0.3">
      <c r="F26141"/>
      <c r="G26141"/>
      <c r="H26141"/>
      <c r="I26141"/>
    </row>
    <row r="26142" spans="6:9" x14ac:dyDescent="0.3">
      <c r="F26142"/>
      <c r="G26142"/>
      <c r="H26142"/>
      <c r="I26142"/>
    </row>
    <row r="26143" spans="6:9" x14ac:dyDescent="0.3">
      <c r="F26143"/>
      <c r="G26143"/>
      <c r="H26143"/>
      <c r="I26143"/>
    </row>
    <row r="26144" spans="6:9" x14ac:dyDescent="0.3">
      <c r="F26144"/>
      <c r="G26144"/>
      <c r="H26144"/>
      <c r="I26144"/>
    </row>
    <row r="26145" spans="6:9" x14ac:dyDescent="0.3">
      <c r="F26145"/>
      <c r="G26145"/>
      <c r="H26145"/>
      <c r="I26145"/>
    </row>
    <row r="26146" spans="6:9" x14ac:dyDescent="0.3">
      <c r="F26146"/>
      <c r="G26146"/>
      <c r="H26146"/>
      <c r="I26146"/>
    </row>
    <row r="26147" spans="6:9" x14ac:dyDescent="0.3">
      <c r="F26147"/>
      <c r="G26147"/>
      <c r="H26147"/>
      <c r="I26147"/>
    </row>
    <row r="26148" spans="6:9" x14ac:dyDescent="0.3">
      <c r="F26148"/>
      <c r="G26148"/>
      <c r="H26148"/>
      <c r="I26148"/>
    </row>
    <row r="26149" spans="6:9" x14ac:dyDescent="0.3">
      <c r="F26149"/>
      <c r="G26149"/>
      <c r="H26149"/>
      <c r="I26149"/>
    </row>
    <row r="26150" spans="6:9" x14ac:dyDescent="0.3">
      <c r="F26150"/>
      <c r="G26150"/>
      <c r="H26150"/>
      <c r="I26150"/>
    </row>
    <row r="26151" spans="6:9" x14ac:dyDescent="0.3">
      <c r="F26151"/>
      <c r="G26151"/>
      <c r="H26151"/>
      <c r="I26151"/>
    </row>
    <row r="26152" spans="6:9" x14ac:dyDescent="0.3">
      <c r="F26152"/>
      <c r="G26152"/>
      <c r="H26152"/>
      <c r="I26152"/>
    </row>
    <row r="26153" spans="6:9" x14ac:dyDescent="0.3">
      <c r="F26153"/>
      <c r="G26153"/>
      <c r="H26153"/>
      <c r="I26153"/>
    </row>
    <row r="26154" spans="6:9" x14ac:dyDescent="0.3">
      <c r="F26154"/>
      <c r="G26154"/>
      <c r="H26154"/>
      <c r="I26154"/>
    </row>
    <row r="26155" spans="6:9" x14ac:dyDescent="0.3">
      <c r="F26155"/>
      <c r="G26155"/>
      <c r="H26155"/>
      <c r="I26155"/>
    </row>
    <row r="26156" spans="6:9" x14ac:dyDescent="0.3">
      <c r="F26156"/>
      <c r="G26156"/>
      <c r="H26156"/>
      <c r="I26156"/>
    </row>
    <row r="26157" spans="6:9" x14ac:dyDescent="0.3">
      <c r="F26157"/>
      <c r="G26157"/>
      <c r="H26157"/>
      <c r="I26157"/>
    </row>
    <row r="26158" spans="6:9" x14ac:dyDescent="0.3">
      <c r="F26158"/>
      <c r="G26158"/>
      <c r="H26158"/>
      <c r="I26158"/>
    </row>
    <row r="26159" spans="6:9" x14ac:dyDescent="0.3">
      <c r="F26159"/>
      <c r="G26159"/>
      <c r="H26159"/>
      <c r="I26159"/>
    </row>
    <row r="26160" spans="6:9" x14ac:dyDescent="0.3">
      <c r="F26160"/>
      <c r="G26160"/>
      <c r="H26160"/>
      <c r="I26160"/>
    </row>
    <row r="26161" spans="6:9" x14ac:dyDescent="0.3">
      <c r="F26161"/>
      <c r="G26161"/>
      <c r="H26161"/>
      <c r="I26161"/>
    </row>
    <row r="26162" spans="6:9" x14ac:dyDescent="0.3">
      <c r="F26162"/>
      <c r="G26162"/>
      <c r="H26162"/>
      <c r="I26162"/>
    </row>
    <row r="26163" spans="6:9" x14ac:dyDescent="0.3">
      <c r="F26163"/>
      <c r="G26163"/>
      <c r="H26163"/>
      <c r="I26163"/>
    </row>
    <row r="26164" spans="6:9" x14ac:dyDescent="0.3">
      <c r="F26164"/>
      <c r="G26164"/>
      <c r="H26164"/>
      <c r="I26164"/>
    </row>
    <row r="26165" spans="6:9" x14ac:dyDescent="0.3">
      <c r="F26165"/>
      <c r="G26165"/>
      <c r="H26165"/>
      <c r="I26165"/>
    </row>
    <row r="26166" spans="6:9" x14ac:dyDescent="0.3">
      <c r="F26166"/>
      <c r="G26166"/>
      <c r="H26166"/>
      <c r="I26166"/>
    </row>
    <row r="26167" spans="6:9" x14ac:dyDescent="0.3">
      <c r="F26167"/>
      <c r="G26167"/>
      <c r="H26167"/>
      <c r="I26167"/>
    </row>
    <row r="26168" spans="6:9" x14ac:dyDescent="0.3">
      <c r="F26168"/>
      <c r="G26168"/>
      <c r="H26168"/>
      <c r="I26168"/>
    </row>
    <row r="26169" spans="6:9" x14ac:dyDescent="0.3">
      <c r="F26169"/>
      <c r="G26169"/>
      <c r="H26169"/>
      <c r="I26169"/>
    </row>
    <row r="26170" spans="6:9" x14ac:dyDescent="0.3">
      <c r="F26170"/>
      <c r="G26170"/>
      <c r="H26170"/>
      <c r="I26170"/>
    </row>
    <row r="26171" spans="6:9" x14ac:dyDescent="0.3">
      <c r="F26171"/>
      <c r="G26171"/>
      <c r="H26171"/>
      <c r="I26171"/>
    </row>
    <row r="26172" spans="6:9" x14ac:dyDescent="0.3">
      <c r="F26172"/>
      <c r="G26172"/>
      <c r="H26172"/>
      <c r="I26172"/>
    </row>
    <row r="26173" spans="6:9" x14ac:dyDescent="0.3">
      <c r="F26173"/>
      <c r="G26173"/>
      <c r="H26173"/>
      <c r="I26173"/>
    </row>
    <row r="26174" spans="6:9" x14ac:dyDescent="0.3">
      <c r="F26174"/>
      <c r="G26174"/>
      <c r="H26174"/>
      <c r="I26174"/>
    </row>
    <row r="26175" spans="6:9" x14ac:dyDescent="0.3">
      <c r="F26175"/>
      <c r="G26175"/>
      <c r="H26175"/>
      <c r="I26175"/>
    </row>
    <row r="26176" spans="6:9" x14ac:dyDescent="0.3">
      <c r="F26176"/>
      <c r="G26176"/>
      <c r="H26176"/>
      <c r="I26176"/>
    </row>
    <row r="26177" spans="6:9" x14ac:dyDescent="0.3">
      <c r="F26177"/>
      <c r="G26177"/>
      <c r="H26177"/>
      <c r="I26177"/>
    </row>
    <row r="26178" spans="6:9" x14ac:dyDescent="0.3">
      <c r="F26178"/>
      <c r="G26178"/>
      <c r="H26178"/>
      <c r="I26178"/>
    </row>
    <row r="26179" spans="6:9" x14ac:dyDescent="0.3">
      <c r="F26179"/>
      <c r="G26179"/>
      <c r="H26179"/>
      <c r="I26179"/>
    </row>
    <row r="26180" spans="6:9" x14ac:dyDescent="0.3">
      <c r="F26180"/>
      <c r="G26180"/>
      <c r="H26180"/>
      <c r="I26180"/>
    </row>
    <row r="26181" spans="6:9" x14ac:dyDescent="0.3">
      <c r="F26181"/>
      <c r="G26181"/>
      <c r="H26181"/>
      <c r="I26181"/>
    </row>
    <row r="26182" spans="6:9" x14ac:dyDescent="0.3">
      <c r="F26182"/>
      <c r="G26182"/>
      <c r="H26182"/>
      <c r="I26182"/>
    </row>
    <row r="26183" spans="6:9" x14ac:dyDescent="0.3">
      <c r="F26183"/>
      <c r="G26183"/>
      <c r="H26183"/>
      <c r="I26183"/>
    </row>
    <row r="26184" spans="6:9" x14ac:dyDescent="0.3">
      <c r="F26184"/>
      <c r="G26184"/>
      <c r="H26184"/>
      <c r="I26184"/>
    </row>
    <row r="26185" spans="6:9" x14ac:dyDescent="0.3">
      <c r="F26185"/>
      <c r="G26185"/>
      <c r="H26185"/>
      <c r="I26185"/>
    </row>
    <row r="26186" spans="6:9" x14ac:dyDescent="0.3">
      <c r="F26186"/>
      <c r="G26186"/>
      <c r="H26186"/>
      <c r="I26186"/>
    </row>
    <row r="26187" spans="6:9" x14ac:dyDescent="0.3">
      <c r="F26187"/>
      <c r="G26187"/>
      <c r="H26187"/>
      <c r="I26187"/>
    </row>
    <row r="26188" spans="6:9" x14ac:dyDescent="0.3">
      <c r="F26188"/>
      <c r="G26188"/>
      <c r="H26188"/>
      <c r="I26188"/>
    </row>
    <row r="26189" spans="6:9" x14ac:dyDescent="0.3">
      <c r="F26189"/>
      <c r="G26189"/>
      <c r="H26189"/>
      <c r="I26189"/>
    </row>
    <row r="26190" spans="6:9" x14ac:dyDescent="0.3">
      <c r="F26190"/>
      <c r="G26190"/>
      <c r="H26190"/>
      <c r="I26190"/>
    </row>
    <row r="26191" spans="6:9" x14ac:dyDescent="0.3">
      <c r="F26191"/>
      <c r="G26191"/>
      <c r="H26191"/>
      <c r="I26191"/>
    </row>
    <row r="26192" spans="6:9" x14ac:dyDescent="0.3">
      <c r="F26192"/>
      <c r="G26192"/>
      <c r="H26192"/>
      <c r="I26192"/>
    </row>
    <row r="26193" spans="6:9" x14ac:dyDescent="0.3">
      <c r="F26193"/>
      <c r="G26193"/>
      <c r="H26193"/>
      <c r="I26193"/>
    </row>
    <row r="26194" spans="6:9" x14ac:dyDescent="0.3">
      <c r="F26194"/>
      <c r="G26194"/>
      <c r="H26194"/>
      <c r="I26194"/>
    </row>
    <row r="26195" spans="6:9" x14ac:dyDescent="0.3">
      <c r="F26195"/>
      <c r="G26195"/>
      <c r="H26195"/>
      <c r="I26195"/>
    </row>
    <row r="26196" spans="6:9" x14ac:dyDescent="0.3">
      <c r="F26196"/>
      <c r="G26196"/>
      <c r="H26196"/>
      <c r="I26196"/>
    </row>
    <row r="26197" spans="6:9" x14ac:dyDescent="0.3">
      <c r="F26197"/>
      <c r="G26197"/>
      <c r="H26197"/>
      <c r="I26197"/>
    </row>
    <row r="26198" spans="6:9" x14ac:dyDescent="0.3">
      <c r="F26198"/>
      <c r="G26198"/>
      <c r="H26198"/>
      <c r="I26198"/>
    </row>
    <row r="26199" spans="6:9" x14ac:dyDescent="0.3">
      <c r="F26199"/>
      <c r="G26199"/>
      <c r="H26199"/>
      <c r="I26199"/>
    </row>
    <row r="26200" spans="6:9" x14ac:dyDescent="0.3">
      <c r="F26200"/>
      <c r="G26200"/>
      <c r="H26200"/>
      <c r="I26200"/>
    </row>
    <row r="26201" spans="6:9" x14ac:dyDescent="0.3">
      <c r="F26201"/>
      <c r="G26201"/>
      <c r="H26201"/>
      <c r="I26201"/>
    </row>
    <row r="26202" spans="6:9" x14ac:dyDescent="0.3">
      <c r="F26202"/>
      <c r="G26202"/>
      <c r="H26202"/>
      <c r="I26202"/>
    </row>
    <row r="26203" spans="6:9" x14ac:dyDescent="0.3">
      <c r="F26203"/>
      <c r="G26203"/>
      <c r="H26203"/>
      <c r="I26203"/>
    </row>
    <row r="26204" spans="6:9" x14ac:dyDescent="0.3">
      <c r="F26204"/>
      <c r="G26204"/>
      <c r="H26204"/>
      <c r="I26204"/>
    </row>
    <row r="26205" spans="6:9" x14ac:dyDescent="0.3">
      <c r="F26205"/>
      <c r="G26205"/>
      <c r="H26205"/>
      <c r="I26205"/>
    </row>
    <row r="26206" spans="6:9" x14ac:dyDescent="0.3">
      <c r="F26206"/>
      <c r="G26206"/>
      <c r="H26206"/>
      <c r="I26206"/>
    </row>
    <row r="26207" spans="6:9" x14ac:dyDescent="0.3">
      <c r="F26207"/>
      <c r="G26207"/>
      <c r="H26207"/>
      <c r="I26207"/>
    </row>
    <row r="26208" spans="6:9" x14ac:dyDescent="0.3">
      <c r="F26208"/>
      <c r="G26208"/>
      <c r="H26208"/>
      <c r="I26208"/>
    </row>
    <row r="26209" spans="6:9" x14ac:dyDescent="0.3">
      <c r="F26209"/>
      <c r="G26209"/>
      <c r="H26209"/>
      <c r="I26209"/>
    </row>
    <row r="26210" spans="6:9" x14ac:dyDescent="0.3">
      <c r="F26210"/>
      <c r="G26210"/>
      <c r="H26210"/>
      <c r="I26210"/>
    </row>
    <row r="26211" spans="6:9" x14ac:dyDescent="0.3">
      <c r="F26211"/>
      <c r="G26211"/>
      <c r="H26211"/>
      <c r="I26211"/>
    </row>
    <row r="26212" spans="6:9" x14ac:dyDescent="0.3">
      <c r="F26212"/>
      <c r="G26212"/>
      <c r="H26212"/>
      <c r="I26212"/>
    </row>
    <row r="26213" spans="6:9" x14ac:dyDescent="0.3">
      <c r="F26213"/>
      <c r="G26213"/>
      <c r="H26213"/>
      <c r="I26213"/>
    </row>
    <row r="26214" spans="6:9" x14ac:dyDescent="0.3">
      <c r="F26214"/>
      <c r="G26214"/>
      <c r="H26214"/>
      <c r="I26214"/>
    </row>
    <row r="26215" spans="6:9" x14ac:dyDescent="0.3">
      <c r="F26215"/>
      <c r="G26215"/>
      <c r="H26215"/>
      <c r="I26215"/>
    </row>
    <row r="26216" spans="6:9" x14ac:dyDescent="0.3">
      <c r="F26216"/>
      <c r="G26216"/>
      <c r="H26216"/>
      <c r="I26216"/>
    </row>
    <row r="26217" spans="6:9" x14ac:dyDescent="0.3">
      <c r="F26217"/>
      <c r="G26217"/>
      <c r="H26217"/>
      <c r="I26217"/>
    </row>
    <row r="26218" spans="6:9" x14ac:dyDescent="0.3">
      <c r="F26218"/>
      <c r="G26218"/>
      <c r="H26218"/>
      <c r="I26218"/>
    </row>
    <row r="26219" spans="6:9" x14ac:dyDescent="0.3">
      <c r="F26219"/>
      <c r="G26219"/>
      <c r="H26219"/>
      <c r="I26219"/>
    </row>
    <row r="26220" spans="6:9" x14ac:dyDescent="0.3">
      <c r="F26220"/>
      <c r="G26220"/>
      <c r="H26220"/>
      <c r="I26220"/>
    </row>
    <row r="26221" spans="6:9" x14ac:dyDescent="0.3">
      <c r="F26221"/>
      <c r="G26221"/>
      <c r="H26221"/>
      <c r="I26221"/>
    </row>
    <row r="26222" spans="6:9" x14ac:dyDescent="0.3">
      <c r="F26222"/>
      <c r="G26222"/>
      <c r="H26222"/>
      <c r="I26222"/>
    </row>
    <row r="26223" spans="6:9" x14ac:dyDescent="0.3">
      <c r="F26223"/>
      <c r="G26223"/>
      <c r="H26223"/>
      <c r="I26223"/>
    </row>
    <row r="26224" spans="6:9" x14ac:dyDescent="0.3">
      <c r="F26224"/>
      <c r="G26224"/>
      <c r="H26224"/>
      <c r="I26224"/>
    </row>
    <row r="26225" spans="6:9" x14ac:dyDescent="0.3">
      <c r="F26225"/>
      <c r="G26225"/>
      <c r="H26225"/>
      <c r="I26225"/>
    </row>
    <row r="26226" spans="6:9" x14ac:dyDescent="0.3">
      <c r="F26226"/>
      <c r="G26226"/>
      <c r="H26226"/>
      <c r="I26226"/>
    </row>
    <row r="26227" spans="6:9" x14ac:dyDescent="0.3">
      <c r="F26227"/>
      <c r="G26227"/>
      <c r="H26227"/>
      <c r="I26227"/>
    </row>
    <row r="26228" spans="6:9" x14ac:dyDescent="0.3">
      <c r="F26228"/>
      <c r="G26228"/>
      <c r="H26228"/>
      <c r="I26228"/>
    </row>
    <row r="26229" spans="6:9" x14ac:dyDescent="0.3">
      <c r="F26229"/>
      <c r="G26229"/>
      <c r="H26229"/>
      <c r="I26229"/>
    </row>
    <row r="26230" spans="6:9" x14ac:dyDescent="0.3">
      <c r="F26230"/>
      <c r="G26230"/>
      <c r="H26230"/>
      <c r="I26230"/>
    </row>
    <row r="26231" spans="6:9" x14ac:dyDescent="0.3">
      <c r="F26231"/>
      <c r="G26231"/>
      <c r="H26231"/>
      <c r="I26231"/>
    </row>
    <row r="26232" spans="6:9" x14ac:dyDescent="0.3">
      <c r="F26232"/>
      <c r="G26232"/>
      <c r="H26232"/>
      <c r="I26232"/>
    </row>
    <row r="26233" spans="6:9" x14ac:dyDescent="0.3">
      <c r="F26233"/>
      <c r="G26233"/>
      <c r="H26233"/>
      <c r="I26233"/>
    </row>
    <row r="26234" spans="6:9" x14ac:dyDescent="0.3">
      <c r="F26234"/>
      <c r="G26234"/>
      <c r="H26234"/>
      <c r="I26234"/>
    </row>
    <row r="26235" spans="6:9" x14ac:dyDescent="0.3">
      <c r="F26235"/>
      <c r="G26235"/>
      <c r="H26235"/>
      <c r="I26235"/>
    </row>
    <row r="26236" spans="6:9" x14ac:dyDescent="0.3">
      <c r="F26236"/>
      <c r="G26236"/>
      <c r="H26236"/>
      <c r="I26236"/>
    </row>
    <row r="26237" spans="6:9" x14ac:dyDescent="0.3">
      <c r="F26237"/>
      <c r="G26237"/>
      <c r="H26237"/>
      <c r="I26237"/>
    </row>
    <row r="26238" spans="6:9" x14ac:dyDescent="0.3">
      <c r="F26238"/>
      <c r="G26238"/>
      <c r="H26238"/>
      <c r="I26238"/>
    </row>
    <row r="26239" spans="6:9" x14ac:dyDescent="0.3">
      <c r="F26239"/>
      <c r="G26239"/>
      <c r="H26239"/>
      <c r="I26239"/>
    </row>
    <row r="26240" spans="6:9" x14ac:dyDescent="0.3">
      <c r="F26240"/>
      <c r="G26240"/>
      <c r="H26240"/>
      <c r="I26240"/>
    </row>
    <row r="26241" spans="6:9" x14ac:dyDescent="0.3">
      <c r="F26241"/>
      <c r="G26241"/>
      <c r="H26241"/>
      <c r="I26241"/>
    </row>
    <row r="26242" spans="6:9" x14ac:dyDescent="0.3">
      <c r="F26242"/>
      <c r="G26242"/>
      <c r="H26242"/>
      <c r="I26242"/>
    </row>
    <row r="26243" spans="6:9" x14ac:dyDescent="0.3">
      <c r="F26243"/>
      <c r="G26243"/>
      <c r="H26243"/>
      <c r="I26243"/>
    </row>
    <row r="26244" spans="6:9" x14ac:dyDescent="0.3">
      <c r="F26244"/>
      <c r="G26244"/>
      <c r="H26244"/>
      <c r="I26244"/>
    </row>
    <row r="26245" spans="6:9" x14ac:dyDescent="0.3">
      <c r="F26245"/>
      <c r="G26245"/>
      <c r="H26245"/>
      <c r="I26245"/>
    </row>
    <row r="26246" spans="6:9" x14ac:dyDescent="0.3">
      <c r="F26246"/>
      <c r="G26246"/>
      <c r="H26246"/>
      <c r="I26246"/>
    </row>
    <row r="26247" spans="6:9" x14ac:dyDescent="0.3">
      <c r="F26247"/>
      <c r="G26247"/>
      <c r="H26247"/>
      <c r="I26247"/>
    </row>
    <row r="26248" spans="6:9" x14ac:dyDescent="0.3">
      <c r="F26248"/>
      <c r="G26248"/>
      <c r="H26248"/>
      <c r="I26248"/>
    </row>
    <row r="26249" spans="6:9" x14ac:dyDescent="0.3">
      <c r="F26249"/>
      <c r="G26249"/>
      <c r="H26249"/>
      <c r="I26249"/>
    </row>
    <row r="26250" spans="6:9" x14ac:dyDescent="0.3">
      <c r="F26250"/>
      <c r="G26250"/>
      <c r="H26250"/>
      <c r="I26250"/>
    </row>
    <row r="26251" spans="6:9" x14ac:dyDescent="0.3">
      <c r="F26251"/>
      <c r="G26251"/>
      <c r="H26251"/>
      <c r="I26251"/>
    </row>
    <row r="26252" spans="6:9" x14ac:dyDescent="0.3">
      <c r="F26252"/>
      <c r="G26252"/>
      <c r="H26252"/>
      <c r="I26252"/>
    </row>
    <row r="26253" spans="6:9" x14ac:dyDescent="0.3">
      <c r="F26253"/>
      <c r="G26253"/>
      <c r="H26253"/>
      <c r="I26253"/>
    </row>
    <row r="26254" spans="6:9" x14ac:dyDescent="0.3">
      <c r="F26254"/>
      <c r="G26254"/>
      <c r="H26254"/>
      <c r="I26254"/>
    </row>
    <row r="26255" spans="6:9" x14ac:dyDescent="0.3">
      <c r="F26255"/>
      <c r="G26255"/>
      <c r="H26255"/>
      <c r="I26255"/>
    </row>
    <row r="26256" spans="6:9" x14ac:dyDescent="0.3">
      <c r="F26256"/>
      <c r="G26256"/>
      <c r="H26256"/>
      <c r="I26256"/>
    </row>
    <row r="26257" spans="6:9" x14ac:dyDescent="0.3">
      <c r="F26257"/>
      <c r="G26257"/>
      <c r="H26257"/>
      <c r="I26257"/>
    </row>
    <row r="26258" spans="6:9" x14ac:dyDescent="0.3">
      <c r="F26258"/>
      <c r="G26258"/>
      <c r="H26258"/>
      <c r="I26258"/>
    </row>
    <row r="26259" spans="6:9" x14ac:dyDescent="0.3">
      <c r="F26259"/>
      <c r="G26259"/>
      <c r="H26259"/>
      <c r="I26259"/>
    </row>
    <row r="26260" spans="6:9" x14ac:dyDescent="0.3">
      <c r="F26260"/>
      <c r="G26260"/>
      <c r="H26260"/>
      <c r="I26260"/>
    </row>
    <row r="26261" spans="6:9" x14ac:dyDescent="0.3">
      <c r="F26261"/>
      <c r="G26261"/>
      <c r="H26261"/>
      <c r="I26261"/>
    </row>
    <row r="26262" spans="6:9" x14ac:dyDescent="0.3">
      <c r="F26262"/>
      <c r="G26262"/>
      <c r="H26262"/>
      <c r="I26262"/>
    </row>
    <row r="26263" spans="6:9" x14ac:dyDescent="0.3">
      <c r="F26263"/>
      <c r="G26263"/>
      <c r="H26263"/>
      <c r="I26263"/>
    </row>
    <row r="26264" spans="6:9" x14ac:dyDescent="0.3">
      <c r="F26264"/>
      <c r="G26264"/>
      <c r="H26264"/>
      <c r="I26264"/>
    </row>
    <row r="26265" spans="6:9" x14ac:dyDescent="0.3">
      <c r="F26265"/>
      <c r="G26265"/>
      <c r="H26265"/>
      <c r="I26265"/>
    </row>
    <row r="26266" spans="6:9" x14ac:dyDescent="0.3">
      <c r="F26266"/>
      <c r="G26266"/>
      <c r="H26266"/>
      <c r="I26266"/>
    </row>
    <row r="26267" spans="6:9" x14ac:dyDescent="0.3">
      <c r="F26267"/>
      <c r="G26267"/>
      <c r="H26267"/>
      <c r="I26267"/>
    </row>
    <row r="26268" spans="6:9" x14ac:dyDescent="0.3">
      <c r="F26268"/>
      <c r="G26268"/>
      <c r="H26268"/>
      <c r="I26268"/>
    </row>
    <row r="26269" spans="6:9" x14ac:dyDescent="0.3">
      <c r="F26269"/>
      <c r="G26269"/>
      <c r="H26269"/>
      <c r="I26269"/>
    </row>
    <row r="26270" spans="6:9" x14ac:dyDescent="0.3">
      <c r="F26270"/>
      <c r="G26270"/>
      <c r="H26270"/>
      <c r="I26270"/>
    </row>
    <row r="26271" spans="6:9" x14ac:dyDescent="0.3">
      <c r="F26271"/>
      <c r="G26271"/>
      <c r="H26271"/>
      <c r="I26271"/>
    </row>
    <row r="26272" spans="6:9" x14ac:dyDescent="0.3">
      <c r="F26272"/>
      <c r="G26272"/>
      <c r="H26272"/>
      <c r="I26272"/>
    </row>
    <row r="26273" spans="6:9" x14ac:dyDescent="0.3">
      <c r="F26273"/>
      <c r="G26273"/>
      <c r="H26273"/>
      <c r="I26273"/>
    </row>
    <row r="26274" spans="6:9" x14ac:dyDescent="0.3">
      <c r="F26274"/>
      <c r="G26274"/>
      <c r="H26274"/>
      <c r="I26274"/>
    </row>
    <row r="26275" spans="6:9" x14ac:dyDescent="0.3">
      <c r="F26275"/>
      <c r="G26275"/>
      <c r="H26275"/>
      <c r="I26275"/>
    </row>
    <row r="26276" spans="6:9" x14ac:dyDescent="0.3">
      <c r="F26276"/>
      <c r="G26276"/>
      <c r="H26276"/>
      <c r="I26276"/>
    </row>
    <row r="26277" spans="6:9" x14ac:dyDescent="0.3">
      <c r="F26277"/>
      <c r="G26277"/>
      <c r="H26277"/>
      <c r="I26277"/>
    </row>
    <row r="26278" spans="6:9" x14ac:dyDescent="0.3">
      <c r="F26278"/>
      <c r="G26278"/>
      <c r="H26278"/>
      <c r="I26278"/>
    </row>
    <row r="26279" spans="6:9" x14ac:dyDescent="0.3">
      <c r="F26279"/>
      <c r="G26279"/>
      <c r="H26279"/>
      <c r="I26279"/>
    </row>
    <row r="26280" spans="6:9" x14ac:dyDescent="0.3">
      <c r="F26280"/>
      <c r="G26280"/>
      <c r="H26280"/>
      <c r="I26280"/>
    </row>
    <row r="26281" spans="6:9" x14ac:dyDescent="0.3">
      <c r="F26281"/>
      <c r="G26281"/>
      <c r="H26281"/>
      <c r="I26281"/>
    </row>
    <row r="26282" spans="6:9" x14ac:dyDescent="0.3">
      <c r="F26282"/>
      <c r="G26282"/>
      <c r="H26282"/>
      <c r="I26282"/>
    </row>
    <row r="26283" spans="6:9" x14ac:dyDescent="0.3">
      <c r="F26283"/>
      <c r="G26283"/>
      <c r="H26283"/>
      <c r="I26283"/>
    </row>
    <row r="26284" spans="6:9" x14ac:dyDescent="0.3">
      <c r="F26284"/>
      <c r="G26284"/>
      <c r="H26284"/>
      <c r="I26284"/>
    </row>
    <row r="26285" spans="6:9" x14ac:dyDescent="0.3">
      <c r="F26285"/>
      <c r="G26285"/>
      <c r="H26285"/>
      <c r="I26285"/>
    </row>
    <row r="26286" spans="6:9" x14ac:dyDescent="0.3">
      <c r="F26286"/>
      <c r="G26286"/>
      <c r="H26286"/>
      <c r="I26286"/>
    </row>
    <row r="26287" spans="6:9" x14ac:dyDescent="0.3">
      <c r="F26287"/>
      <c r="G26287"/>
      <c r="H26287"/>
      <c r="I26287"/>
    </row>
    <row r="26288" spans="6:9" x14ac:dyDescent="0.3">
      <c r="F26288"/>
      <c r="G26288"/>
      <c r="H26288"/>
      <c r="I26288"/>
    </row>
    <row r="26289" spans="6:9" x14ac:dyDescent="0.3">
      <c r="F26289"/>
      <c r="G26289"/>
      <c r="H26289"/>
      <c r="I26289"/>
    </row>
    <row r="26290" spans="6:9" x14ac:dyDescent="0.3">
      <c r="F26290"/>
      <c r="G26290"/>
      <c r="H26290"/>
      <c r="I26290"/>
    </row>
    <row r="26291" spans="6:9" x14ac:dyDescent="0.3">
      <c r="F26291"/>
      <c r="G26291"/>
      <c r="H26291"/>
      <c r="I26291"/>
    </row>
    <row r="26292" spans="6:9" x14ac:dyDescent="0.3">
      <c r="F26292"/>
      <c r="G26292"/>
      <c r="H26292"/>
      <c r="I26292"/>
    </row>
    <row r="26293" spans="6:9" x14ac:dyDescent="0.3">
      <c r="F26293"/>
      <c r="G26293"/>
      <c r="H26293"/>
      <c r="I26293"/>
    </row>
    <row r="26294" spans="6:9" x14ac:dyDescent="0.3">
      <c r="F26294"/>
      <c r="G26294"/>
      <c r="H26294"/>
      <c r="I26294"/>
    </row>
    <row r="26295" spans="6:9" x14ac:dyDescent="0.3">
      <c r="F26295"/>
      <c r="G26295"/>
      <c r="H26295"/>
      <c r="I26295"/>
    </row>
    <row r="26296" spans="6:9" x14ac:dyDescent="0.3">
      <c r="F26296"/>
      <c r="G26296"/>
      <c r="H26296"/>
      <c r="I26296"/>
    </row>
    <row r="26297" spans="6:9" x14ac:dyDescent="0.3">
      <c r="F26297"/>
      <c r="G26297"/>
      <c r="H26297"/>
      <c r="I26297"/>
    </row>
    <row r="26298" spans="6:9" x14ac:dyDescent="0.3">
      <c r="F26298"/>
      <c r="G26298"/>
      <c r="H26298"/>
      <c r="I26298"/>
    </row>
    <row r="26299" spans="6:9" x14ac:dyDescent="0.3">
      <c r="F26299"/>
      <c r="G26299"/>
      <c r="H26299"/>
      <c r="I26299"/>
    </row>
    <row r="26300" spans="6:9" x14ac:dyDescent="0.3">
      <c r="F26300"/>
      <c r="G26300"/>
      <c r="H26300"/>
      <c r="I26300"/>
    </row>
    <row r="26301" spans="6:9" x14ac:dyDescent="0.3">
      <c r="F26301"/>
      <c r="G26301"/>
      <c r="H26301"/>
      <c r="I26301"/>
    </row>
    <row r="26302" spans="6:9" x14ac:dyDescent="0.3">
      <c r="F26302"/>
      <c r="G26302"/>
      <c r="H26302"/>
      <c r="I26302"/>
    </row>
    <row r="26303" spans="6:9" x14ac:dyDescent="0.3">
      <c r="F26303"/>
      <c r="G26303"/>
      <c r="H26303"/>
      <c r="I26303"/>
    </row>
    <row r="26304" spans="6:9" x14ac:dyDescent="0.3">
      <c r="F26304"/>
      <c r="G26304"/>
      <c r="H26304"/>
      <c r="I26304"/>
    </row>
    <row r="26305" spans="6:9" x14ac:dyDescent="0.3">
      <c r="F26305"/>
      <c r="G26305"/>
      <c r="H26305"/>
      <c r="I26305"/>
    </row>
    <row r="26306" spans="6:9" x14ac:dyDescent="0.3">
      <c r="F26306"/>
      <c r="G26306"/>
      <c r="H26306"/>
      <c r="I26306"/>
    </row>
    <row r="26307" spans="6:9" x14ac:dyDescent="0.3">
      <c r="F26307"/>
      <c r="G26307"/>
      <c r="H26307"/>
      <c r="I26307"/>
    </row>
    <row r="26308" spans="6:9" x14ac:dyDescent="0.3">
      <c r="F26308"/>
      <c r="G26308"/>
      <c r="H26308"/>
      <c r="I26308"/>
    </row>
    <row r="26309" spans="6:9" x14ac:dyDescent="0.3">
      <c r="F26309"/>
      <c r="G26309"/>
      <c r="H26309"/>
      <c r="I26309"/>
    </row>
    <row r="26310" spans="6:9" x14ac:dyDescent="0.3">
      <c r="F26310"/>
      <c r="G26310"/>
      <c r="H26310"/>
      <c r="I26310"/>
    </row>
    <row r="26311" spans="6:9" x14ac:dyDescent="0.3">
      <c r="F26311"/>
      <c r="G26311"/>
      <c r="H26311"/>
      <c r="I26311"/>
    </row>
    <row r="26312" spans="6:9" x14ac:dyDescent="0.3">
      <c r="F26312"/>
      <c r="G26312"/>
      <c r="H26312"/>
      <c r="I26312"/>
    </row>
    <row r="26313" spans="6:9" x14ac:dyDescent="0.3">
      <c r="F26313"/>
      <c r="G26313"/>
      <c r="H26313"/>
      <c r="I26313"/>
    </row>
    <row r="26314" spans="6:9" x14ac:dyDescent="0.3">
      <c r="F26314"/>
      <c r="G26314"/>
      <c r="H26314"/>
      <c r="I26314"/>
    </row>
    <row r="26315" spans="6:9" x14ac:dyDescent="0.3">
      <c r="F26315"/>
      <c r="G26315"/>
      <c r="H26315"/>
      <c r="I26315"/>
    </row>
    <row r="26316" spans="6:9" x14ac:dyDescent="0.3">
      <c r="F26316"/>
      <c r="G26316"/>
      <c r="H26316"/>
      <c r="I26316"/>
    </row>
    <row r="26317" spans="6:9" x14ac:dyDescent="0.3">
      <c r="F26317"/>
      <c r="G26317"/>
      <c r="H26317"/>
      <c r="I26317"/>
    </row>
    <row r="26318" spans="6:9" x14ac:dyDescent="0.3">
      <c r="F26318"/>
      <c r="G26318"/>
      <c r="H26318"/>
      <c r="I26318"/>
    </row>
    <row r="26319" spans="6:9" x14ac:dyDescent="0.3">
      <c r="F26319"/>
      <c r="G26319"/>
      <c r="H26319"/>
      <c r="I26319"/>
    </row>
    <row r="26320" spans="6:9" x14ac:dyDescent="0.3">
      <c r="F26320"/>
      <c r="G26320"/>
      <c r="H26320"/>
      <c r="I26320"/>
    </row>
    <row r="26321" spans="6:9" x14ac:dyDescent="0.3">
      <c r="F26321"/>
      <c r="G26321"/>
      <c r="H26321"/>
      <c r="I26321"/>
    </row>
    <row r="26322" spans="6:9" x14ac:dyDescent="0.3">
      <c r="F26322"/>
      <c r="G26322"/>
      <c r="H26322"/>
      <c r="I26322"/>
    </row>
    <row r="26323" spans="6:9" x14ac:dyDescent="0.3">
      <c r="F26323"/>
      <c r="G26323"/>
      <c r="H26323"/>
      <c r="I26323"/>
    </row>
    <row r="26324" spans="6:9" x14ac:dyDescent="0.3">
      <c r="F26324"/>
      <c r="G26324"/>
      <c r="H26324"/>
      <c r="I26324"/>
    </row>
    <row r="26325" spans="6:9" x14ac:dyDescent="0.3">
      <c r="F26325"/>
      <c r="G26325"/>
      <c r="H26325"/>
      <c r="I26325"/>
    </row>
    <row r="26326" spans="6:9" x14ac:dyDescent="0.3">
      <c r="F26326"/>
      <c r="G26326"/>
      <c r="H26326"/>
      <c r="I26326"/>
    </row>
    <row r="26327" spans="6:9" x14ac:dyDescent="0.3">
      <c r="F26327"/>
      <c r="G26327"/>
      <c r="H26327"/>
      <c r="I26327"/>
    </row>
    <row r="26328" spans="6:9" x14ac:dyDescent="0.3">
      <c r="F26328"/>
      <c r="G26328"/>
      <c r="H26328"/>
      <c r="I26328"/>
    </row>
    <row r="26329" spans="6:9" x14ac:dyDescent="0.3">
      <c r="F26329"/>
      <c r="G26329"/>
      <c r="H26329"/>
      <c r="I26329"/>
    </row>
    <row r="26330" spans="6:9" x14ac:dyDescent="0.3">
      <c r="F26330"/>
      <c r="G26330"/>
      <c r="H26330"/>
      <c r="I26330"/>
    </row>
    <row r="26331" spans="6:9" x14ac:dyDescent="0.3">
      <c r="F26331"/>
      <c r="G26331"/>
      <c r="H26331"/>
      <c r="I26331"/>
    </row>
    <row r="26332" spans="6:9" x14ac:dyDescent="0.3">
      <c r="F26332"/>
      <c r="G26332"/>
      <c r="H26332"/>
      <c r="I26332"/>
    </row>
    <row r="26333" spans="6:9" x14ac:dyDescent="0.3">
      <c r="F26333"/>
      <c r="G26333"/>
      <c r="H26333"/>
      <c r="I26333"/>
    </row>
    <row r="26334" spans="6:9" x14ac:dyDescent="0.3">
      <c r="F26334"/>
      <c r="G26334"/>
      <c r="H26334"/>
      <c r="I26334"/>
    </row>
    <row r="26335" spans="6:9" x14ac:dyDescent="0.3">
      <c r="F26335"/>
      <c r="G26335"/>
      <c r="H26335"/>
      <c r="I26335"/>
    </row>
    <row r="26336" spans="6:9" x14ac:dyDescent="0.3">
      <c r="F26336"/>
      <c r="G26336"/>
      <c r="H26336"/>
      <c r="I26336"/>
    </row>
    <row r="26337" spans="6:9" x14ac:dyDescent="0.3">
      <c r="F26337"/>
      <c r="G26337"/>
      <c r="H26337"/>
      <c r="I26337"/>
    </row>
    <row r="26338" spans="6:9" x14ac:dyDescent="0.3">
      <c r="F26338"/>
      <c r="G26338"/>
      <c r="H26338"/>
      <c r="I26338"/>
    </row>
    <row r="26339" spans="6:9" x14ac:dyDescent="0.3">
      <c r="F26339"/>
      <c r="G26339"/>
      <c r="H26339"/>
      <c r="I26339"/>
    </row>
    <row r="26340" spans="6:9" x14ac:dyDescent="0.3">
      <c r="F26340"/>
      <c r="G26340"/>
      <c r="H26340"/>
      <c r="I26340"/>
    </row>
    <row r="26341" spans="6:9" x14ac:dyDescent="0.3">
      <c r="F26341"/>
      <c r="G26341"/>
      <c r="H26341"/>
      <c r="I26341"/>
    </row>
    <row r="26342" spans="6:9" x14ac:dyDescent="0.3">
      <c r="F26342"/>
      <c r="G26342"/>
      <c r="H26342"/>
      <c r="I26342"/>
    </row>
    <row r="26343" spans="6:9" x14ac:dyDescent="0.3">
      <c r="F26343"/>
      <c r="G26343"/>
      <c r="H26343"/>
      <c r="I26343"/>
    </row>
    <row r="26344" spans="6:9" x14ac:dyDescent="0.3">
      <c r="F26344"/>
      <c r="G26344"/>
      <c r="H26344"/>
      <c r="I26344"/>
    </row>
    <row r="26345" spans="6:9" x14ac:dyDescent="0.3">
      <c r="F26345"/>
      <c r="G26345"/>
      <c r="H26345"/>
      <c r="I26345"/>
    </row>
    <row r="26346" spans="6:9" x14ac:dyDescent="0.3">
      <c r="F26346"/>
      <c r="G26346"/>
      <c r="H26346"/>
      <c r="I26346"/>
    </row>
    <row r="26347" spans="6:9" x14ac:dyDescent="0.3">
      <c r="F26347"/>
      <c r="G26347"/>
      <c r="H26347"/>
      <c r="I26347"/>
    </row>
    <row r="26348" spans="6:9" x14ac:dyDescent="0.3">
      <c r="F26348"/>
      <c r="G26348"/>
      <c r="H26348"/>
      <c r="I26348"/>
    </row>
    <row r="26349" spans="6:9" x14ac:dyDescent="0.3">
      <c r="F26349"/>
      <c r="G26349"/>
      <c r="H26349"/>
      <c r="I26349"/>
    </row>
    <row r="26350" spans="6:9" x14ac:dyDescent="0.3">
      <c r="F26350"/>
      <c r="G26350"/>
      <c r="H26350"/>
      <c r="I26350"/>
    </row>
    <row r="26351" spans="6:9" x14ac:dyDescent="0.3">
      <c r="F26351"/>
      <c r="G26351"/>
      <c r="H26351"/>
      <c r="I26351"/>
    </row>
    <row r="26352" spans="6:9" x14ac:dyDescent="0.3">
      <c r="F26352"/>
      <c r="G26352"/>
      <c r="H26352"/>
      <c r="I26352"/>
    </row>
    <row r="26353" spans="6:9" x14ac:dyDescent="0.3">
      <c r="F26353"/>
      <c r="G26353"/>
      <c r="H26353"/>
      <c r="I26353"/>
    </row>
    <row r="26354" spans="6:9" x14ac:dyDescent="0.3">
      <c r="F26354"/>
      <c r="G26354"/>
      <c r="H26354"/>
      <c r="I26354"/>
    </row>
    <row r="26355" spans="6:9" x14ac:dyDescent="0.3">
      <c r="F26355"/>
      <c r="G26355"/>
      <c r="H26355"/>
      <c r="I26355"/>
    </row>
    <row r="26356" spans="6:9" x14ac:dyDescent="0.3">
      <c r="F26356"/>
      <c r="G26356"/>
      <c r="H26356"/>
      <c r="I26356"/>
    </row>
    <row r="26357" spans="6:9" x14ac:dyDescent="0.3">
      <c r="F26357"/>
      <c r="G26357"/>
      <c r="H26357"/>
      <c r="I26357"/>
    </row>
    <row r="26358" spans="6:9" x14ac:dyDescent="0.3">
      <c r="F26358"/>
      <c r="G26358"/>
      <c r="H26358"/>
      <c r="I26358"/>
    </row>
    <row r="26359" spans="6:9" x14ac:dyDescent="0.3">
      <c r="F26359"/>
      <c r="G26359"/>
      <c r="H26359"/>
      <c r="I26359"/>
    </row>
    <row r="26360" spans="6:9" x14ac:dyDescent="0.3">
      <c r="F26360"/>
      <c r="G26360"/>
      <c r="H26360"/>
      <c r="I26360"/>
    </row>
    <row r="26361" spans="6:9" x14ac:dyDescent="0.3">
      <c r="F26361"/>
      <c r="G26361"/>
      <c r="H26361"/>
      <c r="I26361"/>
    </row>
    <row r="26362" spans="6:9" x14ac:dyDescent="0.3">
      <c r="F26362"/>
      <c r="G26362"/>
      <c r="H26362"/>
      <c r="I26362"/>
    </row>
    <row r="26363" spans="6:9" x14ac:dyDescent="0.3">
      <c r="F26363"/>
      <c r="G26363"/>
      <c r="H26363"/>
      <c r="I26363"/>
    </row>
    <row r="26364" spans="6:9" x14ac:dyDescent="0.3">
      <c r="F26364"/>
      <c r="G26364"/>
      <c r="H26364"/>
      <c r="I26364"/>
    </row>
    <row r="26365" spans="6:9" x14ac:dyDescent="0.3">
      <c r="F26365"/>
      <c r="G26365"/>
      <c r="H26365"/>
      <c r="I26365"/>
    </row>
    <row r="26366" spans="6:9" x14ac:dyDescent="0.3">
      <c r="F26366"/>
      <c r="G26366"/>
      <c r="H26366"/>
      <c r="I26366"/>
    </row>
    <row r="26367" spans="6:9" x14ac:dyDescent="0.3">
      <c r="F26367"/>
      <c r="G26367"/>
      <c r="H26367"/>
      <c r="I26367"/>
    </row>
    <row r="26368" spans="6:9" x14ac:dyDescent="0.3">
      <c r="F26368"/>
      <c r="G26368"/>
      <c r="H26368"/>
      <c r="I26368"/>
    </row>
    <row r="26369" spans="6:9" x14ac:dyDescent="0.3">
      <c r="F26369"/>
      <c r="G26369"/>
      <c r="H26369"/>
      <c r="I26369"/>
    </row>
    <row r="26370" spans="6:9" x14ac:dyDescent="0.3">
      <c r="F26370"/>
      <c r="G26370"/>
      <c r="H26370"/>
      <c r="I26370"/>
    </row>
    <row r="26371" spans="6:9" x14ac:dyDescent="0.3">
      <c r="F26371"/>
      <c r="G26371"/>
      <c r="H26371"/>
      <c r="I26371"/>
    </row>
    <row r="26372" spans="6:9" x14ac:dyDescent="0.3">
      <c r="F26372"/>
      <c r="G26372"/>
      <c r="H26372"/>
      <c r="I26372"/>
    </row>
    <row r="26373" spans="6:9" x14ac:dyDescent="0.3">
      <c r="F26373"/>
      <c r="G26373"/>
      <c r="H26373"/>
      <c r="I26373"/>
    </row>
    <row r="26374" spans="6:9" x14ac:dyDescent="0.3">
      <c r="F26374"/>
      <c r="G26374"/>
      <c r="H26374"/>
      <c r="I26374"/>
    </row>
    <row r="26375" spans="6:9" x14ac:dyDescent="0.3">
      <c r="F26375"/>
      <c r="G26375"/>
      <c r="H26375"/>
      <c r="I26375"/>
    </row>
    <row r="26376" spans="6:9" x14ac:dyDescent="0.3">
      <c r="F26376"/>
      <c r="G26376"/>
      <c r="H26376"/>
      <c r="I26376"/>
    </row>
    <row r="26377" spans="6:9" x14ac:dyDescent="0.3">
      <c r="F26377"/>
      <c r="G26377"/>
      <c r="H26377"/>
      <c r="I26377"/>
    </row>
    <row r="26378" spans="6:9" x14ac:dyDescent="0.3">
      <c r="F26378"/>
      <c r="G26378"/>
      <c r="H26378"/>
      <c r="I26378"/>
    </row>
    <row r="26379" spans="6:9" x14ac:dyDescent="0.3">
      <c r="F26379"/>
      <c r="G26379"/>
      <c r="H26379"/>
      <c r="I26379"/>
    </row>
    <row r="26380" spans="6:9" x14ac:dyDescent="0.3">
      <c r="F26380"/>
      <c r="G26380"/>
      <c r="H26380"/>
      <c r="I26380"/>
    </row>
    <row r="26381" spans="6:9" x14ac:dyDescent="0.3">
      <c r="F26381"/>
      <c r="G26381"/>
      <c r="H26381"/>
      <c r="I26381"/>
    </row>
    <row r="26382" spans="6:9" x14ac:dyDescent="0.3">
      <c r="F26382"/>
      <c r="G26382"/>
      <c r="H26382"/>
      <c r="I26382"/>
    </row>
    <row r="26383" spans="6:9" x14ac:dyDescent="0.3">
      <c r="F26383"/>
      <c r="G26383"/>
      <c r="H26383"/>
      <c r="I26383"/>
    </row>
    <row r="26384" spans="6:9" x14ac:dyDescent="0.3">
      <c r="F26384"/>
      <c r="G26384"/>
      <c r="H26384"/>
      <c r="I26384"/>
    </row>
    <row r="26385" spans="6:9" x14ac:dyDescent="0.3">
      <c r="F26385"/>
      <c r="G26385"/>
      <c r="H26385"/>
      <c r="I26385"/>
    </row>
    <row r="26386" spans="6:9" x14ac:dyDescent="0.3">
      <c r="F26386"/>
      <c r="G26386"/>
      <c r="H26386"/>
      <c r="I26386"/>
    </row>
    <row r="26387" spans="6:9" x14ac:dyDescent="0.3">
      <c r="F26387"/>
      <c r="G26387"/>
      <c r="H26387"/>
      <c r="I26387"/>
    </row>
    <row r="26388" spans="6:9" x14ac:dyDescent="0.3">
      <c r="F26388"/>
      <c r="G26388"/>
      <c r="H26388"/>
      <c r="I26388"/>
    </row>
    <row r="26389" spans="6:9" x14ac:dyDescent="0.3">
      <c r="F26389"/>
      <c r="G26389"/>
      <c r="H26389"/>
      <c r="I26389"/>
    </row>
    <row r="26390" spans="6:9" x14ac:dyDescent="0.3">
      <c r="F26390"/>
      <c r="G26390"/>
      <c r="H26390"/>
      <c r="I26390"/>
    </row>
    <row r="26391" spans="6:9" x14ac:dyDescent="0.3">
      <c r="F26391"/>
      <c r="G26391"/>
      <c r="H26391"/>
      <c r="I26391"/>
    </row>
    <row r="26392" spans="6:9" x14ac:dyDescent="0.3">
      <c r="F26392"/>
      <c r="G26392"/>
      <c r="H26392"/>
      <c r="I26392"/>
    </row>
    <row r="26393" spans="6:9" x14ac:dyDescent="0.3">
      <c r="F26393"/>
      <c r="G26393"/>
      <c r="H26393"/>
      <c r="I26393"/>
    </row>
    <row r="26394" spans="6:9" x14ac:dyDescent="0.3">
      <c r="F26394"/>
      <c r="G26394"/>
      <c r="H26394"/>
      <c r="I26394"/>
    </row>
    <row r="26395" spans="6:9" x14ac:dyDescent="0.3">
      <c r="F26395"/>
      <c r="G26395"/>
      <c r="H26395"/>
      <c r="I26395"/>
    </row>
    <row r="26396" spans="6:9" x14ac:dyDescent="0.3">
      <c r="F26396"/>
      <c r="G26396"/>
      <c r="H26396"/>
      <c r="I26396"/>
    </row>
    <row r="26397" spans="6:9" x14ac:dyDescent="0.3">
      <c r="F26397"/>
      <c r="G26397"/>
      <c r="H26397"/>
      <c r="I26397"/>
    </row>
    <row r="26398" spans="6:9" x14ac:dyDescent="0.3">
      <c r="F26398"/>
      <c r="G26398"/>
      <c r="H26398"/>
      <c r="I26398"/>
    </row>
    <row r="26399" spans="6:9" x14ac:dyDescent="0.3">
      <c r="F26399"/>
      <c r="G26399"/>
      <c r="H26399"/>
      <c r="I26399"/>
    </row>
    <row r="26400" spans="6:9" x14ac:dyDescent="0.3">
      <c r="F26400"/>
      <c r="G26400"/>
      <c r="H26400"/>
      <c r="I26400"/>
    </row>
    <row r="26401" spans="6:9" x14ac:dyDescent="0.3">
      <c r="F26401"/>
      <c r="G26401"/>
      <c r="H26401"/>
      <c r="I26401"/>
    </row>
    <row r="26402" spans="6:9" x14ac:dyDescent="0.3">
      <c r="F26402"/>
      <c r="G26402"/>
      <c r="H26402"/>
      <c r="I26402"/>
    </row>
    <row r="26403" spans="6:9" x14ac:dyDescent="0.3">
      <c r="F26403"/>
      <c r="G26403"/>
      <c r="H26403"/>
      <c r="I26403"/>
    </row>
    <row r="26404" spans="6:9" x14ac:dyDescent="0.3">
      <c r="F26404"/>
      <c r="G26404"/>
      <c r="H26404"/>
      <c r="I26404"/>
    </row>
    <row r="26405" spans="6:9" x14ac:dyDescent="0.3">
      <c r="F26405"/>
      <c r="G26405"/>
      <c r="H26405"/>
      <c r="I26405"/>
    </row>
    <row r="26406" spans="6:9" x14ac:dyDescent="0.3">
      <c r="F26406"/>
      <c r="G26406"/>
      <c r="H26406"/>
      <c r="I26406"/>
    </row>
    <row r="26407" spans="6:9" x14ac:dyDescent="0.3">
      <c r="F26407"/>
      <c r="G26407"/>
      <c r="H26407"/>
      <c r="I26407"/>
    </row>
    <row r="26408" spans="6:9" x14ac:dyDescent="0.3">
      <c r="F26408"/>
      <c r="G26408"/>
      <c r="H26408"/>
      <c r="I26408"/>
    </row>
    <row r="26409" spans="6:9" x14ac:dyDescent="0.3">
      <c r="F26409"/>
      <c r="G26409"/>
      <c r="H26409"/>
      <c r="I26409"/>
    </row>
    <row r="26410" spans="6:9" x14ac:dyDescent="0.3">
      <c r="F26410"/>
      <c r="G26410"/>
      <c r="H26410"/>
      <c r="I26410"/>
    </row>
    <row r="26411" spans="6:9" x14ac:dyDescent="0.3">
      <c r="F26411"/>
      <c r="G26411"/>
      <c r="H26411"/>
      <c r="I26411"/>
    </row>
    <row r="26412" spans="6:9" x14ac:dyDescent="0.3">
      <c r="F26412"/>
      <c r="G26412"/>
      <c r="H26412"/>
      <c r="I26412"/>
    </row>
    <row r="26413" spans="6:9" x14ac:dyDescent="0.3">
      <c r="F26413"/>
      <c r="G26413"/>
      <c r="H26413"/>
      <c r="I26413"/>
    </row>
    <row r="26414" spans="6:9" x14ac:dyDescent="0.3">
      <c r="F26414"/>
      <c r="G26414"/>
      <c r="H26414"/>
      <c r="I26414"/>
    </row>
    <row r="26415" spans="6:9" x14ac:dyDescent="0.3">
      <c r="F26415"/>
      <c r="G26415"/>
      <c r="H26415"/>
      <c r="I26415"/>
    </row>
    <row r="26416" spans="6:9" x14ac:dyDescent="0.3">
      <c r="F26416"/>
      <c r="G26416"/>
      <c r="H26416"/>
      <c r="I26416"/>
    </row>
    <row r="26417" spans="6:9" x14ac:dyDescent="0.3">
      <c r="F26417"/>
      <c r="G26417"/>
      <c r="H26417"/>
      <c r="I26417"/>
    </row>
    <row r="26418" spans="6:9" x14ac:dyDescent="0.3">
      <c r="F26418"/>
      <c r="G26418"/>
      <c r="H26418"/>
      <c r="I26418"/>
    </row>
    <row r="26419" spans="6:9" x14ac:dyDescent="0.3">
      <c r="F26419"/>
      <c r="G26419"/>
      <c r="H26419"/>
      <c r="I26419"/>
    </row>
    <row r="26420" spans="6:9" x14ac:dyDescent="0.3">
      <c r="F26420"/>
      <c r="G26420"/>
      <c r="H26420"/>
      <c r="I26420"/>
    </row>
    <row r="26421" spans="6:9" x14ac:dyDescent="0.3">
      <c r="F26421"/>
      <c r="G26421"/>
      <c r="H26421"/>
      <c r="I26421"/>
    </row>
    <row r="26422" spans="6:9" x14ac:dyDescent="0.3">
      <c r="F26422"/>
      <c r="G26422"/>
      <c r="H26422"/>
      <c r="I26422"/>
    </row>
    <row r="26423" spans="6:9" x14ac:dyDescent="0.3">
      <c r="F26423"/>
      <c r="G26423"/>
      <c r="H26423"/>
      <c r="I26423"/>
    </row>
    <row r="26424" spans="6:9" x14ac:dyDescent="0.3">
      <c r="F26424"/>
      <c r="G26424"/>
      <c r="H26424"/>
      <c r="I26424"/>
    </row>
    <row r="26425" spans="6:9" x14ac:dyDescent="0.3">
      <c r="F26425"/>
      <c r="G26425"/>
      <c r="H26425"/>
      <c r="I26425"/>
    </row>
    <row r="26426" spans="6:9" x14ac:dyDescent="0.3">
      <c r="F26426"/>
      <c r="G26426"/>
      <c r="H26426"/>
      <c r="I26426"/>
    </row>
    <row r="26427" spans="6:9" x14ac:dyDescent="0.3">
      <c r="F26427"/>
      <c r="G26427"/>
      <c r="H26427"/>
      <c r="I26427"/>
    </row>
    <row r="26428" spans="6:9" x14ac:dyDescent="0.3">
      <c r="F26428"/>
      <c r="G26428"/>
      <c r="H26428"/>
      <c r="I26428"/>
    </row>
    <row r="26429" spans="6:9" x14ac:dyDescent="0.3">
      <c r="F26429"/>
      <c r="G26429"/>
      <c r="H26429"/>
      <c r="I26429"/>
    </row>
    <row r="26430" spans="6:9" x14ac:dyDescent="0.3">
      <c r="F26430"/>
      <c r="G26430"/>
      <c r="H26430"/>
      <c r="I26430"/>
    </row>
    <row r="26431" spans="6:9" x14ac:dyDescent="0.3">
      <c r="F26431"/>
      <c r="G26431"/>
      <c r="H26431"/>
      <c r="I26431"/>
    </row>
    <row r="26432" spans="6:9" x14ac:dyDescent="0.3">
      <c r="F26432"/>
      <c r="G26432"/>
      <c r="H26432"/>
      <c r="I26432"/>
    </row>
    <row r="26433" spans="6:9" x14ac:dyDescent="0.3">
      <c r="F26433"/>
      <c r="G26433"/>
      <c r="H26433"/>
      <c r="I26433"/>
    </row>
    <row r="26434" spans="6:9" x14ac:dyDescent="0.3">
      <c r="F26434"/>
      <c r="G26434"/>
      <c r="H26434"/>
      <c r="I26434"/>
    </row>
    <row r="26435" spans="6:9" x14ac:dyDescent="0.3">
      <c r="F26435"/>
      <c r="G26435"/>
      <c r="H26435"/>
      <c r="I26435"/>
    </row>
    <row r="26436" spans="6:9" x14ac:dyDescent="0.3">
      <c r="F26436"/>
      <c r="G26436"/>
      <c r="H26436"/>
      <c r="I26436"/>
    </row>
    <row r="26437" spans="6:9" x14ac:dyDescent="0.3">
      <c r="F26437"/>
      <c r="G26437"/>
      <c r="H26437"/>
      <c r="I26437"/>
    </row>
    <row r="26438" spans="6:9" x14ac:dyDescent="0.3">
      <c r="F26438"/>
      <c r="G26438"/>
      <c r="H26438"/>
      <c r="I26438"/>
    </row>
    <row r="26439" spans="6:9" x14ac:dyDescent="0.3">
      <c r="F26439"/>
      <c r="G26439"/>
      <c r="H26439"/>
      <c r="I26439"/>
    </row>
    <row r="26440" spans="6:9" x14ac:dyDescent="0.3">
      <c r="F26440"/>
      <c r="G26440"/>
      <c r="H26440"/>
      <c r="I26440"/>
    </row>
    <row r="26441" spans="6:9" x14ac:dyDescent="0.3">
      <c r="F26441"/>
      <c r="G26441"/>
      <c r="H26441"/>
      <c r="I26441"/>
    </row>
    <row r="26442" spans="6:9" x14ac:dyDescent="0.3">
      <c r="F26442"/>
      <c r="G26442"/>
      <c r="H26442"/>
      <c r="I26442"/>
    </row>
    <row r="26443" spans="6:9" x14ac:dyDescent="0.3">
      <c r="F26443"/>
      <c r="G26443"/>
      <c r="H26443"/>
      <c r="I26443"/>
    </row>
    <row r="26444" spans="6:9" x14ac:dyDescent="0.3">
      <c r="F26444"/>
      <c r="G26444"/>
      <c r="H26444"/>
      <c r="I26444"/>
    </row>
    <row r="26445" spans="6:9" x14ac:dyDescent="0.3">
      <c r="F26445"/>
      <c r="G26445"/>
      <c r="H26445"/>
      <c r="I26445"/>
    </row>
    <row r="26446" spans="6:9" x14ac:dyDescent="0.3">
      <c r="F26446"/>
      <c r="G26446"/>
      <c r="H26446"/>
      <c r="I26446"/>
    </row>
    <row r="26447" spans="6:9" x14ac:dyDescent="0.3">
      <c r="F26447"/>
      <c r="G26447"/>
      <c r="H26447"/>
      <c r="I26447"/>
    </row>
    <row r="26448" spans="6:9" x14ac:dyDescent="0.3">
      <c r="F26448"/>
      <c r="G26448"/>
      <c r="H26448"/>
      <c r="I26448"/>
    </row>
    <row r="26449" spans="6:9" x14ac:dyDescent="0.3">
      <c r="F26449"/>
      <c r="G26449"/>
      <c r="H26449"/>
      <c r="I26449"/>
    </row>
    <row r="26450" spans="6:9" x14ac:dyDescent="0.3">
      <c r="F26450"/>
      <c r="G26450"/>
      <c r="H26450"/>
      <c r="I26450"/>
    </row>
    <row r="26451" spans="6:9" x14ac:dyDescent="0.3">
      <c r="F26451"/>
      <c r="G26451"/>
      <c r="H26451"/>
      <c r="I26451"/>
    </row>
    <row r="26452" spans="6:9" x14ac:dyDescent="0.3">
      <c r="F26452"/>
      <c r="G26452"/>
      <c r="H26452"/>
      <c r="I26452"/>
    </row>
    <row r="26453" spans="6:9" x14ac:dyDescent="0.3">
      <c r="F26453"/>
      <c r="G26453"/>
      <c r="H26453"/>
      <c r="I26453"/>
    </row>
    <row r="26454" spans="6:9" x14ac:dyDescent="0.3">
      <c r="F26454"/>
      <c r="G26454"/>
      <c r="H26454"/>
      <c r="I26454"/>
    </row>
    <row r="26455" spans="6:9" x14ac:dyDescent="0.3">
      <c r="F26455"/>
      <c r="G26455"/>
      <c r="H26455"/>
      <c r="I26455"/>
    </row>
    <row r="26456" spans="6:9" x14ac:dyDescent="0.3">
      <c r="F26456"/>
      <c r="G26456"/>
      <c r="H26456"/>
      <c r="I26456"/>
    </row>
    <row r="26457" spans="6:9" x14ac:dyDescent="0.3">
      <c r="F26457"/>
      <c r="G26457"/>
      <c r="H26457"/>
      <c r="I26457"/>
    </row>
    <row r="26458" spans="6:9" x14ac:dyDescent="0.3">
      <c r="F26458"/>
      <c r="G26458"/>
      <c r="H26458"/>
      <c r="I26458"/>
    </row>
    <row r="26459" spans="6:9" x14ac:dyDescent="0.3">
      <c r="F26459"/>
      <c r="G26459"/>
      <c r="H26459"/>
      <c r="I26459"/>
    </row>
    <row r="26460" spans="6:9" x14ac:dyDescent="0.3">
      <c r="F26460"/>
      <c r="G26460"/>
      <c r="H26460"/>
      <c r="I26460"/>
    </row>
    <row r="26461" spans="6:9" x14ac:dyDescent="0.3">
      <c r="F26461"/>
      <c r="G26461"/>
      <c r="H26461"/>
      <c r="I26461"/>
    </row>
    <row r="26462" spans="6:9" x14ac:dyDescent="0.3">
      <c r="F26462"/>
      <c r="G26462"/>
      <c r="H26462"/>
      <c r="I26462"/>
    </row>
    <row r="26463" spans="6:9" x14ac:dyDescent="0.3">
      <c r="F26463"/>
      <c r="G26463"/>
      <c r="H26463"/>
      <c r="I26463"/>
    </row>
    <row r="26464" spans="6:9" x14ac:dyDescent="0.3">
      <c r="F26464"/>
      <c r="G26464"/>
      <c r="H26464"/>
      <c r="I26464"/>
    </row>
    <row r="26465" spans="6:9" x14ac:dyDescent="0.3">
      <c r="F26465"/>
      <c r="G26465"/>
      <c r="H26465"/>
      <c r="I26465"/>
    </row>
    <row r="26466" spans="6:9" x14ac:dyDescent="0.3">
      <c r="F26466"/>
      <c r="G26466"/>
      <c r="H26466"/>
      <c r="I26466"/>
    </row>
    <row r="26467" spans="6:9" x14ac:dyDescent="0.3">
      <c r="F26467"/>
      <c r="G26467"/>
      <c r="H26467"/>
      <c r="I26467"/>
    </row>
    <row r="26468" spans="6:9" x14ac:dyDescent="0.3">
      <c r="F26468"/>
      <c r="G26468"/>
      <c r="H26468"/>
      <c r="I26468"/>
    </row>
    <row r="26469" spans="6:9" x14ac:dyDescent="0.3">
      <c r="F26469"/>
      <c r="G26469"/>
      <c r="H26469"/>
      <c r="I26469"/>
    </row>
    <row r="26470" spans="6:9" x14ac:dyDescent="0.3">
      <c r="F26470"/>
      <c r="G26470"/>
      <c r="H26470"/>
      <c r="I26470"/>
    </row>
    <row r="26471" spans="6:9" x14ac:dyDescent="0.3">
      <c r="F26471"/>
      <c r="G26471"/>
      <c r="H26471"/>
      <c r="I26471"/>
    </row>
    <row r="26472" spans="6:9" x14ac:dyDescent="0.3">
      <c r="F26472"/>
      <c r="G26472"/>
      <c r="H26472"/>
      <c r="I26472"/>
    </row>
    <row r="26473" spans="6:9" x14ac:dyDescent="0.3">
      <c r="F26473"/>
      <c r="G26473"/>
      <c r="H26473"/>
      <c r="I26473"/>
    </row>
    <row r="26474" spans="6:9" x14ac:dyDescent="0.3">
      <c r="F26474"/>
      <c r="G26474"/>
      <c r="H26474"/>
      <c r="I26474"/>
    </row>
    <row r="26475" spans="6:9" x14ac:dyDescent="0.3">
      <c r="F26475"/>
      <c r="G26475"/>
      <c r="H26475"/>
      <c r="I26475"/>
    </row>
    <row r="26476" spans="6:9" x14ac:dyDescent="0.3">
      <c r="F26476"/>
      <c r="G26476"/>
      <c r="H26476"/>
      <c r="I26476"/>
    </row>
    <row r="26477" spans="6:9" x14ac:dyDescent="0.3">
      <c r="F26477"/>
      <c r="G26477"/>
      <c r="H26477"/>
      <c r="I26477"/>
    </row>
    <row r="26478" spans="6:9" x14ac:dyDescent="0.3">
      <c r="F26478"/>
      <c r="G26478"/>
      <c r="H26478"/>
      <c r="I26478"/>
    </row>
    <row r="26479" spans="6:9" x14ac:dyDescent="0.3">
      <c r="F26479"/>
      <c r="G26479"/>
      <c r="H26479"/>
      <c r="I26479"/>
    </row>
    <row r="26480" spans="6:9" x14ac:dyDescent="0.3">
      <c r="F26480"/>
      <c r="G26480"/>
      <c r="H26480"/>
      <c r="I26480"/>
    </row>
    <row r="26481" spans="6:9" x14ac:dyDescent="0.3">
      <c r="F26481"/>
      <c r="G26481"/>
      <c r="H26481"/>
      <c r="I26481"/>
    </row>
    <row r="26482" spans="6:9" x14ac:dyDescent="0.3">
      <c r="F26482"/>
      <c r="G26482"/>
      <c r="H26482"/>
      <c r="I26482"/>
    </row>
    <row r="26483" spans="6:9" x14ac:dyDescent="0.3">
      <c r="F26483"/>
      <c r="G26483"/>
      <c r="H26483"/>
      <c r="I26483"/>
    </row>
    <row r="26484" spans="6:9" x14ac:dyDescent="0.3">
      <c r="F26484"/>
      <c r="G26484"/>
      <c r="H26484"/>
      <c r="I26484"/>
    </row>
    <row r="26485" spans="6:9" x14ac:dyDescent="0.3">
      <c r="F26485"/>
      <c r="G26485"/>
      <c r="H26485"/>
      <c r="I26485"/>
    </row>
    <row r="26486" spans="6:9" x14ac:dyDescent="0.3">
      <c r="F26486"/>
      <c r="G26486"/>
      <c r="H26486"/>
      <c r="I26486"/>
    </row>
    <row r="26487" spans="6:9" x14ac:dyDescent="0.3">
      <c r="F26487"/>
      <c r="G26487"/>
      <c r="H26487"/>
      <c r="I26487"/>
    </row>
    <row r="26488" spans="6:9" x14ac:dyDescent="0.3">
      <c r="F26488"/>
      <c r="G26488"/>
      <c r="H26488"/>
      <c r="I26488"/>
    </row>
    <row r="26489" spans="6:9" x14ac:dyDescent="0.3">
      <c r="F26489"/>
      <c r="G26489"/>
      <c r="H26489"/>
      <c r="I26489"/>
    </row>
    <row r="26490" spans="6:9" x14ac:dyDescent="0.3">
      <c r="F26490"/>
      <c r="G26490"/>
      <c r="H26490"/>
      <c r="I26490"/>
    </row>
    <row r="26491" spans="6:9" x14ac:dyDescent="0.3">
      <c r="F26491"/>
      <c r="G26491"/>
      <c r="H26491"/>
      <c r="I26491"/>
    </row>
    <row r="26492" spans="6:9" x14ac:dyDescent="0.3">
      <c r="F26492"/>
      <c r="G26492"/>
      <c r="H26492"/>
      <c r="I26492"/>
    </row>
    <row r="26493" spans="6:9" x14ac:dyDescent="0.3">
      <c r="F26493"/>
      <c r="G26493"/>
      <c r="H26493"/>
      <c r="I26493"/>
    </row>
    <row r="26494" spans="6:9" x14ac:dyDescent="0.3">
      <c r="F26494"/>
      <c r="G26494"/>
      <c r="H26494"/>
      <c r="I26494"/>
    </row>
    <row r="26495" spans="6:9" x14ac:dyDescent="0.3">
      <c r="F26495"/>
      <c r="G26495"/>
      <c r="H26495"/>
      <c r="I26495"/>
    </row>
    <row r="26496" spans="6:9" x14ac:dyDescent="0.3">
      <c r="F26496"/>
      <c r="G26496"/>
      <c r="H26496"/>
      <c r="I26496"/>
    </row>
    <row r="26497" spans="6:9" x14ac:dyDescent="0.3">
      <c r="F26497"/>
      <c r="G26497"/>
      <c r="H26497"/>
      <c r="I26497"/>
    </row>
    <row r="26498" spans="6:9" x14ac:dyDescent="0.3">
      <c r="F26498"/>
      <c r="G26498"/>
      <c r="H26498"/>
      <c r="I26498"/>
    </row>
    <row r="26499" spans="6:9" x14ac:dyDescent="0.3">
      <c r="F26499"/>
      <c r="G26499"/>
      <c r="H26499"/>
      <c r="I26499"/>
    </row>
    <row r="26500" spans="6:9" x14ac:dyDescent="0.3">
      <c r="F26500"/>
      <c r="G26500"/>
      <c r="H26500"/>
      <c r="I26500"/>
    </row>
    <row r="26501" spans="6:9" x14ac:dyDescent="0.3">
      <c r="F26501"/>
      <c r="G26501"/>
      <c r="H26501"/>
      <c r="I26501"/>
    </row>
    <row r="26502" spans="6:9" x14ac:dyDescent="0.3">
      <c r="F26502"/>
      <c r="G26502"/>
      <c r="H26502"/>
      <c r="I26502"/>
    </row>
    <row r="26503" spans="6:9" x14ac:dyDescent="0.3">
      <c r="F26503"/>
      <c r="G26503"/>
      <c r="H26503"/>
      <c r="I26503"/>
    </row>
    <row r="26504" spans="6:9" x14ac:dyDescent="0.3">
      <c r="F26504"/>
      <c r="G26504"/>
      <c r="H26504"/>
      <c r="I26504"/>
    </row>
    <row r="26505" spans="6:9" x14ac:dyDescent="0.3">
      <c r="F26505"/>
      <c r="G26505"/>
      <c r="H26505"/>
      <c r="I26505"/>
    </row>
    <row r="26506" spans="6:9" x14ac:dyDescent="0.3">
      <c r="F26506"/>
      <c r="G26506"/>
      <c r="H26506"/>
      <c r="I26506"/>
    </row>
    <row r="26507" spans="6:9" x14ac:dyDescent="0.3">
      <c r="F26507"/>
      <c r="G26507"/>
      <c r="H26507"/>
      <c r="I26507"/>
    </row>
    <row r="26508" spans="6:9" x14ac:dyDescent="0.3">
      <c r="F26508"/>
      <c r="G26508"/>
      <c r="H26508"/>
      <c r="I26508"/>
    </row>
    <row r="26509" spans="6:9" x14ac:dyDescent="0.3">
      <c r="F26509"/>
      <c r="G26509"/>
      <c r="H26509"/>
      <c r="I26509"/>
    </row>
    <row r="26510" spans="6:9" x14ac:dyDescent="0.3">
      <c r="F26510"/>
      <c r="G26510"/>
      <c r="H26510"/>
      <c r="I26510"/>
    </row>
    <row r="26511" spans="6:9" x14ac:dyDescent="0.3">
      <c r="F26511"/>
      <c r="G26511"/>
      <c r="H26511"/>
      <c r="I26511"/>
    </row>
    <row r="26512" spans="6:9" x14ac:dyDescent="0.3">
      <c r="F26512"/>
      <c r="G26512"/>
      <c r="H26512"/>
      <c r="I26512"/>
    </row>
    <row r="26513" spans="6:9" x14ac:dyDescent="0.3">
      <c r="F26513"/>
      <c r="G26513"/>
      <c r="H26513"/>
      <c r="I26513"/>
    </row>
    <row r="26514" spans="6:9" x14ac:dyDescent="0.3">
      <c r="F26514"/>
      <c r="G26514"/>
      <c r="H26514"/>
      <c r="I26514"/>
    </row>
    <row r="26515" spans="6:9" x14ac:dyDescent="0.3">
      <c r="F26515"/>
      <c r="G26515"/>
      <c r="H26515"/>
      <c r="I26515"/>
    </row>
    <row r="26516" spans="6:9" x14ac:dyDescent="0.3">
      <c r="F26516"/>
      <c r="G26516"/>
      <c r="H26516"/>
      <c r="I26516"/>
    </row>
    <row r="26517" spans="6:9" x14ac:dyDescent="0.3">
      <c r="F26517"/>
      <c r="G26517"/>
      <c r="H26517"/>
      <c r="I26517"/>
    </row>
    <row r="26518" spans="6:9" x14ac:dyDescent="0.3">
      <c r="F26518"/>
      <c r="G26518"/>
      <c r="H26518"/>
      <c r="I26518"/>
    </row>
    <row r="26519" spans="6:9" x14ac:dyDescent="0.3">
      <c r="F26519"/>
      <c r="G26519"/>
      <c r="H26519"/>
      <c r="I26519"/>
    </row>
    <row r="26520" spans="6:9" x14ac:dyDescent="0.3">
      <c r="F26520"/>
      <c r="G26520"/>
      <c r="H26520"/>
      <c r="I26520"/>
    </row>
    <row r="26521" spans="6:9" x14ac:dyDescent="0.3">
      <c r="F26521"/>
      <c r="G26521"/>
      <c r="H26521"/>
      <c r="I26521"/>
    </row>
    <row r="26522" spans="6:9" x14ac:dyDescent="0.3">
      <c r="F26522"/>
      <c r="G26522"/>
      <c r="H26522"/>
      <c r="I26522"/>
    </row>
    <row r="26523" spans="6:9" x14ac:dyDescent="0.3">
      <c r="F26523"/>
      <c r="G26523"/>
      <c r="H26523"/>
      <c r="I26523"/>
    </row>
    <row r="26524" spans="6:9" x14ac:dyDescent="0.3">
      <c r="F26524"/>
      <c r="G26524"/>
      <c r="H26524"/>
      <c r="I26524"/>
    </row>
    <row r="26525" spans="6:9" x14ac:dyDescent="0.3">
      <c r="F26525"/>
      <c r="G26525"/>
      <c r="H26525"/>
      <c r="I26525"/>
    </row>
    <row r="26526" spans="6:9" x14ac:dyDescent="0.3">
      <c r="F26526"/>
      <c r="G26526"/>
      <c r="H26526"/>
      <c r="I26526"/>
    </row>
    <row r="26527" spans="6:9" x14ac:dyDescent="0.3">
      <c r="F26527"/>
      <c r="G26527"/>
      <c r="H26527"/>
      <c r="I26527"/>
    </row>
    <row r="26528" spans="6:9" x14ac:dyDescent="0.3">
      <c r="F26528"/>
      <c r="G26528"/>
      <c r="H26528"/>
      <c r="I26528"/>
    </row>
    <row r="26529" spans="6:9" x14ac:dyDescent="0.3">
      <c r="F26529"/>
      <c r="G26529"/>
      <c r="H26529"/>
      <c r="I26529"/>
    </row>
    <row r="26530" spans="6:9" x14ac:dyDescent="0.3">
      <c r="F26530"/>
      <c r="G26530"/>
      <c r="H26530"/>
      <c r="I26530"/>
    </row>
    <row r="26531" spans="6:9" x14ac:dyDescent="0.3">
      <c r="F26531"/>
      <c r="G26531"/>
      <c r="H26531"/>
      <c r="I26531"/>
    </row>
    <row r="26532" spans="6:9" x14ac:dyDescent="0.3">
      <c r="F26532"/>
      <c r="G26532"/>
      <c r="H26532"/>
      <c r="I26532"/>
    </row>
    <row r="26533" spans="6:9" x14ac:dyDescent="0.3">
      <c r="F26533"/>
      <c r="G26533"/>
      <c r="H26533"/>
      <c r="I26533"/>
    </row>
    <row r="26534" spans="6:9" x14ac:dyDescent="0.3">
      <c r="F26534"/>
      <c r="G26534"/>
      <c r="H26534"/>
      <c r="I26534"/>
    </row>
    <row r="26535" spans="6:9" x14ac:dyDescent="0.3">
      <c r="F26535"/>
      <c r="G26535"/>
      <c r="H26535"/>
      <c r="I26535"/>
    </row>
    <row r="26536" spans="6:9" x14ac:dyDescent="0.3">
      <c r="F26536"/>
      <c r="G26536"/>
      <c r="H26536"/>
      <c r="I26536"/>
    </row>
    <row r="26537" spans="6:9" x14ac:dyDescent="0.3">
      <c r="F26537"/>
      <c r="G26537"/>
      <c r="H26537"/>
      <c r="I26537"/>
    </row>
    <row r="26538" spans="6:9" x14ac:dyDescent="0.3">
      <c r="F26538"/>
      <c r="G26538"/>
      <c r="H26538"/>
      <c r="I26538"/>
    </row>
    <row r="26539" spans="6:9" x14ac:dyDescent="0.3">
      <c r="F26539"/>
      <c r="G26539"/>
      <c r="H26539"/>
      <c r="I26539"/>
    </row>
    <row r="26540" spans="6:9" x14ac:dyDescent="0.3">
      <c r="F26540"/>
      <c r="G26540"/>
      <c r="H26540"/>
      <c r="I26540"/>
    </row>
    <row r="26541" spans="6:9" x14ac:dyDescent="0.3">
      <c r="F26541"/>
      <c r="G26541"/>
      <c r="H26541"/>
      <c r="I26541"/>
    </row>
    <row r="26542" spans="6:9" x14ac:dyDescent="0.3">
      <c r="F26542"/>
      <c r="G26542"/>
      <c r="H26542"/>
      <c r="I26542"/>
    </row>
    <row r="26543" spans="6:9" x14ac:dyDescent="0.3">
      <c r="F26543"/>
      <c r="G26543"/>
      <c r="H26543"/>
      <c r="I26543"/>
    </row>
    <row r="26544" spans="6:9" x14ac:dyDescent="0.3">
      <c r="F26544"/>
      <c r="G26544"/>
      <c r="H26544"/>
      <c r="I26544"/>
    </row>
    <row r="26545" spans="6:9" x14ac:dyDescent="0.3">
      <c r="F26545"/>
      <c r="G26545"/>
      <c r="H26545"/>
      <c r="I26545"/>
    </row>
    <row r="26546" spans="6:9" x14ac:dyDescent="0.3">
      <c r="F26546"/>
      <c r="G26546"/>
      <c r="H26546"/>
      <c r="I26546"/>
    </row>
    <row r="26547" spans="6:9" x14ac:dyDescent="0.3">
      <c r="F26547"/>
      <c r="G26547"/>
      <c r="H26547"/>
      <c r="I26547"/>
    </row>
    <row r="26548" spans="6:9" x14ac:dyDescent="0.3">
      <c r="F26548"/>
      <c r="G26548"/>
      <c r="H26548"/>
      <c r="I26548"/>
    </row>
    <row r="26549" spans="6:9" x14ac:dyDescent="0.3">
      <c r="F26549"/>
      <c r="G26549"/>
      <c r="H26549"/>
      <c r="I26549"/>
    </row>
    <row r="26550" spans="6:9" x14ac:dyDescent="0.3">
      <c r="F26550"/>
      <c r="G26550"/>
      <c r="H26550"/>
      <c r="I26550"/>
    </row>
    <row r="26551" spans="6:9" x14ac:dyDescent="0.3">
      <c r="F26551"/>
      <c r="G26551"/>
      <c r="H26551"/>
      <c r="I26551"/>
    </row>
    <row r="26552" spans="6:9" x14ac:dyDescent="0.3">
      <c r="F26552"/>
      <c r="G26552"/>
      <c r="H26552"/>
      <c r="I26552"/>
    </row>
    <row r="26553" spans="6:9" x14ac:dyDescent="0.3">
      <c r="F26553"/>
      <c r="G26553"/>
      <c r="H26553"/>
      <c r="I26553"/>
    </row>
    <row r="26554" spans="6:9" x14ac:dyDescent="0.3">
      <c r="F26554"/>
      <c r="G26554"/>
      <c r="H26554"/>
      <c r="I26554"/>
    </row>
    <row r="26555" spans="6:9" x14ac:dyDescent="0.3">
      <c r="F26555"/>
      <c r="G26555"/>
      <c r="H26555"/>
      <c r="I26555"/>
    </row>
    <row r="26556" spans="6:9" x14ac:dyDescent="0.3">
      <c r="F26556"/>
      <c r="G26556"/>
      <c r="H26556"/>
      <c r="I26556"/>
    </row>
    <row r="26557" spans="6:9" x14ac:dyDescent="0.3">
      <c r="F26557"/>
      <c r="G26557"/>
      <c r="H26557"/>
      <c r="I26557"/>
    </row>
    <row r="26558" spans="6:9" x14ac:dyDescent="0.3">
      <c r="F26558"/>
      <c r="G26558"/>
      <c r="H26558"/>
      <c r="I26558"/>
    </row>
    <row r="26559" spans="6:9" x14ac:dyDescent="0.3">
      <c r="F26559"/>
      <c r="G26559"/>
      <c r="H26559"/>
      <c r="I26559"/>
    </row>
    <row r="26560" spans="6:9" x14ac:dyDescent="0.3">
      <c r="F26560"/>
      <c r="G26560"/>
      <c r="H26560"/>
      <c r="I26560"/>
    </row>
    <row r="26561" spans="6:9" x14ac:dyDescent="0.3">
      <c r="F26561"/>
      <c r="G26561"/>
      <c r="H26561"/>
      <c r="I26561"/>
    </row>
    <row r="26562" spans="6:9" x14ac:dyDescent="0.3">
      <c r="F26562"/>
      <c r="G26562"/>
      <c r="H26562"/>
      <c r="I26562"/>
    </row>
    <row r="26563" spans="6:9" x14ac:dyDescent="0.3">
      <c r="F26563"/>
      <c r="G26563"/>
      <c r="H26563"/>
      <c r="I26563"/>
    </row>
    <row r="26564" spans="6:9" x14ac:dyDescent="0.3">
      <c r="F26564"/>
      <c r="G26564"/>
      <c r="H26564"/>
      <c r="I26564"/>
    </row>
    <row r="26565" spans="6:9" x14ac:dyDescent="0.3">
      <c r="F26565"/>
      <c r="G26565"/>
      <c r="H26565"/>
      <c r="I26565"/>
    </row>
    <row r="26566" spans="6:9" x14ac:dyDescent="0.3">
      <c r="F26566"/>
      <c r="G26566"/>
      <c r="H26566"/>
      <c r="I26566"/>
    </row>
    <row r="26567" spans="6:9" x14ac:dyDescent="0.3">
      <c r="F26567"/>
      <c r="G26567"/>
      <c r="H26567"/>
      <c r="I26567"/>
    </row>
    <row r="26568" spans="6:9" x14ac:dyDescent="0.3">
      <c r="F26568"/>
      <c r="G26568"/>
      <c r="H26568"/>
      <c r="I26568"/>
    </row>
    <row r="26569" spans="6:9" x14ac:dyDescent="0.3">
      <c r="F26569"/>
      <c r="G26569"/>
      <c r="H26569"/>
      <c r="I26569"/>
    </row>
    <row r="26570" spans="6:9" x14ac:dyDescent="0.3">
      <c r="F26570"/>
      <c r="G26570"/>
      <c r="H26570"/>
      <c r="I26570"/>
    </row>
    <row r="26571" spans="6:9" x14ac:dyDescent="0.3">
      <c r="F26571"/>
      <c r="G26571"/>
      <c r="H26571"/>
      <c r="I26571"/>
    </row>
    <row r="26572" spans="6:9" x14ac:dyDescent="0.3">
      <c r="F26572"/>
      <c r="G26572"/>
      <c r="H26572"/>
      <c r="I26572"/>
    </row>
    <row r="26573" spans="6:9" x14ac:dyDescent="0.3">
      <c r="F26573"/>
      <c r="G26573"/>
      <c r="H26573"/>
      <c r="I26573"/>
    </row>
    <row r="26574" spans="6:9" x14ac:dyDescent="0.3">
      <c r="F26574"/>
      <c r="G26574"/>
      <c r="H26574"/>
      <c r="I26574"/>
    </row>
    <row r="26575" spans="6:9" x14ac:dyDescent="0.3">
      <c r="F26575"/>
      <c r="G26575"/>
      <c r="H26575"/>
      <c r="I26575"/>
    </row>
    <row r="26576" spans="6:9" x14ac:dyDescent="0.3">
      <c r="F26576"/>
      <c r="G26576"/>
      <c r="H26576"/>
      <c r="I26576"/>
    </row>
    <row r="26577" spans="6:9" x14ac:dyDescent="0.3">
      <c r="F26577"/>
      <c r="G26577"/>
      <c r="H26577"/>
      <c r="I26577"/>
    </row>
    <row r="26578" spans="6:9" x14ac:dyDescent="0.3">
      <c r="F26578"/>
      <c r="G26578"/>
      <c r="H26578"/>
      <c r="I26578"/>
    </row>
    <row r="26579" spans="6:9" x14ac:dyDescent="0.3">
      <c r="F26579"/>
      <c r="G26579"/>
      <c r="H26579"/>
      <c r="I26579"/>
    </row>
    <row r="26580" spans="6:9" x14ac:dyDescent="0.3">
      <c r="F26580"/>
      <c r="G26580"/>
      <c r="H26580"/>
      <c r="I26580"/>
    </row>
    <row r="26581" spans="6:9" x14ac:dyDescent="0.3">
      <c r="F26581"/>
      <c r="G26581"/>
      <c r="H26581"/>
      <c r="I26581"/>
    </row>
    <row r="26582" spans="6:9" x14ac:dyDescent="0.3">
      <c r="F26582"/>
      <c r="G26582"/>
      <c r="H26582"/>
      <c r="I26582"/>
    </row>
    <row r="26583" spans="6:9" x14ac:dyDescent="0.3">
      <c r="F26583"/>
      <c r="G26583"/>
      <c r="H26583"/>
      <c r="I26583"/>
    </row>
    <row r="26584" spans="6:9" x14ac:dyDescent="0.3">
      <c r="F26584"/>
      <c r="G26584"/>
      <c r="H26584"/>
      <c r="I26584"/>
    </row>
    <row r="26585" spans="6:9" x14ac:dyDescent="0.3">
      <c r="F26585"/>
      <c r="G26585"/>
      <c r="H26585"/>
      <c r="I26585"/>
    </row>
    <row r="26586" spans="6:9" x14ac:dyDescent="0.3">
      <c r="F26586"/>
      <c r="G26586"/>
      <c r="H26586"/>
      <c r="I26586"/>
    </row>
    <row r="26587" spans="6:9" x14ac:dyDescent="0.3">
      <c r="F26587"/>
      <c r="G26587"/>
      <c r="H26587"/>
      <c r="I26587"/>
    </row>
    <row r="26588" spans="6:9" x14ac:dyDescent="0.3">
      <c r="F26588"/>
      <c r="G26588"/>
      <c r="H26588"/>
      <c r="I26588"/>
    </row>
    <row r="26589" spans="6:9" x14ac:dyDescent="0.3">
      <c r="F26589"/>
      <c r="G26589"/>
      <c r="H26589"/>
      <c r="I26589"/>
    </row>
    <row r="26590" spans="6:9" x14ac:dyDescent="0.3">
      <c r="F26590"/>
      <c r="G26590"/>
      <c r="H26590"/>
      <c r="I26590"/>
    </row>
    <row r="26591" spans="6:9" x14ac:dyDescent="0.3">
      <c r="F26591"/>
      <c r="G26591"/>
      <c r="H26591"/>
      <c r="I26591"/>
    </row>
    <row r="26592" spans="6:9" x14ac:dyDescent="0.3">
      <c r="F26592"/>
      <c r="G26592"/>
      <c r="H26592"/>
      <c r="I26592"/>
    </row>
    <row r="26593" spans="6:9" x14ac:dyDescent="0.3">
      <c r="F26593"/>
      <c r="G26593"/>
      <c r="H26593"/>
      <c r="I26593"/>
    </row>
    <row r="26594" spans="6:9" x14ac:dyDescent="0.3">
      <c r="F26594"/>
      <c r="G26594"/>
      <c r="H26594"/>
      <c r="I26594"/>
    </row>
    <row r="26595" spans="6:9" x14ac:dyDescent="0.3">
      <c r="F26595"/>
      <c r="G26595"/>
      <c r="H26595"/>
      <c r="I26595"/>
    </row>
    <row r="26596" spans="6:9" x14ac:dyDescent="0.3">
      <c r="F26596"/>
      <c r="G26596"/>
      <c r="H26596"/>
      <c r="I26596"/>
    </row>
    <row r="26597" spans="6:9" x14ac:dyDescent="0.3">
      <c r="F26597"/>
      <c r="G26597"/>
      <c r="H26597"/>
      <c r="I26597"/>
    </row>
    <row r="26598" spans="6:9" x14ac:dyDescent="0.3">
      <c r="F26598"/>
      <c r="G26598"/>
      <c r="H26598"/>
      <c r="I26598"/>
    </row>
    <row r="26599" spans="6:9" x14ac:dyDescent="0.3">
      <c r="F26599"/>
      <c r="G26599"/>
      <c r="H26599"/>
      <c r="I26599"/>
    </row>
    <row r="26600" spans="6:9" x14ac:dyDescent="0.3">
      <c r="F26600"/>
      <c r="G26600"/>
      <c r="H26600"/>
      <c r="I26600"/>
    </row>
    <row r="26601" spans="6:9" x14ac:dyDescent="0.3">
      <c r="F26601"/>
      <c r="G26601"/>
      <c r="H26601"/>
      <c r="I26601"/>
    </row>
    <row r="26602" spans="6:9" x14ac:dyDescent="0.3">
      <c r="F26602"/>
      <c r="G26602"/>
      <c r="H26602"/>
      <c r="I26602"/>
    </row>
    <row r="26603" spans="6:9" x14ac:dyDescent="0.3">
      <c r="F26603"/>
      <c r="G26603"/>
      <c r="H26603"/>
      <c r="I26603"/>
    </row>
    <row r="26604" spans="6:9" x14ac:dyDescent="0.3">
      <c r="F26604"/>
      <c r="G26604"/>
      <c r="H26604"/>
      <c r="I26604"/>
    </row>
    <row r="26605" spans="6:9" x14ac:dyDescent="0.3">
      <c r="F26605"/>
      <c r="G26605"/>
      <c r="H26605"/>
      <c r="I26605"/>
    </row>
    <row r="26606" spans="6:9" x14ac:dyDescent="0.3">
      <c r="F26606"/>
      <c r="G26606"/>
      <c r="H26606"/>
      <c r="I26606"/>
    </row>
    <row r="26607" spans="6:9" x14ac:dyDescent="0.3">
      <c r="F26607"/>
      <c r="G26607"/>
      <c r="H26607"/>
      <c r="I26607"/>
    </row>
    <row r="26608" spans="6:9" x14ac:dyDescent="0.3">
      <c r="F26608"/>
      <c r="G26608"/>
      <c r="H26608"/>
      <c r="I26608"/>
    </row>
    <row r="26609" spans="6:9" x14ac:dyDescent="0.3">
      <c r="F26609"/>
      <c r="G26609"/>
      <c r="H26609"/>
      <c r="I26609"/>
    </row>
    <row r="26610" spans="6:9" x14ac:dyDescent="0.3">
      <c r="F26610"/>
      <c r="G26610"/>
      <c r="H26610"/>
      <c r="I26610"/>
    </row>
    <row r="26611" spans="6:9" x14ac:dyDescent="0.3">
      <c r="F26611"/>
      <c r="G26611"/>
      <c r="H26611"/>
      <c r="I26611"/>
    </row>
    <row r="26612" spans="6:9" x14ac:dyDescent="0.3">
      <c r="F26612"/>
      <c r="G26612"/>
      <c r="H26612"/>
      <c r="I26612"/>
    </row>
    <row r="26613" spans="6:9" x14ac:dyDescent="0.3">
      <c r="F26613"/>
      <c r="G26613"/>
      <c r="H26613"/>
      <c r="I26613"/>
    </row>
    <row r="26614" spans="6:9" x14ac:dyDescent="0.3">
      <c r="F26614"/>
      <c r="G26614"/>
      <c r="H26614"/>
      <c r="I26614"/>
    </row>
    <row r="26615" spans="6:9" x14ac:dyDescent="0.3">
      <c r="F26615"/>
      <c r="G26615"/>
      <c r="H26615"/>
      <c r="I26615"/>
    </row>
    <row r="26616" spans="6:9" x14ac:dyDescent="0.3">
      <c r="F26616"/>
      <c r="G26616"/>
      <c r="H26616"/>
      <c r="I26616"/>
    </row>
    <row r="26617" spans="6:9" x14ac:dyDescent="0.3">
      <c r="F26617"/>
      <c r="G26617"/>
      <c r="H26617"/>
      <c r="I26617"/>
    </row>
    <row r="26618" spans="6:9" x14ac:dyDescent="0.3">
      <c r="F26618"/>
      <c r="G26618"/>
      <c r="H26618"/>
      <c r="I26618"/>
    </row>
    <row r="26619" spans="6:9" x14ac:dyDescent="0.3">
      <c r="F26619"/>
      <c r="G26619"/>
      <c r="H26619"/>
      <c r="I26619"/>
    </row>
    <row r="26620" spans="6:9" x14ac:dyDescent="0.3">
      <c r="F26620"/>
      <c r="G26620"/>
      <c r="H26620"/>
      <c r="I26620"/>
    </row>
    <row r="26621" spans="6:9" x14ac:dyDescent="0.3">
      <c r="F26621"/>
      <c r="G26621"/>
      <c r="H26621"/>
      <c r="I26621"/>
    </row>
    <row r="26622" spans="6:9" x14ac:dyDescent="0.3">
      <c r="F26622"/>
      <c r="G26622"/>
      <c r="H26622"/>
      <c r="I26622"/>
    </row>
    <row r="26623" spans="6:9" x14ac:dyDescent="0.3">
      <c r="F26623"/>
      <c r="G26623"/>
      <c r="H26623"/>
      <c r="I26623"/>
    </row>
    <row r="26624" spans="6:9" x14ac:dyDescent="0.3">
      <c r="F26624"/>
      <c r="G26624"/>
      <c r="H26624"/>
      <c r="I26624"/>
    </row>
    <row r="26625" spans="6:9" x14ac:dyDescent="0.3">
      <c r="F26625"/>
      <c r="G26625"/>
      <c r="H26625"/>
      <c r="I26625"/>
    </row>
    <row r="26626" spans="6:9" x14ac:dyDescent="0.3">
      <c r="F26626"/>
      <c r="G26626"/>
      <c r="H26626"/>
      <c r="I26626"/>
    </row>
    <row r="26627" spans="6:9" x14ac:dyDescent="0.3">
      <c r="F26627"/>
      <c r="G26627"/>
      <c r="H26627"/>
      <c r="I26627"/>
    </row>
    <row r="26628" spans="6:9" x14ac:dyDescent="0.3">
      <c r="F26628"/>
      <c r="G26628"/>
      <c r="H26628"/>
      <c r="I26628"/>
    </row>
    <row r="26629" spans="6:9" x14ac:dyDescent="0.3">
      <c r="F26629"/>
      <c r="G26629"/>
      <c r="H26629"/>
      <c r="I26629"/>
    </row>
    <row r="26630" spans="6:9" x14ac:dyDescent="0.3">
      <c r="F26630"/>
      <c r="G26630"/>
      <c r="H26630"/>
      <c r="I26630"/>
    </row>
    <row r="26631" spans="6:9" x14ac:dyDescent="0.3">
      <c r="F26631"/>
      <c r="G26631"/>
      <c r="H26631"/>
      <c r="I26631"/>
    </row>
    <row r="26632" spans="6:9" x14ac:dyDescent="0.3">
      <c r="F26632"/>
      <c r="G26632"/>
      <c r="H26632"/>
      <c r="I26632"/>
    </row>
    <row r="26633" spans="6:9" x14ac:dyDescent="0.3">
      <c r="F26633"/>
      <c r="G26633"/>
      <c r="H26633"/>
      <c r="I26633"/>
    </row>
    <row r="26634" spans="6:9" x14ac:dyDescent="0.3">
      <c r="F26634"/>
      <c r="G26634"/>
      <c r="H26634"/>
      <c r="I26634"/>
    </row>
    <row r="26635" spans="6:9" x14ac:dyDescent="0.3">
      <c r="F26635"/>
      <c r="G26635"/>
      <c r="H26635"/>
      <c r="I26635"/>
    </row>
    <row r="26636" spans="6:9" x14ac:dyDescent="0.3">
      <c r="F26636"/>
      <c r="G26636"/>
      <c r="H26636"/>
      <c r="I26636"/>
    </row>
    <row r="26637" spans="6:9" x14ac:dyDescent="0.3">
      <c r="F26637"/>
      <c r="G26637"/>
      <c r="H26637"/>
      <c r="I26637"/>
    </row>
    <row r="26638" spans="6:9" x14ac:dyDescent="0.3">
      <c r="F26638"/>
      <c r="G26638"/>
      <c r="H26638"/>
      <c r="I26638"/>
    </row>
    <row r="26639" spans="6:9" x14ac:dyDescent="0.3">
      <c r="F26639"/>
      <c r="G26639"/>
      <c r="H26639"/>
      <c r="I26639"/>
    </row>
    <row r="26640" spans="6:9" x14ac:dyDescent="0.3">
      <c r="F26640"/>
      <c r="G26640"/>
      <c r="H26640"/>
      <c r="I26640"/>
    </row>
    <row r="26641" spans="6:9" x14ac:dyDescent="0.3">
      <c r="F26641"/>
      <c r="G26641"/>
      <c r="H26641"/>
      <c r="I26641"/>
    </row>
    <row r="26642" spans="6:9" x14ac:dyDescent="0.3">
      <c r="F26642"/>
      <c r="G26642"/>
      <c r="H26642"/>
      <c r="I26642"/>
    </row>
    <row r="26643" spans="6:9" x14ac:dyDescent="0.3">
      <c r="F26643"/>
      <c r="G26643"/>
      <c r="H26643"/>
      <c r="I26643"/>
    </row>
    <row r="26644" spans="6:9" x14ac:dyDescent="0.3">
      <c r="F26644"/>
      <c r="G26644"/>
      <c r="H26644"/>
      <c r="I26644"/>
    </row>
    <row r="26645" spans="6:9" x14ac:dyDescent="0.3">
      <c r="F26645"/>
      <c r="G26645"/>
      <c r="H26645"/>
      <c r="I26645"/>
    </row>
    <row r="26646" spans="6:9" x14ac:dyDescent="0.3">
      <c r="F26646"/>
      <c r="G26646"/>
      <c r="H26646"/>
      <c r="I26646"/>
    </row>
    <row r="26647" spans="6:9" x14ac:dyDescent="0.3">
      <c r="F26647"/>
      <c r="G26647"/>
      <c r="H26647"/>
      <c r="I26647"/>
    </row>
    <row r="26648" spans="6:9" x14ac:dyDescent="0.3">
      <c r="F26648"/>
      <c r="G26648"/>
      <c r="H26648"/>
      <c r="I26648"/>
    </row>
    <row r="26649" spans="6:9" x14ac:dyDescent="0.3">
      <c r="F26649"/>
      <c r="G26649"/>
      <c r="H26649"/>
      <c r="I26649"/>
    </row>
    <row r="26650" spans="6:9" x14ac:dyDescent="0.3">
      <c r="F26650"/>
      <c r="G26650"/>
      <c r="H26650"/>
      <c r="I26650"/>
    </row>
    <row r="26651" spans="6:9" x14ac:dyDescent="0.3">
      <c r="F26651"/>
      <c r="G26651"/>
      <c r="H26651"/>
      <c r="I26651"/>
    </row>
    <row r="26652" spans="6:9" x14ac:dyDescent="0.3">
      <c r="F26652"/>
      <c r="G26652"/>
      <c r="H26652"/>
      <c r="I26652"/>
    </row>
    <row r="26653" spans="6:9" x14ac:dyDescent="0.3">
      <c r="F26653"/>
      <c r="G26653"/>
      <c r="H26653"/>
      <c r="I26653"/>
    </row>
    <row r="26654" spans="6:9" x14ac:dyDescent="0.3">
      <c r="F26654"/>
      <c r="G26654"/>
      <c r="H26654"/>
      <c r="I26654"/>
    </row>
    <row r="26655" spans="6:9" x14ac:dyDescent="0.3">
      <c r="F26655"/>
      <c r="G26655"/>
      <c r="H26655"/>
      <c r="I26655"/>
    </row>
    <row r="26656" spans="6:9" x14ac:dyDescent="0.3">
      <c r="F26656"/>
      <c r="G26656"/>
      <c r="H26656"/>
      <c r="I26656"/>
    </row>
    <row r="26657" spans="6:9" x14ac:dyDescent="0.3">
      <c r="F26657"/>
      <c r="G26657"/>
      <c r="H26657"/>
      <c r="I26657"/>
    </row>
    <row r="26658" spans="6:9" x14ac:dyDescent="0.3">
      <c r="F26658"/>
      <c r="G26658"/>
      <c r="H26658"/>
      <c r="I26658"/>
    </row>
    <row r="26659" spans="6:9" x14ac:dyDescent="0.3">
      <c r="F26659"/>
      <c r="G26659"/>
      <c r="H26659"/>
      <c r="I26659"/>
    </row>
    <row r="26660" spans="6:9" x14ac:dyDescent="0.3">
      <c r="F26660"/>
      <c r="G26660"/>
      <c r="H26660"/>
      <c r="I26660"/>
    </row>
    <row r="26661" spans="6:9" x14ac:dyDescent="0.3">
      <c r="F26661"/>
      <c r="G26661"/>
      <c r="H26661"/>
      <c r="I26661"/>
    </row>
    <row r="26662" spans="6:9" x14ac:dyDescent="0.3">
      <c r="F26662"/>
      <c r="G26662"/>
      <c r="H26662"/>
      <c r="I26662"/>
    </row>
    <row r="26663" spans="6:9" x14ac:dyDescent="0.3">
      <c r="F26663"/>
      <c r="G26663"/>
      <c r="H26663"/>
      <c r="I26663"/>
    </row>
    <row r="26664" spans="6:9" x14ac:dyDescent="0.3">
      <c r="F26664"/>
      <c r="G26664"/>
      <c r="H26664"/>
      <c r="I26664"/>
    </row>
    <row r="26665" spans="6:9" x14ac:dyDescent="0.3">
      <c r="F26665"/>
      <c r="G26665"/>
      <c r="H26665"/>
      <c r="I26665"/>
    </row>
    <row r="26666" spans="6:9" x14ac:dyDescent="0.3">
      <c r="F26666"/>
      <c r="G26666"/>
      <c r="H26666"/>
      <c r="I26666"/>
    </row>
    <row r="26667" spans="6:9" x14ac:dyDescent="0.3">
      <c r="F26667"/>
      <c r="G26667"/>
      <c r="H26667"/>
      <c r="I26667"/>
    </row>
    <row r="26668" spans="6:9" x14ac:dyDescent="0.3">
      <c r="F26668"/>
      <c r="G26668"/>
      <c r="H26668"/>
      <c r="I26668"/>
    </row>
    <row r="26669" spans="6:9" x14ac:dyDescent="0.3">
      <c r="F26669"/>
      <c r="G26669"/>
      <c r="H26669"/>
      <c r="I26669"/>
    </row>
    <row r="26670" spans="6:9" x14ac:dyDescent="0.3">
      <c r="F26670"/>
      <c r="G26670"/>
      <c r="H26670"/>
      <c r="I26670"/>
    </row>
    <row r="26671" spans="6:9" x14ac:dyDescent="0.3">
      <c r="F26671"/>
      <c r="G26671"/>
      <c r="H26671"/>
      <c r="I26671"/>
    </row>
    <row r="26672" spans="6:9" x14ac:dyDescent="0.3">
      <c r="F26672"/>
      <c r="G26672"/>
      <c r="H26672"/>
      <c r="I26672"/>
    </row>
    <row r="26673" spans="6:9" x14ac:dyDescent="0.3">
      <c r="F26673"/>
      <c r="G26673"/>
      <c r="H26673"/>
      <c r="I26673"/>
    </row>
    <row r="26674" spans="6:9" x14ac:dyDescent="0.3">
      <c r="F26674"/>
      <c r="G26674"/>
      <c r="H26674"/>
      <c r="I26674"/>
    </row>
    <row r="26675" spans="6:9" x14ac:dyDescent="0.3">
      <c r="F26675"/>
      <c r="G26675"/>
      <c r="H26675"/>
      <c r="I26675"/>
    </row>
    <row r="26676" spans="6:9" x14ac:dyDescent="0.3">
      <c r="F26676"/>
      <c r="G26676"/>
      <c r="H26676"/>
      <c r="I26676"/>
    </row>
    <row r="26677" spans="6:9" x14ac:dyDescent="0.3">
      <c r="F26677"/>
      <c r="G26677"/>
      <c r="H26677"/>
      <c r="I26677"/>
    </row>
    <row r="26678" spans="6:9" x14ac:dyDescent="0.3">
      <c r="F26678"/>
      <c r="G26678"/>
      <c r="H26678"/>
      <c r="I26678"/>
    </row>
    <row r="26679" spans="6:9" x14ac:dyDescent="0.3">
      <c r="F26679"/>
      <c r="G26679"/>
      <c r="H26679"/>
      <c r="I26679"/>
    </row>
    <row r="26680" spans="6:9" x14ac:dyDescent="0.3">
      <c r="F26680"/>
      <c r="G26680"/>
      <c r="H26680"/>
      <c r="I26680"/>
    </row>
    <row r="26681" spans="6:9" x14ac:dyDescent="0.3">
      <c r="F26681"/>
      <c r="G26681"/>
      <c r="H26681"/>
      <c r="I26681"/>
    </row>
    <row r="26682" spans="6:9" x14ac:dyDescent="0.3">
      <c r="F26682"/>
      <c r="G26682"/>
      <c r="H26682"/>
      <c r="I26682"/>
    </row>
    <row r="26683" spans="6:9" x14ac:dyDescent="0.3">
      <c r="F26683"/>
      <c r="G26683"/>
      <c r="H26683"/>
      <c r="I26683"/>
    </row>
    <row r="26684" spans="6:9" x14ac:dyDescent="0.3">
      <c r="F26684"/>
      <c r="G26684"/>
      <c r="H26684"/>
      <c r="I26684"/>
    </row>
    <row r="26685" spans="6:9" x14ac:dyDescent="0.3">
      <c r="F26685"/>
      <c r="G26685"/>
      <c r="H26685"/>
      <c r="I26685"/>
    </row>
    <row r="26686" spans="6:9" x14ac:dyDescent="0.3">
      <c r="F26686"/>
      <c r="G26686"/>
      <c r="H26686"/>
      <c r="I26686"/>
    </row>
    <row r="26687" spans="6:9" x14ac:dyDescent="0.3">
      <c r="F26687"/>
      <c r="G26687"/>
      <c r="H26687"/>
      <c r="I26687"/>
    </row>
    <row r="26688" spans="6:9" x14ac:dyDescent="0.3">
      <c r="F26688"/>
      <c r="G26688"/>
      <c r="H26688"/>
      <c r="I26688"/>
    </row>
    <row r="26689" spans="6:9" x14ac:dyDescent="0.3">
      <c r="F26689"/>
      <c r="G26689"/>
      <c r="H26689"/>
      <c r="I26689"/>
    </row>
    <row r="26690" spans="6:9" x14ac:dyDescent="0.3">
      <c r="F26690"/>
      <c r="G26690"/>
      <c r="H26690"/>
      <c r="I26690"/>
    </row>
    <row r="26691" spans="6:9" x14ac:dyDescent="0.3">
      <c r="F26691"/>
      <c r="G26691"/>
      <c r="H26691"/>
      <c r="I26691"/>
    </row>
    <row r="26692" spans="6:9" x14ac:dyDescent="0.3">
      <c r="F26692"/>
      <c r="G26692"/>
      <c r="H26692"/>
      <c r="I26692"/>
    </row>
    <row r="26693" spans="6:9" x14ac:dyDescent="0.3">
      <c r="F26693"/>
      <c r="G26693"/>
      <c r="H26693"/>
      <c r="I26693"/>
    </row>
    <row r="26694" spans="6:9" x14ac:dyDescent="0.3">
      <c r="F26694"/>
      <c r="G26694"/>
      <c r="H26694"/>
      <c r="I26694"/>
    </row>
    <row r="26695" spans="6:9" x14ac:dyDescent="0.3">
      <c r="F26695"/>
      <c r="G26695"/>
      <c r="H26695"/>
      <c r="I26695"/>
    </row>
    <row r="26696" spans="6:9" x14ac:dyDescent="0.3">
      <c r="F26696"/>
      <c r="G26696"/>
      <c r="H26696"/>
      <c r="I26696"/>
    </row>
    <row r="26697" spans="6:9" x14ac:dyDescent="0.3">
      <c r="F26697"/>
      <c r="G26697"/>
      <c r="H26697"/>
      <c r="I26697"/>
    </row>
    <row r="26698" spans="6:9" x14ac:dyDescent="0.3">
      <c r="F26698"/>
      <c r="G26698"/>
      <c r="H26698"/>
      <c r="I26698"/>
    </row>
    <row r="26699" spans="6:9" x14ac:dyDescent="0.3">
      <c r="F26699"/>
      <c r="G26699"/>
      <c r="H26699"/>
      <c r="I26699"/>
    </row>
    <row r="26700" spans="6:9" x14ac:dyDescent="0.3">
      <c r="F26700"/>
      <c r="G26700"/>
      <c r="H26700"/>
      <c r="I26700"/>
    </row>
    <row r="26701" spans="6:9" x14ac:dyDescent="0.3">
      <c r="F26701"/>
      <c r="G26701"/>
      <c r="H26701"/>
      <c r="I26701"/>
    </row>
    <row r="26702" spans="6:9" x14ac:dyDescent="0.3">
      <c r="F26702"/>
      <c r="G26702"/>
      <c r="H26702"/>
      <c r="I26702"/>
    </row>
    <row r="26703" spans="6:9" x14ac:dyDescent="0.3">
      <c r="F26703"/>
      <c r="G26703"/>
      <c r="H26703"/>
      <c r="I26703"/>
    </row>
    <row r="26704" spans="6:9" x14ac:dyDescent="0.3">
      <c r="F26704"/>
      <c r="G26704"/>
      <c r="H26704"/>
      <c r="I26704"/>
    </row>
    <row r="26705" spans="6:9" x14ac:dyDescent="0.3">
      <c r="F26705"/>
      <c r="G26705"/>
      <c r="H26705"/>
      <c r="I26705"/>
    </row>
    <row r="26706" spans="6:9" x14ac:dyDescent="0.3">
      <c r="F26706"/>
      <c r="G26706"/>
      <c r="H26706"/>
      <c r="I26706"/>
    </row>
    <row r="26707" spans="6:9" x14ac:dyDescent="0.3">
      <c r="F26707"/>
      <c r="G26707"/>
      <c r="H26707"/>
      <c r="I26707"/>
    </row>
    <row r="26708" spans="6:9" x14ac:dyDescent="0.3">
      <c r="F26708"/>
      <c r="G26708"/>
      <c r="H26708"/>
      <c r="I26708"/>
    </row>
    <row r="26709" spans="6:9" x14ac:dyDescent="0.3">
      <c r="F26709"/>
      <c r="G26709"/>
      <c r="H26709"/>
      <c r="I26709"/>
    </row>
    <row r="26710" spans="6:9" x14ac:dyDescent="0.3">
      <c r="F26710"/>
      <c r="G26710"/>
      <c r="H26710"/>
      <c r="I26710"/>
    </row>
    <row r="26711" spans="6:9" x14ac:dyDescent="0.3">
      <c r="F26711"/>
      <c r="G26711"/>
      <c r="H26711"/>
      <c r="I26711"/>
    </row>
    <row r="26712" spans="6:9" x14ac:dyDescent="0.3">
      <c r="F26712"/>
      <c r="G26712"/>
      <c r="H26712"/>
      <c r="I26712"/>
    </row>
    <row r="26713" spans="6:9" x14ac:dyDescent="0.3">
      <c r="F26713"/>
      <c r="G26713"/>
      <c r="H26713"/>
      <c r="I26713"/>
    </row>
    <row r="26714" spans="6:9" x14ac:dyDescent="0.3">
      <c r="F26714"/>
      <c r="G26714"/>
      <c r="H26714"/>
      <c r="I26714"/>
    </row>
    <row r="26715" spans="6:9" x14ac:dyDescent="0.3">
      <c r="F26715"/>
      <c r="G26715"/>
      <c r="H26715"/>
      <c r="I26715"/>
    </row>
    <row r="26716" spans="6:9" x14ac:dyDescent="0.3">
      <c r="F26716"/>
      <c r="G26716"/>
      <c r="H26716"/>
      <c r="I26716"/>
    </row>
    <row r="26717" spans="6:9" x14ac:dyDescent="0.3">
      <c r="F26717"/>
      <c r="G26717"/>
      <c r="H26717"/>
      <c r="I26717"/>
    </row>
    <row r="26718" spans="6:9" x14ac:dyDescent="0.3">
      <c r="F26718"/>
      <c r="G26718"/>
      <c r="H26718"/>
      <c r="I26718"/>
    </row>
    <row r="26719" spans="6:9" x14ac:dyDescent="0.3">
      <c r="F26719"/>
      <c r="G26719"/>
      <c r="H26719"/>
      <c r="I26719"/>
    </row>
    <row r="26720" spans="6:9" x14ac:dyDescent="0.3">
      <c r="F26720"/>
      <c r="G26720"/>
      <c r="H26720"/>
      <c r="I26720"/>
    </row>
    <row r="26721" spans="6:9" x14ac:dyDescent="0.3">
      <c r="F26721"/>
      <c r="G26721"/>
      <c r="H26721"/>
      <c r="I26721"/>
    </row>
    <row r="26722" spans="6:9" x14ac:dyDescent="0.3">
      <c r="F26722"/>
      <c r="G26722"/>
      <c r="H26722"/>
      <c r="I26722"/>
    </row>
    <row r="26723" spans="6:9" x14ac:dyDescent="0.3">
      <c r="F26723"/>
      <c r="G26723"/>
      <c r="H26723"/>
      <c r="I26723"/>
    </row>
    <row r="26724" spans="6:9" x14ac:dyDescent="0.3">
      <c r="F26724"/>
      <c r="G26724"/>
      <c r="H26724"/>
      <c r="I26724"/>
    </row>
    <row r="26725" spans="6:9" x14ac:dyDescent="0.3">
      <c r="F26725"/>
      <c r="G26725"/>
      <c r="H26725"/>
      <c r="I26725"/>
    </row>
    <row r="26726" spans="6:9" x14ac:dyDescent="0.3">
      <c r="F26726"/>
      <c r="G26726"/>
      <c r="H26726"/>
      <c r="I26726"/>
    </row>
    <row r="26727" spans="6:9" x14ac:dyDescent="0.3">
      <c r="F26727"/>
      <c r="G26727"/>
      <c r="H26727"/>
      <c r="I26727"/>
    </row>
    <row r="26728" spans="6:9" x14ac:dyDescent="0.3">
      <c r="F26728"/>
      <c r="G26728"/>
      <c r="H26728"/>
      <c r="I26728"/>
    </row>
    <row r="26729" spans="6:9" x14ac:dyDescent="0.3">
      <c r="F26729"/>
      <c r="G26729"/>
      <c r="H26729"/>
      <c r="I26729"/>
    </row>
    <row r="26730" spans="6:9" x14ac:dyDescent="0.3">
      <c r="F26730"/>
      <c r="G26730"/>
      <c r="H26730"/>
      <c r="I26730"/>
    </row>
    <row r="26731" spans="6:9" x14ac:dyDescent="0.3">
      <c r="F26731"/>
      <c r="G26731"/>
      <c r="H26731"/>
      <c r="I26731"/>
    </row>
    <row r="26732" spans="6:9" x14ac:dyDescent="0.3">
      <c r="F26732"/>
      <c r="G26732"/>
      <c r="H26732"/>
      <c r="I26732"/>
    </row>
    <row r="26733" spans="6:9" x14ac:dyDescent="0.3">
      <c r="F26733"/>
      <c r="G26733"/>
      <c r="H26733"/>
      <c r="I26733"/>
    </row>
    <row r="26734" spans="6:9" x14ac:dyDescent="0.3">
      <c r="F26734"/>
      <c r="G26734"/>
      <c r="H26734"/>
      <c r="I26734"/>
    </row>
    <row r="26735" spans="6:9" x14ac:dyDescent="0.3">
      <c r="F26735"/>
      <c r="G26735"/>
      <c r="H26735"/>
      <c r="I26735"/>
    </row>
    <row r="26736" spans="6:9" x14ac:dyDescent="0.3">
      <c r="F26736"/>
      <c r="G26736"/>
      <c r="H26736"/>
      <c r="I26736"/>
    </row>
    <row r="26737" spans="6:9" x14ac:dyDescent="0.3">
      <c r="F26737"/>
      <c r="G26737"/>
      <c r="H26737"/>
      <c r="I26737"/>
    </row>
    <row r="26738" spans="6:9" x14ac:dyDescent="0.3">
      <c r="F26738"/>
      <c r="G26738"/>
      <c r="H26738"/>
      <c r="I26738"/>
    </row>
    <row r="26739" spans="6:9" x14ac:dyDescent="0.3">
      <c r="F26739"/>
      <c r="G26739"/>
      <c r="H26739"/>
      <c r="I26739"/>
    </row>
    <row r="26740" spans="6:9" x14ac:dyDescent="0.3">
      <c r="F26740"/>
      <c r="G26740"/>
      <c r="H26740"/>
      <c r="I26740"/>
    </row>
    <row r="26741" spans="6:9" x14ac:dyDescent="0.3">
      <c r="F26741"/>
      <c r="G26741"/>
      <c r="H26741"/>
      <c r="I26741"/>
    </row>
    <row r="26742" spans="6:9" x14ac:dyDescent="0.3">
      <c r="F26742"/>
      <c r="G26742"/>
      <c r="H26742"/>
      <c r="I26742"/>
    </row>
    <row r="26743" spans="6:9" x14ac:dyDescent="0.3">
      <c r="F26743"/>
      <c r="G26743"/>
      <c r="H26743"/>
      <c r="I26743"/>
    </row>
    <row r="26744" spans="6:9" x14ac:dyDescent="0.3">
      <c r="F26744"/>
      <c r="G26744"/>
      <c r="H26744"/>
      <c r="I26744"/>
    </row>
    <row r="26745" spans="6:9" x14ac:dyDescent="0.3">
      <c r="F26745"/>
      <c r="G26745"/>
      <c r="H26745"/>
      <c r="I26745"/>
    </row>
    <row r="26746" spans="6:9" x14ac:dyDescent="0.3">
      <c r="F26746"/>
      <c r="G26746"/>
      <c r="H26746"/>
      <c r="I26746"/>
    </row>
    <row r="26747" spans="6:9" x14ac:dyDescent="0.3">
      <c r="F26747"/>
      <c r="G26747"/>
      <c r="H26747"/>
      <c r="I26747"/>
    </row>
    <row r="26748" spans="6:9" x14ac:dyDescent="0.3">
      <c r="F26748"/>
      <c r="G26748"/>
      <c r="H26748"/>
      <c r="I26748"/>
    </row>
    <row r="26749" spans="6:9" x14ac:dyDescent="0.3">
      <c r="F26749"/>
      <c r="G26749"/>
      <c r="H26749"/>
      <c r="I26749"/>
    </row>
    <row r="26750" spans="6:9" x14ac:dyDescent="0.3">
      <c r="F26750"/>
      <c r="G26750"/>
      <c r="H26750"/>
      <c r="I26750"/>
    </row>
    <row r="26751" spans="6:9" x14ac:dyDescent="0.3">
      <c r="F26751"/>
      <c r="G26751"/>
      <c r="H26751"/>
      <c r="I26751"/>
    </row>
    <row r="26752" spans="6:9" x14ac:dyDescent="0.3">
      <c r="F26752"/>
      <c r="G26752"/>
      <c r="H26752"/>
      <c r="I26752"/>
    </row>
    <row r="26753" spans="6:9" x14ac:dyDescent="0.3">
      <c r="F26753"/>
      <c r="G26753"/>
      <c r="H26753"/>
      <c r="I26753"/>
    </row>
    <row r="26754" spans="6:9" x14ac:dyDescent="0.3">
      <c r="F26754"/>
      <c r="G26754"/>
      <c r="H26754"/>
      <c r="I26754"/>
    </row>
    <row r="26755" spans="6:9" x14ac:dyDescent="0.3">
      <c r="F26755"/>
      <c r="G26755"/>
      <c r="H26755"/>
      <c r="I26755"/>
    </row>
    <row r="26756" spans="6:9" x14ac:dyDescent="0.3">
      <c r="F26756"/>
      <c r="G26756"/>
      <c r="H26756"/>
      <c r="I26756"/>
    </row>
    <row r="26757" spans="6:9" x14ac:dyDescent="0.3">
      <c r="F26757"/>
      <c r="G26757"/>
      <c r="H26757"/>
      <c r="I26757"/>
    </row>
    <row r="26758" spans="6:9" x14ac:dyDescent="0.3">
      <c r="F26758"/>
      <c r="G26758"/>
      <c r="H26758"/>
      <c r="I26758"/>
    </row>
    <row r="26759" spans="6:9" x14ac:dyDescent="0.3">
      <c r="F26759"/>
      <c r="G26759"/>
      <c r="H26759"/>
      <c r="I26759"/>
    </row>
    <row r="26760" spans="6:9" x14ac:dyDescent="0.3">
      <c r="F26760"/>
      <c r="G26760"/>
      <c r="H26760"/>
      <c r="I26760"/>
    </row>
    <row r="26761" spans="6:9" x14ac:dyDescent="0.3">
      <c r="F26761"/>
      <c r="G26761"/>
      <c r="H26761"/>
      <c r="I26761"/>
    </row>
    <row r="26762" spans="6:9" x14ac:dyDescent="0.3">
      <c r="F26762"/>
      <c r="G26762"/>
      <c r="H26762"/>
      <c r="I26762"/>
    </row>
    <row r="26763" spans="6:9" x14ac:dyDescent="0.3">
      <c r="F26763"/>
      <c r="G26763"/>
      <c r="H26763"/>
      <c r="I26763"/>
    </row>
    <row r="26764" spans="6:9" x14ac:dyDescent="0.3">
      <c r="F26764"/>
      <c r="G26764"/>
      <c r="H26764"/>
      <c r="I26764"/>
    </row>
    <row r="26765" spans="6:9" x14ac:dyDescent="0.3">
      <c r="F26765"/>
      <c r="G26765"/>
      <c r="H26765"/>
      <c r="I26765"/>
    </row>
    <row r="26766" spans="6:9" x14ac:dyDescent="0.3">
      <c r="F26766"/>
      <c r="G26766"/>
      <c r="H26766"/>
      <c r="I26766"/>
    </row>
    <row r="26767" spans="6:9" x14ac:dyDescent="0.3">
      <c r="F26767"/>
      <c r="G26767"/>
      <c r="H26767"/>
      <c r="I26767"/>
    </row>
    <row r="26768" spans="6:9" x14ac:dyDescent="0.3">
      <c r="F26768"/>
      <c r="G26768"/>
      <c r="H26768"/>
      <c r="I26768"/>
    </row>
    <row r="26769" spans="6:9" x14ac:dyDescent="0.3">
      <c r="F26769"/>
      <c r="G26769"/>
      <c r="H26769"/>
      <c r="I26769"/>
    </row>
    <row r="26770" spans="6:9" x14ac:dyDescent="0.3">
      <c r="F26770"/>
      <c r="G26770"/>
      <c r="H26770"/>
      <c r="I26770"/>
    </row>
    <row r="26771" spans="6:9" x14ac:dyDescent="0.3">
      <c r="F26771"/>
      <c r="G26771"/>
      <c r="H26771"/>
      <c r="I26771"/>
    </row>
    <row r="26772" spans="6:9" x14ac:dyDescent="0.3">
      <c r="F26772"/>
      <c r="G26772"/>
      <c r="H26772"/>
      <c r="I26772"/>
    </row>
    <row r="26773" spans="6:9" x14ac:dyDescent="0.3">
      <c r="F26773"/>
      <c r="G26773"/>
      <c r="H26773"/>
      <c r="I26773"/>
    </row>
    <row r="26774" spans="6:9" x14ac:dyDescent="0.3">
      <c r="F26774"/>
      <c r="G26774"/>
      <c r="H26774"/>
      <c r="I26774"/>
    </row>
    <row r="26775" spans="6:9" x14ac:dyDescent="0.3">
      <c r="F26775"/>
      <c r="G26775"/>
      <c r="H26775"/>
      <c r="I26775"/>
    </row>
    <row r="26776" spans="6:9" x14ac:dyDescent="0.3">
      <c r="F26776"/>
      <c r="G26776"/>
      <c r="H26776"/>
      <c r="I26776"/>
    </row>
    <row r="26777" spans="6:9" x14ac:dyDescent="0.3">
      <c r="F26777"/>
      <c r="G26777"/>
      <c r="H26777"/>
      <c r="I26777"/>
    </row>
    <row r="26778" spans="6:9" x14ac:dyDescent="0.3">
      <c r="F26778"/>
      <c r="G26778"/>
      <c r="H26778"/>
      <c r="I26778"/>
    </row>
    <row r="26779" spans="6:9" x14ac:dyDescent="0.3">
      <c r="F26779"/>
      <c r="G26779"/>
      <c r="H26779"/>
      <c r="I26779"/>
    </row>
    <row r="26780" spans="6:9" x14ac:dyDescent="0.3">
      <c r="F26780"/>
      <c r="G26780"/>
      <c r="H26780"/>
      <c r="I26780"/>
    </row>
    <row r="26781" spans="6:9" x14ac:dyDescent="0.3">
      <c r="F26781"/>
      <c r="G26781"/>
      <c r="H26781"/>
      <c r="I26781"/>
    </row>
    <row r="26782" spans="6:9" x14ac:dyDescent="0.3">
      <c r="F26782"/>
      <c r="G26782"/>
      <c r="H26782"/>
      <c r="I26782"/>
    </row>
    <row r="26783" spans="6:9" x14ac:dyDescent="0.3">
      <c r="F26783"/>
      <c r="G26783"/>
      <c r="H26783"/>
      <c r="I26783"/>
    </row>
    <row r="26784" spans="6:9" x14ac:dyDescent="0.3">
      <c r="F26784"/>
      <c r="G26784"/>
      <c r="H26784"/>
      <c r="I26784"/>
    </row>
    <row r="26785" spans="6:9" x14ac:dyDescent="0.3">
      <c r="F26785"/>
      <c r="G26785"/>
      <c r="H26785"/>
      <c r="I26785"/>
    </row>
    <row r="26786" spans="6:9" x14ac:dyDescent="0.3">
      <c r="F26786"/>
      <c r="G26786"/>
      <c r="H26786"/>
      <c r="I26786"/>
    </row>
    <row r="26787" spans="6:9" x14ac:dyDescent="0.3">
      <c r="F26787"/>
      <c r="G26787"/>
      <c r="H26787"/>
      <c r="I26787"/>
    </row>
    <row r="26788" spans="6:9" x14ac:dyDescent="0.3">
      <c r="F26788"/>
      <c r="G26788"/>
      <c r="H26788"/>
      <c r="I26788"/>
    </row>
    <row r="26789" spans="6:9" x14ac:dyDescent="0.3">
      <c r="F26789"/>
      <c r="G26789"/>
      <c r="H26789"/>
      <c r="I26789"/>
    </row>
    <row r="26790" spans="6:9" x14ac:dyDescent="0.3">
      <c r="F26790"/>
      <c r="G26790"/>
      <c r="H26790"/>
      <c r="I26790"/>
    </row>
    <row r="26791" spans="6:9" x14ac:dyDescent="0.3">
      <c r="F26791"/>
      <c r="G26791"/>
      <c r="H26791"/>
      <c r="I26791"/>
    </row>
    <row r="26792" spans="6:9" x14ac:dyDescent="0.3">
      <c r="F26792"/>
      <c r="G26792"/>
      <c r="H26792"/>
      <c r="I26792"/>
    </row>
    <row r="26793" spans="6:9" x14ac:dyDescent="0.3">
      <c r="F26793"/>
      <c r="G26793"/>
      <c r="H26793"/>
      <c r="I26793"/>
    </row>
    <row r="26794" spans="6:9" x14ac:dyDescent="0.3">
      <c r="F26794"/>
      <c r="G26794"/>
      <c r="H26794"/>
      <c r="I26794"/>
    </row>
    <row r="26795" spans="6:9" x14ac:dyDescent="0.3">
      <c r="F26795"/>
      <c r="G26795"/>
      <c r="H26795"/>
      <c r="I26795"/>
    </row>
    <row r="26796" spans="6:9" x14ac:dyDescent="0.3">
      <c r="F26796"/>
      <c r="G26796"/>
      <c r="H26796"/>
      <c r="I26796"/>
    </row>
    <row r="26797" spans="6:9" x14ac:dyDescent="0.3">
      <c r="F26797"/>
      <c r="G26797"/>
      <c r="H26797"/>
      <c r="I26797"/>
    </row>
    <row r="26798" spans="6:9" x14ac:dyDescent="0.3">
      <c r="F26798"/>
      <c r="G26798"/>
      <c r="H26798"/>
      <c r="I26798"/>
    </row>
    <row r="26799" spans="6:9" x14ac:dyDescent="0.3">
      <c r="F26799"/>
      <c r="G26799"/>
      <c r="H26799"/>
      <c r="I26799"/>
    </row>
    <row r="26800" spans="6:9" x14ac:dyDescent="0.3">
      <c r="F26800"/>
      <c r="G26800"/>
      <c r="H26800"/>
      <c r="I26800"/>
    </row>
    <row r="26801" spans="6:9" x14ac:dyDescent="0.3">
      <c r="F26801"/>
      <c r="G26801"/>
      <c r="H26801"/>
      <c r="I26801"/>
    </row>
    <row r="26802" spans="6:9" x14ac:dyDescent="0.3">
      <c r="F26802"/>
      <c r="G26802"/>
      <c r="H26802"/>
      <c r="I26802"/>
    </row>
    <row r="26803" spans="6:9" x14ac:dyDescent="0.3">
      <c r="F26803"/>
      <c r="G26803"/>
      <c r="H26803"/>
      <c r="I26803"/>
    </row>
    <row r="26804" spans="6:9" x14ac:dyDescent="0.3">
      <c r="F26804"/>
      <c r="G26804"/>
      <c r="H26804"/>
      <c r="I26804"/>
    </row>
    <row r="26805" spans="6:9" x14ac:dyDescent="0.3">
      <c r="F26805"/>
      <c r="G26805"/>
      <c r="H26805"/>
      <c r="I26805"/>
    </row>
    <row r="26806" spans="6:9" x14ac:dyDescent="0.3">
      <c r="F26806"/>
      <c r="G26806"/>
      <c r="H26806"/>
      <c r="I26806"/>
    </row>
    <row r="26807" spans="6:9" x14ac:dyDescent="0.3">
      <c r="F26807"/>
      <c r="G26807"/>
      <c r="H26807"/>
      <c r="I26807"/>
    </row>
    <row r="26808" spans="6:9" x14ac:dyDescent="0.3">
      <c r="F26808"/>
      <c r="G26808"/>
      <c r="H26808"/>
      <c r="I26808"/>
    </row>
    <row r="26809" spans="6:9" x14ac:dyDescent="0.3">
      <c r="F26809"/>
      <c r="G26809"/>
      <c r="H26809"/>
      <c r="I26809"/>
    </row>
    <row r="26810" spans="6:9" x14ac:dyDescent="0.3">
      <c r="F26810"/>
      <c r="G26810"/>
      <c r="H26810"/>
      <c r="I26810"/>
    </row>
    <row r="26811" spans="6:9" x14ac:dyDescent="0.3">
      <c r="F26811"/>
      <c r="G26811"/>
      <c r="H26811"/>
      <c r="I26811"/>
    </row>
    <row r="26812" spans="6:9" x14ac:dyDescent="0.3">
      <c r="F26812"/>
      <c r="G26812"/>
      <c r="H26812"/>
      <c r="I26812"/>
    </row>
    <row r="26813" spans="6:9" x14ac:dyDescent="0.3">
      <c r="F26813"/>
      <c r="G26813"/>
      <c r="H26813"/>
      <c r="I26813"/>
    </row>
    <row r="26814" spans="6:9" x14ac:dyDescent="0.3">
      <c r="F26814"/>
      <c r="G26814"/>
      <c r="H26814"/>
      <c r="I26814"/>
    </row>
    <row r="26815" spans="6:9" x14ac:dyDescent="0.3">
      <c r="F26815"/>
      <c r="G26815"/>
      <c r="H26815"/>
      <c r="I26815"/>
    </row>
    <row r="26816" spans="6:9" x14ac:dyDescent="0.3">
      <c r="F26816"/>
      <c r="G26816"/>
      <c r="H26816"/>
      <c r="I26816"/>
    </row>
    <row r="26817" spans="6:9" x14ac:dyDescent="0.3">
      <c r="F26817"/>
      <c r="G26817"/>
      <c r="H26817"/>
      <c r="I26817"/>
    </row>
    <row r="26818" spans="6:9" x14ac:dyDescent="0.3">
      <c r="F26818"/>
      <c r="G26818"/>
      <c r="H26818"/>
      <c r="I26818"/>
    </row>
    <row r="26819" spans="6:9" x14ac:dyDescent="0.3">
      <c r="F26819"/>
      <c r="G26819"/>
      <c r="H26819"/>
      <c r="I26819"/>
    </row>
    <row r="26820" spans="6:9" x14ac:dyDescent="0.3">
      <c r="F26820"/>
      <c r="G26820"/>
      <c r="H26820"/>
      <c r="I26820"/>
    </row>
    <row r="26821" spans="6:9" x14ac:dyDescent="0.3">
      <c r="F26821"/>
      <c r="G26821"/>
      <c r="H26821"/>
      <c r="I26821"/>
    </row>
    <row r="26822" spans="6:9" x14ac:dyDescent="0.3">
      <c r="F26822"/>
      <c r="G26822"/>
      <c r="H26822"/>
      <c r="I26822"/>
    </row>
    <row r="26823" spans="6:9" x14ac:dyDescent="0.3">
      <c r="F26823"/>
      <c r="G26823"/>
      <c r="H26823"/>
      <c r="I26823"/>
    </row>
    <row r="26824" spans="6:9" x14ac:dyDescent="0.3">
      <c r="F26824"/>
      <c r="G26824"/>
      <c r="H26824"/>
      <c r="I26824"/>
    </row>
    <row r="26825" spans="6:9" x14ac:dyDescent="0.3">
      <c r="F26825"/>
      <c r="G26825"/>
      <c r="H26825"/>
      <c r="I26825"/>
    </row>
    <row r="26826" spans="6:9" x14ac:dyDescent="0.3">
      <c r="F26826"/>
      <c r="G26826"/>
      <c r="H26826"/>
      <c r="I26826"/>
    </row>
    <row r="26827" spans="6:9" x14ac:dyDescent="0.3">
      <c r="F26827"/>
      <c r="G26827"/>
      <c r="H26827"/>
      <c r="I26827"/>
    </row>
    <row r="26828" spans="6:9" x14ac:dyDescent="0.3">
      <c r="F26828"/>
      <c r="G26828"/>
      <c r="H26828"/>
      <c r="I26828"/>
    </row>
    <row r="26829" spans="6:9" x14ac:dyDescent="0.3">
      <c r="F26829"/>
      <c r="G26829"/>
      <c r="H26829"/>
      <c r="I26829"/>
    </row>
    <row r="26830" spans="6:9" x14ac:dyDescent="0.3">
      <c r="F26830"/>
      <c r="G26830"/>
      <c r="H26830"/>
      <c r="I26830"/>
    </row>
    <row r="26831" spans="6:9" x14ac:dyDescent="0.3">
      <c r="F26831"/>
      <c r="G26831"/>
      <c r="H26831"/>
      <c r="I26831"/>
    </row>
    <row r="26832" spans="6:9" x14ac:dyDescent="0.3">
      <c r="F26832"/>
      <c r="G26832"/>
      <c r="H26832"/>
      <c r="I26832"/>
    </row>
    <row r="26833" spans="6:9" x14ac:dyDescent="0.3">
      <c r="F26833"/>
      <c r="G26833"/>
      <c r="H26833"/>
      <c r="I26833"/>
    </row>
    <row r="26834" spans="6:9" x14ac:dyDescent="0.3">
      <c r="F26834"/>
      <c r="G26834"/>
      <c r="H26834"/>
      <c r="I26834"/>
    </row>
    <row r="26835" spans="6:9" x14ac:dyDescent="0.3">
      <c r="F26835"/>
      <c r="G26835"/>
      <c r="H26835"/>
      <c r="I26835"/>
    </row>
    <row r="26836" spans="6:9" x14ac:dyDescent="0.3">
      <c r="F26836"/>
      <c r="G26836"/>
      <c r="H26836"/>
      <c r="I26836"/>
    </row>
    <row r="26837" spans="6:9" x14ac:dyDescent="0.3">
      <c r="F26837"/>
      <c r="G26837"/>
      <c r="H26837"/>
      <c r="I26837"/>
    </row>
    <row r="26838" spans="6:9" x14ac:dyDescent="0.3">
      <c r="F26838"/>
      <c r="G26838"/>
      <c r="H26838"/>
      <c r="I26838"/>
    </row>
    <row r="26839" spans="6:9" x14ac:dyDescent="0.3">
      <c r="F26839"/>
      <c r="G26839"/>
      <c r="H26839"/>
      <c r="I26839"/>
    </row>
    <row r="26840" spans="6:9" x14ac:dyDescent="0.3">
      <c r="F26840"/>
      <c r="G26840"/>
      <c r="H26840"/>
      <c r="I26840"/>
    </row>
    <row r="26841" spans="6:9" x14ac:dyDescent="0.3">
      <c r="F26841"/>
      <c r="G26841"/>
      <c r="H26841"/>
      <c r="I26841"/>
    </row>
    <row r="26842" spans="6:9" x14ac:dyDescent="0.3">
      <c r="F26842"/>
      <c r="G26842"/>
      <c r="H26842"/>
      <c r="I26842"/>
    </row>
    <row r="26843" spans="6:9" x14ac:dyDescent="0.3">
      <c r="F26843"/>
      <c r="G26843"/>
      <c r="H26843"/>
      <c r="I26843"/>
    </row>
    <row r="26844" spans="6:9" x14ac:dyDescent="0.3">
      <c r="F26844"/>
      <c r="G26844"/>
      <c r="H26844"/>
      <c r="I26844"/>
    </row>
    <row r="26845" spans="6:9" x14ac:dyDescent="0.3">
      <c r="F26845"/>
      <c r="G26845"/>
      <c r="H26845"/>
      <c r="I26845"/>
    </row>
    <row r="26846" spans="6:9" x14ac:dyDescent="0.3">
      <c r="F26846"/>
      <c r="G26846"/>
      <c r="H26846"/>
      <c r="I26846"/>
    </row>
    <row r="26847" spans="6:9" x14ac:dyDescent="0.3">
      <c r="F26847"/>
      <c r="G26847"/>
      <c r="H26847"/>
      <c r="I26847"/>
    </row>
    <row r="26848" spans="6:9" x14ac:dyDescent="0.3">
      <c r="F26848"/>
      <c r="G26848"/>
      <c r="H26848"/>
      <c r="I26848"/>
    </row>
    <row r="26849" spans="6:9" x14ac:dyDescent="0.3">
      <c r="F26849"/>
      <c r="G26849"/>
      <c r="H26849"/>
      <c r="I26849"/>
    </row>
    <row r="26850" spans="6:9" x14ac:dyDescent="0.3">
      <c r="F26850"/>
      <c r="G26850"/>
      <c r="H26850"/>
      <c r="I26850"/>
    </row>
    <row r="26851" spans="6:9" x14ac:dyDescent="0.3">
      <c r="F26851"/>
      <c r="G26851"/>
      <c r="H26851"/>
      <c r="I26851"/>
    </row>
    <row r="26852" spans="6:9" x14ac:dyDescent="0.3">
      <c r="F26852"/>
      <c r="G26852"/>
      <c r="H26852"/>
      <c r="I26852"/>
    </row>
    <row r="26853" spans="6:9" x14ac:dyDescent="0.3">
      <c r="F26853"/>
      <c r="G26853"/>
      <c r="H26853"/>
      <c r="I26853"/>
    </row>
    <row r="26854" spans="6:9" x14ac:dyDescent="0.3">
      <c r="F26854"/>
      <c r="G26854"/>
      <c r="H26854"/>
      <c r="I26854"/>
    </row>
    <row r="26855" spans="6:9" x14ac:dyDescent="0.3">
      <c r="F26855"/>
      <c r="G26855"/>
      <c r="H26855"/>
      <c r="I26855"/>
    </row>
    <row r="26856" spans="6:9" x14ac:dyDescent="0.3">
      <c r="F26856"/>
      <c r="G26856"/>
      <c r="H26856"/>
      <c r="I26856"/>
    </row>
    <row r="26857" spans="6:9" x14ac:dyDescent="0.3">
      <c r="F26857"/>
      <c r="G26857"/>
      <c r="H26857"/>
      <c r="I26857"/>
    </row>
    <row r="26858" spans="6:9" x14ac:dyDescent="0.3">
      <c r="F26858"/>
      <c r="G26858"/>
      <c r="H26858"/>
      <c r="I26858"/>
    </row>
    <row r="26859" spans="6:9" x14ac:dyDescent="0.3">
      <c r="F26859"/>
      <c r="G26859"/>
      <c r="H26859"/>
      <c r="I26859"/>
    </row>
    <row r="26860" spans="6:9" x14ac:dyDescent="0.3">
      <c r="F26860"/>
      <c r="G26860"/>
      <c r="H26860"/>
      <c r="I26860"/>
    </row>
    <row r="26861" spans="6:9" x14ac:dyDescent="0.3">
      <c r="F26861"/>
      <c r="G26861"/>
      <c r="H26861"/>
      <c r="I26861"/>
    </row>
    <row r="26862" spans="6:9" x14ac:dyDescent="0.3">
      <c r="F26862"/>
      <c r="G26862"/>
      <c r="H26862"/>
      <c r="I26862"/>
    </row>
    <row r="26863" spans="6:9" x14ac:dyDescent="0.3">
      <c r="F26863"/>
      <c r="G26863"/>
      <c r="H26863"/>
      <c r="I26863"/>
    </row>
    <row r="26864" spans="6:9" x14ac:dyDescent="0.3">
      <c r="F26864"/>
      <c r="G26864"/>
      <c r="H26864"/>
      <c r="I26864"/>
    </row>
    <row r="26865" spans="6:9" x14ac:dyDescent="0.3">
      <c r="F26865"/>
      <c r="G26865"/>
      <c r="H26865"/>
      <c r="I26865"/>
    </row>
    <row r="26866" spans="6:9" x14ac:dyDescent="0.3">
      <c r="F26866"/>
      <c r="G26866"/>
      <c r="H26866"/>
      <c r="I26866"/>
    </row>
    <row r="26867" spans="6:9" x14ac:dyDescent="0.3">
      <c r="F26867"/>
      <c r="G26867"/>
      <c r="H26867"/>
      <c r="I26867"/>
    </row>
    <row r="26868" spans="6:9" x14ac:dyDescent="0.3">
      <c r="F26868"/>
      <c r="G26868"/>
      <c r="H26868"/>
      <c r="I26868"/>
    </row>
    <row r="26869" spans="6:9" x14ac:dyDescent="0.3">
      <c r="F26869"/>
      <c r="G26869"/>
      <c r="H26869"/>
      <c r="I26869"/>
    </row>
    <row r="26870" spans="6:9" x14ac:dyDescent="0.3">
      <c r="F26870"/>
      <c r="G26870"/>
      <c r="H26870"/>
      <c r="I26870"/>
    </row>
    <row r="26871" spans="6:9" x14ac:dyDescent="0.3">
      <c r="F26871"/>
      <c r="G26871"/>
      <c r="H26871"/>
      <c r="I26871"/>
    </row>
    <row r="26872" spans="6:9" x14ac:dyDescent="0.3">
      <c r="F26872"/>
      <c r="G26872"/>
      <c r="H26872"/>
      <c r="I26872"/>
    </row>
    <row r="26873" spans="6:9" x14ac:dyDescent="0.3">
      <c r="F26873"/>
      <c r="G26873"/>
      <c r="H26873"/>
      <c r="I26873"/>
    </row>
    <row r="26874" spans="6:9" x14ac:dyDescent="0.3">
      <c r="F26874"/>
      <c r="G26874"/>
      <c r="H26874"/>
      <c r="I26874"/>
    </row>
    <row r="26875" spans="6:9" x14ac:dyDescent="0.3">
      <c r="F26875"/>
      <c r="G26875"/>
      <c r="H26875"/>
      <c r="I26875"/>
    </row>
    <row r="26876" spans="6:9" x14ac:dyDescent="0.3">
      <c r="F26876"/>
      <c r="G26876"/>
      <c r="H26876"/>
      <c r="I26876"/>
    </row>
    <row r="26877" spans="6:9" x14ac:dyDescent="0.3">
      <c r="F26877"/>
      <c r="G26877"/>
      <c r="H26877"/>
      <c r="I26877"/>
    </row>
    <row r="26878" spans="6:9" x14ac:dyDescent="0.3">
      <c r="F26878"/>
      <c r="G26878"/>
      <c r="H26878"/>
      <c r="I26878"/>
    </row>
    <row r="26879" spans="6:9" x14ac:dyDescent="0.3">
      <c r="F26879"/>
      <c r="G26879"/>
      <c r="H26879"/>
      <c r="I26879"/>
    </row>
    <row r="26880" spans="6:9" x14ac:dyDescent="0.3">
      <c r="F26880"/>
      <c r="G26880"/>
      <c r="H26880"/>
      <c r="I26880"/>
    </row>
    <row r="26881" spans="6:9" x14ac:dyDescent="0.3">
      <c r="F26881"/>
      <c r="G26881"/>
      <c r="H26881"/>
      <c r="I26881"/>
    </row>
    <row r="26882" spans="6:9" x14ac:dyDescent="0.3">
      <c r="F26882"/>
      <c r="G26882"/>
      <c r="H26882"/>
      <c r="I26882"/>
    </row>
    <row r="26883" spans="6:9" x14ac:dyDescent="0.3">
      <c r="F26883"/>
      <c r="G26883"/>
      <c r="H26883"/>
      <c r="I26883"/>
    </row>
    <row r="26884" spans="6:9" x14ac:dyDescent="0.3">
      <c r="F26884"/>
      <c r="G26884"/>
      <c r="H26884"/>
      <c r="I26884"/>
    </row>
    <row r="26885" spans="6:9" x14ac:dyDescent="0.3">
      <c r="F26885"/>
      <c r="G26885"/>
      <c r="H26885"/>
      <c r="I26885"/>
    </row>
    <row r="26886" spans="6:9" x14ac:dyDescent="0.3">
      <c r="F26886"/>
      <c r="G26886"/>
      <c r="H26886"/>
      <c r="I26886"/>
    </row>
    <row r="26887" spans="6:9" x14ac:dyDescent="0.3">
      <c r="F26887"/>
      <c r="G26887"/>
      <c r="H26887"/>
      <c r="I26887"/>
    </row>
    <row r="26888" spans="6:9" x14ac:dyDescent="0.3">
      <c r="F26888"/>
      <c r="G26888"/>
      <c r="H26888"/>
      <c r="I26888"/>
    </row>
    <row r="26889" spans="6:9" x14ac:dyDescent="0.3">
      <c r="F26889"/>
      <c r="G26889"/>
      <c r="H26889"/>
      <c r="I26889"/>
    </row>
    <row r="26890" spans="6:9" x14ac:dyDescent="0.3">
      <c r="F26890"/>
      <c r="G26890"/>
      <c r="H26890"/>
      <c r="I26890"/>
    </row>
    <row r="26891" spans="6:9" x14ac:dyDescent="0.3">
      <c r="F26891"/>
      <c r="G26891"/>
      <c r="H26891"/>
      <c r="I26891"/>
    </row>
    <row r="26892" spans="6:9" x14ac:dyDescent="0.3">
      <c r="F26892"/>
      <c r="G26892"/>
      <c r="H26892"/>
      <c r="I26892"/>
    </row>
    <row r="26893" spans="6:9" x14ac:dyDescent="0.3">
      <c r="F26893"/>
      <c r="G26893"/>
      <c r="H26893"/>
      <c r="I26893"/>
    </row>
    <row r="26894" spans="6:9" x14ac:dyDescent="0.3">
      <c r="F26894"/>
      <c r="G26894"/>
      <c r="H26894"/>
      <c r="I26894"/>
    </row>
    <row r="26895" spans="6:9" x14ac:dyDescent="0.3">
      <c r="F26895"/>
      <c r="G26895"/>
      <c r="H26895"/>
      <c r="I26895"/>
    </row>
    <row r="26896" spans="6:9" x14ac:dyDescent="0.3">
      <c r="F26896"/>
      <c r="G26896"/>
      <c r="H26896"/>
      <c r="I26896"/>
    </row>
    <row r="26897" spans="6:9" x14ac:dyDescent="0.3">
      <c r="F26897"/>
      <c r="G26897"/>
      <c r="H26897"/>
      <c r="I26897"/>
    </row>
    <row r="26898" spans="6:9" x14ac:dyDescent="0.3">
      <c r="F26898"/>
      <c r="G26898"/>
      <c r="H26898"/>
      <c r="I26898"/>
    </row>
    <row r="26899" spans="6:9" x14ac:dyDescent="0.3">
      <c r="F26899"/>
      <c r="G26899"/>
      <c r="H26899"/>
      <c r="I26899"/>
    </row>
    <row r="26900" spans="6:9" x14ac:dyDescent="0.3">
      <c r="F26900"/>
      <c r="G26900"/>
      <c r="H26900"/>
      <c r="I26900"/>
    </row>
    <row r="26901" spans="6:9" x14ac:dyDescent="0.3">
      <c r="F26901"/>
      <c r="G26901"/>
      <c r="H26901"/>
      <c r="I26901"/>
    </row>
    <row r="26902" spans="6:9" x14ac:dyDescent="0.3">
      <c r="F26902"/>
      <c r="G26902"/>
      <c r="H26902"/>
      <c r="I26902"/>
    </row>
    <row r="26903" spans="6:9" x14ac:dyDescent="0.3">
      <c r="F26903"/>
      <c r="G26903"/>
      <c r="H26903"/>
      <c r="I26903"/>
    </row>
    <row r="26904" spans="6:9" x14ac:dyDescent="0.3">
      <c r="F26904"/>
      <c r="G26904"/>
      <c r="H26904"/>
      <c r="I26904"/>
    </row>
    <row r="26905" spans="6:9" x14ac:dyDescent="0.3">
      <c r="F26905"/>
      <c r="G26905"/>
      <c r="H26905"/>
      <c r="I26905"/>
    </row>
    <row r="26906" spans="6:9" x14ac:dyDescent="0.3">
      <c r="F26906"/>
      <c r="G26906"/>
      <c r="H26906"/>
      <c r="I26906"/>
    </row>
    <row r="26907" spans="6:9" x14ac:dyDescent="0.3">
      <c r="F26907"/>
      <c r="G26907"/>
      <c r="H26907"/>
      <c r="I26907"/>
    </row>
    <row r="26908" spans="6:9" x14ac:dyDescent="0.3">
      <c r="F26908"/>
      <c r="G26908"/>
      <c r="H26908"/>
      <c r="I26908"/>
    </row>
    <row r="26909" spans="6:9" x14ac:dyDescent="0.3">
      <c r="F26909"/>
      <c r="G26909"/>
      <c r="H26909"/>
      <c r="I26909"/>
    </row>
    <row r="26910" spans="6:9" x14ac:dyDescent="0.3">
      <c r="F26910"/>
      <c r="G26910"/>
      <c r="H26910"/>
      <c r="I26910"/>
    </row>
    <row r="26911" spans="6:9" x14ac:dyDescent="0.3">
      <c r="F26911"/>
      <c r="G26911"/>
      <c r="H26911"/>
      <c r="I26911"/>
    </row>
    <row r="26912" spans="6:9" x14ac:dyDescent="0.3">
      <c r="F26912"/>
      <c r="G26912"/>
      <c r="H26912"/>
      <c r="I26912"/>
    </row>
    <row r="26913" spans="6:9" x14ac:dyDescent="0.3">
      <c r="F26913"/>
      <c r="G26913"/>
      <c r="H26913"/>
      <c r="I26913"/>
    </row>
    <row r="26914" spans="6:9" x14ac:dyDescent="0.3">
      <c r="F26914"/>
      <c r="G26914"/>
      <c r="H26914"/>
      <c r="I26914"/>
    </row>
    <row r="26915" spans="6:9" x14ac:dyDescent="0.3">
      <c r="F26915"/>
      <c r="G26915"/>
      <c r="H26915"/>
      <c r="I26915"/>
    </row>
    <row r="26916" spans="6:9" x14ac:dyDescent="0.3">
      <c r="F26916"/>
      <c r="G26916"/>
      <c r="H26916"/>
      <c r="I26916"/>
    </row>
    <row r="26917" spans="6:9" x14ac:dyDescent="0.3">
      <c r="F26917"/>
      <c r="G26917"/>
      <c r="H26917"/>
      <c r="I26917"/>
    </row>
    <row r="26918" spans="6:9" x14ac:dyDescent="0.3">
      <c r="F26918"/>
      <c r="G26918"/>
      <c r="H26918"/>
      <c r="I26918"/>
    </row>
    <row r="26919" spans="6:9" x14ac:dyDescent="0.3">
      <c r="F26919"/>
      <c r="G26919"/>
      <c r="H26919"/>
      <c r="I26919"/>
    </row>
    <row r="26920" spans="6:9" x14ac:dyDescent="0.3">
      <c r="F26920"/>
      <c r="G26920"/>
      <c r="H26920"/>
      <c r="I26920"/>
    </row>
    <row r="26921" spans="6:9" x14ac:dyDescent="0.3">
      <c r="F26921"/>
      <c r="G26921"/>
      <c r="H26921"/>
      <c r="I26921"/>
    </row>
    <row r="26922" spans="6:9" x14ac:dyDescent="0.3">
      <c r="F26922"/>
      <c r="G26922"/>
      <c r="H26922"/>
      <c r="I26922"/>
    </row>
    <row r="26923" spans="6:9" x14ac:dyDescent="0.3">
      <c r="F26923"/>
      <c r="G26923"/>
      <c r="H26923"/>
      <c r="I26923"/>
    </row>
    <row r="26924" spans="6:9" x14ac:dyDescent="0.3">
      <c r="F26924"/>
      <c r="G26924"/>
      <c r="H26924"/>
      <c r="I26924"/>
    </row>
    <row r="26925" spans="6:9" x14ac:dyDescent="0.3">
      <c r="F26925"/>
      <c r="G26925"/>
      <c r="H26925"/>
      <c r="I26925"/>
    </row>
    <row r="26926" spans="6:9" x14ac:dyDescent="0.3">
      <c r="F26926"/>
      <c r="G26926"/>
      <c r="H26926"/>
      <c r="I26926"/>
    </row>
    <row r="26927" spans="6:9" x14ac:dyDescent="0.3">
      <c r="F26927"/>
      <c r="G26927"/>
      <c r="H26927"/>
      <c r="I26927"/>
    </row>
    <row r="26928" spans="6:9" x14ac:dyDescent="0.3">
      <c r="F26928"/>
      <c r="G26928"/>
      <c r="H26928"/>
      <c r="I26928"/>
    </row>
    <row r="26929" spans="6:9" x14ac:dyDescent="0.3">
      <c r="F26929"/>
      <c r="G26929"/>
      <c r="H26929"/>
      <c r="I26929"/>
    </row>
    <row r="26930" spans="6:9" x14ac:dyDescent="0.3">
      <c r="F26930"/>
      <c r="G26930"/>
      <c r="H26930"/>
      <c r="I26930"/>
    </row>
    <row r="26931" spans="6:9" x14ac:dyDescent="0.3">
      <c r="F26931"/>
      <c r="G26931"/>
      <c r="H26931"/>
      <c r="I26931"/>
    </row>
    <row r="26932" spans="6:9" x14ac:dyDescent="0.3">
      <c r="F26932"/>
      <c r="G26932"/>
      <c r="H26932"/>
      <c r="I26932"/>
    </row>
    <row r="26933" spans="6:9" x14ac:dyDescent="0.3">
      <c r="F26933"/>
      <c r="G26933"/>
      <c r="H26933"/>
      <c r="I26933"/>
    </row>
    <row r="26934" spans="6:9" x14ac:dyDescent="0.3">
      <c r="F26934"/>
      <c r="G26934"/>
      <c r="H26934"/>
      <c r="I26934"/>
    </row>
    <row r="26935" spans="6:9" x14ac:dyDescent="0.3">
      <c r="F26935"/>
      <c r="G26935"/>
      <c r="H26935"/>
      <c r="I26935"/>
    </row>
    <row r="26936" spans="6:9" x14ac:dyDescent="0.3">
      <c r="F26936"/>
      <c r="G26936"/>
      <c r="H26936"/>
      <c r="I26936"/>
    </row>
    <row r="26937" spans="6:9" x14ac:dyDescent="0.3">
      <c r="F26937"/>
      <c r="G26937"/>
      <c r="H26937"/>
      <c r="I26937"/>
    </row>
    <row r="26938" spans="6:9" x14ac:dyDescent="0.3">
      <c r="F26938"/>
      <c r="G26938"/>
      <c r="H26938"/>
      <c r="I26938"/>
    </row>
    <row r="26939" spans="6:9" x14ac:dyDescent="0.3">
      <c r="F26939"/>
      <c r="G26939"/>
      <c r="H26939"/>
      <c r="I26939"/>
    </row>
    <row r="26940" spans="6:9" x14ac:dyDescent="0.3">
      <c r="F26940"/>
      <c r="G26940"/>
      <c r="H26940"/>
      <c r="I26940"/>
    </row>
    <row r="26941" spans="6:9" x14ac:dyDescent="0.3">
      <c r="F26941"/>
      <c r="G26941"/>
      <c r="H26941"/>
      <c r="I26941"/>
    </row>
    <row r="26942" spans="6:9" x14ac:dyDescent="0.3">
      <c r="F26942"/>
      <c r="G26942"/>
      <c r="H26942"/>
      <c r="I26942"/>
    </row>
    <row r="26943" spans="6:9" x14ac:dyDescent="0.3">
      <c r="F26943"/>
      <c r="G26943"/>
      <c r="H26943"/>
      <c r="I26943"/>
    </row>
    <row r="26944" spans="6:9" x14ac:dyDescent="0.3">
      <c r="F26944"/>
      <c r="G26944"/>
      <c r="H26944"/>
      <c r="I26944"/>
    </row>
    <row r="26945" spans="6:9" x14ac:dyDescent="0.3">
      <c r="F26945"/>
      <c r="G26945"/>
      <c r="H26945"/>
      <c r="I26945"/>
    </row>
    <row r="26946" spans="6:9" x14ac:dyDescent="0.3">
      <c r="F26946"/>
      <c r="G26946"/>
      <c r="H26946"/>
      <c r="I26946"/>
    </row>
    <row r="26947" spans="6:9" x14ac:dyDescent="0.3">
      <c r="F26947"/>
      <c r="G26947"/>
      <c r="H26947"/>
      <c r="I26947"/>
    </row>
    <row r="26948" spans="6:9" x14ac:dyDescent="0.3">
      <c r="F26948"/>
      <c r="G26948"/>
      <c r="H26948"/>
      <c r="I26948"/>
    </row>
    <row r="26949" spans="6:9" x14ac:dyDescent="0.3">
      <c r="F26949"/>
      <c r="G26949"/>
      <c r="H26949"/>
      <c r="I26949"/>
    </row>
    <row r="26950" spans="6:9" x14ac:dyDescent="0.3">
      <c r="F26950"/>
      <c r="G26950"/>
      <c r="H26950"/>
      <c r="I26950"/>
    </row>
    <row r="26951" spans="6:9" x14ac:dyDescent="0.3">
      <c r="F26951"/>
      <c r="G26951"/>
      <c r="H26951"/>
      <c r="I26951"/>
    </row>
    <row r="26952" spans="6:9" x14ac:dyDescent="0.3">
      <c r="F26952"/>
      <c r="G26952"/>
      <c r="H26952"/>
      <c r="I26952"/>
    </row>
    <row r="26953" spans="6:9" x14ac:dyDescent="0.3">
      <c r="F26953"/>
      <c r="G26953"/>
      <c r="H26953"/>
      <c r="I26953"/>
    </row>
    <row r="26954" spans="6:9" x14ac:dyDescent="0.3">
      <c r="F26954"/>
      <c r="G26954"/>
      <c r="H26954"/>
      <c r="I26954"/>
    </row>
    <row r="26955" spans="6:9" x14ac:dyDescent="0.3">
      <c r="F26955"/>
      <c r="G26955"/>
      <c r="H26955"/>
      <c r="I26955"/>
    </row>
    <row r="26956" spans="6:9" x14ac:dyDescent="0.3">
      <c r="F26956"/>
      <c r="G26956"/>
      <c r="H26956"/>
      <c r="I26956"/>
    </row>
    <row r="26957" spans="6:9" x14ac:dyDescent="0.3">
      <c r="F26957"/>
      <c r="G26957"/>
      <c r="H26957"/>
      <c r="I26957"/>
    </row>
    <row r="26958" spans="6:9" x14ac:dyDescent="0.3">
      <c r="F26958"/>
      <c r="G26958"/>
      <c r="H26958"/>
      <c r="I26958"/>
    </row>
    <row r="26959" spans="6:9" x14ac:dyDescent="0.3">
      <c r="F26959"/>
      <c r="G26959"/>
      <c r="H26959"/>
      <c r="I26959"/>
    </row>
    <row r="26960" spans="6:9" x14ac:dyDescent="0.3">
      <c r="F26960"/>
      <c r="G26960"/>
      <c r="H26960"/>
      <c r="I26960"/>
    </row>
    <row r="26961" spans="6:9" x14ac:dyDescent="0.3">
      <c r="F26961"/>
      <c r="G26961"/>
      <c r="H26961"/>
      <c r="I26961"/>
    </row>
    <row r="26962" spans="6:9" x14ac:dyDescent="0.3">
      <c r="F26962"/>
      <c r="G26962"/>
      <c r="H26962"/>
      <c r="I26962"/>
    </row>
    <row r="26963" spans="6:9" x14ac:dyDescent="0.3">
      <c r="F26963"/>
      <c r="G26963"/>
      <c r="H26963"/>
      <c r="I26963"/>
    </row>
    <row r="26964" spans="6:9" x14ac:dyDescent="0.3">
      <c r="F26964"/>
      <c r="G26964"/>
      <c r="H26964"/>
      <c r="I26964"/>
    </row>
    <row r="26965" spans="6:9" x14ac:dyDescent="0.3">
      <c r="F26965"/>
      <c r="G26965"/>
      <c r="H26965"/>
      <c r="I26965"/>
    </row>
    <row r="26966" spans="6:9" x14ac:dyDescent="0.3">
      <c r="F26966"/>
      <c r="G26966"/>
      <c r="H26966"/>
      <c r="I26966"/>
    </row>
    <row r="26967" spans="6:9" x14ac:dyDescent="0.3">
      <c r="F26967"/>
      <c r="G26967"/>
      <c r="H26967"/>
      <c r="I26967"/>
    </row>
    <row r="26968" spans="6:9" x14ac:dyDescent="0.3">
      <c r="F26968"/>
      <c r="G26968"/>
      <c r="H26968"/>
      <c r="I26968"/>
    </row>
    <row r="26969" spans="6:9" x14ac:dyDescent="0.3">
      <c r="F26969"/>
      <c r="G26969"/>
      <c r="H26969"/>
      <c r="I26969"/>
    </row>
    <row r="26970" spans="6:9" x14ac:dyDescent="0.3">
      <c r="F26970"/>
      <c r="G26970"/>
      <c r="H26970"/>
      <c r="I26970"/>
    </row>
    <row r="26971" spans="6:9" x14ac:dyDescent="0.3">
      <c r="F26971"/>
      <c r="G26971"/>
      <c r="H26971"/>
      <c r="I26971"/>
    </row>
    <row r="26972" spans="6:9" x14ac:dyDescent="0.3">
      <c r="F26972"/>
      <c r="G26972"/>
      <c r="H26972"/>
      <c r="I26972"/>
    </row>
    <row r="26973" spans="6:9" x14ac:dyDescent="0.3">
      <c r="F26973"/>
      <c r="G26973"/>
      <c r="H26973"/>
      <c r="I26973"/>
    </row>
    <row r="26974" spans="6:9" x14ac:dyDescent="0.3">
      <c r="F26974"/>
      <c r="G26974"/>
      <c r="H26974"/>
      <c r="I26974"/>
    </row>
    <row r="26975" spans="6:9" x14ac:dyDescent="0.3">
      <c r="F26975"/>
      <c r="G26975"/>
      <c r="H26975"/>
      <c r="I26975"/>
    </row>
    <row r="26976" spans="6:9" x14ac:dyDescent="0.3">
      <c r="F26976"/>
      <c r="G26976"/>
      <c r="H26976"/>
      <c r="I26976"/>
    </row>
    <row r="26977" spans="6:9" x14ac:dyDescent="0.3">
      <c r="F26977"/>
      <c r="G26977"/>
      <c r="H26977"/>
      <c r="I26977"/>
    </row>
    <row r="26978" spans="6:9" x14ac:dyDescent="0.3">
      <c r="F26978"/>
      <c r="G26978"/>
      <c r="H26978"/>
      <c r="I26978"/>
    </row>
    <row r="26979" spans="6:9" x14ac:dyDescent="0.3">
      <c r="F26979"/>
      <c r="G26979"/>
      <c r="H26979"/>
      <c r="I26979"/>
    </row>
    <row r="26980" spans="6:9" x14ac:dyDescent="0.3">
      <c r="F26980"/>
      <c r="G26980"/>
      <c r="H26980"/>
      <c r="I26980"/>
    </row>
    <row r="26981" spans="6:9" x14ac:dyDescent="0.3">
      <c r="F26981"/>
      <c r="G26981"/>
      <c r="H26981"/>
      <c r="I26981"/>
    </row>
    <row r="26982" spans="6:9" x14ac:dyDescent="0.3">
      <c r="F26982"/>
      <c r="G26982"/>
      <c r="H26982"/>
      <c r="I26982"/>
    </row>
    <row r="26983" spans="6:9" x14ac:dyDescent="0.3">
      <c r="F26983"/>
      <c r="G26983"/>
      <c r="H26983"/>
      <c r="I26983"/>
    </row>
    <row r="26984" spans="6:9" x14ac:dyDescent="0.3">
      <c r="F26984"/>
      <c r="G26984"/>
      <c r="H26984"/>
      <c r="I26984"/>
    </row>
    <row r="26985" spans="6:9" x14ac:dyDescent="0.3">
      <c r="F26985"/>
      <c r="G26985"/>
      <c r="H26985"/>
      <c r="I26985"/>
    </row>
    <row r="26986" spans="6:9" x14ac:dyDescent="0.3">
      <c r="F26986"/>
      <c r="G26986"/>
      <c r="H26986"/>
      <c r="I26986"/>
    </row>
    <row r="26987" spans="6:9" x14ac:dyDescent="0.3">
      <c r="F26987"/>
      <c r="G26987"/>
      <c r="H26987"/>
      <c r="I26987"/>
    </row>
    <row r="26988" spans="6:9" x14ac:dyDescent="0.3">
      <c r="F26988"/>
      <c r="G26988"/>
      <c r="H26988"/>
      <c r="I26988"/>
    </row>
    <row r="26989" spans="6:9" x14ac:dyDescent="0.3">
      <c r="F26989"/>
      <c r="G26989"/>
      <c r="H26989"/>
      <c r="I26989"/>
    </row>
    <row r="26990" spans="6:9" x14ac:dyDescent="0.3">
      <c r="F26990"/>
      <c r="G26990"/>
      <c r="H26990"/>
      <c r="I26990"/>
    </row>
    <row r="26991" spans="6:9" x14ac:dyDescent="0.3">
      <c r="F26991"/>
      <c r="G26991"/>
      <c r="H26991"/>
      <c r="I26991"/>
    </row>
    <row r="26992" spans="6:9" x14ac:dyDescent="0.3">
      <c r="F26992"/>
      <c r="G26992"/>
      <c r="H26992"/>
      <c r="I26992"/>
    </row>
    <row r="26993" spans="6:9" x14ac:dyDescent="0.3">
      <c r="F26993"/>
      <c r="G26993"/>
      <c r="H26993"/>
      <c r="I26993"/>
    </row>
    <row r="26994" spans="6:9" x14ac:dyDescent="0.3">
      <c r="F26994"/>
      <c r="G26994"/>
      <c r="H26994"/>
      <c r="I26994"/>
    </row>
    <row r="26995" spans="6:9" x14ac:dyDescent="0.3">
      <c r="F26995"/>
      <c r="G26995"/>
      <c r="H26995"/>
      <c r="I26995"/>
    </row>
    <row r="26996" spans="6:9" x14ac:dyDescent="0.3">
      <c r="F26996"/>
      <c r="G26996"/>
      <c r="H26996"/>
      <c r="I26996"/>
    </row>
    <row r="26997" spans="6:9" x14ac:dyDescent="0.3">
      <c r="F26997"/>
      <c r="G26997"/>
      <c r="H26997"/>
      <c r="I26997"/>
    </row>
    <row r="26998" spans="6:9" x14ac:dyDescent="0.3">
      <c r="F26998"/>
      <c r="G26998"/>
      <c r="H26998"/>
      <c r="I26998"/>
    </row>
    <row r="26999" spans="6:9" x14ac:dyDescent="0.3">
      <c r="F26999"/>
      <c r="G26999"/>
      <c r="H26999"/>
      <c r="I26999"/>
    </row>
    <row r="27000" spans="6:9" x14ac:dyDescent="0.3">
      <c r="F27000"/>
      <c r="G27000"/>
      <c r="H27000"/>
      <c r="I27000"/>
    </row>
    <row r="27001" spans="6:9" x14ac:dyDescent="0.3">
      <c r="F27001"/>
      <c r="G27001"/>
      <c r="H27001"/>
      <c r="I27001"/>
    </row>
    <row r="27002" spans="6:9" x14ac:dyDescent="0.3">
      <c r="F27002"/>
      <c r="G27002"/>
      <c r="H27002"/>
      <c r="I27002"/>
    </row>
    <row r="27003" spans="6:9" x14ac:dyDescent="0.3">
      <c r="F27003"/>
      <c r="G27003"/>
      <c r="H27003"/>
      <c r="I27003"/>
    </row>
    <row r="27004" spans="6:9" x14ac:dyDescent="0.3">
      <c r="F27004"/>
      <c r="G27004"/>
      <c r="H27004"/>
      <c r="I27004"/>
    </row>
    <row r="27005" spans="6:9" x14ac:dyDescent="0.3">
      <c r="F27005"/>
      <c r="G27005"/>
      <c r="H27005"/>
      <c r="I27005"/>
    </row>
    <row r="27006" spans="6:9" x14ac:dyDescent="0.3">
      <c r="F27006"/>
      <c r="G27006"/>
      <c r="H27006"/>
      <c r="I27006"/>
    </row>
    <row r="27007" spans="6:9" x14ac:dyDescent="0.3">
      <c r="F27007"/>
      <c r="G27007"/>
      <c r="H27007"/>
      <c r="I27007"/>
    </row>
    <row r="27008" spans="6:9" x14ac:dyDescent="0.3">
      <c r="F27008"/>
      <c r="G27008"/>
      <c r="H27008"/>
      <c r="I27008"/>
    </row>
    <row r="27009" spans="6:9" x14ac:dyDescent="0.3">
      <c r="F27009"/>
      <c r="G27009"/>
      <c r="H27009"/>
      <c r="I27009"/>
    </row>
    <row r="27010" spans="6:9" x14ac:dyDescent="0.3">
      <c r="F27010"/>
      <c r="G27010"/>
      <c r="H27010"/>
      <c r="I27010"/>
    </row>
    <row r="27011" spans="6:9" x14ac:dyDescent="0.3">
      <c r="F27011"/>
      <c r="G27011"/>
      <c r="H27011"/>
      <c r="I27011"/>
    </row>
    <row r="27012" spans="6:9" x14ac:dyDescent="0.3">
      <c r="F27012"/>
      <c r="G27012"/>
      <c r="H27012"/>
      <c r="I27012"/>
    </row>
    <row r="27013" spans="6:9" x14ac:dyDescent="0.3">
      <c r="F27013"/>
      <c r="G27013"/>
      <c r="H27013"/>
      <c r="I27013"/>
    </row>
    <row r="27014" spans="6:9" x14ac:dyDescent="0.3">
      <c r="F27014"/>
      <c r="G27014"/>
      <c r="H27014"/>
      <c r="I27014"/>
    </row>
    <row r="27015" spans="6:9" x14ac:dyDescent="0.3">
      <c r="F27015"/>
      <c r="G27015"/>
      <c r="H27015"/>
      <c r="I27015"/>
    </row>
    <row r="27016" spans="6:9" x14ac:dyDescent="0.3">
      <c r="F27016"/>
      <c r="G27016"/>
      <c r="H27016"/>
      <c r="I27016"/>
    </row>
    <row r="27017" spans="6:9" x14ac:dyDescent="0.3">
      <c r="F27017"/>
      <c r="G27017"/>
      <c r="H27017"/>
      <c r="I27017"/>
    </row>
    <row r="27018" spans="6:9" x14ac:dyDescent="0.3">
      <c r="F27018"/>
      <c r="G27018"/>
      <c r="H27018"/>
      <c r="I27018"/>
    </row>
    <row r="27019" spans="6:9" x14ac:dyDescent="0.3">
      <c r="F27019"/>
      <c r="G27019"/>
      <c r="H27019"/>
      <c r="I27019"/>
    </row>
    <row r="27020" spans="6:9" x14ac:dyDescent="0.3">
      <c r="F27020"/>
      <c r="G27020"/>
      <c r="H27020"/>
      <c r="I27020"/>
    </row>
    <row r="27021" spans="6:9" x14ac:dyDescent="0.3">
      <c r="F27021"/>
      <c r="G27021"/>
      <c r="H27021"/>
      <c r="I27021"/>
    </row>
    <row r="27022" spans="6:9" x14ac:dyDescent="0.3">
      <c r="F27022"/>
      <c r="G27022"/>
      <c r="H27022"/>
      <c r="I27022"/>
    </row>
    <row r="27023" spans="6:9" x14ac:dyDescent="0.3">
      <c r="F27023"/>
      <c r="G27023"/>
      <c r="H27023"/>
      <c r="I27023"/>
    </row>
    <row r="27024" spans="6:9" x14ac:dyDescent="0.3">
      <c r="F27024"/>
      <c r="G27024"/>
      <c r="H27024"/>
      <c r="I27024"/>
    </row>
    <row r="27025" spans="6:9" x14ac:dyDescent="0.3">
      <c r="F27025"/>
      <c r="G27025"/>
      <c r="H27025"/>
      <c r="I27025"/>
    </row>
    <row r="27026" spans="6:9" x14ac:dyDescent="0.3">
      <c r="F27026"/>
      <c r="G27026"/>
      <c r="H27026"/>
      <c r="I27026"/>
    </row>
    <row r="27027" spans="6:9" x14ac:dyDescent="0.3">
      <c r="F27027"/>
      <c r="G27027"/>
      <c r="H27027"/>
      <c r="I27027"/>
    </row>
    <row r="27028" spans="6:9" x14ac:dyDescent="0.3">
      <c r="F27028"/>
      <c r="G27028"/>
      <c r="H27028"/>
      <c r="I27028"/>
    </row>
    <row r="27029" spans="6:9" x14ac:dyDescent="0.3">
      <c r="F27029"/>
      <c r="G27029"/>
      <c r="H27029"/>
      <c r="I27029"/>
    </row>
    <row r="27030" spans="6:9" x14ac:dyDescent="0.3">
      <c r="F27030"/>
      <c r="G27030"/>
      <c r="H27030"/>
      <c r="I27030"/>
    </row>
    <row r="27031" spans="6:9" x14ac:dyDescent="0.3">
      <c r="F27031"/>
      <c r="G27031"/>
      <c r="H27031"/>
      <c r="I27031"/>
    </row>
    <row r="27032" spans="6:9" x14ac:dyDescent="0.3">
      <c r="F27032"/>
      <c r="G27032"/>
      <c r="H27032"/>
      <c r="I27032"/>
    </row>
    <row r="27033" spans="6:9" x14ac:dyDescent="0.3">
      <c r="F27033"/>
      <c r="G27033"/>
      <c r="H27033"/>
      <c r="I27033"/>
    </row>
    <row r="27034" spans="6:9" x14ac:dyDescent="0.3">
      <c r="F27034"/>
      <c r="G27034"/>
      <c r="H27034"/>
      <c r="I27034"/>
    </row>
    <row r="27035" spans="6:9" x14ac:dyDescent="0.3">
      <c r="F27035"/>
      <c r="G27035"/>
      <c r="H27035"/>
      <c r="I27035"/>
    </row>
    <row r="27036" spans="6:9" x14ac:dyDescent="0.3">
      <c r="F27036"/>
      <c r="G27036"/>
      <c r="H27036"/>
      <c r="I27036"/>
    </row>
    <row r="27037" spans="6:9" x14ac:dyDescent="0.3">
      <c r="F27037"/>
      <c r="G27037"/>
      <c r="H27037"/>
      <c r="I27037"/>
    </row>
    <row r="27038" spans="6:9" x14ac:dyDescent="0.3">
      <c r="F27038"/>
      <c r="G27038"/>
      <c r="H27038"/>
      <c r="I27038"/>
    </row>
    <row r="27039" spans="6:9" x14ac:dyDescent="0.3">
      <c r="F27039"/>
      <c r="G27039"/>
      <c r="H27039"/>
      <c r="I27039"/>
    </row>
    <row r="27040" spans="6:9" x14ac:dyDescent="0.3">
      <c r="F27040"/>
      <c r="G27040"/>
      <c r="H27040"/>
      <c r="I27040"/>
    </row>
    <row r="27041" spans="6:9" x14ac:dyDescent="0.3">
      <c r="F27041"/>
      <c r="G27041"/>
      <c r="H27041"/>
      <c r="I27041"/>
    </row>
    <row r="27042" spans="6:9" x14ac:dyDescent="0.3">
      <c r="F27042"/>
      <c r="G27042"/>
      <c r="H27042"/>
      <c r="I27042"/>
    </row>
    <row r="27043" spans="6:9" x14ac:dyDescent="0.3">
      <c r="F27043"/>
      <c r="G27043"/>
      <c r="H27043"/>
      <c r="I27043"/>
    </row>
    <row r="27044" spans="6:9" x14ac:dyDescent="0.3">
      <c r="F27044"/>
      <c r="G27044"/>
      <c r="H27044"/>
      <c r="I27044"/>
    </row>
    <row r="27045" spans="6:9" x14ac:dyDescent="0.3">
      <c r="F27045"/>
      <c r="G27045"/>
      <c r="H27045"/>
      <c r="I27045"/>
    </row>
    <row r="27046" spans="6:9" x14ac:dyDescent="0.3">
      <c r="F27046"/>
      <c r="G27046"/>
      <c r="H27046"/>
      <c r="I27046"/>
    </row>
    <row r="27047" spans="6:9" x14ac:dyDescent="0.3">
      <c r="F27047"/>
      <c r="G27047"/>
      <c r="H27047"/>
      <c r="I27047"/>
    </row>
    <row r="27048" spans="6:9" x14ac:dyDescent="0.3">
      <c r="F27048"/>
      <c r="G27048"/>
      <c r="H27048"/>
      <c r="I27048"/>
    </row>
    <row r="27049" spans="6:9" x14ac:dyDescent="0.3">
      <c r="F27049"/>
      <c r="G27049"/>
      <c r="H27049"/>
      <c r="I27049"/>
    </row>
    <row r="27050" spans="6:9" x14ac:dyDescent="0.3">
      <c r="F27050"/>
      <c r="G27050"/>
      <c r="H27050"/>
      <c r="I27050"/>
    </row>
    <row r="27051" spans="6:9" x14ac:dyDescent="0.3">
      <c r="F27051"/>
      <c r="G27051"/>
      <c r="H27051"/>
      <c r="I27051"/>
    </row>
    <row r="27052" spans="6:9" x14ac:dyDescent="0.3">
      <c r="F27052"/>
      <c r="G27052"/>
      <c r="H27052"/>
      <c r="I27052"/>
    </row>
    <row r="27053" spans="6:9" x14ac:dyDescent="0.3">
      <c r="F27053"/>
      <c r="G27053"/>
      <c r="H27053"/>
      <c r="I27053"/>
    </row>
    <row r="27054" spans="6:9" x14ac:dyDescent="0.3">
      <c r="F27054"/>
      <c r="G27054"/>
      <c r="H27054"/>
      <c r="I27054"/>
    </row>
    <row r="27055" spans="6:9" x14ac:dyDescent="0.3">
      <c r="F27055"/>
      <c r="G27055"/>
      <c r="H27055"/>
      <c r="I27055"/>
    </row>
    <row r="27056" spans="6:9" x14ac:dyDescent="0.3">
      <c r="F27056"/>
      <c r="G27056"/>
      <c r="H27056"/>
      <c r="I27056"/>
    </row>
    <row r="27057" spans="6:9" x14ac:dyDescent="0.3">
      <c r="F27057"/>
      <c r="G27057"/>
      <c r="H27057"/>
      <c r="I27057"/>
    </row>
    <row r="27058" spans="6:9" x14ac:dyDescent="0.3">
      <c r="F27058"/>
      <c r="G27058"/>
      <c r="H27058"/>
      <c r="I27058"/>
    </row>
    <row r="27059" spans="6:9" x14ac:dyDescent="0.3">
      <c r="F27059"/>
      <c r="G27059"/>
      <c r="H27059"/>
      <c r="I27059"/>
    </row>
    <row r="27060" spans="6:9" x14ac:dyDescent="0.3">
      <c r="F27060"/>
      <c r="G27060"/>
      <c r="H27060"/>
      <c r="I27060"/>
    </row>
    <row r="27061" spans="6:9" x14ac:dyDescent="0.3">
      <c r="F27061"/>
      <c r="G27061"/>
      <c r="H27061"/>
      <c r="I27061"/>
    </row>
    <row r="27062" spans="6:9" x14ac:dyDescent="0.3">
      <c r="F27062"/>
      <c r="G27062"/>
      <c r="H27062"/>
      <c r="I27062"/>
    </row>
    <row r="27063" spans="6:9" x14ac:dyDescent="0.3">
      <c r="F27063"/>
      <c r="G27063"/>
      <c r="H27063"/>
      <c r="I27063"/>
    </row>
    <row r="27064" spans="6:9" x14ac:dyDescent="0.3">
      <c r="F27064"/>
      <c r="G27064"/>
      <c r="H27064"/>
      <c r="I27064"/>
    </row>
    <row r="27065" spans="6:9" x14ac:dyDescent="0.3">
      <c r="F27065"/>
      <c r="G27065"/>
      <c r="H27065"/>
      <c r="I27065"/>
    </row>
    <row r="27066" spans="6:9" x14ac:dyDescent="0.3">
      <c r="F27066"/>
      <c r="G27066"/>
      <c r="H27066"/>
      <c r="I27066"/>
    </row>
    <row r="27067" spans="6:9" x14ac:dyDescent="0.3">
      <c r="F27067"/>
      <c r="G27067"/>
      <c r="H27067"/>
      <c r="I27067"/>
    </row>
    <row r="27068" spans="6:9" x14ac:dyDescent="0.3">
      <c r="F27068"/>
      <c r="G27068"/>
      <c r="H27068"/>
      <c r="I27068"/>
    </row>
    <row r="27069" spans="6:9" x14ac:dyDescent="0.3">
      <c r="F27069"/>
      <c r="G27069"/>
      <c r="H27069"/>
      <c r="I27069"/>
    </row>
    <row r="27070" spans="6:9" x14ac:dyDescent="0.3">
      <c r="F27070"/>
      <c r="G27070"/>
      <c r="H27070"/>
      <c r="I27070"/>
    </row>
    <row r="27071" spans="6:9" x14ac:dyDescent="0.3">
      <c r="F27071"/>
      <c r="G27071"/>
      <c r="H27071"/>
      <c r="I27071"/>
    </row>
    <row r="27072" spans="6:9" x14ac:dyDescent="0.3">
      <c r="F27072"/>
      <c r="G27072"/>
      <c r="H27072"/>
      <c r="I27072"/>
    </row>
    <row r="27073" spans="6:9" x14ac:dyDescent="0.3">
      <c r="F27073"/>
      <c r="G27073"/>
      <c r="H27073"/>
      <c r="I27073"/>
    </row>
    <row r="27074" spans="6:9" x14ac:dyDescent="0.3">
      <c r="F27074"/>
      <c r="G27074"/>
      <c r="H27074"/>
      <c r="I27074"/>
    </row>
    <row r="27075" spans="6:9" x14ac:dyDescent="0.3">
      <c r="F27075"/>
      <c r="G27075"/>
      <c r="H27075"/>
      <c r="I27075"/>
    </row>
    <row r="27076" spans="6:9" x14ac:dyDescent="0.3">
      <c r="F27076"/>
      <c r="G27076"/>
      <c r="H27076"/>
      <c r="I27076"/>
    </row>
    <row r="27077" spans="6:9" x14ac:dyDescent="0.3">
      <c r="F27077"/>
      <c r="G27077"/>
      <c r="H27077"/>
      <c r="I27077"/>
    </row>
    <row r="27078" spans="6:9" x14ac:dyDescent="0.3">
      <c r="F27078"/>
      <c r="G27078"/>
      <c r="H27078"/>
      <c r="I27078"/>
    </row>
    <row r="27079" spans="6:9" x14ac:dyDescent="0.3">
      <c r="F27079"/>
      <c r="G27079"/>
      <c r="H27079"/>
      <c r="I27079"/>
    </row>
    <row r="27080" spans="6:9" x14ac:dyDescent="0.3">
      <c r="F27080"/>
      <c r="G27080"/>
      <c r="H27080"/>
      <c r="I27080"/>
    </row>
    <row r="27081" spans="6:9" x14ac:dyDescent="0.3">
      <c r="F27081"/>
      <c r="G27081"/>
      <c r="H27081"/>
      <c r="I27081"/>
    </row>
    <row r="27082" spans="6:9" x14ac:dyDescent="0.3">
      <c r="F27082"/>
      <c r="G27082"/>
      <c r="H27082"/>
      <c r="I27082"/>
    </row>
    <row r="27083" spans="6:9" x14ac:dyDescent="0.3">
      <c r="F27083"/>
      <c r="G27083"/>
      <c r="H27083"/>
      <c r="I27083"/>
    </row>
    <row r="27084" spans="6:9" x14ac:dyDescent="0.3">
      <c r="F27084"/>
      <c r="G27084"/>
      <c r="H27084"/>
      <c r="I27084"/>
    </row>
    <row r="27085" spans="6:9" x14ac:dyDescent="0.3">
      <c r="F27085"/>
      <c r="G27085"/>
      <c r="H27085"/>
      <c r="I27085"/>
    </row>
    <row r="27086" spans="6:9" x14ac:dyDescent="0.3">
      <c r="F27086"/>
      <c r="G27086"/>
      <c r="H27086"/>
      <c r="I27086"/>
    </row>
    <row r="27087" spans="6:9" x14ac:dyDescent="0.3">
      <c r="F27087"/>
      <c r="G27087"/>
      <c r="H27087"/>
      <c r="I27087"/>
    </row>
    <row r="27088" spans="6:9" x14ac:dyDescent="0.3">
      <c r="F27088"/>
      <c r="G27088"/>
      <c r="H27088"/>
      <c r="I27088"/>
    </row>
    <row r="27089" spans="6:9" x14ac:dyDescent="0.3">
      <c r="F27089"/>
      <c r="G27089"/>
      <c r="H27089"/>
      <c r="I27089"/>
    </row>
    <row r="27090" spans="6:9" x14ac:dyDescent="0.3">
      <c r="F27090"/>
      <c r="G27090"/>
      <c r="H27090"/>
      <c r="I27090"/>
    </row>
    <row r="27091" spans="6:9" x14ac:dyDescent="0.3">
      <c r="F27091"/>
      <c r="G27091"/>
      <c r="H27091"/>
      <c r="I27091"/>
    </row>
    <row r="27092" spans="6:9" x14ac:dyDescent="0.3">
      <c r="F27092"/>
      <c r="G27092"/>
      <c r="H27092"/>
      <c r="I27092"/>
    </row>
    <row r="27093" spans="6:9" x14ac:dyDescent="0.3">
      <c r="F27093"/>
      <c r="G27093"/>
      <c r="H27093"/>
      <c r="I27093"/>
    </row>
    <row r="27094" spans="6:9" x14ac:dyDescent="0.3">
      <c r="F27094"/>
      <c r="G27094"/>
      <c r="H27094"/>
      <c r="I27094"/>
    </row>
    <row r="27095" spans="6:9" x14ac:dyDescent="0.3">
      <c r="F27095"/>
      <c r="G27095"/>
      <c r="H27095"/>
      <c r="I27095"/>
    </row>
    <row r="27096" spans="6:9" x14ac:dyDescent="0.3">
      <c r="F27096"/>
      <c r="G27096"/>
      <c r="H27096"/>
      <c r="I27096"/>
    </row>
    <row r="27097" spans="6:9" x14ac:dyDescent="0.3">
      <c r="F27097"/>
      <c r="G27097"/>
      <c r="H27097"/>
      <c r="I27097"/>
    </row>
    <row r="27098" spans="6:9" x14ac:dyDescent="0.3">
      <c r="F27098"/>
      <c r="G27098"/>
      <c r="H27098"/>
      <c r="I27098"/>
    </row>
    <row r="27099" spans="6:9" x14ac:dyDescent="0.3">
      <c r="F27099"/>
      <c r="G27099"/>
      <c r="H27099"/>
      <c r="I27099"/>
    </row>
    <row r="27100" spans="6:9" x14ac:dyDescent="0.3">
      <c r="F27100"/>
      <c r="G27100"/>
      <c r="H27100"/>
      <c r="I27100"/>
    </row>
    <row r="27101" spans="6:9" x14ac:dyDescent="0.3">
      <c r="F27101"/>
      <c r="G27101"/>
      <c r="H27101"/>
      <c r="I27101"/>
    </row>
    <row r="27102" spans="6:9" x14ac:dyDescent="0.3">
      <c r="F27102"/>
      <c r="G27102"/>
      <c r="H27102"/>
      <c r="I27102"/>
    </row>
    <row r="27103" spans="6:9" x14ac:dyDescent="0.3">
      <c r="F27103"/>
      <c r="G27103"/>
      <c r="H27103"/>
      <c r="I27103"/>
    </row>
    <row r="27104" spans="6:9" x14ac:dyDescent="0.3">
      <c r="F27104"/>
      <c r="G27104"/>
      <c r="H27104"/>
      <c r="I27104"/>
    </row>
    <row r="27105" spans="6:9" x14ac:dyDescent="0.3">
      <c r="F27105"/>
      <c r="G27105"/>
      <c r="H27105"/>
      <c r="I27105"/>
    </row>
    <row r="27106" spans="6:9" x14ac:dyDescent="0.3">
      <c r="F27106"/>
      <c r="G27106"/>
      <c r="H27106"/>
      <c r="I27106"/>
    </row>
    <row r="27107" spans="6:9" x14ac:dyDescent="0.3">
      <c r="F27107"/>
      <c r="G27107"/>
      <c r="H27107"/>
      <c r="I27107"/>
    </row>
    <row r="27108" spans="6:9" x14ac:dyDescent="0.3">
      <c r="F27108"/>
      <c r="G27108"/>
      <c r="H27108"/>
      <c r="I27108"/>
    </row>
    <row r="27109" spans="6:9" x14ac:dyDescent="0.3">
      <c r="F27109"/>
      <c r="G27109"/>
      <c r="H27109"/>
      <c r="I27109"/>
    </row>
    <row r="27110" spans="6:9" x14ac:dyDescent="0.3">
      <c r="F27110"/>
      <c r="G27110"/>
      <c r="H27110"/>
      <c r="I27110"/>
    </row>
    <row r="27111" spans="6:9" x14ac:dyDescent="0.3">
      <c r="F27111"/>
      <c r="G27111"/>
      <c r="H27111"/>
      <c r="I27111"/>
    </row>
    <row r="27112" spans="6:9" x14ac:dyDescent="0.3">
      <c r="F27112"/>
      <c r="G27112"/>
      <c r="H27112"/>
      <c r="I27112"/>
    </row>
    <row r="27113" spans="6:9" x14ac:dyDescent="0.3">
      <c r="F27113"/>
      <c r="G27113"/>
      <c r="H27113"/>
      <c r="I27113"/>
    </row>
    <row r="27114" spans="6:9" x14ac:dyDescent="0.3">
      <c r="F27114"/>
      <c r="G27114"/>
      <c r="H27114"/>
      <c r="I27114"/>
    </row>
    <row r="27115" spans="6:9" x14ac:dyDescent="0.3">
      <c r="F27115"/>
      <c r="G27115"/>
      <c r="H27115"/>
      <c r="I27115"/>
    </row>
    <row r="27116" spans="6:9" x14ac:dyDescent="0.3">
      <c r="F27116"/>
      <c r="G27116"/>
      <c r="H27116"/>
      <c r="I27116"/>
    </row>
    <row r="27117" spans="6:9" x14ac:dyDescent="0.3">
      <c r="F27117"/>
      <c r="G27117"/>
      <c r="H27117"/>
      <c r="I27117"/>
    </row>
    <row r="27118" spans="6:9" x14ac:dyDescent="0.3">
      <c r="F27118"/>
      <c r="G27118"/>
      <c r="H27118"/>
      <c r="I27118"/>
    </row>
    <row r="27119" spans="6:9" x14ac:dyDescent="0.3">
      <c r="F27119"/>
      <c r="G27119"/>
      <c r="H27119"/>
      <c r="I27119"/>
    </row>
    <row r="27120" spans="6:9" x14ac:dyDescent="0.3">
      <c r="F27120"/>
      <c r="G27120"/>
      <c r="H27120"/>
      <c r="I27120"/>
    </row>
    <row r="27121" spans="6:9" x14ac:dyDescent="0.3">
      <c r="F27121"/>
      <c r="G27121"/>
      <c r="H27121"/>
      <c r="I27121"/>
    </row>
    <row r="27122" spans="6:9" x14ac:dyDescent="0.3">
      <c r="F27122"/>
      <c r="G27122"/>
      <c r="H27122"/>
      <c r="I27122"/>
    </row>
    <row r="27123" spans="6:9" x14ac:dyDescent="0.3">
      <c r="F27123"/>
      <c r="G27123"/>
      <c r="H27123"/>
      <c r="I27123"/>
    </row>
    <row r="27124" spans="6:9" x14ac:dyDescent="0.3">
      <c r="F27124"/>
      <c r="G27124"/>
      <c r="H27124"/>
      <c r="I27124"/>
    </row>
    <row r="27125" spans="6:9" x14ac:dyDescent="0.3">
      <c r="F27125"/>
      <c r="G27125"/>
      <c r="H27125"/>
      <c r="I27125"/>
    </row>
    <row r="27126" spans="6:9" x14ac:dyDescent="0.3">
      <c r="F27126"/>
      <c r="G27126"/>
      <c r="H27126"/>
      <c r="I27126"/>
    </row>
    <row r="27127" spans="6:9" x14ac:dyDescent="0.3">
      <c r="F27127"/>
      <c r="G27127"/>
      <c r="H27127"/>
      <c r="I27127"/>
    </row>
    <row r="27128" spans="6:9" x14ac:dyDescent="0.3">
      <c r="F27128"/>
      <c r="G27128"/>
      <c r="H27128"/>
      <c r="I27128"/>
    </row>
    <row r="27129" spans="6:9" x14ac:dyDescent="0.3">
      <c r="F27129"/>
      <c r="G27129"/>
      <c r="H27129"/>
      <c r="I27129"/>
    </row>
    <row r="27130" spans="6:9" x14ac:dyDescent="0.3">
      <c r="F27130"/>
      <c r="G27130"/>
      <c r="H27130"/>
      <c r="I27130"/>
    </row>
    <row r="27131" spans="6:9" x14ac:dyDescent="0.3">
      <c r="F27131"/>
      <c r="G27131"/>
      <c r="H27131"/>
      <c r="I27131"/>
    </row>
    <row r="27132" spans="6:9" x14ac:dyDescent="0.3">
      <c r="F27132"/>
      <c r="G27132"/>
      <c r="H27132"/>
      <c r="I27132"/>
    </row>
    <row r="27133" spans="6:9" x14ac:dyDescent="0.3">
      <c r="F27133"/>
      <c r="G27133"/>
      <c r="H27133"/>
      <c r="I27133"/>
    </row>
    <row r="27134" spans="6:9" x14ac:dyDescent="0.3">
      <c r="F27134"/>
      <c r="G27134"/>
      <c r="H27134"/>
      <c r="I27134"/>
    </row>
    <row r="27135" spans="6:9" x14ac:dyDescent="0.3">
      <c r="F27135"/>
      <c r="G27135"/>
      <c r="H27135"/>
      <c r="I27135"/>
    </row>
    <row r="27136" spans="6:9" x14ac:dyDescent="0.3">
      <c r="F27136"/>
      <c r="G27136"/>
      <c r="H27136"/>
      <c r="I27136"/>
    </row>
    <row r="27137" spans="6:9" x14ac:dyDescent="0.3">
      <c r="F27137"/>
      <c r="G27137"/>
      <c r="H27137"/>
      <c r="I27137"/>
    </row>
    <row r="27138" spans="6:9" x14ac:dyDescent="0.3">
      <c r="F27138"/>
      <c r="G27138"/>
      <c r="H27138"/>
      <c r="I27138"/>
    </row>
    <row r="27139" spans="6:9" x14ac:dyDescent="0.3">
      <c r="F27139"/>
      <c r="G27139"/>
      <c r="H27139"/>
      <c r="I27139"/>
    </row>
    <row r="27140" spans="6:9" x14ac:dyDescent="0.3">
      <c r="F27140"/>
      <c r="G27140"/>
      <c r="H27140"/>
      <c r="I27140"/>
    </row>
    <row r="27141" spans="6:9" x14ac:dyDescent="0.3">
      <c r="F27141"/>
      <c r="G27141"/>
      <c r="H27141"/>
      <c r="I27141"/>
    </row>
    <row r="27142" spans="6:9" x14ac:dyDescent="0.3">
      <c r="F27142"/>
      <c r="G27142"/>
      <c r="H27142"/>
      <c r="I27142"/>
    </row>
    <row r="27143" spans="6:9" x14ac:dyDescent="0.3">
      <c r="F27143"/>
      <c r="G27143"/>
      <c r="H27143"/>
      <c r="I27143"/>
    </row>
    <row r="27144" spans="6:9" x14ac:dyDescent="0.3">
      <c r="F27144"/>
      <c r="G27144"/>
      <c r="H27144"/>
      <c r="I27144"/>
    </row>
    <row r="27145" spans="6:9" x14ac:dyDescent="0.3">
      <c r="F27145"/>
      <c r="G27145"/>
      <c r="H27145"/>
      <c r="I27145"/>
    </row>
    <row r="27146" spans="6:9" x14ac:dyDescent="0.3">
      <c r="F27146"/>
      <c r="G27146"/>
      <c r="H27146"/>
      <c r="I27146"/>
    </row>
    <row r="27147" spans="6:9" x14ac:dyDescent="0.3">
      <c r="F27147"/>
      <c r="G27147"/>
      <c r="H27147"/>
      <c r="I27147"/>
    </row>
    <row r="27148" spans="6:9" x14ac:dyDescent="0.3">
      <c r="F27148"/>
      <c r="G27148"/>
      <c r="H27148"/>
      <c r="I27148"/>
    </row>
    <row r="27149" spans="6:9" x14ac:dyDescent="0.3">
      <c r="F27149"/>
      <c r="G27149"/>
      <c r="H27149"/>
      <c r="I27149"/>
    </row>
    <row r="27150" spans="6:9" x14ac:dyDescent="0.3">
      <c r="F27150"/>
      <c r="G27150"/>
      <c r="H27150"/>
      <c r="I27150"/>
    </row>
    <row r="27151" spans="6:9" x14ac:dyDescent="0.3">
      <c r="F27151"/>
      <c r="G27151"/>
      <c r="H27151"/>
      <c r="I27151"/>
    </row>
    <row r="27152" spans="6:9" x14ac:dyDescent="0.3">
      <c r="F27152"/>
      <c r="G27152"/>
      <c r="H27152"/>
      <c r="I27152"/>
    </row>
    <row r="27153" spans="6:9" x14ac:dyDescent="0.3">
      <c r="F27153"/>
      <c r="G27153"/>
      <c r="H27153"/>
      <c r="I27153"/>
    </row>
    <row r="27154" spans="6:9" x14ac:dyDescent="0.3">
      <c r="F27154"/>
      <c r="G27154"/>
      <c r="H27154"/>
      <c r="I27154"/>
    </row>
    <row r="27155" spans="6:9" x14ac:dyDescent="0.3">
      <c r="F27155"/>
      <c r="G27155"/>
      <c r="H27155"/>
      <c r="I27155"/>
    </row>
    <row r="27156" spans="6:9" x14ac:dyDescent="0.3">
      <c r="F27156"/>
      <c r="G27156"/>
      <c r="H27156"/>
      <c r="I27156"/>
    </row>
    <row r="27157" spans="6:9" x14ac:dyDescent="0.3">
      <c r="F27157"/>
      <c r="G27157"/>
      <c r="H27157"/>
      <c r="I27157"/>
    </row>
    <row r="27158" spans="6:9" x14ac:dyDescent="0.3">
      <c r="F27158"/>
      <c r="G27158"/>
      <c r="H27158"/>
      <c r="I27158"/>
    </row>
    <row r="27159" spans="6:9" x14ac:dyDescent="0.3">
      <c r="F27159"/>
      <c r="G27159"/>
      <c r="H27159"/>
      <c r="I27159"/>
    </row>
    <row r="27160" spans="6:9" x14ac:dyDescent="0.3">
      <c r="F27160"/>
      <c r="G27160"/>
      <c r="H27160"/>
      <c r="I27160"/>
    </row>
    <row r="27161" spans="6:9" x14ac:dyDescent="0.3">
      <c r="F27161"/>
      <c r="G27161"/>
      <c r="H27161"/>
      <c r="I27161"/>
    </row>
    <row r="27162" spans="6:9" x14ac:dyDescent="0.3">
      <c r="F27162"/>
      <c r="G27162"/>
      <c r="H27162"/>
      <c r="I27162"/>
    </row>
    <row r="27163" spans="6:9" x14ac:dyDescent="0.3">
      <c r="F27163"/>
      <c r="G27163"/>
      <c r="H27163"/>
      <c r="I27163"/>
    </row>
    <row r="27164" spans="6:9" x14ac:dyDescent="0.3">
      <c r="F27164"/>
      <c r="G27164"/>
      <c r="H27164"/>
      <c r="I27164"/>
    </row>
    <row r="27165" spans="6:9" x14ac:dyDescent="0.3">
      <c r="F27165"/>
      <c r="G27165"/>
      <c r="H27165"/>
      <c r="I27165"/>
    </row>
    <row r="27166" spans="6:9" x14ac:dyDescent="0.3">
      <c r="F27166"/>
      <c r="G27166"/>
      <c r="H27166"/>
      <c r="I27166"/>
    </row>
    <row r="27167" spans="6:9" x14ac:dyDescent="0.3">
      <c r="F27167"/>
      <c r="G27167"/>
      <c r="H27167"/>
      <c r="I27167"/>
    </row>
    <row r="27168" spans="6:9" x14ac:dyDescent="0.3">
      <c r="F27168"/>
      <c r="G27168"/>
      <c r="H27168"/>
      <c r="I27168"/>
    </row>
    <row r="27169" spans="6:9" x14ac:dyDescent="0.3">
      <c r="F27169"/>
      <c r="G27169"/>
      <c r="H27169"/>
      <c r="I27169"/>
    </row>
    <row r="27170" spans="6:9" x14ac:dyDescent="0.3">
      <c r="F27170"/>
      <c r="G27170"/>
      <c r="H27170"/>
      <c r="I27170"/>
    </row>
    <row r="27171" spans="6:9" x14ac:dyDescent="0.3">
      <c r="F27171"/>
      <c r="G27171"/>
      <c r="H27171"/>
      <c r="I27171"/>
    </row>
    <row r="27172" spans="6:9" x14ac:dyDescent="0.3">
      <c r="F27172"/>
      <c r="G27172"/>
      <c r="H27172"/>
      <c r="I27172"/>
    </row>
    <row r="27173" spans="6:9" x14ac:dyDescent="0.3">
      <c r="F27173"/>
      <c r="G27173"/>
      <c r="H27173"/>
      <c r="I27173"/>
    </row>
    <row r="27174" spans="6:9" x14ac:dyDescent="0.3">
      <c r="F27174"/>
      <c r="G27174"/>
      <c r="H27174"/>
      <c r="I27174"/>
    </row>
    <row r="27175" spans="6:9" x14ac:dyDescent="0.3">
      <c r="F27175"/>
      <c r="G27175"/>
      <c r="H27175"/>
      <c r="I27175"/>
    </row>
    <row r="27176" spans="6:9" x14ac:dyDescent="0.3">
      <c r="F27176"/>
      <c r="G27176"/>
      <c r="H27176"/>
      <c r="I27176"/>
    </row>
    <row r="27177" spans="6:9" x14ac:dyDescent="0.3">
      <c r="F27177"/>
      <c r="G27177"/>
      <c r="H27177"/>
      <c r="I27177"/>
    </row>
    <row r="27178" spans="6:9" x14ac:dyDescent="0.3">
      <c r="F27178"/>
      <c r="G27178"/>
      <c r="H27178"/>
      <c r="I27178"/>
    </row>
    <row r="27179" spans="6:9" x14ac:dyDescent="0.3">
      <c r="F27179"/>
      <c r="G27179"/>
      <c r="H27179"/>
      <c r="I27179"/>
    </row>
    <row r="27180" spans="6:9" x14ac:dyDescent="0.3">
      <c r="F27180"/>
      <c r="G27180"/>
      <c r="H27180"/>
      <c r="I27180"/>
    </row>
    <row r="27181" spans="6:9" x14ac:dyDescent="0.3">
      <c r="F27181"/>
      <c r="G27181"/>
      <c r="H27181"/>
      <c r="I27181"/>
    </row>
    <row r="27182" spans="6:9" x14ac:dyDescent="0.3">
      <c r="F27182"/>
      <c r="G27182"/>
      <c r="H27182"/>
      <c r="I27182"/>
    </row>
    <row r="27183" spans="6:9" x14ac:dyDescent="0.3">
      <c r="F27183"/>
      <c r="G27183"/>
      <c r="H27183"/>
      <c r="I27183"/>
    </row>
    <row r="27184" spans="6:9" x14ac:dyDescent="0.3">
      <c r="F27184"/>
      <c r="G27184"/>
      <c r="H27184"/>
      <c r="I27184"/>
    </row>
    <row r="27185" spans="6:9" x14ac:dyDescent="0.3">
      <c r="F27185"/>
      <c r="G27185"/>
      <c r="H27185"/>
      <c r="I27185"/>
    </row>
    <row r="27186" spans="6:9" x14ac:dyDescent="0.3">
      <c r="F27186"/>
      <c r="G27186"/>
      <c r="H27186"/>
      <c r="I27186"/>
    </row>
    <row r="27187" spans="6:9" x14ac:dyDescent="0.3">
      <c r="F27187"/>
      <c r="G27187"/>
      <c r="H27187"/>
      <c r="I27187"/>
    </row>
    <row r="27188" spans="6:9" x14ac:dyDescent="0.3">
      <c r="F27188"/>
      <c r="G27188"/>
      <c r="H27188"/>
      <c r="I27188"/>
    </row>
    <row r="27189" spans="6:9" x14ac:dyDescent="0.3">
      <c r="F27189"/>
      <c r="G27189"/>
      <c r="H27189"/>
      <c r="I27189"/>
    </row>
    <row r="27190" spans="6:9" x14ac:dyDescent="0.3">
      <c r="F27190"/>
      <c r="G27190"/>
      <c r="H27190"/>
      <c r="I27190"/>
    </row>
    <row r="27191" spans="6:9" x14ac:dyDescent="0.3">
      <c r="F27191"/>
      <c r="G27191"/>
      <c r="H27191"/>
      <c r="I27191"/>
    </row>
    <row r="27192" spans="6:9" x14ac:dyDescent="0.3">
      <c r="F27192"/>
      <c r="G27192"/>
      <c r="H27192"/>
      <c r="I27192"/>
    </row>
    <row r="27193" spans="6:9" x14ac:dyDescent="0.3">
      <c r="F27193"/>
      <c r="G27193"/>
      <c r="H27193"/>
      <c r="I27193"/>
    </row>
    <row r="27194" spans="6:9" x14ac:dyDescent="0.3">
      <c r="F27194"/>
      <c r="G27194"/>
      <c r="H27194"/>
      <c r="I27194"/>
    </row>
    <row r="27195" spans="6:9" x14ac:dyDescent="0.3">
      <c r="F27195"/>
      <c r="G27195"/>
      <c r="H27195"/>
      <c r="I27195"/>
    </row>
    <row r="27196" spans="6:9" x14ac:dyDescent="0.3">
      <c r="F27196"/>
      <c r="G27196"/>
      <c r="H27196"/>
      <c r="I27196"/>
    </row>
    <row r="27197" spans="6:9" x14ac:dyDescent="0.3">
      <c r="F27197"/>
      <c r="G27197"/>
      <c r="H27197"/>
      <c r="I27197"/>
    </row>
    <row r="27198" spans="6:9" x14ac:dyDescent="0.3">
      <c r="F27198"/>
      <c r="G27198"/>
      <c r="H27198"/>
      <c r="I27198"/>
    </row>
    <row r="27199" spans="6:9" x14ac:dyDescent="0.3">
      <c r="F27199"/>
      <c r="G27199"/>
      <c r="H27199"/>
      <c r="I27199"/>
    </row>
    <row r="27200" spans="6:9" x14ac:dyDescent="0.3">
      <c r="F27200"/>
      <c r="G27200"/>
      <c r="H27200"/>
      <c r="I27200"/>
    </row>
    <row r="27201" spans="6:9" x14ac:dyDescent="0.3">
      <c r="F27201"/>
      <c r="G27201"/>
      <c r="H27201"/>
      <c r="I27201"/>
    </row>
    <row r="27202" spans="6:9" x14ac:dyDescent="0.3">
      <c r="F27202"/>
      <c r="G27202"/>
      <c r="H27202"/>
      <c r="I27202"/>
    </row>
    <row r="27203" spans="6:9" x14ac:dyDescent="0.3">
      <c r="F27203"/>
      <c r="G27203"/>
      <c r="H27203"/>
      <c r="I27203"/>
    </row>
    <row r="27204" spans="6:9" x14ac:dyDescent="0.3">
      <c r="F27204"/>
      <c r="G27204"/>
      <c r="H27204"/>
      <c r="I27204"/>
    </row>
    <row r="27205" spans="6:9" x14ac:dyDescent="0.3">
      <c r="F27205"/>
      <c r="G27205"/>
      <c r="H27205"/>
      <c r="I27205"/>
    </row>
    <row r="27206" spans="6:9" x14ac:dyDescent="0.3">
      <c r="F27206"/>
      <c r="G27206"/>
      <c r="H27206"/>
      <c r="I27206"/>
    </row>
    <row r="27207" spans="6:9" x14ac:dyDescent="0.3">
      <c r="F27207"/>
      <c r="G27207"/>
      <c r="H27207"/>
      <c r="I27207"/>
    </row>
    <row r="27208" spans="6:9" x14ac:dyDescent="0.3">
      <c r="F27208"/>
      <c r="G27208"/>
      <c r="H27208"/>
      <c r="I27208"/>
    </row>
    <row r="27209" spans="6:9" x14ac:dyDescent="0.3">
      <c r="F27209"/>
      <c r="G27209"/>
      <c r="H27209"/>
      <c r="I27209"/>
    </row>
    <row r="27210" spans="6:9" x14ac:dyDescent="0.3">
      <c r="F27210"/>
      <c r="G27210"/>
      <c r="H27210"/>
      <c r="I27210"/>
    </row>
    <row r="27211" spans="6:9" x14ac:dyDescent="0.3">
      <c r="F27211"/>
      <c r="G27211"/>
      <c r="H27211"/>
      <c r="I27211"/>
    </row>
    <row r="27212" spans="6:9" x14ac:dyDescent="0.3">
      <c r="F27212"/>
      <c r="G27212"/>
      <c r="H27212"/>
      <c r="I27212"/>
    </row>
    <row r="27213" spans="6:9" x14ac:dyDescent="0.3">
      <c r="F27213"/>
      <c r="G27213"/>
      <c r="H27213"/>
      <c r="I27213"/>
    </row>
    <row r="27214" spans="6:9" x14ac:dyDescent="0.3">
      <c r="F27214"/>
      <c r="G27214"/>
      <c r="H27214"/>
      <c r="I27214"/>
    </row>
    <row r="27215" spans="6:9" x14ac:dyDescent="0.3">
      <c r="F27215"/>
      <c r="G27215"/>
      <c r="H27215"/>
      <c r="I27215"/>
    </row>
    <row r="27216" spans="6:9" x14ac:dyDescent="0.3">
      <c r="F27216"/>
      <c r="G27216"/>
      <c r="H27216"/>
      <c r="I27216"/>
    </row>
    <row r="27217" spans="6:9" x14ac:dyDescent="0.3">
      <c r="F27217"/>
      <c r="G27217"/>
      <c r="H27217"/>
      <c r="I27217"/>
    </row>
    <row r="27218" spans="6:9" x14ac:dyDescent="0.3">
      <c r="F27218"/>
      <c r="G27218"/>
      <c r="H27218"/>
      <c r="I27218"/>
    </row>
    <row r="27219" spans="6:9" x14ac:dyDescent="0.3">
      <c r="F27219"/>
      <c r="G27219"/>
      <c r="H27219"/>
      <c r="I27219"/>
    </row>
    <row r="27220" spans="6:9" x14ac:dyDescent="0.3">
      <c r="F27220"/>
      <c r="G27220"/>
      <c r="H27220"/>
      <c r="I27220"/>
    </row>
    <row r="27221" spans="6:9" x14ac:dyDescent="0.3">
      <c r="F27221"/>
      <c r="G27221"/>
      <c r="H27221"/>
      <c r="I27221"/>
    </row>
    <row r="27222" spans="6:9" x14ac:dyDescent="0.3">
      <c r="F27222"/>
      <c r="G27222"/>
      <c r="H27222"/>
      <c r="I27222"/>
    </row>
    <row r="27223" spans="6:9" x14ac:dyDescent="0.3">
      <c r="F27223"/>
      <c r="G27223"/>
      <c r="H27223"/>
      <c r="I27223"/>
    </row>
    <row r="27224" spans="6:9" x14ac:dyDescent="0.3">
      <c r="F27224"/>
      <c r="G27224"/>
      <c r="H27224"/>
      <c r="I27224"/>
    </row>
    <row r="27225" spans="6:9" x14ac:dyDescent="0.3">
      <c r="F27225"/>
      <c r="G27225"/>
      <c r="H27225"/>
      <c r="I27225"/>
    </row>
    <row r="27226" spans="6:9" x14ac:dyDescent="0.3">
      <c r="F27226"/>
      <c r="G27226"/>
      <c r="H27226"/>
      <c r="I27226"/>
    </row>
    <row r="27227" spans="6:9" x14ac:dyDescent="0.3">
      <c r="F27227"/>
      <c r="G27227"/>
      <c r="H27227"/>
      <c r="I27227"/>
    </row>
    <row r="27228" spans="6:9" x14ac:dyDescent="0.3">
      <c r="F27228"/>
      <c r="G27228"/>
      <c r="H27228"/>
      <c r="I27228"/>
    </row>
    <row r="27229" spans="6:9" x14ac:dyDescent="0.3">
      <c r="F27229"/>
      <c r="G27229"/>
      <c r="H27229"/>
      <c r="I27229"/>
    </row>
    <row r="27230" spans="6:9" x14ac:dyDescent="0.3">
      <c r="F27230"/>
      <c r="G27230"/>
      <c r="H27230"/>
      <c r="I27230"/>
    </row>
    <row r="27231" spans="6:9" x14ac:dyDescent="0.3">
      <c r="F27231"/>
      <c r="G27231"/>
      <c r="H27231"/>
      <c r="I27231"/>
    </row>
    <row r="27232" spans="6:9" x14ac:dyDescent="0.3">
      <c r="F27232"/>
      <c r="G27232"/>
      <c r="H27232"/>
      <c r="I27232"/>
    </row>
    <row r="27233" spans="6:9" x14ac:dyDescent="0.3">
      <c r="F27233"/>
      <c r="G27233"/>
      <c r="H27233"/>
      <c r="I27233"/>
    </row>
    <row r="27234" spans="6:9" x14ac:dyDescent="0.3">
      <c r="F27234"/>
      <c r="G27234"/>
      <c r="H27234"/>
      <c r="I27234"/>
    </row>
    <row r="27235" spans="6:9" x14ac:dyDescent="0.3">
      <c r="F27235"/>
      <c r="G27235"/>
      <c r="H27235"/>
      <c r="I27235"/>
    </row>
    <row r="27236" spans="6:9" x14ac:dyDescent="0.3">
      <c r="F27236"/>
      <c r="G27236"/>
      <c r="H27236"/>
      <c r="I27236"/>
    </row>
    <row r="27237" spans="6:9" x14ac:dyDescent="0.3">
      <c r="F27237"/>
      <c r="G27237"/>
      <c r="H27237"/>
      <c r="I27237"/>
    </row>
    <row r="27238" spans="6:9" x14ac:dyDescent="0.3">
      <c r="F27238"/>
      <c r="G27238"/>
      <c r="H27238"/>
      <c r="I27238"/>
    </row>
    <row r="27239" spans="6:9" x14ac:dyDescent="0.3">
      <c r="F27239"/>
      <c r="G27239"/>
      <c r="H27239"/>
      <c r="I27239"/>
    </row>
    <row r="27240" spans="6:9" x14ac:dyDescent="0.3">
      <c r="F27240"/>
      <c r="G27240"/>
      <c r="H27240"/>
      <c r="I27240"/>
    </row>
    <row r="27241" spans="6:9" x14ac:dyDescent="0.3">
      <c r="F27241"/>
      <c r="G27241"/>
      <c r="H27241"/>
      <c r="I27241"/>
    </row>
    <row r="27242" spans="6:9" x14ac:dyDescent="0.3">
      <c r="F27242"/>
      <c r="G27242"/>
      <c r="H27242"/>
      <c r="I27242"/>
    </row>
    <row r="27243" spans="6:9" x14ac:dyDescent="0.3">
      <c r="F27243"/>
      <c r="G27243"/>
      <c r="H27243"/>
      <c r="I27243"/>
    </row>
    <row r="27244" spans="6:9" x14ac:dyDescent="0.3">
      <c r="F27244"/>
      <c r="G27244"/>
      <c r="H27244"/>
      <c r="I27244"/>
    </row>
    <row r="27245" spans="6:9" x14ac:dyDescent="0.3">
      <c r="F27245"/>
      <c r="G27245"/>
      <c r="H27245"/>
      <c r="I27245"/>
    </row>
    <row r="27246" spans="6:9" x14ac:dyDescent="0.3">
      <c r="F27246"/>
      <c r="G27246"/>
      <c r="H27246"/>
      <c r="I27246"/>
    </row>
    <row r="27247" spans="6:9" x14ac:dyDescent="0.3">
      <c r="F27247"/>
      <c r="G27247"/>
      <c r="H27247"/>
      <c r="I27247"/>
    </row>
    <row r="27248" spans="6:9" x14ac:dyDescent="0.3">
      <c r="F27248"/>
      <c r="G27248"/>
      <c r="H27248"/>
      <c r="I27248"/>
    </row>
    <row r="27249" spans="6:9" x14ac:dyDescent="0.3">
      <c r="F27249"/>
      <c r="G27249"/>
      <c r="H27249"/>
      <c r="I27249"/>
    </row>
    <row r="27250" spans="6:9" x14ac:dyDescent="0.3">
      <c r="F27250"/>
      <c r="G27250"/>
      <c r="H27250"/>
      <c r="I27250"/>
    </row>
    <row r="27251" spans="6:9" x14ac:dyDescent="0.3">
      <c r="F27251"/>
      <c r="G27251"/>
      <c r="H27251"/>
      <c r="I27251"/>
    </row>
    <row r="27252" spans="6:9" x14ac:dyDescent="0.3">
      <c r="F27252"/>
      <c r="G27252"/>
      <c r="H27252"/>
      <c r="I27252"/>
    </row>
    <row r="27253" spans="6:9" x14ac:dyDescent="0.3">
      <c r="F27253"/>
      <c r="G27253"/>
      <c r="H27253"/>
      <c r="I27253"/>
    </row>
    <row r="27254" spans="6:9" x14ac:dyDescent="0.3">
      <c r="F27254"/>
      <c r="G27254"/>
      <c r="H27254"/>
      <c r="I27254"/>
    </row>
    <row r="27255" spans="6:9" x14ac:dyDescent="0.3">
      <c r="F27255"/>
      <c r="G27255"/>
      <c r="H27255"/>
      <c r="I27255"/>
    </row>
    <row r="27256" spans="6:9" x14ac:dyDescent="0.3">
      <c r="F27256"/>
      <c r="G27256"/>
      <c r="H27256"/>
      <c r="I27256"/>
    </row>
    <row r="27257" spans="6:9" x14ac:dyDescent="0.3">
      <c r="F27257"/>
      <c r="G27257"/>
      <c r="H27257"/>
      <c r="I27257"/>
    </row>
    <row r="27258" spans="6:9" x14ac:dyDescent="0.3">
      <c r="F27258"/>
      <c r="G27258"/>
      <c r="H27258"/>
      <c r="I27258"/>
    </row>
    <row r="27259" spans="6:9" x14ac:dyDescent="0.3">
      <c r="F27259"/>
      <c r="G27259"/>
      <c r="H27259"/>
      <c r="I27259"/>
    </row>
    <row r="27260" spans="6:9" x14ac:dyDescent="0.3">
      <c r="F27260"/>
      <c r="G27260"/>
      <c r="H27260"/>
      <c r="I27260"/>
    </row>
    <row r="27261" spans="6:9" x14ac:dyDescent="0.3">
      <c r="F27261"/>
      <c r="G27261"/>
      <c r="H27261"/>
      <c r="I27261"/>
    </row>
    <row r="27262" spans="6:9" x14ac:dyDescent="0.3">
      <c r="F27262"/>
      <c r="G27262"/>
      <c r="H27262"/>
      <c r="I27262"/>
    </row>
    <row r="27263" spans="6:9" x14ac:dyDescent="0.3">
      <c r="F27263"/>
      <c r="G27263"/>
      <c r="H27263"/>
      <c r="I27263"/>
    </row>
    <row r="27264" spans="6:9" x14ac:dyDescent="0.3">
      <c r="F27264"/>
      <c r="G27264"/>
      <c r="H27264"/>
      <c r="I27264"/>
    </row>
    <row r="27265" spans="6:9" x14ac:dyDescent="0.3">
      <c r="F27265"/>
      <c r="G27265"/>
      <c r="H27265"/>
      <c r="I27265"/>
    </row>
    <row r="27266" spans="6:9" x14ac:dyDescent="0.3">
      <c r="F27266"/>
      <c r="G27266"/>
      <c r="H27266"/>
      <c r="I27266"/>
    </row>
    <row r="27267" spans="6:9" x14ac:dyDescent="0.3">
      <c r="F27267"/>
      <c r="G27267"/>
      <c r="H27267"/>
      <c r="I27267"/>
    </row>
    <row r="27268" spans="6:9" x14ac:dyDescent="0.3">
      <c r="F27268"/>
      <c r="G27268"/>
      <c r="H27268"/>
      <c r="I27268"/>
    </row>
    <row r="27269" spans="6:9" x14ac:dyDescent="0.3">
      <c r="F27269"/>
      <c r="G27269"/>
      <c r="H27269"/>
      <c r="I27269"/>
    </row>
    <row r="27270" spans="6:9" x14ac:dyDescent="0.3">
      <c r="F27270"/>
      <c r="G27270"/>
      <c r="H27270"/>
      <c r="I27270"/>
    </row>
    <row r="27271" spans="6:9" x14ac:dyDescent="0.3">
      <c r="F27271"/>
      <c r="G27271"/>
      <c r="H27271"/>
      <c r="I27271"/>
    </row>
    <row r="27272" spans="6:9" x14ac:dyDescent="0.3">
      <c r="F27272"/>
      <c r="G27272"/>
      <c r="H27272"/>
      <c r="I27272"/>
    </row>
    <row r="27273" spans="6:9" x14ac:dyDescent="0.3">
      <c r="F27273"/>
      <c r="G27273"/>
      <c r="H27273"/>
      <c r="I27273"/>
    </row>
    <row r="27274" spans="6:9" x14ac:dyDescent="0.3">
      <c r="F27274"/>
      <c r="G27274"/>
      <c r="H27274"/>
      <c r="I27274"/>
    </row>
    <row r="27275" spans="6:9" x14ac:dyDescent="0.3">
      <c r="F27275"/>
      <c r="G27275"/>
      <c r="H27275"/>
      <c r="I27275"/>
    </row>
    <row r="27276" spans="6:9" x14ac:dyDescent="0.3">
      <c r="F27276"/>
      <c r="G27276"/>
      <c r="H27276"/>
      <c r="I27276"/>
    </row>
    <row r="27277" spans="6:9" x14ac:dyDescent="0.3">
      <c r="F27277"/>
      <c r="G27277"/>
      <c r="H27277"/>
      <c r="I27277"/>
    </row>
    <row r="27278" spans="6:9" x14ac:dyDescent="0.3">
      <c r="F27278"/>
      <c r="G27278"/>
      <c r="H27278"/>
      <c r="I27278"/>
    </row>
    <row r="27279" spans="6:9" x14ac:dyDescent="0.3">
      <c r="F27279"/>
      <c r="G27279"/>
      <c r="H27279"/>
      <c r="I27279"/>
    </row>
    <row r="27280" spans="6:9" x14ac:dyDescent="0.3">
      <c r="F27280"/>
      <c r="G27280"/>
      <c r="H27280"/>
      <c r="I27280"/>
    </row>
    <row r="27281" spans="6:9" x14ac:dyDescent="0.3">
      <c r="F27281"/>
      <c r="G27281"/>
      <c r="H27281"/>
      <c r="I27281"/>
    </row>
    <row r="27282" spans="6:9" x14ac:dyDescent="0.3">
      <c r="F27282"/>
      <c r="G27282"/>
      <c r="H27282"/>
      <c r="I27282"/>
    </row>
    <row r="27283" spans="6:9" x14ac:dyDescent="0.3">
      <c r="F27283"/>
      <c r="G27283"/>
      <c r="H27283"/>
      <c r="I27283"/>
    </row>
    <row r="27284" spans="6:9" x14ac:dyDescent="0.3">
      <c r="F27284"/>
      <c r="G27284"/>
      <c r="H27284"/>
      <c r="I27284"/>
    </row>
    <row r="27285" spans="6:9" x14ac:dyDescent="0.3">
      <c r="F27285"/>
      <c r="G27285"/>
      <c r="H27285"/>
      <c r="I27285"/>
    </row>
    <row r="27286" spans="6:9" x14ac:dyDescent="0.3">
      <c r="F27286"/>
      <c r="G27286"/>
      <c r="H27286"/>
      <c r="I27286"/>
    </row>
    <row r="27287" spans="6:9" x14ac:dyDescent="0.3">
      <c r="F27287"/>
      <c r="G27287"/>
      <c r="H27287"/>
      <c r="I27287"/>
    </row>
    <row r="27288" spans="6:9" x14ac:dyDescent="0.3">
      <c r="F27288"/>
      <c r="G27288"/>
      <c r="H27288"/>
      <c r="I27288"/>
    </row>
    <row r="27289" spans="6:9" x14ac:dyDescent="0.3">
      <c r="F27289"/>
      <c r="G27289"/>
      <c r="H27289"/>
      <c r="I27289"/>
    </row>
    <row r="27290" spans="6:9" x14ac:dyDescent="0.3">
      <c r="F27290"/>
      <c r="G27290"/>
      <c r="H27290"/>
      <c r="I27290"/>
    </row>
    <row r="27291" spans="6:9" x14ac:dyDescent="0.3">
      <c r="F27291"/>
      <c r="G27291"/>
      <c r="H27291"/>
      <c r="I27291"/>
    </row>
    <row r="27292" spans="6:9" x14ac:dyDescent="0.3">
      <c r="F27292"/>
      <c r="G27292"/>
      <c r="H27292"/>
      <c r="I27292"/>
    </row>
    <row r="27293" spans="6:9" x14ac:dyDescent="0.3">
      <c r="F27293"/>
      <c r="G27293"/>
      <c r="H27293"/>
      <c r="I27293"/>
    </row>
    <row r="27294" spans="6:9" x14ac:dyDescent="0.3">
      <c r="F27294"/>
      <c r="G27294"/>
      <c r="H27294"/>
      <c r="I27294"/>
    </row>
    <row r="27295" spans="6:9" x14ac:dyDescent="0.3">
      <c r="F27295"/>
      <c r="G27295"/>
      <c r="H27295"/>
      <c r="I27295"/>
    </row>
    <row r="27296" spans="6:9" x14ac:dyDescent="0.3">
      <c r="F27296"/>
      <c r="G27296"/>
      <c r="H27296"/>
      <c r="I27296"/>
    </row>
    <row r="27297" spans="6:9" x14ac:dyDescent="0.3">
      <c r="F27297"/>
      <c r="G27297"/>
      <c r="H27297"/>
      <c r="I27297"/>
    </row>
    <row r="27298" spans="6:9" x14ac:dyDescent="0.3">
      <c r="F27298"/>
      <c r="G27298"/>
      <c r="H27298"/>
      <c r="I27298"/>
    </row>
    <row r="27299" spans="6:9" x14ac:dyDescent="0.3">
      <c r="F27299"/>
      <c r="G27299"/>
      <c r="H27299"/>
      <c r="I27299"/>
    </row>
    <row r="27300" spans="6:9" x14ac:dyDescent="0.3">
      <c r="F27300"/>
      <c r="G27300"/>
      <c r="H27300"/>
      <c r="I27300"/>
    </row>
    <row r="27301" spans="6:9" x14ac:dyDescent="0.3">
      <c r="F27301"/>
      <c r="G27301"/>
      <c r="H27301"/>
      <c r="I27301"/>
    </row>
    <row r="27302" spans="6:9" x14ac:dyDescent="0.3">
      <c r="F27302"/>
      <c r="G27302"/>
      <c r="H27302"/>
      <c r="I27302"/>
    </row>
    <row r="27303" spans="6:9" x14ac:dyDescent="0.3">
      <c r="F27303"/>
      <c r="G27303"/>
      <c r="H27303"/>
      <c r="I27303"/>
    </row>
    <row r="27304" spans="6:9" x14ac:dyDescent="0.3">
      <c r="F27304"/>
      <c r="G27304"/>
      <c r="H27304"/>
      <c r="I27304"/>
    </row>
    <row r="27305" spans="6:9" x14ac:dyDescent="0.3">
      <c r="F27305"/>
      <c r="G27305"/>
      <c r="H27305"/>
      <c r="I27305"/>
    </row>
    <row r="27306" spans="6:9" x14ac:dyDescent="0.3">
      <c r="F27306"/>
      <c r="G27306"/>
      <c r="H27306"/>
      <c r="I27306"/>
    </row>
    <row r="27307" spans="6:9" x14ac:dyDescent="0.3">
      <c r="F27307"/>
      <c r="G27307"/>
      <c r="H27307"/>
      <c r="I27307"/>
    </row>
    <row r="27308" spans="6:9" x14ac:dyDescent="0.3">
      <c r="F27308"/>
      <c r="G27308"/>
      <c r="H27308"/>
      <c r="I27308"/>
    </row>
    <row r="27309" spans="6:9" x14ac:dyDescent="0.3">
      <c r="F27309"/>
      <c r="G27309"/>
      <c r="H27309"/>
      <c r="I27309"/>
    </row>
    <row r="27310" spans="6:9" x14ac:dyDescent="0.3">
      <c r="F27310"/>
      <c r="G27310"/>
      <c r="H27310"/>
      <c r="I27310"/>
    </row>
    <row r="27311" spans="6:9" x14ac:dyDescent="0.3">
      <c r="F27311"/>
      <c r="G27311"/>
      <c r="H27311"/>
      <c r="I27311"/>
    </row>
    <row r="27312" spans="6:9" x14ac:dyDescent="0.3">
      <c r="F27312"/>
      <c r="G27312"/>
      <c r="H27312"/>
      <c r="I27312"/>
    </row>
    <row r="27313" spans="6:9" x14ac:dyDescent="0.3">
      <c r="F27313"/>
      <c r="G27313"/>
      <c r="H27313"/>
      <c r="I27313"/>
    </row>
    <row r="27314" spans="6:9" x14ac:dyDescent="0.3">
      <c r="F27314"/>
      <c r="G27314"/>
      <c r="H27314"/>
      <c r="I27314"/>
    </row>
    <row r="27315" spans="6:9" x14ac:dyDescent="0.3">
      <c r="F27315"/>
      <c r="G27315"/>
      <c r="H27315"/>
      <c r="I27315"/>
    </row>
    <row r="27316" spans="6:9" x14ac:dyDescent="0.3">
      <c r="F27316"/>
      <c r="G27316"/>
      <c r="H27316"/>
      <c r="I27316"/>
    </row>
    <row r="27317" spans="6:9" x14ac:dyDescent="0.3">
      <c r="F27317"/>
      <c r="G27317"/>
      <c r="H27317"/>
      <c r="I27317"/>
    </row>
    <row r="27318" spans="6:9" x14ac:dyDescent="0.3">
      <c r="F27318"/>
      <c r="G27318"/>
      <c r="H27318"/>
      <c r="I27318"/>
    </row>
    <row r="27319" spans="6:9" x14ac:dyDescent="0.3">
      <c r="F27319"/>
      <c r="G27319"/>
      <c r="H27319"/>
      <c r="I27319"/>
    </row>
    <row r="27320" spans="6:9" x14ac:dyDescent="0.3">
      <c r="F27320"/>
      <c r="G27320"/>
      <c r="H27320"/>
      <c r="I27320"/>
    </row>
    <row r="27321" spans="6:9" x14ac:dyDescent="0.3">
      <c r="F27321"/>
      <c r="G27321"/>
      <c r="H27321"/>
      <c r="I27321"/>
    </row>
    <row r="27322" spans="6:9" x14ac:dyDescent="0.3">
      <c r="F27322"/>
      <c r="G27322"/>
      <c r="H27322"/>
      <c r="I27322"/>
    </row>
    <row r="27323" spans="6:9" x14ac:dyDescent="0.3">
      <c r="F27323"/>
      <c r="G27323"/>
      <c r="H27323"/>
      <c r="I27323"/>
    </row>
    <row r="27324" spans="6:9" x14ac:dyDescent="0.3">
      <c r="F27324"/>
      <c r="G27324"/>
      <c r="H27324"/>
      <c r="I27324"/>
    </row>
    <row r="27325" spans="6:9" x14ac:dyDescent="0.3">
      <c r="F27325"/>
      <c r="G27325"/>
      <c r="H27325"/>
      <c r="I27325"/>
    </row>
    <row r="27326" spans="6:9" x14ac:dyDescent="0.3">
      <c r="F27326"/>
      <c r="G27326"/>
      <c r="H27326"/>
      <c r="I27326"/>
    </row>
    <row r="27327" spans="6:9" x14ac:dyDescent="0.3">
      <c r="F27327"/>
      <c r="G27327"/>
      <c r="H27327"/>
      <c r="I27327"/>
    </row>
    <row r="27328" spans="6:9" x14ac:dyDescent="0.3">
      <c r="F27328"/>
      <c r="G27328"/>
      <c r="H27328"/>
      <c r="I27328"/>
    </row>
    <row r="27329" spans="6:9" x14ac:dyDescent="0.3">
      <c r="F27329"/>
      <c r="G27329"/>
      <c r="H27329"/>
      <c r="I27329"/>
    </row>
    <row r="27330" spans="6:9" x14ac:dyDescent="0.3">
      <c r="F27330"/>
      <c r="G27330"/>
      <c r="H27330"/>
      <c r="I27330"/>
    </row>
    <row r="27331" spans="6:9" x14ac:dyDescent="0.3">
      <c r="F27331"/>
      <c r="G27331"/>
      <c r="H27331"/>
      <c r="I27331"/>
    </row>
    <row r="27332" spans="6:9" x14ac:dyDescent="0.3">
      <c r="F27332"/>
      <c r="G27332"/>
      <c r="H27332"/>
      <c r="I27332"/>
    </row>
    <row r="27333" spans="6:9" x14ac:dyDescent="0.3">
      <c r="F27333"/>
      <c r="G27333"/>
      <c r="H27333"/>
      <c r="I27333"/>
    </row>
    <row r="27334" spans="6:9" x14ac:dyDescent="0.3">
      <c r="F27334"/>
      <c r="G27334"/>
      <c r="H27334"/>
      <c r="I27334"/>
    </row>
    <row r="27335" spans="6:9" x14ac:dyDescent="0.3">
      <c r="F27335"/>
      <c r="G27335"/>
      <c r="H27335"/>
      <c r="I27335"/>
    </row>
    <row r="27336" spans="6:9" x14ac:dyDescent="0.3">
      <c r="F27336"/>
      <c r="G27336"/>
      <c r="H27336"/>
      <c r="I27336"/>
    </row>
    <row r="27337" spans="6:9" x14ac:dyDescent="0.3">
      <c r="F27337"/>
      <c r="G27337"/>
      <c r="H27337"/>
      <c r="I27337"/>
    </row>
    <row r="27338" spans="6:9" x14ac:dyDescent="0.3">
      <c r="F27338"/>
      <c r="G27338"/>
      <c r="H27338"/>
      <c r="I27338"/>
    </row>
    <row r="27339" spans="6:9" x14ac:dyDescent="0.3">
      <c r="F27339"/>
      <c r="G27339"/>
      <c r="H27339"/>
      <c r="I27339"/>
    </row>
    <row r="27340" spans="6:9" x14ac:dyDescent="0.3">
      <c r="F27340"/>
      <c r="G27340"/>
      <c r="H27340"/>
      <c r="I27340"/>
    </row>
    <row r="27341" spans="6:9" x14ac:dyDescent="0.3">
      <c r="F27341"/>
      <c r="G27341"/>
      <c r="H27341"/>
      <c r="I27341"/>
    </row>
    <row r="27342" spans="6:9" x14ac:dyDescent="0.3">
      <c r="F27342"/>
      <c r="G27342"/>
      <c r="H27342"/>
      <c r="I27342"/>
    </row>
    <row r="27343" spans="6:9" x14ac:dyDescent="0.3">
      <c r="F27343"/>
      <c r="G27343"/>
      <c r="H27343"/>
      <c r="I27343"/>
    </row>
    <row r="27344" spans="6:9" x14ac:dyDescent="0.3">
      <c r="F27344"/>
      <c r="G27344"/>
      <c r="H27344"/>
      <c r="I27344"/>
    </row>
    <row r="27345" spans="6:9" x14ac:dyDescent="0.3">
      <c r="F27345"/>
      <c r="G27345"/>
      <c r="H27345"/>
      <c r="I27345"/>
    </row>
    <row r="27346" spans="6:9" x14ac:dyDescent="0.3">
      <c r="F27346"/>
      <c r="G27346"/>
      <c r="H27346"/>
      <c r="I27346"/>
    </row>
    <row r="27347" spans="6:9" x14ac:dyDescent="0.3">
      <c r="F27347"/>
      <c r="G27347"/>
      <c r="H27347"/>
      <c r="I27347"/>
    </row>
    <row r="27348" spans="6:9" x14ac:dyDescent="0.3">
      <c r="F27348"/>
      <c r="G27348"/>
      <c r="H27348"/>
      <c r="I27348"/>
    </row>
    <row r="27349" spans="6:9" x14ac:dyDescent="0.3">
      <c r="F27349"/>
      <c r="G27349"/>
      <c r="H27349"/>
      <c r="I27349"/>
    </row>
    <row r="27350" spans="6:9" x14ac:dyDescent="0.3">
      <c r="F27350"/>
      <c r="G27350"/>
      <c r="H27350"/>
      <c r="I27350"/>
    </row>
    <row r="27351" spans="6:9" x14ac:dyDescent="0.3">
      <c r="F27351"/>
      <c r="G27351"/>
      <c r="H27351"/>
      <c r="I27351"/>
    </row>
    <row r="27352" spans="6:9" x14ac:dyDescent="0.3">
      <c r="F27352"/>
      <c r="G27352"/>
      <c r="H27352"/>
      <c r="I27352"/>
    </row>
    <row r="27353" spans="6:9" x14ac:dyDescent="0.3">
      <c r="F27353"/>
      <c r="G27353"/>
      <c r="H27353"/>
      <c r="I27353"/>
    </row>
    <row r="27354" spans="6:9" x14ac:dyDescent="0.3">
      <c r="F27354"/>
      <c r="G27354"/>
      <c r="H27354"/>
      <c r="I27354"/>
    </row>
    <row r="27355" spans="6:9" x14ac:dyDescent="0.3">
      <c r="F27355"/>
      <c r="G27355"/>
      <c r="H27355"/>
      <c r="I27355"/>
    </row>
    <row r="27356" spans="6:9" x14ac:dyDescent="0.3">
      <c r="F27356"/>
      <c r="G27356"/>
      <c r="H27356"/>
      <c r="I27356"/>
    </row>
    <row r="27357" spans="6:9" x14ac:dyDescent="0.3">
      <c r="F27357"/>
      <c r="G27357"/>
      <c r="H27357"/>
      <c r="I27357"/>
    </row>
    <row r="27358" spans="6:9" x14ac:dyDescent="0.3">
      <c r="F27358"/>
      <c r="G27358"/>
      <c r="H27358"/>
      <c r="I27358"/>
    </row>
    <row r="27359" spans="6:9" x14ac:dyDescent="0.3">
      <c r="F27359"/>
      <c r="G27359"/>
      <c r="H27359"/>
      <c r="I27359"/>
    </row>
    <row r="27360" spans="6:9" x14ac:dyDescent="0.3">
      <c r="F27360"/>
      <c r="G27360"/>
      <c r="H27360"/>
      <c r="I27360"/>
    </row>
    <row r="27361" spans="6:9" x14ac:dyDescent="0.3">
      <c r="F27361"/>
      <c r="G27361"/>
      <c r="H27361"/>
      <c r="I27361"/>
    </row>
    <row r="27362" spans="6:9" x14ac:dyDescent="0.3">
      <c r="F27362"/>
      <c r="G27362"/>
      <c r="H27362"/>
      <c r="I27362"/>
    </row>
    <row r="27363" spans="6:9" x14ac:dyDescent="0.3">
      <c r="F27363"/>
      <c r="G27363"/>
      <c r="H27363"/>
      <c r="I27363"/>
    </row>
    <row r="27364" spans="6:9" x14ac:dyDescent="0.3">
      <c r="F27364"/>
      <c r="G27364"/>
      <c r="H27364"/>
      <c r="I27364"/>
    </row>
    <row r="27365" spans="6:9" x14ac:dyDescent="0.3">
      <c r="F27365"/>
      <c r="G27365"/>
      <c r="H27365"/>
      <c r="I27365"/>
    </row>
    <row r="27366" spans="6:9" x14ac:dyDescent="0.3">
      <c r="F27366"/>
      <c r="G27366"/>
      <c r="H27366"/>
      <c r="I27366"/>
    </row>
    <row r="27367" spans="6:9" x14ac:dyDescent="0.3">
      <c r="F27367"/>
      <c r="G27367"/>
      <c r="H27367"/>
      <c r="I27367"/>
    </row>
    <row r="27368" spans="6:9" x14ac:dyDescent="0.3">
      <c r="F27368"/>
      <c r="G27368"/>
      <c r="H27368"/>
      <c r="I27368"/>
    </row>
    <row r="27369" spans="6:9" x14ac:dyDescent="0.3">
      <c r="F27369"/>
      <c r="G27369"/>
      <c r="H27369"/>
      <c r="I27369"/>
    </row>
    <row r="27370" spans="6:9" x14ac:dyDescent="0.3">
      <c r="F27370"/>
      <c r="G27370"/>
      <c r="H27370"/>
      <c r="I27370"/>
    </row>
    <row r="27371" spans="6:9" x14ac:dyDescent="0.3">
      <c r="F27371"/>
      <c r="G27371"/>
      <c r="H27371"/>
      <c r="I27371"/>
    </row>
    <row r="27372" spans="6:9" x14ac:dyDescent="0.3">
      <c r="F27372"/>
      <c r="G27372"/>
      <c r="H27372"/>
      <c r="I27372"/>
    </row>
    <row r="27373" spans="6:9" x14ac:dyDescent="0.3">
      <c r="F27373"/>
      <c r="G27373"/>
      <c r="H27373"/>
      <c r="I27373"/>
    </row>
    <row r="27374" spans="6:9" x14ac:dyDescent="0.3">
      <c r="F27374"/>
      <c r="G27374"/>
      <c r="H27374"/>
      <c r="I27374"/>
    </row>
    <row r="27375" spans="6:9" x14ac:dyDescent="0.3">
      <c r="F27375"/>
      <c r="G27375"/>
      <c r="H27375"/>
      <c r="I27375"/>
    </row>
    <row r="27376" spans="6:9" x14ac:dyDescent="0.3">
      <c r="F27376"/>
      <c r="G27376"/>
      <c r="H27376"/>
      <c r="I27376"/>
    </row>
    <row r="27377" spans="6:9" x14ac:dyDescent="0.3">
      <c r="F27377"/>
      <c r="G27377"/>
      <c r="H27377"/>
      <c r="I27377"/>
    </row>
    <row r="27378" spans="6:9" x14ac:dyDescent="0.3">
      <c r="F27378"/>
      <c r="G27378"/>
      <c r="H27378"/>
      <c r="I27378"/>
    </row>
    <row r="27379" spans="6:9" x14ac:dyDescent="0.3">
      <c r="F27379"/>
      <c r="G27379"/>
      <c r="H27379"/>
      <c r="I27379"/>
    </row>
    <row r="27380" spans="6:9" x14ac:dyDescent="0.3">
      <c r="F27380"/>
      <c r="G27380"/>
      <c r="H27380"/>
      <c r="I27380"/>
    </row>
    <row r="27381" spans="6:9" x14ac:dyDescent="0.3">
      <c r="F27381"/>
      <c r="G27381"/>
      <c r="H27381"/>
      <c r="I27381"/>
    </row>
    <row r="27382" spans="6:9" x14ac:dyDescent="0.3">
      <c r="F27382"/>
      <c r="G27382"/>
      <c r="H27382"/>
      <c r="I27382"/>
    </row>
    <row r="27383" spans="6:9" x14ac:dyDescent="0.3">
      <c r="F27383"/>
      <c r="G27383"/>
      <c r="H27383"/>
      <c r="I27383"/>
    </row>
    <row r="27384" spans="6:9" x14ac:dyDescent="0.3">
      <c r="F27384"/>
      <c r="G27384"/>
      <c r="H27384"/>
      <c r="I27384"/>
    </row>
    <row r="27385" spans="6:9" x14ac:dyDescent="0.3">
      <c r="F27385"/>
      <c r="G27385"/>
      <c r="H27385"/>
      <c r="I27385"/>
    </row>
    <row r="27386" spans="6:9" x14ac:dyDescent="0.3">
      <c r="F27386"/>
      <c r="G27386"/>
      <c r="H27386"/>
      <c r="I27386"/>
    </row>
    <row r="27387" spans="6:9" x14ac:dyDescent="0.3">
      <c r="F27387"/>
      <c r="G27387"/>
      <c r="H27387"/>
      <c r="I27387"/>
    </row>
    <row r="27388" spans="6:9" x14ac:dyDescent="0.3">
      <c r="F27388"/>
      <c r="G27388"/>
      <c r="H27388"/>
      <c r="I27388"/>
    </row>
    <row r="27389" spans="6:9" x14ac:dyDescent="0.3">
      <c r="F27389"/>
      <c r="G27389"/>
      <c r="H27389"/>
      <c r="I27389"/>
    </row>
    <row r="27390" spans="6:9" x14ac:dyDescent="0.3">
      <c r="F27390"/>
      <c r="G27390"/>
      <c r="H27390"/>
      <c r="I27390"/>
    </row>
    <row r="27391" spans="6:9" x14ac:dyDescent="0.3">
      <c r="F27391"/>
      <c r="G27391"/>
      <c r="H27391"/>
      <c r="I27391"/>
    </row>
    <row r="27392" spans="6:9" x14ac:dyDescent="0.3">
      <c r="F27392"/>
      <c r="G27392"/>
      <c r="H27392"/>
      <c r="I27392"/>
    </row>
    <row r="27393" spans="6:9" x14ac:dyDescent="0.3">
      <c r="F27393"/>
      <c r="G27393"/>
      <c r="H27393"/>
      <c r="I27393"/>
    </row>
    <row r="27394" spans="6:9" x14ac:dyDescent="0.3">
      <c r="F27394"/>
      <c r="G27394"/>
      <c r="H27394"/>
      <c r="I27394"/>
    </row>
    <row r="27395" spans="6:9" x14ac:dyDescent="0.3">
      <c r="F27395"/>
      <c r="G27395"/>
      <c r="H27395"/>
      <c r="I27395"/>
    </row>
    <row r="27396" spans="6:9" x14ac:dyDescent="0.3">
      <c r="F27396"/>
      <c r="G27396"/>
      <c r="H27396"/>
      <c r="I27396"/>
    </row>
    <row r="27397" spans="6:9" x14ac:dyDescent="0.3">
      <c r="F27397"/>
      <c r="G27397"/>
      <c r="H27397"/>
      <c r="I27397"/>
    </row>
    <row r="27398" spans="6:9" x14ac:dyDescent="0.3">
      <c r="F27398"/>
      <c r="G27398"/>
      <c r="H27398"/>
      <c r="I27398"/>
    </row>
    <row r="27399" spans="6:9" x14ac:dyDescent="0.3">
      <c r="F27399"/>
      <c r="G27399"/>
      <c r="H27399"/>
      <c r="I27399"/>
    </row>
    <row r="27400" spans="6:9" x14ac:dyDescent="0.3">
      <c r="F27400"/>
      <c r="G27400"/>
      <c r="H27400"/>
      <c r="I27400"/>
    </row>
    <row r="27401" spans="6:9" x14ac:dyDescent="0.3">
      <c r="F27401"/>
      <c r="G27401"/>
      <c r="H27401"/>
      <c r="I27401"/>
    </row>
    <row r="27402" spans="6:9" x14ac:dyDescent="0.3">
      <c r="F27402"/>
      <c r="G27402"/>
      <c r="H27402"/>
      <c r="I27402"/>
    </row>
    <row r="27403" spans="6:9" x14ac:dyDescent="0.3">
      <c r="F27403"/>
      <c r="G27403"/>
      <c r="H27403"/>
      <c r="I27403"/>
    </row>
    <row r="27404" spans="6:9" x14ac:dyDescent="0.3">
      <c r="F27404"/>
      <c r="G27404"/>
      <c r="H27404"/>
      <c r="I27404"/>
    </row>
    <row r="27405" spans="6:9" x14ac:dyDescent="0.3">
      <c r="F27405"/>
      <c r="G27405"/>
      <c r="H27405"/>
      <c r="I27405"/>
    </row>
    <row r="27406" spans="6:9" x14ac:dyDescent="0.3">
      <c r="F27406"/>
      <c r="G27406"/>
      <c r="H27406"/>
      <c r="I27406"/>
    </row>
    <row r="27407" spans="6:9" x14ac:dyDescent="0.3">
      <c r="F27407"/>
      <c r="G27407"/>
      <c r="H27407"/>
      <c r="I27407"/>
    </row>
    <row r="27408" spans="6:9" x14ac:dyDescent="0.3">
      <c r="F27408"/>
      <c r="G27408"/>
      <c r="H27408"/>
      <c r="I27408"/>
    </row>
    <row r="27409" spans="6:9" x14ac:dyDescent="0.3">
      <c r="F27409"/>
      <c r="G27409"/>
      <c r="H27409"/>
      <c r="I27409"/>
    </row>
    <row r="27410" spans="6:9" x14ac:dyDescent="0.3">
      <c r="F27410"/>
      <c r="G27410"/>
      <c r="H27410"/>
      <c r="I27410"/>
    </row>
    <row r="27411" spans="6:9" x14ac:dyDescent="0.3">
      <c r="F27411"/>
      <c r="G27411"/>
      <c r="H27411"/>
      <c r="I27411"/>
    </row>
    <row r="27412" spans="6:9" x14ac:dyDescent="0.3">
      <c r="F27412"/>
      <c r="G27412"/>
      <c r="H27412"/>
      <c r="I27412"/>
    </row>
    <row r="27413" spans="6:9" x14ac:dyDescent="0.3">
      <c r="F27413"/>
      <c r="G27413"/>
      <c r="H27413"/>
      <c r="I27413"/>
    </row>
    <row r="27414" spans="6:9" x14ac:dyDescent="0.3">
      <c r="F27414"/>
      <c r="G27414"/>
      <c r="H27414"/>
      <c r="I27414"/>
    </row>
    <row r="27415" spans="6:9" x14ac:dyDescent="0.3">
      <c r="F27415"/>
      <c r="G27415"/>
      <c r="H27415"/>
      <c r="I27415"/>
    </row>
    <row r="27416" spans="6:9" x14ac:dyDescent="0.3">
      <c r="F27416"/>
      <c r="G27416"/>
      <c r="H27416"/>
      <c r="I27416"/>
    </row>
    <row r="27417" spans="6:9" x14ac:dyDescent="0.3">
      <c r="F27417"/>
      <c r="G27417"/>
      <c r="H27417"/>
      <c r="I27417"/>
    </row>
    <row r="27418" spans="6:9" x14ac:dyDescent="0.3">
      <c r="F27418"/>
      <c r="G27418"/>
      <c r="H27418"/>
      <c r="I27418"/>
    </row>
    <row r="27419" spans="6:9" x14ac:dyDescent="0.3">
      <c r="F27419"/>
      <c r="G27419"/>
      <c r="H27419"/>
      <c r="I27419"/>
    </row>
    <row r="27420" spans="6:9" x14ac:dyDescent="0.3">
      <c r="F27420"/>
      <c r="G27420"/>
      <c r="H27420"/>
      <c r="I27420"/>
    </row>
    <row r="27421" spans="6:9" x14ac:dyDescent="0.3">
      <c r="F27421"/>
      <c r="G27421"/>
      <c r="H27421"/>
      <c r="I27421"/>
    </row>
    <row r="27422" spans="6:9" x14ac:dyDescent="0.3">
      <c r="F27422"/>
      <c r="G27422"/>
      <c r="H27422"/>
      <c r="I27422"/>
    </row>
    <row r="27423" spans="6:9" x14ac:dyDescent="0.3">
      <c r="F27423"/>
      <c r="G27423"/>
      <c r="H27423"/>
      <c r="I27423"/>
    </row>
    <row r="27424" spans="6:9" x14ac:dyDescent="0.3">
      <c r="F27424"/>
      <c r="G27424"/>
      <c r="H27424"/>
      <c r="I27424"/>
    </row>
    <row r="27425" spans="6:9" x14ac:dyDescent="0.3">
      <c r="F27425"/>
      <c r="G27425"/>
      <c r="H27425"/>
      <c r="I27425"/>
    </row>
    <row r="27426" spans="6:9" x14ac:dyDescent="0.3">
      <c r="F27426"/>
      <c r="G27426"/>
      <c r="H27426"/>
      <c r="I27426"/>
    </row>
    <row r="27427" spans="6:9" x14ac:dyDescent="0.3">
      <c r="F27427"/>
      <c r="G27427"/>
      <c r="H27427"/>
      <c r="I27427"/>
    </row>
    <row r="27428" spans="6:9" x14ac:dyDescent="0.3">
      <c r="F27428"/>
      <c r="G27428"/>
      <c r="H27428"/>
      <c r="I27428"/>
    </row>
    <row r="27429" spans="6:9" x14ac:dyDescent="0.3">
      <c r="F27429"/>
      <c r="G27429"/>
      <c r="H27429"/>
      <c r="I27429"/>
    </row>
    <row r="27430" spans="6:9" x14ac:dyDescent="0.3">
      <c r="F27430"/>
      <c r="G27430"/>
      <c r="H27430"/>
      <c r="I27430"/>
    </row>
    <row r="27431" spans="6:9" x14ac:dyDescent="0.3">
      <c r="F27431"/>
      <c r="G27431"/>
      <c r="H27431"/>
      <c r="I27431"/>
    </row>
    <row r="27432" spans="6:9" x14ac:dyDescent="0.3">
      <c r="F27432"/>
      <c r="G27432"/>
      <c r="H27432"/>
      <c r="I27432"/>
    </row>
    <row r="27433" spans="6:9" x14ac:dyDescent="0.3">
      <c r="F27433"/>
      <c r="G27433"/>
      <c r="H27433"/>
      <c r="I27433"/>
    </row>
    <row r="27434" spans="6:9" x14ac:dyDescent="0.3">
      <c r="F27434"/>
      <c r="G27434"/>
      <c r="H27434"/>
      <c r="I27434"/>
    </row>
    <row r="27435" spans="6:9" x14ac:dyDescent="0.3">
      <c r="F27435"/>
      <c r="G27435"/>
      <c r="H27435"/>
      <c r="I27435"/>
    </row>
    <row r="27436" spans="6:9" x14ac:dyDescent="0.3">
      <c r="F27436"/>
      <c r="G27436"/>
      <c r="H27436"/>
      <c r="I27436"/>
    </row>
    <row r="27437" spans="6:9" x14ac:dyDescent="0.3">
      <c r="F27437"/>
      <c r="G27437"/>
      <c r="H27437"/>
      <c r="I27437"/>
    </row>
    <row r="27438" spans="6:9" x14ac:dyDescent="0.3">
      <c r="F27438"/>
      <c r="G27438"/>
      <c r="H27438"/>
      <c r="I27438"/>
    </row>
    <row r="27439" spans="6:9" x14ac:dyDescent="0.3">
      <c r="F27439"/>
      <c r="G27439"/>
      <c r="H27439"/>
      <c r="I27439"/>
    </row>
    <row r="27440" spans="6:9" x14ac:dyDescent="0.3">
      <c r="F27440"/>
      <c r="G27440"/>
      <c r="H27440"/>
      <c r="I27440"/>
    </row>
    <row r="27441" spans="6:9" x14ac:dyDescent="0.3">
      <c r="F27441"/>
      <c r="G27441"/>
      <c r="H27441"/>
      <c r="I27441"/>
    </row>
    <row r="27442" spans="6:9" x14ac:dyDescent="0.3">
      <c r="F27442"/>
      <c r="G27442"/>
      <c r="H27442"/>
      <c r="I27442"/>
    </row>
    <row r="27443" spans="6:9" x14ac:dyDescent="0.3">
      <c r="F27443"/>
      <c r="G27443"/>
      <c r="H27443"/>
      <c r="I27443"/>
    </row>
    <row r="27444" spans="6:9" x14ac:dyDescent="0.3">
      <c r="F27444"/>
      <c r="G27444"/>
      <c r="H27444"/>
      <c r="I27444"/>
    </row>
    <row r="27445" spans="6:9" x14ac:dyDescent="0.3">
      <c r="F27445"/>
      <c r="G27445"/>
      <c r="H27445"/>
      <c r="I27445"/>
    </row>
    <row r="27446" spans="6:9" x14ac:dyDescent="0.3">
      <c r="F27446"/>
      <c r="G27446"/>
      <c r="H27446"/>
      <c r="I27446"/>
    </row>
    <row r="27447" spans="6:9" x14ac:dyDescent="0.3">
      <c r="F27447"/>
      <c r="G27447"/>
      <c r="H27447"/>
      <c r="I27447"/>
    </row>
    <row r="27448" spans="6:9" x14ac:dyDescent="0.3">
      <c r="F27448"/>
      <c r="G27448"/>
      <c r="H27448"/>
      <c r="I27448"/>
    </row>
    <row r="27449" spans="6:9" x14ac:dyDescent="0.3">
      <c r="F27449"/>
      <c r="G27449"/>
      <c r="H27449"/>
      <c r="I27449"/>
    </row>
    <row r="27450" spans="6:9" x14ac:dyDescent="0.3">
      <c r="F27450"/>
      <c r="G27450"/>
      <c r="H27450"/>
      <c r="I27450"/>
    </row>
    <row r="27451" spans="6:9" x14ac:dyDescent="0.3">
      <c r="F27451"/>
      <c r="G27451"/>
      <c r="H27451"/>
      <c r="I27451"/>
    </row>
    <row r="27452" spans="6:9" x14ac:dyDescent="0.3">
      <c r="F27452"/>
      <c r="G27452"/>
      <c r="H27452"/>
      <c r="I27452"/>
    </row>
    <row r="27453" spans="6:9" x14ac:dyDescent="0.3">
      <c r="F27453"/>
      <c r="G27453"/>
      <c r="H27453"/>
      <c r="I27453"/>
    </row>
    <row r="27454" spans="6:9" x14ac:dyDescent="0.3">
      <c r="F27454"/>
      <c r="G27454"/>
      <c r="H27454"/>
      <c r="I27454"/>
    </row>
    <row r="27455" spans="6:9" x14ac:dyDescent="0.3">
      <c r="F27455"/>
      <c r="G27455"/>
      <c r="H27455"/>
      <c r="I27455"/>
    </row>
    <row r="27456" spans="6:9" x14ac:dyDescent="0.3">
      <c r="F27456"/>
      <c r="G27456"/>
      <c r="H27456"/>
      <c r="I27456"/>
    </row>
    <row r="27457" spans="6:9" x14ac:dyDescent="0.3">
      <c r="F27457"/>
      <c r="G27457"/>
      <c r="H27457"/>
      <c r="I27457"/>
    </row>
    <row r="27458" spans="6:9" x14ac:dyDescent="0.3">
      <c r="F27458"/>
      <c r="G27458"/>
      <c r="H27458"/>
      <c r="I27458"/>
    </row>
    <row r="27459" spans="6:9" x14ac:dyDescent="0.3">
      <c r="F27459"/>
      <c r="G27459"/>
      <c r="H27459"/>
      <c r="I27459"/>
    </row>
    <row r="27460" spans="6:9" x14ac:dyDescent="0.3">
      <c r="F27460"/>
      <c r="G27460"/>
      <c r="H27460"/>
      <c r="I27460"/>
    </row>
    <row r="27461" spans="6:9" x14ac:dyDescent="0.3">
      <c r="F27461"/>
      <c r="G27461"/>
      <c r="H27461"/>
      <c r="I27461"/>
    </row>
    <row r="27462" spans="6:9" x14ac:dyDescent="0.3">
      <c r="F27462"/>
      <c r="G27462"/>
      <c r="H27462"/>
      <c r="I27462"/>
    </row>
    <row r="27463" spans="6:9" x14ac:dyDescent="0.3">
      <c r="F27463"/>
      <c r="G27463"/>
      <c r="H27463"/>
      <c r="I27463"/>
    </row>
    <row r="27464" spans="6:9" x14ac:dyDescent="0.3">
      <c r="F27464"/>
      <c r="G27464"/>
      <c r="H27464"/>
      <c r="I27464"/>
    </row>
    <row r="27465" spans="6:9" x14ac:dyDescent="0.3">
      <c r="F27465"/>
      <c r="G27465"/>
      <c r="H27465"/>
      <c r="I27465"/>
    </row>
    <row r="27466" spans="6:9" x14ac:dyDescent="0.3">
      <c r="F27466"/>
      <c r="G27466"/>
      <c r="H27466"/>
      <c r="I27466"/>
    </row>
    <row r="27467" spans="6:9" x14ac:dyDescent="0.3">
      <c r="F27467"/>
      <c r="G27467"/>
      <c r="H27467"/>
      <c r="I27467"/>
    </row>
    <row r="27468" spans="6:9" x14ac:dyDescent="0.3">
      <c r="F27468"/>
      <c r="G27468"/>
      <c r="H27468"/>
      <c r="I27468"/>
    </row>
    <row r="27469" spans="6:9" x14ac:dyDescent="0.3">
      <c r="F27469"/>
      <c r="G27469"/>
      <c r="H27469"/>
      <c r="I27469"/>
    </row>
    <row r="27470" spans="6:9" x14ac:dyDescent="0.3">
      <c r="F27470"/>
      <c r="G27470"/>
      <c r="H27470"/>
      <c r="I27470"/>
    </row>
    <row r="27471" spans="6:9" x14ac:dyDescent="0.3">
      <c r="F27471"/>
      <c r="G27471"/>
      <c r="H27471"/>
      <c r="I27471"/>
    </row>
    <row r="27472" spans="6:9" x14ac:dyDescent="0.3">
      <c r="F27472"/>
      <c r="G27472"/>
      <c r="H27472"/>
      <c r="I27472"/>
    </row>
    <row r="27473" spans="6:9" x14ac:dyDescent="0.3">
      <c r="F27473"/>
      <c r="G27473"/>
      <c r="H27473"/>
      <c r="I27473"/>
    </row>
    <row r="27474" spans="6:9" x14ac:dyDescent="0.3">
      <c r="F27474"/>
      <c r="G27474"/>
      <c r="H27474"/>
      <c r="I27474"/>
    </row>
    <row r="27475" spans="6:9" x14ac:dyDescent="0.3">
      <c r="F27475"/>
      <c r="G27475"/>
      <c r="H27475"/>
      <c r="I27475"/>
    </row>
    <row r="27476" spans="6:9" x14ac:dyDescent="0.3">
      <c r="F27476"/>
      <c r="G27476"/>
      <c r="H27476"/>
      <c r="I27476"/>
    </row>
    <row r="27477" spans="6:9" x14ac:dyDescent="0.3">
      <c r="F27477"/>
      <c r="G27477"/>
      <c r="H27477"/>
      <c r="I27477"/>
    </row>
    <row r="27478" spans="6:9" x14ac:dyDescent="0.3">
      <c r="F27478"/>
      <c r="G27478"/>
      <c r="H27478"/>
      <c r="I27478"/>
    </row>
    <row r="27479" spans="6:9" x14ac:dyDescent="0.3">
      <c r="F27479"/>
      <c r="G27479"/>
      <c r="H27479"/>
      <c r="I27479"/>
    </row>
    <row r="27480" spans="6:9" x14ac:dyDescent="0.3">
      <c r="F27480"/>
      <c r="G27480"/>
      <c r="H27480"/>
      <c r="I27480"/>
    </row>
    <row r="27481" spans="6:9" x14ac:dyDescent="0.3">
      <c r="F27481"/>
      <c r="G27481"/>
      <c r="H27481"/>
      <c r="I27481"/>
    </row>
    <row r="27482" spans="6:9" x14ac:dyDescent="0.3">
      <c r="F27482"/>
      <c r="G27482"/>
      <c r="H27482"/>
      <c r="I27482"/>
    </row>
    <row r="27483" spans="6:9" x14ac:dyDescent="0.3">
      <c r="F27483"/>
      <c r="G27483"/>
      <c r="H27483"/>
      <c r="I27483"/>
    </row>
    <row r="27484" spans="6:9" x14ac:dyDescent="0.3">
      <c r="F27484"/>
      <c r="G27484"/>
      <c r="H27484"/>
      <c r="I27484"/>
    </row>
    <row r="27485" spans="6:9" x14ac:dyDescent="0.3">
      <c r="F27485"/>
      <c r="G27485"/>
      <c r="H27485"/>
      <c r="I27485"/>
    </row>
    <row r="27486" spans="6:9" x14ac:dyDescent="0.3">
      <c r="F27486"/>
      <c r="G27486"/>
      <c r="H27486"/>
      <c r="I27486"/>
    </row>
    <row r="27487" spans="6:9" x14ac:dyDescent="0.3">
      <c r="F27487"/>
      <c r="G27487"/>
      <c r="H27487"/>
      <c r="I27487"/>
    </row>
    <row r="27488" spans="6:9" x14ac:dyDescent="0.3">
      <c r="F27488"/>
      <c r="G27488"/>
      <c r="H27488"/>
      <c r="I27488"/>
    </row>
    <row r="27489" spans="6:9" x14ac:dyDescent="0.3">
      <c r="F27489"/>
      <c r="G27489"/>
      <c r="H27489"/>
      <c r="I27489"/>
    </row>
    <row r="27490" spans="6:9" x14ac:dyDescent="0.3">
      <c r="F27490"/>
      <c r="G27490"/>
      <c r="H27490"/>
      <c r="I27490"/>
    </row>
    <row r="27491" spans="6:9" x14ac:dyDescent="0.3">
      <c r="F27491"/>
      <c r="G27491"/>
      <c r="H27491"/>
      <c r="I27491"/>
    </row>
    <row r="27492" spans="6:9" x14ac:dyDescent="0.3">
      <c r="F27492"/>
      <c r="G27492"/>
      <c r="H27492"/>
      <c r="I27492"/>
    </row>
    <row r="27493" spans="6:9" x14ac:dyDescent="0.3">
      <c r="F27493"/>
      <c r="G27493"/>
      <c r="H27493"/>
      <c r="I27493"/>
    </row>
    <row r="27494" spans="6:9" x14ac:dyDescent="0.3">
      <c r="F27494"/>
      <c r="G27494"/>
      <c r="H27494"/>
      <c r="I27494"/>
    </row>
    <row r="27495" spans="6:9" x14ac:dyDescent="0.3">
      <c r="F27495"/>
      <c r="G27495"/>
      <c r="H27495"/>
      <c r="I27495"/>
    </row>
    <row r="27496" spans="6:9" x14ac:dyDescent="0.3">
      <c r="F27496"/>
      <c r="G27496"/>
      <c r="H27496"/>
      <c r="I27496"/>
    </row>
    <row r="27497" spans="6:9" x14ac:dyDescent="0.3">
      <c r="F27497"/>
      <c r="G27497"/>
      <c r="H27497"/>
      <c r="I27497"/>
    </row>
    <row r="27498" spans="6:9" x14ac:dyDescent="0.3">
      <c r="F27498"/>
      <c r="G27498"/>
      <c r="H27498"/>
      <c r="I27498"/>
    </row>
    <row r="27499" spans="6:9" x14ac:dyDescent="0.3">
      <c r="F27499"/>
      <c r="G27499"/>
      <c r="H27499"/>
      <c r="I27499"/>
    </row>
    <row r="27500" spans="6:9" x14ac:dyDescent="0.3">
      <c r="F27500"/>
      <c r="G27500"/>
      <c r="H27500"/>
      <c r="I27500"/>
    </row>
    <row r="27501" spans="6:9" x14ac:dyDescent="0.3">
      <c r="F27501"/>
      <c r="G27501"/>
      <c r="H27501"/>
      <c r="I27501"/>
    </row>
    <row r="27502" spans="6:9" x14ac:dyDescent="0.3">
      <c r="F27502"/>
      <c r="G27502"/>
      <c r="H27502"/>
      <c r="I27502"/>
    </row>
    <row r="27503" spans="6:9" x14ac:dyDescent="0.3">
      <c r="F27503"/>
      <c r="G27503"/>
      <c r="H27503"/>
      <c r="I27503"/>
    </row>
    <row r="27504" spans="6:9" x14ac:dyDescent="0.3">
      <c r="F27504"/>
      <c r="G27504"/>
      <c r="H27504"/>
      <c r="I27504"/>
    </row>
    <row r="27505" spans="6:9" x14ac:dyDescent="0.3">
      <c r="F27505"/>
      <c r="G27505"/>
      <c r="H27505"/>
      <c r="I27505"/>
    </row>
    <row r="27506" spans="6:9" x14ac:dyDescent="0.3">
      <c r="F27506"/>
      <c r="G27506"/>
      <c r="H27506"/>
      <c r="I27506"/>
    </row>
    <row r="27507" spans="6:9" x14ac:dyDescent="0.3">
      <c r="F27507"/>
      <c r="G27507"/>
      <c r="H27507"/>
      <c r="I27507"/>
    </row>
    <row r="27508" spans="6:9" x14ac:dyDescent="0.3">
      <c r="F27508"/>
      <c r="G27508"/>
      <c r="H27508"/>
      <c r="I27508"/>
    </row>
    <row r="27509" spans="6:9" x14ac:dyDescent="0.3">
      <c r="F27509"/>
      <c r="G27509"/>
      <c r="H27509"/>
      <c r="I27509"/>
    </row>
    <row r="27510" spans="6:9" x14ac:dyDescent="0.3">
      <c r="F27510"/>
      <c r="G27510"/>
      <c r="H27510"/>
      <c r="I27510"/>
    </row>
    <row r="27511" spans="6:9" x14ac:dyDescent="0.3">
      <c r="F27511"/>
      <c r="G27511"/>
      <c r="H27511"/>
      <c r="I27511"/>
    </row>
    <row r="27512" spans="6:9" x14ac:dyDescent="0.3">
      <c r="F27512"/>
      <c r="G27512"/>
      <c r="H27512"/>
      <c r="I27512"/>
    </row>
    <row r="27513" spans="6:9" x14ac:dyDescent="0.3">
      <c r="F27513"/>
      <c r="G27513"/>
      <c r="H27513"/>
      <c r="I27513"/>
    </row>
    <row r="27514" spans="6:9" x14ac:dyDescent="0.3">
      <c r="F27514"/>
      <c r="G27514"/>
      <c r="H27514"/>
      <c r="I27514"/>
    </row>
    <row r="27515" spans="6:9" x14ac:dyDescent="0.3">
      <c r="F27515"/>
      <c r="G27515"/>
      <c r="H27515"/>
      <c r="I27515"/>
    </row>
    <row r="27516" spans="6:9" x14ac:dyDescent="0.3">
      <c r="F27516"/>
      <c r="G27516"/>
      <c r="H27516"/>
      <c r="I27516"/>
    </row>
    <row r="27517" spans="6:9" x14ac:dyDescent="0.3">
      <c r="F27517"/>
      <c r="G27517"/>
      <c r="H27517"/>
      <c r="I27517"/>
    </row>
    <row r="27518" spans="6:9" x14ac:dyDescent="0.3">
      <c r="F27518"/>
      <c r="G27518"/>
      <c r="H27518"/>
      <c r="I27518"/>
    </row>
    <row r="27519" spans="6:9" x14ac:dyDescent="0.3">
      <c r="F27519"/>
      <c r="G27519"/>
      <c r="H27519"/>
      <c r="I27519"/>
    </row>
    <row r="27520" spans="6:9" x14ac:dyDescent="0.3">
      <c r="F27520"/>
      <c r="G27520"/>
      <c r="H27520"/>
      <c r="I27520"/>
    </row>
    <row r="27521" spans="6:9" x14ac:dyDescent="0.3">
      <c r="F27521"/>
      <c r="G27521"/>
      <c r="H27521"/>
      <c r="I27521"/>
    </row>
    <row r="27522" spans="6:9" x14ac:dyDescent="0.3">
      <c r="F27522"/>
      <c r="G27522"/>
      <c r="H27522"/>
      <c r="I27522"/>
    </row>
    <row r="27523" spans="6:9" x14ac:dyDescent="0.3">
      <c r="F27523"/>
      <c r="G27523"/>
      <c r="H27523"/>
      <c r="I27523"/>
    </row>
    <row r="27524" spans="6:9" x14ac:dyDescent="0.3">
      <c r="F27524"/>
      <c r="G27524"/>
      <c r="H27524"/>
      <c r="I27524"/>
    </row>
    <row r="27525" spans="6:9" x14ac:dyDescent="0.3">
      <c r="F27525"/>
      <c r="G27525"/>
      <c r="H27525"/>
      <c r="I27525"/>
    </row>
    <row r="27526" spans="6:9" x14ac:dyDescent="0.3">
      <c r="F27526"/>
      <c r="G27526"/>
      <c r="H27526"/>
      <c r="I27526"/>
    </row>
    <row r="27527" spans="6:9" x14ac:dyDescent="0.3">
      <c r="F27527"/>
      <c r="G27527"/>
      <c r="H27527"/>
      <c r="I27527"/>
    </row>
    <row r="27528" spans="6:9" x14ac:dyDescent="0.3">
      <c r="F27528"/>
      <c r="G27528"/>
      <c r="H27528"/>
      <c r="I27528"/>
    </row>
    <row r="27529" spans="6:9" x14ac:dyDescent="0.3">
      <c r="F27529"/>
      <c r="G27529"/>
      <c r="H27529"/>
      <c r="I27529"/>
    </row>
    <row r="27530" spans="6:9" x14ac:dyDescent="0.3">
      <c r="F27530"/>
      <c r="G27530"/>
      <c r="H27530"/>
      <c r="I27530"/>
    </row>
    <row r="27531" spans="6:9" x14ac:dyDescent="0.3">
      <c r="F27531"/>
      <c r="G27531"/>
      <c r="H27531"/>
      <c r="I27531"/>
    </row>
    <row r="27532" spans="6:9" x14ac:dyDescent="0.3">
      <c r="F27532"/>
      <c r="G27532"/>
      <c r="H27532"/>
      <c r="I27532"/>
    </row>
    <row r="27533" spans="6:9" x14ac:dyDescent="0.3">
      <c r="F27533"/>
      <c r="G27533"/>
      <c r="H27533"/>
      <c r="I27533"/>
    </row>
    <row r="27534" spans="6:9" x14ac:dyDescent="0.3">
      <c r="F27534"/>
      <c r="G27534"/>
      <c r="H27534"/>
      <c r="I27534"/>
    </row>
    <row r="27535" spans="6:9" x14ac:dyDescent="0.3">
      <c r="F27535"/>
      <c r="G27535"/>
      <c r="H27535"/>
      <c r="I27535"/>
    </row>
    <row r="27536" spans="6:9" x14ac:dyDescent="0.3">
      <c r="F27536"/>
      <c r="G27536"/>
      <c r="H27536"/>
      <c r="I27536"/>
    </row>
    <row r="27537" spans="6:9" x14ac:dyDescent="0.3">
      <c r="F27537"/>
      <c r="G27537"/>
      <c r="H27537"/>
      <c r="I27537"/>
    </row>
    <row r="27538" spans="6:9" x14ac:dyDescent="0.3">
      <c r="F27538"/>
      <c r="G27538"/>
      <c r="H27538"/>
      <c r="I27538"/>
    </row>
    <row r="27539" spans="6:9" x14ac:dyDescent="0.3">
      <c r="F27539"/>
      <c r="G27539"/>
      <c r="H27539"/>
      <c r="I27539"/>
    </row>
    <row r="27540" spans="6:9" x14ac:dyDescent="0.3">
      <c r="F27540"/>
      <c r="G27540"/>
      <c r="H27540"/>
      <c r="I27540"/>
    </row>
    <row r="27541" spans="6:9" x14ac:dyDescent="0.3">
      <c r="F27541"/>
      <c r="G27541"/>
      <c r="H27541"/>
      <c r="I27541"/>
    </row>
    <row r="27542" spans="6:9" x14ac:dyDescent="0.3">
      <c r="F27542"/>
      <c r="G27542"/>
      <c r="H27542"/>
      <c r="I27542"/>
    </row>
    <row r="27543" spans="6:9" x14ac:dyDescent="0.3">
      <c r="F27543"/>
      <c r="G27543"/>
      <c r="H27543"/>
      <c r="I27543"/>
    </row>
    <row r="27544" spans="6:9" x14ac:dyDescent="0.3">
      <c r="F27544"/>
      <c r="G27544"/>
      <c r="H27544"/>
      <c r="I27544"/>
    </row>
    <row r="27545" spans="6:9" x14ac:dyDescent="0.3">
      <c r="F27545"/>
      <c r="G27545"/>
      <c r="H27545"/>
      <c r="I27545"/>
    </row>
    <row r="27546" spans="6:9" x14ac:dyDescent="0.3">
      <c r="F27546"/>
      <c r="G27546"/>
      <c r="H27546"/>
      <c r="I27546"/>
    </row>
    <row r="27547" spans="6:9" x14ac:dyDescent="0.3">
      <c r="F27547"/>
      <c r="G27547"/>
      <c r="H27547"/>
      <c r="I27547"/>
    </row>
    <row r="27548" spans="6:9" x14ac:dyDescent="0.3">
      <c r="F27548"/>
      <c r="G27548"/>
      <c r="H27548"/>
      <c r="I27548"/>
    </row>
    <row r="27549" spans="6:9" x14ac:dyDescent="0.3">
      <c r="F27549"/>
      <c r="G27549"/>
      <c r="H27549"/>
      <c r="I27549"/>
    </row>
    <row r="27550" spans="6:9" x14ac:dyDescent="0.3">
      <c r="F27550"/>
      <c r="G27550"/>
      <c r="H27550"/>
      <c r="I27550"/>
    </row>
    <row r="27551" spans="6:9" x14ac:dyDescent="0.3">
      <c r="F27551"/>
      <c r="G27551"/>
      <c r="H27551"/>
      <c r="I27551"/>
    </row>
    <row r="27552" spans="6:9" x14ac:dyDescent="0.3">
      <c r="F27552"/>
      <c r="G27552"/>
      <c r="H27552"/>
      <c r="I27552"/>
    </row>
    <row r="27553" spans="6:9" x14ac:dyDescent="0.3">
      <c r="F27553"/>
      <c r="G27553"/>
      <c r="H27553"/>
      <c r="I27553"/>
    </row>
    <row r="27554" spans="6:9" x14ac:dyDescent="0.3">
      <c r="F27554"/>
      <c r="G27554"/>
      <c r="H27554"/>
      <c r="I27554"/>
    </row>
    <row r="27555" spans="6:9" x14ac:dyDescent="0.3">
      <c r="F27555"/>
      <c r="G27555"/>
      <c r="H27555"/>
      <c r="I27555"/>
    </row>
    <row r="27556" spans="6:9" x14ac:dyDescent="0.3">
      <c r="F27556"/>
      <c r="G27556"/>
      <c r="H27556"/>
      <c r="I27556"/>
    </row>
    <row r="27557" spans="6:9" x14ac:dyDescent="0.3">
      <c r="F27557"/>
      <c r="G27557"/>
      <c r="H27557"/>
      <c r="I27557"/>
    </row>
    <row r="27558" spans="6:9" x14ac:dyDescent="0.3">
      <c r="F27558"/>
      <c r="G27558"/>
      <c r="H27558"/>
      <c r="I27558"/>
    </row>
    <row r="27559" spans="6:9" x14ac:dyDescent="0.3">
      <c r="F27559"/>
      <c r="G27559"/>
      <c r="H27559"/>
      <c r="I27559"/>
    </row>
    <row r="27560" spans="6:9" x14ac:dyDescent="0.3">
      <c r="F27560"/>
      <c r="G27560"/>
      <c r="H27560"/>
      <c r="I27560"/>
    </row>
    <row r="27561" spans="6:9" x14ac:dyDescent="0.3">
      <c r="F27561"/>
      <c r="G27561"/>
      <c r="H27561"/>
      <c r="I27561"/>
    </row>
    <row r="27562" spans="6:9" x14ac:dyDescent="0.3">
      <c r="F27562"/>
      <c r="G27562"/>
      <c r="H27562"/>
      <c r="I27562"/>
    </row>
    <row r="27563" spans="6:9" x14ac:dyDescent="0.3">
      <c r="F27563"/>
      <c r="G27563"/>
      <c r="H27563"/>
      <c r="I27563"/>
    </row>
    <row r="27564" spans="6:9" x14ac:dyDescent="0.3">
      <c r="F27564"/>
      <c r="G27564"/>
      <c r="H27564"/>
      <c r="I27564"/>
    </row>
    <row r="27565" spans="6:9" x14ac:dyDescent="0.3">
      <c r="F27565"/>
      <c r="G27565"/>
      <c r="H27565"/>
      <c r="I27565"/>
    </row>
    <row r="27566" spans="6:9" x14ac:dyDescent="0.3">
      <c r="F27566"/>
      <c r="G27566"/>
      <c r="H27566"/>
      <c r="I27566"/>
    </row>
    <row r="27567" spans="6:9" x14ac:dyDescent="0.3">
      <c r="F27567"/>
      <c r="G27567"/>
      <c r="H27567"/>
      <c r="I27567"/>
    </row>
    <row r="27568" spans="6:9" x14ac:dyDescent="0.3">
      <c r="F27568"/>
      <c r="G27568"/>
      <c r="H27568"/>
      <c r="I27568"/>
    </row>
    <row r="27569" spans="6:9" x14ac:dyDescent="0.3">
      <c r="F27569"/>
      <c r="G27569"/>
      <c r="H27569"/>
      <c r="I27569"/>
    </row>
    <row r="27570" spans="6:9" x14ac:dyDescent="0.3">
      <c r="F27570"/>
      <c r="G27570"/>
      <c r="H27570"/>
      <c r="I27570"/>
    </row>
    <row r="27571" spans="6:9" x14ac:dyDescent="0.3">
      <c r="F27571"/>
      <c r="G27571"/>
      <c r="H27571"/>
      <c r="I27571"/>
    </row>
    <row r="27572" spans="6:9" x14ac:dyDescent="0.3">
      <c r="F27572"/>
      <c r="G27572"/>
      <c r="H27572"/>
      <c r="I27572"/>
    </row>
    <row r="27573" spans="6:9" x14ac:dyDescent="0.3">
      <c r="F27573"/>
      <c r="G27573"/>
      <c r="H27573"/>
      <c r="I27573"/>
    </row>
    <row r="27574" spans="6:9" x14ac:dyDescent="0.3">
      <c r="F27574"/>
      <c r="G27574"/>
      <c r="H27574"/>
      <c r="I27574"/>
    </row>
    <row r="27575" spans="6:9" x14ac:dyDescent="0.3">
      <c r="F27575"/>
      <c r="G27575"/>
      <c r="H27575"/>
      <c r="I27575"/>
    </row>
    <row r="27576" spans="6:9" x14ac:dyDescent="0.3">
      <c r="F27576"/>
      <c r="G27576"/>
      <c r="H27576"/>
      <c r="I27576"/>
    </row>
    <row r="27577" spans="6:9" x14ac:dyDescent="0.3">
      <c r="F27577"/>
      <c r="G27577"/>
      <c r="H27577"/>
      <c r="I27577"/>
    </row>
    <row r="27578" spans="6:9" x14ac:dyDescent="0.3">
      <c r="F27578"/>
      <c r="G27578"/>
      <c r="H27578"/>
      <c r="I27578"/>
    </row>
    <row r="27579" spans="6:9" x14ac:dyDescent="0.3">
      <c r="F27579"/>
      <c r="G27579"/>
      <c r="H27579"/>
      <c r="I27579"/>
    </row>
    <row r="27580" spans="6:9" x14ac:dyDescent="0.3">
      <c r="F27580"/>
      <c r="G27580"/>
      <c r="H27580"/>
      <c r="I27580"/>
    </row>
    <row r="27581" spans="6:9" x14ac:dyDescent="0.3">
      <c r="F27581"/>
      <c r="G27581"/>
      <c r="H27581"/>
      <c r="I27581"/>
    </row>
    <row r="27582" spans="6:9" x14ac:dyDescent="0.3">
      <c r="F27582"/>
      <c r="G27582"/>
      <c r="H27582"/>
      <c r="I27582"/>
    </row>
    <row r="27583" spans="6:9" x14ac:dyDescent="0.3">
      <c r="F27583"/>
      <c r="G27583"/>
      <c r="H27583"/>
      <c r="I27583"/>
    </row>
    <row r="27584" spans="6:9" x14ac:dyDescent="0.3">
      <c r="F27584"/>
      <c r="G27584"/>
      <c r="H27584"/>
      <c r="I27584"/>
    </row>
    <row r="27585" spans="6:9" x14ac:dyDescent="0.3">
      <c r="F27585"/>
      <c r="G27585"/>
      <c r="H27585"/>
      <c r="I27585"/>
    </row>
    <row r="27586" spans="6:9" x14ac:dyDescent="0.3">
      <c r="F27586"/>
      <c r="G27586"/>
      <c r="H27586"/>
      <c r="I27586"/>
    </row>
    <row r="27587" spans="6:9" x14ac:dyDescent="0.3">
      <c r="F27587"/>
      <c r="G27587"/>
      <c r="H27587"/>
      <c r="I27587"/>
    </row>
    <row r="27588" spans="6:9" x14ac:dyDescent="0.3">
      <c r="F27588"/>
      <c r="G27588"/>
      <c r="H27588"/>
      <c r="I27588"/>
    </row>
    <row r="27589" spans="6:9" x14ac:dyDescent="0.3">
      <c r="F27589"/>
      <c r="G27589"/>
      <c r="H27589"/>
      <c r="I27589"/>
    </row>
    <row r="27590" spans="6:9" x14ac:dyDescent="0.3">
      <c r="F27590"/>
      <c r="G27590"/>
      <c r="H27590"/>
      <c r="I27590"/>
    </row>
    <row r="27591" spans="6:9" x14ac:dyDescent="0.3">
      <c r="F27591"/>
      <c r="G27591"/>
      <c r="H27591"/>
      <c r="I27591"/>
    </row>
    <row r="27592" spans="6:9" x14ac:dyDescent="0.3">
      <c r="F27592"/>
      <c r="G27592"/>
      <c r="H27592"/>
      <c r="I27592"/>
    </row>
    <row r="27593" spans="6:9" x14ac:dyDescent="0.3">
      <c r="F27593"/>
      <c r="G27593"/>
      <c r="H27593"/>
      <c r="I27593"/>
    </row>
    <row r="27594" spans="6:9" x14ac:dyDescent="0.3">
      <c r="F27594"/>
      <c r="G27594"/>
      <c r="H27594"/>
      <c r="I27594"/>
    </row>
    <row r="27595" spans="6:9" x14ac:dyDescent="0.3">
      <c r="F27595"/>
      <c r="G27595"/>
      <c r="H27595"/>
      <c r="I27595"/>
    </row>
    <row r="27596" spans="6:9" x14ac:dyDescent="0.3">
      <c r="F27596"/>
      <c r="G27596"/>
      <c r="H27596"/>
      <c r="I27596"/>
    </row>
    <row r="27597" spans="6:9" x14ac:dyDescent="0.3">
      <c r="F27597"/>
      <c r="G27597"/>
      <c r="H27597"/>
      <c r="I27597"/>
    </row>
    <row r="27598" spans="6:9" x14ac:dyDescent="0.3">
      <c r="F27598"/>
      <c r="G27598"/>
      <c r="H27598"/>
      <c r="I27598"/>
    </row>
    <row r="27599" spans="6:9" x14ac:dyDescent="0.3">
      <c r="F27599"/>
      <c r="G27599"/>
      <c r="H27599"/>
      <c r="I27599"/>
    </row>
    <row r="27600" spans="6:9" x14ac:dyDescent="0.3">
      <c r="F27600"/>
      <c r="G27600"/>
      <c r="H27600"/>
      <c r="I27600"/>
    </row>
    <row r="27601" spans="6:9" x14ac:dyDescent="0.3">
      <c r="F27601"/>
      <c r="G27601"/>
      <c r="H27601"/>
      <c r="I27601"/>
    </row>
    <row r="27602" spans="6:9" x14ac:dyDescent="0.3">
      <c r="F27602"/>
      <c r="G27602"/>
      <c r="H27602"/>
      <c r="I27602"/>
    </row>
    <row r="27603" spans="6:9" x14ac:dyDescent="0.3">
      <c r="F27603"/>
      <c r="G27603"/>
      <c r="H27603"/>
      <c r="I27603"/>
    </row>
    <row r="27604" spans="6:9" x14ac:dyDescent="0.3">
      <c r="F27604"/>
      <c r="G27604"/>
      <c r="H27604"/>
      <c r="I27604"/>
    </row>
    <row r="27605" spans="6:9" x14ac:dyDescent="0.3">
      <c r="F27605"/>
      <c r="G27605"/>
      <c r="H27605"/>
      <c r="I27605"/>
    </row>
    <row r="27606" spans="6:9" x14ac:dyDescent="0.3">
      <c r="F27606"/>
      <c r="G27606"/>
      <c r="H27606"/>
      <c r="I27606"/>
    </row>
    <row r="27607" spans="6:9" x14ac:dyDescent="0.3">
      <c r="F27607"/>
      <c r="G27607"/>
      <c r="H27607"/>
      <c r="I27607"/>
    </row>
    <row r="27608" spans="6:9" x14ac:dyDescent="0.3">
      <c r="F27608"/>
      <c r="G27608"/>
      <c r="H27608"/>
      <c r="I27608"/>
    </row>
    <row r="27609" spans="6:9" x14ac:dyDescent="0.3">
      <c r="F27609"/>
      <c r="G27609"/>
      <c r="H27609"/>
      <c r="I27609"/>
    </row>
    <row r="27610" spans="6:9" x14ac:dyDescent="0.3">
      <c r="F27610"/>
      <c r="G27610"/>
      <c r="H27610"/>
      <c r="I27610"/>
    </row>
    <row r="27611" spans="6:9" x14ac:dyDescent="0.3">
      <c r="F27611"/>
      <c r="G27611"/>
      <c r="H27611"/>
      <c r="I27611"/>
    </row>
    <row r="27612" spans="6:9" x14ac:dyDescent="0.3">
      <c r="F27612"/>
      <c r="G27612"/>
      <c r="H27612"/>
      <c r="I27612"/>
    </row>
    <row r="27613" spans="6:9" x14ac:dyDescent="0.3">
      <c r="F27613"/>
      <c r="G27613"/>
      <c r="H27613"/>
      <c r="I27613"/>
    </row>
    <row r="27614" spans="6:9" x14ac:dyDescent="0.3">
      <c r="F27614"/>
      <c r="G27614"/>
      <c r="H27614"/>
      <c r="I27614"/>
    </row>
    <row r="27615" spans="6:9" x14ac:dyDescent="0.3">
      <c r="F27615"/>
      <c r="G27615"/>
      <c r="H27615"/>
      <c r="I27615"/>
    </row>
    <row r="27616" spans="6:9" x14ac:dyDescent="0.3">
      <c r="F27616"/>
      <c r="G27616"/>
      <c r="H27616"/>
      <c r="I27616"/>
    </row>
    <row r="27617" spans="6:9" x14ac:dyDescent="0.3">
      <c r="F27617"/>
      <c r="G27617"/>
      <c r="H27617"/>
      <c r="I27617"/>
    </row>
    <row r="27618" spans="6:9" x14ac:dyDescent="0.3">
      <c r="F27618"/>
      <c r="G27618"/>
      <c r="H27618"/>
      <c r="I27618"/>
    </row>
    <row r="27619" spans="6:9" x14ac:dyDescent="0.3">
      <c r="F27619"/>
      <c r="G27619"/>
      <c r="H27619"/>
      <c r="I27619"/>
    </row>
    <row r="27620" spans="6:9" x14ac:dyDescent="0.3">
      <c r="F27620"/>
      <c r="G27620"/>
      <c r="H27620"/>
      <c r="I27620"/>
    </row>
    <row r="27621" spans="6:9" x14ac:dyDescent="0.3">
      <c r="F27621"/>
      <c r="G27621"/>
      <c r="H27621"/>
      <c r="I27621"/>
    </row>
    <row r="27622" spans="6:9" x14ac:dyDescent="0.3">
      <c r="F27622"/>
      <c r="G27622"/>
      <c r="H27622"/>
      <c r="I27622"/>
    </row>
    <row r="27623" spans="6:9" x14ac:dyDescent="0.3">
      <c r="F27623"/>
      <c r="G27623"/>
      <c r="H27623"/>
      <c r="I27623"/>
    </row>
    <row r="27624" spans="6:9" x14ac:dyDescent="0.3">
      <c r="F27624"/>
      <c r="G27624"/>
      <c r="H27624"/>
      <c r="I27624"/>
    </row>
    <row r="27625" spans="6:9" x14ac:dyDescent="0.3">
      <c r="F27625"/>
      <c r="G27625"/>
      <c r="H27625"/>
      <c r="I27625"/>
    </row>
    <row r="27626" spans="6:9" x14ac:dyDescent="0.3">
      <c r="F27626"/>
      <c r="G27626"/>
      <c r="H27626"/>
      <c r="I27626"/>
    </row>
    <row r="27627" spans="6:9" x14ac:dyDescent="0.3">
      <c r="F27627"/>
      <c r="G27627"/>
      <c r="H27627"/>
      <c r="I27627"/>
    </row>
    <row r="27628" spans="6:9" x14ac:dyDescent="0.3">
      <c r="F27628"/>
      <c r="G27628"/>
      <c r="H27628"/>
      <c r="I27628"/>
    </row>
    <row r="27629" spans="6:9" x14ac:dyDescent="0.3">
      <c r="F27629"/>
      <c r="G27629"/>
      <c r="H27629"/>
      <c r="I27629"/>
    </row>
    <row r="27630" spans="6:9" x14ac:dyDescent="0.3">
      <c r="F27630"/>
      <c r="G27630"/>
      <c r="H27630"/>
      <c r="I27630"/>
    </row>
    <row r="27631" spans="6:9" x14ac:dyDescent="0.3">
      <c r="F27631"/>
      <c r="G27631"/>
      <c r="H27631"/>
      <c r="I27631"/>
    </row>
    <row r="27632" spans="6:9" x14ac:dyDescent="0.3">
      <c r="F27632"/>
      <c r="G27632"/>
      <c r="H27632"/>
      <c r="I27632"/>
    </row>
    <row r="27633" spans="6:9" x14ac:dyDescent="0.3">
      <c r="F27633"/>
      <c r="G27633"/>
      <c r="H27633"/>
      <c r="I27633"/>
    </row>
    <row r="27634" spans="6:9" x14ac:dyDescent="0.3">
      <c r="F27634"/>
      <c r="G27634"/>
      <c r="H27634"/>
      <c r="I27634"/>
    </row>
    <row r="27635" spans="6:9" x14ac:dyDescent="0.3">
      <c r="F27635"/>
      <c r="G27635"/>
      <c r="H27635"/>
      <c r="I27635"/>
    </row>
    <row r="27636" spans="6:9" x14ac:dyDescent="0.3">
      <c r="F27636"/>
      <c r="G27636"/>
      <c r="H27636"/>
      <c r="I27636"/>
    </row>
    <row r="27637" spans="6:9" x14ac:dyDescent="0.3">
      <c r="F27637"/>
      <c r="G27637"/>
      <c r="H27637"/>
      <c r="I27637"/>
    </row>
    <row r="27638" spans="6:9" x14ac:dyDescent="0.3">
      <c r="F27638"/>
      <c r="G27638"/>
      <c r="H27638"/>
      <c r="I27638"/>
    </row>
    <row r="27639" spans="6:9" x14ac:dyDescent="0.3">
      <c r="F27639"/>
      <c r="G27639"/>
      <c r="H27639"/>
      <c r="I27639"/>
    </row>
    <row r="27640" spans="6:9" x14ac:dyDescent="0.3">
      <c r="F27640"/>
      <c r="G27640"/>
      <c r="H27640"/>
      <c r="I27640"/>
    </row>
    <row r="27641" spans="6:9" x14ac:dyDescent="0.3">
      <c r="F27641"/>
      <c r="G27641"/>
      <c r="H27641"/>
      <c r="I27641"/>
    </row>
    <row r="27642" spans="6:9" x14ac:dyDescent="0.3">
      <c r="F27642"/>
      <c r="G27642"/>
      <c r="H27642"/>
      <c r="I27642"/>
    </row>
    <row r="27643" spans="6:9" x14ac:dyDescent="0.3">
      <c r="F27643"/>
      <c r="G27643"/>
      <c r="H27643"/>
      <c r="I27643"/>
    </row>
    <row r="27644" spans="6:9" x14ac:dyDescent="0.3">
      <c r="F27644"/>
      <c r="G27644"/>
      <c r="H27644"/>
      <c r="I27644"/>
    </row>
    <row r="27645" spans="6:9" x14ac:dyDescent="0.3">
      <c r="F27645"/>
      <c r="G27645"/>
      <c r="H27645"/>
      <c r="I27645"/>
    </row>
    <row r="27646" spans="6:9" x14ac:dyDescent="0.3">
      <c r="F27646"/>
      <c r="G27646"/>
      <c r="H27646"/>
      <c r="I27646"/>
    </row>
    <row r="27647" spans="6:9" x14ac:dyDescent="0.3">
      <c r="F27647"/>
      <c r="G27647"/>
      <c r="H27647"/>
      <c r="I27647"/>
    </row>
    <row r="27648" spans="6:9" x14ac:dyDescent="0.3">
      <c r="F27648"/>
      <c r="G27648"/>
      <c r="H27648"/>
      <c r="I27648"/>
    </row>
    <row r="27649" spans="6:9" x14ac:dyDescent="0.3">
      <c r="F27649"/>
      <c r="G27649"/>
      <c r="H27649"/>
      <c r="I27649"/>
    </row>
    <row r="27650" spans="6:9" x14ac:dyDescent="0.3">
      <c r="F27650"/>
      <c r="G27650"/>
      <c r="H27650"/>
      <c r="I27650"/>
    </row>
    <row r="27651" spans="6:9" x14ac:dyDescent="0.3">
      <c r="F27651"/>
      <c r="G27651"/>
      <c r="H27651"/>
      <c r="I27651"/>
    </row>
    <row r="27652" spans="6:9" x14ac:dyDescent="0.3">
      <c r="F27652"/>
      <c r="G27652"/>
      <c r="H27652"/>
      <c r="I27652"/>
    </row>
    <row r="27653" spans="6:9" x14ac:dyDescent="0.3">
      <c r="F27653"/>
      <c r="G27653"/>
      <c r="H27653"/>
      <c r="I27653"/>
    </row>
    <row r="27654" spans="6:9" x14ac:dyDescent="0.3">
      <c r="F27654"/>
      <c r="G27654"/>
      <c r="H27654"/>
      <c r="I27654"/>
    </row>
    <row r="27655" spans="6:9" x14ac:dyDescent="0.3">
      <c r="F27655"/>
      <c r="G27655"/>
      <c r="H27655"/>
      <c r="I27655"/>
    </row>
    <row r="27656" spans="6:9" x14ac:dyDescent="0.3">
      <c r="F27656"/>
      <c r="G27656"/>
      <c r="H27656"/>
      <c r="I27656"/>
    </row>
    <row r="27657" spans="6:9" x14ac:dyDescent="0.3">
      <c r="F27657"/>
      <c r="G27657"/>
      <c r="H27657"/>
      <c r="I27657"/>
    </row>
    <row r="27658" spans="6:9" x14ac:dyDescent="0.3">
      <c r="F27658"/>
      <c r="G27658"/>
      <c r="H27658"/>
      <c r="I27658"/>
    </row>
    <row r="27659" spans="6:9" x14ac:dyDescent="0.3">
      <c r="F27659"/>
      <c r="G27659"/>
      <c r="H27659"/>
      <c r="I27659"/>
    </row>
    <row r="27660" spans="6:9" x14ac:dyDescent="0.3">
      <c r="F27660"/>
      <c r="G27660"/>
      <c r="H27660"/>
      <c r="I27660"/>
    </row>
    <row r="27661" spans="6:9" x14ac:dyDescent="0.3">
      <c r="F27661"/>
      <c r="G27661"/>
      <c r="H27661"/>
      <c r="I27661"/>
    </row>
    <row r="27662" spans="6:9" x14ac:dyDescent="0.3">
      <c r="F27662"/>
      <c r="G27662"/>
      <c r="H27662"/>
      <c r="I27662"/>
    </row>
    <row r="27663" spans="6:9" x14ac:dyDescent="0.3">
      <c r="F27663"/>
      <c r="G27663"/>
      <c r="H27663"/>
      <c r="I27663"/>
    </row>
    <row r="27664" spans="6:9" x14ac:dyDescent="0.3">
      <c r="F27664"/>
      <c r="G27664"/>
      <c r="H27664"/>
      <c r="I27664"/>
    </row>
    <row r="27665" spans="6:9" x14ac:dyDescent="0.3">
      <c r="F27665"/>
      <c r="G27665"/>
      <c r="H27665"/>
      <c r="I27665"/>
    </row>
    <row r="27666" spans="6:9" x14ac:dyDescent="0.3">
      <c r="F27666"/>
      <c r="G27666"/>
      <c r="H27666"/>
      <c r="I27666"/>
    </row>
    <row r="27667" spans="6:9" x14ac:dyDescent="0.3">
      <c r="F27667"/>
      <c r="G27667"/>
      <c r="H27667"/>
      <c r="I27667"/>
    </row>
    <row r="27668" spans="6:9" x14ac:dyDescent="0.3">
      <c r="F27668"/>
      <c r="G27668"/>
      <c r="H27668"/>
      <c r="I27668"/>
    </row>
    <row r="27669" spans="6:9" x14ac:dyDescent="0.3">
      <c r="F27669"/>
      <c r="G27669"/>
      <c r="H27669"/>
      <c r="I27669"/>
    </row>
    <row r="27670" spans="6:9" x14ac:dyDescent="0.3">
      <c r="F27670"/>
      <c r="G27670"/>
      <c r="H27670"/>
      <c r="I27670"/>
    </row>
    <row r="27671" spans="6:9" x14ac:dyDescent="0.3">
      <c r="F27671"/>
      <c r="G27671"/>
      <c r="H27671"/>
      <c r="I27671"/>
    </row>
    <row r="27672" spans="6:9" x14ac:dyDescent="0.3">
      <c r="F27672"/>
      <c r="G27672"/>
      <c r="H27672"/>
      <c r="I27672"/>
    </row>
    <row r="27673" spans="6:9" x14ac:dyDescent="0.3">
      <c r="F27673"/>
      <c r="G27673"/>
      <c r="H27673"/>
      <c r="I27673"/>
    </row>
    <row r="27674" spans="6:9" x14ac:dyDescent="0.3">
      <c r="F27674"/>
      <c r="G27674"/>
      <c r="H27674"/>
      <c r="I27674"/>
    </row>
    <row r="27675" spans="6:9" x14ac:dyDescent="0.3">
      <c r="F27675"/>
      <c r="G27675"/>
      <c r="H27675"/>
      <c r="I27675"/>
    </row>
    <row r="27676" spans="6:9" x14ac:dyDescent="0.3">
      <c r="F27676"/>
      <c r="G27676"/>
      <c r="H27676"/>
      <c r="I27676"/>
    </row>
    <row r="27677" spans="6:9" x14ac:dyDescent="0.3">
      <c r="F27677"/>
      <c r="G27677"/>
      <c r="H27677"/>
      <c r="I27677"/>
    </row>
    <row r="27678" spans="6:9" x14ac:dyDescent="0.3">
      <c r="F27678"/>
      <c r="G27678"/>
      <c r="H27678"/>
      <c r="I27678"/>
    </row>
    <row r="27679" spans="6:9" x14ac:dyDescent="0.3">
      <c r="F27679"/>
      <c r="G27679"/>
      <c r="H27679"/>
      <c r="I27679"/>
    </row>
    <row r="27680" spans="6:9" x14ac:dyDescent="0.3">
      <c r="F27680"/>
      <c r="G27680"/>
      <c r="H27680"/>
      <c r="I27680"/>
    </row>
    <row r="27681" spans="6:9" x14ac:dyDescent="0.3">
      <c r="F27681"/>
      <c r="G27681"/>
      <c r="H27681"/>
      <c r="I27681"/>
    </row>
    <row r="27682" spans="6:9" x14ac:dyDescent="0.3">
      <c r="F27682"/>
      <c r="G27682"/>
      <c r="H27682"/>
      <c r="I27682"/>
    </row>
    <row r="27683" spans="6:9" x14ac:dyDescent="0.3">
      <c r="F27683"/>
      <c r="G27683"/>
      <c r="H27683"/>
      <c r="I27683"/>
    </row>
    <row r="27684" spans="6:9" x14ac:dyDescent="0.3">
      <c r="F27684"/>
      <c r="G27684"/>
      <c r="H27684"/>
      <c r="I27684"/>
    </row>
    <row r="27685" spans="6:9" x14ac:dyDescent="0.3">
      <c r="F27685"/>
      <c r="G27685"/>
      <c r="H27685"/>
      <c r="I27685"/>
    </row>
    <row r="27686" spans="6:9" x14ac:dyDescent="0.3">
      <c r="F27686"/>
      <c r="G27686"/>
      <c r="H27686"/>
      <c r="I27686"/>
    </row>
    <row r="27687" spans="6:9" x14ac:dyDescent="0.3">
      <c r="F27687"/>
      <c r="G27687"/>
      <c r="H27687"/>
      <c r="I27687"/>
    </row>
    <row r="27688" spans="6:9" x14ac:dyDescent="0.3">
      <c r="F27688"/>
      <c r="G27688"/>
      <c r="H27688"/>
      <c r="I27688"/>
    </row>
    <row r="27689" spans="6:9" x14ac:dyDescent="0.3">
      <c r="F27689"/>
      <c r="G27689"/>
      <c r="H27689"/>
      <c r="I27689"/>
    </row>
    <row r="27690" spans="6:9" x14ac:dyDescent="0.3">
      <c r="F27690"/>
      <c r="G27690"/>
      <c r="H27690"/>
      <c r="I27690"/>
    </row>
    <row r="27691" spans="6:9" x14ac:dyDescent="0.3">
      <c r="F27691"/>
      <c r="G27691"/>
      <c r="H27691"/>
      <c r="I27691"/>
    </row>
    <row r="27692" spans="6:9" x14ac:dyDescent="0.3">
      <c r="F27692"/>
      <c r="G27692"/>
      <c r="H27692"/>
      <c r="I27692"/>
    </row>
    <row r="27693" spans="6:9" x14ac:dyDescent="0.3">
      <c r="F27693"/>
      <c r="G27693"/>
      <c r="H27693"/>
      <c r="I27693"/>
    </row>
    <row r="27694" spans="6:9" x14ac:dyDescent="0.3">
      <c r="F27694"/>
      <c r="G27694"/>
      <c r="H27694"/>
      <c r="I27694"/>
    </row>
    <row r="27695" spans="6:9" x14ac:dyDescent="0.3">
      <c r="F27695"/>
      <c r="G27695"/>
      <c r="H27695"/>
      <c r="I27695"/>
    </row>
    <row r="27696" spans="6:9" x14ac:dyDescent="0.3">
      <c r="F27696"/>
      <c r="G27696"/>
      <c r="H27696"/>
      <c r="I27696"/>
    </row>
    <row r="27697" spans="6:9" x14ac:dyDescent="0.3">
      <c r="F27697"/>
      <c r="G27697"/>
      <c r="H27697"/>
      <c r="I27697"/>
    </row>
    <row r="27698" spans="6:9" x14ac:dyDescent="0.3">
      <c r="F27698"/>
      <c r="G27698"/>
      <c r="H27698"/>
      <c r="I27698"/>
    </row>
    <row r="27699" spans="6:9" x14ac:dyDescent="0.3">
      <c r="F27699"/>
      <c r="G27699"/>
      <c r="H27699"/>
      <c r="I27699"/>
    </row>
    <row r="27700" spans="6:9" x14ac:dyDescent="0.3">
      <c r="F27700"/>
      <c r="G27700"/>
      <c r="H27700"/>
      <c r="I27700"/>
    </row>
    <row r="27701" spans="6:9" x14ac:dyDescent="0.3">
      <c r="F27701"/>
      <c r="G27701"/>
      <c r="H27701"/>
      <c r="I27701"/>
    </row>
    <row r="27702" spans="6:9" x14ac:dyDescent="0.3">
      <c r="F27702"/>
      <c r="G27702"/>
      <c r="H27702"/>
      <c r="I27702"/>
    </row>
    <row r="27703" spans="6:9" x14ac:dyDescent="0.3">
      <c r="F27703"/>
      <c r="G27703"/>
      <c r="H27703"/>
      <c r="I27703"/>
    </row>
    <row r="27704" spans="6:9" x14ac:dyDescent="0.3">
      <c r="F27704"/>
      <c r="G27704"/>
      <c r="H27704"/>
      <c r="I27704"/>
    </row>
    <row r="27705" spans="6:9" x14ac:dyDescent="0.3">
      <c r="F27705"/>
      <c r="G27705"/>
      <c r="H27705"/>
      <c r="I27705"/>
    </row>
    <row r="27706" spans="6:9" x14ac:dyDescent="0.3">
      <c r="F27706"/>
      <c r="G27706"/>
      <c r="H27706"/>
      <c r="I27706"/>
    </row>
    <row r="27707" spans="6:9" x14ac:dyDescent="0.3">
      <c r="F27707"/>
      <c r="G27707"/>
      <c r="H27707"/>
      <c r="I27707"/>
    </row>
    <row r="27708" spans="6:9" x14ac:dyDescent="0.3">
      <c r="F27708"/>
      <c r="G27708"/>
      <c r="H27708"/>
      <c r="I27708"/>
    </row>
    <row r="27709" spans="6:9" x14ac:dyDescent="0.3">
      <c r="F27709"/>
      <c r="G27709"/>
      <c r="H27709"/>
      <c r="I27709"/>
    </row>
    <row r="27710" spans="6:9" x14ac:dyDescent="0.3">
      <c r="F27710"/>
      <c r="G27710"/>
      <c r="H27710"/>
      <c r="I27710"/>
    </row>
    <row r="27711" spans="6:9" x14ac:dyDescent="0.3">
      <c r="F27711"/>
      <c r="G27711"/>
      <c r="H27711"/>
      <c r="I27711"/>
    </row>
    <row r="27712" spans="6:9" x14ac:dyDescent="0.3">
      <c r="F27712"/>
      <c r="G27712"/>
      <c r="H27712"/>
      <c r="I27712"/>
    </row>
    <row r="27713" spans="6:9" x14ac:dyDescent="0.3">
      <c r="F27713"/>
      <c r="G27713"/>
      <c r="H27713"/>
      <c r="I27713"/>
    </row>
    <row r="27714" spans="6:9" x14ac:dyDescent="0.3">
      <c r="F27714"/>
      <c r="G27714"/>
      <c r="H27714"/>
      <c r="I27714"/>
    </row>
    <row r="27715" spans="6:9" x14ac:dyDescent="0.3">
      <c r="F27715"/>
      <c r="G27715"/>
      <c r="H27715"/>
      <c r="I27715"/>
    </row>
    <row r="27716" spans="6:9" x14ac:dyDescent="0.3">
      <c r="F27716"/>
      <c r="G27716"/>
      <c r="H27716"/>
      <c r="I27716"/>
    </row>
    <row r="27717" spans="6:9" x14ac:dyDescent="0.3">
      <c r="F27717"/>
      <c r="G27717"/>
      <c r="H27717"/>
      <c r="I27717"/>
    </row>
    <row r="27718" spans="6:9" x14ac:dyDescent="0.3">
      <c r="F27718"/>
      <c r="G27718"/>
      <c r="H27718"/>
      <c r="I27718"/>
    </row>
    <row r="27719" spans="6:9" x14ac:dyDescent="0.3">
      <c r="F27719"/>
      <c r="G27719"/>
      <c r="H27719"/>
      <c r="I27719"/>
    </row>
    <row r="27720" spans="6:9" x14ac:dyDescent="0.3">
      <c r="F27720"/>
      <c r="G27720"/>
      <c r="H27720"/>
      <c r="I27720"/>
    </row>
    <row r="27721" spans="6:9" x14ac:dyDescent="0.3">
      <c r="F27721"/>
      <c r="G27721"/>
      <c r="H27721"/>
      <c r="I27721"/>
    </row>
    <row r="27722" spans="6:9" x14ac:dyDescent="0.3">
      <c r="F27722"/>
      <c r="G27722"/>
      <c r="H27722"/>
      <c r="I27722"/>
    </row>
    <row r="27723" spans="6:9" x14ac:dyDescent="0.3">
      <c r="F27723"/>
      <c r="G27723"/>
      <c r="H27723"/>
      <c r="I27723"/>
    </row>
    <row r="27724" spans="6:9" x14ac:dyDescent="0.3">
      <c r="F27724"/>
      <c r="G27724"/>
      <c r="H27724"/>
      <c r="I27724"/>
    </row>
    <row r="27725" spans="6:9" x14ac:dyDescent="0.3">
      <c r="F27725"/>
      <c r="G27725"/>
      <c r="H27725"/>
      <c r="I27725"/>
    </row>
    <row r="27726" spans="6:9" x14ac:dyDescent="0.3">
      <c r="F27726"/>
      <c r="G27726"/>
      <c r="H27726"/>
      <c r="I27726"/>
    </row>
    <row r="27727" spans="6:9" x14ac:dyDescent="0.3">
      <c r="F27727"/>
      <c r="G27727"/>
      <c r="H27727"/>
      <c r="I27727"/>
    </row>
    <row r="27728" spans="6:9" x14ac:dyDescent="0.3">
      <c r="F27728"/>
      <c r="G27728"/>
      <c r="H27728"/>
      <c r="I27728"/>
    </row>
    <row r="27729" spans="6:9" x14ac:dyDescent="0.3">
      <c r="F27729"/>
      <c r="G27729"/>
      <c r="H27729"/>
      <c r="I27729"/>
    </row>
    <row r="27730" spans="6:9" x14ac:dyDescent="0.3">
      <c r="F27730"/>
      <c r="G27730"/>
      <c r="H27730"/>
      <c r="I27730"/>
    </row>
    <row r="27731" spans="6:9" x14ac:dyDescent="0.3">
      <c r="F27731"/>
      <c r="G27731"/>
      <c r="H27731"/>
      <c r="I27731"/>
    </row>
    <row r="27732" spans="6:9" x14ac:dyDescent="0.3">
      <c r="F27732"/>
      <c r="G27732"/>
      <c r="H27732"/>
      <c r="I27732"/>
    </row>
    <row r="27733" spans="6:9" x14ac:dyDescent="0.3">
      <c r="F27733"/>
      <c r="G27733"/>
      <c r="H27733"/>
      <c r="I27733"/>
    </row>
    <row r="27734" spans="6:9" x14ac:dyDescent="0.3">
      <c r="F27734"/>
      <c r="G27734"/>
      <c r="H27734"/>
      <c r="I27734"/>
    </row>
    <row r="27735" spans="6:9" x14ac:dyDescent="0.3">
      <c r="F27735"/>
      <c r="G27735"/>
      <c r="H27735"/>
      <c r="I27735"/>
    </row>
    <row r="27736" spans="6:9" x14ac:dyDescent="0.3">
      <c r="F27736"/>
      <c r="G27736"/>
      <c r="H27736"/>
      <c r="I27736"/>
    </row>
    <row r="27737" spans="6:9" x14ac:dyDescent="0.3">
      <c r="F27737"/>
      <c r="G27737"/>
      <c r="H27737"/>
      <c r="I27737"/>
    </row>
    <row r="27738" spans="6:9" x14ac:dyDescent="0.3">
      <c r="F27738"/>
      <c r="G27738"/>
      <c r="H27738"/>
      <c r="I27738"/>
    </row>
    <row r="27739" spans="6:9" x14ac:dyDescent="0.3">
      <c r="F27739"/>
      <c r="G27739"/>
      <c r="H27739"/>
      <c r="I27739"/>
    </row>
    <row r="27740" spans="6:9" x14ac:dyDescent="0.3">
      <c r="F27740"/>
      <c r="G27740"/>
      <c r="H27740"/>
      <c r="I27740"/>
    </row>
    <row r="27741" spans="6:9" x14ac:dyDescent="0.3">
      <c r="F27741"/>
      <c r="G27741"/>
      <c r="H27741"/>
      <c r="I27741"/>
    </row>
    <row r="27742" spans="6:9" x14ac:dyDescent="0.3">
      <c r="F27742"/>
      <c r="G27742"/>
      <c r="H27742"/>
      <c r="I27742"/>
    </row>
    <row r="27743" spans="6:9" x14ac:dyDescent="0.3">
      <c r="F27743"/>
      <c r="G27743"/>
      <c r="H27743"/>
      <c r="I27743"/>
    </row>
    <row r="27744" spans="6:9" x14ac:dyDescent="0.3">
      <c r="F27744"/>
      <c r="G27744"/>
      <c r="H27744"/>
      <c r="I27744"/>
    </row>
    <row r="27745" spans="6:9" x14ac:dyDescent="0.3">
      <c r="F27745"/>
      <c r="G27745"/>
      <c r="H27745"/>
      <c r="I27745"/>
    </row>
    <row r="27746" spans="6:9" x14ac:dyDescent="0.3">
      <c r="F27746"/>
      <c r="G27746"/>
      <c r="H27746"/>
      <c r="I27746"/>
    </row>
    <row r="27747" spans="6:9" x14ac:dyDescent="0.3">
      <c r="F27747"/>
      <c r="G27747"/>
      <c r="H27747"/>
      <c r="I27747"/>
    </row>
    <row r="27748" spans="6:9" x14ac:dyDescent="0.3">
      <c r="F27748"/>
      <c r="G27748"/>
      <c r="H27748"/>
      <c r="I27748"/>
    </row>
    <row r="27749" spans="6:9" x14ac:dyDescent="0.3">
      <c r="F27749"/>
      <c r="G27749"/>
      <c r="H27749"/>
      <c r="I27749"/>
    </row>
    <row r="27750" spans="6:9" x14ac:dyDescent="0.3">
      <c r="F27750"/>
      <c r="G27750"/>
      <c r="H27750"/>
      <c r="I27750"/>
    </row>
    <row r="27751" spans="6:9" x14ac:dyDescent="0.3">
      <c r="F27751"/>
      <c r="G27751"/>
      <c r="H27751"/>
      <c r="I27751"/>
    </row>
    <row r="27752" spans="6:9" x14ac:dyDescent="0.3">
      <c r="F27752"/>
      <c r="G27752"/>
      <c r="H27752"/>
      <c r="I27752"/>
    </row>
    <row r="27753" spans="6:9" x14ac:dyDescent="0.3">
      <c r="F27753"/>
      <c r="G27753"/>
      <c r="H27753"/>
      <c r="I27753"/>
    </row>
    <row r="27754" spans="6:9" x14ac:dyDescent="0.3">
      <c r="F27754"/>
      <c r="G27754"/>
      <c r="H27754"/>
      <c r="I27754"/>
    </row>
    <row r="27755" spans="6:9" x14ac:dyDescent="0.3">
      <c r="F27755"/>
      <c r="G27755"/>
      <c r="H27755"/>
      <c r="I27755"/>
    </row>
    <row r="27756" spans="6:9" x14ac:dyDescent="0.3">
      <c r="F27756"/>
      <c r="G27756"/>
      <c r="H27756"/>
      <c r="I27756"/>
    </row>
    <row r="27757" spans="6:9" x14ac:dyDescent="0.3">
      <c r="F27757"/>
      <c r="G27757"/>
      <c r="H27757"/>
      <c r="I27757"/>
    </row>
    <row r="27758" spans="6:9" x14ac:dyDescent="0.3">
      <c r="F27758"/>
      <c r="G27758"/>
      <c r="H27758"/>
      <c r="I27758"/>
    </row>
    <row r="27759" spans="6:9" x14ac:dyDescent="0.3">
      <c r="F27759"/>
      <c r="G27759"/>
      <c r="H27759"/>
      <c r="I27759"/>
    </row>
    <row r="27760" spans="6:9" x14ac:dyDescent="0.3">
      <c r="F27760"/>
      <c r="G27760"/>
      <c r="H27760"/>
      <c r="I27760"/>
    </row>
    <row r="27761" spans="6:9" x14ac:dyDescent="0.3">
      <c r="F27761"/>
      <c r="G27761"/>
      <c r="H27761"/>
      <c r="I27761"/>
    </row>
    <row r="27762" spans="6:9" x14ac:dyDescent="0.3">
      <c r="F27762"/>
      <c r="G27762"/>
      <c r="H27762"/>
      <c r="I27762"/>
    </row>
    <row r="27763" spans="6:9" x14ac:dyDescent="0.3">
      <c r="F27763"/>
      <c r="G27763"/>
      <c r="H27763"/>
      <c r="I27763"/>
    </row>
    <row r="27764" spans="6:9" x14ac:dyDescent="0.3">
      <c r="F27764"/>
      <c r="G27764"/>
      <c r="H27764"/>
      <c r="I27764"/>
    </row>
    <row r="27765" spans="6:9" x14ac:dyDescent="0.3">
      <c r="F27765"/>
      <c r="G27765"/>
      <c r="H27765"/>
      <c r="I27765"/>
    </row>
    <row r="27766" spans="6:9" x14ac:dyDescent="0.3">
      <c r="F27766"/>
      <c r="G27766"/>
      <c r="H27766"/>
      <c r="I27766"/>
    </row>
    <row r="27767" spans="6:9" x14ac:dyDescent="0.3">
      <c r="F27767"/>
      <c r="G27767"/>
      <c r="H27767"/>
      <c r="I27767"/>
    </row>
    <row r="27768" spans="6:9" x14ac:dyDescent="0.3">
      <c r="F27768"/>
      <c r="G27768"/>
      <c r="H27768"/>
      <c r="I27768"/>
    </row>
    <row r="27769" spans="6:9" x14ac:dyDescent="0.3">
      <c r="F27769"/>
      <c r="G27769"/>
      <c r="H27769"/>
      <c r="I27769"/>
    </row>
    <row r="27770" spans="6:9" x14ac:dyDescent="0.3">
      <c r="F27770"/>
      <c r="G27770"/>
      <c r="H27770"/>
      <c r="I27770"/>
    </row>
    <row r="27771" spans="6:9" x14ac:dyDescent="0.3">
      <c r="F27771"/>
      <c r="G27771"/>
      <c r="H27771"/>
      <c r="I27771"/>
    </row>
    <row r="27772" spans="6:9" x14ac:dyDescent="0.3">
      <c r="F27772"/>
      <c r="G27772"/>
      <c r="H27772"/>
      <c r="I27772"/>
    </row>
    <row r="27773" spans="6:9" x14ac:dyDescent="0.3">
      <c r="F27773"/>
      <c r="G27773"/>
      <c r="H27773"/>
      <c r="I27773"/>
    </row>
    <row r="27774" spans="6:9" x14ac:dyDescent="0.3">
      <c r="F27774"/>
      <c r="G27774"/>
      <c r="H27774"/>
      <c r="I27774"/>
    </row>
    <row r="27775" spans="6:9" x14ac:dyDescent="0.3">
      <c r="F27775"/>
      <c r="G27775"/>
      <c r="H27775"/>
      <c r="I27775"/>
    </row>
    <row r="27776" spans="6:9" x14ac:dyDescent="0.3">
      <c r="F27776"/>
      <c r="G27776"/>
      <c r="H27776"/>
      <c r="I27776"/>
    </row>
    <row r="27777" spans="6:9" x14ac:dyDescent="0.3">
      <c r="F27777"/>
      <c r="G27777"/>
      <c r="H27777"/>
      <c r="I27777"/>
    </row>
    <row r="27778" spans="6:9" x14ac:dyDescent="0.3">
      <c r="F27778"/>
      <c r="G27778"/>
      <c r="H27778"/>
      <c r="I27778"/>
    </row>
    <row r="27779" spans="6:9" x14ac:dyDescent="0.3">
      <c r="F27779"/>
      <c r="G27779"/>
      <c r="H27779"/>
      <c r="I27779"/>
    </row>
    <row r="27780" spans="6:9" x14ac:dyDescent="0.3">
      <c r="F27780"/>
      <c r="G27780"/>
      <c r="H27780"/>
      <c r="I27780"/>
    </row>
    <row r="27781" spans="6:9" x14ac:dyDescent="0.3">
      <c r="F27781"/>
      <c r="G27781"/>
      <c r="H27781"/>
      <c r="I27781"/>
    </row>
    <row r="27782" spans="6:9" x14ac:dyDescent="0.3">
      <c r="F27782"/>
      <c r="G27782"/>
      <c r="H27782"/>
      <c r="I27782"/>
    </row>
    <row r="27783" spans="6:9" x14ac:dyDescent="0.3">
      <c r="F27783"/>
      <c r="G27783"/>
      <c r="H27783"/>
      <c r="I27783"/>
    </row>
    <row r="27784" spans="6:9" x14ac:dyDescent="0.3">
      <c r="F27784"/>
      <c r="G27784"/>
      <c r="H27784"/>
      <c r="I27784"/>
    </row>
    <row r="27785" spans="6:9" x14ac:dyDescent="0.3">
      <c r="F27785"/>
      <c r="G27785"/>
      <c r="H27785"/>
      <c r="I27785"/>
    </row>
    <row r="27786" spans="6:9" x14ac:dyDescent="0.3">
      <c r="F27786"/>
      <c r="G27786"/>
      <c r="H27786"/>
      <c r="I27786"/>
    </row>
    <row r="27787" spans="6:9" x14ac:dyDescent="0.3">
      <c r="F27787"/>
      <c r="G27787"/>
      <c r="H27787"/>
      <c r="I27787"/>
    </row>
    <row r="27788" spans="6:9" x14ac:dyDescent="0.3">
      <c r="F27788"/>
      <c r="G27788"/>
      <c r="H27788"/>
      <c r="I27788"/>
    </row>
    <row r="27789" spans="6:9" x14ac:dyDescent="0.3">
      <c r="F27789"/>
      <c r="G27789"/>
      <c r="H27789"/>
      <c r="I27789"/>
    </row>
    <row r="27790" spans="6:9" x14ac:dyDescent="0.3">
      <c r="F27790"/>
      <c r="G27790"/>
      <c r="H27790"/>
      <c r="I27790"/>
    </row>
    <row r="27791" spans="6:9" x14ac:dyDescent="0.3">
      <c r="F27791"/>
      <c r="G27791"/>
      <c r="H27791"/>
      <c r="I27791"/>
    </row>
    <row r="27792" spans="6:9" x14ac:dyDescent="0.3">
      <c r="F27792"/>
      <c r="G27792"/>
      <c r="H27792"/>
      <c r="I27792"/>
    </row>
    <row r="27793" spans="6:9" x14ac:dyDescent="0.3">
      <c r="F27793"/>
      <c r="G27793"/>
      <c r="H27793"/>
      <c r="I27793"/>
    </row>
    <row r="27794" spans="6:9" x14ac:dyDescent="0.3">
      <c r="F27794"/>
      <c r="G27794"/>
      <c r="H27794"/>
      <c r="I27794"/>
    </row>
    <row r="27795" spans="6:9" x14ac:dyDescent="0.3">
      <c r="F27795"/>
      <c r="G27795"/>
      <c r="H27795"/>
      <c r="I27795"/>
    </row>
    <row r="27796" spans="6:9" x14ac:dyDescent="0.3">
      <c r="F27796"/>
      <c r="G27796"/>
      <c r="H27796"/>
      <c r="I27796"/>
    </row>
    <row r="27797" spans="6:9" x14ac:dyDescent="0.3">
      <c r="F27797"/>
      <c r="G27797"/>
      <c r="H27797"/>
      <c r="I27797"/>
    </row>
    <row r="27798" spans="6:9" x14ac:dyDescent="0.3">
      <c r="F27798"/>
      <c r="G27798"/>
      <c r="H27798"/>
      <c r="I27798"/>
    </row>
    <row r="27799" spans="6:9" x14ac:dyDescent="0.3">
      <c r="F27799"/>
      <c r="G27799"/>
      <c r="H27799"/>
      <c r="I27799"/>
    </row>
    <row r="27800" spans="6:9" x14ac:dyDescent="0.3">
      <c r="F27800"/>
      <c r="G27800"/>
      <c r="H27800"/>
      <c r="I27800"/>
    </row>
    <row r="27801" spans="6:9" x14ac:dyDescent="0.3">
      <c r="F27801"/>
      <c r="G27801"/>
      <c r="H27801"/>
      <c r="I27801"/>
    </row>
    <row r="27802" spans="6:9" x14ac:dyDescent="0.3">
      <c r="F27802"/>
      <c r="G27802"/>
      <c r="H27802"/>
      <c r="I27802"/>
    </row>
    <row r="27803" spans="6:9" x14ac:dyDescent="0.3">
      <c r="F27803"/>
      <c r="G27803"/>
      <c r="H27803"/>
      <c r="I27803"/>
    </row>
    <row r="27804" spans="6:9" x14ac:dyDescent="0.3">
      <c r="F27804"/>
      <c r="G27804"/>
      <c r="H27804"/>
      <c r="I27804"/>
    </row>
    <row r="27805" spans="6:9" x14ac:dyDescent="0.3">
      <c r="F27805"/>
      <c r="G27805"/>
      <c r="H27805"/>
      <c r="I27805"/>
    </row>
    <row r="27806" spans="6:9" x14ac:dyDescent="0.3">
      <c r="F27806"/>
      <c r="G27806"/>
      <c r="H27806"/>
      <c r="I27806"/>
    </row>
    <row r="27807" spans="6:9" x14ac:dyDescent="0.3">
      <c r="F27807"/>
      <c r="G27807"/>
      <c r="H27807"/>
      <c r="I27807"/>
    </row>
    <row r="27808" spans="6:9" x14ac:dyDescent="0.3">
      <c r="F27808"/>
      <c r="G27808"/>
      <c r="H27808"/>
      <c r="I27808"/>
    </row>
    <row r="27809" spans="6:9" x14ac:dyDescent="0.3">
      <c r="F27809"/>
      <c r="G27809"/>
      <c r="H27809"/>
      <c r="I27809"/>
    </row>
    <row r="27810" spans="6:9" x14ac:dyDescent="0.3">
      <c r="F27810"/>
      <c r="G27810"/>
      <c r="H27810"/>
      <c r="I27810"/>
    </row>
    <row r="27811" spans="6:9" x14ac:dyDescent="0.3">
      <c r="F27811"/>
      <c r="G27811"/>
      <c r="H27811"/>
      <c r="I27811"/>
    </row>
    <row r="27812" spans="6:9" x14ac:dyDescent="0.3">
      <c r="F27812"/>
      <c r="G27812"/>
      <c r="H27812"/>
      <c r="I27812"/>
    </row>
    <row r="27813" spans="6:9" x14ac:dyDescent="0.3">
      <c r="F27813"/>
      <c r="G27813"/>
      <c r="H27813"/>
      <c r="I27813"/>
    </row>
    <row r="27814" spans="6:9" x14ac:dyDescent="0.3">
      <c r="F27814"/>
      <c r="G27814"/>
      <c r="H27814"/>
      <c r="I27814"/>
    </row>
    <row r="27815" spans="6:9" x14ac:dyDescent="0.3">
      <c r="F27815"/>
      <c r="G27815"/>
      <c r="H27815"/>
      <c r="I27815"/>
    </row>
    <row r="27816" spans="6:9" x14ac:dyDescent="0.3">
      <c r="F27816"/>
      <c r="G27816"/>
      <c r="H27816"/>
      <c r="I27816"/>
    </row>
    <row r="27817" spans="6:9" x14ac:dyDescent="0.3">
      <c r="F27817"/>
      <c r="G27817"/>
      <c r="H27817"/>
      <c r="I27817"/>
    </row>
    <row r="27818" spans="6:9" x14ac:dyDescent="0.3">
      <c r="F27818"/>
      <c r="G27818"/>
      <c r="H27818"/>
      <c r="I27818"/>
    </row>
    <row r="27819" spans="6:9" x14ac:dyDescent="0.3">
      <c r="F27819"/>
      <c r="G27819"/>
      <c r="H27819"/>
      <c r="I27819"/>
    </row>
    <row r="27820" spans="6:9" x14ac:dyDescent="0.3">
      <c r="F27820"/>
      <c r="G27820"/>
      <c r="H27820"/>
      <c r="I27820"/>
    </row>
    <row r="27821" spans="6:9" x14ac:dyDescent="0.3">
      <c r="F27821"/>
      <c r="G27821"/>
      <c r="H27821"/>
      <c r="I27821"/>
    </row>
    <row r="27822" spans="6:9" x14ac:dyDescent="0.3">
      <c r="F27822"/>
      <c r="G27822"/>
      <c r="H27822"/>
      <c r="I27822"/>
    </row>
    <row r="27823" spans="6:9" x14ac:dyDescent="0.3">
      <c r="F27823"/>
      <c r="G27823"/>
      <c r="H27823"/>
      <c r="I27823"/>
    </row>
    <row r="27824" spans="6:9" x14ac:dyDescent="0.3">
      <c r="F27824"/>
      <c r="G27824"/>
      <c r="H27824"/>
      <c r="I27824"/>
    </row>
    <row r="27825" spans="6:9" x14ac:dyDescent="0.3">
      <c r="F27825"/>
      <c r="G27825"/>
      <c r="H27825"/>
      <c r="I27825"/>
    </row>
    <row r="27826" spans="6:9" x14ac:dyDescent="0.3">
      <c r="F27826"/>
      <c r="G27826"/>
      <c r="H27826"/>
      <c r="I27826"/>
    </row>
    <row r="27827" spans="6:9" x14ac:dyDescent="0.3">
      <c r="F27827"/>
      <c r="G27827"/>
      <c r="H27827"/>
      <c r="I27827"/>
    </row>
    <row r="27828" spans="6:9" x14ac:dyDescent="0.3">
      <c r="F27828"/>
      <c r="G27828"/>
      <c r="H27828"/>
      <c r="I27828"/>
    </row>
    <row r="27829" spans="6:9" x14ac:dyDescent="0.3">
      <c r="F27829"/>
      <c r="G27829"/>
      <c r="H27829"/>
      <c r="I27829"/>
    </row>
    <row r="27830" spans="6:9" x14ac:dyDescent="0.3">
      <c r="F27830"/>
      <c r="G27830"/>
      <c r="H27830"/>
      <c r="I27830"/>
    </row>
    <row r="27831" spans="6:9" x14ac:dyDescent="0.3">
      <c r="F27831"/>
      <c r="G27831"/>
      <c r="H27831"/>
      <c r="I27831"/>
    </row>
    <row r="27832" spans="6:9" x14ac:dyDescent="0.3">
      <c r="F27832"/>
      <c r="G27832"/>
      <c r="H27832"/>
      <c r="I27832"/>
    </row>
    <row r="27833" spans="6:9" x14ac:dyDescent="0.3">
      <c r="F27833"/>
      <c r="G27833"/>
      <c r="H27833"/>
      <c r="I27833"/>
    </row>
    <row r="27834" spans="6:9" x14ac:dyDescent="0.3">
      <c r="F27834"/>
      <c r="G27834"/>
      <c r="H27834"/>
      <c r="I27834"/>
    </row>
    <row r="27835" spans="6:9" x14ac:dyDescent="0.3">
      <c r="F27835"/>
      <c r="G27835"/>
      <c r="H27835"/>
      <c r="I27835"/>
    </row>
    <row r="27836" spans="6:9" x14ac:dyDescent="0.3">
      <c r="F27836"/>
      <c r="G27836"/>
      <c r="H27836"/>
      <c r="I27836"/>
    </row>
    <row r="27837" spans="6:9" x14ac:dyDescent="0.3">
      <c r="F27837"/>
      <c r="G27837"/>
      <c r="H27837"/>
      <c r="I27837"/>
    </row>
    <row r="27838" spans="6:9" x14ac:dyDescent="0.3">
      <c r="F27838"/>
      <c r="G27838"/>
      <c r="H27838"/>
      <c r="I27838"/>
    </row>
    <row r="27839" spans="6:9" x14ac:dyDescent="0.3">
      <c r="F27839"/>
      <c r="G27839"/>
      <c r="H27839"/>
      <c r="I27839"/>
    </row>
    <row r="27840" spans="6:9" x14ac:dyDescent="0.3">
      <c r="F27840"/>
      <c r="G27840"/>
      <c r="H27840"/>
      <c r="I27840"/>
    </row>
    <row r="27841" spans="6:9" x14ac:dyDescent="0.3">
      <c r="F27841"/>
      <c r="G27841"/>
      <c r="H27841"/>
      <c r="I27841"/>
    </row>
    <row r="27842" spans="6:9" x14ac:dyDescent="0.3">
      <c r="F27842"/>
      <c r="G27842"/>
      <c r="H27842"/>
      <c r="I27842"/>
    </row>
    <row r="27843" spans="6:9" x14ac:dyDescent="0.3">
      <c r="F27843"/>
      <c r="G27843"/>
      <c r="H27843"/>
      <c r="I27843"/>
    </row>
    <row r="27844" spans="6:9" x14ac:dyDescent="0.3">
      <c r="F27844"/>
      <c r="G27844"/>
      <c r="H27844"/>
      <c r="I27844"/>
    </row>
    <row r="27845" spans="6:9" x14ac:dyDescent="0.3">
      <c r="F27845"/>
      <c r="G27845"/>
      <c r="H27845"/>
      <c r="I27845"/>
    </row>
    <row r="27846" spans="6:9" x14ac:dyDescent="0.3">
      <c r="F27846"/>
      <c r="G27846"/>
      <c r="H27846"/>
      <c r="I27846"/>
    </row>
    <row r="27847" spans="6:9" x14ac:dyDescent="0.3">
      <c r="F27847"/>
      <c r="G27847"/>
      <c r="H27847"/>
      <c r="I27847"/>
    </row>
    <row r="27848" spans="6:9" x14ac:dyDescent="0.3">
      <c r="F27848"/>
      <c r="G27848"/>
      <c r="H27848"/>
      <c r="I27848"/>
    </row>
    <row r="27849" spans="6:9" x14ac:dyDescent="0.3">
      <c r="F27849"/>
      <c r="G27849"/>
      <c r="H27849"/>
      <c r="I27849"/>
    </row>
    <row r="27850" spans="6:9" x14ac:dyDescent="0.3">
      <c r="F27850"/>
      <c r="G27850"/>
      <c r="H27850"/>
      <c r="I27850"/>
    </row>
    <row r="27851" spans="6:9" x14ac:dyDescent="0.3">
      <c r="F27851"/>
      <c r="G27851"/>
      <c r="H27851"/>
      <c r="I27851"/>
    </row>
    <row r="27852" spans="6:9" x14ac:dyDescent="0.3">
      <c r="F27852"/>
      <c r="G27852"/>
      <c r="H27852"/>
      <c r="I27852"/>
    </row>
    <row r="27853" spans="6:9" x14ac:dyDescent="0.3">
      <c r="F27853"/>
      <c r="G27853"/>
      <c r="H27853"/>
      <c r="I27853"/>
    </row>
    <row r="27854" spans="6:9" x14ac:dyDescent="0.3">
      <c r="F27854"/>
      <c r="G27854"/>
      <c r="H27854"/>
      <c r="I27854"/>
    </row>
    <row r="27855" spans="6:9" x14ac:dyDescent="0.3">
      <c r="F27855"/>
      <c r="G27855"/>
      <c r="H27855"/>
      <c r="I27855"/>
    </row>
    <row r="27856" spans="6:9" x14ac:dyDescent="0.3">
      <c r="F27856"/>
      <c r="G27856"/>
      <c r="H27856"/>
      <c r="I27856"/>
    </row>
    <row r="27857" spans="6:9" x14ac:dyDescent="0.3">
      <c r="F27857"/>
      <c r="G27857"/>
      <c r="H27857"/>
      <c r="I27857"/>
    </row>
    <row r="27858" spans="6:9" x14ac:dyDescent="0.3">
      <c r="F27858"/>
      <c r="G27858"/>
      <c r="H27858"/>
      <c r="I27858"/>
    </row>
    <row r="27859" spans="6:9" x14ac:dyDescent="0.3">
      <c r="F27859"/>
      <c r="G27859"/>
      <c r="H27859"/>
      <c r="I27859"/>
    </row>
    <row r="27860" spans="6:9" x14ac:dyDescent="0.3">
      <c r="F27860"/>
      <c r="G27860"/>
      <c r="H27860"/>
      <c r="I27860"/>
    </row>
    <row r="27861" spans="6:9" x14ac:dyDescent="0.3">
      <c r="F27861"/>
      <c r="G27861"/>
      <c r="H27861"/>
      <c r="I27861"/>
    </row>
    <row r="27862" spans="6:9" x14ac:dyDescent="0.3">
      <c r="F27862"/>
      <c r="G27862"/>
      <c r="H27862"/>
      <c r="I27862"/>
    </row>
    <row r="27863" spans="6:9" x14ac:dyDescent="0.3">
      <c r="F27863"/>
      <c r="G27863"/>
      <c r="H27863"/>
      <c r="I27863"/>
    </row>
    <row r="27864" spans="6:9" x14ac:dyDescent="0.3">
      <c r="F27864"/>
      <c r="G27864"/>
      <c r="H27864"/>
      <c r="I27864"/>
    </row>
    <row r="27865" spans="6:9" x14ac:dyDescent="0.3">
      <c r="F27865"/>
      <c r="G27865"/>
      <c r="H27865"/>
      <c r="I27865"/>
    </row>
    <row r="27866" spans="6:9" x14ac:dyDescent="0.3">
      <c r="F27866"/>
      <c r="G27866"/>
      <c r="H27866"/>
      <c r="I27866"/>
    </row>
    <row r="27867" spans="6:9" x14ac:dyDescent="0.3">
      <c r="F27867"/>
      <c r="G27867"/>
      <c r="H27867"/>
      <c r="I27867"/>
    </row>
    <row r="27868" spans="6:9" x14ac:dyDescent="0.3">
      <c r="F27868"/>
      <c r="G27868"/>
      <c r="H27868"/>
      <c r="I27868"/>
    </row>
    <row r="27869" spans="6:9" x14ac:dyDescent="0.3">
      <c r="F27869"/>
      <c r="G27869"/>
      <c r="H27869"/>
      <c r="I27869"/>
    </row>
    <row r="27870" spans="6:9" x14ac:dyDescent="0.3">
      <c r="F27870"/>
      <c r="G27870"/>
      <c r="H27870"/>
      <c r="I27870"/>
    </row>
    <row r="27871" spans="6:9" x14ac:dyDescent="0.3">
      <c r="F27871"/>
      <c r="G27871"/>
      <c r="H27871"/>
      <c r="I27871"/>
    </row>
    <row r="27872" spans="6:9" x14ac:dyDescent="0.3">
      <c r="F27872"/>
      <c r="G27872"/>
      <c r="H27872"/>
      <c r="I27872"/>
    </row>
    <row r="27873" spans="6:9" x14ac:dyDescent="0.3">
      <c r="F27873"/>
      <c r="G27873"/>
      <c r="H27873"/>
      <c r="I27873"/>
    </row>
    <row r="27874" spans="6:9" x14ac:dyDescent="0.3">
      <c r="F27874"/>
      <c r="G27874"/>
      <c r="H27874"/>
      <c r="I27874"/>
    </row>
    <row r="27875" spans="6:9" x14ac:dyDescent="0.3">
      <c r="F27875"/>
      <c r="G27875"/>
      <c r="H27875"/>
      <c r="I27875"/>
    </row>
    <row r="27876" spans="6:9" x14ac:dyDescent="0.3">
      <c r="F27876"/>
      <c r="G27876"/>
      <c r="H27876"/>
      <c r="I27876"/>
    </row>
    <row r="27877" spans="6:9" x14ac:dyDescent="0.3">
      <c r="F27877"/>
      <c r="G27877"/>
      <c r="H27877"/>
      <c r="I27877"/>
    </row>
    <row r="27878" spans="6:9" x14ac:dyDescent="0.3">
      <c r="F27878"/>
      <c r="G27878"/>
      <c r="H27878"/>
      <c r="I27878"/>
    </row>
    <row r="27879" spans="6:9" x14ac:dyDescent="0.3">
      <c r="F27879"/>
      <c r="G27879"/>
      <c r="H27879"/>
      <c r="I27879"/>
    </row>
    <row r="27880" spans="6:9" x14ac:dyDescent="0.3">
      <c r="F27880"/>
      <c r="G27880"/>
      <c r="H27880"/>
      <c r="I27880"/>
    </row>
    <row r="27881" spans="6:9" x14ac:dyDescent="0.3">
      <c r="F27881"/>
      <c r="G27881"/>
      <c r="H27881"/>
      <c r="I27881"/>
    </row>
    <row r="27882" spans="6:9" x14ac:dyDescent="0.3">
      <c r="F27882"/>
      <c r="G27882"/>
      <c r="H27882"/>
      <c r="I27882"/>
    </row>
    <row r="27883" spans="6:9" x14ac:dyDescent="0.3">
      <c r="F27883"/>
      <c r="G27883"/>
      <c r="H27883"/>
      <c r="I27883"/>
    </row>
    <row r="27884" spans="6:9" x14ac:dyDescent="0.3">
      <c r="F27884"/>
      <c r="G27884"/>
      <c r="H27884"/>
      <c r="I27884"/>
    </row>
    <row r="27885" spans="6:9" x14ac:dyDescent="0.3">
      <c r="F27885"/>
      <c r="G27885"/>
      <c r="H27885"/>
      <c r="I27885"/>
    </row>
    <row r="27886" spans="6:9" x14ac:dyDescent="0.3">
      <c r="F27886"/>
      <c r="G27886"/>
      <c r="H27886"/>
      <c r="I27886"/>
    </row>
    <row r="27887" spans="6:9" x14ac:dyDescent="0.3">
      <c r="F27887"/>
      <c r="G27887"/>
      <c r="H27887"/>
      <c r="I27887"/>
    </row>
    <row r="27888" spans="6:9" x14ac:dyDescent="0.3">
      <c r="F27888"/>
      <c r="G27888"/>
      <c r="H27888"/>
      <c r="I27888"/>
    </row>
    <row r="27889" spans="6:9" x14ac:dyDescent="0.3">
      <c r="F27889"/>
      <c r="G27889"/>
      <c r="H27889"/>
      <c r="I27889"/>
    </row>
    <row r="27890" spans="6:9" x14ac:dyDescent="0.3">
      <c r="F27890"/>
      <c r="G27890"/>
      <c r="H27890"/>
      <c r="I27890"/>
    </row>
    <row r="27891" spans="6:9" x14ac:dyDescent="0.3">
      <c r="F27891"/>
      <c r="G27891"/>
      <c r="H27891"/>
      <c r="I27891"/>
    </row>
    <row r="27892" spans="6:9" x14ac:dyDescent="0.3">
      <c r="F27892"/>
      <c r="G27892"/>
      <c r="H27892"/>
      <c r="I27892"/>
    </row>
    <row r="27893" spans="6:9" x14ac:dyDescent="0.3">
      <c r="F27893"/>
      <c r="G27893"/>
      <c r="H27893"/>
      <c r="I27893"/>
    </row>
    <row r="27894" spans="6:9" x14ac:dyDescent="0.3">
      <c r="F27894"/>
      <c r="G27894"/>
      <c r="H27894"/>
      <c r="I27894"/>
    </row>
    <row r="27895" spans="6:9" x14ac:dyDescent="0.3">
      <c r="F27895"/>
      <c r="G27895"/>
      <c r="H27895"/>
      <c r="I27895"/>
    </row>
    <row r="27896" spans="6:9" x14ac:dyDescent="0.3">
      <c r="F27896"/>
      <c r="G27896"/>
      <c r="H27896"/>
      <c r="I27896"/>
    </row>
    <row r="27897" spans="6:9" x14ac:dyDescent="0.3">
      <c r="F27897"/>
      <c r="G27897"/>
      <c r="H27897"/>
      <c r="I27897"/>
    </row>
    <row r="27898" spans="6:9" x14ac:dyDescent="0.3">
      <c r="F27898"/>
      <c r="G27898"/>
      <c r="H27898"/>
      <c r="I27898"/>
    </row>
    <row r="27899" spans="6:9" x14ac:dyDescent="0.3">
      <c r="F27899"/>
      <c r="G27899"/>
      <c r="H27899"/>
      <c r="I27899"/>
    </row>
    <row r="27900" spans="6:9" x14ac:dyDescent="0.3">
      <c r="F27900"/>
      <c r="G27900"/>
      <c r="H27900"/>
      <c r="I27900"/>
    </row>
    <row r="27901" spans="6:9" x14ac:dyDescent="0.3">
      <c r="F27901"/>
      <c r="G27901"/>
      <c r="H27901"/>
      <c r="I27901"/>
    </row>
    <row r="27902" spans="6:9" x14ac:dyDescent="0.3">
      <c r="F27902"/>
      <c r="G27902"/>
      <c r="H27902"/>
      <c r="I27902"/>
    </row>
    <row r="27903" spans="6:9" x14ac:dyDescent="0.3">
      <c r="F27903"/>
      <c r="G27903"/>
      <c r="H27903"/>
      <c r="I27903"/>
    </row>
    <row r="27904" spans="6:9" x14ac:dyDescent="0.3">
      <c r="F27904"/>
      <c r="G27904"/>
      <c r="H27904"/>
      <c r="I27904"/>
    </row>
    <row r="27905" spans="6:9" x14ac:dyDescent="0.3">
      <c r="F27905"/>
      <c r="G27905"/>
      <c r="H27905"/>
      <c r="I27905"/>
    </row>
    <row r="27906" spans="6:9" x14ac:dyDescent="0.3">
      <c r="F27906"/>
      <c r="G27906"/>
      <c r="H27906"/>
      <c r="I27906"/>
    </row>
    <row r="27907" spans="6:9" x14ac:dyDescent="0.3">
      <c r="F27907"/>
      <c r="G27907"/>
      <c r="H27907"/>
      <c r="I27907"/>
    </row>
    <row r="27908" spans="6:9" x14ac:dyDescent="0.3">
      <c r="F27908"/>
      <c r="G27908"/>
      <c r="H27908"/>
      <c r="I27908"/>
    </row>
    <row r="27909" spans="6:9" x14ac:dyDescent="0.3">
      <c r="F27909"/>
      <c r="G27909"/>
      <c r="H27909"/>
      <c r="I27909"/>
    </row>
    <row r="27910" spans="6:9" x14ac:dyDescent="0.3">
      <c r="F27910"/>
      <c r="G27910"/>
      <c r="H27910"/>
      <c r="I27910"/>
    </row>
    <row r="27911" spans="6:9" x14ac:dyDescent="0.3">
      <c r="F27911"/>
      <c r="G27911"/>
      <c r="H27911"/>
      <c r="I27911"/>
    </row>
    <row r="27912" spans="6:9" x14ac:dyDescent="0.3">
      <c r="F27912"/>
      <c r="G27912"/>
      <c r="H27912"/>
      <c r="I27912"/>
    </row>
    <row r="27913" spans="6:9" x14ac:dyDescent="0.3">
      <c r="F27913"/>
      <c r="G27913"/>
      <c r="H27913"/>
      <c r="I27913"/>
    </row>
    <row r="27914" spans="6:9" x14ac:dyDescent="0.3">
      <c r="F27914"/>
      <c r="G27914"/>
      <c r="H27914"/>
      <c r="I27914"/>
    </row>
    <row r="27915" spans="6:9" x14ac:dyDescent="0.3">
      <c r="F27915"/>
      <c r="G27915"/>
      <c r="H27915"/>
      <c r="I27915"/>
    </row>
    <row r="27916" spans="6:9" x14ac:dyDescent="0.3">
      <c r="F27916"/>
      <c r="G27916"/>
      <c r="H27916"/>
      <c r="I27916"/>
    </row>
    <row r="27917" spans="6:9" x14ac:dyDescent="0.3">
      <c r="F27917"/>
      <c r="G27917"/>
      <c r="H27917"/>
      <c r="I27917"/>
    </row>
    <row r="27918" spans="6:9" x14ac:dyDescent="0.3">
      <c r="F27918"/>
      <c r="G27918"/>
      <c r="H27918"/>
      <c r="I27918"/>
    </row>
    <row r="27919" spans="6:9" x14ac:dyDescent="0.3">
      <c r="F27919"/>
      <c r="G27919"/>
      <c r="H27919"/>
      <c r="I27919"/>
    </row>
    <row r="27920" spans="6:9" x14ac:dyDescent="0.3">
      <c r="F27920"/>
      <c r="G27920"/>
      <c r="H27920"/>
      <c r="I27920"/>
    </row>
    <row r="27921" spans="6:9" x14ac:dyDescent="0.3">
      <c r="F27921"/>
      <c r="G27921"/>
      <c r="H27921"/>
      <c r="I27921"/>
    </row>
    <row r="27922" spans="6:9" x14ac:dyDescent="0.3">
      <c r="F27922"/>
      <c r="G27922"/>
      <c r="H27922"/>
      <c r="I27922"/>
    </row>
    <row r="27923" spans="6:9" x14ac:dyDescent="0.3">
      <c r="F27923"/>
      <c r="G27923"/>
      <c r="H27923"/>
      <c r="I27923"/>
    </row>
    <row r="27924" spans="6:9" x14ac:dyDescent="0.3">
      <c r="F27924"/>
      <c r="G27924"/>
      <c r="H27924"/>
      <c r="I27924"/>
    </row>
    <row r="27925" spans="6:9" x14ac:dyDescent="0.3">
      <c r="F27925"/>
      <c r="G27925"/>
      <c r="H27925"/>
      <c r="I27925"/>
    </row>
    <row r="27926" spans="6:9" x14ac:dyDescent="0.3">
      <c r="F27926"/>
      <c r="G27926"/>
      <c r="H27926"/>
      <c r="I27926"/>
    </row>
    <row r="27927" spans="6:9" x14ac:dyDescent="0.3">
      <c r="F27927"/>
      <c r="G27927"/>
      <c r="H27927"/>
      <c r="I27927"/>
    </row>
    <row r="27928" spans="6:9" x14ac:dyDescent="0.3">
      <c r="F27928"/>
      <c r="G27928"/>
      <c r="H27928"/>
      <c r="I27928"/>
    </row>
    <row r="27929" spans="6:9" x14ac:dyDescent="0.3">
      <c r="F27929"/>
      <c r="G27929"/>
      <c r="H27929"/>
      <c r="I27929"/>
    </row>
    <row r="27930" spans="6:9" x14ac:dyDescent="0.3">
      <c r="F27930"/>
      <c r="G27930"/>
      <c r="H27930"/>
      <c r="I27930"/>
    </row>
    <row r="27931" spans="6:9" x14ac:dyDescent="0.3">
      <c r="F27931"/>
      <c r="G27931"/>
      <c r="H27931"/>
      <c r="I27931"/>
    </row>
    <row r="27932" spans="6:9" x14ac:dyDescent="0.3">
      <c r="F27932"/>
      <c r="G27932"/>
      <c r="H27932"/>
      <c r="I27932"/>
    </row>
    <row r="27933" spans="6:9" x14ac:dyDescent="0.3">
      <c r="F27933"/>
      <c r="G27933"/>
      <c r="H27933"/>
      <c r="I27933"/>
    </row>
    <row r="27934" spans="6:9" x14ac:dyDescent="0.3">
      <c r="F27934"/>
      <c r="G27934"/>
      <c r="H27934"/>
      <c r="I27934"/>
    </row>
    <row r="27935" spans="6:9" x14ac:dyDescent="0.3">
      <c r="F27935"/>
      <c r="G27935"/>
      <c r="H27935"/>
      <c r="I27935"/>
    </row>
    <row r="27936" spans="6:9" x14ac:dyDescent="0.3">
      <c r="F27936"/>
      <c r="G27936"/>
      <c r="H27936"/>
      <c r="I27936"/>
    </row>
    <row r="27937" spans="6:9" x14ac:dyDescent="0.3">
      <c r="F27937"/>
      <c r="G27937"/>
      <c r="H27937"/>
      <c r="I27937"/>
    </row>
    <row r="27938" spans="6:9" x14ac:dyDescent="0.3">
      <c r="F27938"/>
      <c r="G27938"/>
      <c r="H27938"/>
      <c r="I27938"/>
    </row>
    <row r="27939" spans="6:9" x14ac:dyDescent="0.3">
      <c r="F27939"/>
      <c r="G27939"/>
      <c r="H27939"/>
      <c r="I27939"/>
    </row>
    <row r="27940" spans="6:9" x14ac:dyDescent="0.3">
      <c r="F27940"/>
      <c r="G27940"/>
      <c r="H27940"/>
      <c r="I27940"/>
    </row>
    <row r="27941" spans="6:9" x14ac:dyDescent="0.3">
      <c r="F27941"/>
      <c r="G27941"/>
      <c r="H27941"/>
      <c r="I27941"/>
    </row>
    <row r="27942" spans="6:9" x14ac:dyDescent="0.3">
      <c r="F27942"/>
      <c r="G27942"/>
      <c r="H27942"/>
      <c r="I27942"/>
    </row>
    <row r="27943" spans="6:9" x14ac:dyDescent="0.3">
      <c r="F27943"/>
      <c r="G27943"/>
      <c r="H27943"/>
      <c r="I27943"/>
    </row>
    <row r="27944" spans="6:9" x14ac:dyDescent="0.3">
      <c r="F27944"/>
      <c r="G27944"/>
      <c r="H27944"/>
      <c r="I27944"/>
    </row>
    <row r="27945" spans="6:9" x14ac:dyDescent="0.3">
      <c r="F27945"/>
      <c r="G27945"/>
      <c r="H27945"/>
      <c r="I27945"/>
    </row>
    <row r="27946" spans="6:9" x14ac:dyDescent="0.3">
      <c r="F27946"/>
      <c r="G27946"/>
      <c r="H27946"/>
      <c r="I27946"/>
    </row>
    <row r="27947" spans="6:9" x14ac:dyDescent="0.3">
      <c r="F27947"/>
      <c r="G27947"/>
      <c r="H27947"/>
      <c r="I27947"/>
    </row>
    <row r="27948" spans="6:9" x14ac:dyDescent="0.3">
      <c r="F27948"/>
      <c r="G27948"/>
      <c r="H27948"/>
      <c r="I27948"/>
    </row>
    <row r="27949" spans="6:9" x14ac:dyDescent="0.3">
      <c r="F27949"/>
      <c r="G27949"/>
      <c r="H27949"/>
      <c r="I27949"/>
    </row>
    <row r="27950" spans="6:9" x14ac:dyDescent="0.3">
      <c r="F27950"/>
      <c r="G27950"/>
      <c r="H27950"/>
      <c r="I27950"/>
    </row>
    <row r="27951" spans="6:9" x14ac:dyDescent="0.3">
      <c r="F27951"/>
      <c r="G27951"/>
      <c r="H27951"/>
      <c r="I27951"/>
    </row>
    <row r="27952" spans="6:9" x14ac:dyDescent="0.3">
      <c r="F27952"/>
      <c r="G27952"/>
      <c r="H27952"/>
      <c r="I27952"/>
    </row>
    <row r="27953" spans="6:9" x14ac:dyDescent="0.3">
      <c r="F27953"/>
      <c r="G27953"/>
      <c r="H27953"/>
      <c r="I27953"/>
    </row>
    <row r="27954" spans="6:9" x14ac:dyDescent="0.3">
      <c r="F27954"/>
      <c r="G27954"/>
      <c r="H27954"/>
      <c r="I27954"/>
    </row>
    <row r="27955" spans="6:9" x14ac:dyDescent="0.3">
      <c r="F27955"/>
      <c r="G27955"/>
      <c r="H27955"/>
      <c r="I27955"/>
    </row>
    <row r="27956" spans="6:9" x14ac:dyDescent="0.3">
      <c r="F27956"/>
      <c r="G27956"/>
      <c r="H27956"/>
      <c r="I27956"/>
    </row>
    <row r="27957" spans="6:9" x14ac:dyDescent="0.3">
      <c r="F27957"/>
      <c r="G27957"/>
      <c r="H27957"/>
      <c r="I27957"/>
    </row>
    <row r="27958" spans="6:9" x14ac:dyDescent="0.3">
      <c r="F27958"/>
      <c r="G27958"/>
      <c r="H27958"/>
      <c r="I27958"/>
    </row>
    <row r="27959" spans="6:9" x14ac:dyDescent="0.3">
      <c r="F27959"/>
      <c r="G27959"/>
      <c r="H27959"/>
      <c r="I27959"/>
    </row>
    <row r="27960" spans="6:9" x14ac:dyDescent="0.3">
      <c r="F27960"/>
      <c r="G27960"/>
      <c r="H27960"/>
      <c r="I27960"/>
    </row>
    <row r="27961" spans="6:9" x14ac:dyDescent="0.3">
      <c r="F27961"/>
      <c r="G27961"/>
      <c r="H27961"/>
      <c r="I27961"/>
    </row>
    <row r="27962" spans="6:9" x14ac:dyDescent="0.3">
      <c r="F27962"/>
      <c r="G27962"/>
      <c r="H27962"/>
      <c r="I27962"/>
    </row>
    <row r="27963" spans="6:9" x14ac:dyDescent="0.3">
      <c r="F27963"/>
      <c r="G27963"/>
      <c r="H27963"/>
      <c r="I27963"/>
    </row>
    <row r="27964" spans="6:9" x14ac:dyDescent="0.3">
      <c r="F27964"/>
      <c r="G27964"/>
      <c r="H27964"/>
      <c r="I27964"/>
    </row>
    <row r="27965" spans="6:9" x14ac:dyDescent="0.3">
      <c r="F27965"/>
      <c r="G27965"/>
      <c r="H27965"/>
      <c r="I27965"/>
    </row>
    <row r="27966" spans="6:9" x14ac:dyDescent="0.3">
      <c r="F27966"/>
      <c r="G27966"/>
      <c r="H27966"/>
      <c r="I27966"/>
    </row>
    <row r="27967" spans="6:9" x14ac:dyDescent="0.3">
      <c r="F27967"/>
      <c r="G27967"/>
      <c r="H27967"/>
      <c r="I27967"/>
    </row>
    <row r="27968" spans="6:9" x14ac:dyDescent="0.3">
      <c r="F27968"/>
      <c r="G27968"/>
      <c r="H27968"/>
      <c r="I27968"/>
    </row>
    <row r="27969" spans="6:9" x14ac:dyDescent="0.3">
      <c r="F27969"/>
      <c r="G27969"/>
      <c r="H27969"/>
      <c r="I27969"/>
    </row>
    <row r="27970" spans="6:9" x14ac:dyDescent="0.3">
      <c r="F27970"/>
      <c r="G27970"/>
      <c r="H27970"/>
      <c r="I27970"/>
    </row>
    <row r="27971" spans="6:9" x14ac:dyDescent="0.3">
      <c r="F27971"/>
      <c r="G27971"/>
      <c r="H27971"/>
      <c r="I27971"/>
    </row>
    <row r="27972" spans="6:9" x14ac:dyDescent="0.3">
      <c r="F27972"/>
      <c r="G27972"/>
      <c r="H27972"/>
      <c r="I27972"/>
    </row>
    <row r="27973" spans="6:9" x14ac:dyDescent="0.3">
      <c r="F27973"/>
      <c r="G27973"/>
      <c r="H27973"/>
      <c r="I27973"/>
    </row>
    <row r="27974" spans="6:9" x14ac:dyDescent="0.3">
      <c r="F27974"/>
      <c r="G27974"/>
      <c r="H27974"/>
      <c r="I27974"/>
    </row>
    <row r="27975" spans="6:9" x14ac:dyDescent="0.3">
      <c r="F27975"/>
      <c r="G27975"/>
      <c r="H27975"/>
      <c r="I27975"/>
    </row>
    <row r="27976" spans="6:9" x14ac:dyDescent="0.3">
      <c r="F27976"/>
      <c r="G27976"/>
      <c r="H27976"/>
      <c r="I27976"/>
    </row>
    <row r="27977" spans="6:9" x14ac:dyDescent="0.3">
      <c r="F27977"/>
      <c r="G27977"/>
      <c r="H27977"/>
      <c r="I27977"/>
    </row>
    <row r="27978" spans="6:9" x14ac:dyDescent="0.3">
      <c r="F27978"/>
      <c r="G27978"/>
      <c r="H27978"/>
      <c r="I27978"/>
    </row>
    <row r="27979" spans="6:9" x14ac:dyDescent="0.3">
      <c r="F27979"/>
      <c r="G27979"/>
      <c r="H27979"/>
      <c r="I27979"/>
    </row>
    <row r="27980" spans="6:9" x14ac:dyDescent="0.3">
      <c r="F27980"/>
      <c r="G27980"/>
      <c r="H27980"/>
      <c r="I27980"/>
    </row>
    <row r="27981" spans="6:9" x14ac:dyDescent="0.3">
      <c r="F27981"/>
      <c r="G27981"/>
      <c r="H27981"/>
      <c r="I27981"/>
    </row>
    <row r="27982" spans="6:9" x14ac:dyDescent="0.3">
      <c r="F27982"/>
      <c r="G27982"/>
      <c r="H27982"/>
      <c r="I27982"/>
    </row>
    <row r="27983" spans="6:9" x14ac:dyDescent="0.3">
      <c r="F27983"/>
      <c r="G27983"/>
      <c r="H27983"/>
      <c r="I27983"/>
    </row>
    <row r="27984" spans="6:9" x14ac:dyDescent="0.3">
      <c r="F27984"/>
      <c r="G27984"/>
      <c r="H27984"/>
      <c r="I27984"/>
    </row>
    <row r="27985" spans="6:9" x14ac:dyDescent="0.3">
      <c r="F27985"/>
      <c r="G27985"/>
      <c r="H27985"/>
      <c r="I27985"/>
    </row>
    <row r="27986" spans="6:9" x14ac:dyDescent="0.3">
      <c r="F27986"/>
      <c r="G27986"/>
      <c r="H27986"/>
      <c r="I27986"/>
    </row>
    <row r="27987" spans="6:9" x14ac:dyDescent="0.3">
      <c r="F27987"/>
      <c r="G27987"/>
      <c r="H27987"/>
      <c r="I27987"/>
    </row>
    <row r="27988" spans="6:9" x14ac:dyDescent="0.3">
      <c r="F27988"/>
      <c r="G27988"/>
      <c r="H27988"/>
      <c r="I27988"/>
    </row>
    <row r="27989" spans="6:9" x14ac:dyDescent="0.3">
      <c r="F27989"/>
      <c r="G27989"/>
      <c r="H27989"/>
      <c r="I27989"/>
    </row>
    <row r="27990" spans="6:9" x14ac:dyDescent="0.3">
      <c r="F27990"/>
      <c r="G27990"/>
      <c r="H27990"/>
      <c r="I27990"/>
    </row>
    <row r="27991" spans="6:9" x14ac:dyDescent="0.3">
      <c r="F27991"/>
      <c r="G27991"/>
      <c r="H27991"/>
      <c r="I27991"/>
    </row>
    <row r="27992" spans="6:9" x14ac:dyDescent="0.3">
      <c r="F27992"/>
      <c r="G27992"/>
      <c r="H27992"/>
      <c r="I27992"/>
    </row>
    <row r="27993" spans="6:9" x14ac:dyDescent="0.3">
      <c r="F27993"/>
      <c r="G27993"/>
      <c r="H27993"/>
      <c r="I27993"/>
    </row>
    <row r="27994" spans="6:9" x14ac:dyDescent="0.3">
      <c r="F27994"/>
      <c r="G27994"/>
      <c r="H27994"/>
      <c r="I27994"/>
    </row>
    <row r="27995" spans="6:9" x14ac:dyDescent="0.3">
      <c r="F27995"/>
      <c r="G27995"/>
      <c r="H27995"/>
      <c r="I27995"/>
    </row>
    <row r="27996" spans="6:9" x14ac:dyDescent="0.3">
      <c r="F27996"/>
      <c r="G27996"/>
      <c r="H27996"/>
      <c r="I27996"/>
    </row>
    <row r="27997" spans="6:9" x14ac:dyDescent="0.3">
      <c r="F27997"/>
      <c r="G27997"/>
      <c r="H27997"/>
      <c r="I27997"/>
    </row>
    <row r="27998" spans="6:9" x14ac:dyDescent="0.3">
      <c r="F27998"/>
      <c r="G27998"/>
      <c r="H27998"/>
      <c r="I27998"/>
    </row>
    <row r="27999" spans="6:9" x14ac:dyDescent="0.3">
      <c r="F27999"/>
      <c r="G27999"/>
      <c r="H27999"/>
      <c r="I27999"/>
    </row>
    <row r="28000" spans="6:9" x14ac:dyDescent="0.3">
      <c r="F28000"/>
      <c r="G28000"/>
      <c r="H28000"/>
      <c r="I28000"/>
    </row>
    <row r="28001" spans="6:9" x14ac:dyDescent="0.3">
      <c r="F28001"/>
      <c r="G28001"/>
      <c r="H28001"/>
      <c r="I28001"/>
    </row>
    <row r="28002" spans="6:9" x14ac:dyDescent="0.3">
      <c r="F28002"/>
      <c r="G28002"/>
      <c r="H28002"/>
      <c r="I28002"/>
    </row>
    <row r="28003" spans="6:9" x14ac:dyDescent="0.3">
      <c r="F28003"/>
      <c r="G28003"/>
      <c r="H28003"/>
      <c r="I28003"/>
    </row>
    <row r="28004" spans="6:9" x14ac:dyDescent="0.3">
      <c r="F28004"/>
      <c r="G28004"/>
      <c r="H28004"/>
      <c r="I28004"/>
    </row>
    <row r="28005" spans="6:9" x14ac:dyDescent="0.3">
      <c r="F28005"/>
      <c r="G28005"/>
      <c r="H28005"/>
      <c r="I28005"/>
    </row>
    <row r="28006" spans="6:9" x14ac:dyDescent="0.3">
      <c r="F28006"/>
      <c r="G28006"/>
      <c r="H28006"/>
      <c r="I28006"/>
    </row>
    <row r="28007" spans="6:9" x14ac:dyDescent="0.3">
      <c r="F28007"/>
      <c r="G28007"/>
      <c r="H28007"/>
      <c r="I28007"/>
    </row>
    <row r="28008" spans="6:9" x14ac:dyDescent="0.3">
      <c r="F28008"/>
      <c r="G28008"/>
      <c r="H28008"/>
      <c r="I28008"/>
    </row>
    <row r="28009" spans="6:9" x14ac:dyDescent="0.3">
      <c r="F28009"/>
      <c r="G28009"/>
      <c r="H28009"/>
      <c r="I28009"/>
    </row>
    <row r="28010" spans="6:9" x14ac:dyDescent="0.3">
      <c r="F28010"/>
      <c r="G28010"/>
      <c r="H28010"/>
      <c r="I28010"/>
    </row>
    <row r="28011" spans="6:9" x14ac:dyDescent="0.3">
      <c r="F28011"/>
      <c r="G28011"/>
      <c r="H28011"/>
      <c r="I28011"/>
    </row>
    <row r="28012" spans="6:9" x14ac:dyDescent="0.3">
      <c r="F28012"/>
      <c r="G28012"/>
      <c r="H28012"/>
      <c r="I28012"/>
    </row>
    <row r="28013" spans="6:9" x14ac:dyDescent="0.3">
      <c r="F28013"/>
      <c r="G28013"/>
      <c r="H28013"/>
      <c r="I28013"/>
    </row>
    <row r="28014" spans="6:9" x14ac:dyDescent="0.3">
      <c r="F28014"/>
      <c r="G28014"/>
      <c r="H28014"/>
      <c r="I28014"/>
    </row>
    <row r="28015" spans="6:9" x14ac:dyDescent="0.3">
      <c r="F28015"/>
      <c r="G28015"/>
      <c r="H28015"/>
      <c r="I28015"/>
    </row>
    <row r="28016" spans="6:9" x14ac:dyDescent="0.3">
      <c r="F28016"/>
      <c r="G28016"/>
      <c r="H28016"/>
      <c r="I28016"/>
    </row>
    <row r="28017" spans="6:9" x14ac:dyDescent="0.3">
      <c r="F28017"/>
      <c r="G28017"/>
      <c r="H28017"/>
      <c r="I28017"/>
    </row>
    <row r="28018" spans="6:9" x14ac:dyDescent="0.3">
      <c r="F28018"/>
      <c r="G28018"/>
      <c r="H28018"/>
      <c r="I28018"/>
    </row>
    <row r="28019" spans="6:9" x14ac:dyDescent="0.3">
      <c r="F28019"/>
      <c r="G28019"/>
      <c r="H28019"/>
      <c r="I28019"/>
    </row>
    <row r="28020" spans="6:9" x14ac:dyDescent="0.3">
      <c r="F28020"/>
      <c r="G28020"/>
      <c r="H28020"/>
      <c r="I28020"/>
    </row>
    <row r="28021" spans="6:9" x14ac:dyDescent="0.3">
      <c r="F28021"/>
      <c r="G28021"/>
      <c r="H28021"/>
      <c r="I28021"/>
    </row>
    <row r="28022" spans="6:9" x14ac:dyDescent="0.3">
      <c r="F28022"/>
      <c r="G28022"/>
      <c r="H28022"/>
      <c r="I28022"/>
    </row>
    <row r="28023" spans="6:9" x14ac:dyDescent="0.3">
      <c r="F28023"/>
      <c r="G28023"/>
      <c r="H28023"/>
      <c r="I28023"/>
    </row>
    <row r="28024" spans="6:9" x14ac:dyDescent="0.3">
      <c r="F28024"/>
      <c r="G28024"/>
      <c r="H28024"/>
      <c r="I28024"/>
    </row>
    <row r="28025" spans="6:9" x14ac:dyDescent="0.3">
      <c r="F28025"/>
      <c r="G28025"/>
      <c r="H28025"/>
      <c r="I28025"/>
    </row>
    <row r="28026" spans="6:9" x14ac:dyDescent="0.3">
      <c r="F28026"/>
      <c r="G28026"/>
      <c r="H28026"/>
      <c r="I28026"/>
    </row>
    <row r="28027" spans="6:9" x14ac:dyDescent="0.3">
      <c r="F28027"/>
      <c r="G28027"/>
      <c r="H28027"/>
      <c r="I28027"/>
    </row>
    <row r="28028" spans="6:9" x14ac:dyDescent="0.3">
      <c r="F28028"/>
      <c r="G28028"/>
      <c r="H28028"/>
      <c r="I28028"/>
    </row>
    <row r="28029" spans="6:9" x14ac:dyDescent="0.3">
      <c r="F28029"/>
      <c r="G28029"/>
      <c r="H28029"/>
      <c r="I28029"/>
    </row>
    <row r="28030" spans="6:9" x14ac:dyDescent="0.3">
      <c r="F28030"/>
      <c r="G28030"/>
      <c r="H28030"/>
      <c r="I28030"/>
    </row>
    <row r="28031" spans="6:9" x14ac:dyDescent="0.3">
      <c r="F28031"/>
      <c r="G28031"/>
      <c r="H28031"/>
      <c r="I28031"/>
    </row>
    <row r="28032" spans="6:9" x14ac:dyDescent="0.3">
      <c r="F28032"/>
      <c r="G28032"/>
      <c r="H28032"/>
      <c r="I28032"/>
    </row>
    <row r="28033" spans="6:9" x14ac:dyDescent="0.3">
      <c r="F28033"/>
      <c r="G28033"/>
      <c r="H28033"/>
      <c r="I28033"/>
    </row>
    <row r="28034" spans="6:9" x14ac:dyDescent="0.3">
      <c r="F28034"/>
      <c r="G28034"/>
      <c r="H28034"/>
      <c r="I28034"/>
    </row>
    <row r="28035" spans="6:9" x14ac:dyDescent="0.3">
      <c r="F28035"/>
      <c r="G28035"/>
      <c r="H28035"/>
      <c r="I28035"/>
    </row>
    <row r="28036" spans="6:9" x14ac:dyDescent="0.3">
      <c r="F28036"/>
      <c r="G28036"/>
      <c r="H28036"/>
      <c r="I28036"/>
    </row>
    <row r="28037" spans="6:9" x14ac:dyDescent="0.3">
      <c r="F28037"/>
      <c r="G28037"/>
      <c r="H28037"/>
      <c r="I28037"/>
    </row>
    <row r="28038" spans="6:9" x14ac:dyDescent="0.3">
      <c r="F28038"/>
      <c r="G28038"/>
      <c r="H28038"/>
      <c r="I28038"/>
    </row>
    <row r="28039" spans="6:9" x14ac:dyDescent="0.3">
      <c r="F28039"/>
      <c r="G28039"/>
      <c r="H28039"/>
      <c r="I28039"/>
    </row>
    <row r="28040" spans="6:9" x14ac:dyDescent="0.3">
      <c r="F28040"/>
      <c r="G28040"/>
      <c r="H28040"/>
      <c r="I28040"/>
    </row>
    <row r="28041" spans="6:9" x14ac:dyDescent="0.3">
      <c r="F28041"/>
      <c r="G28041"/>
      <c r="H28041"/>
      <c r="I28041"/>
    </row>
    <row r="28042" spans="6:9" x14ac:dyDescent="0.3">
      <c r="F28042"/>
      <c r="G28042"/>
      <c r="H28042"/>
      <c r="I28042"/>
    </row>
    <row r="28043" spans="6:9" x14ac:dyDescent="0.3">
      <c r="F28043"/>
      <c r="G28043"/>
      <c r="H28043"/>
      <c r="I28043"/>
    </row>
    <row r="28044" spans="6:9" x14ac:dyDescent="0.3">
      <c r="F28044"/>
      <c r="G28044"/>
      <c r="H28044"/>
      <c r="I28044"/>
    </row>
    <row r="28045" spans="6:9" x14ac:dyDescent="0.3">
      <c r="F28045"/>
      <c r="G28045"/>
      <c r="H28045"/>
      <c r="I28045"/>
    </row>
    <row r="28046" spans="6:9" x14ac:dyDescent="0.3">
      <c r="F28046"/>
      <c r="G28046"/>
      <c r="H28046"/>
      <c r="I28046"/>
    </row>
    <row r="28047" spans="6:9" x14ac:dyDescent="0.3">
      <c r="F28047"/>
      <c r="G28047"/>
      <c r="H28047"/>
      <c r="I28047"/>
    </row>
    <row r="28048" spans="6:9" x14ac:dyDescent="0.3">
      <c r="F28048"/>
      <c r="G28048"/>
      <c r="H28048"/>
      <c r="I28048"/>
    </row>
    <row r="28049" spans="6:9" x14ac:dyDescent="0.3">
      <c r="F28049"/>
      <c r="G28049"/>
      <c r="H28049"/>
      <c r="I28049"/>
    </row>
    <row r="28050" spans="6:9" x14ac:dyDescent="0.3">
      <c r="F28050"/>
      <c r="G28050"/>
      <c r="H28050"/>
      <c r="I28050"/>
    </row>
    <row r="28051" spans="6:9" x14ac:dyDescent="0.3">
      <c r="F28051"/>
      <c r="G28051"/>
      <c r="H28051"/>
      <c r="I28051"/>
    </row>
    <row r="28052" spans="6:9" x14ac:dyDescent="0.3">
      <c r="F28052"/>
      <c r="G28052"/>
      <c r="H28052"/>
      <c r="I28052"/>
    </row>
    <row r="28053" spans="6:9" x14ac:dyDescent="0.3">
      <c r="F28053"/>
      <c r="G28053"/>
      <c r="H28053"/>
      <c r="I28053"/>
    </row>
    <row r="28054" spans="6:9" x14ac:dyDescent="0.3">
      <c r="F28054"/>
      <c r="G28054"/>
      <c r="H28054"/>
      <c r="I28054"/>
    </row>
    <row r="28055" spans="6:9" x14ac:dyDescent="0.3">
      <c r="F28055"/>
      <c r="G28055"/>
      <c r="H28055"/>
      <c r="I28055"/>
    </row>
    <row r="28056" spans="6:9" x14ac:dyDescent="0.3">
      <c r="F28056"/>
      <c r="G28056"/>
      <c r="H28056"/>
      <c r="I28056"/>
    </row>
    <row r="28057" spans="6:9" x14ac:dyDescent="0.3">
      <c r="F28057"/>
      <c r="G28057"/>
      <c r="H28057"/>
      <c r="I28057"/>
    </row>
    <row r="28058" spans="6:9" x14ac:dyDescent="0.3">
      <c r="F28058"/>
      <c r="G28058"/>
      <c r="H28058"/>
      <c r="I28058"/>
    </row>
    <row r="28059" spans="6:9" x14ac:dyDescent="0.3">
      <c r="F28059"/>
      <c r="G28059"/>
      <c r="H28059"/>
      <c r="I28059"/>
    </row>
    <row r="28060" spans="6:9" x14ac:dyDescent="0.3">
      <c r="F28060"/>
      <c r="G28060"/>
      <c r="H28060"/>
      <c r="I28060"/>
    </row>
    <row r="28061" spans="6:9" x14ac:dyDescent="0.3">
      <c r="F28061"/>
      <c r="G28061"/>
      <c r="H28061"/>
      <c r="I28061"/>
    </row>
    <row r="28062" spans="6:9" x14ac:dyDescent="0.3">
      <c r="F28062"/>
      <c r="G28062"/>
      <c r="H28062"/>
      <c r="I28062"/>
    </row>
    <row r="28063" spans="6:9" x14ac:dyDescent="0.3">
      <c r="F28063"/>
      <c r="G28063"/>
      <c r="H28063"/>
      <c r="I28063"/>
    </row>
    <row r="28064" spans="6:9" x14ac:dyDescent="0.3">
      <c r="F28064"/>
      <c r="G28064"/>
      <c r="H28064"/>
      <c r="I28064"/>
    </row>
    <row r="28065" spans="6:9" x14ac:dyDescent="0.3">
      <c r="F28065"/>
      <c r="G28065"/>
      <c r="H28065"/>
      <c r="I28065"/>
    </row>
    <row r="28066" spans="6:9" x14ac:dyDescent="0.3">
      <c r="F28066"/>
      <c r="G28066"/>
      <c r="H28066"/>
      <c r="I28066"/>
    </row>
    <row r="28067" spans="6:9" x14ac:dyDescent="0.3">
      <c r="F28067"/>
      <c r="G28067"/>
      <c r="H28067"/>
      <c r="I28067"/>
    </row>
    <row r="28068" spans="6:9" x14ac:dyDescent="0.3">
      <c r="F28068"/>
      <c r="G28068"/>
      <c r="H28068"/>
      <c r="I28068"/>
    </row>
    <row r="28069" spans="6:9" x14ac:dyDescent="0.3">
      <c r="F28069"/>
      <c r="G28069"/>
      <c r="H28069"/>
      <c r="I28069"/>
    </row>
    <row r="28070" spans="6:9" x14ac:dyDescent="0.3">
      <c r="F28070"/>
      <c r="G28070"/>
      <c r="H28070"/>
      <c r="I28070"/>
    </row>
    <row r="28071" spans="6:9" x14ac:dyDescent="0.3">
      <c r="F28071"/>
      <c r="G28071"/>
      <c r="H28071"/>
      <c r="I28071"/>
    </row>
    <row r="28072" spans="6:9" x14ac:dyDescent="0.3">
      <c r="F28072"/>
      <c r="G28072"/>
      <c r="H28072"/>
      <c r="I28072"/>
    </row>
    <row r="28073" spans="6:9" x14ac:dyDescent="0.3">
      <c r="F28073"/>
      <c r="G28073"/>
      <c r="H28073"/>
      <c r="I28073"/>
    </row>
    <row r="28074" spans="6:9" x14ac:dyDescent="0.3">
      <c r="F28074"/>
      <c r="G28074"/>
      <c r="H28074"/>
      <c r="I28074"/>
    </row>
    <row r="28075" spans="6:9" x14ac:dyDescent="0.3">
      <c r="F28075"/>
      <c r="G28075"/>
      <c r="H28075"/>
      <c r="I28075"/>
    </row>
    <row r="28076" spans="6:9" x14ac:dyDescent="0.3">
      <c r="F28076"/>
      <c r="G28076"/>
      <c r="H28076"/>
      <c r="I28076"/>
    </row>
    <row r="28077" spans="6:9" x14ac:dyDescent="0.3">
      <c r="F28077"/>
      <c r="G28077"/>
      <c r="H28077"/>
      <c r="I28077"/>
    </row>
    <row r="28078" spans="6:9" x14ac:dyDescent="0.3">
      <c r="F28078"/>
      <c r="G28078"/>
      <c r="H28078"/>
      <c r="I28078"/>
    </row>
    <row r="28079" spans="6:9" x14ac:dyDescent="0.3">
      <c r="F28079"/>
      <c r="G28079"/>
      <c r="H28079"/>
      <c r="I28079"/>
    </row>
    <row r="28080" spans="6:9" x14ac:dyDescent="0.3">
      <c r="F28080"/>
      <c r="G28080"/>
      <c r="H28080"/>
      <c r="I28080"/>
    </row>
    <row r="28081" spans="6:9" x14ac:dyDescent="0.3">
      <c r="F28081"/>
      <c r="G28081"/>
      <c r="H28081"/>
      <c r="I28081"/>
    </row>
    <row r="28082" spans="6:9" x14ac:dyDescent="0.3">
      <c r="F28082"/>
      <c r="G28082"/>
      <c r="H28082"/>
      <c r="I28082"/>
    </row>
    <row r="28083" spans="6:9" x14ac:dyDescent="0.3">
      <c r="F28083"/>
      <c r="G28083"/>
      <c r="H28083"/>
      <c r="I28083"/>
    </row>
    <row r="28084" spans="6:9" x14ac:dyDescent="0.3">
      <c r="F28084"/>
      <c r="G28084"/>
      <c r="H28084"/>
      <c r="I28084"/>
    </row>
    <row r="28085" spans="6:9" x14ac:dyDescent="0.3">
      <c r="F28085"/>
      <c r="G28085"/>
      <c r="H28085"/>
      <c r="I28085"/>
    </row>
    <row r="28086" spans="6:9" x14ac:dyDescent="0.3">
      <c r="F28086"/>
      <c r="G28086"/>
      <c r="H28086"/>
      <c r="I28086"/>
    </row>
    <row r="28087" spans="6:9" x14ac:dyDescent="0.3">
      <c r="F28087"/>
      <c r="G28087"/>
      <c r="H28087"/>
      <c r="I28087"/>
    </row>
    <row r="28088" spans="6:9" x14ac:dyDescent="0.3">
      <c r="F28088"/>
      <c r="G28088"/>
      <c r="H28088"/>
      <c r="I28088"/>
    </row>
    <row r="28089" spans="6:9" x14ac:dyDescent="0.3">
      <c r="F28089"/>
      <c r="G28089"/>
      <c r="H28089"/>
      <c r="I28089"/>
    </row>
    <row r="28090" spans="6:9" x14ac:dyDescent="0.3">
      <c r="F28090"/>
      <c r="G28090"/>
      <c r="H28090"/>
      <c r="I28090"/>
    </row>
    <row r="28091" spans="6:9" x14ac:dyDescent="0.3">
      <c r="F28091"/>
      <c r="G28091"/>
      <c r="H28091"/>
      <c r="I28091"/>
    </row>
    <row r="28092" spans="6:9" x14ac:dyDescent="0.3">
      <c r="F28092"/>
      <c r="G28092"/>
      <c r="H28092"/>
      <c r="I28092"/>
    </row>
    <row r="28093" spans="6:9" x14ac:dyDescent="0.3">
      <c r="F28093"/>
      <c r="G28093"/>
      <c r="H28093"/>
      <c r="I28093"/>
    </row>
    <row r="28094" spans="6:9" x14ac:dyDescent="0.3">
      <c r="F28094"/>
      <c r="G28094"/>
      <c r="H28094"/>
      <c r="I28094"/>
    </row>
    <row r="28095" spans="6:9" x14ac:dyDescent="0.3">
      <c r="F28095"/>
      <c r="G28095"/>
      <c r="H28095"/>
      <c r="I28095"/>
    </row>
    <row r="28096" spans="6:9" x14ac:dyDescent="0.3">
      <c r="F28096"/>
      <c r="G28096"/>
      <c r="H28096"/>
      <c r="I28096"/>
    </row>
    <row r="28097" spans="6:9" x14ac:dyDescent="0.3">
      <c r="F28097"/>
      <c r="G28097"/>
      <c r="H28097"/>
      <c r="I28097"/>
    </row>
    <row r="28098" spans="6:9" x14ac:dyDescent="0.3">
      <c r="F28098"/>
      <c r="G28098"/>
      <c r="H28098"/>
      <c r="I28098"/>
    </row>
    <row r="28099" spans="6:9" x14ac:dyDescent="0.3">
      <c r="F28099"/>
      <c r="G28099"/>
      <c r="H28099"/>
      <c r="I28099"/>
    </row>
    <row r="28100" spans="6:9" x14ac:dyDescent="0.3">
      <c r="F28100"/>
      <c r="G28100"/>
      <c r="H28100"/>
      <c r="I28100"/>
    </row>
    <row r="28101" spans="6:9" x14ac:dyDescent="0.3">
      <c r="F28101"/>
      <c r="G28101"/>
      <c r="H28101"/>
      <c r="I28101"/>
    </row>
    <row r="28102" spans="6:9" x14ac:dyDescent="0.3">
      <c r="F28102"/>
      <c r="G28102"/>
      <c r="H28102"/>
      <c r="I28102"/>
    </row>
    <row r="28103" spans="6:9" x14ac:dyDescent="0.3">
      <c r="F28103"/>
      <c r="G28103"/>
      <c r="H28103"/>
      <c r="I28103"/>
    </row>
    <row r="28104" spans="6:9" x14ac:dyDescent="0.3">
      <c r="F28104"/>
      <c r="G28104"/>
      <c r="H28104"/>
      <c r="I28104"/>
    </row>
    <row r="28105" spans="6:9" x14ac:dyDescent="0.3">
      <c r="F28105"/>
      <c r="G28105"/>
      <c r="H28105"/>
      <c r="I28105"/>
    </row>
    <row r="28106" spans="6:9" x14ac:dyDescent="0.3">
      <c r="F28106"/>
      <c r="G28106"/>
      <c r="H28106"/>
      <c r="I28106"/>
    </row>
    <row r="28107" spans="6:9" x14ac:dyDescent="0.3">
      <c r="F28107"/>
      <c r="G28107"/>
      <c r="H28107"/>
      <c r="I28107"/>
    </row>
    <row r="28108" spans="6:9" x14ac:dyDescent="0.3">
      <c r="F28108"/>
      <c r="G28108"/>
      <c r="H28108"/>
      <c r="I28108"/>
    </row>
    <row r="28109" spans="6:9" x14ac:dyDescent="0.3">
      <c r="F28109"/>
      <c r="G28109"/>
      <c r="H28109"/>
      <c r="I28109"/>
    </row>
    <row r="28110" spans="6:9" x14ac:dyDescent="0.3">
      <c r="F28110"/>
      <c r="G28110"/>
      <c r="H28110"/>
      <c r="I28110"/>
    </row>
    <row r="28111" spans="6:9" x14ac:dyDescent="0.3">
      <c r="F28111"/>
      <c r="G28111"/>
      <c r="H28111"/>
      <c r="I28111"/>
    </row>
    <row r="28112" spans="6:9" x14ac:dyDescent="0.3">
      <c r="F28112"/>
      <c r="G28112"/>
      <c r="H28112"/>
      <c r="I28112"/>
    </row>
    <row r="28113" spans="6:9" x14ac:dyDescent="0.3">
      <c r="F28113"/>
      <c r="G28113"/>
      <c r="H28113"/>
      <c r="I28113"/>
    </row>
    <row r="28114" spans="6:9" x14ac:dyDescent="0.3">
      <c r="F28114"/>
      <c r="G28114"/>
      <c r="H28114"/>
      <c r="I28114"/>
    </row>
    <row r="28115" spans="6:9" x14ac:dyDescent="0.3">
      <c r="F28115"/>
      <c r="G28115"/>
      <c r="H28115"/>
      <c r="I28115"/>
    </row>
    <row r="28116" spans="6:9" x14ac:dyDescent="0.3">
      <c r="F28116"/>
      <c r="G28116"/>
      <c r="H28116"/>
      <c r="I28116"/>
    </row>
    <row r="28117" spans="6:9" x14ac:dyDescent="0.3">
      <c r="F28117"/>
      <c r="G28117"/>
      <c r="H28117"/>
      <c r="I28117"/>
    </row>
    <row r="28118" spans="6:9" x14ac:dyDescent="0.3">
      <c r="F28118"/>
      <c r="G28118"/>
      <c r="H28118"/>
      <c r="I28118"/>
    </row>
    <row r="28119" spans="6:9" x14ac:dyDescent="0.3">
      <c r="F28119"/>
      <c r="G28119"/>
      <c r="H28119"/>
      <c r="I28119"/>
    </row>
    <row r="28120" spans="6:9" x14ac:dyDescent="0.3">
      <c r="F28120"/>
      <c r="G28120"/>
      <c r="H28120"/>
      <c r="I28120"/>
    </row>
    <row r="28121" spans="6:9" x14ac:dyDescent="0.3">
      <c r="F28121"/>
      <c r="G28121"/>
      <c r="H28121"/>
      <c r="I28121"/>
    </row>
    <row r="28122" spans="6:9" x14ac:dyDescent="0.3">
      <c r="F28122"/>
      <c r="G28122"/>
      <c r="H28122"/>
      <c r="I28122"/>
    </row>
    <row r="28123" spans="6:9" x14ac:dyDescent="0.3">
      <c r="F28123"/>
      <c r="G28123"/>
      <c r="H28123"/>
      <c r="I28123"/>
    </row>
    <row r="28124" spans="6:9" x14ac:dyDescent="0.3">
      <c r="F28124"/>
      <c r="G28124"/>
      <c r="H28124"/>
      <c r="I28124"/>
    </row>
    <row r="28125" spans="6:9" x14ac:dyDescent="0.3">
      <c r="F28125"/>
      <c r="G28125"/>
      <c r="H28125"/>
      <c r="I28125"/>
    </row>
    <row r="28126" spans="6:9" x14ac:dyDescent="0.3">
      <c r="F28126"/>
      <c r="G28126"/>
      <c r="H28126"/>
      <c r="I28126"/>
    </row>
    <row r="28127" spans="6:9" x14ac:dyDescent="0.3">
      <c r="F28127"/>
      <c r="G28127"/>
      <c r="H28127"/>
      <c r="I28127"/>
    </row>
    <row r="28128" spans="6:9" x14ac:dyDescent="0.3">
      <c r="F28128"/>
      <c r="G28128"/>
      <c r="H28128"/>
      <c r="I28128"/>
    </row>
    <row r="28129" spans="6:9" x14ac:dyDescent="0.3">
      <c r="F28129"/>
      <c r="G28129"/>
      <c r="H28129"/>
      <c r="I28129"/>
    </row>
    <row r="28130" spans="6:9" x14ac:dyDescent="0.3">
      <c r="F28130"/>
      <c r="G28130"/>
      <c r="H28130"/>
      <c r="I28130"/>
    </row>
    <row r="28131" spans="6:9" x14ac:dyDescent="0.3">
      <c r="F28131"/>
      <c r="G28131"/>
      <c r="H28131"/>
      <c r="I28131"/>
    </row>
    <row r="28132" spans="6:9" x14ac:dyDescent="0.3">
      <c r="F28132"/>
      <c r="G28132"/>
      <c r="H28132"/>
      <c r="I28132"/>
    </row>
    <row r="28133" spans="6:9" x14ac:dyDescent="0.3">
      <c r="F28133"/>
      <c r="G28133"/>
      <c r="H28133"/>
      <c r="I28133"/>
    </row>
    <row r="28134" spans="6:9" x14ac:dyDescent="0.3">
      <c r="F28134"/>
      <c r="G28134"/>
      <c r="H28134"/>
      <c r="I28134"/>
    </row>
    <row r="28135" spans="6:9" x14ac:dyDescent="0.3">
      <c r="F28135"/>
      <c r="G28135"/>
      <c r="H28135"/>
      <c r="I28135"/>
    </row>
    <row r="28136" spans="6:9" x14ac:dyDescent="0.3">
      <c r="F28136"/>
      <c r="G28136"/>
      <c r="H28136"/>
      <c r="I28136"/>
    </row>
    <row r="28137" spans="6:9" x14ac:dyDescent="0.3">
      <c r="F28137"/>
      <c r="G28137"/>
      <c r="H28137"/>
      <c r="I28137"/>
    </row>
    <row r="28138" spans="6:9" x14ac:dyDescent="0.3">
      <c r="F28138"/>
      <c r="G28138"/>
      <c r="H28138"/>
      <c r="I28138"/>
    </row>
    <row r="28139" spans="6:9" x14ac:dyDescent="0.3">
      <c r="F28139"/>
      <c r="G28139"/>
      <c r="H28139"/>
      <c r="I28139"/>
    </row>
    <row r="28140" spans="6:9" x14ac:dyDescent="0.3">
      <c r="F28140"/>
      <c r="G28140"/>
      <c r="H28140"/>
      <c r="I28140"/>
    </row>
    <row r="28141" spans="6:9" x14ac:dyDescent="0.3">
      <c r="F28141"/>
      <c r="G28141"/>
      <c r="H28141"/>
      <c r="I28141"/>
    </row>
    <row r="28142" spans="6:9" x14ac:dyDescent="0.3">
      <c r="F28142"/>
      <c r="G28142"/>
      <c r="H28142"/>
      <c r="I28142"/>
    </row>
    <row r="28143" spans="6:9" x14ac:dyDescent="0.3">
      <c r="F28143"/>
      <c r="G28143"/>
      <c r="H28143"/>
      <c r="I28143"/>
    </row>
    <row r="28144" spans="6:9" x14ac:dyDescent="0.3">
      <c r="F28144"/>
      <c r="G28144"/>
      <c r="H28144"/>
      <c r="I28144"/>
    </row>
    <row r="28145" spans="6:9" x14ac:dyDescent="0.3">
      <c r="F28145"/>
      <c r="G28145"/>
      <c r="H28145"/>
      <c r="I28145"/>
    </row>
    <row r="28146" spans="6:9" x14ac:dyDescent="0.3">
      <c r="F28146"/>
      <c r="G28146"/>
      <c r="H28146"/>
      <c r="I28146"/>
    </row>
    <row r="28147" spans="6:9" x14ac:dyDescent="0.3">
      <c r="F28147"/>
      <c r="G28147"/>
      <c r="H28147"/>
      <c r="I28147"/>
    </row>
    <row r="28148" spans="6:9" x14ac:dyDescent="0.3">
      <c r="F28148"/>
      <c r="G28148"/>
      <c r="H28148"/>
      <c r="I28148"/>
    </row>
    <row r="28149" spans="6:9" x14ac:dyDescent="0.3">
      <c r="F28149"/>
      <c r="G28149"/>
      <c r="H28149"/>
      <c r="I28149"/>
    </row>
    <row r="28150" spans="6:9" x14ac:dyDescent="0.3">
      <c r="F28150"/>
      <c r="G28150"/>
      <c r="H28150"/>
      <c r="I28150"/>
    </row>
    <row r="28151" spans="6:9" x14ac:dyDescent="0.3">
      <c r="F28151"/>
      <c r="G28151"/>
      <c r="H28151"/>
      <c r="I28151"/>
    </row>
    <row r="28152" spans="6:9" x14ac:dyDescent="0.3">
      <c r="F28152"/>
      <c r="G28152"/>
      <c r="H28152"/>
      <c r="I28152"/>
    </row>
    <row r="28153" spans="6:9" x14ac:dyDescent="0.3">
      <c r="F28153"/>
      <c r="G28153"/>
      <c r="H28153"/>
      <c r="I28153"/>
    </row>
    <row r="28154" spans="6:9" x14ac:dyDescent="0.3">
      <c r="F28154"/>
      <c r="G28154"/>
      <c r="H28154"/>
      <c r="I28154"/>
    </row>
    <row r="28155" spans="6:9" x14ac:dyDescent="0.3">
      <c r="F28155"/>
      <c r="G28155"/>
      <c r="H28155"/>
      <c r="I28155"/>
    </row>
    <row r="28156" spans="6:9" x14ac:dyDescent="0.3">
      <c r="F28156"/>
      <c r="G28156"/>
      <c r="H28156"/>
      <c r="I28156"/>
    </row>
    <row r="28157" spans="6:9" x14ac:dyDescent="0.3">
      <c r="F28157"/>
      <c r="G28157"/>
      <c r="H28157"/>
      <c r="I28157"/>
    </row>
    <row r="28158" spans="6:9" x14ac:dyDescent="0.3">
      <c r="F28158"/>
      <c r="G28158"/>
      <c r="H28158"/>
      <c r="I28158"/>
    </row>
    <row r="28159" spans="6:9" x14ac:dyDescent="0.3">
      <c r="F28159"/>
      <c r="G28159"/>
      <c r="H28159"/>
      <c r="I28159"/>
    </row>
    <row r="28160" spans="6:9" x14ac:dyDescent="0.3">
      <c r="F28160"/>
      <c r="G28160"/>
      <c r="H28160"/>
      <c r="I28160"/>
    </row>
    <row r="28161" spans="6:9" x14ac:dyDescent="0.3">
      <c r="F28161"/>
      <c r="G28161"/>
      <c r="H28161"/>
      <c r="I28161"/>
    </row>
    <row r="28162" spans="6:9" x14ac:dyDescent="0.3">
      <c r="F28162"/>
      <c r="G28162"/>
      <c r="H28162"/>
      <c r="I28162"/>
    </row>
    <row r="28163" spans="6:9" x14ac:dyDescent="0.3">
      <c r="F28163"/>
      <c r="G28163"/>
      <c r="H28163"/>
      <c r="I28163"/>
    </row>
    <row r="28164" spans="6:9" x14ac:dyDescent="0.3">
      <c r="F28164"/>
      <c r="G28164"/>
      <c r="H28164"/>
      <c r="I28164"/>
    </row>
    <row r="28165" spans="6:9" x14ac:dyDescent="0.3">
      <c r="F28165"/>
      <c r="G28165"/>
      <c r="H28165"/>
      <c r="I28165"/>
    </row>
    <row r="28166" spans="6:9" x14ac:dyDescent="0.3">
      <c r="F28166"/>
      <c r="G28166"/>
      <c r="H28166"/>
      <c r="I28166"/>
    </row>
    <row r="28167" spans="6:9" x14ac:dyDescent="0.3">
      <c r="F28167"/>
      <c r="G28167"/>
      <c r="H28167"/>
      <c r="I28167"/>
    </row>
    <row r="28168" spans="6:9" x14ac:dyDescent="0.3">
      <c r="F28168"/>
      <c r="G28168"/>
      <c r="H28168"/>
      <c r="I28168"/>
    </row>
    <row r="28169" spans="6:9" x14ac:dyDescent="0.3">
      <c r="F28169"/>
      <c r="G28169"/>
      <c r="H28169"/>
      <c r="I28169"/>
    </row>
    <row r="28170" spans="6:9" x14ac:dyDescent="0.3">
      <c r="F28170"/>
      <c r="G28170"/>
      <c r="H28170"/>
      <c r="I28170"/>
    </row>
    <row r="28171" spans="6:9" x14ac:dyDescent="0.3">
      <c r="F28171"/>
      <c r="G28171"/>
      <c r="H28171"/>
      <c r="I28171"/>
    </row>
    <row r="28172" spans="6:9" x14ac:dyDescent="0.3">
      <c r="F28172"/>
      <c r="G28172"/>
      <c r="H28172"/>
      <c r="I28172"/>
    </row>
    <row r="28173" spans="6:9" x14ac:dyDescent="0.3">
      <c r="F28173"/>
      <c r="G28173"/>
      <c r="H28173"/>
      <c r="I28173"/>
    </row>
    <row r="28174" spans="6:9" x14ac:dyDescent="0.3">
      <c r="F28174"/>
      <c r="G28174"/>
      <c r="H28174"/>
      <c r="I28174"/>
    </row>
    <row r="28175" spans="6:9" x14ac:dyDescent="0.3">
      <c r="F28175"/>
      <c r="G28175"/>
      <c r="H28175"/>
      <c r="I28175"/>
    </row>
    <row r="28176" spans="6:9" x14ac:dyDescent="0.3">
      <c r="F28176"/>
      <c r="G28176"/>
      <c r="H28176"/>
      <c r="I28176"/>
    </row>
    <row r="28177" spans="6:9" x14ac:dyDescent="0.3">
      <c r="F28177"/>
      <c r="G28177"/>
      <c r="H28177"/>
      <c r="I28177"/>
    </row>
    <row r="28178" spans="6:9" x14ac:dyDescent="0.3">
      <c r="F28178"/>
      <c r="G28178"/>
      <c r="H28178"/>
      <c r="I28178"/>
    </row>
    <row r="28179" spans="6:9" x14ac:dyDescent="0.3">
      <c r="F28179"/>
      <c r="G28179"/>
      <c r="H28179"/>
      <c r="I28179"/>
    </row>
    <row r="28180" spans="6:9" x14ac:dyDescent="0.3">
      <c r="F28180"/>
      <c r="G28180"/>
      <c r="H28180"/>
      <c r="I28180"/>
    </row>
    <row r="28181" spans="6:9" x14ac:dyDescent="0.3">
      <c r="F28181"/>
      <c r="G28181"/>
      <c r="H28181"/>
      <c r="I28181"/>
    </row>
    <row r="28182" spans="6:9" x14ac:dyDescent="0.3">
      <c r="F28182"/>
      <c r="G28182"/>
      <c r="H28182"/>
      <c r="I28182"/>
    </row>
    <row r="28183" spans="6:9" x14ac:dyDescent="0.3">
      <c r="F28183"/>
      <c r="G28183"/>
      <c r="H28183"/>
      <c r="I28183"/>
    </row>
    <row r="28184" spans="6:9" x14ac:dyDescent="0.3">
      <c r="F28184"/>
      <c r="G28184"/>
      <c r="H28184"/>
      <c r="I28184"/>
    </row>
    <row r="28185" spans="6:9" x14ac:dyDescent="0.3">
      <c r="F28185"/>
      <c r="G28185"/>
      <c r="H28185"/>
      <c r="I28185"/>
    </row>
    <row r="28186" spans="6:9" x14ac:dyDescent="0.3">
      <c r="F28186"/>
      <c r="G28186"/>
      <c r="H28186"/>
      <c r="I28186"/>
    </row>
    <row r="28187" spans="6:9" x14ac:dyDescent="0.3">
      <c r="F28187"/>
      <c r="G28187"/>
      <c r="H28187"/>
      <c r="I28187"/>
    </row>
    <row r="28188" spans="6:9" x14ac:dyDescent="0.3">
      <c r="F28188"/>
      <c r="G28188"/>
      <c r="H28188"/>
      <c r="I28188"/>
    </row>
    <row r="28189" spans="6:9" x14ac:dyDescent="0.3">
      <c r="F28189"/>
      <c r="G28189"/>
      <c r="H28189"/>
      <c r="I28189"/>
    </row>
    <row r="28190" spans="6:9" x14ac:dyDescent="0.3">
      <c r="F28190"/>
      <c r="G28190"/>
      <c r="H28190"/>
      <c r="I28190"/>
    </row>
    <row r="28191" spans="6:9" x14ac:dyDescent="0.3">
      <c r="F28191"/>
      <c r="G28191"/>
      <c r="H28191"/>
      <c r="I28191"/>
    </row>
    <row r="28192" spans="6:9" x14ac:dyDescent="0.3">
      <c r="F28192"/>
      <c r="G28192"/>
      <c r="H28192"/>
      <c r="I28192"/>
    </row>
    <row r="28193" spans="6:9" x14ac:dyDescent="0.3">
      <c r="F28193"/>
      <c r="G28193"/>
      <c r="H28193"/>
      <c r="I28193"/>
    </row>
    <row r="28194" spans="6:9" x14ac:dyDescent="0.3">
      <c r="F28194"/>
      <c r="G28194"/>
      <c r="H28194"/>
      <c r="I28194"/>
    </row>
    <row r="28195" spans="6:9" x14ac:dyDescent="0.3">
      <c r="F28195"/>
      <c r="G28195"/>
      <c r="H28195"/>
      <c r="I28195"/>
    </row>
    <row r="28196" spans="6:9" x14ac:dyDescent="0.3">
      <c r="F28196"/>
      <c r="G28196"/>
      <c r="H28196"/>
      <c r="I28196"/>
    </row>
    <row r="28197" spans="6:9" x14ac:dyDescent="0.3">
      <c r="F28197"/>
      <c r="G28197"/>
      <c r="H28197"/>
      <c r="I28197"/>
    </row>
    <row r="28198" spans="6:9" x14ac:dyDescent="0.3">
      <c r="F28198"/>
      <c r="G28198"/>
      <c r="H28198"/>
      <c r="I28198"/>
    </row>
    <row r="28199" spans="6:9" x14ac:dyDescent="0.3">
      <c r="F28199"/>
      <c r="G28199"/>
      <c r="H28199"/>
      <c r="I28199"/>
    </row>
    <row r="28200" spans="6:9" x14ac:dyDescent="0.3">
      <c r="F28200"/>
      <c r="G28200"/>
      <c r="H28200"/>
      <c r="I28200"/>
    </row>
    <row r="28201" spans="6:9" x14ac:dyDescent="0.3">
      <c r="F28201"/>
      <c r="G28201"/>
      <c r="H28201"/>
      <c r="I28201"/>
    </row>
    <row r="28202" spans="6:9" x14ac:dyDescent="0.3">
      <c r="F28202"/>
      <c r="G28202"/>
      <c r="H28202"/>
      <c r="I28202"/>
    </row>
    <row r="28203" spans="6:9" x14ac:dyDescent="0.3">
      <c r="F28203"/>
      <c r="G28203"/>
      <c r="H28203"/>
      <c r="I28203"/>
    </row>
    <row r="28204" spans="6:9" x14ac:dyDescent="0.3">
      <c r="F28204"/>
      <c r="G28204"/>
      <c r="H28204"/>
      <c r="I28204"/>
    </row>
    <row r="28205" spans="6:9" x14ac:dyDescent="0.3">
      <c r="F28205"/>
      <c r="G28205"/>
      <c r="H28205"/>
      <c r="I28205"/>
    </row>
    <row r="28206" spans="6:9" x14ac:dyDescent="0.3">
      <c r="F28206"/>
      <c r="G28206"/>
      <c r="H28206"/>
      <c r="I28206"/>
    </row>
    <row r="28207" spans="6:9" x14ac:dyDescent="0.3">
      <c r="F28207"/>
      <c r="G28207"/>
      <c r="H28207"/>
      <c r="I28207"/>
    </row>
    <row r="28208" spans="6:9" x14ac:dyDescent="0.3">
      <c r="F28208"/>
      <c r="G28208"/>
      <c r="H28208"/>
      <c r="I28208"/>
    </row>
    <row r="28209" spans="6:9" x14ac:dyDescent="0.3">
      <c r="F28209"/>
      <c r="G28209"/>
      <c r="H28209"/>
      <c r="I28209"/>
    </row>
    <row r="28210" spans="6:9" x14ac:dyDescent="0.3">
      <c r="F28210"/>
      <c r="G28210"/>
      <c r="H28210"/>
      <c r="I28210"/>
    </row>
    <row r="28211" spans="6:9" x14ac:dyDescent="0.3">
      <c r="F28211"/>
      <c r="G28211"/>
      <c r="H28211"/>
      <c r="I28211"/>
    </row>
    <row r="28212" spans="6:9" x14ac:dyDescent="0.3">
      <c r="F28212"/>
      <c r="G28212"/>
      <c r="H28212"/>
      <c r="I28212"/>
    </row>
    <row r="28213" spans="6:9" x14ac:dyDescent="0.3">
      <c r="F28213"/>
      <c r="G28213"/>
      <c r="H28213"/>
      <c r="I28213"/>
    </row>
    <row r="28214" spans="6:9" x14ac:dyDescent="0.3">
      <c r="F28214"/>
      <c r="G28214"/>
      <c r="H28214"/>
      <c r="I28214"/>
    </row>
    <row r="28215" spans="6:9" x14ac:dyDescent="0.3">
      <c r="F28215"/>
      <c r="G28215"/>
      <c r="H28215"/>
      <c r="I28215"/>
    </row>
    <row r="28216" spans="6:9" x14ac:dyDescent="0.3">
      <c r="F28216"/>
      <c r="G28216"/>
      <c r="H28216"/>
      <c r="I28216"/>
    </row>
    <row r="28217" spans="6:9" x14ac:dyDescent="0.3">
      <c r="F28217"/>
      <c r="G28217"/>
      <c r="H28217"/>
      <c r="I28217"/>
    </row>
    <row r="28218" spans="6:9" x14ac:dyDescent="0.3">
      <c r="F28218"/>
      <c r="G28218"/>
      <c r="H28218"/>
      <c r="I28218"/>
    </row>
    <row r="28219" spans="6:9" x14ac:dyDescent="0.3">
      <c r="F28219"/>
      <c r="G28219"/>
      <c r="H28219"/>
      <c r="I28219"/>
    </row>
    <row r="28220" spans="6:9" x14ac:dyDescent="0.3">
      <c r="F28220"/>
      <c r="G28220"/>
      <c r="H28220"/>
      <c r="I28220"/>
    </row>
    <row r="28221" spans="6:9" x14ac:dyDescent="0.3">
      <c r="F28221"/>
      <c r="G28221"/>
      <c r="H28221"/>
      <c r="I28221"/>
    </row>
    <row r="28222" spans="6:9" x14ac:dyDescent="0.3">
      <c r="F28222"/>
      <c r="G28222"/>
      <c r="H28222"/>
      <c r="I28222"/>
    </row>
    <row r="28223" spans="6:9" x14ac:dyDescent="0.3">
      <c r="F28223"/>
      <c r="G28223"/>
      <c r="H28223"/>
      <c r="I28223"/>
    </row>
    <row r="28224" spans="6:9" x14ac:dyDescent="0.3">
      <c r="F28224"/>
      <c r="G28224"/>
      <c r="H28224"/>
      <c r="I28224"/>
    </row>
    <row r="28225" spans="6:9" x14ac:dyDescent="0.3">
      <c r="F28225"/>
      <c r="G28225"/>
      <c r="H28225"/>
      <c r="I28225"/>
    </row>
    <row r="28226" spans="6:9" x14ac:dyDescent="0.3">
      <c r="F28226"/>
      <c r="G28226"/>
      <c r="H28226"/>
      <c r="I28226"/>
    </row>
    <row r="28227" spans="6:9" x14ac:dyDescent="0.3">
      <c r="F28227"/>
      <c r="G28227"/>
      <c r="H28227"/>
      <c r="I28227"/>
    </row>
    <row r="28228" spans="6:9" x14ac:dyDescent="0.3">
      <c r="F28228"/>
      <c r="G28228"/>
      <c r="H28228"/>
      <c r="I28228"/>
    </row>
    <row r="28229" spans="6:9" x14ac:dyDescent="0.3">
      <c r="F28229"/>
      <c r="G28229"/>
      <c r="H28229"/>
      <c r="I28229"/>
    </row>
    <row r="28230" spans="6:9" x14ac:dyDescent="0.3">
      <c r="F28230"/>
      <c r="G28230"/>
      <c r="H28230"/>
      <c r="I28230"/>
    </row>
    <row r="28231" spans="6:9" x14ac:dyDescent="0.3">
      <c r="F28231"/>
      <c r="G28231"/>
      <c r="H28231"/>
      <c r="I28231"/>
    </row>
    <row r="28232" spans="6:9" x14ac:dyDescent="0.3">
      <c r="F28232"/>
      <c r="G28232"/>
      <c r="H28232"/>
      <c r="I28232"/>
    </row>
    <row r="28233" spans="6:9" x14ac:dyDescent="0.3">
      <c r="F28233"/>
      <c r="G28233"/>
      <c r="H28233"/>
      <c r="I28233"/>
    </row>
    <row r="28234" spans="6:9" x14ac:dyDescent="0.3">
      <c r="F28234"/>
      <c r="G28234"/>
      <c r="H28234"/>
      <c r="I28234"/>
    </row>
    <row r="28235" spans="6:9" x14ac:dyDescent="0.3">
      <c r="F28235"/>
      <c r="G28235"/>
      <c r="H28235"/>
      <c r="I28235"/>
    </row>
    <row r="28236" spans="6:9" x14ac:dyDescent="0.3">
      <c r="F28236"/>
      <c r="G28236"/>
      <c r="H28236"/>
      <c r="I28236"/>
    </row>
    <row r="28237" spans="6:9" x14ac:dyDescent="0.3">
      <c r="F28237"/>
      <c r="G28237"/>
      <c r="H28237"/>
      <c r="I28237"/>
    </row>
    <row r="28238" spans="6:9" x14ac:dyDescent="0.3">
      <c r="F28238"/>
      <c r="G28238"/>
      <c r="H28238"/>
      <c r="I28238"/>
    </row>
    <row r="28239" spans="6:9" x14ac:dyDescent="0.3">
      <c r="F28239"/>
      <c r="G28239"/>
      <c r="H28239"/>
      <c r="I28239"/>
    </row>
    <row r="28240" spans="6:9" x14ac:dyDescent="0.3">
      <c r="F28240"/>
      <c r="G28240"/>
      <c r="H28240"/>
      <c r="I28240"/>
    </row>
    <row r="28241" spans="6:9" x14ac:dyDescent="0.3">
      <c r="F28241"/>
      <c r="G28241"/>
      <c r="H28241"/>
      <c r="I28241"/>
    </row>
    <row r="28242" spans="6:9" x14ac:dyDescent="0.3">
      <c r="F28242"/>
      <c r="G28242"/>
      <c r="H28242"/>
      <c r="I28242"/>
    </row>
    <row r="28243" spans="6:9" x14ac:dyDescent="0.3">
      <c r="F28243"/>
      <c r="G28243"/>
      <c r="H28243"/>
      <c r="I28243"/>
    </row>
    <row r="28244" spans="6:9" x14ac:dyDescent="0.3">
      <c r="F28244"/>
      <c r="G28244"/>
      <c r="H28244"/>
      <c r="I28244"/>
    </row>
    <row r="28245" spans="6:9" x14ac:dyDescent="0.3">
      <c r="F28245"/>
      <c r="G28245"/>
      <c r="H28245"/>
      <c r="I28245"/>
    </row>
    <row r="28246" spans="6:9" x14ac:dyDescent="0.3">
      <c r="F28246"/>
      <c r="G28246"/>
      <c r="H28246"/>
      <c r="I28246"/>
    </row>
    <row r="28247" spans="6:9" x14ac:dyDescent="0.3">
      <c r="F28247"/>
      <c r="G28247"/>
      <c r="H28247"/>
      <c r="I28247"/>
    </row>
    <row r="28248" spans="6:9" x14ac:dyDescent="0.3">
      <c r="F28248"/>
      <c r="G28248"/>
      <c r="H28248"/>
      <c r="I28248"/>
    </row>
    <row r="28249" spans="6:9" x14ac:dyDescent="0.3">
      <c r="F28249"/>
      <c r="G28249"/>
      <c r="H28249"/>
      <c r="I28249"/>
    </row>
    <row r="28250" spans="6:9" x14ac:dyDescent="0.3">
      <c r="F28250"/>
      <c r="G28250"/>
      <c r="H28250"/>
      <c r="I28250"/>
    </row>
    <row r="28251" spans="6:9" x14ac:dyDescent="0.3">
      <c r="F28251"/>
      <c r="G28251"/>
      <c r="H28251"/>
      <c r="I28251"/>
    </row>
    <row r="28252" spans="6:9" x14ac:dyDescent="0.3">
      <c r="F28252"/>
      <c r="G28252"/>
      <c r="H28252"/>
      <c r="I28252"/>
    </row>
    <row r="28253" spans="6:9" x14ac:dyDescent="0.3">
      <c r="F28253"/>
      <c r="G28253"/>
      <c r="H28253"/>
      <c r="I28253"/>
    </row>
    <row r="28254" spans="6:9" x14ac:dyDescent="0.3">
      <c r="F28254"/>
      <c r="G28254"/>
      <c r="H28254"/>
      <c r="I28254"/>
    </row>
    <row r="28255" spans="6:9" x14ac:dyDescent="0.3">
      <c r="F28255"/>
      <c r="G28255"/>
      <c r="H28255"/>
      <c r="I28255"/>
    </row>
    <row r="28256" spans="6:9" x14ac:dyDescent="0.3">
      <c r="F28256"/>
      <c r="G28256"/>
      <c r="H28256"/>
      <c r="I28256"/>
    </row>
    <row r="28257" spans="6:9" x14ac:dyDescent="0.3">
      <c r="F28257"/>
      <c r="G28257"/>
      <c r="H28257"/>
      <c r="I28257"/>
    </row>
    <row r="28258" spans="6:9" x14ac:dyDescent="0.3">
      <c r="F28258"/>
      <c r="G28258"/>
      <c r="H28258"/>
      <c r="I28258"/>
    </row>
    <row r="28259" spans="6:9" x14ac:dyDescent="0.3">
      <c r="F28259"/>
      <c r="G28259"/>
      <c r="H28259"/>
      <c r="I28259"/>
    </row>
    <row r="28260" spans="6:9" x14ac:dyDescent="0.3">
      <c r="F28260"/>
      <c r="G28260"/>
      <c r="H28260"/>
      <c r="I28260"/>
    </row>
    <row r="28261" spans="6:9" x14ac:dyDescent="0.3">
      <c r="F28261"/>
      <c r="G28261"/>
      <c r="H28261"/>
      <c r="I28261"/>
    </row>
    <row r="28262" spans="6:9" x14ac:dyDescent="0.3">
      <c r="F28262"/>
      <c r="G28262"/>
      <c r="H28262"/>
      <c r="I28262"/>
    </row>
    <row r="28263" spans="6:9" x14ac:dyDescent="0.3">
      <c r="F28263"/>
      <c r="G28263"/>
      <c r="H28263"/>
      <c r="I28263"/>
    </row>
    <row r="28264" spans="6:9" x14ac:dyDescent="0.3">
      <c r="F28264"/>
      <c r="G28264"/>
      <c r="H28264"/>
      <c r="I28264"/>
    </row>
    <row r="28265" spans="6:9" x14ac:dyDescent="0.3">
      <c r="F28265"/>
      <c r="G28265"/>
      <c r="H28265"/>
      <c r="I28265"/>
    </row>
    <row r="28266" spans="6:9" x14ac:dyDescent="0.3">
      <c r="F28266"/>
      <c r="G28266"/>
      <c r="H28266"/>
      <c r="I28266"/>
    </row>
    <row r="28267" spans="6:9" x14ac:dyDescent="0.3">
      <c r="F28267"/>
      <c r="G28267"/>
      <c r="H28267"/>
      <c r="I28267"/>
    </row>
    <row r="28268" spans="6:9" x14ac:dyDescent="0.3">
      <c r="F28268"/>
      <c r="G28268"/>
      <c r="H28268"/>
      <c r="I28268"/>
    </row>
    <row r="28269" spans="6:9" x14ac:dyDescent="0.3">
      <c r="F28269"/>
      <c r="G28269"/>
      <c r="H28269"/>
      <c r="I28269"/>
    </row>
    <row r="28270" spans="6:9" x14ac:dyDescent="0.3">
      <c r="F28270"/>
      <c r="G28270"/>
      <c r="H28270"/>
      <c r="I28270"/>
    </row>
    <row r="28271" spans="6:9" x14ac:dyDescent="0.3">
      <c r="F28271"/>
      <c r="G28271"/>
      <c r="H28271"/>
      <c r="I28271"/>
    </row>
    <row r="28272" spans="6:9" x14ac:dyDescent="0.3">
      <c r="F28272"/>
      <c r="G28272"/>
      <c r="H28272"/>
      <c r="I28272"/>
    </row>
    <row r="28273" spans="6:9" x14ac:dyDescent="0.3">
      <c r="F28273"/>
      <c r="G28273"/>
      <c r="H28273"/>
      <c r="I28273"/>
    </row>
    <row r="28274" spans="6:9" x14ac:dyDescent="0.3">
      <c r="F28274"/>
      <c r="G28274"/>
      <c r="H28274"/>
      <c r="I28274"/>
    </row>
    <row r="28275" spans="6:9" x14ac:dyDescent="0.3">
      <c r="F28275"/>
      <c r="G28275"/>
      <c r="H28275"/>
      <c r="I28275"/>
    </row>
    <row r="28276" spans="6:9" x14ac:dyDescent="0.3">
      <c r="F28276"/>
      <c r="G28276"/>
      <c r="H28276"/>
      <c r="I28276"/>
    </row>
    <row r="28277" spans="6:9" x14ac:dyDescent="0.3">
      <c r="F28277"/>
      <c r="G28277"/>
      <c r="H28277"/>
      <c r="I28277"/>
    </row>
    <row r="28278" spans="6:9" x14ac:dyDescent="0.3">
      <c r="F28278"/>
      <c r="G28278"/>
      <c r="H28278"/>
      <c r="I28278"/>
    </row>
    <row r="28279" spans="6:9" x14ac:dyDescent="0.3">
      <c r="F28279"/>
      <c r="G28279"/>
      <c r="H28279"/>
      <c r="I28279"/>
    </row>
    <row r="28280" spans="6:9" x14ac:dyDescent="0.3">
      <c r="F28280"/>
      <c r="G28280"/>
      <c r="H28280"/>
      <c r="I28280"/>
    </row>
    <row r="28281" spans="6:9" x14ac:dyDescent="0.3">
      <c r="F28281"/>
      <c r="G28281"/>
      <c r="H28281"/>
      <c r="I28281"/>
    </row>
    <row r="28282" spans="6:9" x14ac:dyDescent="0.3">
      <c r="F28282"/>
      <c r="G28282"/>
      <c r="H28282"/>
      <c r="I28282"/>
    </row>
    <row r="28283" spans="6:9" x14ac:dyDescent="0.3">
      <c r="F28283"/>
      <c r="G28283"/>
      <c r="H28283"/>
      <c r="I28283"/>
    </row>
    <row r="28284" spans="6:9" x14ac:dyDescent="0.3">
      <c r="F28284"/>
      <c r="G28284"/>
      <c r="H28284"/>
      <c r="I28284"/>
    </row>
    <row r="28285" spans="6:9" x14ac:dyDescent="0.3">
      <c r="F28285"/>
      <c r="G28285"/>
      <c r="H28285"/>
      <c r="I28285"/>
    </row>
    <row r="28286" spans="6:9" x14ac:dyDescent="0.3">
      <c r="F28286"/>
      <c r="G28286"/>
      <c r="H28286"/>
      <c r="I28286"/>
    </row>
    <row r="28287" spans="6:9" x14ac:dyDescent="0.3">
      <c r="F28287"/>
      <c r="G28287"/>
      <c r="H28287"/>
      <c r="I28287"/>
    </row>
    <row r="28288" spans="6:9" x14ac:dyDescent="0.3">
      <c r="F28288"/>
      <c r="G28288"/>
      <c r="H28288"/>
      <c r="I28288"/>
    </row>
    <row r="28289" spans="6:9" x14ac:dyDescent="0.3">
      <c r="F28289"/>
      <c r="G28289"/>
      <c r="H28289"/>
      <c r="I28289"/>
    </row>
    <row r="28290" spans="6:9" x14ac:dyDescent="0.3">
      <c r="F28290"/>
      <c r="G28290"/>
      <c r="H28290"/>
      <c r="I28290"/>
    </row>
    <row r="28291" spans="6:9" x14ac:dyDescent="0.3">
      <c r="F28291"/>
      <c r="G28291"/>
      <c r="H28291"/>
      <c r="I28291"/>
    </row>
    <row r="28292" spans="6:9" x14ac:dyDescent="0.3">
      <c r="F28292"/>
      <c r="G28292"/>
      <c r="H28292"/>
      <c r="I28292"/>
    </row>
    <row r="28293" spans="6:9" x14ac:dyDescent="0.3">
      <c r="F28293"/>
      <c r="G28293"/>
      <c r="H28293"/>
      <c r="I28293"/>
    </row>
    <row r="28294" spans="6:9" x14ac:dyDescent="0.3">
      <c r="F28294"/>
      <c r="G28294"/>
      <c r="H28294"/>
      <c r="I28294"/>
    </row>
    <row r="28295" spans="6:9" x14ac:dyDescent="0.3">
      <c r="F28295"/>
      <c r="G28295"/>
      <c r="H28295"/>
      <c r="I28295"/>
    </row>
    <row r="28296" spans="6:9" x14ac:dyDescent="0.3">
      <c r="F28296"/>
      <c r="G28296"/>
      <c r="H28296"/>
      <c r="I28296"/>
    </row>
    <row r="28297" spans="6:9" x14ac:dyDescent="0.3">
      <c r="F28297"/>
      <c r="G28297"/>
      <c r="H28297"/>
      <c r="I28297"/>
    </row>
    <row r="28298" spans="6:9" x14ac:dyDescent="0.3">
      <c r="F28298"/>
      <c r="G28298"/>
      <c r="H28298"/>
      <c r="I28298"/>
    </row>
    <row r="28299" spans="6:9" x14ac:dyDescent="0.3">
      <c r="F28299"/>
      <c r="G28299"/>
      <c r="H28299"/>
      <c r="I28299"/>
    </row>
    <row r="28300" spans="6:9" x14ac:dyDescent="0.3">
      <c r="F28300"/>
      <c r="G28300"/>
      <c r="H28300"/>
      <c r="I28300"/>
    </row>
    <row r="28301" spans="6:9" x14ac:dyDescent="0.3">
      <c r="F28301"/>
      <c r="G28301"/>
      <c r="H28301"/>
      <c r="I28301"/>
    </row>
    <row r="28302" spans="6:9" x14ac:dyDescent="0.3">
      <c r="F28302"/>
      <c r="G28302"/>
      <c r="H28302"/>
      <c r="I28302"/>
    </row>
    <row r="28303" spans="6:9" x14ac:dyDescent="0.3">
      <c r="F28303"/>
      <c r="G28303"/>
      <c r="H28303"/>
      <c r="I28303"/>
    </row>
    <row r="28304" spans="6:9" x14ac:dyDescent="0.3">
      <c r="F28304"/>
      <c r="G28304"/>
      <c r="H28304"/>
      <c r="I28304"/>
    </row>
    <row r="28305" spans="6:9" x14ac:dyDescent="0.3">
      <c r="F28305"/>
      <c r="G28305"/>
      <c r="H28305"/>
      <c r="I28305"/>
    </row>
    <row r="28306" spans="6:9" x14ac:dyDescent="0.3">
      <c r="F28306"/>
      <c r="G28306"/>
      <c r="H28306"/>
      <c r="I28306"/>
    </row>
    <row r="28307" spans="6:9" x14ac:dyDescent="0.3">
      <c r="F28307"/>
      <c r="G28307"/>
      <c r="H28307"/>
      <c r="I28307"/>
    </row>
    <row r="28308" spans="6:9" x14ac:dyDescent="0.3">
      <c r="F28308"/>
      <c r="G28308"/>
      <c r="H28308"/>
      <c r="I28308"/>
    </row>
    <row r="28309" spans="6:9" x14ac:dyDescent="0.3">
      <c r="F28309"/>
      <c r="G28309"/>
      <c r="H28309"/>
      <c r="I28309"/>
    </row>
    <row r="28310" spans="6:9" x14ac:dyDescent="0.3">
      <c r="F28310"/>
      <c r="G28310"/>
      <c r="H28310"/>
      <c r="I28310"/>
    </row>
    <row r="28311" spans="6:9" x14ac:dyDescent="0.3">
      <c r="F28311"/>
      <c r="G28311"/>
      <c r="H28311"/>
      <c r="I28311"/>
    </row>
    <row r="28312" spans="6:9" x14ac:dyDescent="0.3">
      <c r="F28312"/>
      <c r="G28312"/>
      <c r="H28312"/>
      <c r="I28312"/>
    </row>
    <row r="28313" spans="6:9" x14ac:dyDescent="0.3">
      <c r="F28313"/>
      <c r="G28313"/>
      <c r="H28313"/>
      <c r="I28313"/>
    </row>
    <row r="28314" spans="6:9" x14ac:dyDescent="0.3">
      <c r="F28314"/>
      <c r="G28314"/>
      <c r="H28314"/>
      <c r="I28314"/>
    </row>
    <row r="28315" spans="6:9" x14ac:dyDescent="0.3">
      <c r="F28315"/>
      <c r="G28315"/>
      <c r="H28315"/>
      <c r="I28315"/>
    </row>
    <row r="28316" spans="6:9" x14ac:dyDescent="0.3">
      <c r="F28316"/>
      <c r="G28316"/>
      <c r="H28316"/>
      <c r="I28316"/>
    </row>
    <row r="28317" spans="6:9" x14ac:dyDescent="0.3">
      <c r="F28317"/>
      <c r="G28317"/>
      <c r="H28317"/>
      <c r="I28317"/>
    </row>
    <row r="28318" spans="6:9" x14ac:dyDescent="0.3">
      <c r="F28318"/>
      <c r="G28318"/>
      <c r="H28318"/>
      <c r="I28318"/>
    </row>
    <row r="28319" spans="6:9" x14ac:dyDescent="0.3">
      <c r="F28319"/>
      <c r="G28319"/>
      <c r="H28319"/>
      <c r="I28319"/>
    </row>
    <row r="28320" spans="6:9" x14ac:dyDescent="0.3">
      <c r="F28320"/>
      <c r="G28320"/>
      <c r="H28320"/>
      <c r="I28320"/>
    </row>
    <row r="28321" spans="6:9" x14ac:dyDescent="0.3">
      <c r="F28321"/>
      <c r="G28321"/>
      <c r="H28321"/>
      <c r="I28321"/>
    </row>
    <row r="28322" spans="6:9" x14ac:dyDescent="0.3">
      <c r="F28322"/>
      <c r="G28322"/>
      <c r="H28322"/>
      <c r="I28322"/>
    </row>
    <row r="28323" spans="6:9" x14ac:dyDescent="0.3">
      <c r="F28323"/>
      <c r="G28323"/>
      <c r="H28323"/>
      <c r="I28323"/>
    </row>
    <row r="28324" spans="6:9" x14ac:dyDescent="0.3">
      <c r="F28324"/>
      <c r="G28324"/>
      <c r="H28324"/>
      <c r="I28324"/>
    </row>
    <row r="28325" spans="6:9" x14ac:dyDescent="0.3">
      <c r="F28325"/>
      <c r="G28325"/>
      <c r="H28325"/>
      <c r="I28325"/>
    </row>
    <row r="28326" spans="6:9" x14ac:dyDescent="0.3">
      <c r="F28326"/>
      <c r="G28326"/>
      <c r="H28326"/>
      <c r="I28326"/>
    </row>
    <row r="28327" spans="6:9" x14ac:dyDescent="0.3">
      <c r="F28327"/>
      <c r="G28327"/>
      <c r="H28327"/>
      <c r="I28327"/>
    </row>
    <row r="28328" spans="6:9" x14ac:dyDescent="0.3">
      <c r="F28328"/>
      <c r="G28328"/>
      <c r="H28328"/>
      <c r="I28328"/>
    </row>
    <row r="28329" spans="6:9" x14ac:dyDescent="0.3">
      <c r="F28329"/>
      <c r="G28329"/>
      <c r="H28329"/>
      <c r="I28329"/>
    </row>
    <row r="28330" spans="6:9" x14ac:dyDescent="0.3">
      <c r="F28330"/>
      <c r="G28330"/>
      <c r="H28330"/>
      <c r="I28330"/>
    </row>
    <row r="28331" spans="6:9" x14ac:dyDescent="0.3">
      <c r="F28331"/>
      <c r="G28331"/>
      <c r="H28331"/>
      <c r="I28331"/>
    </row>
    <row r="28332" spans="6:9" x14ac:dyDescent="0.3">
      <c r="F28332"/>
      <c r="G28332"/>
      <c r="H28332"/>
      <c r="I28332"/>
    </row>
    <row r="28333" spans="6:9" x14ac:dyDescent="0.3">
      <c r="F28333"/>
      <c r="G28333"/>
      <c r="H28333"/>
      <c r="I28333"/>
    </row>
    <row r="28334" spans="6:9" x14ac:dyDescent="0.3">
      <c r="F28334"/>
      <c r="G28334"/>
      <c r="H28334"/>
      <c r="I28334"/>
    </row>
    <row r="28335" spans="6:9" x14ac:dyDescent="0.3">
      <c r="F28335"/>
      <c r="G28335"/>
      <c r="H28335"/>
      <c r="I28335"/>
    </row>
    <row r="28336" spans="6:9" x14ac:dyDescent="0.3">
      <c r="F28336"/>
      <c r="G28336"/>
      <c r="H28336"/>
      <c r="I28336"/>
    </row>
    <row r="28337" spans="6:9" x14ac:dyDescent="0.3">
      <c r="F28337"/>
      <c r="G28337"/>
      <c r="H28337"/>
      <c r="I28337"/>
    </row>
    <row r="28338" spans="6:9" x14ac:dyDescent="0.3">
      <c r="F28338"/>
      <c r="G28338"/>
      <c r="H28338"/>
      <c r="I28338"/>
    </row>
    <row r="28339" spans="6:9" x14ac:dyDescent="0.3">
      <c r="F28339"/>
      <c r="G28339"/>
      <c r="H28339"/>
      <c r="I28339"/>
    </row>
    <row r="28340" spans="6:9" x14ac:dyDescent="0.3">
      <c r="F28340"/>
      <c r="G28340"/>
      <c r="H28340"/>
      <c r="I28340"/>
    </row>
    <row r="28341" spans="6:9" x14ac:dyDescent="0.3">
      <c r="F28341"/>
      <c r="G28341"/>
      <c r="H28341"/>
      <c r="I28341"/>
    </row>
    <row r="28342" spans="6:9" x14ac:dyDescent="0.3">
      <c r="F28342"/>
      <c r="G28342"/>
      <c r="H28342"/>
      <c r="I28342"/>
    </row>
    <row r="28343" spans="6:9" x14ac:dyDescent="0.3">
      <c r="F28343"/>
      <c r="G28343"/>
      <c r="H28343"/>
      <c r="I28343"/>
    </row>
    <row r="28344" spans="6:9" x14ac:dyDescent="0.3">
      <c r="F28344"/>
      <c r="G28344"/>
      <c r="H28344"/>
      <c r="I28344"/>
    </row>
    <row r="28345" spans="6:9" x14ac:dyDescent="0.3">
      <c r="F28345"/>
      <c r="G28345"/>
      <c r="H28345"/>
      <c r="I28345"/>
    </row>
    <row r="28346" spans="6:9" x14ac:dyDescent="0.3">
      <c r="F28346"/>
      <c r="G28346"/>
      <c r="H28346"/>
      <c r="I28346"/>
    </row>
    <row r="28347" spans="6:9" x14ac:dyDescent="0.3">
      <c r="F28347"/>
      <c r="G28347"/>
      <c r="H28347"/>
      <c r="I28347"/>
    </row>
    <row r="28348" spans="6:9" x14ac:dyDescent="0.3">
      <c r="F28348"/>
      <c r="G28348"/>
      <c r="H28348"/>
      <c r="I28348"/>
    </row>
    <row r="28349" spans="6:9" x14ac:dyDescent="0.3">
      <c r="F28349"/>
      <c r="G28349"/>
      <c r="H28349"/>
      <c r="I28349"/>
    </row>
    <row r="28350" spans="6:9" x14ac:dyDescent="0.3">
      <c r="F28350"/>
      <c r="G28350"/>
      <c r="H28350"/>
      <c r="I28350"/>
    </row>
    <row r="28351" spans="6:9" x14ac:dyDescent="0.3">
      <c r="F28351"/>
      <c r="G28351"/>
      <c r="H28351"/>
      <c r="I28351"/>
    </row>
    <row r="28352" spans="6:9" x14ac:dyDescent="0.3">
      <c r="F28352"/>
      <c r="G28352"/>
      <c r="H28352"/>
      <c r="I28352"/>
    </row>
    <row r="28353" spans="6:9" x14ac:dyDescent="0.3">
      <c r="F28353"/>
      <c r="G28353"/>
      <c r="H28353"/>
      <c r="I28353"/>
    </row>
    <row r="28354" spans="6:9" x14ac:dyDescent="0.3">
      <c r="F28354"/>
      <c r="G28354"/>
      <c r="H28354"/>
      <c r="I28354"/>
    </row>
    <row r="28355" spans="6:9" x14ac:dyDescent="0.3">
      <c r="F28355"/>
      <c r="G28355"/>
      <c r="H28355"/>
      <c r="I28355"/>
    </row>
    <row r="28356" spans="6:9" x14ac:dyDescent="0.3">
      <c r="F28356"/>
      <c r="G28356"/>
      <c r="H28356"/>
      <c r="I28356"/>
    </row>
    <row r="28357" spans="6:9" x14ac:dyDescent="0.3">
      <c r="F28357"/>
      <c r="G28357"/>
      <c r="H28357"/>
      <c r="I28357"/>
    </row>
    <row r="28358" spans="6:9" x14ac:dyDescent="0.3">
      <c r="F28358"/>
      <c r="G28358"/>
      <c r="H28358"/>
      <c r="I28358"/>
    </row>
    <row r="28359" spans="6:9" x14ac:dyDescent="0.3">
      <c r="F28359"/>
      <c r="G28359"/>
      <c r="H28359"/>
      <c r="I28359"/>
    </row>
    <row r="28360" spans="6:9" x14ac:dyDescent="0.3">
      <c r="F28360"/>
      <c r="G28360"/>
      <c r="H28360"/>
      <c r="I28360"/>
    </row>
    <row r="28361" spans="6:9" x14ac:dyDescent="0.3">
      <c r="F28361"/>
      <c r="G28361"/>
      <c r="H28361"/>
      <c r="I28361"/>
    </row>
    <row r="28362" spans="6:9" x14ac:dyDescent="0.3">
      <c r="F28362"/>
      <c r="G28362"/>
      <c r="H28362"/>
      <c r="I28362"/>
    </row>
    <row r="28363" spans="6:9" x14ac:dyDescent="0.3">
      <c r="F28363"/>
      <c r="G28363"/>
      <c r="H28363"/>
      <c r="I28363"/>
    </row>
    <row r="28364" spans="6:9" x14ac:dyDescent="0.3">
      <c r="F28364"/>
      <c r="G28364"/>
      <c r="H28364"/>
      <c r="I28364"/>
    </row>
    <row r="28365" spans="6:9" x14ac:dyDescent="0.3">
      <c r="F28365"/>
      <c r="G28365"/>
      <c r="H28365"/>
      <c r="I28365"/>
    </row>
    <row r="28366" spans="6:9" x14ac:dyDescent="0.3">
      <c r="F28366"/>
      <c r="G28366"/>
      <c r="H28366"/>
      <c r="I28366"/>
    </row>
    <row r="28367" spans="6:9" x14ac:dyDescent="0.3">
      <c r="F28367"/>
      <c r="G28367"/>
      <c r="H28367"/>
      <c r="I28367"/>
    </row>
    <row r="28368" spans="6:9" x14ac:dyDescent="0.3">
      <c r="F28368"/>
      <c r="G28368"/>
      <c r="H28368"/>
      <c r="I28368"/>
    </row>
    <row r="28369" spans="6:9" x14ac:dyDescent="0.3">
      <c r="F28369"/>
      <c r="G28369"/>
      <c r="H28369"/>
      <c r="I28369"/>
    </row>
    <row r="28370" spans="6:9" x14ac:dyDescent="0.3">
      <c r="F28370"/>
      <c r="G28370"/>
      <c r="H28370"/>
      <c r="I28370"/>
    </row>
    <row r="28371" spans="6:9" x14ac:dyDescent="0.3">
      <c r="F28371"/>
      <c r="G28371"/>
      <c r="H28371"/>
      <c r="I28371"/>
    </row>
    <row r="28372" spans="6:9" x14ac:dyDescent="0.3">
      <c r="F28372"/>
      <c r="G28372"/>
      <c r="H28372"/>
      <c r="I28372"/>
    </row>
    <row r="28373" spans="6:9" x14ac:dyDescent="0.3">
      <c r="F28373"/>
      <c r="G28373"/>
      <c r="H28373"/>
      <c r="I28373"/>
    </row>
    <row r="28374" spans="6:9" x14ac:dyDescent="0.3">
      <c r="F28374"/>
      <c r="G28374"/>
      <c r="H28374"/>
      <c r="I28374"/>
    </row>
    <row r="28375" spans="6:9" x14ac:dyDescent="0.3">
      <c r="F28375"/>
      <c r="G28375"/>
      <c r="H28375"/>
      <c r="I28375"/>
    </row>
    <row r="28376" spans="6:9" x14ac:dyDescent="0.3">
      <c r="F28376"/>
      <c r="G28376"/>
      <c r="H28376"/>
      <c r="I28376"/>
    </row>
    <row r="28377" spans="6:9" x14ac:dyDescent="0.3">
      <c r="F28377"/>
      <c r="G28377"/>
      <c r="H28377"/>
      <c r="I28377"/>
    </row>
    <row r="28378" spans="6:9" x14ac:dyDescent="0.3">
      <c r="F28378"/>
      <c r="G28378"/>
      <c r="H28378"/>
      <c r="I28378"/>
    </row>
    <row r="28379" spans="6:9" x14ac:dyDescent="0.3">
      <c r="F28379"/>
      <c r="G28379"/>
      <c r="H28379"/>
      <c r="I28379"/>
    </row>
    <row r="28380" spans="6:9" x14ac:dyDescent="0.3">
      <c r="F28380"/>
      <c r="G28380"/>
      <c r="H28380"/>
      <c r="I28380"/>
    </row>
    <row r="28381" spans="6:9" x14ac:dyDescent="0.3">
      <c r="F28381"/>
      <c r="G28381"/>
      <c r="H28381"/>
      <c r="I28381"/>
    </row>
    <row r="28382" spans="6:9" x14ac:dyDescent="0.3">
      <c r="F28382"/>
      <c r="G28382"/>
      <c r="H28382"/>
      <c r="I28382"/>
    </row>
    <row r="28383" spans="6:9" x14ac:dyDescent="0.3">
      <c r="F28383"/>
      <c r="G28383"/>
      <c r="H28383"/>
      <c r="I28383"/>
    </row>
    <row r="28384" spans="6:9" x14ac:dyDescent="0.3">
      <c r="F28384"/>
      <c r="G28384"/>
      <c r="H28384"/>
      <c r="I28384"/>
    </row>
    <row r="28385" spans="6:9" x14ac:dyDescent="0.3">
      <c r="F28385"/>
      <c r="G28385"/>
      <c r="H28385"/>
      <c r="I28385"/>
    </row>
    <row r="28386" spans="6:9" x14ac:dyDescent="0.3">
      <c r="F28386"/>
      <c r="G28386"/>
      <c r="H28386"/>
      <c r="I28386"/>
    </row>
    <row r="28387" spans="6:9" x14ac:dyDescent="0.3">
      <c r="F28387"/>
      <c r="G28387"/>
      <c r="H28387"/>
      <c r="I28387"/>
    </row>
    <row r="28388" spans="6:9" x14ac:dyDescent="0.3">
      <c r="F28388"/>
      <c r="G28388"/>
      <c r="H28388"/>
      <c r="I28388"/>
    </row>
    <row r="28389" spans="6:9" x14ac:dyDescent="0.3">
      <c r="F28389"/>
      <c r="G28389"/>
      <c r="H28389"/>
      <c r="I28389"/>
    </row>
    <row r="28390" spans="6:9" x14ac:dyDescent="0.3">
      <c r="F28390"/>
      <c r="G28390"/>
      <c r="H28390"/>
      <c r="I28390"/>
    </row>
    <row r="28391" spans="6:9" x14ac:dyDescent="0.3">
      <c r="F28391"/>
      <c r="G28391"/>
      <c r="H28391"/>
      <c r="I28391"/>
    </row>
    <row r="28392" spans="6:9" x14ac:dyDescent="0.3">
      <c r="F28392"/>
      <c r="G28392"/>
      <c r="H28392"/>
      <c r="I28392"/>
    </row>
    <row r="28393" spans="6:9" x14ac:dyDescent="0.3">
      <c r="F28393"/>
      <c r="G28393"/>
      <c r="H28393"/>
      <c r="I28393"/>
    </row>
    <row r="28394" spans="6:9" x14ac:dyDescent="0.3">
      <c r="F28394"/>
      <c r="G28394"/>
      <c r="H28394"/>
      <c r="I28394"/>
    </row>
    <row r="28395" spans="6:9" x14ac:dyDescent="0.3">
      <c r="F28395"/>
      <c r="G28395"/>
      <c r="H28395"/>
      <c r="I28395"/>
    </row>
    <row r="28396" spans="6:9" x14ac:dyDescent="0.3">
      <c r="F28396"/>
      <c r="G28396"/>
      <c r="H28396"/>
      <c r="I28396"/>
    </row>
    <row r="28397" spans="6:9" x14ac:dyDescent="0.3">
      <c r="F28397"/>
      <c r="G28397"/>
      <c r="H28397"/>
      <c r="I28397"/>
    </row>
    <row r="28398" spans="6:9" x14ac:dyDescent="0.3">
      <c r="F28398"/>
      <c r="G28398"/>
      <c r="H28398"/>
      <c r="I28398"/>
    </row>
    <row r="28399" spans="6:9" x14ac:dyDescent="0.3">
      <c r="F28399"/>
      <c r="G28399"/>
      <c r="H28399"/>
      <c r="I28399"/>
    </row>
    <row r="28400" spans="6:9" x14ac:dyDescent="0.3">
      <c r="F28400"/>
      <c r="G28400"/>
      <c r="H28400"/>
      <c r="I28400"/>
    </row>
    <row r="28401" spans="6:9" x14ac:dyDescent="0.3">
      <c r="F28401"/>
      <c r="G28401"/>
      <c r="H28401"/>
      <c r="I28401"/>
    </row>
    <row r="28402" spans="6:9" x14ac:dyDescent="0.3">
      <c r="F28402"/>
      <c r="G28402"/>
      <c r="H28402"/>
      <c r="I28402"/>
    </row>
    <row r="28403" spans="6:9" x14ac:dyDescent="0.3">
      <c r="F28403"/>
      <c r="G28403"/>
      <c r="H28403"/>
      <c r="I28403"/>
    </row>
    <row r="28404" spans="6:9" x14ac:dyDescent="0.3">
      <c r="F28404"/>
      <c r="G28404"/>
      <c r="H28404"/>
      <c r="I28404"/>
    </row>
    <row r="28405" spans="6:9" x14ac:dyDescent="0.3">
      <c r="F28405"/>
      <c r="G28405"/>
      <c r="H28405"/>
      <c r="I28405"/>
    </row>
    <row r="28406" spans="6:9" x14ac:dyDescent="0.3">
      <c r="F28406"/>
      <c r="G28406"/>
      <c r="H28406"/>
      <c r="I28406"/>
    </row>
    <row r="28407" spans="6:9" x14ac:dyDescent="0.3">
      <c r="F28407"/>
      <c r="G28407"/>
      <c r="H28407"/>
      <c r="I28407"/>
    </row>
    <row r="28408" spans="6:9" x14ac:dyDescent="0.3">
      <c r="F28408"/>
      <c r="G28408"/>
      <c r="H28408"/>
      <c r="I28408"/>
    </row>
    <row r="28409" spans="6:9" x14ac:dyDescent="0.3">
      <c r="F28409"/>
      <c r="G28409"/>
      <c r="H28409"/>
      <c r="I28409"/>
    </row>
    <row r="28410" spans="6:9" x14ac:dyDescent="0.3">
      <c r="F28410"/>
      <c r="G28410"/>
      <c r="H28410"/>
      <c r="I28410"/>
    </row>
    <row r="28411" spans="6:9" x14ac:dyDescent="0.3">
      <c r="F28411"/>
      <c r="G28411"/>
      <c r="H28411"/>
      <c r="I28411"/>
    </row>
    <row r="28412" spans="6:9" x14ac:dyDescent="0.3">
      <c r="F28412"/>
      <c r="G28412"/>
      <c r="H28412"/>
      <c r="I28412"/>
    </row>
    <row r="28413" spans="6:9" x14ac:dyDescent="0.3">
      <c r="F28413"/>
      <c r="G28413"/>
      <c r="H28413"/>
      <c r="I28413"/>
    </row>
    <row r="28414" spans="6:9" x14ac:dyDescent="0.3">
      <c r="F28414"/>
      <c r="G28414"/>
      <c r="H28414"/>
      <c r="I28414"/>
    </row>
    <row r="28415" spans="6:9" x14ac:dyDescent="0.3">
      <c r="F28415"/>
      <c r="G28415"/>
      <c r="H28415"/>
      <c r="I28415"/>
    </row>
    <row r="28416" spans="6:9" x14ac:dyDescent="0.3">
      <c r="F28416"/>
      <c r="G28416"/>
      <c r="H28416"/>
      <c r="I28416"/>
    </row>
    <row r="28417" spans="6:9" x14ac:dyDescent="0.3">
      <c r="F28417"/>
      <c r="G28417"/>
      <c r="H28417"/>
      <c r="I28417"/>
    </row>
    <row r="28418" spans="6:9" x14ac:dyDescent="0.3">
      <c r="F28418"/>
      <c r="G28418"/>
      <c r="H28418"/>
      <c r="I28418"/>
    </row>
    <row r="28419" spans="6:9" x14ac:dyDescent="0.3">
      <c r="F28419"/>
      <c r="G28419"/>
      <c r="H28419"/>
      <c r="I28419"/>
    </row>
    <row r="28420" spans="6:9" x14ac:dyDescent="0.3">
      <c r="F28420"/>
      <c r="G28420"/>
      <c r="H28420"/>
      <c r="I28420"/>
    </row>
    <row r="28421" spans="6:9" x14ac:dyDescent="0.3">
      <c r="F28421"/>
      <c r="G28421"/>
      <c r="H28421"/>
      <c r="I28421"/>
    </row>
    <row r="28422" spans="6:9" x14ac:dyDescent="0.3">
      <c r="F28422"/>
      <c r="G28422"/>
      <c r="H28422"/>
      <c r="I28422"/>
    </row>
    <row r="28423" spans="6:9" x14ac:dyDescent="0.3">
      <c r="F28423"/>
      <c r="G28423"/>
      <c r="H28423"/>
      <c r="I28423"/>
    </row>
    <row r="28424" spans="6:9" x14ac:dyDescent="0.3">
      <c r="F28424"/>
      <c r="G28424"/>
      <c r="H28424"/>
      <c r="I28424"/>
    </row>
    <row r="28425" spans="6:9" x14ac:dyDescent="0.3">
      <c r="F28425"/>
      <c r="G28425"/>
      <c r="H28425"/>
      <c r="I28425"/>
    </row>
    <row r="28426" spans="6:9" x14ac:dyDescent="0.3">
      <c r="F28426"/>
      <c r="G28426"/>
      <c r="H28426"/>
      <c r="I28426"/>
    </row>
    <row r="28427" spans="6:9" x14ac:dyDescent="0.3">
      <c r="F28427"/>
      <c r="G28427"/>
      <c r="H28427"/>
      <c r="I28427"/>
    </row>
    <row r="28428" spans="6:9" x14ac:dyDescent="0.3">
      <c r="F28428"/>
      <c r="G28428"/>
      <c r="H28428"/>
      <c r="I28428"/>
    </row>
    <row r="28429" spans="6:9" x14ac:dyDescent="0.3">
      <c r="F28429"/>
      <c r="G28429"/>
      <c r="H28429"/>
      <c r="I28429"/>
    </row>
    <row r="28430" spans="6:9" x14ac:dyDescent="0.3">
      <c r="F28430"/>
      <c r="G28430"/>
      <c r="H28430"/>
      <c r="I28430"/>
    </row>
    <row r="28431" spans="6:9" x14ac:dyDescent="0.3">
      <c r="F28431"/>
      <c r="G28431"/>
      <c r="H28431"/>
      <c r="I28431"/>
    </row>
    <row r="28432" spans="6:9" x14ac:dyDescent="0.3">
      <c r="F28432"/>
      <c r="G28432"/>
      <c r="H28432"/>
      <c r="I28432"/>
    </row>
    <row r="28433" spans="6:9" x14ac:dyDescent="0.3">
      <c r="F28433"/>
      <c r="G28433"/>
      <c r="H28433"/>
      <c r="I28433"/>
    </row>
    <row r="28434" spans="6:9" x14ac:dyDescent="0.3">
      <c r="F28434"/>
      <c r="G28434"/>
      <c r="H28434"/>
      <c r="I28434"/>
    </row>
    <row r="28435" spans="6:9" x14ac:dyDescent="0.3">
      <c r="F28435"/>
      <c r="G28435"/>
      <c r="H28435"/>
      <c r="I28435"/>
    </row>
    <row r="28436" spans="6:9" x14ac:dyDescent="0.3">
      <c r="F28436"/>
      <c r="G28436"/>
      <c r="H28436"/>
      <c r="I28436"/>
    </row>
    <row r="28437" spans="6:9" x14ac:dyDescent="0.3">
      <c r="F28437"/>
      <c r="G28437"/>
      <c r="H28437"/>
      <c r="I28437"/>
    </row>
    <row r="28438" spans="6:9" x14ac:dyDescent="0.3">
      <c r="F28438"/>
      <c r="G28438"/>
      <c r="H28438"/>
      <c r="I28438"/>
    </row>
    <row r="28439" spans="6:9" x14ac:dyDescent="0.3">
      <c r="F28439"/>
      <c r="G28439"/>
      <c r="H28439"/>
      <c r="I28439"/>
    </row>
    <row r="28440" spans="6:9" x14ac:dyDescent="0.3">
      <c r="F28440"/>
      <c r="G28440"/>
      <c r="H28440"/>
      <c r="I28440"/>
    </row>
    <row r="28441" spans="6:9" x14ac:dyDescent="0.3">
      <c r="F28441"/>
      <c r="G28441"/>
      <c r="H28441"/>
      <c r="I28441"/>
    </row>
    <row r="28442" spans="6:9" x14ac:dyDescent="0.3">
      <c r="F28442"/>
      <c r="G28442"/>
      <c r="H28442"/>
      <c r="I28442"/>
    </row>
    <row r="28443" spans="6:9" x14ac:dyDescent="0.3">
      <c r="F28443"/>
      <c r="G28443"/>
      <c r="H28443"/>
      <c r="I28443"/>
    </row>
    <row r="28444" spans="6:9" x14ac:dyDescent="0.3">
      <c r="F28444"/>
      <c r="G28444"/>
      <c r="H28444"/>
      <c r="I28444"/>
    </row>
    <row r="28445" spans="6:9" x14ac:dyDescent="0.3">
      <c r="F28445"/>
      <c r="G28445"/>
      <c r="H28445"/>
      <c r="I28445"/>
    </row>
    <row r="28446" spans="6:9" x14ac:dyDescent="0.3">
      <c r="F28446"/>
      <c r="G28446"/>
      <c r="H28446"/>
      <c r="I28446"/>
    </row>
    <row r="28447" spans="6:9" x14ac:dyDescent="0.3">
      <c r="F28447"/>
      <c r="G28447"/>
      <c r="H28447"/>
      <c r="I28447"/>
    </row>
    <row r="28448" spans="6:9" x14ac:dyDescent="0.3">
      <c r="F28448"/>
      <c r="G28448"/>
      <c r="H28448"/>
      <c r="I28448"/>
    </row>
    <row r="28449" spans="6:9" x14ac:dyDescent="0.3">
      <c r="F28449"/>
      <c r="G28449"/>
      <c r="H28449"/>
      <c r="I28449"/>
    </row>
    <row r="28450" spans="6:9" x14ac:dyDescent="0.3">
      <c r="F28450"/>
      <c r="G28450"/>
      <c r="H28450"/>
      <c r="I28450"/>
    </row>
    <row r="28451" spans="6:9" x14ac:dyDescent="0.3">
      <c r="F28451"/>
      <c r="G28451"/>
      <c r="H28451"/>
      <c r="I28451"/>
    </row>
    <row r="28452" spans="6:9" x14ac:dyDescent="0.3">
      <c r="F28452"/>
      <c r="G28452"/>
      <c r="H28452"/>
      <c r="I28452"/>
    </row>
    <row r="28453" spans="6:9" x14ac:dyDescent="0.3">
      <c r="F28453"/>
      <c r="G28453"/>
      <c r="H28453"/>
      <c r="I28453"/>
    </row>
    <row r="28454" spans="6:9" x14ac:dyDescent="0.3">
      <c r="F28454"/>
      <c r="G28454"/>
      <c r="H28454"/>
      <c r="I28454"/>
    </row>
    <row r="28455" spans="6:9" x14ac:dyDescent="0.3">
      <c r="F28455"/>
      <c r="G28455"/>
      <c r="H28455"/>
      <c r="I28455"/>
    </row>
    <row r="28456" spans="6:9" x14ac:dyDescent="0.3">
      <c r="F28456"/>
      <c r="G28456"/>
      <c r="H28456"/>
      <c r="I28456"/>
    </row>
    <row r="28457" spans="6:9" x14ac:dyDescent="0.3">
      <c r="F28457"/>
      <c r="G28457"/>
      <c r="H28457"/>
      <c r="I28457"/>
    </row>
    <row r="28458" spans="6:9" x14ac:dyDescent="0.3">
      <c r="F28458"/>
      <c r="G28458"/>
      <c r="H28458"/>
      <c r="I28458"/>
    </row>
    <row r="28459" spans="6:9" x14ac:dyDescent="0.3">
      <c r="F28459"/>
      <c r="G28459"/>
      <c r="H28459"/>
      <c r="I28459"/>
    </row>
    <row r="28460" spans="6:9" x14ac:dyDescent="0.3">
      <c r="F28460"/>
      <c r="G28460"/>
      <c r="H28460"/>
      <c r="I28460"/>
    </row>
    <row r="28461" spans="6:9" x14ac:dyDescent="0.3">
      <c r="F28461"/>
      <c r="G28461"/>
      <c r="H28461"/>
      <c r="I28461"/>
    </row>
    <row r="28462" spans="6:9" x14ac:dyDescent="0.3">
      <c r="F28462"/>
      <c r="G28462"/>
      <c r="H28462"/>
      <c r="I28462"/>
    </row>
    <row r="28463" spans="6:9" x14ac:dyDescent="0.3">
      <c r="F28463"/>
      <c r="G28463"/>
      <c r="H28463"/>
      <c r="I28463"/>
    </row>
    <row r="28464" spans="6:9" x14ac:dyDescent="0.3">
      <c r="F28464"/>
      <c r="G28464"/>
      <c r="H28464"/>
      <c r="I28464"/>
    </row>
    <row r="28465" spans="6:9" x14ac:dyDescent="0.3">
      <c r="F28465"/>
      <c r="G28465"/>
      <c r="H28465"/>
      <c r="I28465"/>
    </row>
    <row r="28466" spans="6:9" x14ac:dyDescent="0.3">
      <c r="F28466"/>
      <c r="G28466"/>
      <c r="H28466"/>
      <c r="I28466"/>
    </row>
    <row r="28467" spans="6:9" x14ac:dyDescent="0.3">
      <c r="F28467"/>
      <c r="G28467"/>
      <c r="H28467"/>
      <c r="I28467"/>
    </row>
    <row r="28468" spans="6:9" x14ac:dyDescent="0.3">
      <c r="F28468"/>
      <c r="G28468"/>
      <c r="H28468"/>
      <c r="I28468"/>
    </row>
    <row r="28469" spans="6:9" x14ac:dyDescent="0.3">
      <c r="F28469"/>
      <c r="G28469"/>
      <c r="H28469"/>
      <c r="I28469"/>
    </row>
    <row r="28470" spans="6:9" x14ac:dyDescent="0.3">
      <c r="F28470"/>
      <c r="G28470"/>
      <c r="H28470"/>
      <c r="I28470"/>
    </row>
    <row r="28471" spans="6:9" x14ac:dyDescent="0.3">
      <c r="F28471"/>
      <c r="G28471"/>
      <c r="H28471"/>
      <c r="I28471"/>
    </row>
    <row r="28472" spans="6:9" x14ac:dyDescent="0.3">
      <c r="F28472"/>
      <c r="G28472"/>
      <c r="H28472"/>
      <c r="I28472"/>
    </row>
    <row r="28473" spans="6:9" x14ac:dyDescent="0.3">
      <c r="F28473"/>
      <c r="G28473"/>
      <c r="H28473"/>
      <c r="I28473"/>
    </row>
    <row r="28474" spans="6:9" x14ac:dyDescent="0.3">
      <c r="F28474"/>
      <c r="G28474"/>
      <c r="H28474"/>
      <c r="I28474"/>
    </row>
    <row r="28475" spans="6:9" x14ac:dyDescent="0.3">
      <c r="F28475"/>
      <c r="G28475"/>
      <c r="H28475"/>
      <c r="I28475"/>
    </row>
    <row r="28476" spans="6:9" x14ac:dyDescent="0.3">
      <c r="F28476"/>
      <c r="G28476"/>
      <c r="H28476"/>
      <c r="I28476"/>
    </row>
    <row r="28477" spans="6:9" x14ac:dyDescent="0.3">
      <c r="F28477"/>
      <c r="G28477"/>
      <c r="H28477"/>
      <c r="I28477"/>
    </row>
    <row r="28478" spans="6:9" x14ac:dyDescent="0.3">
      <c r="F28478"/>
      <c r="G28478"/>
      <c r="H28478"/>
      <c r="I28478"/>
    </row>
    <row r="28479" spans="6:9" x14ac:dyDescent="0.3">
      <c r="F28479"/>
      <c r="G28479"/>
      <c r="H28479"/>
      <c r="I28479"/>
    </row>
    <row r="28480" spans="6:9" x14ac:dyDescent="0.3">
      <c r="F28480"/>
      <c r="G28480"/>
      <c r="H28480"/>
      <c r="I28480"/>
    </row>
    <row r="28481" spans="6:9" x14ac:dyDescent="0.3">
      <c r="F28481"/>
      <c r="G28481"/>
      <c r="H28481"/>
      <c r="I28481"/>
    </row>
    <row r="28482" spans="6:9" x14ac:dyDescent="0.3">
      <c r="F28482"/>
      <c r="G28482"/>
      <c r="H28482"/>
      <c r="I28482"/>
    </row>
    <row r="28483" spans="6:9" x14ac:dyDescent="0.3">
      <c r="F28483"/>
      <c r="G28483"/>
      <c r="H28483"/>
      <c r="I28483"/>
    </row>
    <row r="28484" spans="6:9" x14ac:dyDescent="0.3">
      <c r="F28484"/>
      <c r="G28484"/>
      <c r="H28484"/>
      <c r="I28484"/>
    </row>
    <row r="28485" spans="6:9" x14ac:dyDescent="0.3">
      <c r="F28485"/>
      <c r="G28485"/>
      <c r="H28485"/>
      <c r="I28485"/>
    </row>
    <row r="28486" spans="6:9" x14ac:dyDescent="0.3">
      <c r="F28486"/>
      <c r="G28486"/>
      <c r="H28486"/>
      <c r="I28486"/>
    </row>
    <row r="28487" spans="6:9" x14ac:dyDescent="0.3">
      <c r="F28487"/>
      <c r="G28487"/>
      <c r="H28487"/>
      <c r="I28487"/>
    </row>
    <row r="28488" spans="6:9" x14ac:dyDescent="0.3">
      <c r="F28488"/>
      <c r="G28488"/>
      <c r="H28488"/>
      <c r="I28488"/>
    </row>
    <row r="28489" spans="6:9" x14ac:dyDescent="0.3">
      <c r="F28489"/>
      <c r="G28489"/>
      <c r="H28489"/>
      <c r="I28489"/>
    </row>
    <row r="28490" spans="6:9" x14ac:dyDescent="0.3">
      <c r="F28490"/>
      <c r="G28490"/>
      <c r="H28490"/>
      <c r="I28490"/>
    </row>
    <row r="28491" spans="6:9" x14ac:dyDescent="0.3">
      <c r="F28491"/>
      <c r="G28491"/>
      <c r="H28491"/>
      <c r="I28491"/>
    </row>
    <row r="28492" spans="6:9" x14ac:dyDescent="0.3">
      <c r="F28492"/>
      <c r="G28492"/>
      <c r="H28492"/>
      <c r="I28492"/>
    </row>
    <row r="28493" spans="6:9" x14ac:dyDescent="0.3">
      <c r="F28493"/>
      <c r="G28493"/>
      <c r="H28493"/>
      <c r="I28493"/>
    </row>
    <row r="28494" spans="6:9" x14ac:dyDescent="0.3">
      <c r="F28494"/>
      <c r="G28494"/>
      <c r="H28494"/>
      <c r="I28494"/>
    </row>
    <row r="28495" spans="6:9" x14ac:dyDescent="0.3">
      <c r="F28495"/>
      <c r="G28495"/>
      <c r="H28495"/>
      <c r="I28495"/>
    </row>
    <row r="28496" spans="6:9" x14ac:dyDescent="0.3">
      <c r="F28496"/>
      <c r="G28496"/>
      <c r="H28496"/>
      <c r="I28496"/>
    </row>
    <row r="28497" spans="6:9" x14ac:dyDescent="0.3">
      <c r="F28497"/>
      <c r="G28497"/>
      <c r="H28497"/>
      <c r="I28497"/>
    </row>
    <row r="28498" spans="6:9" x14ac:dyDescent="0.3">
      <c r="F28498"/>
      <c r="G28498"/>
      <c r="H28498"/>
      <c r="I28498"/>
    </row>
    <row r="28499" spans="6:9" x14ac:dyDescent="0.3">
      <c r="F28499"/>
      <c r="G28499"/>
      <c r="H28499"/>
      <c r="I28499"/>
    </row>
    <row r="28500" spans="6:9" x14ac:dyDescent="0.3">
      <c r="F28500"/>
      <c r="G28500"/>
      <c r="H28500"/>
      <c r="I28500"/>
    </row>
    <row r="28501" spans="6:9" x14ac:dyDescent="0.3">
      <c r="F28501"/>
      <c r="G28501"/>
      <c r="H28501"/>
      <c r="I28501"/>
    </row>
    <row r="28502" spans="6:9" x14ac:dyDescent="0.3">
      <c r="F28502"/>
      <c r="G28502"/>
      <c r="H28502"/>
      <c r="I28502"/>
    </row>
    <row r="28503" spans="6:9" x14ac:dyDescent="0.3">
      <c r="F28503"/>
      <c r="G28503"/>
      <c r="H28503"/>
      <c r="I28503"/>
    </row>
    <row r="28504" spans="6:9" x14ac:dyDescent="0.3">
      <c r="F28504"/>
      <c r="G28504"/>
      <c r="H28504"/>
      <c r="I28504"/>
    </row>
    <row r="28505" spans="6:9" x14ac:dyDescent="0.3">
      <c r="F28505"/>
      <c r="G28505"/>
      <c r="H28505"/>
      <c r="I28505"/>
    </row>
    <row r="28506" spans="6:9" x14ac:dyDescent="0.3">
      <c r="F28506"/>
      <c r="G28506"/>
      <c r="H28506"/>
      <c r="I28506"/>
    </row>
    <row r="28507" spans="6:9" x14ac:dyDescent="0.3">
      <c r="F28507"/>
      <c r="G28507"/>
      <c r="H28507"/>
      <c r="I28507"/>
    </row>
    <row r="28508" spans="6:9" x14ac:dyDescent="0.3">
      <c r="F28508"/>
      <c r="G28508"/>
      <c r="H28508"/>
      <c r="I28508"/>
    </row>
    <row r="28509" spans="6:9" x14ac:dyDescent="0.3">
      <c r="F28509"/>
      <c r="G28509"/>
      <c r="H28509"/>
      <c r="I28509"/>
    </row>
    <row r="28510" spans="6:9" x14ac:dyDescent="0.3">
      <c r="F28510"/>
      <c r="G28510"/>
      <c r="H28510"/>
      <c r="I28510"/>
    </row>
    <row r="28511" spans="6:9" x14ac:dyDescent="0.3">
      <c r="F28511"/>
      <c r="G28511"/>
      <c r="H28511"/>
      <c r="I28511"/>
    </row>
    <row r="28512" spans="6:9" x14ac:dyDescent="0.3">
      <c r="F28512"/>
      <c r="G28512"/>
      <c r="H28512"/>
      <c r="I28512"/>
    </row>
    <row r="28513" spans="6:9" x14ac:dyDescent="0.3">
      <c r="F28513"/>
      <c r="G28513"/>
      <c r="H28513"/>
      <c r="I28513"/>
    </row>
    <row r="28514" spans="6:9" x14ac:dyDescent="0.3">
      <c r="F28514"/>
      <c r="G28514"/>
      <c r="H28514"/>
      <c r="I28514"/>
    </row>
    <row r="28515" spans="6:9" x14ac:dyDescent="0.3">
      <c r="F28515"/>
      <c r="G28515"/>
      <c r="H28515"/>
      <c r="I28515"/>
    </row>
    <row r="28516" spans="6:9" x14ac:dyDescent="0.3">
      <c r="F28516"/>
      <c r="G28516"/>
      <c r="H28516"/>
      <c r="I28516"/>
    </row>
    <row r="28517" spans="6:9" x14ac:dyDescent="0.3">
      <c r="F28517"/>
      <c r="G28517"/>
      <c r="H28517"/>
      <c r="I28517"/>
    </row>
    <row r="28518" spans="6:9" x14ac:dyDescent="0.3">
      <c r="F28518"/>
      <c r="G28518"/>
      <c r="H28518"/>
      <c r="I28518"/>
    </row>
    <row r="28519" spans="6:9" x14ac:dyDescent="0.3">
      <c r="F28519"/>
      <c r="G28519"/>
      <c r="H28519"/>
      <c r="I28519"/>
    </row>
    <row r="28520" spans="6:9" x14ac:dyDescent="0.3">
      <c r="F28520"/>
      <c r="G28520"/>
      <c r="H28520"/>
      <c r="I28520"/>
    </row>
    <row r="28521" spans="6:9" x14ac:dyDescent="0.3">
      <c r="F28521"/>
      <c r="G28521"/>
      <c r="H28521"/>
      <c r="I28521"/>
    </row>
    <row r="28522" spans="6:9" x14ac:dyDescent="0.3">
      <c r="F28522"/>
      <c r="G28522"/>
      <c r="H28522"/>
      <c r="I28522"/>
    </row>
    <row r="28523" spans="6:9" x14ac:dyDescent="0.3">
      <c r="F28523"/>
      <c r="G28523"/>
      <c r="H28523"/>
      <c r="I28523"/>
    </row>
    <row r="28524" spans="6:9" x14ac:dyDescent="0.3">
      <c r="F28524"/>
      <c r="G28524"/>
      <c r="H28524"/>
      <c r="I28524"/>
    </row>
    <row r="28525" spans="6:9" x14ac:dyDescent="0.3">
      <c r="F28525"/>
      <c r="G28525"/>
      <c r="H28525"/>
      <c r="I28525"/>
    </row>
    <row r="28526" spans="6:9" x14ac:dyDescent="0.3">
      <c r="F28526"/>
      <c r="G28526"/>
      <c r="H28526"/>
      <c r="I28526"/>
    </row>
    <row r="28527" spans="6:9" x14ac:dyDescent="0.3">
      <c r="F28527"/>
      <c r="G28527"/>
      <c r="H28527"/>
      <c r="I28527"/>
    </row>
    <row r="28528" spans="6:9" x14ac:dyDescent="0.3">
      <c r="F28528"/>
      <c r="G28528"/>
      <c r="H28528"/>
      <c r="I28528"/>
    </row>
    <row r="28529" spans="6:9" x14ac:dyDescent="0.3">
      <c r="F28529"/>
      <c r="G28529"/>
      <c r="H28529"/>
      <c r="I28529"/>
    </row>
    <row r="28530" spans="6:9" x14ac:dyDescent="0.3">
      <c r="F28530"/>
      <c r="G28530"/>
      <c r="H28530"/>
      <c r="I28530"/>
    </row>
    <row r="28531" spans="6:9" x14ac:dyDescent="0.3">
      <c r="F28531"/>
      <c r="G28531"/>
      <c r="H28531"/>
      <c r="I28531"/>
    </row>
    <row r="28532" spans="6:9" x14ac:dyDescent="0.3">
      <c r="F28532"/>
      <c r="G28532"/>
      <c r="H28532"/>
      <c r="I28532"/>
    </row>
    <row r="28533" spans="6:9" x14ac:dyDescent="0.3">
      <c r="F28533"/>
      <c r="G28533"/>
      <c r="H28533"/>
      <c r="I28533"/>
    </row>
    <row r="28534" spans="6:9" x14ac:dyDescent="0.3">
      <c r="F28534"/>
      <c r="G28534"/>
      <c r="H28534"/>
      <c r="I28534"/>
    </row>
    <row r="28535" spans="6:9" x14ac:dyDescent="0.3">
      <c r="F28535"/>
      <c r="G28535"/>
      <c r="H28535"/>
      <c r="I28535"/>
    </row>
    <row r="28536" spans="6:9" x14ac:dyDescent="0.3">
      <c r="F28536"/>
      <c r="G28536"/>
      <c r="H28536"/>
      <c r="I28536"/>
    </row>
    <row r="28537" spans="6:9" x14ac:dyDescent="0.3">
      <c r="F28537"/>
      <c r="G28537"/>
      <c r="H28537"/>
      <c r="I28537"/>
    </row>
    <row r="28538" spans="6:9" x14ac:dyDescent="0.3">
      <c r="F28538"/>
      <c r="G28538"/>
      <c r="H28538"/>
      <c r="I28538"/>
    </row>
    <row r="28539" spans="6:9" x14ac:dyDescent="0.3">
      <c r="F28539"/>
      <c r="G28539"/>
      <c r="H28539"/>
      <c r="I28539"/>
    </row>
    <row r="28540" spans="6:9" x14ac:dyDescent="0.3">
      <c r="F28540"/>
      <c r="G28540"/>
      <c r="H28540"/>
      <c r="I28540"/>
    </row>
    <row r="28541" spans="6:9" x14ac:dyDescent="0.3">
      <c r="F28541"/>
      <c r="G28541"/>
      <c r="H28541"/>
      <c r="I28541"/>
    </row>
    <row r="28542" spans="6:9" x14ac:dyDescent="0.3">
      <c r="F28542"/>
      <c r="G28542"/>
      <c r="H28542"/>
      <c r="I28542"/>
    </row>
    <row r="28543" spans="6:9" x14ac:dyDescent="0.3">
      <c r="F28543"/>
      <c r="G28543"/>
      <c r="H28543"/>
      <c r="I28543"/>
    </row>
    <row r="28544" spans="6:9" x14ac:dyDescent="0.3">
      <c r="F28544"/>
      <c r="G28544"/>
      <c r="H28544"/>
      <c r="I28544"/>
    </row>
    <row r="28545" spans="6:9" x14ac:dyDescent="0.3">
      <c r="F28545"/>
      <c r="G28545"/>
      <c r="H28545"/>
      <c r="I28545"/>
    </row>
    <row r="28546" spans="6:9" x14ac:dyDescent="0.3">
      <c r="F28546"/>
      <c r="G28546"/>
      <c r="H28546"/>
      <c r="I28546"/>
    </row>
    <row r="28547" spans="6:9" x14ac:dyDescent="0.3">
      <c r="F28547"/>
      <c r="G28547"/>
      <c r="H28547"/>
      <c r="I28547"/>
    </row>
    <row r="28548" spans="6:9" x14ac:dyDescent="0.3">
      <c r="F28548"/>
      <c r="G28548"/>
      <c r="H28548"/>
      <c r="I28548"/>
    </row>
    <row r="28549" spans="6:9" x14ac:dyDescent="0.3">
      <c r="F28549"/>
      <c r="G28549"/>
      <c r="H28549"/>
      <c r="I28549"/>
    </row>
    <row r="28550" spans="6:9" x14ac:dyDescent="0.3">
      <c r="F28550"/>
      <c r="G28550"/>
      <c r="H28550"/>
      <c r="I28550"/>
    </row>
    <row r="28551" spans="6:9" x14ac:dyDescent="0.3">
      <c r="F28551"/>
      <c r="G28551"/>
      <c r="H28551"/>
      <c r="I28551"/>
    </row>
    <row r="28552" spans="6:9" x14ac:dyDescent="0.3">
      <c r="F28552"/>
      <c r="G28552"/>
      <c r="H28552"/>
      <c r="I28552"/>
    </row>
    <row r="28553" spans="6:9" x14ac:dyDescent="0.3">
      <c r="F28553"/>
      <c r="G28553"/>
      <c r="H28553"/>
      <c r="I28553"/>
    </row>
    <row r="28554" spans="6:9" x14ac:dyDescent="0.3">
      <c r="F28554"/>
      <c r="G28554"/>
      <c r="H28554"/>
      <c r="I28554"/>
    </row>
    <row r="28555" spans="6:9" x14ac:dyDescent="0.3">
      <c r="F28555"/>
      <c r="G28555"/>
      <c r="H28555"/>
      <c r="I28555"/>
    </row>
    <row r="28556" spans="6:9" x14ac:dyDescent="0.3">
      <c r="F28556"/>
      <c r="G28556"/>
      <c r="H28556"/>
      <c r="I28556"/>
    </row>
    <row r="28557" spans="6:9" x14ac:dyDescent="0.3">
      <c r="F28557"/>
      <c r="G28557"/>
      <c r="H28557"/>
      <c r="I28557"/>
    </row>
    <row r="28558" spans="6:9" x14ac:dyDescent="0.3">
      <c r="F28558"/>
      <c r="G28558"/>
      <c r="H28558"/>
      <c r="I28558"/>
    </row>
    <row r="28559" spans="6:9" x14ac:dyDescent="0.3">
      <c r="F28559"/>
      <c r="G28559"/>
      <c r="H28559"/>
      <c r="I28559"/>
    </row>
    <row r="28560" spans="6:9" x14ac:dyDescent="0.3">
      <c r="F28560"/>
      <c r="G28560"/>
      <c r="H28560"/>
      <c r="I28560"/>
    </row>
    <row r="28561" spans="6:9" x14ac:dyDescent="0.3">
      <c r="F28561"/>
      <c r="G28561"/>
      <c r="H28561"/>
      <c r="I28561"/>
    </row>
    <row r="28562" spans="6:9" x14ac:dyDescent="0.3">
      <c r="F28562"/>
      <c r="G28562"/>
      <c r="H28562"/>
      <c r="I28562"/>
    </row>
    <row r="28563" spans="6:9" x14ac:dyDescent="0.3">
      <c r="F28563"/>
      <c r="G28563"/>
      <c r="H28563"/>
      <c r="I28563"/>
    </row>
    <row r="28564" spans="6:9" x14ac:dyDescent="0.3">
      <c r="F28564"/>
      <c r="G28564"/>
      <c r="H28564"/>
      <c r="I28564"/>
    </row>
    <row r="28565" spans="6:9" x14ac:dyDescent="0.3">
      <c r="F28565"/>
      <c r="G28565"/>
      <c r="H28565"/>
      <c r="I28565"/>
    </row>
    <row r="28566" spans="6:9" x14ac:dyDescent="0.3">
      <c r="F28566"/>
      <c r="G28566"/>
      <c r="H28566"/>
      <c r="I28566"/>
    </row>
    <row r="28567" spans="6:9" x14ac:dyDescent="0.3">
      <c r="F28567"/>
      <c r="G28567"/>
      <c r="H28567"/>
      <c r="I28567"/>
    </row>
    <row r="28568" spans="6:9" x14ac:dyDescent="0.3">
      <c r="F28568"/>
      <c r="G28568"/>
      <c r="H28568"/>
      <c r="I28568"/>
    </row>
    <row r="28569" spans="6:9" x14ac:dyDescent="0.3">
      <c r="F28569"/>
      <c r="G28569"/>
      <c r="H28569"/>
      <c r="I28569"/>
    </row>
    <row r="28570" spans="6:9" x14ac:dyDescent="0.3">
      <c r="F28570"/>
      <c r="G28570"/>
      <c r="H28570"/>
      <c r="I28570"/>
    </row>
    <row r="28571" spans="6:9" x14ac:dyDescent="0.3">
      <c r="F28571"/>
      <c r="G28571"/>
      <c r="H28571"/>
      <c r="I28571"/>
    </row>
    <row r="28572" spans="6:9" x14ac:dyDescent="0.3">
      <c r="F28572"/>
      <c r="G28572"/>
      <c r="H28572"/>
      <c r="I28572"/>
    </row>
    <row r="28573" spans="6:9" x14ac:dyDescent="0.3">
      <c r="F28573"/>
      <c r="G28573"/>
      <c r="H28573"/>
      <c r="I28573"/>
    </row>
    <row r="28574" spans="6:9" x14ac:dyDescent="0.3">
      <c r="F28574"/>
      <c r="G28574"/>
      <c r="H28574"/>
      <c r="I28574"/>
    </row>
    <row r="28575" spans="6:9" x14ac:dyDescent="0.3">
      <c r="F28575"/>
      <c r="G28575"/>
      <c r="H28575"/>
      <c r="I28575"/>
    </row>
    <row r="28576" spans="6:9" x14ac:dyDescent="0.3">
      <c r="F28576"/>
      <c r="G28576"/>
      <c r="H28576"/>
      <c r="I28576"/>
    </row>
    <row r="28577" spans="6:9" x14ac:dyDescent="0.3">
      <c r="F28577"/>
      <c r="G28577"/>
      <c r="H28577"/>
      <c r="I28577"/>
    </row>
    <row r="28578" spans="6:9" x14ac:dyDescent="0.3">
      <c r="F28578"/>
      <c r="G28578"/>
      <c r="H28578"/>
      <c r="I28578"/>
    </row>
    <row r="28579" spans="6:9" x14ac:dyDescent="0.3">
      <c r="F28579"/>
      <c r="G28579"/>
      <c r="H28579"/>
      <c r="I28579"/>
    </row>
    <row r="28580" spans="6:9" x14ac:dyDescent="0.3">
      <c r="F28580"/>
      <c r="G28580"/>
      <c r="H28580"/>
      <c r="I28580"/>
    </row>
    <row r="28581" spans="6:9" x14ac:dyDescent="0.3">
      <c r="F28581"/>
      <c r="G28581"/>
      <c r="H28581"/>
      <c r="I28581"/>
    </row>
    <row r="28582" spans="6:9" x14ac:dyDescent="0.3">
      <c r="F28582"/>
      <c r="G28582"/>
      <c r="H28582"/>
      <c r="I28582"/>
    </row>
    <row r="28583" spans="6:9" x14ac:dyDescent="0.3">
      <c r="F28583"/>
      <c r="G28583"/>
      <c r="H28583"/>
      <c r="I28583"/>
    </row>
    <row r="28584" spans="6:9" x14ac:dyDescent="0.3">
      <c r="F28584"/>
      <c r="G28584"/>
      <c r="H28584"/>
      <c r="I28584"/>
    </row>
    <row r="28585" spans="6:9" x14ac:dyDescent="0.3">
      <c r="F28585"/>
      <c r="G28585"/>
      <c r="H28585"/>
      <c r="I28585"/>
    </row>
    <row r="28586" spans="6:9" x14ac:dyDescent="0.3">
      <c r="F28586"/>
      <c r="G28586"/>
      <c r="H28586"/>
      <c r="I28586"/>
    </row>
    <row r="28587" spans="6:9" x14ac:dyDescent="0.3">
      <c r="F28587"/>
      <c r="G28587"/>
      <c r="H28587"/>
      <c r="I28587"/>
    </row>
    <row r="28588" spans="6:9" x14ac:dyDescent="0.3">
      <c r="F28588"/>
      <c r="G28588"/>
      <c r="H28588"/>
      <c r="I28588"/>
    </row>
    <row r="28589" spans="6:9" x14ac:dyDescent="0.3">
      <c r="F28589"/>
      <c r="G28589"/>
      <c r="H28589"/>
      <c r="I28589"/>
    </row>
    <row r="28590" spans="6:9" x14ac:dyDescent="0.3">
      <c r="F28590"/>
      <c r="G28590"/>
      <c r="H28590"/>
      <c r="I28590"/>
    </row>
    <row r="28591" spans="6:9" x14ac:dyDescent="0.3">
      <c r="F28591"/>
      <c r="G28591"/>
      <c r="H28591"/>
      <c r="I28591"/>
    </row>
    <row r="28592" spans="6:9" x14ac:dyDescent="0.3">
      <c r="F28592"/>
      <c r="G28592"/>
      <c r="H28592"/>
      <c r="I28592"/>
    </row>
    <row r="28593" spans="6:9" x14ac:dyDescent="0.3">
      <c r="F28593"/>
      <c r="G28593"/>
      <c r="H28593"/>
      <c r="I28593"/>
    </row>
    <row r="28594" spans="6:9" x14ac:dyDescent="0.3">
      <c r="F28594"/>
      <c r="G28594"/>
      <c r="H28594"/>
      <c r="I28594"/>
    </row>
    <row r="28595" spans="6:9" x14ac:dyDescent="0.3">
      <c r="F28595"/>
      <c r="G28595"/>
      <c r="H28595"/>
      <c r="I28595"/>
    </row>
    <row r="28596" spans="6:9" x14ac:dyDescent="0.3">
      <c r="F28596"/>
      <c r="G28596"/>
      <c r="H28596"/>
      <c r="I28596"/>
    </row>
    <row r="28597" spans="6:9" x14ac:dyDescent="0.3">
      <c r="F28597"/>
      <c r="G28597"/>
      <c r="H28597"/>
      <c r="I28597"/>
    </row>
    <row r="28598" spans="6:9" x14ac:dyDescent="0.3">
      <c r="F28598"/>
      <c r="G28598"/>
      <c r="H28598"/>
      <c r="I28598"/>
    </row>
    <row r="28599" spans="6:9" x14ac:dyDescent="0.3">
      <c r="F28599"/>
      <c r="G28599"/>
      <c r="H28599"/>
      <c r="I28599"/>
    </row>
    <row r="28600" spans="6:9" x14ac:dyDescent="0.3">
      <c r="F28600"/>
      <c r="G28600"/>
      <c r="H28600"/>
      <c r="I28600"/>
    </row>
    <row r="28601" spans="6:9" x14ac:dyDescent="0.3">
      <c r="F28601"/>
      <c r="G28601"/>
      <c r="H28601"/>
      <c r="I28601"/>
    </row>
    <row r="28602" spans="6:9" x14ac:dyDescent="0.3">
      <c r="F28602"/>
      <c r="G28602"/>
      <c r="H28602"/>
      <c r="I28602"/>
    </row>
    <row r="28603" spans="6:9" x14ac:dyDescent="0.3">
      <c r="F28603"/>
      <c r="G28603"/>
      <c r="H28603"/>
      <c r="I28603"/>
    </row>
    <row r="28604" spans="6:9" x14ac:dyDescent="0.3">
      <c r="F28604"/>
      <c r="G28604"/>
      <c r="H28604"/>
      <c r="I28604"/>
    </row>
    <row r="28605" spans="6:9" x14ac:dyDescent="0.3">
      <c r="F28605"/>
      <c r="G28605"/>
      <c r="H28605"/>
      <c r="I28605"/>
    </row>
    <row r="28606" spans="6:9" x14ac:dyDescent="0.3">
      <c r="F28606"/>
      <c r="G28606"/>
      <c r="H28606"/>
      <c r="I28606"/>
    </row>
    <row r="28607" spans="6:9" x14ac:dyDescent="0.3">
      <c r="F28607"/>
      <c r="G28607"/>
      <c r="H28607"/>
      <c r="I28607"/>
    </row>
    <row r="28608" spans="6:9" x14ac:dyDescent="0.3">
      <c r="F28608"/>
      <c r="G28608"/>
      <c r="H28608"/>
      <c r="I28608"/>
    </row>
    <row r="28609" spans="6:9" x14ac:dyDescent="0.3">
      <c r="F28609"/>
      <c r="G28609"/>
      <c r="H28609"/>
      <c r="I28609"/>
    </row>
    <row r="28610" spans="6:9" x14ac:dyDescent="0.3">
      <c r="F28610"/>
      <c r="G28610"/>
      <c r="H28610"/>
      <c r="I28610"/>
    </row>
    <row r="28611" spans="6:9" x14ac:dyDescent="0.3">
      <c r="F28611"/>
      <c r="G28611"/>
      <c r="H28611"/>
      <c r="I28611"/>
    </row>
    <row r="28612" spans="6:9" x14ac:dyDescent="0.3">
      <c r="F28612"/>
      <c r="G28612"/>
      <c r="H28612"/>
      <c r="I28612"/>
    </row>
    <row r="28613" spans="6:9" x14ac:dyDescent="0.3">
      <c r="F28613"/>
      <c r="G28613"/>
      <c r="H28613"/>
      <c r="I28613"/>
    </row>
    <row r="28614" spans="6:9" x14ac:dyDescent="0.3">
      <c r="F28614"/>
      <c r="G28614"/>
      <c r="H28614"/>
      <c r="I28614"/>
    </row>
    <row r="28615" spans="6:9" x14ac:dyDescent="0.3">
      <c r="F28615"/>
      <c r="G28615"/>
      <c r="H28615"/>
      <c r="I28615"/>
    </row>
    <row r="28616" spans="6:9" x14ac:dyDescent="0.3">
      <c r="F28616"/>
      <c r="G28616"/>
      <c r="H28616"/>
      <c r="I28616"/>
    </row>
    <row r="28617" spans="6:9" x14ac:dyDescent="0.3">
      <c r="F28617"/>
      <c r="G28617"/>
      <c r="H28617"/>
      <c r="I28617"/>
    </row>
    <row r="28618" spans="6:9" x14ac:dyDescent="0.3">
      <c r="F28618"/>
      <c r="G28618"/>
      <c r="H28618"/>
      <c r="I28618"/>
    </row>
    <row r="28619" spans="6:9" x14ac:dyDescent="0.3">
      <c r="F28619"/>
      <c r="G28619"/>
      <c r="H28619"/>
      <c r="I28619"/>
    </row>
    <row r="28620" spans="6:9" x14ac:dyDescent="0.3">
      <c r="F28620"/>
      <c r="G28620"/>
      <c r="H28620"/>
      <c r="I28620"/>
    </row>
    <row r="28621" spans="6:9" x14ac:dyDescent="0.3">
      <c r="F28621"/>
      <c r="G28621"/>
      <c r="H28621"/>
      <c r="I28621"/>
    </row>
    <row r="28622" spans="6:9" x14ac:dyDescent="0.3">
      <c r="F28622"/>
      <c r="G28622"/>
      <c r="H28622"/>
      <c r="I28622"/>
    </row>
    <row r="28623" spans="6:9" x14ac:dyDescent="0.3">
      <c r="F28623"/>
      <c r="G28623"/>
      <c r="H28623"/>
      <c r="I28623"/>
    </row>
    <row r="28624" spans="6:9" x14ac:dyDescent="0.3">
      <c r="F28624"/>
      <c r="G28624"/>
      <c r="H28624"/>
      <c r="I28624"/>
    </row>
    <row r="28625" spans="6:9" x14ac:dyDescent="0.3">
      <c r="F28625"/>
      <c r="G28625"/>
      <c r="H28625"/>
      <c r="I28625"/>
    </row>
    <row r="28626" spans="6:9" x14ac:dyDescent="0.3">
      <c r="F28626"/>
      <c r="G28626"/>
      <c r="H28626"/>
      <c r="I28626"/>
    </row>
    <row r="28627" spans="6:9" x14ac:dyDescent="0.3">
      <c r="F28627"/>
      <c r="G28627"/>
      <c r="H28627"/>
      <c r="I28627"/>
    </row>
    <row r="28628" spans="6:9" x14ac:dyDescent="0.3">
      <c r="F28628"/>
      <c r="G28628"/>
      <c r="H28628"/>
      <c r="I28628"/>
    </row>
    <row r="28629" spans="6:9" x14ac:dyDescent="0.3">
      <c r="F28629"/>
      <c r="G28629"/>
      <c r="H28629"/>
      <c r="I28629"/>
    </row>
    <row r="28630" spans="6:9" x14ac:dyDescent="0.3">
      <c r="F28630"/>
      <c r="G28630"/>
      <c r="H28630"/>
      <c r="I28630"/>
    </row>
    <row r="28631" spans="6:9" x14ac:dyDescent="0.3">
      <c r="F28631"/>
      <c r="G28631"/>
      <c r="H28631"/>
      <c r="I28631"/>
    </row>
    <row r="28632" spans="6:9" x14ac:dyDescent="0.3">
      <c r="F28632"/>
      <c r="G28632"/>
      <c r="H28632"/>
      <c r="I28632"/>
    </row>
    <row r="28633" spans="6:9" x14ac:dyDescent="0.3">
      <c r="F28633"/>
      <c r="G28633"/>
      <c r="H28633"/>
      <c r="I28633"/>
    </row>
    <row r="28634" spans="6:9" x14ac:dyDescent="0.3">
      <c r="F28634"/>
      <c r="G28634"/>
      <c r="H28634"/>
      <c r="I28634"/>
    </row>
    <row r="28635" spans="6:9" x14ac:dyDescent="0.3">
      <c r="F28635"/>
      <c r="G28635"/>
      <c r="H28635"/>
      <c r="I28635"/>
    </row>
    <row r="28636" spans="6:9" x14ac:dyDescent="0.3">
      <c r="F28636"/>
      <c r="G28636"/>
      <c r="H28636"/>
      <c r="I28636"/>
    </row>
    <row r="28637" spans="6:9" x14ac:dyDescent="0.3">
      <c r="F28637"/>
      <c r="G28637"/>
      <c r="H28637"/>
      <c r="I28637"/>
    </row>
    <row r="28638" spans="6:9" x14ac:dyDescent="0.3">
      <c r="F28638"/>
      <c r="G28638"/>
      <c r="H28638"/>
      <c r="I28638"/>
    </row>
    <row r="28639" spans="6:9" x14ac:dyDescent="0.3">
      <c r="F28639"/>
      <c r="G28639"/>
      <c r="H28639"/>
      <c r="I28639"/>
    </row>
    <row r="28640" spans="6:9" x14ac:dyDescent="0.3">
      <c r="F28640"/>
      <c r="G28640"/>
      <c r="H28640"/>
      <c r="I28640"/>
    </row>
    <row r="28641" spans="6:9" x14ac:dyDescent="0.3">
      <c r="F28641"/>
      <c r="G28641"/>
      <c r="H28641"/>
      <c r="I28641"/>
    </row>
    <row r="28642" spans="6:9" x14ac:dyDescent="0.3">
      <c r="F28642"/>
      <c r="G28642"/>
      <c r="H28642"/>
      <c r="I28642"/>
    </row>
    <row r="28643" spans="6:9" x14ac:dyDescent="0.3">
      <c r="F28643"/>
      <c r="G28643"/>
      <c r="H28643"/>
      <c r="I28643"/>
    </row>
    <row r="28644" spans="6:9" x14ac:dyDescent="0.3">
      <c r="F28644"/>
      <c r="G28644"/>
      <c r="H28644"/>
      <c r="I28644"/>
    </row>
    <row r="28645" spans="6:9" x14ac:dyDescent="0.3">
      <c r="F28645"/>
      <c r="G28645"/>
      <c r="H28645"/>
      <c r="I28645"/>
    </row>
    <row r="28646" spans="6:9" x14ac:dyDescent="0.3">
      <c r="F28646"/>
      <c r="G28646"/>
      <c r="H28646"/>
      <c r="I28646"/>
    </row>
    <row r="28647" spans="6:9" x14ac:dyDescent="0.3">
      <c r="F28647"/>
      <c r="G28647"/>
      <c r="H28647"/>
      <c r="I28647"/>
    </row>
    <row r="28648" spans="6:9" x14ac:dyDescent="0.3">
      <c r="F28648"/>
      <c r="G28648"/>
      <c r="H28648"/>
      <c r="I28648"/>
    </row>
    <row r="28649" spans="6:9" x14ac:dyDescent="0.3">
      <c r="F28649"/>
      <c r="G28649"/>
      <c r="H28649"/>
      <c r="I28649"/>
    </row>
    <row r="28650" spans="6:9" x14ac:dyDescent="0.3">
      <c r="F28650"/>
      <c r="G28650"/>
      <c r="H28650"/>
      <c r="I28650"/>
    </row>
    <row r="28651" spans="6:9" x14ac:dyDescent="0.3">
      <c r="F28651"/>
      <c r="G28651"/>
      <c r="H28651"/>
      <c r="I28651"/>
    </row>
    <row r="28652" spans="6:9" x14ac:dyDescent="0.3">
      <c r="F28652"/>
      <c r="G28652"/>
      <c r="H28652"/>
      <c r="I28652"/>
    </row>
    <row r="28653" spans="6:9" x14ac:dyDescent="0.3">
      <c r="F28653"/>
      <c r="G28653"/>
      <c r="H28653"/>
      <c r="I28653"/>
    </row>
    <row r="28654" spans="6:9" x14ac:dyDescent="0.3">
      <c r="F28654"/>
      <c r="G28654"/>
      <c r="H28654"/>
      <c r="I28654"/>
    </row>
    <row r="28655" spans="6:9" x14ac:dyDescent="0.3">
      <c r="F28655"/>
      <c r="G28655"/>
      <c r="H28655"/>
      <c r="I28655"/>
    </row>
    <row r="28656" spans="6:9" x14ac:dyDescent="0.3">
      <c r="F28656"/>
      <c r="G28656"/>
      <c r="H28656"/>
      <c r="I28656"/>
    </row>
    <row r="28657" spans="6:9" x14ac:dyDescent="0.3">
      <c r="F28657"/>
      <c r="G28657"/>
      <c r="H28657"/>
      <c r="I28657"/>
    </row>
    <row r="28658" spans="6:9" x14ac:dyDescent="0.3">
      <c r="F28658"/>
      <c r="G28658"/>
      <c r="H28658"/>
      <c r="I28658"/>
    </row>
    <row r="28659" spans="6:9" x14ac:dyDescent="0.3">
      <c r="F28659"/>
      <c r="G28659"/>
      <c r="H28659"/>
      <c r="I28659"/>
    </row>
    <row r="28660" spans="6:9" x14ac:dyDescent="0.3">
      <c r="F28660"/>
      <c r="G28660"/>
      <c r="H28660"/>
      <c r="I28660"/>
    </row>
    <row r="28661" spans="6:9" x14ac:dyDescent="0.3">
      <c r="F28661"/>
      <c r="G28661"/>
      <c r="H28661"/>
      <c r="I28661"/>
    </row>
    <row r="28662" spans="6:9" x14ac:dyDescent="0.3">
      <c r="F28662"/>
      <c r="G28662"/>
      <c r="H28662"/>
      <c r="I28662"/>
    </row>
    <row r="28663" spans="6:9" x14ac:dyDescent="0.3">
      <c r="F28663"/>
      <c r="G28663"/>
      <c r="H28663"/>
      <c r="I28663"/>
    </row>
    <row r="28664" spans="6:9" x14ac:dyDescent="0.3">
      <c r="F28664"/>
      <c r="G28664"/>
      <c r="H28664"/>
      <c r="I28664"/>
    </row>
    <row r="28665" spans="6:9" x14ac:dyDescent="0.3">
      <c r="F28665"/>
      <c r="G28665"/>
      <c r="H28665"/>
      <c r="I28665"/>
    </row>
    <row r="28666" spans="6:9" x14ac:dyDescent="0.3">
      <c r="F28666"/>
      <c r="G28666"/>
      <c r="H28666"/>
      <c r="I28666"/>
    </row>
    <row r="28667" spans="6:9" x14ac:dyDescent="0.3">
      <c r="F28667"/>
      <c r="G28667"/>
      <c r="H28667"/>
      <c r="I28667"/>
    </row>
    <row r="28668" spans="6:9" x14ac:dyDescent="0.3">
      <c r="F28668"/>
      <c r="G28668"/>
      <c r="H28668"/>
      <c r="I28668"/>
    </row>
    <row r="28669" spans="6:9" x14ac:dyDescent="0.3">
      <c r="F28669"/>
      <c r="G28669"/>
      <c r="H28669"/>
      <c r="I28669"/>
    </row>
    <row r="28670" spans="6:9" x14ac:dyDescent="0.3">
      <c r="F28670"/>
      <c r="G28670"/>
      <c r="H28670"/>
      <c r="I28670"/>
    </row>
    <row r="28671" spans="6:9" x14ac:dyDescent="0.3">
      <c r="F28671"/>
      <c r="G28671"/>
      <c r="H28671"/>
      <c r="I28671"/>
    </row>
    <row r="28672" spans="6:9" x14ac:dyDescent="0.3">
      <c r="F28672"/>
      <c r="G28672"/>
      <c r="H28672"/>
      <c r="I28672"/>
    </row>
    <row r="28673" spans="6:9" x14ac:dyDescent="0.3">
      <c r="F28673"/>
      <c r="G28673"/>
      <c r="H28673"/>
      <c r="I28673"/>
    </row>
    <row r="28674" spans="6:9" x14ac:dyDescent="0.3">
      <c r="F28674"/>
      <c r="G28674"/>
      <c r="H28674"/>
      <c r="I28674"/>
    </row>
    <row r="28675" spans="6:9" x14ac:dyDescent="0.3">
      <c r="F28675"/>
      <c r="G28675"/>
      <c r="H28675"/>
      <c r="I28675"/>
    </row>
    <row r="28676" spans="6:9" x14ac:dyDescent="0.3">
      <c r="F28676"/>
      <c r="G28676"/>
      <c r="H28676"/>
      <c r="I28676"/>
    </row>
    <row r="28677" spans="6:9" x14ac:dyDescent="0.3">
      <c r="F28677"/>
      <c r="G28677"/>
      <c r="H28677"/>
      <c r="I28677"/>
    </row>
    <row r="28678" spans="6:9" x14ac:dyDescent="0.3">
      <c r="F28678"/>
      <c r="G28678"/>
      <c r="H28678"/>
      <c r="I28678"/>
    </row>
    <row r="28679" spans="6:9" x14ac:dyDescent="0.3">
      <c r="F28679"/>
      <c r="G28679"/>
      <c r="H28679"/>
      <c r="I28679"/>
    </row>
    <row r="28680" spans="6:9" x14ac:dyDescent="0.3">
      <c r="F28680"/>
      <c r="G28680"/>
      <c r="H28680"/>
      <c r="I28680"/>
    </row>
    <row r="28681" spans="6:9" x14ac:dyDescent="0.3">
      <c r="F28681"/>
      <c r="G28681"/>
      <c r="H28681"/>
      <c r="I28681"/>
    </row>
    <row r="28682" spans="6:9" x14ac:dyDescent="0.3">
      <c r="F28682"/>
      <c r="G28682"/>
      <c r="H28682"/>
      <c r="I28682"/>
    </row>
    <row r="28683" spans="6:9" x14ac:dyDescent="0.3">
      <c r="F28683"/>
      <c r="G28683"/>
      <c r="H28683"/>
      <c r="I28683"/>
    </row>
    <row r="28684" spans="6:9" x14ac:dyDescent="0.3">
      <c r="F28684"/>
      <c r="G28684"/>
      <c r="H28684"/>
      <c r="I28684"/>
    </row>
    <row r="28685" spans="6:9" x14ac:dyDescent="0.3">
      <c r="F28685"/>
      <c r="G28685"/>
      <c r="H28685"/>
      <c r="I28685"/>
    </row>
    <row r="28686" spans="6:9" x14ac:dyDescent="0.3">
      <c r="F28686"/>
      <c r="G28686"/>
      <c r="H28686"/>
      <c r="I28686"/>
    </row>
    <row r="28687" spans="6:9" x14ac:dyDescent="0.3">
      <c r="F28687"/>
      <c r="G28687"/>
      <c r="H28687"/>
      <c r="I28687"/>
    </row>
    <row r="28688" spans="6:9" x14ac:dyDescent="0.3">
      <c r="F28688"/>
      <c r="G28688"/>
      <c r="H28688"/>
      <c r="I28688"/>
    </row>
    <row r="28689" spans="6:9" x14ac:dyDescent="0.3">
      <c r="F28689"/>
      <c r="G28689"/>
      <c r="H28689"/>
      <c r="I28689"/>
    </row>
    <row r="28690" spans="6:9" x14ac:dyDescent="0.3">
      <c r="F28690"/>
      <c r="G28690"/>
      <c r="H28690"/>
      <c r="I28690"/>
    </row>
    <row r="28691" spans="6:9" x14ac:dyDescent="0.3">
      <c r="F28691"/>
      <c r="G28691"/>
      <c r="H28691"/>
      <c r="I28691"/>
    </row>
    <row r="28692" spans="6:9" x14ac:dyDescent="0.3">
      <c r="F28692"/>
      <c r="G28692"/>
      <c r="H28692"/>
      <c r="I28692"/>
    </row>
    <row r="28693" spans="6:9" x14ac:dyDescent="0.3">
      <c r="F28693"/>
      <c r="G28693"/>
      <c r="H28693"/>
      <c r="I28693"/>
    </row>
    <row r="28694" spans="6:9" x14ac:dyDescent="0.3">
      <c r="F28694"/>
      <c r="G28694"/>
      <c r="H28694"/>
      <c r="I28694"/>
    </row>
    <row r="28695" spans="6:9" x14ac:dyDescent="0.3">
      <c r="F28695"/>
      <c r="G28695"/>
      <c r="H28695"/>
      <c r="I28695"/>
    </row>
    <row r="28696" spans="6:9" x14ac:dyDescent="0.3">
      <c r="F28696"/>
      <c r="G28696"/>
      <c r="H28696"/>
      <c r="I28696"/>
    </row>
    <row r="28697" spans="6:9" x14ac:dyDescent="0.3">
      <c r="F28697"/>
      <c r="G28697"/>
      <c r="H28697"/>
      <c r="I28697"/>
    </row>
    <row r="28698" spans="6:9" x14ac:dyDescent="0.3">
      <c r="F28698"/>
      <c r="G28698"/>
      <c r="H28698"/>
      <c r="I28698"/>
    </row>
    <row r="28699" spans="6:9" x14ac:dyDescent="0.3">
      <c r="F28699"/>
      <c r="G28699"/>
      <c r="H28699"/>
      <c r="I28699"/>
    </row>
    <row r="28700" spans="6:9" x14ac:dyDescent="0.3">
      <c r="F28700"/>
      <c r="G28700"/>
      <c r="H28700"/>
      <c r="I28700"/>
    </row>
    <row r="28701" spans="6:9" x14ac:dyDescent="0.3">
      <c r="F28701"/>
      <c r="G28701"/>
      <c r="H28701"/>
      <c r="I28701"/>
    </row>
    <row r="28702" spans="6:9" x14ac:dyDescent="0.3">
      <c r="F28702"/>
      <c r="G28702"/>
      <c r="H28702"/>
      <c r="I28702"/>
    </row>
    <row r="28703" spans="6:9" x14ac:dyDescent="0.3">
      <c r="F28703"/>
      <c r="G28703"/>
      <c r="H28703"/>
      <c r="I28703"/>
    </row>
    <row r="28704" spans="6:9" x14ac:dyDescent="0.3">
      <c r="F28704"/>
      <c r="G28704"/>
      <c r="H28704"/>
      <c r="I28704"/>
    </row>
    <row r="28705" spans="6:9" x14ac:dyDescent="0.3">
      <c r="F28705"/>
      <c r="G28705"/>
      <c r="H28705"/>
      <c r="I28705"/>
    </row>
    <row r="28706" spans="6:9" x14ac:dyDescent="0.3">
      <c r="F28706"/>
      <c r="G28706"/>
      <c r="H28706"/>
      <c r="I28706"/>
    </row>
    <row r="28707" spans="6:9" x14ac:dyDescent="0.3">
      <c r="F28707"/>
      <c r="G28707"/>
      <c r="H28707"/>
      <c r="I28707"/>
    </row>
    <row r="28708" spans="6:9" x14ac:dyDescent="0.3">
      <c r="F28708"/>
      <c r="G28708"/>
      <c r="H28708"/>
      <c r="I28708"/>
    </row>
    <row r="28709" spans="6:9" x14ac:dyDescent="0.3">
      <c r="F28709"/>
      <c r="G28709"/>
      <c r="H28709"/>
      <c r="I28709"/>
    </row>
    <row r="28710" spans="6:9" x14ac:dyDescent="0.3">
      <c r="F28710"/>
      <c r="G28710"/>
      <c r="H28710"/>
      <c r="I28710"/>
    </row>
    <row r="28711" spans="6:9" x14ac:dyDescent="0.3">
      <c r="F28711"/>
      <c r="G28711"/>
      <c r="H28711"/>
      <c r="I28711"/>
    </row>
    <row r="28712" spans="6:9" x14ac:dyDescent="0.3">
      <c r="F28712"/>
      <c r="G28712"/>
      <c r="H28712"/>
      <c r="I28712"/>
    </row>
    <row r="28713" spans="6:9" x14ac:dyDescent="0.3">
      <c r="F28713"/>
      <c r="G28713"/>
      <c r="H28713"/>
      <c r="I28713"/>
    </row>
    <row r="28714" spans="6:9" x14ac:dyDescent="0.3">
      <c r="F28714"/>
      <c r="G28714"/>
      <c r="H28714"/>
      <c r="I28714"/>
    </row>
    <row r="28715" spans="6:9" x14ac:dyDescent="0.3">
      <c r="F28715"/>
      <c r="G28715"/>
      <c r="H28715"/>
      <c r="I28715"/>
    </row>
    <row r="28716" spans="6:9" x14ac:dyDescent="0.3">
      <c r="F28716"/>
      <c r="G28716"/>
      <c r="H28716"/>
      <c r="I28716"/>
    </row>
    <row r="28717" spans="6:9" x14ac:dyDescent="0.3">
      <c r="F28717"/>
      <c r="G28717"/>
      <c r="H28717"/>
      <c r="I28717"/>
    </row>
    <row r="28718" spans="6:9" x14ac:dyDescent="0.3">
      <c r="F28718"/>
      <c r="G28718"/>
      <c r="H28718"/>
      <c r="I28718"/>
    </row>
    <row r="28719" spans="6:9" x14ac:dyDescent="0.3">
      <c r="F28719"/>
      <c r="G28719"/>
      <c r="H28719"/>
      <c r="I28719"/>
    </row>
    <row r="28720" spans="6:9" x14ac:dyDescent="0.3">
      <c r="F28720"/>
      <c r="G28720"/>
      <c r="H28720"/>
      <c r="I28720"/>
    </row>
    <row r="28721" spans="6:9" x14ac:dyDescent="0.3">
      <c r="F28721"/>
      <c r="G28721"/>
      <c r="H28721"/>
      <c r="I28721"/>
    </row>
    <row r="28722" spans="6:9" x14ac:dyDescent="0.3">
      <c r="F28722"/>
      <c r="G28722"/>
      <c r="H28722"/>
      <c r="I28722"/>
    </row>
    <row r="28723" spans="6:9" x14ac:dyDescent="0.3">
      <c r="F28723"/>
      <c r="G28723"/>
      <c r="H28723"/>
      <c r="I28723"/>
    </row>
    <row r="28724" spans="6:9" x14ac:dyDescent="0.3">
      <c r="F28724"/>
      <c r="G28724"/>
      <c r="H28724"/>
      <c r="I28724"/>
    </row>
    <row r="28725" spans="6:9" x14ac:dyDescent="0.3">
      <c r="F28725"/>
      <c r="G28725"/>
      <c r="H28725"/>
      <c r="I28725"/>
    </row>
    <row r="28726" spans="6:9" x14ac:dyDescent="0.3">
      <c r="F28726"/>
      <c r="G28726"/>
      <c r="H28726"/>
      <c r="I28726"/>
    </row>
    <row r="28727" spans="6:9" x14ac:dyDescent="0.3">
      <c r="F28727"/>
      <c r="G28727"/>
      <c r="H28727"/>
      <c r="I28727"/>
    </row>
    <row r="28728" spans="6:9" x14ac:dyDescent="0.3">
      <c r="F28728"/>
      <c r="G28728"/>
      <c r="H28728"/>
      <c r="I28728"/>
    </row>
    <row r="28729" spans="6:9" x14ac:dyDescent="0.3">
      <c r="F28729"/>
      <c r="G28729"/>
      <c r="H28729"/>
      <c r="I28729"/>
    </row>
    <row r="28730" spans="6:9" x14ac:dyDescent="0.3">
      <c r="F28730"/>
      <c r="G28730"/>
      <c r="H28730"/>
      <c r="I28730"/>
    </row>
    <row r="28731" spans="6:9" x14ac:dyDescent="0.3">
      <c r="F28731"/>
      <c r="G28731"/>
      <c r="H28731"/>
      <c r="I28731"/>
    </row>
    <row r="28732" spans="6:9" x14ac:dyDescent="0.3">
      <c r="F28732"/>
      <c r="G28732"/>
      <c r="H28732"/>
      <c r="I28732"/>
    </row>
    <row r="28733" spans="6:9" x14ac:dyDescent="0.3">
      <c r="F28733"/>
      <c r="G28733"/>
      <c r="H28733"/>
      <c r="I28733"/>
    </row>
    <row r="28734" spans="6:9" x14ac:dyDescent="0.3">
      <c r="F28734"/>
      <c r="G28734"/>
      <c r="H28734"/>
      <c r="I28734"/>
    </row>
    <row r="28735" spans="6:9" x14ac:dyDescent="0.3">
      <c r="F28735"/>
      <c r="G28735"/>
      <c r="H28735"/>
      <c r="I28735"/>
    </row>
    <row r="28736" spans="6:9" x14ac:dyDescent="0.3">
      <c r="F28736"/>
      <c r="G28736"/>
      <c r="H28736"/>
      <c r="I28736"/>
    </row>
    <row r="28737" spans="6:9" x14ac:dyDescent="0.3">
      <c r="F28737"/>
      <c r="G28737"/>
      <c r="H28737"/>
      <c r="I28737"/>
    </row>
    <row r="28738" spans="6:9" x14ac:dyDescent="0.3">
      <c r="F28738"/>
      <c r="G28738"/>
      <c r="H28738"/>
      <c r="I28738"/>
    </row>
    <row r="28739" spans="6:9" x14ac:dyDescent="0.3">
      <c r="F28739"/>
      <c r="G28739"/>
      <c r="H28739"/>
      <c r="I28739"/>
    </row>
    <row r="28740" spans="6:9" x14ac:dyDescent="0.3">
      <c r="F28740"/>
      <c r="G28740"/>
      <c r="H28740"/>
      <c r="I28740"/>
    </row>
    <row r="28741" spans="6:9" x14ac:dyDescent="0.3">
      <c r="F28741"/>
      <c r="G28741"/>
      <c r="H28741"/>
      <c r="I28741"/>
    </row>
    <row r="28742" spans="6:9" x14ac:dyDescent="0.3">
      <c r="F28742"/>
      <c r="G28742"/>
      <c r="H28742"/>
      <c r="I28742"/>
    </row>
    <row r="28743" spans="6:9" x14ac:dyDescent="0.3">
      <c r="F28743"/>
      <c r="G28743"/>
      <c r="H28743"/>
      <c r="I28743"/>
    </row>
    <row r="28744" spans="6:9" x14ac:dyDescent="0.3">
      <c r="F28744"/>
      <c r="G28744"/>
      <c r="H28744"/>
      <c r="I28744"/>
    </row>
    <row r="28745" spans="6:9" x14ac:dyDescent="0.3">
      <c r="F28745"/>
      <c r="G28745"/>
      <c r="H28745"/>
      <c r="I28745"/>
    </row>
    <row r="28746" spans="6:9" x14ac:dyDescent="0.3">
      <c r="F28746"/>
      <c r="G28746"/>
      <c r="H28746"/>
      <c r="I28746"/>
    </row>
    <row r="28747" spans="6:9" x14ac:dyDescent="0.3">
      <c r="F28747"/>
      <c r="G28747"/>
      <c r="H28747"/>
      <c r="I28747"/>
    </row>
    <row r="28748" spans="6:9" x14ac:dyDescent="0.3">
      <c r="F28748"/>
      <c r="G28748"/>
      <c r="H28748"/>
      <c r="I28748"/>
    </row>
    <row r="28749" spans="6:9" x14ac:dyDescent="0.3">
      <c r="F28749"/>
      <c r="G28749"/>
      <c r="H28749"/>
      <c r="I28749"/>
    </row>
    <row r="28750" spans="6:9" x14ac:dyDescent="0.3">
      <c r="F28750"/>
      <c r="G28750"/>
      <c r="H28750"/>
      <c r="I28750"/>
    </row>
    <row r="28751" spans="6:9" x14ac:dyDescent="0.3">
      <c r="F28751"/>
      <c r="G28751"/>
      <c r="H28751"/>
      <c r="I28751"/>
    </row>
    <row r="28752" spans="6:9" x14ac:dyDescent="0.3">
      <c r="F28752"/>
      <c r="G28752"/>
      <c r="H28752"/>
      <c r="I28752"/>
    </row>
    <row r="28753" spans="6:9" x14ac:dyDescent="0.3">
      <c r="F28753"/>
      <c r="G28753"/>
      <c r="H28753"/>
      <c r="I28753"/>
    </row>
    <row r="28754" spans="6:9" x14ac:dyDescent="0.3">
      <c r="F28754"/>
      <c r="G28754"/>
      <c r="H28754"/>
      <c r="I28754"/>
    </row>
    <row r="28755" spans="6:9" x14ac:dyDescent="0.3">
      <c r="F28755"/>
      <c r="G28755"/>
      <c r="H28755"/>
      <c r="I28755"/>
    </row>
    <row r="28756" spans="6:9" x14ac:dyDescent="0.3">
      <c r="F28756"/>
      <c r="G28756"/>
      <c r="H28756"/>
      <c r="I28756"/>
    </row>
    <row r="28757" spans="6:9" x14ac:dyDescent="0.3">
      <c r="F28757"/>
      <c r="G28757"/>
      <c r="H28757"/>
      <c r="I28757"/>
    </row>
    <row r="28758" spans="6:9" x14ac:dyDescent="0.3">
      <c r="F28758"/>
      <c r="G28758"/>
      <c r="H28758"/>
      <c r="I28758"/>
    </row>
    <row r="28759" spans="6:9" x14ac:dyDescent="0.3">
      <c r="F28759"/>
      <c r="G28759"/>
      <c r="H28759"/>
      <c r="I28759"/>
    </row>
    <row r="28760" spans="6:9" x14ac:dyDescent="0.3">
      <c r="F28760"/>
      <c r="G28760"/>
      <c r="H28760"/>
      <c r="I28760"/>
    </row>
    <row r="28761" spans="6:9" x14ac:dyDescent="0.3">
      <c r="F28761"/>
      <c r="G28761"/>
      <c r="H28761"/>
      <c r="I28761"/>
    </row>
    <row r="28762" spans="6:9" x14ac:dyDescent="0.3">
      <c r="F28762"/>
      <c r="G28762"/>
      <c r="H28762"/>
      <c r="I28762"/>
    </row>
    <row r="28763" spans="6:9" x14ac:dyDescent="0.3">
      <c r="F28763"/>
      <c r="G28763"/>
      <c r="H28763"/>
      <c r="I28763"/>
    </row>
    <row r="28764" spans="6:9" x14ac:dyDescent="0.3">
      <c r="F28764"/>
      <c r="G28764"/>
      <c r="H28764"/>
      <c r="I28764"/>
    </row>
    <row r="28765" spans="6:9" x14ac:dyDescent="0.3">
      <c r="F28765"/>
      <c r="G28765"/>
      <c r="H28765"/>
      <c r="I28765"/>
    </row>
    <row r="28766" spans="6:9" x14ac:dyDescent="0.3">
      <c r="F28766"/>
      <c r="G28766"/>
      <c r="H28766"/>
      <c r="I28766"/>
    </row>
    <row r="28767" spans="6:9" x14ac:dyDescent="0.3">
      <c r="F28767"/>
      <c r="G28767"/>
      <c r="H28767"/>
      <c r="I28767"/>
    </row>
    <row r="28768" spans="6:9" x14ac:dyDescent="0.3">
      <c r="F28768"/>
      <c r="G28768"/>
      <c r="H28768"/>
      <c r="I28768"/>
    </row>
    <row r="28769" spans="6:9" x14ac:dyDescent="0.3">
      <c r="F28769"/>
      <c r="G28769"/>
      <c r="H28769"/>
      <c r="I28769"/>
    </row>
    <row r="28770" spans="6:9" x14ac:dyDescent="0.3">
      <c r="F28770"/>
      <c r="G28770"/>
      <c r="H28770"/>
      <c r="I28770"/>
    </row>
    <row r="28771" spans="6:9" x14ac:dyDescent="0.3">
      <c r="F28771"/>
      <c r="G28771"/>
      <c r="H28771"/>
      <c r="I28771"/>
    </row>
    <row r="28772" spans="6:9" x14ac:dyDescent="0.3">
      <c r="F28772"/>
      <c r="G28772"/>
      <c r="H28772"/>
      <c r="I28772"/>
    </row>
    <row r="28773" spans="6:9" x14ac:dyDescent="0.3">
      <c r="F28773"/>
      <c r="G28773"/>
      <c r="H28773"/>
      <c r="I28773"/>
    </row>
    <row r="28774" spans="6:9" x14ac:dyDescent="0.3">
      <c r="F28774"/>
      <c r="G28774"/>
      <c r="H28774"/>
      <c r="I28774"/>
    </row>
    <row r="28775" spans="6:9" x14ac:dyDescent="0.3">
      <c r="F28775"/>
      <c r="G28775"/>
      <c r="H28775"/>
      <c r="I28775"/>
    </row>
    <row r="28776" spans="6:9" x14ac:dyDescent="0.3">
      <c r="F28776"/>
      <c r="G28776"/>
      <c r="H28776"/>
      <c r="I28776"/>
    </row>
    <row r="28777" spans="6:9" x14ac:dyDescent="0.3">
      <c r="F28777"/>
      <c r="G28777"/>
      <c r="H28777"/>
      <c r="I28777"/>
    </row>
    <row r="28778" spans="6:9" x14ac:dyDescent="0.3">
      <c r="F28778"/>
      <c r="G28778"/>
      <c r="H28778"/>
      <c r="I28778"/>
    </row>
    <row r="28779" spans="6:9" x14ac:dyDescent="0.3">
      <c r="F28779"/>
      <c r="G28779"/>
      <c r="H28779"/>
      <c r="I28779"/>
    </row>
    <row r="28780" spans="6:9" x14ac:dyDescent="0.3">
      <c r="F28780"/>
      <c r="G28780"/>
      <c r="H28780"/>
      <c r="I28780"/>
    </row>
    <row r="28781" spans="6:9" x14ac:dyDescent="0.3">
      <c r="F28781"/>
      <c r="G28781"/>
      <c r="H28781"/>
      <c r="I28781"/>
    </row>
    <row r="28782" spans="6:9" x14ac:dyDescent="0.3">
      <c r="F28782"/>
      <c r="G28782"/>
      <c r="H28782"/>
      <c r="I28782"/>
    </row>
    <row r="28783" spans="6:9" x14ac:dyDescent="0.3">
      <c r="F28783"/>
      <c r="G28783"/>
      <c r="H28783"/>
      <c r="I28783"/>
    </row>
    <row r="28784" spans="6:9" x14ac:dyDescent="0.3">
      <c r="F28784"/>
      <c r="G28784"/>
      <c r="H28784"/>
      <c r="I28784"/>
    </row>
    <row r="28785" spans="6:9" x14ac:dyDescent="0.3">
      <c r="F28785"/>
      <c r="G28785"/>
      <c r="H28785"/>
      <c r="I28785"/>
    </row>
    <row r="28786" spans="6:9" x14ac:dyDescent="0.3">
      <c r="F28786"/>
      <c r="G28786"/>
      <c r="H28786"/>
      <c r="I28786"/>
    </row>
    <row r="28787" spans="6:9" x14ac:dyDescent="0.3">
      <c r="F28787"/>
      <c r="G28787"/>
      <c r="H28787"/>
      <c r="I28787"/>
    </row>
    <row r="28788" spans="6:9" x14ac:dyDescent="0.3">
      <c r="F28788"/>
      <c r="G28788"/>
      <c r="H28788"/>
      <c r="I28788"/>
    </row>
    <row r="28789" spans="6:9" x14ac:dyDescent="0.3">
      <c r="F28789"/>
      <c r="G28789"/>
      <c r="H28789"/>
      <c r="I28789"/>
    </row>
    <row r="28790" spans="6:9" x14ac:dyDescent="0.3">
      <c r="F28790"/>
      <c r="G28790"/>
      <c r="H28790"/>
      <c r="I28790"/>
    </row>
    <row r="28791" spans="6:9" x14ac:dyDescent="0.3">
      <c r="F28791"/>
      <c r="G28791"/>
      <c r="H28791"/>
      <c r="I28791"/>
    </row>
    <row r="28792" spans="6:9" x14ac:dyDescent="0.3">
      <c r="F28792"/>
      <c r="G28792"/>
      <c r="H28792"/>
      <c r="I28792"/>
    </row>
    <row r="28793" spans="6:9" x14ac:dyDescent="0.3">
      <c r="F28793"/>
      <c r="G28793"/>
      <c r="H28793"/>
      <c r="I28793"/>
    </row>
    <row r="28794" spans="6:9" x14ac:dyDescent="0.3">
      <c r="F28794"/>
      <c r="G28794"/>
      <c r="H28794"/>
      <c r="I28794"/>
    </row>
    <row r="28795" spans="6:9" x14ac:dyDescent="0.3">
      <c r="F28795"/>
      <c r="G28795"/>
      <c r="H28795"/>
      <c r="I28795"/>
    </row>
    <row r="28796" spans="6:9" x14ac:dyDescent="0.3">
      <c r="F28796"/>
      <c r="G28796"/>
      <c r="H28796"/>
      <c r="I28796"/>
    </row>
    <row r="28797" spans="6:9" x14ac:dyDescent="0.3">
      <c r="F28797"/>
      <c r="G28797"/>
      <c r="H28797"/>
      <c r="I28797"/>
    </row>
    <row r="28798" spans="6:9" x14ac:dyDescent="0.3">
      <c r="F28798"/>
      <c r="G28798"/>
      <c r="H28798"/>
      <c r="I28798"/>
    </row>
    <row r="28799" spans="6:9" x14ac:dyDescent="0.3">
      <c r="F28799"/>
      <c r="G28799"/>
      <c r="H28799"/>
      <c r="I28799"/>
    </row>
    <row r="28800" spans="6:9" x14ac:dyDescent="0.3">
      <c r="F28800"/>
      <c r="G28800"/>
      <c r="H28800"/>
      <c r="I28800"/>
    </row>
    <row r="28801" spans="6:9" x14ac:dyDescent="0.3">
      <c r="F28801"/>
      <c r="G28801"/>
      <c r="H28801"/>
      <c r="I28801"/>
    </row>
    <row r="28802" spans="6:9" x14ac:dyDescent="0.3">
      <c r="F28802"/>
      <c r="G28802"/>
      <c r="H28802"/>
      <c r="I28802"/>
    </row>
    <row r="28803" spans="6:9" x14ac:dyDescent="0.3">
      <c r="F28803"/>
      <c r="G28803"/>
      <c r="H28803"/>
      <c r="I28803"/>
    </row>
    <row r="28804" spans="6:9" x14ac:dyDescent="0.3">
      <c r="F28804"/>
      <c r="G28804"/>
      <c r="H28804"/>
      <c r="I28804"/>
    </row>
    <row r="28805" spans="6:9" x14ac:dyDescent="0.3">
      <c r="F28805"/>
      <c r="G28805"/>
      <c r="H28805"/>
      <c r="I28805"/>
    </row>
    <row r="28806" spans="6:9" x14ac:dyDescent="0.3">
      <c r="F28806"/>
      <c r="G28806"/>
      <c r="H28806"/>
      <c r="I28806"/>
    </row>
    <row r="28807" spans="6:9" x14ac:dyDescent="0.3">
      <c r="F28807"/>
      <c r="G28807"/>
      <c r="H28807"/>
      <c r="I28807"/>
    </row>
    <row r="28808" spans="6:9" x14ac:dyDescent="0.3">
      <c r="F28808"/>
      <c r="G28808"/>
      <c r="H28808"/>
      <c r="I28808"/>
    </row>
    <row r="28809" spans="6:9" x14ac:dyDescent="0.3">
      <c r="F28809"/>
      <c r="G28809"/>
      <c r="H28809"/>
      <c r="I28809"/>
    </row>
    <row r="28810" spans="6:9" x14ac:dyDescent="0.3">
      <c r="F28810"/>
      <c r="G28810"/>
      <c r="H28810"/>
      <c r="I28810"/>
    </row>
    <row r="28811" spans="6:9" x14ac:dyDescent="0.3">
      <c r="F28811"/>
      <c r="G28811"/>
      <c r="H28811"/>
      <c r="I28811"/>
    </row>
    <row r="28812" spans="6:9" x14ac:dyDescent="0.3">
      <c r="F28812"/>
      <c r="G28812"/>
      <c r="H28812"/>
      <c r="I28812"/>
    </row>
    <row r="28813" spans="6:9" x14ac:dyDescent="0.3">
      <c r="F28813"/>
      <c r="G28813"/>
      <c r="H28813"/>
      <c r="I28813"/>
    </row>
    <row r="28814" spans="6:9" x14ac:dyDescent="0.3">
      <c r="F28814"/>
      <c r="G28814"/>
      <c r="H28814"/>
      <c r="I28814"/>
    </row>
    <row r="28815" spans="6:9" x14ac:dyDescent="0.3">
      <c r="F28815"/>
      <c r="G28815"/>
      <c r="H28815"/>
      <c r="I28815"/>
    </row>
    <row r="28816" spans="6:9" x14ac:dyDescent="0.3">
      <c r="F28816"/>
      <c r="G28816"/>
      <c r="H28816"/>
      <c r="I28816"/>
    </row>
    <row r="28817" spans="6:9" x14ac:dyDescent="0.3">
      <c r="F28817"/>
      <c r="G28817"/>
      <c r="H28817"/>
      <c r="I28817"/>
    </row>
    <row r="28818" spans="6:9" x14ac:dyDescent="0.3">
      <c r="F28818"/>
      <c r="G28818"/>
      <c r="H28818"/>
      <c r="I28818"/>
    </row>
    <row r="28819" spans="6:9" x14ac:dyDescent="0.3">
      <c r="F28819"/>
      <c r="G28819"/>
      <c r="H28819"/>
      <c r="I28819"/>
    </row>
    <row r="28820" spans="6:9" x14ac:dyDescent="0.3">
      <c r="F28820"/>
      <c r="G28820"/>
      <c r="H28820"/>
      <c r="I28820"/>
    </row>
    <row r="28821" spans="6:9" x14ac:dyDescent="0.3">
      <c r="F28821"/>
      <c r="G28821"/>
      <c r="H28821"/>
      <c r="I28821"/>
    </row>
    <row r="28822" spans="6:9" x14ac:dyDescent="0.3">
      <c r="F28822"/>
      <c r="G28822"/>
      <c r="H28822"/>
      <c r="I28822"/>
    </row>
    <row r="28823" spans="6:9" x14ac:dyDescent="0.3">
      <c r="F28823"/>
      <c r="G28823"/>
      <c r="H28823"/>
      <c r="I28823"/>
    </row>
    <row r="28824" spans="6:9" x14ac:dyDescent="0.3">
      <c r="F28824"/>
      <c r="G28824"/>
      <c r="H28824"/>
      <c r="I28824"/>
    </row>
    <row r="28825" spans="6:9" x14ac:dyDescent="0.3">
      <c r="F28825"/>
      <c r="G28825"/>
      <c r="H28825"/>
      <c r="I28825"/>
    </row>
    <row r="28826" spans="6:9" x14ac:dyDescent="0.3">
      <c r="F28826"/>
      <c r="G28826"/>
      <c r="H28826"/>
      <c r="I28826"/>
    </row>
    <row r="28827" spans="6:9" x14ac:dyDescent="0.3">
      <c r="F28827"/>
      <c r="G28827"/>
      <c r="H28827"/>
      <c r="I28827"/>
    </row>
    <row r="28828" spans="6:9" x14ac:dyDescent="0.3">
      <c r="F28828"/>
      <c r="G28828"/>
      <c r="H28828"/>
      <c r="I28828"/>
    </row>
    <row r="28829" spans="6:9" x14ac:dyDescent="0.3">
      <c r="F28829"/>
      <c r="G28829"/>
      <c r="H28829"/>
      <c r="I28829"/>
    </row>
    <row r="28830" spans="6:9" x14ac:dyDescent="0.3">
      <c r="F28830"/>
      <c r="G28830"/>
      <c r="H28830"/>
      <c r="I28830"/>
    </row>
    <row r="28831" spans="6:9" x14ac:dyDescent="0.3">
      <c r="F28831"/>
      <c r="G28831"/>
      <c r="H28831"/>
      <c r="I28831"/>
    </row>
    <row r="28832" spans="6:9" x14ac:dyDescent="0.3">
      <c r="F28832"/>
      <c r="G28832"/>
      <c r="H28832"/>
      <c r="I28832"/>
    </row>
    <row r="28833" spans="6:9" x14ac:dyDescent="0.3">
      <c r="F28833"/>
      <c r="G28833"/>
      <c r="H28833"/>
      <c r="I28833"/>
    </row>
    <row r="28834" spans="6:9" x14ac:dyDescent="0.3">
      <c r="F28834"/>
      <c r="G28834"/>
      <c r="H28834"/>
      <c r="I28834"/>
    </row>
    <row r="28835" spans="6:9" x14ac:dyDescent="0.3">
      <c r="F28835"/>
      <c r="G28835"/>
      <c r="H28835"/>
      <c r="I28835"/>
    </row>
    <row r="28836" spans="6:9" x14ac:dyDescent="0.3">
      <c r="F28836"/>
      <c r="G28836"/>
      <c r="H28836"/>
      <c r="I28836"/>
    </row>
    <row r="28837" spans="6:9" x14ac:dyDescent="0.3">
      <c r="F28837"/>
      <c r="G28837"/>
      <c r="H28837"/>
      <c r="I28837"/>
    </row>
    <row r="28838" spans="6:9" x14ac:dyDescent="0.3">
      <c r="F28838"/>
      <c r="G28838"/>
      <c r="H28838"/>
      <c r="I28838"/>
    </row>
    <row r="28839" spans="6:9" x14ac:dyDescent="0.3">
      <c r="F28839"/>
      <c r="G28839"/>
      <c r="H28839"/>
      <c r="I28839"/>
    </row>
    <row r="28840" spans="6:9" x14ac:dyDescent="0.3">
      <c r="F28840"/>
      <c r="G28840"/>
      <c r="H28840"/>
      <c r="I28840"/>
    </row>
    <row r="28841" spans="6:9" x14ac:dyDescent="0.3">
      <c r="F28841"/>
      <c r="G28841"/>
      <c r="H28841"/>
      <c r="I28841"/>
    </row>
    <row r="28842" spans="6:9" x14ac:dyDescent="0.3">
      <c r="F28842"/>
      <c r="G28842"/>
      <c r="H28842"/>
      <c r="I28842"/>
    </row>
    <row r="28843" spans="6:9" x14ac:dyDescent="0.3">
      <c r="F28843"/>
      <c r="G28843"/>
      <c r="H28843"/>
      <c r="I28843"/>
    </row>
    <row r="28844" spans="6:9" x14ac:dyDescent="0.3">
      <c r="F28844"/>
      <c r="G28844"/>
      <c r="H28844"/>
      <c r="I28844"/>
    </row>
    <row r="28845" spans="6:9" x14ac:dyDescent="0.3">
      <c r="F28845"/>
      <c r="G28845"/>
      <c r="H28845"/>
      <c r="I28845"/>
    </row>
    <row r="28846" spans="6:9" x14ac:dyDescent="0.3">
      <c r="F28846"/>
      <c r="G28846"/>
      <c r="H28846"/>
      <c r="I28846"/>
    </row>
    <row r="28847" spans="6:9" x14ac:dyDescent="0.3">
      <c r="F28847"/>
      <c r="G28847"/>
      <c r="H28847"/>
      <c r="I28847"/>
    </row>
    <row r="28848" spans="6:9" x14ac:dyDescent="0.3">
      <c r="F28848"/>
      <c r="G28848"/>
      <c r="H28848"/>
      <c r="I28848"/>
    </row>
    <row r="28849" spans="6:9" x14ac:dyDescent="0.3">
      <c r="F28849"/>
      <c r="G28849"/>
      <c r="H28849"/>
      <c r="I28849"/>
    </row>
    <row r="28850" spans="6:9" x14ac:dyDescent="0.3">
      <c r="F28850"/>
      <c r="G28850"/>
      <c r="H28850"/>
      <c r="I28850"/>
    </row>
    <row r="28851" spans="6:9" x14ac:dyDescent="0.3">
      <c r="F28851"/>
      <c r="G28851"/>
      <c r="H28851"/>
      <c r="I28851"/>
    </row>
    <row r="28852" spans="6:9" x14ac:dyDescent="0.3">
      <c r="F28852"/>
      <c r="G28852"/>
      <c r="H28852"/>
      <c r="I28852"/>
    </row>
    <row r="28853" spans="6:9" x14ac:dyDescent="0.3">
      <c r="F28853"/>
      <c r="G28853"/>
      <c r="H28853"/>
      <c r="I28853"/>
    </row>
    <row r="28854" spans="6:9" x14ac:dyDescent="0.3">
      <c r="F28854"/>
      <c r="G28854"/>
      <c r="H28854"/>
      <c r="I28854"/>
    </row>
    <row r="28855" spans="6:9" x14ac:dyDescent="0.3">
      <c r="F28855"/>
      <c r="G28855"/>
      <c r="H28855"/>
      <c r="I28855"/>
    </row>
    <row r="28856" spans="6:9" x14ac:dyDescent="0.3">
      <c r="F28856"/>
      <c r="G28856"/>
      <c r="H28856"/>
      <c r="I28856"/>
    </row>
    <row r="28857" spans="6:9" x14ac:dyDescent="0.3">
      <c r="F28857"/>
      <c r="G28857"/>
      <c r="H28857"/>
      <c r="I28857"/>
    </row>
    <row r="28858" spans="6:9" x14ac:dyDescent="0.3">
      <c r="F28858"/>
      <c r="G28858"/>
      <c r="H28858"/>
      <c r="I28858"/>
    </row>
    <row r="28859" spans="6:9" x14ac:dyDescent="0.3">
      <c r="F28859"/>
      <c r="G28859"/>
      <c r="H28859"/>
      <c r="I28859"/>
    </row>
    <row r="28860" spans="6:9" x14ac:dyDescent="0.3">
      <c r="F28860"/>
      <c r="G28860"/>
      <c r="H28860"/>
      <c r="I28860"/>
    </row>
    <row r="28861" spans="6:9" x14ac:dyDescent="0.3">
      <c r="F28861"/>
      <c r="G28861"/>
      <c r="H28861"/>
      <c r="I28861"/>
    </row>
    <row r="28862" spans="6:9" x14ac:dyDescent="0.3">
      <c r="F28862"/>
      <c r="G28862"/>
      <c r="H28862"/>
      <c r="I28862"/>
    </row>
    <row r="28863" spans="6:9" x14ac:dyDescent="0.3">
      <c r="F28863"/>
      <c r="G28863"/>
      <c r="H28863"/>
      <c r="I28863"/>
    </row>
    <row r="28864" spans="6:9" x14ac:dyDescent="0.3">
      <c r="F28864"/>
      <c r="G28864"/>
      <c r="H28864"/>
      <c r="I28864"/>
    </row>
    <row r="28865" spans="6:9" x14ac:dyDescent="0.3">
      <c r="F28865"/>
      <c r="G28865"/>
      <c r="H28865"/>
      <c r="I28865"/>
    </row>
    <row r="28866" spans="6:9" x14ac:dyDescent="0.3">
      <c r="F28866"/>
      <c r="G28866"/>
      <c r="H28866"/>
      <c r="I28866"/>
    </row>
    <row r="28867" spans="6:9" x14ac:dyDescent="0.3">
      <c r="F28867"/>
      <c r="G28867"/>
      <c r="H28867"/>
      <c r="I28867"/>
    </row>
    <row r="28868" spans="6:9" x14ac:dyDescent="0.3">
      <c r="F28868"/>
      <c r="G28868"/>
      <c r="H28868"/>
      <c r="I28868"/>
    </row>
    <row r="28869" spans="6:9" x14ac:dyDescent="0.3">
      <c r="F28869"/>
      <c r="G28869"/>
      <c r="H28869"/>
      <c r="I28869"/>
    </row>
    <row r="28870" spans="6:9" x14ac:dyDescent="0.3">
      <c r="F28870"/>
      <c r="G28870"/>
      <c r="H28870"/>
      <c r="I28870"/>
    </row>
    <row r="28871" spans="6:9" x14ac:dyDescent="0.3">
      <c r="F28871"/>
      <c r="G28871"/>
      <c r="H28871"/>
      <c r="I28871"/>
    </row>
    <row r="28872" spans="6:9" x14ac:dyDescent="0.3">
      <c r="F28872"/>
      <c r="G28872"/>
      <c r="H28872"/>
      <c r="I28872"/>
    </row>
    <row r="28873" spans="6:9" x14ac:dyDescent="0.3">
      <c r="F28873"/>
      <c r="G28873"/>
      <c r="H28873"/>
      <c r="I28873"/>
    </row>
    <row r="28874" spans="6:9" x14ac:dyDescent="0.3">
      <c r="F28874"/>
      <c r="G28874"/>
      <c r="H28874"/>
      <c r="I28874"/>
    </row>
    <row r="28875" spans="6:9" x14ac:dyDescent="0.3">
      <c r="F28875"/>
      <c r="G28875"/>
      <c r="H28875"/>
      <c r="I28875"/>
    </row>
    <row r="28876" spans="6:9" x14ac:dyDescent="0.3">
      <c r="F28876"/>
      <c r="G28876"/>
      <c r="H28876"/>
      <c r="I28876"/>
    </row>
    <row r="28877" spans="6:9" x14ac:dyDescent="0.3">
      <c r="F28877"/>
      <c r="G28877"/>
      <c r="H28877"/>
      <c r="I28877"/>
    </row>
    <row r="28878" spans="6:9" x14ac:dyDescent="0.3">
      <c r="F28878"/>
      <c r="G28878"/>
      <c r="H28878"/>
      <c r="I28878"/>
    </row>
    <row r="28879" spans="6:9" x14ac:dyDescent="0.3">
      <c r="F28879"/>
      <c r="G28879"/>
      <c r="H28879"/>
      <c r="I28879"/>
    </row>
    <row r="28880" spans="6:9" x14ac:dyDescent="0.3">
      <c r="F28880"/>
      <c r="G28880"/>
      <c r="H28880"/>
      <c r="I28880"/>
    </row>
    <row r="28881" spans="6:9" x14ac:dyDescent="0.3">
      <c r="F28881"/>
      <c r="G28881"/>
      <c r="H28881"/>
      <c r="I28881"/>
    </row>
    <row r="28882" spans="6:9" x14ac:dyDescent="0.3">
      <c r="F28882"/>
      <c r="G28882"/>
      <c r="H28882"/>
      <c r="I28882"/>
    </row>
    <row r="28883" spans="6:9" x14ac:dyDescent="0.3">
      <c r="F28883"/>
      <c r="G28883"/>
      <c r="H28883"/>
      <c r="I28883"/>
    </row>
    <row r="28884" spans="6:9" x14ac:dyDescent="0.3">
      <c r="F28884"/>
      <c r="G28884"/>
      <c r="H28884"/>
      <c r="I28884"/>
    </row>
    <row r="28885" spans="6:9" x14ac:dyDescent="0.3">
      <c r="F28885"/>
      <c r="G28885"/>
      <c r="H28885"/>
      <c r="I28885"/>
    </row>
    <row r="28886" spans="6:9" x14ac:dyDescent="0.3">
      <c r="F28886"/>
      <c r="G28886"/>
      <c r="H28886"/>
      <c r="I28886"/>
    </row>
    <row r="28887" spans="6:9" x14ac:dyDescent="0.3">
      <c r="F28887"/>
      <c r="G28887"/>
      <c r="H28887"/>
      <c r="I28887"/>
    </row>
    <row r="28888" spans="6:9" x14ac:dyDescent="0.3">
      <c r="F28888"/>
      <c r="G28888"/>
      <c r="H28888"/>
      <c r="I28888"/>
    </row>
    <row r="28889" spans="6:9" x14ac:dyDescent="0.3">
      <c r="F28889"/>
      <c r="G28889"/>
      <c r="H28889"/>
      <c r="I28889"/>
    </row>
    <row r="28890" spans="6:9" x14ac:dyDescent="0.3">
      <c r="F28890"/>
      <c r="G28890"/>
      <c r="H28890"/>
      <c r="I28890"/>
    </row>
    <row r="28891" spans="6:9" x14ac:dyDescent="0.3">
      <c r="F28891"/>
      <c r="G28891"/>
      <c r="H28891"/>
      <c r="I28891"/>
    </row>
    <row r="28892" spans="6:9" x14ac:dyDescent="0.3">
      <c r="F28892"/>
      <c r="G28892"/>
      <c r="H28892"/>
      <c r="I28892"/>
    </row>
    <row r="28893" spans="6:9" x14ac:dyDescent="0.3">
      <c r="F28893"/>
      <c r="G28893"/>
      <c r="H28893"/>
      <c r="I28893"/>
    </row>
    <row r="28894" spans="6:9" x14ac:dyDescent="0.3">
      <c r="F28894"/>
      <c r="G28894"/>
      <c r="H28894"/>
      <c r="I28894"/>
    </row>
    <row r="28895" spans="6:9" x14ac:dyDescent="0.3">
      <c r="F28895"/>
      <c r="G28895"/>
      <c r="H28895"/>
      <c r="I28895"/>
    </row>
    <row r="28896" spans="6:9" x14ac:dyDescent="0.3">
      <c r="F28896"/>
      <c r="G28896"/>
      <c r="H28896"/>
      <c r="I28896"/>
    </row>
    <row r="28897" spans="6:9" x14ac:dyDescent="0.3">
      <c r="F28897"/>
      <c r="G28897"/>
      <c r="H28897"/>
      <c r="I28897"/>
    </row>
    <row r="28898" spans="6:9" x14ac:dyDescent="0.3">
      <c r="F28898"/>
      <c r="G28898"/>
      <c r="H28898"/>
      <c r="I28898"/>
    </row>
    <row r="28899" spans="6:9" x14ac:dyDescent="0.3">
      <c r="F28899"/>
      <c r="G28899"/>
      <c r="H28899"/>
      <c r="I28899"/>
    </row>
    <row r="28900" spans="6:9" x14ac:dyDescent="0.3">
      <c r="F28900"/>
      <c r="G28900"/>
      <c r="H28900"/>
      <c r="I28900"/>
    </row>
    <row r="28901" spans="6:9" x14ac:dyDescent="0.3">
      <c r="F28901"/>
      <c r="G28901"/>
      <c r="H28901"/>
      <c r="I28901"/>
    </row>
    <row r="28902" spans="6:9" x14ac:dyDescent="0.3">
      <c r="F28902"/>
      <c r="G28902"/>
      <c r="H28902"/>
      <c r="I28902"/>
    </row>
    <row r="28903" spans="6:9" x14ac:dyDescent="0.3">
      <c r="F28903"/>
      <c r="G28903"/>
      <c r="H28903"/>
      <c r="I28903"/>
    </row>
    <row r="28904" spans="6:9" x14ac:dyDescent="0.3">
      <c r="F28904"/>
      <c r="G28904"/>
      <c r="H28904"/>
      <c r="I28904"/>
    </row>
    <row r="28905" spans="6:9" x14ac:dyDescent="0.3">
      <c r="F28905"/>
      <c r="G28905"/>
      <c r="H28905"/>
      <c r="I28905"/>
    </row>
    <row r="28906" spans="6:9" x14ac:dyDescent="0.3">
      <c r="F28906"/>
      <c r="G28906"/>
      <c r="H28906"/>
      <c r="I28906"/>
    </row>
    <row r="28907" spans="6:9" x14ac:dyDescent="0.3">
      <c r="F28907"/>
      <c r="G28907"/>
      <c r="H28907"/>
      <c r="I28907"/>
    </row>
    <row r="28908" spans="6:9" x14ac:dyDescent="0.3">
      <c r="F28908"/>
      <c r="G28908"/>
      <c r="H28908"/>
      <c r="I28908"/>
    </row>
    <row r="28909" spans="6:9" x14ac:dyDescent="0.3">
      <c r="F28909"/>
      <c r="G28909"/>
      <c r="H28909"/>
      <c r="I28909"/>
    </row>
    <row r="28910" spans="6:9" x14ac:dyDescent="0.3">
      <c r="F28910"/>
      <c r="G28910"/>
      <c r="H28910"/>
      <c r="I28910"/>
    </row>
    <row r="28911" spans="6:9" x14ac:dyDescent="0.3">
      <c r="F28911"/>
      <c r="G28911"/>
      <c r="H28911"/>
      <c r="I28911"/>
    </row>
    <row r="28912" spans="6:9" x14ac:dyDescent="0.3">
      <c r="F28912"/>
      <c r="G28912"/>
      <c r="H28912"/>
      <c r="I28912"/>
    </row>
    <row r="28913" spans="6:9" x14ac:dyDescent="0.3">
      <c r="F28913"/>
      <c r="G28913"/>
      <c r="H28913"/>
      <c r="I28913"/>
    </row>
    <row r="28914" spans="6:9" x14ac:dyDescent="0.3">
      <c r="F28914"/>
      <c r="G28914"/>
      <c r="H28914"/>
      <c r="I28914"/>
    </row>
    <row r="28915" spans="6:9" x14ac:dyDescent="0.3">
      <c r="F28915"/>
      <c r="G28915"/>
      <c r="H28915"/>
      <c r="I28915"/>
    </row>
    <row r="28916" spans="6:9" x14ac:dyDescent="0.3">
      <c r="F28916"/>
      <c r="G28916"/>
      <c r="H28916"/>
      <c r="I28916"/>
    </row>
    <row r="28917" spans="6:9" x14ac:dyDescent="0.3">
      <c r="F28917"/>
      <c r="G28917"/>
      <c r="H28917"/>
      <c r="I28917"/>
    </row>
    <row r="28918" spans="6:9" x14ac:dyDescent="0.3">
      <c r="F28918"/>
      <c r="G28918"/>
      <c r="H28918"/>
      <c r="I28918"/>
    </row>
    <row r="28919" spans="6:9" x14ac:dyDescent="0.3">
      <c r="F28919"/>
      <c r="G28919"/>
      <c r="H28919"/>
      <c r="I28919"/>
    </row>
    <row r="28920" spans="6:9" x14ac:dyDescent="0.3">
      <c r="F28920"/>
      <c r="G28920"/>
      <c r="H28920"/>
      <c r="I28920"/>
    </row>
    <row r="28921" spans="6:9" x14ac:dyDescent="0.3">
      <c r="F28921"/>
      <c r="G28921"/>
      <c r="H28921"/>
      <c r="I28921"/>
    </row>
    <row r="28922" spans="6:9" x14ac:dyDescent="0.3">
      <c r="F28922"/>
      <c r="G28922"/>
      <c r="H28922"/>
      <c r="I28922"/>
    </row>
    <row r="28923" spans="6:9" x14ac:dyDescent="0.3">
      <c r="F28923"/>
      <c r="G28923"/>
      <c r="H28923"/>
      <c r="I28923"/>
    </row>
    <row r="28924" spans="6:9" x14ac:dyDescent="0.3">
      <c r="F28924"/>
      <c r="G28924"/>
      <c r="H28924"/>
      <c r="I28924"/>
    </row>
    <row r="28925" spans="6:9" x14ac:dyDescent="0.3">
      <c r="F28925"/>
      <c r="G28925"/>
      <c r="H28925"/>
      <c r="I28925"/>
    </row>
    <row r="28926" spans="6:9" x14ac:dyDescent="0.3">
      <c r="F28926"/>
      <c r="G28926"/>
      <c r="H28926"/>
      <c r="I28926"/>
    </row>
    <row r="28927" spans="6:9" x14ac:dyDescent="0.3">
      <c r="F28927"/>
      <c r="G28927"/>
      <c r="H28927"/>
      <c r="I28927"/>
    </row>
    <row r="28928" spans="6:9" x14ac:dyDescent="0.3">
      <c r="F28928"/>
      <c r="G28928"/>
      <c r="H28928"/>
      <c r="I28928"/>
    </row>
    <row r="28929" spans="6:9" x14ac:dyDescent="0.3">
      <c r="F28929"/>
      <c r="G28929"/>
      <c r="H28929"/>
      <c r="I28929"/>
    </row>
    <row r="28930" spans="6:9" x14ac:dyDescent="0.3">
      <c r="F28930"/>
      <c r="G28930"/>
      <c r="H28930"/>
      <c r="I28930"/>
    </row>
    <row r="28931" spans="6:9" x14ac:dyDescent="0.3">
      <c r="F28931"/>
      <c r="G28931"/>
      <c r="H28931"/>
      <c r="I28931"/>
    </row>
    <row r="28932" spans="6:9" x14ac:dyDescent="0.3">
      <c r="F28932"/>
      <c r="G28932"/>
      <c r="H28932"/>
      <c r="I28932"/>
    </row>
    <row r="28933" spans="6:9" x14ac:dyDescent="0.3">
      <c r="F28933"/>
      <c r="G28933"/>
      <c r="H28933"/>
      <c r="I28933"/>
    </row>
    <row r="28934" spans="6:9" x14ac:dyDescent="0.3">
      <c r="F28934"/>
      <c r="G28934"/>
      <c r="H28934"/>
      <c r="I28934"/>
    </row>
    <row r="28935" spans="6:9" x14ac:dyDescent="0.3">
      <c r="F28935"/>
      <c r="G28935"/>
      <c r="H28935"/>
      <c r="I28935"/>
    </row>
    <row r="28936" spans="6:9" x14ac:dyDescent="0.3">
      <c r="F28936"/>
      <c r="G28936"/>
      <c r="H28936"/>
      <c r="I28936"/>
    </row>
    <row r="28937" spans="6:9" x14ac:dyDescent="0.3">
      <c r="F28937"/>
      <c r="G28937"/>
      <c r="H28937"/>
      <c r="I28937"/>
    </row>
    <row r="28938" spans="6:9" x14ac:dyDescent="0.3">
      <c r="F28938"/>
      <c r="G28938"/>
      <c r="H28938"/>
      <c r="I28938"/>
    </row>
    <row r="28939" spans="6:9" x14ac:dyDescent="0.3">
      <c r="F28939"/>
      <c r="G28939"/>
      <c r="H28939"/>
      <c r="I28939"/>
    </row>
    <row r="28940" spans="6:9" x14ac:dyDescent="0.3">
      <c r="F28940"/>
      <c r="G28940"/>
      <c r="H28940"/>
      <c r="I28940"/>
    </row>
    <row r="28941" spans="6:9" x14ac:dyDescent="0.3">
      <c r="F28941"/>
      <c r="G28941"/>
      <c r="H28941"/>
      <c r="I28941"/>
    </row>
    <row r="28942" spans="6:9" x14ac:dyDescent="0.3">
      <c r="F28942"/>
      <c r="G28942"/>
      <c r="H28942"/>
      <c r="I28942"/>
    </row>
    <row r="28943" spans="6:9" x14ac:dyDescent="0.3">
      <c r="F28943"/>
      <c r="G28943"/>
      <c r="H28943"/>
      <c r="I28943"/>
    </row>
    <row r="28944" spans="6:9" x14ac:dyDescent="0.3">
      <c r="F28944"/>
      <c r="G28944"/>
      <c r="H28944"/>
      <c r="I28944"/>
    </row>
    <row r="28945" spans="6:9" x14ac:dyDescent="0.3">
      <c r="F28945"/>
      <c r="G28945"/>
      <c r="H28945"/>
      <c r="I28945"/>
    </row>
    <row r="28946" spans="6:9" x14ac:dyDescent="0.3">
      <c r="F28946"/>
      <c r="G28946"/>
      <c r="H28946"/>
      <c r="I28946"/>
    </row>
    <row r="28947" spans="6:9" x14ac:dyDescent="0.3">
      <c r="F28947"/>
      <c r="G28947"/>
      <c r="H28947"/>
      <c r="I28947"/>
    </row>
    <row r="28948" spans="6:9" x14ac:dyDescent="0.3">
      <c r="F28948"/>
      <c r="G28948"/>
      <c r="H28948"/>
      <c r="I28948"/>
    </row>
    <row r="28949" spans="6:9" x14ac:dyDescent="0.3">
      <c r="F28949"/>
      <c r="G28949"/>
      <c r="H28949"/>
      <c r="I28949"/>
    </row>
    <row r="28950" spans="6:9" x14ac:dyDescent="0.3">
      <c r="F28950"/>
      <c r="G28950"/>
      <c r="H28950"/>
      <c r="I28950"/>
    </row>
    <row r="28951" spans="6:9" x14ac:dyDescent="0.3">
      <c r="F28951"/>
      <c r="G28951"/>
      <c r="H28951"/>
      <c r="I28951"/>
    </row>
    <row r="28952" spans="6:9" x14ac:dyDescent="0.3">
      <c r="F28952"/>
      <c r="G28952"/>
      <c r="H28952"/>
      <c r="I28952"/>
    </row>
    <row r="28953" spans="6:9" x14ac:dyDescent="0.3">
      <c r="F28953"/>
      <c r="G28953"/>
      <c r="H28953"/>
      <c r="I28953"/>
    </row>
    <row r="28954" spans="6:9" x14ac:dyDescent="0.3">
      <c r="F28954"/>
      <c r="G28954"/>
      <c r="H28954"/>
      <c r="I28954"/>
    </row>
    <row r="28955" spans="6:9" x14ac:dyDescent="0.3">
      <c r="F28955"/>
      <c r="G28955"/>
      <c r="H28955"/>
      <c r="I28955"/>
    </row>
    <row r="28956" spans="6:9" x14ac:dyDescent="0.3">
      <c r="F28956"/>
      <c r="G28956"/>
      <c r="H28956"/>
      <c r="I28956"/>
    </row>
    <row r="28957" spans="6:9" x14ac:dyDescent="0.3">
      <c r="F28957"/>
      <c r="G28957"/>
      <c r="H28957"/>
      <c r="I28957"/>
    </row>
    <row r="28958" spans="6:9" x14ac:dyDescent="0.3">
      <c r="F28958"/>
      <c r="G28958"/>
      <c r="H28958"/>
      <c r="I28958"/>
    </row>
    <row r="28959" spans="6:9" x14ac:dyDescent="0.3">
      <c r="F28959"/>
      <c r="G28959"/>
      <c r="H28959"/>
      <c r="I28959"/>
    </row>
    <row r="28960" spans="6:9" x14ac:dyDescent="0.3">
      <c r="F28960"/>
      <c r="G28960"/>
      <c r="H28960"/>
      <c r="I28960"/>
    </row>
    <row r="28961" spans="6:9" x14ac:dyDescent="0.3">
      <c r="F28961"/>
      <c r="G28961"/>
      <c r="H28961"/>
      <c r="I28961"/>
    </row>
    <row r="28962" spans="6:9" x14ac:dyDescent="0.3">
      <c r="F28962"/>
      <c r="G28962"/>
      <c r="H28962"/>
      <c r="I28962"/>
    </row>
    <row r="28963" spans="6:9" x14ac:dyDescent="0.3">
      <c r="F28963"/>
      <c r="G28963"/>
      <c r="H28963"/>
      <c r="I28963"/>
    </row>
    <row r="28964" spans="6:9" x14ac:dyDescent="0.3">
      <c r="F28964"/>
      <c r="G28964"/>
      <c r="H28964"/>
      <c r="I28964"/>
    </row>
    <row r="28965" spans="6:9" x14ac:dyDescent="0.3">
      <c r="F28965"/>
      <c r="G28965"/>
      <c r="H28965"/>
      <c r="I28965"/>
    </row>
    <row r="28966" spans="6:9" x14ac:dyDescent="0.3">
      <c r="F28966"/>
      <c r="G28966"/>
      <c r="H28966"/>
      <c r="I28966"/>
    </row>
    <row r="28967" spans="6:9" x14ac:dyDescent="0.3">
      <c r="F28967"/>
      <c r="G28967"/>
      <c r="H28967"/>
      <c r="I28967"/>
    </row>
    <row r="28968" spans="6:9" x14ac:dyDescent="0.3">
      <c r="F28968"/>
      <c r="G28968"/>
      <c r="H28968"/>
      <c r="I28968"/>
    </row>
    <row r="28969" spans="6:9" x14ac:dyDescent="0.3">
      <c r="F28969"/>
      <c r="G28969"/>
      <c r="H28969"/>
      <c r="I28969"/>
    </row>
    <row r="28970" spans="6:9" x14ac:dyDescent="0.3">
      <c r="F28970"/>
      <c r="G28970"/>
      <c r="H28970"/>
      <c r="I28970"/>
    </row>
    <row r="28971" spans="6:9" x14ac:dyDescent="0.3">
      <c r="F28971"/>
      <c r="G28971"/>
      <c r="H28971"/>
      <c r="I28971"/>
    </row>
    <row r="28972" spans="6:9" x14ac:dyDescent="0.3">
      <c r="F28972"/>
      <c r="G28972"/>
      <c r="H28972"/>
      <c r="I28972"/>
    </row>
    <row r="28973" spans="6:9" x14ac:dyDescent="0.3">
      <c r="F28973"/>
      <c r="G28973"/>
      <c r="H28973"/>
      <c r="I28973"/>
    </row>
    <row r="28974" spans="6:9" x14ac:dyDescent="0.3">
      <c r="F28974"/>
      <c r="G28974"/>
      <c r="H28974"/>
      <c r="I28974"/>
    </row>
    <row r="28975" spans="6:9" x14ac:dyDescent="0.3">
      <c r="F28975"/>
      <c r="G28975"/>
      <c r="H28975"/>
      <c r="I28975"/>
    </row>
    <row r="28976" spans="6:9" x14ac:dyDescent="0.3">
      <c r="F28976"/>
      <c r="G28976"/>
      <c r="H28976"/>
      <c r="I28976"/>
    </row>
    <row r="28977" spans="6:9" x14ac:dyDescent="0.3">
      <c r="F28977"/>
      <c r="G28977"/>
      <c r="H28977"/>
      <c r="I28977"/>
    </row>
    <row r="28978" spans="6:9" x14ac:dyDescent="0.3">
      <c r="F28978"/>
      <c r="G28978"/>
      <c r="H28978"/>
      <c r="I28978"/>
    </row>
    <row r="28979" spans="6:9" x14ac:dyDescent="0.3">
      <c r="F28979"/>
      <c r="G28979"/>
      <c r="H28979"/>
      <c r="I28979"/>
    </row>
    <row r="28980" spans="6:9" x14ac:dyDescent="0.3">
      <c r="F28980"/>
      <c r="G28980"/>
      <c r="H28980"/>
      <c r="I28980"/>
    </row>
    <row r="28981" spans="6:9" x14ac:dyDescent="0.3">
      <c r="F28981"/>
      <c r="G28981"/>
      <c r="H28981"/>
      <c r="I28981"/>
    </row>
    <row r="28982" spans="6:9" x14ac:dyDescent="0.3">
      <c r="F28982"/>
      <c r="G28982"/>
      <c r="H28982"/>
      <c r="I28982"/>
    </row>
    <row r="28983" spans="6:9" x14ac:dyDescent="0.3">
      <c r="F28983"/>
      <c r="G28983"/>
      <c r="H28983"/>
      <c r="I28983"/>
    </row>
    <row r="28984" spans="6:9" x14ac:dyDescent="0.3">
      <c r="F28984"/>
      <c r="G28984"/>
      <c r="H28984"/>
      <c r="I28984"/>
    </row>
    <row r="28985" spans="6:9" x14ac:dyDescent="0.3">
      <c r="F28985"/>
      <c r="G28985"/>
      <c r="H28985"/>
      <c r="I28985"/>
    </row>
    <row r="28986" spans="6:9" x14ac:dyDescent="0.3">
      <c r="F28986"/>
      <c r="G28986"/>
      <c r="H28986"/>
      <c r="I28986"/>
    </row>
    <row r="28987" spans="6:9" x14ac:dyDescent="0.3">
      <c r="F28987"/>
      <c r="G28987"/>
      <c r="H28987"/>
      <c r="I28987"/>
    </row>
    <row r="28988" spans="6:9" x14ac:dyDescent="0.3">
      <c r="F28988"/>
      <c r="G28988"/>
      <c r="H28988"/>
      <c r="I28988"/>
    </row>
    <row r="28989" spans="6:9" x14ac:dyDescent="0.3">
      <c r="F28989"/>
      <c r="G28989"/>
      <c r="H28989"/>
      <c r="I28989"/>
    </row>
    <row r="28990" spans="6:9" x14ac:dyDescent="0.3">
      <c r="F28990"/>
      <c r="G28990"/>
      <c r="H28990"/>
      <c r="I28990"/>
    </row>
    <row r="28991" spans="6:9" x14ac:dyDescent="0.3">
      <c r="F28991"/>
      <c r="G28991"/>
      <c r="H28991"/>
      <c r="I28991"/>
    </row>
    <row r="28992" spans="6:9" x14ac:dyDescent="0.3">
      <c r="F28992"/>
      <c r="G28992"/>
      <c r="H28992"/>
      <c r="I28992"/>
    </row>
    <row r="28993" spans="6:9" x14ac:dyDescent="0.3">
      <c r="F28993"/>
      <c r="G28993"/>
      <c r="H28993"/>
      <c r="I28993"/>
    </row>
    <row r="28994" spans="6:9" x14ac:dyDescent="0.3">
      <c r="F28994"/>
      <c r="G28994"/>
      <c r="H28994"/>
      <c r="I28994"/>
    </row>
    <row r="28995" spans="6:9" x14ac:dyDescent="0.3">
      <c r="F28995"/>
      <c r="G28995"/>
      <c r="H28995"/>
      <c r="I28995"/>
    </row>
    <row r="28996" spans="6:9" x14ac:dyDescent="0.3">
      <c r="F28996"/>
      <c r="G28996"/>
      <c r="H28996"/>
      <c r="I28996"/>
    </row>
    <row r="28997" spans="6:9" x14ac:dyDescent="0.3">
      <c r="F28997"/>
      <c r="G28997"/>
      <c r="H28997"/>
      <c r="I28997"/>
    </row>
    <row r="28998" spans="6:9" x14ac:dyDescent="0.3">
      <c r="F28998"/>
      <c r="G28998"/>
      <c r="H28998"/>
      <c r="I28998"/>
    </row>
    <row r="28999" spans="6:9" x14ac:dyDescent="0.3">
      <c r="F28999"/>
      <c r="G28999"/>
      <c r="H28999"/>
      <c r="I28999"/>
    </row>
    <row r="29000" spans="6:9" x14ac:dyDescent="0.3">
      <c r="F29000"/>
      <c r="G29000"/>
      <c r="H29000"/>
      <c r="I29000"/>
    </row>
    <row r="29001" spans="6:9" x14ac:dyDescent="0.3">
      <c r="F29001"/>
      <c r="G29001"/>
      <c r="H29001"/>
      <c r="I29001"/>
    </row>
    <row r="29002" spans="6:9" x14ac:dyDescent="0.3">
      <c r="F29002"/>
      <c r="G29002"/>
      <c r="H29002"/>
      <c r="I29002"/>
    </row>
    <row r="29003" spans="6:9" x14ac:dyDescent="0.3">
      <c r="F29003"/>
      <c r="G29003"/>
      <c r="H29003"/>
      <c r="I29003"/>
    </row>
    <row r="29004" spans="6:9" x14ac:dyDescent="0.3">
      <c r="F29004"/>
      <c r="G29004"/>
      <c r="H29004"/>
      <c r="I29004"/>
    </row>
    <row r="29005" spans="6:9" x14ac:dyDescent="0.3">
      <c r="F29005"/>
      <c r="G29005"/>
      <c r="H29005"/>
      <c r="I29005"/>
    </row>
    <row r="29006" spans="6:9" x14ac:dyDescent="0.3">
      <c r="F29006"/>
      <c r="G29006"/>
      <c r="H29006"/>
      <c r="I29006"/>
    </row>
    <row r="29007" spans="6:9" x14ac:dyDescent="0.3">
      <c r="F29007"/>
      <c r="G29007"/>
      <c r="H29007"/>
      <c r="I29007"/>
    </row>
    <row r="29008" spans="6:9" x14ac:dyDescent="0.3">
      <c r="F29008"/>
      <c r="G29008"/>
      <c r="H29008"/>
      <c r="I29008"/>
    </row>
    <row r="29009" spans="6:9" x14ac:dyDescent="0.3">
      <c r="F29009"/>
      <c r="G29009"/>
      <c r="H29009"/>
      <c r="I29009"/>
    </row>
    <row r="29010" spans="6:9" x14ac:dyDescent="0.3">
      <c r="F29010"/>
      <c r="G29010"/>
      <c r="H29010"/>
      <c r="I29010"/>
    </row>
    <row r="29011" spans="6:9" x14ac:dyDescent="0.3">
      <c r="F29011"/>
      <c r="G29011"/>
      <c r="H29011"/>
      <c r="I29011"/>
    </row>
    <row r="29012" spans="6:9" x14ac:dyDescent="0.3">
      <c r="F29012"/>
      <c r="G29012"/>
      <c r="H29012"/>
      <c r="I29012"/>
    </row>
    <row r="29013" spans="6:9" x14ac:dyDescent="0.3">
      <c r="F29013"/>
      <c r="G29013"/>
      <c r="H29013"/>
      <c r="I29013"/>
    </row>
    <row r="29014" spans="6:9" x14ac:dyDescent="0.3">
      <c r="F29014"/>
      <c r="G29014"/>
      <c r="H29014"/>
      <c r="I29014"/>
    </row>
    <row r="29015" spans="6:9" x14ac:dyDescent="0.3">
      <c r="F29015"/>
      <c r="G29015"/>
      <c r="H29015"/>
      <c r="I29015"/>
    </row>
    <row r="29016" spans="6:9" x14ac:dyDescent="0.3">
      <c r="F29016"/>
      <c r="G29016"/>
      <c r="H29016"/>
      <c r="I29016"/>
    </row>
    <row r="29017" spans="6:9" x14ac:dyDescent="0.3">
      <c r="F29017"/>
      <c r="G29017"/>
      <c r="H29017"/>
      <c r="I29017"/>
    </row>
    <row r="29018" spans="6:9" x14ac:dyDescent="0.3">
      <c r="F29018"/>
      <c r="G29018"/>
      <c r="H29018"/>
      <c r="I29018"/>
    </row>
    <row r="29019" spans="6:9" x14ac:dyDescent="0.3">
      <c r="F29019"/>
      <c r="G29019"/>
      <c r="H29019"/>
      <c r="I29019"/>
    </row>
    <row r="29020" spans="6:9" x14ac:dyDescent="0.3">
      <c r="F29020"/>
      <c r="G29020"/>
      <c r="H29020"/>
      <c r="I29020"/>
    </row>
    <row r="29021" spans="6:9" x14ac:dyDescent="0.3">
      <c r="F29021"/>
      <c r="G29021"/>
      <c r="H29021"/>
      <c r="I29021"/>
    </row>
    <row r="29022" spans="6:9" x14ac:dyDescent="0.3">
      <c r="F29022"/>
      <c r="G29022"/>
      <c r="H29022"/>
      <c r="I29022"/>
    </row>
    <row r="29023" spans="6:9" x14ac:dyDescent="0.3">
      <c r="F29023"/>
      <c r="G29023"/>
      <c r="H29023"/>
      <c r="I29023"/>
    </row>
    <row r="29024" spans="6:9" x14ac:dyDescent="0.3">
      <c r="F29024"/>
      <c r="G29024"/>
      <c r="H29024"/>
      <c r="I29024"/>
    </row>
    <row r="29025" spans="6:9" x14ac:dyDescent="0.3">
      <c r="F29025"/>
      <c r="G29025"/>
      <c r="H29025"/>
      <c r="I29025"/>
    </row>
    <row r="29026" spans="6:9" x14ac:dyDescent="0.3">
      <c r="F29026"/>
      <c r="G29026"/>
      <c r="H29026"/>
      <c r="I29026"/>
    </row>
    <row r="29027" spans="6:9" x14ac:dyDescent="0.3">
      <c r="F29027"/>
      <c r="G29027"/>
      <c r="H29027"/>
      <c r="I29027"/>
    </row>
    <row r="29028" spans="6:9" x14ac:dyDescent="0.3">
      <c r="F29028"/>
      <c r="G29028"/>
      <c r="H29028"/>
      <c r="I29028"/>
    </row>
    <row r="29029" spans="6:9" x14ac:dyDescent="0.3">
      <c r="F29029"/>
      <c r="G29029"/>
      <c r="H29029"/>
      <c r="I29029"/>
    </row>
    <row r="29030" spans="6:9" x14ac:dyDescent="0.3">
      <c r="F29030"/>
      <c r="G29030"/>
      <c r="H29030"/>
      <c r="I29030"/>
    </row>
    <row r="29031" spans="6:9" x14ac:dyDescent="0.3">
      <c r="F29031"/>
      <c r="G29031"/>
      <c r="H29031"/>
      <c r="I29031"/>
    </row>
    <row r="29032" spans="6:9" x14ac:dyDescent="0.3">
      <c r="F29032"/>
      <c r="G29032"/>
      <c r="H29032"/>
      <c r="I29032"/>
    </row>
    <row r="29033" spans="6:9" x14ac:dyDescent="0.3">
      <c r="F29033"/>
      <c r="G29033"/>
      <c r="H29033"/>
      <c r="I29033"/>
    </row>
    <row r="29034" spans="6:9" x14ac:dyDescent="0.3">
      <c r="F29034"/>
      <c r="G29034"/>
      <c r="H29034"/>
      <c r="I29034"/>
    </row>
    <row r="29035" spans="6:9" x14ac:dyDescent="0.3">
      <c r="F29035"/>
      <c r="G29035"/>
      <c r="H29035"/>
      <c r="I29035"/>
    </row>
    <row r="29036" spans="6:9" x14ac:dyDescent="0.3">
      <c r="F29036"/>
      <c r="G29036"/>
      <c r="H29036"/>
      <c r="I29036"/>
    </row>
    <row r="29037" spans="6:9" x14ac:dyDescent="0.3">
      <c r="F29037"/>
      <c r="G29037"/>
      <c r="H29037"/>
      <c r="I29037"/>
    </row>
    <row r="29038" spans="6:9" x14ac:dyDescent="0.3">
      <c r="F29038"/>
      <c r="G29038"/>
      <c r="H29038"/>
      <c r="I29038"/>
    </row>
    <row r="29039" spans="6:9" x14ac:dyDescent="0.3">
      <c r="F29039"/>
      <c r="G29039"/>
      <c r="H29039"/>
      <c r="I29039"/>
    </row>
    <row r="29040" spans="6:9" x14ac:dyDescent="0.3">
      <c r="F29040"/>
      <c r="G29040"/>
      <c r="H29040"/>
      <c r="I29040"/>
    </row>
    <row r="29041" spans="6:9" x14ac:dyDescent="0.3">
      <c r="F29041"/>
      <c r="G29041"/>
      <c r="H29041"/>
      <c r="I29041"/>
    </row>
    <row r="29042" spans="6:9" x14ac:dyDescent="0.3">
      <c r="F29042"/>
      <c r="G29042"/>
      <c r="H29042"/>
      <c r="I29042"/>
    </row>
    <row r="29043" spans="6:9" x14ac:dyDescent="0.3">
      <c r="F29043"/>
      <c r="G29043"/>
      <c r="H29043"/>
      <c r="I29043"/>
    </row>
    <row r="29044" spans="6:9" x14ac:dyDescent="0.3">
      <c r="F29044"/>
      <c r="G29044"/>
      <c r="H29044"/>
      <c r="I29044"/>
    </row>
    <row r="29045" spans="6:9" x14ac:dyDescent="0.3">
      <c r="F29045"/>
      <c r="G29045"/>
      <c r="H29045"/>
      <c r="I29045"/>
    </row>
    <row r="29046" spans="6:9" x14ac:dyDescent="0.3">
      <c r="F29046"/>
      <c r="G29046"/>
      <c r="H29046"/>
      <c r="I29046"/>
    </row>
    <row r="29047" spans="6:9" x14ac:dyDescent="0.3">
      <c r="F29047"/>
      <c r="G29047"/>
      <c r="H29047"/>
      <c r="I29047"/>
    </row>
    <row r="29048" spans="6:9" x14ac:dyDescent="0.3">
      <c r="F29048"/>
      <c r="G29048"/>
      <c r="H29048"/>
      <c r="I29048"/>
    </row>
    <row r="29049" spans="6:9" x14ac:dyDescent="0.3">
      <c r="F29049"/>
      <c r="G29049"/>
      <c r="H29049"/>
      <c r="I29049"/>
    </row>
    <row r="29050" spans="6:9" x14ac:dyDescent="0.3">
      <c r="F29050"/>
      <c r="G29050"/>
      <c r="H29050"/>
      <c r="I29050"/>
    </row>
    <row r="29051" spans="6:9" x14ac:dyDescent="0.3">
      <c r="F29051"/>
      <c r="G29051"/>
      <c r="H29051"/>
      <c r="I29051"/>
    </row>
    <row r="29052" spans="6:9" x14ac:dyDescent="0.3">
      <c r="F29052"/>
      <c r="G29052"/>
      <c r="H29052"/>
      <c r="I29052"/>
    </row>
    <row r="29053" spans="6:9" x14ac:dyDescent="0.3">
      <c r="F29053"/>
      <c r="G29053"/>
      <c r="H29053"/>
      <c r="I29053"/>
    </row>
    <row r="29054" spans="6:9" x14ac:dyDescent="0.3">
      <c r="F29054"/>
      <c r="G29054"/>
      <c r="H29054"/>
      <c r="I29054"/>
    </row>
    <row r="29055" spans="6:9" x14ac:dyDescent="0.3">
      <c r="F29055"/>
      <c r="G29055"/>
      <c r="H29055"/>
      <c r="I29055"/>
    </row>
    <row r="29056" spans="6:9" x14ac:dyDescent="0.3">
      <c r="F29056"/>
      <c r="G29056"/>
      <c r="H29056"/>
      <c r="I29056"/>
    </row>
    <row r="29057" spans="6:9" x14ac:dyDescent="0.3">
      <c r="F29057"/>
      <c r="G29057"/>
      <c r="H29057"/>
      <c r="I29057"/>
    </row>
    <row r="29058" spans="6:9" x14ac:dyDescent="0.3">
      <c r="F29058"/>
      <c r="G29058"/>
      <c r="H29058"/>
      <c r="I29058"/>
    </row>
    <row r="29059" spans="6:9" x14ac:dyDescent="0.3">
      <c r="F29059"/>
      <c r="G29059"/>
      <c r="H29059"/>
      <c r="I29059"/>
    </row>
    <row r="29060" spans="6:9" x14ac:dyDescent="0.3">
      <c r="F29060"/>
      <c r="G29060"/>
      <c r="H29060"/>
      <c r="I29060"/>
    </row>
    <row r="29061" spans="6:9" x14ac:dyDescent="0.3">
      <c r="F29061"/>
      <c r="G29061"/>
      <c r="H29061"/>
      <c r="I29061"/>
    </row>
    <row r="29062" spans="6:9" x14ac:dyDescent="0.3">
      <c r="F29062"/>
      <c r="G29062"/>
      <c r="H29062"/>
      <c r="I29062"/>
    </row>
    <row r="29063" spans="6:9" x14ac:dyDescent="0.3">
      <c r="F29063"/>
      <c r="G29063"/>
      <c r="H29063"/>
      <c r="I29063"/>
    </row>
    <row r="29064" spans="6:9" x14ac:dyDescent="0.3">
      <c r="F29064"/>
      <c r="G29064"/>
      <c r="H29064"/>
      <c r="I29064"/>
    </row>
    <row r="29065" spans="6:9" x14ac:dyDescent="0.3">
      <c r="F29065"/>
      <c r="G29065"/>
      <c r="H29065"/>
      <c r="I29065"/>
    </row>
    <row r="29066" spans="6:9" x14ac:dyDescent="0.3">
      <c r="F29066"/>
      <c r="G29066"/>
      <c r="H29066"/>
      <c r="I29066"/>
    </row>
    <row r="29067" spans="6:9" x14ac:dyDescent="0.3">
      <c r="F29067"/>
      <c r="G29067"/>
      <c r="H29067"/>
      <c r="I29067"/>
    </row>
    <row r="29068" spans="6:9" x14ac:dyDescent="0.3">
      <c r="F29068"/>
      <c r="G29068"/>
      <c r="H29068"/>
      <c r="I29068"/>
    </row>
    <row r="29069" spans="6:9" x14ac:dyDescent="0.3">
      <c r="F29069"/>
      <c r="G29069"/>
      <c r="H29069"/>
      <c r="I29069"/>
    </row>
    <row r="29070" spans="6:9" x14ac:dyDescent="0.3">
      <c r="F29070"/>
      <c r="G29070"/>
      <c r="H29070"/>
      <c r="I29070"/>
    </row>
    <row r="29071" spans="6:9" x14ac:dyDescent="0.3">
      <c r="F29071"/>
      <c r="G29071"/>
      <c r="H29071"/>
      <c r="I29071"/>
    </row>
    <row r="29072" spans="6:9" x14ac:dyDescent="0.3">
      <c r="F29072"/>
      <c r="G29072"/>
      <c r="H29072"/>
      <c r="I29072"/>
    </row>
    <row r="29073" spans="6:9" x14ac:dyDescent="0.3">
      <c r="F29073"/>
      <c r="G29073"/>
      <c r="H29073"/>
      <c r="I29073"/>
    </row>
    <row r="29074" spans="6:9" x14ac:dyDescent="0.3">
      <c r="F29074"/>
      <c r="G29074"/>
      <c r="H29074"/>
      <c r="I29074"/>
    </row>
    <row r="29075" spans="6:9" x14ac:dyDescent="0.3">
      <c r="F29075"/>
      <c r="G29075"/>
      <c r="H29075"/>
      <c r="I29075"/>
    </row>
    <row r="29076" spans="6:9" x14ac:dyDescent="0.3">
      <c r="F29076"/>
      <c r="G29076"/>
      <c r="H29076"/>
      <c r="I29076"/>
    </row>
    <row r="29077" spans="6:9" x14ac:dyDescent="0.3">
      <c r="F29077"/>
      <c r="G29077"/>
      <c r="H29077"/>
      <c r="I29077"/>
    </row>
    <row r="29078" spans="6:9" x14ac:dyDescent="0.3">
      <c r="F29078"/>
      <c r="G29078"/>
      <c r="H29078"/>
      <c r="I29078"/>
    </row>
    <row r="29079" spans="6:9" x14ac:dyDescent="0.3">
      <c r="F29079"/>
      <c r="G29079"/>
      <c r="H29079"/>
      <c r="I29079"/>
    </row>
    <row r="29080" spans="6:9" x14ac:dyDescent="0.3">
      <c r="F29080"/>
      <c r="G29080"/>
      <c r="H29080"/>
      <c r="I29080"/>
    </row>
    <row r="29081" spans="6:9" x14ac:dyDescent="0.3">
      <c r="F29081"/>
      <c r="G29081"/>
      <c r="H29081"/>
      <c r="I29081"/>
    </row>
    <row r="29082" spans="6:9" x14ac:dyDescent="0.3">
      <c r="F29082"/>
      <c r="G29082"/>
      <c r="H29082"/>
      <c r="I29082"/>
    </row>
    <row r="29083" spans="6:9" x14ac:dyDescent="0.3">
      <c r="F29083"/>
      <c r="G29083"/>
      <c r="H29083"/>
      <c r="I29083"/>
    </row>
    <row r="29084" spans="6:9" x14ac:dyDescent="0.3">
      <c r="F29084"/>
      <c r="G29084"/>
      <c r="H29084"/>
      <c r="I29084"/>
    </row>
    <row r="29085" spans="6:9" x14ac:dyDescent="0.3">
      <c r="F29085"/>
      <c r="G29085"/>
      <c r="H29085"/>
      <c r="I29085"/>
    </row>
    <row r="29086" spans="6:9" x14ac:dyDescent="0.3">
      <c r="F29086"/>
      <c r="G29086"/>
      <c r="H29086"/>
      <c r="I29086"/>
    </row>
    <row r="29087" spans="6:9" x14ac:dyDescent="0.3">
      <c r="F29087"/>
      <c r="G29087"/>
      <c r="H29087"/>
      <c r="I29087"/>
    </row>
    <row r="29088" spans="6:9" x14ac:dyDescent="0.3">
      <c r="F29088"/>
      <c r="G29088"/>
      <c r="H29088"/>
      <c r="I29088"/>
    </row>
    <row r="29089" spans="6:9" x14ac:dyDescent="0.3">
      <c r="F29089"/>
      <c r="G29089"/>
      <c r="H29089"/>
      <c r="I29089"/>
    </row>
    <row r="29090" spans="6:9" x14ac:dyDescent="0.3">
      <c r="F29090"/>
      <c r="G29090"/>
      <c r="H29090"/>
      <c r="I29090"/>
    </row>
    <row r="29091" spans="6:9" x14ac:dyDescent="0.3">
      <c r="F29091"/>
      <c r="G29091"/>
      <c r="H29091"/>
      <c r="I29091"/>
    </row>
    <row r="29092" spans="6:9" x14ac:dyDescent="0.3">
      <c r="F29092"/>
      <c r="G29092"/>
      <c r="H29092"/>
      <c r="I29092"/>
    </row>
    <row r="29093" spans="6:9" x14ac:dyDescent="0.3">
      <c r="F29093"/>
      <c r="G29093"/>
      <c r="H29093"/>
      <c r="I29093"/>
    </row>
    <row r="29094" spans="6:9" x14ac:dyDescent="0.3">
      <c r="F29094"/>
      <c r="G29094"/>
      <c r="H29094"/>
      <c r="I29094"/>
    </row>
    <row r="29095" spans="6:9" x14ac:dyDescent="0.3">
      <c r="F29095"/>
      <c r="G29095"/>
      <c r="H29095"/>
      <c r="I29095"/>
    </row>
    <row r="29096" spans="6:9" x14ac:dyDescent="0.3">
      <c r="F29096"/>
      <c r="G29096"/>
      <c r="H29096"/>
      <c r="I29096"/>
    </row>
    <row r="29097" spans="6:9" x14ac:dyDescent="0.3">
      <c r="F29097"/>
      <c r="G29097"/>
      <c r="H29097"/>
      <c r="I29097"/>
    </row>
    <row r="29098" spans="6:9" x14ac:dyDescent="0.3">
      <c r="F29098"/>
      <c r="G29098"/>
      <c r="H29098"/>
      <c r="I29098"/>
    </row>
    <row r="29099" spans="6:9" x14ac:dyDescent="0.3">
      <c r="F29099"/>
      <c r="G29099"/>
      <c r="H29099"/>
      <c r="I29099"/>
    </row>
    <row r="29100" spans="6:9" x14ac:dyDescent="0.3">
      <c r="F29100"/>
      <c r="G29100"/>
      <c r="H29100"/>
      <c r="I29100"/>
    </row>
    <row r="29101" spans="6:9" x14ac:dyDescent="0.3">
      <c r="F29101"/>
      <c r="G29101"/>
      <c r="H29101"/>
      <c r="I29101"/>
    </row>
    <row r="29102" spans="6:9" x14ac:dyDescent="0.3">
      <c r="F29102"/>
      <c r="G29102"/>
      <c r="H29102"/>
      <c r="I29102"/>
    </row>
    <row r="29103" spans="6:9" x14ac:dyDescent="0.3">
      <c r="F29103"/>
      <c r="G29103"/>
      <c r="H29103"/>
      <c r="I29103"/>
    </row>
    <row r="29104" spans="6:9" x14ac:dyDescent="0.3">
      <c r="F29104"/>
      <c r="G29104"/>
      <c r="H29104"/>
      <c r="I29104"/>
    </row>
    <row r="29105" spans="6:9" x14ac:dyDescent="0.3">
      <c r="F29105"/>
      <c r="G29105"/>
      <c r="H29105"/>
      <c r="I29105"/>
    </row>
    <row r="29106" spans="6:9" x14ac:dyDescent="0.3">
      <c r="F29106"/>
      <c r="G29106"/>
      <c r="H29106"/>
      <c r="I29106"/>
    </row>
    <row r="29107" spans="6:9" x14ac:dyDescent="0.3">
      <c r="F29107"/>
      <c r="G29107"/>
      <c r="H29107"/>
      <c r="I29107"/>
    </row>
    <row r="29108" spans="6:9" x14ac:dyDescent="0.3">
      <c r="F29108"/>
      <c r="G29108"/>
      <c r="H29108"/>
      <c r="I29108"/>
    </row>
    <row r="29109" spans="6:9" x14ac:dyDescent="0.3">
      <c r="F29109"/>
      <c r="G29109"/>
      <c r="H29109"/>
      <c r="I29109"/>
    </row>
    <row r="29110" spans="6:9" x14ac:dyDescent="0.3">
      <c r="F29110"/>
      <c r="G29110"/>
      <c r="H29110"/>
      <c r="I29110"/>
    </row>
    <row r="29111" spans="6:9" x14ac:dyDescent="0.3">
      <c r="F29111"/>
      <c r="G29111"/>
      <c r="H29111"/>
      <c r="I29111"/>
    </row>
    <row r="29112" spans="6:9" x14ac:dyDescent="0.3">
      <c r="F29112"/>
      <c r="G29112"/>
      <c r="H29112"/>
      <c r="I29112"/>
    </row>
    <row r="29113" spans="6:9" x14ac:dyDescent="0.3">
      <c r="F29113"/>
      <c r="G29113"/>
      <c r="H29113"/>
      <c r="I29113"/>
    </row>
    <row r="29114" spans="6:9" x14ac:dyDescent="0.3">
      <c r="F29114"/>
      <c r="G29114"/>
      <c r="H29114"/>
      <c r="I29114"/>
    </row>
    <row r="29115" spans="6:9" x14ac:dyDescent="0.3">
      <c r="F29115"/>
      <c r="G29115"/>
      <c r="H29115"/>
      <c r="I29115"/>
    </row>
    <row r="29116" spans="6:9" x14ac:dyDescent="0.3">
      <c r="F29116"/>
      <c r="G29116"/>
      <c r="H29116"/>
      <c r="I29116"/>
    </row>
    <row r="29117" spans="6:9" x14ac:dyDescent="0.3">
      <c r="F29117"/>
      <c r="G29117"/>
      <c r="H29117"/>
      <c r="I29117"/>
    </row>
    <row r="29118" spans="6:9" x14ac:dyDescent="0.3">
      <c r="F29118"/>
      <c r="G29118"/>
      <c r="H29118"/>
      <c r="I29118"/>
    </row>
    <row r="29119" spans="6:9" x14ac:dyDescent="0.3">
      <c r="F29119"/>
      <c r="G29119"/>
      <c r="H29119"/>
      <c r="I29119"/>
    </row>
    <row r="29120" spans="6:9" x14ac:dyDescent="0.3">
      <c r="F29120"/>
      <c r="G29120"/>
      <c r="H29120"/>
      <c r="I29120"/>
    </row>
    <row r="29121" spans="6:9" x14ac:dyDescent="0.3">
      <c r="F29121"/>
      <c r="G29121"/>
      <c r="H29121"/>
      <c r="I29121"/>
    </row>
    <row r="29122" spans="6:9" x14ac:dyDescent="0.3">
      <c r="F29122"/>
      <c r="G29122"/>
      <c r="H29122"/>
      <c r="I29122"/>
    </row>
    <row r="29123" spans="6:9" x14ac:dyDescent="0.3">
      <c r="F29123"/>
      <c r="G29123"/>
      <c r="H29123"/>
      <c r="I29123"/>
    </row>
    <row r="29124" spans="6:9" x14ac:dyDescent="0.3">
      <c r="F29124"/>
      <c r="G29124"/>
      <c r="H29124"/>
      <c r="I29124"/>
    </row>
    <row r="29125" spans="6:9" x14ac:dyDescent="0.3">
      <c r="F29125"/>
      <c r="G29125"/>
      <c r="H29125"/>
      <c r="I29125"/>
    </row>
    <row r="29126" spans="6:9" x14ac:dyDescent="0.3">
      <c r="F29126"/>
      <c r="G29126"/>
      <c r="H29126"/>
      <c r="I29126"/>
    </row>
    <row r="29127" spans="6:9" x14ac:dyDescent="0.3">
      <c r="F29127"/>
      <c r="G29127"/>
      <c r="H29127"/>
      <c r="I29127"/>
    </row>
    <row r="29128" spans="6:9" x14ac:dyDescent="0.3">
      <c r="F29128"/>
      <c r="G29128"/>
      <c r="H29128"/>
      <c r="I29128"/>
    </row>
    <row r="29129" spans="6:9" x14ac:dyDescent="0.3">
      <c r="F29129"/>
      <c r="G29129"/>
      <c r="H29129"/>
      <c r="I29129"/>
    </row>
    <row r="29130" spans="6:9" x14ac:dyDescent="0.3">
      <c r="F29130"/>
      <c r="G29130"/>
      <c r="H29130"/>
      <c r="I29130"/>
    </row>
    <row r="29131" spans="6:9" x14ac:dyDescent="0.3">
      <c r="F29131"/>
      <c r="G29131"/>
      <c r="H29131"/>
      <c r="I29131"/>
    </row>
    <row r="29132" spans="6:9" x14ac:dyDescent="0.3">
      <c r="F29132"/>
      <c r="G29132"/>
      <c r="H29132"/>
      <c r="I29132"/>
    </row>
    <row r="29133" spans="6:9" x14ac:dyDescent="0.3">
      <c r="F29133"/>
      <c r="G29133"/>
      <c r="H29133"/>
      <c r="I29133"/>
    </row>
    <row r="29134" spans="6:9" x14ac:dyDescent="0.3">
      <c r="F29134"/>
      <c r="G29134"/>
      <c r="H29134"/>
      <c r="I29134"/>
    </row>
    <row r="29135" spans="6:9" x14ac:dyDescent="0.3">
      <c r="F29135"/>
      <c r="G29135"/>
      <c r="H29135"/>
      <c r="I29135"/>
    </row>
    <row r="29136" spans="6:9" x14ac:dyDescent="0.3">
      <c r="F29136"/>
      <c r="G29136"/>
      <c r="H29136"/>
      <c r="I29136"/>
    </row>
    <row r="29137" spans="6:9" x14ac:dyDescent="0.3">
      <c r="F29137"/>
      <c r="G29137"/>
      <c r="H29137"/>
      <c r="I29137"/>
    </row>
    <row r="29138" spans="6:9" x14ac:dyDescent="0.3">
      <c r="F29138"/>
      <c r="G29138"/>
      <c r="H29138"/>
      <c r="I29138"/>
    </row>
    <row r="29139" spans="6:9" x14ac:dyDescent="0.3">
      <c r="F29139"/>
      <c r="G29139"/>
      <c r="H29139"/>
      <c r="I29139"/>
    </row>
    <row r="29140" spans="6:9" x14ac:dyDescent="0.3">
      <c r="F29140"/>
      <c r="G29140"/>
      <c r="H29140"/>
      <c r="I29140"/>
    </row>
    <row r="29141" spans="6:9" x14ac:dyDescent="0.3">
      <c r="F29141"/>
      <c r="G29141"/>
      <c r="H29141"/>
      <c r="I29141"/>
    </row>
    <row r="29142" spans="6:9" x14ac:dyDescent="0.3">
      <c r="F29142"/>
      <c r="G29142"/>
      <c r="H29142"/>
      <c r="I29142"/>
    </row>
    <row r="29143" spans="6:9" x14ac:dyDescent="0.3">
      <c r="F29143"/>
      <c r="G29143"/>
      <c r="H29143"/>
      <c r="I29143"/>
    </row>
    <row r="29144" spans="6:9" x14ac:dyDescent="0.3">
      <c r="F29144"/>
      <c r="G29144"/>
      <c r="H29144"/>
      <c r="I29144"/>
    </row>
    <row r="29145" spans="6:9" x14ac:dyDescent="0.3">
      <c r="F29145"/>
      <c r="G29145"/>
      <c r="H29145"/>
      <c r="I29145"/>
    </row>
    <row r="29146" spans="6:9" x14ac:dyDescent="0.3">
      <c r="F29146"/>
      <c r="G29146"/>
      <c r="H29146"/>
      <c r="I29146"/>
    </row>
    <row r="29147" spans="6:9" x14ac:dyDescent="0.3">
      <c r="F29147"/>
      <c r="G29147"/>
      <c r="H29147"/>
      <c r="I29147"/>
    </row>
    <row r="29148" spans="6:9" x14ac:dyDescent="0.3">
      <c r="F29148"/>
      <c r="G29148"/>
      <c r="H29148"/>
      <c r="I29148"/>
    </row>
    <row r="29149" spans="6:9" x14ac:dyDescent="0.3">
      <c r="F29149"/>
      <c r="G29149"/>
      <c r="H29149"/>
      <c r="I29149"/>
    </row>
    <row r="29150" spans="6:9" x14ac:dyDescent="0.3">
      <c r="F29150"/>
      <c r="G29150"/>
      <c r="H29150"/>
      <c r="I29150"/>
    </row>
    <row r="29151" spans="6:9" x14ac:dyDescent="0.3">
      <c r="F29151"/>
      <c r="G29151"/>
      <c r="H29151"/>
      <c r="I29151"/>
    </row>
    <row r="29152" spans="6:9" x14ac:dyDescent="0.3">
      <c r="F29152"/>
      <c r="G29152"/>
      <c r="H29152"/>
      <c r="I29152"/>
    </row>
    <row r="29153" spans="6:9" x14ac:dyDescent="0.3">
      <c r="F29153"/>
      <c r="G29153"/>
      <c r="H29153"/>
      <c r="I29153"/>
    </row>
    <row r="29154" spans="6:9" x14ac:dyDescent="0.3">
      <c r="F29154"/>
      <c r="G29154"/>
      <c r="H29154"/>
      <c r="I29154"/>
    </row>
    <row r="29155" spans="6:9" x14ac:dyDescent="0.3">
      <c r="F29155"/>
      <c r="G29155"/>
      <c r="H29155"/>
      <c r="I29155"/>
    </row>
    <row r="29156" spans="6:9" x14ac:dyDescent="0.3">
      <c r="F29156"/>
      <c r="G29156"/>
      <c r="H29156"/>
      <c r="I29156"/>
    </row>
    <row r="29157" spans="6:9" x14ac:dyDescent="0.3">
      <c r="F29157"/>
      <c r="G29157"/>
      <c r="H29157"/>
      <c r="I29157"/>
    </row>
    <row r="29158" spans="6:9" x14ac:dyDescent="0.3">
      <c r="F29158"/>
      <c r="G29158"/>
      <c r="H29158"/>
      <c r="I29158"/>
    </row>
    <row r="29159" spans="6:9" x14ac:dyDescent="0.3">
      <c r="F29159"/>
      <c r="G29159"/>
      <c r="H29159"/>
      <c r="I29159"/>
    </row>
    <row r="29160" spans="6:9" x14ac:dyDescent="0.3">
      <c r="F29160"/>
      <c r="G29160"/>
      <c r="H29160"/>
      <c r="I29160"/>
    </row>
    <row r="29161" spans="6:9" x14ac:dyDescent="0.3">
      <c r="F29161"/>
      <c r="G29161"/>
      <c r="H29161"/>
      <c r="I29161"/>
    </row>
    <row r="29162" spans="6:9" x14ac:dyDescent="0.3">
      <c r="F29162"/>
      <c r="G29162"/>
      <c r="H29162"/>
      <c r="I29162"/>
    </row>
    <row r="29163" spans="6:9" x14ac:dyDescent="0.3">
      <c r="F29163"/>
      <c r="G29163"/>
      <c r="H29163"/>
      <c r="I29163"/>
    </row>
    <row r="29164" spans="6:9" x14ac:dyDescent="0.3">
      <c r="F29164"/>
      <c r="G29164"/>
      <c r="H29164"/>
      <c r="I29164"/>
    </row>
    <row r="29165" spans="6:9" x14ac:dyDescent="0.3">
      <c r="F29165"/>
      <c r="G29165"/>
      <c r="H29165"/>
      <c r="I29165"/>
    </row>
    <row r="29166" spans="6:9" x14ac:dyDescent="0.3">
      <c r="F29166"/>
      <c r="G29166"/>
      <c r="H29166"/>
      <c r="I29166"/>
    </row>
    <row r="29167" spans="6:9" x14ac:dyDescent="0.3">
      <c r="F29167"/>
      <c r="G29167"/>
      <c r="H29167"/>
      <c r="I29167"/>
    </row>
    <row r="29168" spans="6:9" x14ac:dyDescent="0.3">
      <c r="F29168"/>
      <c r="G29168"/>
      <c r="H29168"/>
      <c r="I29168"/>
    </row>
    <row r="29169" spans="6:9" x14ac:dyDescent="0.3">
      <c r="F29169"/>
      <c r="G29169"/>
      <c r="H29169"/>
      <c r="I29169"/>
    </row>
    <row r="29170" spans="6:9" x14ac:dyDescent="0.3">
      <c r="F29170"/>
      <c r="G29170"/>
      <c r="H29170"/>
      <c r="I29170"/>
    </row>
    <row r="29171" spans="6:9" x14ac:dyDescent="0.3">
      <c r="F29171"/>
      <c r="G29171"/>
      <c r="H29171"/>
      <c r="I29171"/>
    </row>
    <row r="29172" spans="6:9" x14ac:dyDescent="0.3">
      <c r="F29172"/>
      <c r="G29172"/>
      <c r="H29172"/>
      <c r="I29172"/>
    </row>
    <row r="29173" spans="6:9" x14ac:dyDescent="0.3">
      <c r="F29173"/>
      <c r="G29173"/>
      <c r="H29173"/>
      <c r="I29173"/>
    </row>
    <row r="29174" spans="6:9" x14ac:dyDescent="0.3">
      <c r="F29174"/>
      <c r="G29174"/>
      <c r="H29174"/>
      <c r="I29174"/>
    </row>
    <row r="29175" spans="6:9" x14ac:dyDescent="0.3">
      <c r="F29175"/>
      <c r="G29175"/>
      <c r="H29175"/>
      <c r="I29175"/>
    </row>
    <row r="29176" spans="6:9" x14ac:dyDescent="0.3">
      <c r="F29176"/>
      <c r="G29176"/>
      <c r="H29176"/>
      <c r="I29176"/>
    </row>
    <row r="29177" spans="6:9" x14ac:dyDescent="0.3">
      <c r="F29177"/>
      <c r="G29177"/>
      <c r="H29177"/>
      <c r="I29177"/>
    </row>
    <row r="29178" spans="6:9" x14ac:dyDescent="0.3">
      <c r="F29178"/>
      <c r="G29178"/>
      <c r="H29178"/>
      <c r="I29178"/>
    </row>
    <row r="29179" spans="6:9" x14ac:dyDescent="0.3">
      <c r="F29179"/>
      <c r="G29179"/>
      <c r="H29179"/>
      <c r="I29179"/>
    </row>
    <row r="29180" spans="6:9" x14ac:dyDescent="0.3">
      <c r="F29180"/>
      <c r="G29180"/>
      <c r="H29180"/>
      <c r="I29180"/>
    </row>
    <row r="29181" spans="6:9" x14ac:dyDescent="0.3">
      <c r="F29181"/>
      <c r="G29181"/>
      <c r="H29181"/>
      <c r="I29181"/>
    </row>
    <row r="29182" spans="6:9" x14ac:dyDescent="0.3">
      <c r="F29182"/>
      <c r="G29182"/>
      <c r="H29182"/>
      <c r="I29182"/>
    </row>
    <row r="29183" spans="6:9" x14ac:dyDescent="0.3">
      <c r="F29183"/>
      <c r="G29183"/>
      <c r="H29183"/>
      <c r="I29183"/>
    </row>
    <row r="29184" spans="6:9" x14ac:dyDescent="0.3">
      <c r="F29184"/>
      <c r="G29184"/>
      <c r="H29184"/>
      <c r="I29184"/>
    </row>
    <row r="29185" spans="6:9" x14ac:dyDescent="0.3">
      <c r="F29185"/>
      <c r="G29185"/>
      <c r="H29185"/>
      <c r="I29185"/>
    </row>
    <row r="29186" spans="6:9" x14ac:dyDescent="0.3">
      <c r="F29186"/>
      <c r="G29186"/>
      <c r="H29186"/>
      <c r="I29186"/>
    </row>
    <row r="29187" spans="6:9" x14ac:dyDescent="0.3">
      <c r="F29187"/>
      <c r="G29187"/>
      <c r="H29187"/>
      <c r="I29187"/>
    </row>
    <row r="29188" spans="6:9" x14ac:dyDescent="0.3">
      <c r="F29188"/>
      <c r="G29188"/>
      <c r="H29188"/>
      <c r="I29188"/>
    </row>
    <row r="29189" spans="6:9" x14ac:dyDescent="0.3">
      <c r="F29189"/>
      <c r="G29189"/>
      <c r="H29189"/>
      <c r="I29189"/>
    </row>
    <row r="29190" spans="6:9" x14ac:dyDescent="0.3">
      <c r="F29190"/>
      <c r="G29190"/>
      <c r="H29190"/>
      <c r="I29190"/>
    </row>
    <row r="29191" spans="6:9" x14ac:dyDescent="0.3">
      <c r="F29191"/>
      <c r="G29191"/>
      <c r="H29191"/>
      <c r="I29191"/>
    </row>
    <row r="29192" spans="6:9" x14ac:dyDescent="0.3">
      <c r="F29192"/>
      <c r="G29192"/>
      <c r="H29192"/>
      <c r="I29192"/>
    </row>
    <row r="29193" spans="6:9" x14ac:dyDescent="0.3">
      <c r="F29193"/>
      <c r="G29193"/>
      <c r="H29193"/>
      <c r="I29193"/>
    </row>
    <row r="29194" spans="6:9" x14ac:dyDescent="0.3">
      <c r="F29194"/>
      <c r="G29194"/>
      <c r="H29194"/>
      <c r="I29194"/>
    </row>
    <row r="29195" spans="6:9" x14ac:dyDescent="0.3">
      <c r="F29195"/>
      <c r="G29195"/>
      <c r="H29195"/>
      <c r="I29195"/>
    </row>
    <row r="29196" spans="6:9" x14ac:dyDescent="0.3">
      <c r="F29196"/>
      <c r="G29196"/>
      <c r="H29196"/>
      <c r="I29196"/>
    </row>
    <row r="29197" spans="6:9" x14ac:dyDescent="0.3">
      <c r="F29197"/>
      <c r="G29197"/>
      <c r="H29197"/>
      <c r="I29197"/>
    </row>
    <row r="29198" spans="6:9" x14ac:dyDescent="0.3">
      <c r="F29198"/>
      <c r="G29198"/>
      <c r="H29198"/>
      <c r="I29198"/>
    </row>
    <row r="29199" spans="6:9" x14ac:dyDescent="0.3">
      <c r="F29199"/>
      <c r="G29199"/>
      <c r="H29199"/>
      <c r="I29199"/>
    </row>
    <row r="29200" spans="6:9" x14ac:dyDescent="0.3">
      <c r="F29200"/>
      <c r="G29200"/>
      <c r="H29200"/>
      <c r="I29200"/>
    </row>
    <row r="29201" spans="6:9" x14ac:dyDescent="0.3">
      <c r="F29201"/>
      <c r="G29201"/>
      <c r="H29201"/>
      <c r="I29201"/>
    </row>
    <row r="29202" spans="6:9" x14ac:dyDescent="0.3">
      <c r="F29202"/>
      <c r="G29202"/>
      <c r="H29202"/>
      <c r="I29202"/>
    </row>
    <row r="29203" spans="6:9" x14ac:dyDescent="0.3">
      <c r="F29203"/>
      <c r="G29203"/>
      <c r="H29203"/>
      <c r="I29203"/>
    </row>
    <row r="29204" spans="6:9" x14ac:dyDescent="0.3">
      <c r="F29204"/>
      <c r="G29204"/>
      <c r="H29204"/>
      <c r="I29204"/>
    </row>
    <row r="29205" spans="6:9" x14ac:dyDescent="0.3">
      <c r="F29205"/>
      <c r="G29205"/>
      <c r="H29205"/>
      <c r="I29205"/>
    </row>
    <row r="29206" spans="6:9" x14ac:dyDescent="0.3">
      <c r="F29206"/>
      <c r="G29206"/>
      <c r="H29206"/>
      <c r="I29206"/>
    </row>
    <row r="29207" spans="6:9" x14ac:dyDescent="0.3">
      <c r="F29207"/>
      <c r="G29207"/>
      <c r="H29207"/>
      <c r="I29207"/>
    </row>
    <row r="29208" spans="6:9" x14ac:dyDescent="0.3">
      <c r="F29208"/>
      <c r="G29208"/>
      <c r="H29208"/>
      <c r="I29208"/>
    </row>
    <row r="29209" spans="6:9" x14ac:dyDescent="0.3">
      <c r="F29209"/>
      <c r="G29209"/>
      <c r="H29209"/>
      <c r="I29209"/>
    </row>
    <row r="29210" spans="6:9" x14ac:dyDescent="0.3">
      <c r="F29210"/>
      <c r="G29210"/>
      <c r="H29210"/>
      <c r="I29210"/>
    </row>
    <row r="29211" spans="6:9" x14ac:dyDescent="0.3">
      <c r="F29211"/>
      <c r="G29211"/>
      <c r="H29211"/>
      <c r="I29211"/>
    </row>
    <row r="29212" spans="6:9" x14ac:dyDescent="0.3">
      <c r="F29212"/>
      <c r="G29212"/>
      <c r="H29212"/>
      <c r="I29212"/>
    </row>
    <row r="29213" spans="6:9" x14ac:dyDescent="0.3">
      <c r="F29213"/>
      <c r="G29213"/>
      <c r="H29213"/>
      <c r="I29213"/>
    </row>
    <row r="29214" spans="6:9" x14ac:dyDescent="0.3">
      <c r="F29214"/>
      <c r="G29214"/>
      <c r="H29214"/>
      <c r="I29214"/>
    </row>
    <row r="29215" spans="6:9" x14ac:dyDescent="0.3">
      <c r="F29215"/>
      <c r="G29215"/>
      <c r="H29215"/>
      <c r="I29215"/>
    </row>
    <row r="29216" spans="6:9" x14ac:dyDescent="0.3">
      <c r="F29216"/>
      <c r="G29216"/>
      <c r="H29216"/>
      <c r="I29216"/>
    </row>
    <row r="29217" spans="6:9" x14ac:dyDescent="0.3">
      <c r="F29217"/>
      <c r="G29217"/>
      <c r="H29217"/>
      <c r="I29217"/>
    </row>
    <row r="29218" spans="6:9" x14ac:dyDescent="0.3">
      <c r="F29218"/>
      <c r="G29218"/>
      <c r="H29218"/>
      <c r="I29218"/>
    </row>
    <row r="29219" spans="6:9" x14ac:dyDescent="0.3">
      <c r="F29219"/>
      <c r="G29219"/>
      <c r="H29219"/>
      <c r="I29219"/>
    </row>
    <row r="29220" spans="6:9" x14ac:dyDescent="0.3">
      <c r="F29220"/>
      <c r="G29220"/>
      <c r="H29220"/>
      <c r="I29220"/>
    </row>
    <row r="29221" spans="6:9" x14ac:dyDescent="0.3">
      <c r="F29221"/>
      <c r="G29221"/>
      <c r="H29221"/>
      <c r="I29221"/>
    </row>
    <row r="29222" spans="6:9" x14ac:dyDescent="0.3">
      <c r="F29222"/>
      <c r="G29222"/>
      <c r="H29222"/>
      <c r="I29222"/>
    </row>
    <row r="29223" spans="6:9" x14ac:dyDescent="0.3">
      <c r="F29223"/>
      <c r="G29223"/>
      <c r="H29223"/>
      <c r="I29223"/>
    </row>
    <row r="29224" spans="6:9" x14ac:dyDescent="0.3">
      <c r="F29224"/>
      <c r="G29224"/>
      <c r="H29224"/>
      <c r="I29224"/>
    </row>
    <row r="29225" spans="6:9" x14ac:dyDescent="0.3">
      <c r="F29225"/>
      <c r="G29225"/>
      <c r="H29225"/>
      <c r="I29225"/>
    </row>
    <row r="29226" spans="6:9" x14ac:dyDescent="0.3">
      <c r="F29226"/>
      <c r="G29226"/>
      <c r="H29226"/>
      <c r="I29226"/>
    </row>
    <row r="29227" spans="6:9" x14ac:dyDescent="0.3">
      <c r="F29227"/>
      <c r="G29227"/>
      <c r="H29227"/>
      <c r="I29227"/>
    </row>
    <row r="29228" spans="6:9" x14ac:dyDescent="0.3">
      <c r="F29228"/>
      <c r="G29228"/>
      <c r="H29228"/>
      <c r="I29228"/>
    </row>
    <row r="29229" spans="6:9" x14ac:dyDescent="0.3">
      <c r="F29229"/>
      <c r="G29229"/>
      <c r="H29229"/>
      <c r="I29229"/>
    </row>
    <row r="29230" spans="6:9" x14ac:dyDescent="0.3">
      <c r="F29230"/>
      <c r="G29230"/>
      <c r="H29230"/>
      <c r="I29230"/>
    </row>
    <row r="29231" spans="6:9" x14ac:dyDescent="0.3">
      <c r="F29231"/>
      <c r="G29231"/>
      <c r="H29231"/>
      <c r="I29231"/>
    </row>
    <row r="29232" spans="6:9" x14ac:dyDescent="0.3">
      <c r="F29232"/>
      <c r="G29232"/>
      <c r="H29232"/>
      <c r="I29232"/>
    </row>
    <row r="29233" spans="6:9" x14ac:dyDescent="0.3">
      <c r="F29233"/>
      <c r="G29233"/>
      <c r="H29233"/>
      <c r="I29233"/>
    </row>
    <row r="29234" spans="6:9" x14ac:dyDescent="0.3">
      <c r="F29234"/>
      <c r="G29234"/>
      <c r="H29234"/>
      <c r="I29234"/>
    </row>
    <row r="29235" spans="6:9" x14ac:dyDescent="0.3">
      <c r="F29235"/>
      <c r="G29235"/>
      <c r="H29235"/>
      <c r="I29235"/>
    </row>
    <row r="29236" spans="6:9" x14ac:dyDescent="0.3">
      <c r="F29236"/>
      <c r="G29236"/>
      <c r="H29236"/>
      <c r="I29236"/>
    </row>
    <row r="29237" spans="6:9" x14ac:dyDescent="0.3">
      <c r="F29237"/>
      <c r="G29237"/>
      <c r="H29237"/>
      <c r="I29237"/>
    </row>
    <row r="29238" spans="6:9" x14ac:dyDescent="0.3">
      <c r="F29238"/>
      <c r="G29238"/>
      <c r="H29238"/>
      <c r="I29238"/>
    </row>
    <row r="29239" spans="6:9" x14ac:dyDescent="0.3">
      <c r="F29239"/>
      <c r="G29239"/>
      <c r="H29239"/>
      <c r="I29239"/>
    </row>
    <row r="29240" spans="6:9" x14ac:dyDescent="0.3">
      <c r="F29240"/>
      <c r="G29240"/>
      <c r="H29240"/>
      <c r="I29240"/>
    </row>
    <row r="29241" spans="6:9" x14ac:dyDescent="0.3">
      <c r="F29241"/>
      <c r="G29241"/>
      <c r="H29241"/>
      <c r="I29241"/>
    </row>
    <row r="29242" spans="6:9" x14ac:dyDescent="0.3">
      <c r="F29242"/>
      <c r="G29242"/>
      <c r="H29242"/>
      <c r="I29242"/>
    </row>
    <row r="29243" spans="6:9" x14ac:dyDescent="0.3">
      <c r="F29243"/>
      <c r="G29243"/>
      <c r="H29243"/>
      <c r="I29243"/>
    </row>
    <row r="29244" spans="6:9" x14ac:dyDescent="0.3">
      <c r="F29244"/>
      <c r="G29244"/>
      <c r="H29244"/>
      <c r="I29244"/>
    </row>
    <row r="29245" spans="6:9" x14ac:dyDescent="0.3">
      <c r="F29245"/>
      <c r="G29245"/>
      <c r="H29245"/>
      <c r="I29245"/>
    </row>
    <row r="29246" spans="6:9" x14ac:dyDescent="0.3">
      <c r="F29246"/>
      <c r="G29246"/>
      <c r="H29246"/>
      <c r="I29246"/>
    </row>
    <row r="29247" spans="6:9" x14ac:dyDescent="0.3">
      <c r="F29247"/>
      <c r="G29247"/>
      <c r="H29247"/>
      <c r="I29247"/>
    </row>
    <row r="29248" spans="6:9" x14ac:dyDescent="0.3">
      <c r="F29248"/>
      <c r="G29248"/>
      <c r="H29248"/>
      <c r="I29248"/>
    </row>
    <row r="29249" spans="6:9" x14ac:dyDescent="0.3">
      <c r="F29249"/>
      <c r="G29249"/>
      <c r="H29249"/>
      <c r="I29249"/>
    </row>
    <row r="29250" spans="6:9" x14ac:dyDescent="0.3">
      <c r="F29250"/>
      <c r="G29250"/>
      <c r="H29250"/>
      <c r="I29250"/>
    </row>
    <row r="29251" spans="6:9" x14ac:dyDescent="0.3">
      <c r="F29251"/>
      <c r="G29251"/>
      <c r="H29251"/>
      <c r="I29251"/>
    </row>
    <row r="29252" spans="6:9" x14ac:dyDescent="0.3">
      <c r="F29252"/>
      <c r="G29252"/>
      <c r="H29252"/>
      <c r="I29252"/>
    </row>
    <row r="29253" spans="6:9" x14ac:dyDescent="0.3">
      <c r="F29253"/>
      <c r="G29253"/>
      <c r="H29253"/>
      <c r="I29253"/>
    </row>
    <row r="29254" spans="6:9" x14ac:dyDescent="0.3">
      <c r="F29254"/>
      <c r="G29254"/>
      <c r="H29254"/>
      <c r="I29254"/>
    </row>
    <row r="29255" spans="6:9" x14ac:dyDescent="0.3">
      <c r="F29255"/>
      <c r="G29255"/>
      <c r="H29255"/>
      <c r="I29255"/>
    </row>
    <row r="29256" spans="6:9" x14ac:dyDescent="0.3">
      <c r="F29256"/>
      <c r="G29256"/>
      <c r="H29256"/>
      <c r="I29256"/>
    </row>
    <row r="29257" spans="6:9" x14ac:dyDescent="0.3">
      <c r="F29257"/>
      <c r="G29257"/>
      <c r="H29257"/>
      <c r="I29257"/>
    </row>
    <row r="29258" spans="6:9" x14ac:dyDescent="0.3">
      <c r="F29258"/>
      <c r="G29258"/>
      <c r="H29258"/>
      <c r="I29258"/>
    </row>
    <row r="29259" spans="6:9" x14ac:dyDescent="0.3">
      <c r="F29259"/>
      <c r="G29259"/>
      <c r="H29259"/>
      <c r="I29259"/>
    </row>
    <row r="29260" spans="6:9" x14ac:dyDescent="0.3">
      <c r="F29260"/>
      <c r="G29260"/>
      <c r="H29260"/>
      <c r="I29260"/>
    </row>
    <row r="29261" spans="6:9" x14ac:dyDescent="0.3">
      <c r="F29261"/>
      <c r="G29261"/>
      <c r="H29261"/>
      <c r="I29261"/>
    </row>
    <row r="29262" spans="6:9" x14ac:dyDescent="0.3">
      <c r="F29262"/>
      <c r="G29262"/>
      <c r="H29262"/>
      <c r="I29262"/>
    </row>
    <row r="29263" spans="6:9" x14ac:dyDescent="0.3">
      <c r="F29263"/>
      <c r="G29263"/>
      <c r="H29263"/>
      <c r="I29263"/>
    </row>
    <row r="29264" spans="6:9" x14ac:dyDescent="0.3">
      <c r="F29264"/>
      <c r="G29264"/>
      <c r="H29264"/>
      <c r="I29264"/>
    </row>
    <row r="29265" spans="6:9" x14ac:dyDescent="0.3">
      <c r="F29265"/>
      <c r="G29265"/>
      <c r="H29265"/>
      <c r="I29265"/>
    </row>
    <row r="29266" spans="6:9" x14ac:dyDescent="0.3">
      <c r="F29266"/>
      <c r="G29266"/>
      <c r="H29266"/>
      <c r="I29266"/>
    </row>
    <row r="29267" spans="6:9" x14ac:dyDescent="0.3">
      <c r="F29267"/>
      <c r="G29267"/>
      <c r="H29267"/>
      <c r="I29267"/>
    </row>
    <row r="29268" spans="6:9" x14ac:dyDescent="0.3">
      <c r="F29268"/>
      <c r="G29268"/>
      <c r="H29268"/>
      <c r="I29268"/>
    </row>
    <row r="29269" spans="6:9" x14ac:dyDescent="0.3">
      <c r="F29269"/>
      <c r="G29269"/>
      <c r="H29269"/>
      <c r="I29269"/>
    </row>
    <row r="29270" spans="6:9" x14ac:dyDescent="0.3">
      <c r="F29270"/>
      <c r="G29270"/>
      <c r="H29270"/>
      <c r="I29270"/>
    </row>
    <row r="29271" spans="6:9" x14ac:dyDescent="0.3">
      <c r="F29271"/>
      <c r="G29271"/>
      <c r="H29271"/>
      <c r="I29271"/>
    </row>
    <row r="29272" spans="6:9" x14ac:dyDescent="0.3">
      <c r="F29272"/>
      <c r="G29272"/>
      <c r="H29272"/>
      <c r="I29272"/>
    </row>
    <row r="29273" spans="6:9" x14ac:dyDescent="0.3">
      <c r="F29273"/>
      <c r="G29273"/>
      <c r="H29273"/>
      <c r="I29273"/>
    </row>
    <row r="29274" spans="6:9" x14ac:dyDescent="0.3">
      <c r="F29274"/>
      <c r="G29274"/>
      <c r="H29274"/>
      <c r="I29274"/>
    </row>
    <row r="29275" spans="6:9" x14ac:dyDescent="0.3">
      <c r="F29275"/>
      <c r="G29275"/>
      <c r="H29275"/>
      <c r="I29275"/>
    </row>
    <row r="29276" spans="6:9" x14ac:dyDescent="0.3">
      <c r="F29276"/>
      <c r="G29276"/>
      <c r="H29276"/>
      <c r="I29276"/>
    </row>
    <row r="29277" spans="6:9" x14ac:dyDescent="0.3">
      <c r="F29277"/>
      <c r="G29277"/>
      <c r="H29277"/>
      <c r="I29277"/>
    </row>
    <row r="29278" spans="6:9" x14ac:dyDescent="0.3">
      <c r="F29278"/>
      <c r="G29278"/>
      <c r="H29278"/>
      <c r="I29278"/>
    </row>
    <row r="29279" spans="6:9" x14ac:dyDescent="0.3">
      <c r="F29279"/>
      <c r="G29279"/>
      <c r="H29279"/>
      <c r="I29279"/>
    </row>
    <row r="29280" spans="6:9" x14ac:dyDescent="0.3">
      <c r="F29280"/>
      <c r="G29280"/>
      <c r="H29280"/>
      <c r="I29280"/>
    </row>
    <row r="29281" spans="6:9" x14ac:dyDescent="0.3">
      <c r="F29281"/>
      <c r="G29281"/>
      <c r="H29281"/>
      <c r="I29281"/>
    </row>
    <row r="29282" spans="6:9" x14ac:dyDescent="0.3">
      <c r="F29282"/>
      <c r="G29282"/>
      <c r="H29282"/>
      <c r="I29282"/>
    </row>
    <row r="29283" spans="6:9" x14ac:dyDescent="0.3">
      <c r="F29283"/>
      <c r="G29283"/>
      <c r="H29283"/>
      <c r="I29283"/>
    </row>
    <row r="29284" spans="6:9" x14ac:dyDescent="0.3">
      <c r="F29284"/>
      <c r="G29284"/>
      <c r="H29284"/>
      <c r="I29284"/>
    </row>
    <row r="29285" spans="6:9" x14ac:dyDescent="0.3">
      <c r="F29285"/>
      <c r="G29285"/>
      <c r="H29285"/>
      <c r="I29285"/>
    </row>
    <row r="29286" spans="6:9" x14ac:dyDescent="0.3">
      <c r="F29286"/>
      <c r="G29286"/>
      <c r="H29286"/>
      <c r="I29286"/>
    </row>
    <row r="29287" spans="6:9" x14ac:dyDescent="0.3">
      <c r="F29287"/>
      <c r="G29287"/>
      <c r="H29287"/>
      <c r="I29287"/>
    </row>
    <row r="29288" spans="6:9" x14ac:dyDescent="0.3">
      <c r="F29288"/>
      <c r="G29288"/>
      <c r="H29288"/>
      <c r="I29288"/>
    </row>
    <row r="29289" spans="6:9" x14ac:dyDescent="0.3">
      <c r="F29289"/>
      <c r="G29289"/>
      <c r="H29289"/>
      <c r="I29289"/>
    </row>
    <row r="29290" spans="6:9" x14ac:dyDescent="0.3">
      <c r="F29290"/>
      <c r="G29290"/>
      <c r="H29290"/>
      <c r="I29290"/>
    </row>
    <row r="29291" spans="6:9" x14ac:dyDescent="0.3">
      <c r="F29291"/>
      <c r="G29291"/>
      <c r="H29291"/>
      <c r="I29291"/>
    </row>
    <row r="29292" spans="6:9" x14ac:dyDescent="0.3">
      <c r="F29292"/>
      <c r="G29292"/>
      <c r="H29292"/>
      <c r="I29292"/>
    </row>
    <row r="29293" spans="6:9" x14ac:dyDescent="0.3">
      <c r="F29293"/>
      <c r="G29293"/>
      <c r="H29293"/>
      <c r="I29293"/>
    </row>
    <row r="29294" spans="6:9" x14ac:dyDescent="0.3">
      <c r="F29294"/>
      <c r="G29294"/>
      <c r="H29294"/>
      <c r="I29294"/>
    </row>
    <row r="29295" spans="6:9" x14ac:dyDescent="0.3">
      <c r="F29295"/>
      <c r="G29295"/>
      <c r="H29295"/>
      <c r="I29295"/>
    </row>
    <row r="29296" spans="6:9" x14ac:dyDescent="0.3">
      <c r="F29296"/>
      <c r="G29296"/>
      <c r="H29296"/>
      <c r="I29296"/>
    </row>
    <row r="29297" spans="6:9" x14ac:dyDescent="0.3">
      <c r="F29297"/>
      <c r="G29297"/>
      <c r="H29297"/>
      <c r="I29297"/>
    </row>
    <row r="29298" spans="6:9" x14ac:dyDescent="0.3">
      <c r="F29298"/>
      <c r="G29298"/>
      <c r="H29298"/>
      <c r="I29298"/>
    </row>
    <row r="29299" spans="6:9" x14ac:dyDescent="0.3">
      <c r="F29299"/>
      <c r="G29299"/>
      <c r="H29299"/>
      <c r="I29299"/>
    </row>
    <row r="29300" spans="6:9" x14ac:dyDescent="0.3">
      <c r="F29300"/>
      <c r="G29300"/>
      <c r="H29300"/>
      <c r="I29300"/>
    </row>
    <row r="29301" spans="6:9" x14ac:dyDescent="0.3">
      <c r="F29301"/>
      <c r="G29301"/>
      <c r="H29301"/>
      <c r="I29301"/>
    </row>
    <row r="29302" spans="6:9" x14ac:dyDescent="0.3">
      <c r="F29302"/>
      <c r="G29302"/>
      <c r="H29302"/>
      <c r="I29302"/>
    </row>
    <row r="29303" spans="6:9" x14ac:dyDescent="0.3">
      <c r="F29303"/>
      <c r="G29303"/>
      <c r="H29303"/>
      <c r="I29303"/>
    </row>
    <row r="29304" spans="6:9" x14ac:dyDescent="0.3">
      <c r="F29304"/>
      <c r="G29304"/>
      <c r="H29304"/>
      <c r="I29304"/>
    </row>
    <row r="29305" spans="6:9" x14ac:dyDescent="0.3">
      <c r="F29305"/>
      <c r="G29305"/>
      <c r="H29305"/>
      <c r="I29305"/>
    </row>
    <row r="29306" spans="6:9" x14ac:dyDescent="0.3">
      <c r="F29306"/>
      <c r="G29306"/>
      <c r="H29306"/>
      <c r="I29306"/>
    </row>
    <row r="29307" spans="6:9" x14ac:dyDescent="0.3">
      <c r="F29307"/>
      <c r="G29307"/>
      <c r="H29307"/>
      <c r="I29307"/>
    </row>
    <row r="29308" spans="6:9" x14ac:dyDescent="0.3">
      <c r="F29308"/>
      <c r="G29308"/>
      <c r="H29308"/>
      <c r="I29308"/>
    </row>
    <row r="29309" spans="6:9" x14ac:dyDescent="0.3">
      <c r="F29309"/>
      <c r="G29309"/>
      <c r="H29309"/>
      <c r="I29309"/>
    </row>
    <row r="29310" spans="6:9" x14ac:dyDescent="0.3">
      <c r="F29310"/>
      <c r="G29310"/>
      <c r="H29310"/>
      <c r="I29310"/>
    </row>
    <row r="29311" spans="6:9" x14ac:dyDescent="0.3">
      <c r="F29311"/>
      <c r="G29311"/>
      <c r="H29311"/>
      <c r="I29311"/>
    </row>
    <row r="29312" spans="6:9" x14ac:dyDescent="0.3">
      <c r="F29312"/>
      <c r="G29312"/>
      <c r="H29312"/>
      <c r="I29312"/>
    </row>
    <row r="29313" spans="6:9" x14ac:dyDescent="0.3">
      <c r="F29313"/>
      <c r="G29313"/>
      <c r="H29313"/>
      <c r="I29313"/>
    </row>
    <row r="29314" spans="6:9" x14ac:dyDescent="0.3">
      <c r="F29314"/>
      <c r="G29314"/>
      <c r="H29314"/>
      <c r="I29314"/>
    </row>
    <row r="29315" spans="6:9" x14ac:dyDescent="0.3">
      <c r="F29315"/>
      <c r="G29315"/>
      <c r="H29315"/>
      <c r="I29315"/>
    </row>
    <row r="29316" spans="6:9" x14ac:dyDescent="0.3">
      <c r="F29316"/>
      <c r="G29316"/>
      <c r="H29316"/>
      <c r="I29316"/>
    </row>
    <row r="29317" spans="6:9" x14ac:dyDescent="0.3">
      <c r="F29317"/>
      <c r="G29317"/>
      <c r="H29317"/>
      <c r="I29317"/>
    </row>
    <row r="29318" spans="6:9" x14ac:dyDescent="0.3">
      <c r="F29318"/>
      <c r="G29318"/>
      <c r="H29318"/>
      <c r="I29318"/>
    </row>
    <row r="29319" spans="6:9" x14ac:dyDescent="0.3">
      <c r="F29319"/>
      <c r="G29319"/>
      <c r="H29319"/>
      <c r="I29319"/>
    </row>
    <row r="29320" spans="6:9" x14ac:dyDescent="0.3">
      <c r="F29320"/>
      <c r="G29320"/>
      <c r="H29320"/>
      <c r="I29320"/>
    </row>
    <row r="29321" spans="6:9" x14ac:dyDescent="0.3">
      <c r="F29321"/>
      <c r="G29321"/>
      <c r="H29321"/>
      <c r="I29321"/>
    </row>
    <row r="29322" spans="6:9" x14ac:dyDescent="0.3">
      <c r="F29322"/>
      <c r="G29322"/>
      <c r="H29322"/>
      <c r="I29322"/>
    </row>
    <row r="29323" spans="6:9" x14ac:dyDescent="0.3">
      <c r="F29323"/>
      <c r="G29323"/>
      <c r="H29323"/>
      <c r="I29323"/>
    </row>
    <row r="29324" spans="6:9" x14ac:dyDescent="0.3">
      <c r="F29324"/>
      <c r="G29324"/>
      <c r="H29324"/>
      <c r="I29324"/>
    </row>
    <row r="29325" spans="6:9" x14ac:dyDescent="0.3">
      <c r="F29325"/>
      <c r="G29325"/>
      <c r="H29325"/>
      <c r="I29325"/>
    </row>
    <row r="29326" spans="6:9" x14ac:dyDescent="0.3">
      <c r="F29326"/>
      <c r="G29326"/>
      <c r="H29326"/>
      <c r="I29326"/>
    </row>
    <row r="29327" spans="6:9" x14ac:dyDescent="0.3">
      <c r="F29327"/>
      <c r="G29327"/>
      <c r="H29327"/>
      <c r="I29327"/>
    </row>
    <row r="29328" spans="6:9" x14ac:dyDescent="0.3">
      <c r="F29328"/>
      <c r="G29328"/>
      <c r="H29328"/>
      <c r="I29328"/>
    </row>
    <row r="29329" spans="6:9" x14ac:dyDescent="0.3">
      <c r="F29329"/>
      <c r="G29329"/>
      <c r="H29329"/>
      <c r="I29329"/>
    </row>
    <row r="29330" spans="6:9" x14ac:dyDescent="0.3">
      <c r="F29330"/>
      <c r="G29330"/>
      <c r="H29330"/>
      <c r="I29330"/>
    </row>
    <row r="29331" spans="6:9" x14ac:dyDescent="0.3">
      <c r="F29331"/>
      <c r="G29331"/>
      <c r="H29331"/>
      <c r="I29331"/>
    </row>
    <row r="29332" spans="6:9" x14ac:dyDescent="0.3">
      <c r="F29332"/>
      <c r="G29332"/>
      <c r="H29332"/>
      <c r="I29332"/>
    </row>
    <row r="29333" spans="6:9" x14ac:dyDescent="0.3">
      <c r="F29333"/>
      <c r="G29333"/>
      <c r="H29333"/>
      <c r="I29333"/>
    </row>
    <row r="29334" spans="6:9" x14ac:dyDescent="0.3">
      <c r="F29334"/>
      <c r="G29334"/>
      <c r="H29334"/>
      <c r="I29334"/>
    </row>
    <row r="29335" spans="6:9" x14ac:dyDescent="0.3">
      <c r="F29335"/>
      <c r="G29335"/>
      <c r="H29335"/>
      <c r="I29335"/>
    </row>
    <row r="29336" spans="6:9" x14ac:dyDescent="0.3">
      <c r="F29336"/>
      <c r="G29336"/>
      <c r="H29336"/>
      <c r="I29336"/>
    </row>
    <row r="29337" spans="6:9" x14ac:dyDescent="0.3">
      <c r="F29337"/>
      <c r="G29337"/>
      <c r="H29337"/>
      <c r="I29337"/>
    </row>
    <row r="29338" spans="6:9" x14ac:dyDescent="0.3">
      <c r="F29338"/>
      <c r="G29338"/>
      <c r="H29338"/>
      <c r="I29338"/>
    </row>
    <row r="29339" spans="6:9" x14ac:dyDescent="0.3">
      <c r="F29339"/>
      <c r="G29339"/>
      <c r="H29339"/>
      <c r="I29339"/>
    </row>
    <row r="29340" spans="6:9" x14ac:dyDescent="0.3">
      <c r="F29340"/>
      <c r="G29340"/>
      <c r="H29340"/>
      <c r="I29340"/>
    </row>
    <row r="29341" spans="6:9" x14ac:dyDescent="0.3">
      <c r="F29341"/>
      <c r="G29341"/>
      <c r="H29341"/>
      <c r="I29341"/>
    </row>
    <row r="29342" spans="6:9" x14ac:dyDescent="0.3">
      <c r="F29342"/>
      <c r="G29342"/>
      <c r="H29342"/>
      <c r="I29342"/>
    </row>
    <row r="29343" spans="6:9" x14ac:dyDescent="0.3">
      <c r="F29343"/>
      <c r="G29343"/>
      <c r="H29343"/>
      <c r="I29343"/>
    </row>
    <row r="29344" spans="6:9" x14ac:dyDescent="0.3">
      <c r="F29344"/>
      <c r="G29344"/>
      <c r="H29344"/>
      <c r="I29344"/>
    </row>
    <row r="29345" spans="6:9" x14ac:dyDescent="0.3">
      <c r="F29345"/>
      <c r="G29345"/>
      <c r="H29345"/>
      <c r="I29345"/>
    </row>
    <row r="29346" spans="6:9" x14ac:dyDescent="0.3">
      <c r="F29346"/>
      <c r="G29346"/>
      <c r="H29346"/>
      <c r="I29346"/>
    </row>
    <row r="29347" spans="6:9" x14ac:dyDescent="0.3">
      <c r="F29347"/>
      <c r="G29347"/>
      <c r="H29347"/>
      <c r="I29347"/>
    </row>
    <row r="29348" spans="6:9" x14ac:dyDescent="0.3">
      <c r="F29348"/>
      <c r="G29348"/>
      <c r="H29348"/>
      <c r="I29348"/>
    </row>
    <row r="29349" spans="6:9" x14ac:dyDescent="0.3">
      <c r="F29349"/>
      <c r="G29349"/>
      <c r="H29349"/>
      <c r="I29349"/>
    </row>
    <row r="29350" spans="6:9" x14ac:dyDescent="0.3">
      <c r="F29350"/>
      <c r="G29350"/>
      <c r="H29350"/>
      <c r="I29350"/>
    </row>
    <row r="29351" spans="6:9" x14ac:dyDescent="0.3">
      <c r="F29351"/>
      <c r="G29351"/>
      <c r="H29351"/>
      <c r="I29351"/>
    </row>
    <row r="29352" spans="6:9" x14ac:dyDescent="0.3">
      <c r="F29352"/>
      <c r="G29352"/>
      <c r="H29352"/>
      <c r="I29352"/>
    </row>
    <row r="29353" spans="6:9" x14ac:dyDescent="0.3">
      <c r="F29353"/>
      <c r="G29353"/>
      <c r="H29353"/>
      <c r="I29353"/>
    </row>
    <row r="29354" spans="6:9" x14ac:dyDescent="0.3">
      <c r="F29354"/>
      <c r="G29354"/>
      <c r="H29354"/>
      <c r="I29354"/>
    </row>
    <row r="29355" spans="6:9" x14ac:dyDescent="0.3">
      <c r="F29355"/>
      <c r="G29355"/>
      <c r="H29355"/>
      <c r="I29355"/>
    </row>
    <row r="29356" spans="6:9" x14ac:dyDescent="0.3">
      <c r="F29356"/>
      <c r="G29356"/>
      <c r="H29356"/>
      <c r="I29356"/>
    </row>
    <row r="29357" spans="6:9" x14ac:dyDescent="0.3">
      <c r="F29357"/>
      <c r="G29357"/>
      <c r="H29357"/>
      <c r="I29357"/>
    </row>
    <row r="29358" spans="6:9" x14ac:dyDescent="0.3">
      <c r="F29358"/>
      <c r="G29358"/>
      <c r="H29358"/>
      <c r="I29358"/>
    </row>
    <row r="29359" spans="6:9" x14ac:dyDescent="0.3">
      <c r="F29359"/>
      <c r="G29359"/>
      <c r="H29359"/>
      <c r="I29359"/>
    </row>
    <row r="29360" spans="6:9" x14ac:dyDescent="0.3">
      <c r="F29360"/>
      <c r="G29360"/>
      <c r="H29360"/>
      <c r="I29360"/>
    </row>
    <row r="29361" spans="6:9" x14ac:dyDescent="0.3">
      <c r="F29361"/>
      <c r="G29361"/>
      <c r="H29361"/>
      <c r="I29361"/>
    </row>
    <row r="29362" spans="6:9" x14ac:dyDescent="0.3">
      <c r="F29362"/>
      <c r="G29362"/>
      <c r="H29362"/>
      <c r="I29362"/>
    </row>
    <row r="29363" spans="6:9" x14ac:dyDescent="0.3">
      <c r="F29363"/>
      <c r="G29363"/>
      <c r="H29363"/>
      <c r="I29363"/>
    </row>
    <row r="29364" spans="6:9" x14ac:dyDescent="0.3">
      <c r="F29364"/>
      <c r="G29364"/>
      <c r="H29364"/>
      <c r="I29364"/>
    </row>
    <row r="29365" spans="6:9" x14ac:dyDescent="0.3">
      <c r="F29365"/>
      <c r="G29365"/>
      <c r="H29365"/>
      <c r="I29365"/>
    </row>
    <row r="29366" spans="6:9" x14ac:dyDescent="0.3">
      <c r="F29366"/>
      <c r="G29366"/>
      <c r="H29366"/>
      <c r="I29366"/>
    </row>
    <row r="29367" spans="6:9" x14ac:dyDescent="0.3">
      <c r="F29367"/>
      <c r="G29367"/>
      <c r="H29367"/>
      <c r="I29367"/>
    </row>
    <row r="29368" spans="6:9" x14ac:dyDescent="0.3">
      <c r="F29368"/>
      <c r="G29368"/>
      <c r="H29368"/>
      <c r="I29368"/>
    </row>
    <row r="29369" spans="6:9" x14ac:dyDescent="0.3">
      <c r="F29369"/>
      <c r="G29369"/>
      <c r="H29369"/>
      <c r="I29369"/>
    </row>
    <row r="29370" spans="6:9" x14ac:dyDescent="0.3">
      <c r="F29370"/>
      <c r="G29370"/>
      <c r="H29370"/>
      <c r="I29370"/>
    </row>
    <row r="29371" spans="6:9" x14ac:dyDescent="0.3">
      <c r="F29371"/>
      <c r="G29371"/>
      <c r="H29371"/>
      <c r="I29371"/>
    </row>
    <row r="29372" spans="6:9" x14ac:dyDescent="0.3">
      <c r="F29372"/>
      <c r="G29372"/>
      <c r="H29372"/>
      <c r="I29372"/>
    </row>
    <row r="29373" spans="6:9" x14ac:dyDescent="0.3">
      <c r="F29373"/>
      <c r="G29373"/>
      <c r="H29373"/>
      <c r="I29373"/>
    </row>
    <row r="29374" spans="6:9" x14ac:dyDescent="0.3">
      <c r="F29374"/>
      <c r="G29374"/>
      <c r="H29374"/>
      <c r="I29374"/>
    </row>
    <row r="29375" spans="6:9" x14ac:dyDescent="0.3">
      <c r="F29375"/>
      <c r="G29375"/>
      <c r="H29375"/>
      <c r="I29375"/>
    </row>
    <row r="29376" spans="6:9" x14ac:dyDescent="0.3">
      <c r="F29376"/>
      <c r="G29376"/>
      <c r="H29376"/>
      <c r="I29376"/>
    </row>
    <row r="29377" spans="6:9" x14ac:dyDescent="0.3">
      <c r="F29377"/>
      <c r="G29377"/>
      <c r="H29377"/>
      <c r="I29377"/>
    </row>
    <row r="29378" spans="6:9" x14ac:dyDescent="0.3">
      <c r="F29378"/>
      <c r="G29378"/>
      <c r="H29378"/>
      <c r="I29378"/>
    </row>
    <row r="29379" spans="6:9" x14ac:dyDescent="0.3">
      <c r="F29379"/>
      <c r="G29379"/>
      <c r="H29379"/>
      <c r="I29379"/>
    </row>
    <row r="29380" spans="6:9" x14ac:dyDescent="0.3">
      <c r="F29380"/>
      <c r="G29380"/>
      <c r="H29380"/>
      <c r="I29380"/>
    </row>
    <row r="29381" spans="6:9" x14ac:dyDescent="0.3">
      <c r="F29381"/>
      <c r="G29381"/>
      <c r="H29381"/>
      <c r="I29381"/>
    </row>
    <row r="29382" spans="6:9" x14ac:dyDescent="0.3">
      <c r="F29382"/>
      <c r="G29382"/>
      <c r="H29382"/>
      <c r="I29382"/>
    </row>
    <row r="29383" spans="6:9" x14ac:dyDescent="0.3">
      <c r="F29383"/>
      <c r="G29383"/>
      <c r="H29383"/>
      <c r="I29383"/>
    </row>
    <row r="29384" spans="6:9" x14ac:dyDescent="0.3">
      <c r="F29384"/>
      <c r="G29384"/>
      <c r="H29384"/>
      <c r="I29384"/>
    </row>
    <row r="29385" spans="6:9" x14ac:dyDescent="0.3">
      <c r="F29385"/>
      <c r="G29385"/>
      <c r="H29385"/>
      <c r="I29385"/>
    </row>
    <row r="29386" spans="6:9" x14ac:dyDescent="0.3">
      <c r="F29386"/>
      <c r="G29386"/>
      <c r="H29386"/>
      <c r="I29386"/>
    </row>
    <row r="29387" spans="6:9" x14ac:dyDescent="0.3">
      <c r="F29387"/>
      <c r="G29387"/>
      <c r="H29387"/>
      <c r="I29387"/>
    </row>
    <row r="29388" spans="6:9" x14ac:dyDescent="0.3">
      <c r="F29388"/>
      <c r="G29388"/>
      <c r="H29388"/>
      <c r="I29388"/>
    </row>
    <row r="29389" spans="6:9" x14ac:dyDescent="0.3">
      <c r="F29389"/>
      <c r="G29389"/>
      <c r="H29389"/>
      <c r="I29389"/>
    </row>
    <row r="29390" spans="6:9" x14ac:dyDescent="0.3">
      <c r="F29390"/>
      <c r="G29390"/>
      <c r="H29390"/>
      <c r="I29390"/>
    </row>
    <row r="29391" spans="6:9" x14ac:dyDescent="0.3">
      <c r="F29391"/>
      <c r="G29391"/>
      <c r="H29391"/>
      <c r="I29391"/>
    </row>
    <row r="29392" spans="6:9" x14ac:dyDescent="0.3">
      <c r="F29392"/>
      <c r="G29392"/>
      <c r="H29392"/>
      <c r="I29392"/>
    </row>
    <row r="29393" spans="6:9" x14ac:dyDescent="0.3">
      <c r="F29393"/>
      <c r="G29393"/>
      <c r="H29393"/>
      <c r="I29393"/>
    </row>
    <row r="29394" spans="6:9" x14ac:dyDescent="0.3">
      <c r="F29394"/>
      <c r="G29394"/>
      <c r="H29394"/>
      <c r="I29394"/>
    </row>
    <row r="29395" spans="6:9" x14ac:dyDescent="0.3">
      <c r="F29395"/>
      <c r="G29395"/>
      <c r="H29395"/>
      <c r="I29395"/>
    </row>
    <row r="29396" spans="6:9" x14ac:dyDescent="0.3">
      <c r="F29396"/>
      <c r="G29396"/>
      <c r="H29396"/>
      <c r="I29396"/>
    </row>
    <row r="29397" spans="6:9" x14ac:dyDescent="0.3">
      <c r="F29397"/>
      <c r="G29397"/>
      <c r="H29397"/>
      <c r="I29397"/>
    </row>
    <row r="29398" spans="6:9" x14ac:dyDescent="0.3">
      <c r="F29398"/>
      <c r="G29398"/>
      <c r="H29398"/>
      <c r="I29398"/>
    </row>
    <row r="29399" spans="6:9" x14ac:dyDescent="0.3">
      <c r="F29399"/>
      <c r="G29399"/>
      <c r="H29399"/>
      <c r="I29399"/>
    </row>
    <row r="29400" spans="6:9" x14ac:dyDescent="0.3">
      <c r="F29400"/>
      <c r="G29400"/>
      <c r="H29400"/>
      <c r="I29400"/>
    </row>
    <row r="29401" spans="6:9" x14ac:dyDescent="0.3">
      <c r="F29401"/>
      <c r="G29401"/>
      <c r="H29401"/>
      <c r="I29401"/>
    </row>
    <row r="29402" spans="6:9" x14ac:dyDescent="0.3">
      <c r="F29402"/>
      <c r="G29402"/>
      <c r="H29402"/>
      <c r="I29402"/>
    </row>
    <row r="29403" spans="6:9" x14ac:dyDescent="0.3">
      <c r="F29403"/>
      <c r="G29403"/>
      <c r="H29403"/>
      <c r="I29403"/>
    </row>
    <row r="29404" spans="6:9" x14ac:dyDescent="0.3">
      <c r="F29404"/>
      <c r="G29404"/>
      <c r="H29404"/>
      <c r="I29404"/>
    </row>
    <row r="29405" spans="6:9" x14ac:dyDescent="0.3">
      <c r="F29405"/>
      <c r="G29405"/>
      <c r="H29405"/>
      <c r="I29405"/>
    </row>
    <row r="29406" spans="6:9" x14ac:dyDescent="0.3">
      <c r="F29406"/>
      <c r="G29406"/>
      <c r="H29406"/>
      <c r="I29406"/>
    </row>
    <row r="29407" spans="6:9" x14ac:dyDescent="0.3">
      <c r="F29407"/>
      <c r="G29407"/>
      <c r="H29407"/>
      <c r="I29407"/>
    </row>
    <row r="29408" spans="6:9" x14ac:dyDescent="0.3">
      <c r="F29408"/>
      <c r="G29408"/>
      <c r="H29408"/>
      <c r="I29408"/>
    </row>
    <row r="29409" spans="6:9" x14ac:dyDescent="0.3">
      <c r="F29409"/>
      <c r="G29409"/>
      <c r="H29409"/>
      <c r="I29409"/>
    </row>
    <row r="29410" spans="6:9" x14ac:dyDescent="0.3">
      <c r="F29410"/>
      <c r="G29410"/>
      <c r="H29410"/>
      <c r="I29410"/>
    </row>
    <row r="29411" spans="6:9" x14ac:dyDescent="0.3">
      <c r="F29411"/>
      <c r="G29411"/>
      <c r="H29411"/>
      <c r="I29411"/>
    </row>
    <row r="29412" spans="6:9" x14ac:dyDescent="0.3">
      <c r="F29412"/>
      <c r="G29412"/>
      <c r="H29412"/>
      <c r="I29412"/>
    </row>
    <row r="29413" spans="6:9" x14ac:dyDescent="0.3">
      <c r="F29413"/>
      <c r="G29413"/>
      <c r="H29413"/>
      <c r="I29413"/>
    </row>
    <row r="29414" spans="6:9" x14ac:dyDescent="0.3">
      <c r="F29414"/>
      <c r="G29414"/>
      <c r="H29414"/>
      <c r="I29414"/>
    </row>
    <row r="29415" spans="6:9" x14ac:dyDescent="0.3">
      <c r="F29415"/>
      <c r="G29415"/>
      <c r="H29415"/>
      <c r="I29415"/>
    </row>
    <row r="29416" spans="6:9" x14ac:dyDescent="0.3">
      <c r="F29416"/>
      <c r="G29416"/>
      <c r="H29416"/>
      <c r="I29416"/>
    </row>
    <row r="29417" spans="6:9" x14ac:dyDescent="0.3">
      <c r="F29417"/>
      <c r="G29417"/>
      <c r="H29417"/>
      <c r="I29417"/>
    </row>
    <row r="29418" spans="6:9" x14ac:dyDescent="0.3">
      <c r="F29418"/>
      <c r="G29418"/>
      <c r="H29418"/>
      <c r="I29418"/>
    </row>
    <row r="29419" spans="6:9" x14ac:dyDescent="0.3">
      <c r="F29419"/>
      <c r="G29419"/>
      <c r="H29419"/>
      <c r="I29419"/>
    </row>
    <row r="29420" spans="6:9" x14ac:dyDescent="0.3">
      <c r="F29420"/>
      <c r="G29420"/>
      <c r="H29420"/>
      <c r="I29420"/>
    </row>
    <row r="29421" spans="6:9" x14ac:dyDescent="0.3">
      <c r="F29421"/>
      <c r="G29421"/>
      <c r="H29421"/>
      <c r="I29421"/>
    </row>
    <row r="29422" spans="6:9" x14ac:dyDescent="0.3">
      <c r="F29422"/>
      <c r="G29422"/>
      <c r="H29422"/>
      <c r="I29422"/>
    </row>
    <row r="29423" spans="6:9" x14ac:dyDescent="0.3">
      <c r="F29423"/>
      <c r="G29423"/>
      <c r="H29423"/>
      <c r="I29423"/>
    </row>
    <row r="29424" spans="6:9" x14ac:dyDescent="0.3">
      <c r="F29424"/>
      <c r="G29424"/>
      <c r="H29424"/>
      <c r="I29424"/>
    </row>
    <row r="29425" spans="6:9" x14ac:dyDescent="0.3">
      <c r="F29425"/>
      <c r="G29425"/>
      <c r="H29425"/>
      <c r="I29425"/>
    </row>
    <row r="29426" spans="6:9" x14ac:dyDescent="0.3">
      <c r="F29426"/>
      <c r="G29426"/>
      <c r="H29426"/>
      <c r="I29426"/>
    </row>
    <row r="29427" spans="6:9" x14ac:dyDescent="0.3">
      <c r="F29427"/>
      <c r="G29427"/>
      <c r="H29427"/>
      <c r="I29427"/>
    </row>
    <row r="29428" spans="6:9" x14ac:dyDescent="0.3">
      <c r="F29428"/>
      <c r="G29428"/>
      <c r="H29428"/>
      <c r="I29428"/>
    </row>
    <row r="29429" spans="6:9" x14ac:dyDescent="0.3">
      <c r="F29429"/>
      <c r="G29429"/>
      <c r="H29429"/>
      <c r="I29429"/>
    </row>
    <row r="29430" spans="6:9" x14ac:dyDescent="0.3">
      <c r="F29430"/>
      <c r="G29430"/>
      <c r="H29430"/>
      <c r="I29430"/>
    </row>
    <row r="29431" spans="6:9" x14ac:dyDescent="0.3">
      <c r="F29431"/>
      <c r="G29431"/>
      <c r="H29431"/>
      <c r="I29431"/>
    </row>
    <row r="29432" spans="6:9" x14ac:dyDescent="0.3">
      <c r="F29432"/>
      <c r="G29432"/>
      <c r="H29432"/>
      <c r="I29432"/>
    </row>
    <row r="29433" spans="6:9" x14ac:dyDescent="0.3">
      <c r="F29433"/>
      <c r="G29433"/>
      <c r="H29433"/>
      <c r="I29433"/>
    </row>
    <row r="29434" spans="6:9" x14ac:dyDescent="0.3">
      <c r="F29434"/>
      <c r="G29434"/>
      <c r="H29434"/>
      <c r="I29434"/>
    </row>
    <row r="29435" spans="6:9" x14ac:dyDescent="0.3">
      <c r="F29435"/>
      <c r="G29435"/>
      <c r="H29435"/>
      <c r="I29435"/>
    </row>
    <row r="29436" spans="6:9" x14ac:dyDescent="0.3">
      <c r="F29436"/>
      <c r="G29436"/>
      <c r="H29436"/>
      <c r="I29436"/>
    </row>
    <row r="29437" spans="6:9" x14ac:dyDescent="0.3">
      <c r="F29437"/>
      <c r="G29437"/>
      <c r="H29437"/>
      <c r="I29437"/>
    </row>
    <row r="29438" spans="6:9" x14ac:dyDescent="0.3">
      <c r="F29438"/>
      <c r="G29438"/>
      <c r="H29438"/>
      <c r="I29438"/>
    </row>
    <row r="29439" spans="6:9" x14ac:dyDescent="0.3">
      <c r="F29439"/>
      <c r="G29439"/>
      <c r="H29439"/>
      <c r="I29439"/>
    </row>
    <row r="29440" spans="6:9" x14ac:dyDescent="0.3">
      <c r="F29440"/>
      <c r="G29440"/>
      <c r="H29440"/>
      <c r="I29440"/>
    </row>
    <row r="29441" spans="6:9" x14ac:dyDescent="0.3">
      <c r="F29441"/>
      <c r="G29441"/>
      <c r="H29441"/>
      <c r="I29441"/>
    </row>
    <row r="29442" spans="6:9" x14ac:dyDescent="0.3">
      <c r="F29442"/>
      <c r="G29442"/>
      <c r="H29442"/>
      <c r="I29442"/>
    </row>
    <row r="29443" spans="6:9" x14ac:dyDescent="0.3">
      <c r="F29443"/>
      <c r="G29443"/>
      <c r="H29443"/>
      <c r="I29443"/>
    </row>
    <row r="29444" spans="6:9" x14ac:dyDescent="0.3">
      <c r="F29444"/>
      <c r="G29444"/>
      <c r="H29444"/>
      <c r="I29444"/>
    </row>
    <row r="29445" spans="6:9" x14ac:dyDescent="0.3">
      <c r="F29445"/>
      <c r="G29445"/>
      <c r="H29445"/>
      <c r="I29445"/>
    </row>
    <row r="29446" spans="6:9" x14ac:dyDescent="0.3">
      <c r="F29446"/>
      <c r="G29446"/>
      <c r="H29446"/>
      <c r="I29446"/>
    </row>
    <row r="29447" spans="6:9" x14ac:dyDescent="0.3">
      <c r="F29447"/>
      <c r="G29447"/>
      <c r="H29447"/>
      <c r="I29447"/>
    </row>
    <row r="29448" spans="6:9" x14ac:dyDescent="0.3">
      <c r="F29448"/>
      <c r="G29448"/>
      <c r="H29448"/>
      <c r="I29448"/>
    </row>
    <row r="29449" spans="6:9" x14ac:dyDescent="0.3">
      <c r="F29449"/>
      <c r="G29449"/>
      <c r="H29449"/>
      <c r="I29449"/>
    </row>
    <row r="29450" spans="6:9" x14ac:dyDescent="0.3">
      <c r="F29450"/>
      <c r="G29450"/>
      <c r="H29450"/>
      <c r="I29450"/>
    </row>
    <row r="29451" spans="6:9" x14ac:dyDescent="0.3">
      <c r="F29451"/>
      <c r="G29451"/>
      <c r="H29451"/>
      <c r="I29451"/>
    </row>
    <row r="29452" spans="6:9" x14ac:dyDescent="0.3">
      <c r="F29452"/>
      <c r="G29452"/>
      <c r="H29452"/>
      <c r="I29452"/>
    </row>
    <row r="29453" spans="6:9" x14ac:dyDescent="0.3">
      <c r="F29453"/>
      <c r="G29453"/>
      <c r="H29453"/>
      <c r="I29453"/>
    </row>
    <row r="29454" spans="6:9" x14ac:dyDescent="0.3">
      <c r="F29454"/>
      <c r="G29454"/>
      <c r="H29454"/>
      <c r="I29454"/>
    </row>
    <row r="29455" spans="6:9" x14ac:dyDescent="0.3">
      <c r="F29455"/>
      <c r="G29455"/>
      <c r="H29455"/>
      <c r="I29455"/>
    </row>
    <row r="29456" spans="6:9" x14ac:dyDescent="0.3">
      <c r="F29456"/>
      <c r="G29456"/>
      <c r="H29456"/>
      <c r="I29456"/>
    </row>
    <row r="29457" spans="6:9" x14ac:dyDescent="0.3">
      <c r="F29457"/>
      <c r="G29457"/>
      <c r="H29457"/>
      <c r="I29457"/>
    </row>
    <row r="29458" spans="6:9" x14ac:dyDescent="0.3">
      <c r="F29458"/>
      <c r="G29458"/>
      <c r="H29458"/>
      <c r="I29458"/>
    </row>
    <row r="29459" spans="6:9" x14ac:dyDescent="0.3">
      <c r="F29459"/>
      <c r="G29459"/>
      <c r="H29459"/>
      <c r="I29459"/>
    </row>
    <row r="29460" spans="6:9" x14ac:dyDescent="0.3">
      <c r="F29460"/>
      <c r="G29460"/>
      <c r="H29460"/>
      <c r="I29460"/>
    </row>
    <row r="29461" spans="6:9" x14ac:dyDescent="0.3">
      <c r="F29461"/>
      <c r="G29461"/>
      <c r="H29461"/>
      <c r="I29461"/>
    </row>
    <row r="29462" spans="6:9" x14ac:dyDescent="0.3">
      <c r="F29462"/>
      <c r="G29462"/>
      <c r="H29462"/>
      <c r="I29462"/>
    </row>
    <row r="29463" spans="6:9" x14ac:dyDescent="0.3">
      <c r="F29463"/>
      <c r="G29463"/>
      <c r="H29463"/>
      <c r="I29463"/>
    </row>
    <row r="29464" spans="6:9" x14ac:dyDescent="0.3">
      <c r="F29464"/>
      <c r="G29464"/>
      <c r="H29464"/>
      <c r="I29464"/>
    </row>
    <row r="29465" spans="6:9" x14ac:dyDescent="0.3">
      <c r="F29465"/>
      <c r="G29465"/>
      <c r="H29465"/>
      <c r="I29465"/>
    </row>
    <row r="29466" spans="6:9" x14ac:dyDescent="0.3">
      <c r="F29466"/>
      <c r="G29466"/>
      <c r="H29466"/>
      <c r="I29466"/>
    </row>
    <row r="29467" spans="6:9" x14ac:dyDescent="0.3">
      <c r="F29467"/>
      <c r="G29467"/>
      <c r="H29467"/>
      <c r="I29467"/>
    </row>
    <row r="29468" spans="6:9" x14ac:dyDescent="0.3">
      <c r="F29468"/>
      <c r="G29468"/>
      <c r="H29468"/>
      <c r="I29468"/>
    </row>
    <row r="29469" spans="6:9" x14ac:dyDescent="0.3">
      <c r="F29469"/>
      <c r="G29469"/>
      <c r="H29469"/>
      <c r="I29469"/>
    </row>
    <row r="29470" spans="6:9" x14ac:dyDescent="0.3">
      <c r="F29470"/>
      <c r="G29470"/>
      <c r="H29470"/>
      <c r="I29470"/>
    </row>
    <row r="29471" spans="6:9" x14ac:dyDescent="0.3">
      <c r="F29471"/>
      <c r="G29471"/>
      <c r="H29471"/>
      <c r="I29471"/>
    </row>
    <row r="29472" spans="6:9" x14ac:dyDescent="0.3">
      <c r="F29472"/>
      <c r="G29472"/>
      <c r="H29472"/>
      <c r="I29472"/>
    </row>
    <row r="29473" spans="6:9" x14ac:dyDescent="0.3">
      <c r="F29473"/>
      <c r="G29473"/>
      <c r="H29473"/>
      <c r="I29473"/>
    </row>
    <row r="29474" spans="6:9" x14ac:dyDescent="0.3">
      <c r="F29474"/>
      <c r="G29474"/>
      <c r="H29474"/>
      <c r="I29474"/>
    </row>
    <row r="29475" spans="6:9" x14ac:dyDescent="0.3">
      <c r="F29475"/>
      <c r="G29475"/>
      <c r="H29475"/>
      <c r="I29475"/>
    </row>
    <row r="29476" spans="6:9" x14ac:dyDescent="0.3">
      <c r="F29476"/>
      <c r="G29476"/>
      <c r="H29476"/>
      <c r="I29476"/>
    </row>
    <row r="29477" spans="6:9" x14ac:dyDescent="0.3">
      <c r="F29477"/>
      <c r="G29477"/>
      <c r="H29477"/>
      <c r="I29477"/>
    </row>
    <row r="29478" spans="6:9" x14ac:dyDescent="0.3">
      <c r="F29478"/>
      <c r="G29478"/>
      <c r="H29478"/>
      <c r="I29478"/>
    </row>
    <row r="29479" spans="6:9" x14ac:dyDescent="0.3">
      <c r="F29479"/>
      <c r="G29479"/>
      <c r="H29479"/>
      <c r="I29479"/>
    </row>
    <row r="29480" spans="6:9" x14ac:dyDescent="0.3">
      <c r="F29480"/>
      <c r="G29480"/>
      <c r="H29480"/>
      <c r="I29480"/>
    </row>
    <row r="29481" spans="6:9" x14ac:dyDescent="0.3">
      <c r="F29481"/>
      <c r="G29481"/>
      <c r="H29481"/>
      <c r="I29481"/>
    </row>
    <row r="29482" spans="6:9" x14ac:dyDescent="0.3">
      <c r="F29482"/>
      <c r="G29482"/>
      <c r="H29482"/>
      <c r="I29482"/>
    </row>
    <row r="29483" spans="6:9" x14ac:dyDescent="0.3">
      <c r="F29483"/>
      <c r="G29483"/>
      <c r="H29483"/>
      <c r="I29483"/>
    </row>
    <row r="29484" spans="6:9" x14ac:dyDescent="0.3">
      <c r="F29484"/>
      <c r="G29484"/>
      <c r="H29484"/>
      <c r="I29484"/>
    </row>
    <row r="29485" spans="6:9" x14ac:dyDescent="0.3">
      <c r="F29485"/>
      <c r="G29485"/>
      <c r="H29485"/>
      <c r="I29485"/>
    </row>
    <row r="29486" spans="6:9" x14ac:dyDescent="0.3">
      <c r="F29486"/>
      <c r="G29486"/>
      <c r="H29486"/>
      <c r="I29486"/>
    </row>
    <row r="29487" spans="6:9" x14ac:dyDescent="0.3">
      <c r="F29487"/>
      <c r="G29487"/>
      <c r="H29487"/>
      <c r="I29487"/>
    </row>
    <row r="29488" spans="6:9" x14ac:dyDescent="0.3">
      <c r="F29488"/>
      <c r="G29488"/>
      <c r="H29488"/>
      <c r="I29488"/>
    </row>
    <row r="29489" spans="6:9" x14ac:dyDescent="0.3">
      <c r="F29489"/>
      <c r="G29489"/>
      <c r="H29489"/>
      <c r="I29489"/>
    </row>
    <row r="29490" spans="6:9" x14ac:dyDescent="0.3">
      <c r="F29490"/>
      <c r="G29490"/>
      <c r="H29490"/>
      <c r="I29490"/>
    </row>
    <row r="29491" spans="6:9" x14ac:dyDescent="0.3">
      <c r="F29491"/>
      <c r="G29491"/>
      <c r="H29491"/>
      <c r="I29491"/>
    </row>
    <row r="29492" spans="6:9" x14ac:dyDescent="0.3">
      <c r="F29492"/>
      <c r="G29492"/>
      <c r="H29492"/>
      <c r="I29492"/>
    </row>
    <row r="29493" spans="6:9" x14ac:dyDescent="0.3">
      <c r="F29493"/>
      <c r="G29493"/>
      <c r="H29493"/>
      <c r="I29493"/>
    </row>
    <row r="29494" spans="6:9" x14ac:dyDescent="0.3">
      <c r="F29494"/>
      <c r="G29494"/>
      <c r="H29494"/>
      <c r="I29494"/>
    </row>
    <row r="29495" spans="6:9" x14ac:dyDescent="0.3">
      <c r="F29495"/>
      <c r="G29495"/>
      <c r="H29495"/>
      <c r="I29495"/>
    </row>
    <row r="29496" spans="6:9" x14ac:dyDescent="0.3">
      <c r="F29496"/>
      <c r="G29496"/>
      <c r="H29496"/>
      <c r="I29496"/>
    </row>
    <row r="29497" spans="6:9" x14ac:dyDescent="0.3">
      <c r="F29497"/>
      <c r="G29497"/>
      <c r="H29497"/>
      <c r="I29497"/>
    </row>
    <row r="29498" spans="6:9" x14ac:dyDescent="0.3">
      <c r="F29498"/>
      <c r="G29498"/>
      <c r="H29498"/>
      <c r="I29498"/>
    </row>
    <row r="29499" spans="6:9" x14ac:dyDescent="0.3">
      <c r="F29499"/>
      <c r="G29499"/>
      <c r="H29499"/>
      <c r="I29499"/>
    </row>
    <row r="29500" spans="6:9" x14ac:dyDescent="0.3">
      <c r="F29500"/>
      <c r="G29500"/>
      <c r="H29500"/>
      <c r="I29500"/>
    </row>
    <row r="29501" spans="6:9" x14ac:dyDescent="0.3">
      <c r="F29501"/>
      <c r="G29501"/>
      <c r="H29501"/>
      <c r="I29501"/>
    </row>
    <row r="29502" spans="6:9" x14ac:dyDescent="0.3">
      <c r="F29502"/>
      <c r="G29502"/>
      <c r="H29502"/>
      <c r="I29502"/>
    </row>
    <row r="29503" spans="6:9" x14ac:dyDescent="0.3">
      <c r="F29503"/>
      <c r="G29503"/>
      <c r="H29503"/>
      <c r="I29503"/>
    </row>
    <row r="29504" spans="6:9" x14ac:dyDescent="0.3">
      <c r="F29504"/>
      <c r="G29504"/>
      <c r="H29504"/>
      <c r="I29504"/>
    </row>
    <row r="29505" spans="6:9" x14ac:dyDescent="0.3">
      <c r="F29505"/>
      <c r="G29505"/>
      <c r="H29505"/>
      <c r="I29505"/>
    </row>
    <row r="29506" spans="6:9" x14ac:dyDescent="0.3">
      <c r="F29506"/>
      <c r="G29506"/>
      <c r="H29506"/>
      <c r="I29506"/>
    </row>
    <row r="29507" spans="6:9" x14ac:dyDescent="0.3">
      <c r="F29507"/>
      <c r="G29507"/>
      <c r="H29507"/>
      <c r="I29507"/>
    </row>
    <row r="29508" spans="6:9" x14ac:dyDescent="0.3">
      <c r="F29508"/>
      <c r="G29508"/>
      <c r="H29508"/>
      <c r="I29508"/>
    </row>
    <row r="29509" spans="6:9" x14ac:dyDescent="0.3">
      <c r="F29509"/>
      <c r="G29509"/>
      <c r="H29509"/>
      <c r="I29509"/>
    </row>
    <row r="29510" spans="6:9" x14ac:dyDescent="0.3">
      <c r="F29510"/>
      <c r="G29510"/>
      <c r="H29510"/>
      <c r="I29510"/>
    </row>
    <row r="29511" spans="6:9" x14ac:dyDescent="0.3">
      <c r="F29511"/>
      <c r="G29511"/>
      <c r="H29511"/>
      <c r="I29511"/>
    </row>
    <row r="29512" spans="6:9" x14ac:dyDescent="0.3">
      <c r="F29512"/>
      <c r="G29512"/>
      <c r="H29512"/>
      <c r="I29512"/>
    </row>
    <row r="29513" spans="6:9" x14ac:dyDescent="0.3">
      <c r="F29513"/>
      <c r="G29513"/>
      <c r="H29513"/>
      <c r="I29513"/>
    </row>
    <row r="29514" spans="6:9" x14ac:dyDescent="0.3">
      <c r="F29514"/>
      <c r="G29514"/>
      <c r="H29514"/>
      <c r="I29514"/>
    </row>
    <row r="29515" spans="6:9" x14ac:dyDescent="0.3">
      <c r="F29515"/>
      <c r="G29515"/>
      <c r="H29515"/>
      <c r="I29515"/>
    </row>
    <row r="29516" spans="6:9" x14ac:dyDescent="0.3">
      <c r="F29516"/>
      <c r="G29516"/>
      <c r="H29516"/>
      <c r="I29516"/>
    </row>
    <row r="29517" spans="6:9" x14ac:dyDescent="0.3">
      <c r="F29517"/>
      <c r="G29517"/>
      <c r="H29517"/>
      <c r="I29517"/>
    </row>
    <row r="29518" spans="6:9" x14ac:dyDescent="0.3">
      <c r="F29518"/>
      <c r="G29518"/>
      <c r="H29518"/>
      <c r="I29518"/>
    </row>
    <row r="29519" spans="6:9" x14ac:dyDescent="0.3">
      <c r="F29519"/>
      <c r="G29519"/>
      <c r="H29519"/>
      <c r="I29519"/>
    </row>
    <row r="29520" spans="6:9" x14ac:dyDescent="0.3">
      <c r="F29520"/>
      <c r="G29520"/>
      <c r="H29520"/>
      <c r="I29520"/>
    </row>
    <row r="29521" spans="6:9" x14ac:dyDescent="0.3">
      <c r="F29521"/>
      <c r="G29521"/>
      <c r="H29521"/>
      <c r="I29521"/>
    </row>
    <row r="29522" spans="6:9" x14ac:dyDescent="0.3">
      <c r="F29522"/>
      <c r="G29522"/>
      <c r="H29522"/>
      <c r="I29522"/>
    </row>
    <row r="29523" spans="6:9" x14ac:dyDescent="0.3">
      <c r="F29523"/>
      <c r="G29523"/>
      <c r="H29523"/>
      <c r="I29523"/>
    </row>
    <row r="29524" spans="6:9" x14ac:dyDescent="0.3">
      <c r="F29524"/>
      <c r="G29524"/>
      <c r="H29524"/>
      <c r="I29524"/>
    </row>
    <row r="29525" spans="6:9" x14ac:dyDescent="0.3">
      <c r="F29525"/>
      <c r="G29525"/>
      <c r="H29525"/>
      <c r="I29525"/>
    </row>
    <row r="29526" spans="6:9" x14ac:dyDescent="0.3">
      <c r="F29526"/>
      <c r="G29526"/>
      <c r="H29526"/>
      <c r="I29526"/>
    </row>
    <row r="29527" spans="6:9" x14ac:dyDescent="0.3">
      <c r="F29527"/>
      <c r="G29527"/>
      <c r="H29527"/>
      <c r="I29527"/>
    </row>
    <row r="29528" spans="6:9" x14ac:dyDescent="0.3">
      <c r="F29528"/>
      <c r="G29528"/>
      <c r="H29528"/>
      <c r="I29528"/>
    </row>
    <row r="29529" spans="6:9" x14ac:dyDescent="0.3">
      <c r="F29529"/>
      <c r="G29529"/>
      <c r="H29529"/>
      <c r="I29529"/>
    </row>
    <row r="29530" spans="6:9" x14ac:dyDescent="0.3">
      <c r="F29530"/>
      <c r="G29530"/>
      <c r="H29530"/>
      <c r="I29530"/>
    </row>
    <row r="29531" spans="6:9" x14ac:dyDescent="0.3">
      <c r="F29531"/>
      <c r="G29531"/>
      <c r="H29531"/>
      <c r="I29531"/>
    </row>
    <row r="29532" spans="6:9" x14ac:dyDescent="0.3">
      <c r="F29532"/>
      <c r="G29532"/>
      <c r="H29532"/>
      <c r="I29532"/>
    </row>
    <row r="29533" spans="6:9" x14ac:dyDescent="0.3">
      <c r="F29533"/>
      <c r="G29533"/>
      <c r="H29533"/>
      <c r="I29533"/>
    </row>
    <row r="29534" spans="6:9" x14ac:dyDescent="0.3">
      <c r="F29534"/>
      <c r="G29534"/>
      <c r="H29534"/>
      <c r="I29534"/>
    </row>
    <row r="29535" spans="6:9" x14ac:dyDescent="0.3">
      <c r="F29535"/>
      <c r="G29535"/>
      <c r="H29535"/>
      <c r="I29535"/>
    </row>
    <row r="29536" spans="6:9" x14ac:dyDescent="0.3">
      <c r="F29536"/>
      <c r="G29536"/>
      <c r="H29536"/>
      <c r="I29536"/>
    </row>
    <row r="29537" spans="6:9" x14ac:dyDescent="0.3">
      <c r="F29537"/>
      <c r="G29537"/>
      <c r="H29537"/>
      <c r="I29537"/>
    </row>
    <row r="29538" spans="6:9" x14ac:dyDescent="0.3">
      <c r="F29538"/>
      <c r="G29538"/>
      <c r="H29538"/>
      <c r="I29538"/>
    </row>
    <row r="29539" spans="6:9" x14ac:dyDescent="0.3">
      <c r="F29539"/>
      <c r="G29539"/>
      <c r="H29539"/>
      <c r="I29539"/>
    </row>
    <row r="29540" spans="6:9" x14ac:dyDescent="0.3">
      <c r="F29540"/>
      <c r="G29540"/>
      <c r="H29540"/>
      <c r="I29540"/>
    </row>
    <row r="29541" spans="6:9" x14ac:dyDescent="0.3">
      <c r="F29541"/>
      <c r="G29541"/>
      <c r="H29541"/>
      <c r="I29541"/>
    </row>
    <row r="29542" spans="6:9" x14ac:dyDescent="0.3">
      <c r="F29542"/>
      <c r="G29542"/>
      <c r="H29542"/>
      <c r="I29542"/>
    </row>
    <row r="29543" spans="6:9" x14ac:dyDescent="0.3">
      <c r="F29543"/>
      <c r="G29543"/>
      <c r="H29543"/>
      <c r="I29543"/>
    </row>
    <row r="29544" spans="6:9" x14ac:dyDescent="0.3">
      <c r="F29544"/>
      <c r="G29544"/>
      <c r="H29544"/>
      <c r="I29544"/>
    </row>
    <row r="29545" spans="6:9" x14ac:dyDescent="0.3">
      <c r="F29545"/>
      <c r="G29545"/>
      <c r="H29545"/>
      <c r="I29545"/>
    </row>
    <row r="29546" spans="6:9" x14ac:dyDescent="0.3">
      <c r="F29546"/>
      <c r="G29546"/>
      <c r="H29546"/>
      <c r="I29546"/>
    </row>
    <row r="29547" spans="6:9" x14ac:dyDescent="0.3">
      <c r="F29547"/>
      <c r="G29547"/>
      <c r="H29547"/>
      <c r="I29547"/>
    </row>
    <row r="29548" spans="6:9" x14ac:dyDescent="0.3">
      <c r="F29548"/>
      <c r="G29548"/>
      <c r="H29548"/>
      <c r="I29548"/>
    </row>
    <row r="29549" spans="6:9" x14ac:dyDescent="0.3">
      <c r="F29549"/>
      <c r="G29549"/>
      <c r="H29549"/>
      <c r="I29549"/>
    </row>
    <row r="29550" spans="6:9" x14ac:dyDescent="0.3">
      <c r="F29550"/>
      <c r="G29550"/>
      <c r="H29550"/>
      <c r="I29550"/>
    </row>
    <row r="29551" spans="6:9" x14ac:dyDescent="0.3">
      <c r="F29551"/>
      <c r="G29551"/>
      <c r="H29551"/>
      <c r="I29551"/>
    </row>
    <row r="29552" spans="6:9" x14ac:dyDescent="0.3">
      <c r="F29552"/>
      <c r="G29552"/>
      <c r="H29552"/>
      <c r="I29552"/>
    </row>
    <row r="29553" spans="6:9" x14ac:dyDescent="0.3">
      <c r="F29553"/>
      <c r="G29553"/>
      <c r="H29553"/>
      <c r="I29553"/>
    </row>
    <row r="29554" spans="6:9" x14ac:dyDescent="0.3">
      <c r="F29554"/>
      <c r="G29554"/>
      <c r="H29554"/>
      <c r="I29554"/>
    </row>
    <row r="29555" spans="6:9" x14ac:dyDescent="0.3">
      <c r="F29555"/>
      <c r="G29555"/>
      <c r="H29555"/>
      <c r="I29555"/>
    </row>
    <row r="29556" spans="6:9" x14ac:dyDescent="0.3">
      <c r="F29556"/>
      <c r="G29556"/>
      <c r="H29556"/>
      <c r="I29556"/>
    </row>
    <row r="29557" spans="6:9" x14ac:dyDescent="0.3">
      <c r="F29557"/>
      <c r="G29557"/>
      <c r="H29557"/>
      <c r="I29557"/>
    </row>
    <row r="29558" spans="6:9" x14ac:dyDescent="0.3">
      <c r="F29558"/>
      <c r="G29558"/>
      <c r="H29558"/>
      <c r="I29558"/>
    </row>
    <row r="29559" spans="6:9" x14ac:dyDescent="0.3">
      <c r="F29559"/>
      <c r="G29559"/>
      <c r="H29559"/>
      <c r="I29559"/>
    </row>
    <row r="29560" spans="6:9" x14ac:dyDescent="0.3">
      <c r="F29560"/>
      <c r="G29560"/>
      <c r="H29560"/>
      <c r="I29560"/>
    </row>
    <row r="29561" spans="6:9" x14ac:dyDescent="0.3">
      <c r="F29561"/>
      <c r="G29561"/>
      <c r="H29561"/>
      <c r="I29561"/>
    </row>
    <row r="29562" spans="6:9" x14ac:dyDescent="0.3">
      <c r="F29562"/>
      <c r="G29562"/>
      <c r="H29562"/>
      <c r="I29562"/>
    </row>
    <row r="29563" spans="6:9" x14ac:dyDescent="0.3">
      <c r="F29563"/>
      <c r="G29563"/>
      <c r="H29563"/>
      <c r="I29563"/>
    </row>
    <row r="29564" spans="6:9" x14ac:dyDescent="0.3">
      <c r="F29564"/>
      <c r="G29564"/>
      <c r="H29564"/>
      <c r="I29564"/>
    </row>
    <row r="29565" spans="6:9" x14ac:dyDescent="0.3">
      <c r="F29565"/>
      <c r="G29565"/>
      <c r="H29565"/>
      <c r="I29565"/>
    </row>
    <row r="29566" spans="6:9" x14ac:dyDescent="0.3">
      <c r="F29566"/>
      <c r="G29566"/>
      <c r="H29566"/>
      <c r="I29566"/>
    </row>
    <row r="29567" spans="6:9" x14ac:dyDescent="0.3">
      <c r="F29567"/>
      <c r="G29567"/>
      <c r="H29567"/>
      <c r="I29567"/>
    </row>
    <row r="29568" spans="6:9" x14ac:dyDescent="0.3">
      <c r="F29568"/>
      <c r="G29568"/>
      <c r="H29568"/>
      <c r="I29568"/>
    </row>
    <row r="29569" spans="6:9" x14ac:dyDescent="0.3">
      <c r="F29569"/>
      <c r="G29569"/>
      <c r="H29569"/>
      <c r="I29569"/>
    </row>
    <row r="29570" spans="6:9" x14ac:dyDescent="0.3">
      <c r="F29570"/>
      <c r="G29570"/>
      <c r="H29570"/>
      <c r="I29570"/>
    </row>
    <row r="29571" spans="6:9" x14ac:dyDescent="0.3">
      <c r="F29571"/>
      <c r="G29571"/>
      <c r="H29571"/>
      <c r="I29571"/>
    </row>
    <row r="29572" spans="6:9" x14ac:dyDescent="0.3">
      <c r="F29572"/>
      <c r="G29572"/>
      <c r="H29572"/>
      <c r="I29572"/>
    </row>
    <row r="29573" spans="6:9" x14ac:dyDescent="0.3">
      <c r="F29573"/>
      <c r="G29573"/>
      <c r="H29573"/>
      <c r="I29573"/>
    </row>
    <row r="29574" spans="6:9" x14ac:dyDescent="0.3">
      <c r="F29574"/>
      <c r="G29574"/>
      <c r="H29574"/>
      <c r="I29574"/>
    </row>
    <row r="29575" spans="6:9" x14ac:dyDescent="0.3">
      <c r="F29575"/>
      <c r="G29575"/>
      <c r="H29575"/>
      <c r="I29575"/>
    </row>
    <row r="29576" spans="6:9" x14ac:dyDescent="0.3">
      <c r="F29576"/>
      <c r="G29576"/>
      <c r="H29576"/>
      <c r="I29576"/>
    </row>
    <row r="29577" spans="6:9" x14ac:dyDescent="0.3">
      <c r="F29577"/>
      <c r="G29577"/>
      <c r="H29577"/>
      <c r="I29577"/>
    </row>
    <row r="29578" spans="6:9" x14ac:dyDescent="0.3">
      <c r="F29578"/>
      <c r="G29578"/>
      <c r="H29578"/>
      <c r="I29578"/>
    </row>
    <row r="29579" spans="6:9" x14ac:dyDescent="0.3">
      <c r="F29579"/>
      <c r="G29579"/>
      <c r="H29579"/>
      <c r="I29579"/>
    </row>
    <row r="29580" spans="6:9" x14ac:dyDescent="0.3">
      <c r="F29580"/>
      <c r="G29580"/>
      <c r="H29580"/>
      <c r="I29580"/>
    </row>
    <row r="29581" spans="6:9" x14ac:dyDescent="0.3">
      <c r="F29581"/>
      <c r="G29581"/>
      <c r="H29581"/>
      <c r="I29581"/>
    </row>
    <row r="29582" spans="6:9" x14ac:dyDescent="0.3">
      <c r="F29582"/>
      <c r="G29582"/>
      <c r="H29582"/>
      <c r="I29582"/>
    </row>
    <row r="29583" spans="6:9" x14ac:dyDescent="0.3">
      <c r="F29583"/>
      <c r="G29583"/>
      <c r="H29583"/>
      <c r="I29583"/>
    </row>
    <row r="29584" spans="6:9" x14ac:dyDescent="0.3">
      <c r="F29584"/>
      <c r="G29584"/>
      <c r="H29584"/>
      <c r="I29584"/>
    </row>
    <row r="29585" spans="6:9" x14ac:dyDescent="0.3">
      <c r="F29585"/>
      <c r="G29585"/>
      <c r="H29585"/>
      <c r="I29585"/>
    </row>
    <row r="29586" spans="6:9" x14ac:dyDescent="0.3">
      <c r="F29586"/>
      <c r="G29586"/>
      <c r="H29586"/>
      <c r="I29586"/>
    </row>
    <row r="29587" spans="6:9" x14ac:dyDescent="0.3">
      <c r="F29587"/>
      <c r="G29587"/>
      <c r="H29587"/>
      <c r="I29587"/>
    </row>
    <row r="29588" spans="6:9" x14ac:dyDescent="0.3">
      <c r="F29588"/>
      <c r="G29588"/>
      <c r="H29588"/>
      <c r="I29588"/>
    </row>
    <row r="29589" spans="6:9" x14ac:dyDescent="0.3">
      <c r="F29589"/>
      <c r="G29589"/>
      <c r="H29589"/>
      <c r="I29589"/>
    </row>
    <row r="29590" spans="6:9" x14ac:dyDescent="0.3">
      <c r="F29590"/>
      <c r="G29590"/>
      <c r="H29590"/>
      <c r="I29590"/>
    </row>
    <row r="29591" spans="6:9" x14ac:dyDescent="0.3">
      <c r="F29591"/>
      <c r="G29591"/>
      <c r="H29591"/>
      <c r="I29591"/>
    </row>
    <row r="29592" spans="6:9" x14ac:dyDescent="0.3">
      <c r="F29592"/>
      <c r="G29592"/>
      <c r="H29592"/>
      <c r="I29592"/>
    </row>
    <row r="29593" spans="6:9" x14ac:dyDescent="0.3">
      <c r="F29593"/>
      <c r="G29593"/>
      <c r="H29593"/>
      <c r="I29593"/>
    </row>
    <row r="29594" spans="6:9" x14ac:dyDescent="0.3">
      <c r="F29594"/>
      <c r="G29594"/>
      <c r="H29594"/>
      <c r="I29594"/>
    </row>
    <row r="29595" spans="6:9" x14ac:dyDescent="0.3">
      <c r="F29595"/>
      <c r="G29595"/>
      <c r="H29595"/>
      <c r="I29595"/>
    </row>
    <row r="29596" spans="6:9" x14ac:dyDescent="0.3">
      <c r="F29596"/>
      <c r="G29596"/>
      <c r="H29596"/>
      <c r="I29596"/>
    </row>
    <row r="29597" spans="6:9" x14ac:dyDescent="0.3">
      <c r="F29597"/>
      <c r="G29597"/>
      <c r="H29597"/>
      <c r="I29597"/>
    </row>
    <row r="29598" spans="6:9" x14ac:dyDescent="0.3">
      <c r="F29598"/>
      <c r="G29598"/>
      <c r="H29598"/>
      <c r="I29598"/>
    </row>
    <row r="29599" spans="6:9" x14ac:dyDescent="0.3">
      <c r="F29599"/>
      <c r="G29599"/>
      <c r="H29599"/>
      <c r="I29599"/>
    </row>
    <row r="29600" spans="6:9" x14ac:dyDescent="0.3">
      <c r="F29600"/>
      <c r="G29600"/>
      <c r="H29600"/>
      <c r="I29600"/>
    </row>
    <row r="29601" spans="6:9" x14ac:dyDescent="0.3">
      <c r="F29601"/>
      <c r="G29601"/>
      <c r="H29601"/>
      <c r="I29601"/>
    </row>
    <row r="29602" spans="6:9" x14ac:dyDescent="0.3">
      <c r="F29602"/>
      <c r="G29602"/>
      <c r="H29602"/>
      <c r="I29602"/>
    </row>
    <row r="29603" spans="6:9" x14ac:dyDescent="0.3">
      <c r="F29603"/>
      <c r="G29603"/>
      <c r="H29603"/>
      <c r="I29603"/>
    </row>
    <row r="29604" spans="6:9" x14ac:dyDescent="0.3">
      <c r="F29604"/>
      <c r="G29604"/>
      <c r="H29604"/>
      <c r="I29604"/>
    </row>
    <row r="29605" spans="6:9" x14ac:dyDescent="0.3">
      <c r="F29605"/>
      <c r="G29605"/>
      <c r="H29605"/>
      <c r="I29605"/>
    </row>
    <row r="29606" spans="6:9" x14ac:dyDescent="0.3">
      <c r="F29606"/>
      <c r="G29606"/>
      <c r="H29606"/>
      <c r="I29606"/>
    </row>
    <row r="29607" spans="6:9" x14ac:dyDescent="0.3">
      <c r="F29607"/>
      <c r="G29607"/>
      <c r="H29607"/>
      <c r="I29607"/>
    </row>
    <row r="29608" spans="6:9" x14ac:dyDescent="0.3">
      <c r="F29608"/>
      <c r="G29608"/>
      <c r="H29608"/>
      <c r="I29608"/>
    </row>
    <row r="29609" spans="6:9" x14ac:dyDescent="0.3">
      <c r="F29609"/>
      <c r="G29609"/>
      <c r="H29609"/>
      <c r="I29609"/>
    </row>
    <row r="29610" spans="6:9" x14ac:dyDescent="0.3">
      <c r="F29610"/>
      <c r="G29610"/>
      <c r="H29610"/>
      <c r="I29610"/>
    </row>
    <row r="29611" spans="6:9" x14ac:dyDescent="0.3">
      <c r="F29611"/>
      <c r="G29611"/>
      <c r="H29611"/>
      <c r="I29611"/>
    </row>
    <row r="29612" spans="6:9" x14ac:dyDescent="0.3">
      <c r="F29612"/>
      <c r="G29612"/>
      <c r="H29612"/>
      <c r="I29612"/>
    </row>
    <row r="29613" spans="6:9" x14ac:dyDescent="0.3">
      <c r="F29613"/>
      <c r="G29613"/>
      <c r="H29613"/>
      <c r="I29613"/>
    </row>
    <row r="29614" spans="6:9" x14ac:dyDescent="0.3">
      <c r="F29614"/>
      <c r="G29614"/>
      <c r="H29614"/>
      <c r="I29614"/>
    </row>
    <row r="29615" spans="6:9" x14ac:dyDescent="0.3">
      <c r="F29615"/>
      <c r="G29615"/>
      <c r="H29615"/>
      <c r="I29615"/>
    </row>
    <row r="29616" spans="6:9" x14ac:dyDescent="0.3">
      <c r="F29616"/>
      <c r="G29616"/>
      <c r="H29616"/>
      <c r="I29616"/>
    </row>
    <row r="29617" spans="6:9" x14ac:dyDescent="0.3">
      <c r="F29617"/>
      <c r="G29617"/>
      <c r="H29617"/>
      <c r="I29617"/>
    </row>
    <row r="29618" spans="6:9" x14ac:dyDescent="0.3">
      <c r="F29618"/>
      <c r="G29618"/>
      <c r="H29618"/>
      <c r="I29618"/>
    </row>
    <row r="29619" spans="6:9" x14ac:dyDescent="0.3">
      <c r="F29619"/>
      <c r="G29619"/>
      <c r="H29619"/>
      <c r="I29619"/>
    </row>
    <row r="29620" spans="6:9" x14ac:dyDescent="0.3">
      <c r="F29620"/>
      <c r="G29620"/>
      <c r="H29620"/>
      <c r="I29620"/>
    </row>
    <row r="29621" spans="6:9" x14ac:dyDescent="0.3">
      <c r="F29621"/>
      <c r="G29621"/>
      <c r="H29621"/>
      <c r="I29621"/>
    </row>
    <row r="29622" spans="6:9" x14ac:dyDescent="0.3">
      <c r="F29622"/>
      <c r="G29622"/>
      <c r="H29622"/>
      <c r="I29622"/>
    </row>
    <row r="29623" spans="6:9" x14ac:dyDescent="0.3">
      <c r="F29623"/>
      <c r="G29623"/>
      <c r="H29623"/>
      <c r="I29623"/>
    </row>
    <row r="29624" spans="6:9" x14ac:dyDescent="0.3">
      <c r="F29624"/>
      <c r="G29624"/>
      <c r="H29624"/>
      <c r="I29624"/>
    </row>
    <row r="29625" spans="6:9" x14ac:dyDescent="0.3">
      <c r="F29625"/>
      <c r="G29625"/>
      <c r="H29625"/>
      <c r="I29625"/>
    </row>
    <row r="29626" spans="6:9" x14ac:dyDescent="0.3">
      <c r="F29626"/>
      <c r="G29626"/>
      <c r="H29626"/>
      <c r="I29626"/>
    </row>
    <row r="29627" spans="6:9" x14ac:dyDescent="0.3">
      <c r="F29627"/>
      <c r="G29627"/>
      <c r="H29627"/>
      <c r="I29627"/>
    </row>
    <row r="29628" spans="6:9" x14ac:dyDescent="0.3">
      <c r="F29628"/>
      <c r="G29628"/>
      <c r="H29628"/>
      <c r="I29628"/>
    </row>
    <row r="29629" spans="6:9" x14ac:dyDescent="0.3">
      <c r="F29629"/>
      <c r="G29629"/>
      <c r="H29629"/>
      <c r="I29629"/>
    </row>
    <row r="29630" spans="6:9" x14ac:dyDescent="0.3">
      <c r="F29630"/>
      <c r="G29630"/>
      <c r="H29630"/>
      <c r="I29630"/>
    </row>
    <row r="29631" spans="6:9" x14ac:dyDescent="0.3">
      <c r="F29631"/>
      <c r="G29631"/>
      <c r="H29631"/>
      <c r="I29631"/>
    </row>
    <row r="29632" spans="6:9" x14ac:dyDescent="0.3">
      <c r="F29632"/>
      <c r="G29632"/>
      <c r="H29632"/>
      <c r="I29632"/>
    </row>
    <row r="29633" spans="6:9" x14ac:dyDescent="0.3">
      <c r="F29633"/>
      <c r="G29633"/>
      <c r="H29633"/>
      <c r="I29633"/>
    </row>
    <row r="29634" spans="6:9" x14ac:dyDescent="0.3">
      <c r="F29634"/>
      <c r="G29634"/>
      <c r="H29634"/>
      <c r="I29634"/>
    </row>
    <row r="29635" spans="6:9" x14ac:dyDescent="0.3">
      <c r="F29635"/>
      <c r="G29635"/>
      <c r="H29635"/>
      <c r="I29635"/>
    </row>
    <row r="29636" spans="6:9" x14ac:dyDescent="0.3">
      <c r="F29636"/>
      <c r="G29636"/>
      <c r="H29636"/>
      <c r="I29636"/>
    </row>
    <row r="29637" spans="6:9" x14ac:dyDescent="0.3">
      <c r="F29637"/>
      <c r="G29637"/>
      <c r="H29637"/>
      <c r="I29637"/>
    </row>
    <row r="29638" spans="6:9" x14ac:dyDescent="0.3">
      <c r="F29638"/>
      <c r="G29638"/>
      <c r="H29638"/>
      <c r="I29638"/>
    </row>
    <row r="29639" spans="6:9" x14ac:dyDescent="0.3">
      <c r="F29639"/>
      <c r="G29639"/>
      <c r="H29639"/>
      <c r="I29639"/>
    </row>
    <row r="29640" spans="6:9" x14ac:dyDescent="0.3">
      <c r="F29640"/>
      <c r="G29640"/>
      <c r="H29640"/>
      <c r="I29640"/>
    </row>
    <row r="29641" spans="6:9" x14ac:dyDescent="0.3">
      <c r="F29641"/>
      <c r="G29641"/>
      <c r="H29641"/>
      <c r="I29641"/>
    </row>
    <row r="29642" spans="6:9" x14ac:dyDescent="0.3">
      <c r="F29642"/>
      <c r="G29642"/>
      <c r="H29642"/>
      <c r="I29642"/>
    </row>
    <row r="29643" spans="6:9" x14ac:dyDescent="0.3">
      <c r="F29643"/>
      <c r="G29643"/>
      <c r="H29643"/>
      <c r="I29643"/>
    </row>
    <row r="29644" spans="6:9" x14ac:dyDescent="0.3">
      <c r="F29644"/>
      <c r="G29644"/>
      <c r="H29644"/>
      <c r="I29644"/>
    </row>
    <row r="29645" spans="6:9" x14ac:dyDescent="0.3">
      <c r="F29645"/>
      <c r="G29645"/>
      <c r="H29645"/>
      <c r="I29645"/>
    </row>
    <row r="29646" spans="6:9" x14ac:dyDescent="0.3">
      <c r="F29646"/>
      <c r="G29646"/>
      <c r="H29646"/>
      <c r="I29646"/>
    </row>
    <row r="29647" spans="6:9" x14ac:dyDescent="0.3">
      <c r="F29647"/>
      <c r="G29647"/>
      <c r="H29647"/>
      <c r="I29647"/>
    </row>
    <row r="29648" spans="6:9" x14ac:dyDescent="0.3">
      <c r="F29648"/>
      <c r="G29648"/>
      <c r="H29648"/>
      <c r="I29648"/>
    </row>
    <row r="29649" spans="6:9" x14ac:dyDescent="0.3">
      <c r="F29649"/>
      <c r="G29649"/>
      <c r="H29649"/>
      <c r="I29649"/>
    </row>
    <row r="29650" spans="6:9" x14ac:dyDescent="0.3">
      <c r="F29650"/>
      <c r="G29650"/>
      <c r="H29650"/>
      <c r="I29650"/>
    </row>
    <row r="29651" spans="6:9" x14ac:dyDescent="0.3">
      <c r="F29651"/>
      <c r="G29651"/>
      <c r="H29651"/>
      <c r="I29651"/>
    </row>
    <row r="29652" spans="6:9" x14ac:dyDescent="0.3">
      <c r="F29652"/>
      <c r="G29652"/>
      <c r="H29652"/>
      <c r="I29652"/>
    </row>
    <row r="29653" spans="6:9" x14ac:dyDescent="0.3">
      <c r="F29653"/>
      <c r="G29653"/>
      <c r="H29653"/>
      <c r="I29653"/>
    </row>
    <row r="29654" spans="6:9" x14ac:dyDescent="0.3">
      <c r="F29654"/>
      <c r="G29654"/>
      <c r="H29654"/>
      <c r="I29654"/>
    </row>
    <row r="29655" spans="6:9" x14ac:dyDescent="0.3">
      <c r="F29655"/>
      <c r="G29655"/>
      <c r="H29655"/>
      <c r="I29655"/>
    </row>
    <row r="29656" spans="6:9" x14ac:dyDescent="0.3">
      <c r="F29656"/>
      <c r="G29656"/>
      <c r="H29656"/>
      <c r="I29656"/>
    </row>
    <row r="29657" spans="6:9" x14ac:dyDescent="0.3">
      <c r="F29657"/>
      <c r="G29657"/>
      <c r="H29657"/>
      <c r="I29657"/>
    </row>
    <row r="29658" spans="6:9" x14ac:dyDescent="0.3">
      <c r="F29658"/>
      <c r="G29658"/>
      <c r="H29658"/>
      <c r="I29658"/>
    </row>
    <row r="29659" spans="6:9" x14ac:dyDescent="0.3">
      <c r="F29659"/>
      <c r="G29659"/>
      <c r="H29659"/>
      <c r="I29659"/>
    </row>
    <row r="29660" spans="6:9" x14ac:dyDescent="0.3">
      <c r="F29660"/>
      <c r="G29660"/>
      <c r="H29660"/>
      <c r="I29660"/>
    </row>
    <row r="29661" spans="6:9" x14ac:dyDescent="0.3">
      <c r="F29661"/>
      <c r="G29661"/>
      <c r="H29661"/>
      <c r="I29661"/>
    </row>
    <row r="29662" spans="6:9" x14ac:dyDescent="0.3">
      <c r="F29662"/>
      <c r="G29662"/>
      <c r="H29662"/>
      <c r="I29662"/>
    </row>
    <row r="29663" spans="6:9" x14ac:dyDescent="0.3">
      <c r="F29663"/>
      <c r="G29663"/>
      <c r="H29663"/>
      <c r="I29663"/>
    </row>
    <row r="29664" spans="6:9" x14ac:dyDescent="0.3">
      <c r="F29664"/>
      <c r="G29664"/>
      <c r="H29664"/>
      <c r="I29664"/>
    </row>
    <row r="29665" spans="6:9" x14ac:dyDescent="0.3">
      <c r="F29665"/>
      <c r="G29665"/>
      <c r="H29665"/>
      <c r="I29665"/>
    </row>
    <row r="29666" spans="6:9" x14ac:dyDescent="0.3">
      <c r="F29666"/>
      <c r="G29666"/>
      <c r="H29666"/>
      <c r="I29666"/>
    </row>
    <row r="29667" spans="6:9" x14ac:dyDescent="0.3">
      <c r="F29667"/>
      <c r="G29667"/>
      <c r="H29667"/>
      <c r="I29667"/>
    </row>
    <row r="29668" spans="6:9" x14ac:dyDescent="0.3">
      <c r="F29668"/>
      <c r="G29668"/>
      <c r="H29668"/>
      <c r="I29668"/>
    </row>
    <row r="29669" spans="6:9" x14ac:dyDescent="0.3">
      <c r="F29669"/>
      <c r="G29669"/>
      <c r="H29669"/>
      <c r="I29669"/>
    </row>
    <row r="29670" spans="6:9" x14ac:dyDescent="0.3">
      <c r="F29670"/>
      <c r="G29670"/>
      <c r="H29670"/>
      <c r="I29670"/>
    </row>
    <row r="29671" spans="6:9" x14ac:dyDescent="0.3">
      <c r="F29671"/>
      <c r="G29671"/>
      <c r="H29671"/>
      <c r="I29671"/>
    </row>
    <row r="29672" spans="6:9" x14ac:dyDescent="0.3">
      <c r="F29672"/>
      <c r="G29672"/>
      <c r="H29672"/>
      <c r="I29672"/>
    </row>
    <row r="29673" spans="6:9" x14ac:dyDescent="0.3">
      <c r="F29673"/>
      <c r="G29673"/>
      <c r="H29673"/>
      <c r="I29673"/>
    </row>
    <row r="29674" spans="6:9" x14ac:dyDescent="0.3">
      <c r="F29674"/>
      <c r="G29674"/>
      <c r="H29674"/>
      <c r="I29674"/>
    </row>
    <row r="29675" spans="6:9" x14ac:dyDescent="0.3">
      <c r="F29675"/>
      <c r="G29675"/>
      <c r="H29675"/>
      <c r="I29675"/>
    </row>
    <row r="29676" spans="6:9" x14ac:dyDescent="0.3">
      <c r="F29676"/>
      <c r="G29676"/>
      <c r="H29676"/>
      <c r="I29676"/>
    </row>
    <row r="29677" spans="6:9" x14ac:dyDescent="0.3">
      <c r="F29677"/>
      <c r="G29677"/>
      <c r="H29677"/>
      <c r="I29677"/>
    </row>
    <row r="29678" spans="6:9" x14ac:dyDescent="0.3">
      <c r="F29678"/>
      <c r="G29678"/>
      <c r="H29678"/>
      <c r="I29678"/>
    </row>
    <row r="29679" spans="6:9" x14ac:dyDescent="0.3">
      <c r="F29679"/>
      <c r="G29679"/>
      <c r="H29679"/>
      <c r="I29679"/>
    </row>
    <row r="29680" spans="6:9" x14ac:dyDescent="0.3">
      <c r="F29680"/>
      <c r="G29680"/>
      <c r="H29680"/>
      <c r="I29680"/>
    </row>
    <row r="29681" spans="6:9" x14ac:dyDescent="0.3">
      <c r="F29681"/>
      <c r="G29681"/>
      <c r="H29681"/>
      <c r="I29681"/>
    </row>
    <row r="29682" spans="6:9" x14ac:dyDescent="0.3">
      <c r="F29682"/>
      <c r="G29682"/>
      <c r="H29682"/>
      <c r="I29682"/>
    </row>
    <row r="29683" spans="6:9" x14ac:dyDescent="0.3">
      <c r="F29683"/>
      <c r="G29683"/>
      <c r="H29683"/>
      <c r="I29683"/>
    </row>
    <row r="29684" spans="6:9" x14ac:dyDescent="0.3">
      <c r="F29684"/>
      <c r="G29684"/>
      <c r="H29684"/>
      <c r="I29684"/>
    </row>
    <row r="29685" spans="6:9" x14ac:dyDescent="0.3">
      <c r="F29685"/>
      <c r="G29685"/>
      <c r="H29685"/>
      <c r="I29685"/>
    </row>
    <row r="29686" spans="6:9" x14ac:dyDescent="0.3">
      <c r="F29686"/>
      <c r="G29686"/>
      <c r="H29686"/>
      <c r="I29686"/>
    </row>
    <row r="29687" spans="6:9" x14ac:dyDescent="0.3">
      <c r="F29687"/>
      <c r="G29687"/>
      <c r="H29687"/>
      <c r="I29687"/>
    </row>
    <row r="29688" spans="6:9" x14ac:dyDescent="0.3">
      <c r="F29688"/>
      <c r="G29688"/>
      <c r="H29688"/>
      <c r="I29688"/>
    </row>
    <row r="29689" spans="6:9" x14ac:dyDescent="0.3">
      <c r="F29689"/>
      <c r="G29689"/>
      <c r="H29689"/>
      <c r="I29689"/>
    </row>
    <row r="29690" spans="6:9" x14ac:dyDescent="0.3">
      <c r="F29690"/>
      <c r="G29690"/>
      <c r="H29690"/>
      <c r="I29690"/>
    </row>
    <row r="29691" spans="6:9" x14ac:dyDescent="0.3">
      <c r="F29691"/>
      <c r="G29691"/>
      <c r="H29691"/>
      <c r="I29691"/>
    </row>
    <row r="29692" spans="6:9" x14ac:dyDescent="0.3">
      <c r="F29692"/>
      <c r="G29692"/>
      <c r="H29692"/>
      <c r="I29692"/>
    </row>
    <row r="29693" spans="6:9" x14ac:dyDescent="0.3">
      <c r="F29693"/>
      <c r="G29693"/>
      <c r="H29693"/>
      <c r="I29693"/>
    </row>
    <row r="29694" spans="6:9" x14ac:dyDescent="0.3">
      <c r="F29694"/>
      <c r="G29694"/>
      <c r="H29694"/>
      <c r="I29694"/>
    </row>
    <row r="29695" spans="6:9" x14ac:dyDescent="0.3">
      <c r="F29695"/>
      <c r="G29695"/>
      <c r="H29695"/>
      <c r="I29695"/>
    </row>
    <row r="29696" spans="6:9" x14ac:dyDescent="0.3">
      <c r="F29696"/>
      <c r="G29696"/>
      <c r="H29696"/>
      <c r="I29696"/>
    </row>
    <row r="29697" spans="6:9" x14ac:dyDescent="0.3">
      <c r="F29697"/>
      <c r="G29697"/>
      <c r="H29697"/>
      <c r="I29697"/>
    </row>
    <row r="29698" spans="6:9" x14ac:dyDescent="0.3">
      <c r="F29698"/>
      <c r="G29698"/>
      <c r="H29698"/>
      <c r="I29698"/>
    </row>
    <row r="29699" spans="6:9" x14ac:dyDescent="0.3">
      <c r="F29699"/>
      <c r="G29699"/>
      <c r="H29699"/>
      <c r="I29699"/>
    </row>
    <row r="29700" spans="6:9" x14ac:dyDescent="0.3">
      <c r="F29700"/>
      <c r="G29700"/>
      <c r="H29700"/>
      <c r="I29700"/>
    </row>
    <row r="29701" spans="6:9" x14ac:dyDescent="0.3">
      <c r="F29701"/>
      <c r="G29701"/>
      <c r="H29701"/>
      <c r="I29701"/>
    </row>
    <row r="29702" spans="6:9" x14ac:dyDescent="0.3">
      <c r="F29702"/>
      <c r="G29702"/>
      <c r="H29702"/>
      <c r="I29702"/>
    </row>
    <row r="29703" spans="6:9" x14ac:dyDescent="0.3">
      <c r="F29703"/>
      <c r="G29703"/>
      <c r="H29703"/>
      <c r="I29703"/>
    </row>
    <row r="29704" spans="6:9" x14ac:dyDescent="0.3">
      <c r="F29704"/>
      <c r="G29704"/>
      <c r="H29704"/>
      <c r="I29704"/>
    </row>
    <row r="29705" spans="6:9" x14ac:dyDescent="0.3">
      <c r="F29705"/>
      <c r="G29705"/>
      <c r="H29705"/>
      <c r="I29705"/>
    </row>
    <row r="29706" spans="6:9" x14ac:dyDescent="0.3">
      <c r="F29706"/>
      <c r="G29706"/>
      <c r="H29706"/>
      <c r="I29706"/>
    </row>
    <row r="29707" spans="6:9" x14ac:dyDescent="0.3">
      <c r="F29707"/>
      <c r="G29707"/>
      <c r="H29707"/>
      <c r="I29707"/>
    </row>
    <row r="29708" spans="6:9" x14ac:dyDescent="0.3">
      <c r="F29708"/>
      <c r="G29708"/>
      <c r="H29708"/>
      <c r="I29708"/>
    </row>
    <row r="29709" spans="6:9" x14ac:dyDescent="0.3">
      <c r="F29709"/>
      <c r="G29709"/>
      <c r="H29709"/>
      <c r="I29709"/>
    </row>
    <row r="29710" spans="6:9" x14ac:dyDescent="0.3">
      <c r="F29710"/>
      <c r="G29710"/>
      <c r="H29710"/>
      <c r="I29710"/>
    </row>
    <row r="29711" spans="6:9" x14ac:dyDescent="0.3">
      <c r="F29711"/>
      <c r="G29711"/>
      <c r="H29711"/>
      <c r="I29711"/>
    </row>
    <row r="29712" spans="6:9" x14ac:dyDescent="0.3">
      <c r="F29712"/>
      <c r="G29712"/>
      <c r="H29712"/>
      <c r="I29712"/>
    </row>
    <row r="29713" spans="6:9" x14ac:dyDescent="0.3">
      <c r="F29713"/>
      <c r="G29713"/>
      <c r="H29713"/>
      <c r="I29713"/>
    </row>
    <row r="29714" spans="6:9" x14ac:dyDescent="0.3">
      <c r="F29714"/>
      <c r="G29714"/>
      <c r="H29714"/>
      <c r="I29714"/>
    </row>
    <row r="29715" spans="6:9" x14ac:dyDescent="0.3">
      <c r="F29715"/>
      <c r="G29715"/>
      <c r="H29715"/>
      <c r="I29715"/>
    </row>
    <row r="29716" spans="6:9" x14ac:dyDescent="0.3">
      <c r="F29716"/>
      <c r="G29716"/>
      <c r="H29716"/>
      <c r="I29716"/>
    </row>
    <row r="29717" spans="6:9" x14ac:dyDescent="0.3">
      <c r="F29717"/>
      <c r="G29717"/>
      <c r="H29717"/>
      <c r="I29717"/>
    </row>
    <row r="29718" spans="6:9" x14ac:dyDescent="0.3">
      <c r="F29718"/>
      <c r="G29718"/>
      <c r="H29718"/>
      <c r="I29718"/>
    </row>
    <row r="29719" spans="6:9" x14ac:dyDescent="0.3">
      <c r="F29719"/>
      <c r="G29719"/>
      <c r="H29719"/>
      <c r="I29719"/>
    </row>
    <row r="29720" spans="6:9" x14ac:dyDescent="0.3">
      <c r="F29720"/>
      <c r="G29720"/>
      <c r="H29720"/>
      <c r="I29720"/>
    </row>
    <row r="29721" spans="6:9" x14ac:dyDescent="0.3">
      <c r="F29721"/>
      <c r="G29721"/>
      <c r="H29721"/>
      <c r="I29721"/>
    </row>
    <row r="29722" spans="6:9" x14ac:dyDescent="0.3">
      <c r="F29722"/>
      <c r="G29722"/>
      <c r="H29722"/>
      <c r="I29722"/>
    </row>
    <row r="29723" spans="6:9" x14ac:dyDescent="0.3">
      <c r="F29723"/>
      <c r="G29723"/>
      <c r="H29723"/>
      <c r="I29723"/>
    </row>
    <row r="29724" spans="6:9" x14ac:dyDescent="0.3">
      <c r="F29724"/>
      <c r="G29724"/>
      <c r="H29724"/>
      <c r="I29724"/>
    </row>
    <row r="29725" spans="6:9" x14ac:dyDescent="0.3">
      <c r="F29725"/>
      <c r="G29725"/>
      <c r="H29725"/>
      <c r="I29725"/>
    </row>
    <row r="29726" spans="6:9" x14ac:dyDescent="0.3">
      <c r="F29726"/>
      <c r="G29726"/>
      <c r="H29726"/>
      <c r="I29726"/>
    </row>
    <row r="29727" spans="6:9" x14ac:dyDescent="0.3">
      <c r="F29727"/>
      <c r="G29727"/>
      <c r="H29727"/>
      <c r="I29727"/>
    </row>
    <row r="29728" spans="6:9" x14ac:dyDescent="0.3">
      <c r="F29728"/>
      <c r="G29728"/>
      <c r="H29728"/>
      <c r="I29728"/>
    </row>
    <row r="29729" spans="6:9" x14ac:dyDescent="0.3">
      <c r="F29729"/>
      <c r="G29729"/>
      <c r="H29729"/>
      <c r="I29729"/>
    </row>
    <row r="29730" spans="6:9" x14ac:dyDescent="0.3">
      <c r="F29730"/>
      <c r="G29730"/>
      <c r="H29730"/>
      <c r="I29730"/>
    </row>
    <row r="29731" spans="6:9" x14ac:dyDescent="0.3">
      <c r="F29731"/>
      <c r="G29731"/>
      <c r="H29731"/>
      <c r="I29731"/>
    </row>
    <row r="29732" spans="6:9" x14ac:dyDescent="0.3">
      <c r="F29732"/>
      <c r="G29732"/>
      <c r="H29732"/>
      <c r="I29732"/>
    </row>
    <row r="29733" spans="6:9" x14ac:dyDescent="0.3">
      <c r="F29733"/>
      <c r="G29733"/>
      <c r="H29733"/>
      <c r="I29733"/>
    </row>
    <row r="29734" spans="6:9" x14ac:dyDescent="0.3">
      <c r="F29734"/>
      <c r="G29734"/>
      <c r="H29734"/>
      <c r="I29734"/>
    </row>
    <row r="29735" spans="6:9" x14ac:dyDescent="0.3">
      <c r="F29735"/>
      <c r="G29735"/>
      <c r="H29735"/>
      <c r="I29735"/>
    </row>
    <row r="29736" spans="6:9" x14ac:dyDescent="0.3">
      <c r="F29736"/>
      <c r="G29736"/>
      <c r="H29736"/>
      <c r="I29736"/>
    </row>
    <row r="29737" spans="6:9" x14ac:dyDescent="0.3">
      <c r="F29737"/>
      <c r="G29737"/>
      <c r="H29737"/>
      <c r="I29737"/>
    </row>
    <row r="29738" spans="6:9" x14ac:dyDescent="0.3">
      <c r="F29738"/>
      <c r="G29738"/>
      <c r="H29738"/>
      <c r="I29738"/>
    </row>
    <row r="29739" spans="6:9" x14ac:dyDescent="0.3">
      <c r="F29739"/>
      <c r="G29739"/>
      <c r="H29739"/>
      <c r="I29739"/>
    </row>
    <row r="29740" spans="6:9" x14ac:dyDescent="0.3">
      <c r="F29740"/>
      <c r="G29740"/>
      <c r="H29740"/>
      <c r="I29740"/>
    </row>
    <row r="29741" spans="6:9" x14ac:dyDescent="0.3">
      <c r="F29741"/>
      <c r="G29741"/>
      <c r="H29741"/>
      <c r="I29741"/>
    </row>
    <row r="29742" spans="6:9" x14ac:dyDescent="0.3">
      <c r="F29742"/>
      <c r="G29742"/>
      <c r="H29742"/>
      <c r="I29742"/>
    </row>
    <row r="29743" spans="6:9" x14ac:dyDescent="0.3">
      <c r="F29743"/>
      <c r="G29743"/>
      <c r="H29743"/>
      <c r="I29743"/>
    </row>
    <row r="29744" spans="6:9" x14ac:dyDescent="0.3">
      <c r="F29744"/>
      <c r="G29744"/>
      <c r="H29744"/>
      <c r="I29744"/>
    </row>
    <row r="29745" spans="6:9" x14ac:dyDescent="0.3">
      <c r="F29745"/>
      <c r="G29745"/>
      <c r="H29745"/>
      <c r="I29745"/>
    </row>
    <row r="29746" spans="6:9" x14ac:dyDescent="0.3">
      <c r="F29746"/>
      <c r="G29746"/>
      <c r="H29746"/>
      <c r="I29746"/>
    </row>
    <row r="29747" spans="6:9" x14ac:dyDescent="0.3">
      <c r="F29747"/>
      <c r="G29747"/>
      <c r="H29747"/>
      <c r="I29747"/>
    </row>
    <row r="29748" spans="6:9" x14ac:dyDescent="0.3">
      <c r="F29748"/>
      <c r="G29748"/>
      <c r="H29748"/>
      <c r="I29748"/>
    </row>
    <row r="29749" spans="6:9" x14ac:dyDescent="0.3">
      <c r="F29749"/>
      <c r="G29749"/>
      <c r="H29749"/>
      <c r="I29749"/>
    </row>
    <row r="29750" spans="6:9" x14ac:dyDescent="0.3">
      <c r="F29750"/>
      <c r="G29750"/>
      <c r="H29750"/>
      <c r="I29750"/>
    </row>
    <row r="29751" spans="6:9" x14ac:dyDescent="0.3">
      <c r="F29751"/>
      <c r="G29751"/>
      <c r="H29751"/>
      <c r="I29751"/>
    </row>
    <row r="29752" spans="6:9" x14ac:dyDescent="0.3">
      <c r="F29752"/>
      <c r="G29752"/>
      <c r="H29752"/>
      <c r="I29752"/>
    </row>
    <row r="29753" spans="6:9" x14ac:dyDescent="0.3">
      <c r="F29753"/>
      <c r="G29753"/>
      <c r="H29753"/>
      <c r="I29753"/>
    </row>
    <row r="29754" spans="6:9" x14ac:dyDescent="0.3">
      <c r="F29754"/>
      <c r="G29754"/>
      <c r="H29754"/>
      <c r="I29754"/>
    </row>
    <row r="29755" spans="6:9" x14ac:dyDescent="0.3">
      <c r="F29755"/>
      <c r="G29755"/>
      <c r="H29755"/>
      <c r="I29755"/>
    </row>
    <row r="29756" spans="6:9" x14ac:dyDescent="0.3">
      <c r="F29756"/>
      <c r="G29756"/>
      <c r="H29756"/>
      <c r="I29756"/>
    </row>
    <row r="29757" spans="6:9" x14ac:dyDescent="0.3">
      <c r="F29757"/>
      <c r="G29757"/>
      <c r="H29757"/>
      <c r="I29757"/>
    </row>
    <row r="29758" spans="6:9" x14ac:dyDescent="0.3">
      <c r="F29758"/>
      <c r="G29758"/>
      <c r="H29758"/>
      <c r="I29758"/>
    </row>
    <row r="29759" spans="6:9" x14ac:dyDescent="0.3">
      <c r="F29759"/>
      <c r="G29759"/>
      <c r="H29759"/>
      <c r="I29759"/>
    </row>
    <row r="29760" spans="6:9" x14ac:dyDescent="0.3">
      <c r="F29760"/>
      <c r="G29760"/>
      <c r="H29760"/>
      <c r="I29760"/>
    </row>
    <row r="29761" spans="6:9" x14ac:dyDescent="0.3">
      <c r="F29761"/>
      <c r="G29761"/>
      <c r="H29761"/>
      <c r="I29761"/>
    </row>
    <row r="29762" spans="6:9" x14ac:dyDescent="0.3">
      <c r="F29762"/>
      <c r="G29762"/>
      <c r="H29762"/>
      <c r="I29762"/>
    </row>
    <row r="29763" spans="6:9" x14ac:dyDescent="0.3">
      <c r="F29763"/>
      <c r="G29763"/>
      <c r="H29763"/>
      <c r="I29763"/>
    </row>
    <row r="29764" spans="6:9" x14ac:dyDescent="0.3">
      <c r="F29764"/>
      <c r="G29764"/>
      <c r="H29764"/>
      <c r="I29764"/>
    </row>
    <row r="29765" spans="6:9" x14ac:dyDescent="0.3">
      <c r="F29765"/>
      <c r="G29765"/>
      <c r="H29765"/>
      <c r="I29765"/>
    </row>
    <row r="29766" spans="6:9" x14ac:dyDescent="0.3">
      <c r="F29766"/>
      <c r="G29766"/>
      <c r="H29766"/>
      <c r="I29766"/>
    </row>
    <row r="29767" spans="6:9" x14ac:dyDescent="0.3">
      <c r="F29767"/>
      <c r="G29767"/>
      <c r="H29767"/>
      <c r="I29767"/>
    </row>
    <row r="29768" spans="6:9" x14ac:dyDescent="0.3">
      <c r="F29768"/>
      <c r="G29768"/>
      <c r="H29768"/>
      <c r="I29768"/>
    </row>
    <row r="29769" spans="6:9" x14ac:dyDescent="0.3">
      <c r="F29769"/>
      <c r="G29769"/>
      <c r="H29769"/>
      <c r="I29769"/>
    </row>
    <row r="29770" spans="6:9" x14ac:dyDescent="0.3">
      <c r="F29770"/>
      <c r="G29770"/>
      <c r="H29770"/>
      <c r="I29770"/>
    </row>
    <row r="29771" spans="6:9" x14ac:dyDescent="0.3">
      <c r="F29771"/>
      <c r="G29771"/>
      <c r="H29771"/>
      <c r="I29771"/>
    </row>
    <row r="29772" spans="6:9" x14ac:dyDescent="0.3">
      <c r="F29772"/>
      <c r="G29772"/>
      <c r="H29772"/>
      <c r="I29772"/>
    </row>
    <row r="29773" spans="6:9" x14ac:dyDescent="0.3">
      <c r="F29773"/>
      <c r="G29773"/>
      <c r="H29773"/>
      <c r="I29773"/>
    </row>
    <row r="29774" spans="6:9" x14ac:dyDescent="0.3">
      <c r="F29774"/>
      <c r="G29774"/>
      <c r="H29774"/>
      <c r="I29774"/>
    </row>
    <row r="29775" spans="6:9" x14ac:dyDescent="0.3">
      <c r="F29775"/>
      <c r="G29775"/>
      <c r="H29775"/>
      <c r="I29775"/>
    </row>
    <row r="29776" spans="6:9" x14ac:dyDescent="0.3">
      <c r="F29776"/>
      <c r="G29776"/>
      <c r="H29776"/>
      <c r="I29776"/>
    </row>
    <row r="29777" spans="6:9" x14ac:dyDescent="0.3">
      <c r="F29777"/>
      <c r="G29777"/>
      <c r="H29777"/>
      <c r="I29777"/>
    </row>
    <row r="29778" spans="6:9" x14ac:dyDescent="0.3">
      <c r="F29778"/>
      <c r="G29778"/>
      <c r="H29778"/>
      <c r="I29778"/>
    </row>
    <row r="29779" spans="6:9" x14ac:dyDescent="0.3">
      <c r="F29779"/>
      <c r="G29779"/>
      <c r="H29779"/>
      <c r="I29779"/>
    </row>
    <row r="29780" spans="6:9" x14ac:dyDescent="0.3">
      <c r="F29780"/>
      <c r="G29780"/>
      <c r="H29780"/>
      <c r="I29780"/>
    </row>
    <row r="29781" spans="6:9" x14ac:dyDescent="0.3">
      <c r="F29781"/>
      <c r="G29781"/>
      <c r="H29781"/>
      <c r="I29781"/>
    </row>
    <row r="29782" spans="6:9" x14ac:dyDescent="0.3">
      <c r="F29782"/>
      <c r="G29782"/>
      <c r="H29782"/>
      <c r="I29782"/>
    </row>
    <row r="29783" spans="6:9" x14ac:dyDescent="0.3">
      <c r="F29783"/>
      <c r="G29783"/>
      <c r="H29783"/>
      <c r="I29783"/>
    </row>
    <row r="29784" spans="6:9" x14ac:dyDescent="0.3">
      <c r="F29784"/>
      <c r="G29784"/>
      <c r="H29784"/>
      <c r="I29784"/>
    </row>
    <row r="29785" spans="6:9" x14ac:dyDescent="0.3">
      <c r="F29785"/>
      <c r="G29785"/>
      <c r="H29785"/>
      <c r="I29785"/>
    </row>
    <row r="29786" spans="6:9" x14ac:dyDescent="0.3">
      <c r="F29786"/>
      <c r="G29786"/>
      <c r="H29786"/>
      <c r="I29786"/>
    </row>
    <row r="29787" spans="6:9" x14ac:dyDescent="0.3">
      <c r="F29787"/>
      <c r="G29787"/>
      <c r="H29787"/>
      <c r="I29787"/>
    </row>
    <row r="29788" spans="6:9" x14ac:dyDescent="0.3">
      <c r="F29788"/>
      <c r="G29788"/>
      <c r="H29788"/>
      <c r="I29788"/>
    </row>
    <row r="29789" spans="6:9" x14ac:dyDescent="0.3">
      <c r="F29789"/>
      <c r="G29789"/>
      <c r="H29789"/>
      <c r="I29789"/>
    </row>
    <row r="29790" spans="6:9" x14ac:dyDescent="0.3">
      <c r="F29790"/>
      <c r="G29790"/>
      <c r="H29790"/>
      <c r="I29790"/>
    </row>
    <row r="29791" spans="6:9" x14ac:dyDescent="0.3">
      <c r="F29791"/>
      <c r="G29791"/>
      <c r="H29791"/>
      <c r="I29791"/>
    </row>
    <row r="29792" spans="6:9" x14ac:dyDescent="0.3">
      <c r="F29792"/>
      <c r="G29792"/>
      <c r="H29792"/>
      <c r="I29792"/>
    </row>
    <row r="29793" spans="6:9" x14ac:dyDescent="0.3">
      <c r="F29793"/>
      <c r="G29793"/>
      <c r="H29793"/>
      <c r="I29793"/>
    </row>
    <row r="29794" spans="6:9" x14ac:dyDescent="0.3">
      <c r="F29794"/>
      <c r="G29794"/>
      <c r="H29794"/>
      <c r="I29794"/>
    </row>
    <row r="29795" spans="6:9" x14ac:dyDescent="0.3">
      <c r="F29795"/>
      <c r="G29795"/>
      <c r="H29795"/>
      <c r="I29795"/>
    </row>
    <row r="29796" spans="6:9" x14ac:dyDescent="0.3">
      <c r="F29796"/>
      <c r="G29796"/>
      <c r="H29796"/>
      <c r="I29796"/>
    </row>
    <row r="29797" spans="6:9" x14ac:dyDescent="0.3">
      <c r="F29797"/>
      <c r="G29797"/>
      <c r="H29797"/>
      <c r="I29797"/>
    </row>
    <row r="29798" spans="6:9" x14ac:dyDescent="0.3">
      <c r="F29798"/>
      <c r="G29798"/>
      <c r="H29798"/>
      <c r="I29798"/>
    </row>
    <row r="29799" spans="6:9" x14ac:dyDescent="0.3">
      <c r="F29799"/>
      <c r="G29799"/>
      <c r="H29799"/>
      <c r="I29799"/>
    </row>
    <row r="29800" spans="6:9" x14ac:dyDescent="0.3">
      <c r="F29800"/>
      <c r="G29800"/>
      <c r="H29800"/>
      <c r="I29800"/>
    </row>
    <row r="29801" spans="6:9" x14ac:dyDescent="0.3">
      <c r="F29801"/>
      <c r="G29801"/>
      <c r="H29801"/>
      <c r="I29801"/>
    </row>
    <row r="29802" spans="6:9" x14ac:dyDescent="0.3">
      <c r="F29802"/>
      <c r="G29802"/>
      <c r="H29802"/>
      <c r="I29802"/>
    </row>
    <row r="29803" spans="6:9" x14ac:dyDescent="0.3">
      <c r="F29803"/>
      <c r="G29803"/>
      <c r="H29803"/>
      <c r="I29803"/>
    </row>
    <row r="29804" spans="6:9" x14ac:dyDescent="0.3">
      <c r="F29804"/>
      <c r="G29804"/>
      <c r="H29804"/>
      <c r="I29804"/>
    </row>
    <row r="29805" spans="6:9" x14ac:dyDescent="0.3">
      <c r="F29805"/>
      <c r="G29805"/>
      <c r="H29805"/>
      <c r="I29805"/>
    </row>
    <row r="29806" spans="6:9" x14ac:dyDescent="0.3">
      <c r="F29806"/>
      <c r="G29806"/>
      <c r="H29806"/>
      <c r="I29806"/>
    </row>
    <row r="29807" spans="6:9" x14ac:dyDescent="0.3">
      <c r="F29807"/>
      <c r="G29807"/>
      <c r="H29807"/>
      <c r="I29807"/>
    </row>
    <row r="29808" spans="6:9" x14ac:dyDescent="0.3">
      <c r="F29808"/>
      <c r="G29808"/>
      <c r="H29808"/>
      <c r="I29808"/>
    </row>
    <row r="29809" spans="6:9" x14ac:dyDescent="0.3">
      <c r="F29809"/>
      <c r="G29809"/>
      <c r="H29809"/>
      <c r="I29809"/>
    </row>
    <row r="29810" spans="6:9" x14ac:dyDescent="0.3">
      <c r="F29810"/>
      <c r="G29810"/>
      <c r="H29810"/>
      <c r="I29810"/>
    </row>
    <row r="29811" spans="6:9" x14ac:dyDescent="0.3">
      <c r="F29811"/>
      <c r="G29811"/>
      <c r="H29811"/>
      <c r="I29811"/>
    </row>
    <row r="29812" spans="6:9" x14ac:dyDescent="0.3">
      <c r="F29812"/>
      <c r="G29812"/>
      <c r="H29812"/>
      <c r="I29812"/>
    </row>
    <row r="29813" spans="6:9" x14ac:dyDescent="0.3">
      <c r="F29813"/>
      <c r="G29813"/>
      <c r="H29813"/>
      <c r="I29813"/>
    </row>
    <row r="29814" spans="6:9" x14ac:dyDescent="0.3">
      <c r="F29814"/>
      <c r="G29814"/>
      <c r="H29814"/>
      <c r="I29814"/>
    </row>
    <row r="29815" spans="6:9" x14ac:dyDescent="0.3">
      <c r="F29815"/>
      <c r="G29815"/>
      <c r="H29815"/>
      <c r="I29815"/>
    </row>
    <row r="29816" spans="6:9" x14ac:dyDescent="0.3">
      <c r="F29816"/>
      <c r="G29816"/>
      <c r="H29816"/>
      <c r="I29816"/>
    </row>
    <row r="29817" spans="6:9" x14ac:dyDescent="0.3">
      <c r="F29817"/>
      <c r="G29817"/>
      <c r="H29817"/>
      <c r="I29817"/>
    </row>
    <row r="29818" spans="6:9" x14ac:dyDescent="0.3">
      <c r="F29818"/>
      <c r="G29818"/>
      <c r="H29818"/>
      <c r="I29818"/>
    </row>
    <row r="29819" spans="6:9" x14ac:dyDescent="0.3">
      <c r="F29819"/>
      <c r="G29819"/>
      <c r="H29819"/>
      <c r="I29819"/>
    </row>
    <row r="29820" spans="6:9" x14ac:dyDescent="0.3">
      <c r="F29820"/>
      <c r="G29820"/>
      <c r="H29820"/>
      <c r="I29820"/>
    </row>
    <row r="29821" spans="6:9" x14ac:dyDescent="0.3">
      <c r="F29821"/>
      <c r="G29821"/>
      <c r="H29821"/>
      <c r="I29821"/>
    </row>
    <row r="29822" spans="6:9" x14ac:dyDescent="0.3">
      <c r="F29822"/>
      <c r="G29822"/>
      <c r="H29822"/>
      <c r="I29822"/>
    </row>
    <row r="29823" spans="6:9" x14ac:dyDescent="0.3">
      <c r="F29823"/>
      <c r="G29823"/>
      <c r="H29823"/>
      <c r="I29823"/>
    </row>
    <row r="29824" spans="6:9" x14ac:dyDescent="0.3">
      <c r="F29824"/>
      <c r="G29824"/>
      <c r="H29824"/>
      <c r="I29824"/>
    </row>
    <row r="29825" spans="6:9" x14ac:dyDescent="0.3">
      <c r="F29825"/>
      <c r="G29825"/>
      <c r="H29825"/>
      <c r="I29825"/>
    </row>
    <row r="29826" spans="6:9" x14ac:dyDescent="0.3">
      <c r="F29826"/>
      <c r="G29826"/>
      <c r="H29826"/>
      <c r="I29826"/>
    </row>
    <row r="29827" spans="6:9" x14ac:dyDescent="0.3">
      <c r="F29827"/>
      <c r="G29827"/>
      <c r="H29827"/>
      <c r="I29827"/>
    </row>
    <row r="29828" spans="6:9" x14ac:dyDescent="0.3">
      <c r="F29828"/>
      <c r="G29828"/>
      <c r="H29828"/>
      <c r="I29828"/>
    </row>
    <row r="29829" spans="6:9" x14ac:dyDescent="0.3">
      <c r="F29829"/>
      <c r="G29829"/>
      <c r="H29829"/>
      <c r="I29829"/>
    </row>
    <row r="29830" spans="6:9" x14ac:dyDescent="0.3">
      <c r="F29830"/>
      <c r="G29830"/>
      <c r="H29830"/>
      <c r="I29830"/>
    </row>
    <row r="29831" spans="6:9" x14ac:dyDescent="0.3">
      <c r="F29831"/>
      <c r="G29831"/>
      <c r="H29831"/>
      <c r="I29831"/>
    </row>
    <row r="29832" spans="6:9" x14ac:dyDescent="0.3">
      <c r="F29832"/>
      <c r="G29832"/>
      <c r="H29832"/>
      <c r="I29832"/>
    </row>
    <row r="29833" spans="6:9" x14ac:dyDescent="0.3">
      <c r="F29833"/>
      <c r="G29833"/>
      <c r="H29833"/>
      <c r="I29833"/>
    </row>
    <row r="29834" spans="6:9" x14ac:dyDescent="0.3">
      <c r="F29834"/>
      <c r="G29834"/>
      <c r="H29834"/>
      <c r="I29834"/>
    </row>
    <row r="29835" spans="6:9" x14ac:dyDescent="0.3">
      <c r="F29835"/>
      <c r="G29835"/>
      <c r="H29835"/>
      <c r="I29835"/>
    </row>
    <row r="29836" spans="6:9" x14ac:dyDescent="0.3">
      <c r="F29836"/>
      <c r="G29836"/>
      <c r="H29836"/>
      <c r="I29836"/>
    </row>
    <row r="29837" spans="6:9" x14ac:dyDescent="0.3">
      <c r="F29837"/>
      <c r="G29837"/>
      <c r="H29837"/>
      <c r="I29837"/>
    </row>
    <row r="29838" spans="6:9" x14ac:dyDescent="0.3">
      <c r="F29838"/>
      <c r="G29838"/>
      <c r="H29838"/>
      <c r="I29838"/>
    </row>
    <row r="29839" spans="6:9" x14ac:dyDescent="0.3">
      <c r="F29839"/>
      <c r="G29839"/>
      <c r="H29839"/>
      <c r="I29839"/>
    </row>
    <row r="29840" spans="6:9" x14ac:dyDescent="0.3">
      <c r="F29840"/>
      <c r="G29840"/>
      <c r="H29840"/>
      <c r="I29840"/>
    </row>
    <row r="29841" spans="6:9" x14ac:dyDescent="0.3">
      <c r="F29841"/>
      <c r="G29841"/>
      <c r="H29841"/>
      <c r="I29841"/>
    </row>
    <row r="29842" spans="6:9" x14ac:dyDescent="0.3">
      <c r="F29842"/>
      <c r="G29842"/>
      <c r="H29842"/>
      <c r="I29842"/>
    </row>
    <row r="29843" spans="6:9" x14ac:dyDescent="0.3">
      <c r="F29843"/>
      <c r="G29843"/>
      <c r="H29843"/>
      <c r="I29843"/>
    </row>
    <row r="29844" spans="6:9" x14ac:dyDescent="0.3">
      <c r="F29844"/>
      <c r="G29844"/>
      <c r="H29844"/>
      <c r="I29844"/>
    </row>
    <row r="29845" spans="6:9" x14ac:dyDescent="0.3">
      <c r="F29845"/>
      <c r="G29845"/>
      <c r="H29845"/>
      <c r="I29845"/>
    </row>
    <row r="29846" spans="6:9" x14ac:dyDescent="0.3">
      <c r="F29846"/>
      <c r="G29846"/>
      <c r="H29846"/>
      <c r="I29846"/>
    </row>
    <row r="29847" spans="6:9" x14ac:dyDescent="0.3">
      <c r="F29847"/>
      <c r="G29847"/>
      <c r="H29847"/>
      <c r="I29847"/>
    </row>
    <row r="29848" spans="6:9" x14ac:dyDescent="0.3">
      <c r="F29848"/>
      <c r="G29848"/>
      <c r="H29848"/>
      <c r="I29848"/>
    </row>
    <row r="29849" spans="6:9" x14ac:dyDescent="0.3">
      <c r="F29849"/>
      <c r="G29849"/>
      <c r="H29849"/>
      <c r="I29849"/>
    </row>
    <row r="29850" spans="6:9" x14ac:dyDescent="0.3">
      <c r="F29850"/>
      <c r="G29850"/>
      <c r="H29850"/>
      <c r="I29850"/>
    </row>
    <row r="29851" spans="6:9" x14ac:dyDescent="0.3">
      <c r="F29851"/>
      <c r="G29851"/>
      <c r="H29851"/>
      <c r="I29851"/>
    </row>
    <row r="29852" spans="6:9" x14ac:dyDescent="0.3">
      <c r="F29852"/>
      <c r="G29852"/>
      <c r="H29852"/>
      <c r="I29852"/>
    </row>
    <row r="29853" spans="6:9" x14ac:dyDescent="0.3">
      <c r="F29853"/>
      <c r="G29853"/>
      <c r="H29853"/>
      <c r="I29853"/>
    </row>
    <row r="29854" spans="6:9" x14ac:dyDescent="0.3">
      <c r="F29854"/>
      <c r="G29854"/>
      <c r="H29854"/>
      <c r="I29854"/>
    </row>
    <row r="29855" spans="6:9" x14ac:dyDescent="0.3">
      <c r="F29855"/>
      <c r="G29855"/>
      <c r="H29855"/>
      <c r="I29855"/>
    </row>
    <row r="29856" spans="6:9" x14ac:dyDescent="0.3">
      <c r="F29856"/>
      <c r="G29856"/>
      <c r="H29856"/>
      <c r="I29856"/>
    </row>
    <row r="29857" spans="6:9" x14ac:dyDescent="0.3">
      <c r="F29857"/>
      <c r="G29857"/>
      <c r="H29857"/>
      <c r="I29857"/>
    </row>
    <row r="29858" spans="6:9" x14ac:dyDescent="0.3">
      <c r="F29858"/>
      <c r="G29858"/>
      <c r="H29858"/>
      <c r="I29858"/>
    </row>
    <row r="29859" spans="6:9" x14ac:dyDescent="0.3">
      <c r="F29859"/>
      <c r="G29859"/>
      <c r="H29859"/>
      <c r="I29859"/>
    </row>
    <row r="29860" spans="6:9" x14ac:dyDescent="0.3">
      <c r="F29860"/>
      <c r="G29860"/>
      <c r="H29860"/>
      <c r="I29860"/>
    </row>
    <row r="29861" spans="6:9" x14ac:dyDescent="0.3">
      <c r="F29861"/>
      <c r="G29861"/>
      <c r="H29861"/>
      <c r="I29861"/>
    </row>
    <row r="29862" spans="6:9" x14ac:dyDescent="0.3">
      <c r="F29862"/>
      <c r="G29862"/>
      <c r="H29862"/>
      <c r="I29862"/>
    </row>
    <row r="29863" spans="6:9" x14ac:dyDescent="0.3">
      <c r="F29863"/>
      <c r="G29863"/>
      <c r="H29863"/>
      <c r="I29863"/>
    </row>
    <row r="29864" spans="6:9" x14ac:dyDescent="0.3">
      <c r="F29864"/>
      <c r="G29864"/>
      <c r="H29864"/>
      <c r="I29864"/>
    </row>
    <row r="29865" spans="6:9" x14ac:dyDescent="0.3">
      <c r="F29865"/>
      <c r="G29865"/>
      <c r="H29865"/>
      <c r="I29865"/>
    </row>
    <row r="29866" spans="6:9" x14ac:dyDescent="0.3">
      <c r="F29866"/>
      <c r="G29866"/>
      <c r="H29866"/>
      <c r="I29866"/>
    </row>
    <row r="29867" spans="6:9" x14ac:dyDescent="0.3">
      <c r="F29867"/>
      <c r="G29867"/>
      <c r="H29867"/>
      <c r="I29867"/>
    </row>
    <row r="29868" spans="6:9" x14ac:dyDescent="0.3">
      <c r="F29868"/>
      <c r="G29868"/>
      <c r="H29868"/>
      <c r="I29868"/>
    </row>
    <row r="29869" spans="6:9" x14ac:dyDescent="0.3">
      <c r="F29869"/>
      <c r="G29869"/>
      <c r="H29869"/>
      <c r="I29869"/>
    </row>
    <row r="29870" spans="6:9" x14ac:dyDescent="0.3">
      <c r="F29870"/>
      <c r="G29870"/>
      <c r="H29870"/>
      <c r="I29870"/>
    </row>
    <row r="29871" spans="6:9" x14ac:dyDescent="0.3">
      <c r="F29871"/>
      <c r="G29871"/>
      <c r="H29871"/>
      <c r="I29871"/>
    </row>
    <row r="29872" spans="6:9" x14ac:dyDescent="0.3">
      <c r="F29872"/>
      <c r="G29872"/>
      <c r="H29872"/>
      <c r="I29872"/>
    </row>
    <row r="29873" spans="6:9" x14ac:dyDescent="0.3">
      <c r="F29873"/>
      <c r="G29873"/>
      <c r="H29873"/>
      <c r="I29873"/>
    </row>
    <row r="29874" spans="6:9" x14ac:dyDescent="0.3">
      <c r="F29874"/>
      <c r="G29874"/>
      <c r="H29874"/>
      <c r="I29874"/>
    </row>
    <row r="29875" spans="6:9" x14ac:dyDescent="0.3">
      <c r="F29875"/>
      <c r="G29875"/>
      <c r="H29875"/>
      <c r="I29875"/>
    </row>
    <row r="29876" spans="6:9" x14ac:dyDescent="0.3">
      <c r="F29876"/>
      <c r="G29876"/>
      <c r="H29876"/>
      <c r="I29876"/>
    </row>
    <row r="29877" spans="6:9" x14ac:dyDescent="0.3">
      <c r="F29877"/>
      <c r="G29877"/>
      <c r="H29877"/>
      <c r="I29877"/>
    </row>
    <row r="29878" spans="6:9" x14ac:dyDescent="0.3">
      <c r="F29878"/>
      <c r="G29878"/>
      <c r="H29878"/>
      <c r="I29878"/>
    </row>
    <row r="29879" spans="6:9" x14ac:dyDescent="0.3">
      <c r="F29879"/>
      <c r="G29879"/>
      <c r="H29879"/>
      <c r="I29879"/>
    </row>
    <row r="29880" spans="6:9" x14ac:dyDescent="0.3">
      <c r="F29880"/>
      <c r="G29880"/>
      <c r="H29880"/>
      <c r="I29880"/>
    </row>
    <row r="29881" spans="6:9" x14ac:dyDescent="0.3">
      <c r="F29881"/>
      <c r="G29881"/>
      <c r="H29881"/>
      <c r="I29881"/>
    </row>
    <row r="29882" spans="6:9" x14ac:dyDescent="0.3">
      <c r="F29882"/>
      <c r="G29882"/>
      <c r="H29882"/>
      <c r="I29882"/>
    </row>
    <row r="29883" spans="6:9" x14ac:dyDescent="0.3">
      <c r="F29883"/>
      <c r="G29883"/>
      <c r="H29883"/>
      <c r="I29883"/>
    </row>
    <row r="29884" spans="6:9" x14ac:dyDescent="0.3">
      <c r="F29884"/>
      <c r="G29884"/>
      <c r="H29884"/>
      <c r="I29884"/>
    </row>
    <row r="29885" spans="6:9" x14ac:dyDescent="0.3">
      <c r="F29885"/>
      <c r="G29885"/>
      <c r="H29885"/>
      <c r="I29885"/>
    </row>
    <row r="29886" spans="6:9" x14ac:dyDescent="0.3">
      <c r="F29886"/>
      <c r="G29886"/>
      <c r="H29886"/>
      <c r="I29886"/>
    </row>
    <row r="29887" spans="6:9" x14ac:dyDescent="0.3">
      <c r="F29887"/>
      <c r="G29887"/>
      <c r="H29887"/>
      <c r="I29887"/>
    </row>
    <row r="29888" spans="6:9" x14ac:dyDescent="0.3">
      <c r="F29888"/>
      <c r="G29888"/>
      <c r="H29888"/>
      <c r="I29888"/>
    </row>
    <row r="29889" spans="6:9" x14ac:dyDescent="0.3">
      <c r="F29889"/>
      <c r="G29889"/>
      <c r="H29889"/>
      <c r="I29889"/>
    </row>
    <row r="29890" spans="6:9" x14ac:dyDescent="0.3">
      <c r="F29890"/>
      <c r="G29890"/>
      <c r="H29890"/>
      <c r="I29890"/>
    </row>
    <row r="29891" spans="6:9" x14ac:dyDescent="0.3">
      <c r="F29891"/>
      <c r="G29891"/>
      <c r="H29891"/>
      <c r="I29891"/>
    </row>
    <row r="29892" spans="6:9" x14ac:dyDescent="0.3">
      <c r="F29892"/>
      <c r="G29892"/>
      <c r="H29892"/>
      <c r="I29892"/>
    </row>
    <row r="29893" spans="6:9" x14ac:dyDescent="0.3">
      <c r="F29893"/>
      <c r="G29893"/>
      <c r="H29893"/>
      <c r="I29893"/>
    </row>
    <row r="29894" spans="6:9" x14ac:dyDescent="0.3">
      <c r="F29894"/>
      <c r="G29894"/>
      <c r="H29894"/>
      <c r="I29894"/>
    </row>
    <row r="29895" spans="6:9" x14ac:dyDescent="0.3">
      <c r="F29895"/>
      <c r="G29895"/>
      <c r="H29895"/>
      <c r="I29895"/>
    </row>
    <row r="29896" spans="6:9" x14ac:dyDescent="0.3">
      <c r="F29896"/>
      <c r="G29896"/>
      <c r="H29896"/>
      <c r="I29896"/>
    </row>
    <row r="29897" spans="6:9" x14ac:dyDescent="0.3">
      <c r="F29897"/>
      <c r="G29897"/>
      <c r="H29897"/>
      <c r="I29897"/>
    </row>
    <row r="29898" spans="6:9" x14ac:dyDescent="0.3">
      <c r="F29898"/>
      <c r="G29898"/>
      <c r="H29898"/>
      <c r="I29898"/>
    </row>
    <row r="29899" spans="6:9" x14ac:dyDescent="0.3">
      <c r="F29899"/>
      <c r="G29899"/>
      <c r="H29899"/>
      <c r="I29899"/>
    </row>
    <row r="29900" spans="6:9" x14ac:dyDescent="0.3">
      <c r="F29900"/>
      <c r="G29900"/>
      <c r="H29900"/>
      <c r="I29900"/>
    </row>
    <row r="29901" spans="6:9" x14ac:dyDescent="0.3">
      <c r="F29901"/>
      <c r="G29901"/>
      <c r="H29901"/>
      <c r="I29901"/>
    </row>
    <row r="29902" spans="6:9" x14ac:dyDescent="0.3">
      <c r="F29902"/>
      <c r="G29902"/>
      <c r="H29902"/>
      <c r="I29902"/>
    </row>
    <row r="29903" spans="6:9" x14ac:dyDescent="0.3">
      <c r="F29903"/>
      <c r="G29903"/>
      <c r="H29903"/>
      <c r="I29903"/>
    </row>
    <row r="29904" spans="6:9" x14ac:dyDescent="0.3">
      <c r="F29904"/>
      <c r="G29904"/>
      <c r="H29904"/>
      <c r="I29904"/>
    </row>
    <row r="29905" spans="6:9" x14ac:dyDescent="0.3">
      <c r="F29905"/>
      <c r="G29905"/>
      <c r="H29905"/>
      <c r="I29905"/>
    </row>
    <row r="29906" spans="6:9" x14ac:dyDescent="0.3">
      <c r="F29906"/>
      <c r="G29906"/>
      <c r="H29906"/>
      <c r="I29906"/>
    </row>
    <row r="29907" spans="6:9" x14ac:dyDescent="0.3">
      <c r="F29907"/>
      <c r="G29907"/>
      <c r="H29907"/>
      <c r="I29907"/>
    </row>
    <row r="29908" spans="6:9" x14ac:dyDescent="0.3">
      <c r="F29908"/>
      <c r="G29908"/>
      <c r="H29908"/>
      <c r="I29908"/>
    </row>
    <row r="29909" spans="6:9" x14ac:dyDescent="0.3">
      <c r="F29909"/>
      <c r="G29909"/>
      <c r="H29909"/>
      <c r="I29909"/>
    </row>
    <row r="29910" spans="6:9" x14ac:dyDescent="0.3">
      <c r="F29910"/>
      <c r="G29910"/>
      <c r="H29910"/>
      <c r="I29910"/>
    </row>
    <row r="29911" spans="6:9" x14ac:dyDescent="0.3">
      <c r="F29911"/>
      <c r="G29911"/>
      <c r="H29911"/>
      <c r="I29911"/>
    </row>
    <row r="29912" spans="6:9" x14ac:dyDescent="0.3">
      <c r="F29912"/>
      <c r="G29912"/>
      <c r="H29912"/>
      <c r="I29912"/>
    </row>
    <row r="29913" spans="6:9" x14ac:dyDescent="0.3">
      <c r="F29913"/>
      <c r="G29913"/>
      <c r="H29913"/>
      <c r="I29913"/>
    </row>
    <row r="29914" spans="6:9" x14ac:dyDescent="0.3">
      <c r="F29914"/>
      <c r="G29914"/>
      <c r="H29914"/>
      <c r="I29914"/>
    </row>
    <row r="29915" spans="6:9" x14ac:dyDescent="0.3">
      <c r="F29915"/>
      <c r="G29915"/>
      <c r="H29915"/>
      <c r="I29915"/>
    </row>
    <row r="29916" spans="6:9" x14ac:dyDescent="0.3">
      <c r="F29916"/>
      <c r="G29916"/>
      <c r="H29916"/>
      <c r="I29916"/>
    </row>
    <row r="29917" spans="6:9" x14ac:dyDescent="0.3">
      <c r="F29917"/>
      <c r="G29917"/>
      <c r="H29917"/>
      <c r="I29917"/>
    </row>
    <row r="29918" spans="6:9" x14ac:dyDescent="0.3">
      <c r="F29918"/>
      <c r="G29918"/>
      <c r="H29918"/>
      <c r="I29918"/>
    </row>
    <row r="29919" spans="6:9" x14ac:dyDescent="0.3">
      <c r="F29919"/>
      <c r="G29919"/>
      <c r="H29919"/>
      <c r="I29919"/>
    </row>
    <row r="29920" spans="6:9" x14ac:dyDescent="0.3">
      <c r="F29920"/>
      <c r="G29920"/>
      <c r="H29920"/>
      <c r="I29920"/>
    </row>
    <row r="29921" spans="6:9" x14ac:dyDescent="0.3">
      <c r="F29921"/>
      <c r="G29921"/>
      <c r="H29921"/>
      <c r="I29921"/>
    </row>
    <row r="29922" spans="6:9" x14ac:dyDescent="0.3">
      <c r="F29922"/>
      <c r="G29922"/>
      <c r="H29922"/>
      <c r="I29922"/>
    </row>
    <row r="29923" spans="6:9" x14ac:dyDescent="0.3">
      <c r="F29923"/>
      <c r="G29923"/>
      <c r="H29923"/>
      <c r="I29923"/>
    </row>
    <row r="29924" spans="6:9" x14ac:dyDescent="0.3">
      <c r="F29924"/>
      <c r="G29924"/>
      <c r="H29924"/>
      <c r="I29924"/>
    </row>
    <row r="29925" spans="6:9" x14ac:dyDescent="0.3">
      <c r="F29925"/>
      <c r="G29925"/>
      <c r="H29925"/>
      <c r="I29925"/>
    </row>
    <row r="29926" spans="6:9" x14ac:dyDescent="0.3">
      <c r="F29926"/>
      <c r="G29926"/>
      <c r="H29926"/>
      <c r="I29926"/>
    </row>
    <row r="29927" spans="6:9" x14ac:dyDescent="0.3">
      <c r="F29927"/>
      <c r="G29927"/>
      <c r="H29927"/>
      <c r="I29927"/>
    </row>
    <row r="29928" spans="6:9" x14ac:dyDescent="0.3">
      <c r="F29928"/>
      <c r="G29928"/>
      <c r="H29928"/>
      <c r="I29928"/>
    </row>
    <row r="29929" spans="6:9" x14ac:dyDescent="0.3">
      <c r="F29929"/>
      <c r="G29929"/>
      <c r="H29929"/>
      <c r="I29929"/>
    </row>
    <row r="29930" spans="6:9" x14ac:dyDescent="0.3">
      <c r="F29930"/>
      <c r="G29930"/>
      <c r="H29930"/>
      <c r="I29930"/>
    </row>
    <row r="29931" spans="6:9" x14ac:dyDescent="0.3">
      <c r="F29931"/>
      <c r="G29931"/>
      <c r="H29931"/>
      <c r="I29931"/>
    </row>
    <row r="29932" spans="6:9" x14ac:dyDescent="0.3">
      <c r="F29932"/>
      <c r="G29932"/>
      <c r="H29932"/>
      <c r="I29932"/>
    </row>
    <row r="29933" spans="6:9" x14ac:dyDescent="0.3">
      <c r="F29933"/>
      <c r="G29933"/>
      <c r="H29933"/>
      <c r="I29933"/>
    </row>
    <row r="29934" spans="6:9" x14ac:dyDescent="0.3">
      <c r="F29934"/>
      <c r="G29934"/>
      <c r="H29934"/>
      <c r="I29934"/>
    </row>
    <row r="29935" spans="6:9" x14ac:dyDescent="0.3">
      <c r="F29935"/>
      <c r="G29935"/>
      <c r="H29935"/>
      <c r="I29935"/>
    </row>
    <row r="29936" spans="6:9" x14ac:dyDescent="0.3">
      <c r="F29936"/>
      <c r="G29936"/>
      <c r="H29936"/>
      <c r="I29936"/>
    </row>
    <row r="29937" spans="6:9" x14ac:dyDescent="0.3">
      <c r="F29937"/>
      <c r="G29937"/>
      <c r="H29937"/>
      <c r="I29937"/>
    </row>
    <row r="29938" spans="6:9" x14ac:dyDescent="0.3">
      <c r="F29938"/>
      <c r="G29938"/>
      <c r="H29938"/>
      <c r="I29938"/>
    </row>
    <row r="29939" spans="6:9" x14ac:dyDescent="0.3">
      <c r="F29939"/>
      <c r="G29939"/>
      <c r="H29939"/>
      <c r="I29939"/>
    </row>
    <row r="29940" spans="6:9" x14ac:dyDescent="0.3">
      <c r="F29940"/>
      <c r="G29940"/>
      <c r="H29940"/>
      <c r="I29940"/>
    </row>
    <row r="29941" spans="6:9" x14ac:dyDescent="0.3">
      <c r="F29941"/>
      <c r="G29941"/>
      <c r="H29941"/>
      <c r="I29941"/>
    </row>
    <row r="29942" spans="6:9" x14ac:dyDescent="0.3">
      <c r="F29942"/>
      <c r="G29942"/>
      <c r="H29942"/>
      <c r="I29942"/>
    </row>
    <row r="29943" spans="6:9" x14ac:dyDescent="0.3">
      <c r="F29943"/>
      <c r="G29943"/>
      <c r="H29943"/>
      <c r="I29943"/>
    </row>
    <row r="29944" spans="6:9" x14ac:dyDescent="0.3">
      <c r="F29944"/>
      <c r="G29944"/>
      <c r="H29944"/>
      <c r="I29944"/>
    </row>
    <row r="29945" spans="6:9" x14ac:dyDescent="0.3">
      <c r="F29945"/>
      <c r="G29945"/>
      <c r="H29945"/>
      <c r="I29945"/>
    </row>
    <row r="29946" spans="6:9" x14ac:dyDescent="0.3">
      <c r="F29946"/>
      <c r="G29946"/>
      <c r="H29946"/>
      <c r="I29946"/>
    </row>
    <row r="29947" spans="6:9" x14ac:dyDescent="0.3">
      <c r="F29947"/>
      <c r="G29947"/>
      <c r="H29947"/>
      <c r="I29947"/>
    </row>
    <row r="29948" spans="6:9" x14ac:dyDescent="0.3">
      <c r="F29948"/>
      <c r="G29948"/>
      <c r="H29948"/>
      <c r="I29948"/>
    </row>
    <row r="29949" spans="6:9" x14ac:dyDescent="0.3">
      <c r="F29949"/>
      <c r="G29949"/>
      <c r="H29949"/>
      <c r="I29949"/>
    </row>
    <row r="29950" spans="6:9" x14ac:dyDescent="0.3">
      <c r="F29950"/>
      <c r="G29950"/>
      <c r="H29950"/>
      <c r="I29950"/>
    </row>
    <row r="29951" spans="6:9" x14ac:dyDescent="0.3">
      <c r="F29951"/>
      <c r="G29951"/>
      <c r="H29951"/>
      <c r="I29951"/>
    </row>
    <row r="29952" spans="6:9" x14ac:dyDescent="0.3">
      <c r="F29952"/>
      <c r="G29952"/>
      <c r="H29952"/>
      <c r="I29952"/>
    </row>
    <row r="29953" spans="6:9" x14ac:dyDescent="0.3">
      <c r="F29953"/>
      <c r="G29953"/>
      <c r="H29953"/>
      <c r="I29953"/>
    </row>
    <row r="29954" spans="6:9" x14ac:dyDescent="0.3">
      <c r="F29954"/>
      <c r="G29954"/>
      <c r="H29954"/>
      <c r="I29954"/>
    </row>
    <row r="29955" spans="6:9" x14ac:dyDescent="0.3">
      <c r="F29955"/>
      <c r="G29955"/>
      <c r="H29955"/>
      <c r="I29955"/>
    </row>
    <row r="29956" spans="6:9" x14ac:dyDescent="0.3">
      <c r="F29956"/>
      <c r="G29956"/>
      <c r="H29956"/>
      <c r="I29956"/>
    </row>
    <row r="29957" spans="6:9" x14ac:dyDescent="0.3">
      <c r="F29957"/>
      <c r="G29957"/>
      <c r="H29957"/>
      <c r="I29957"/>
    </row>
    <row r="29958" spans="6:9" x14ac:dyDescent="0.3">
      <c r="F29958"/>
      <c r="G29958"/>
      <c r="H29958"/>
      <c r="I29958"/>
    </row>
    <row r="29959" spans="6:9" x14ac:dyDescent="0.3">
      <c r="F29959"/>
      <c r="G29959"/>
      <c r="H29959"/>
      <c r="I29959"/>
    </row>
    <row r="29960" spans="6:9" x14ac:dyDescent="0.3">
      <c r="F29960"/>
      <c r="G29960"/>
      <c r="H29960"/>
      <c r="I29960"/>
    </row>
    <row r="29961" spans="6:9" x14ac:dyDescent="0.3">
      <c r="F29961"/>
      <c r="G29961"/>
      <c r="H29961"/>
      <c r="I29961"/>
    </row>
    <row r="29962" spans="6:9" x14ac:dyDescent="0.3">
      <c r="F29962"/>
      <c r="G29962"/>
      <c r="H29962"/>
      <c r="I29962"/>
    </row>
    <row r="29963" spans="6:9" x14ac:dyDescent="0.3">
      <c r="F29963"/>
      <c r="G29963"/>
      <c r="H29963"/>
      <c r="I29963"/>
    </row>
    <row r="29964" spans="6:9" x14ac:dyDescent="0.3">
      <c r="F29964"/>
      <c r="G29964"/>
      <c r="H29964"/>
      <c r="I29964"/>
    </row>
    <row r="29965" spans="6:9" x14ac:dyDescent="0.3">
      <c r="F29965"/>
      <c r="G29965"/>
      <c r="H29965"/>
      <c r="I29965"/>
    </row>
    <row r="29966" spans="6:9" x14ac:dyDescent="0.3">
      <c r="F29966"/>
      <c r="G29966"/>
      <c r="H29966"/>
      <c r="I29966"/>
    </row>
    <row r="29967" spans="6:9" x14ac:dyDescent="0.3">
      <c r="F29967"/>
      <c r="G29967"/>
      <c r="H29967"/>
      <c r="I29967"/>
    </row>
    <row r="29968" spans="6:9" x14ac:dyDescent="0.3">
      <c r="F29968"/>
      <c r="G29968"/>
      <c r="H29968"/>
      <c r="I29968"/>
    </row>
    <row r="29969" spans="6:9" x14ac:dyDescent="0.3">
      <c r="F29969"/>
      <c r="G29969"/>
      <c r="H29969"/>
      <c r="I29969"/>
    </row>
    <row r="29970" spans="6:9" x14ac:dyDescent="0.3">
      <c r="F29970"/>
      <c r="G29970"/>
      <c r="H29970"/>
      <c r="I29970"/>
    </row>
    <row r="29971" spans="6:9" x14ac:dyDescent="0.3">
      <c r="F29971"/>
      <c r="G29971"/>
      <c r="H29971"/>
      <c r="I29971"/>
    </row>
    <row r="29972" spans="6:9" x14ac:dyDescent="0.3">
      <c r="F29972"/>
      <c r="G29972"/>
      <c r="H29972"/>
      <c r="I29972"/>
    </row>
    <row r="29973" spans="6:9" x14ac:dyDescent="0.3">
      <c r="F29973"/>
      <c r="G29973"/>
      <c r="H29973"/>
      <c r="I29973"/>
    </row>
    <row r="29974" spans="6:9" x14ac:dyDescent="0.3">
      <c r="F29974"/>
      <c r="G29974"/>
      <c r="H29974"/>
      <c r="I29974"/>
    </row>
    <row r="29975" spans="6:9" x14ac:dyDescent="0.3">
      <c r="F29975"/>
      <c r="G29975"/>
      <c r="H29975"/>
      <c r="I29975"/>
    </row>
    <row r="29976" spans="6:9" x14ac:dyDescent="0.3">
      <c r="F29976"/>
      <c r="G29976"/>
      <c r="H29976"/>
      <c r="I29976"/>
    </row>
    <row r="29977" spans="6:9" x14ac:dyDescent="0.3">
      <c r="F29977"/>
      <c r="G29977"/>
      <c r="H29977"/>
      <c r="I29977"/>
    </row>
    <row r="29978" spans="6:9" x14ac:dyDescent="0.3">
      <c r="F29978"/>
      <c r="G29978"/>
      <c r="H29978"/>
      <c r="I29978"/>
    </row>
    <row r="29979" spans="6:9" x14ac:dyDescent="0.3">
      <c r="F29979"/>
      <c r="G29979"/>
      <c r="H29979"/>
      <c r="I29979"/>
    </row>
    <row r="29980" spans="6:9" x14ac:dyDescent="0.3">
      <c r="F29980"/>
      <c r="G29980"/>
      <c r="H29980"/>
      <c r="I29980"/>
    </row>
    <row r="29981" spans="6:9" x14ac:dyDescent="0.3">
      <c r="F29981"/>
      <c r="G29981"/>
      <c r="H29981"/>
      <c r="I29981"/>
    </row>
    <row r="29982" spans="6:9" x14ac:dyDescent="0.3">
      <c r="F29982"/>
      <c r="G29982"/>
      <c r="H29982"/>
      <c r="I29982"/>
    </row>
    <row r="29983" spans="6:9" x14ac:dyDescent="0.3">
      <c r="F29983"/>
      <c r="G29983"/>
      <c r="H29983"/>
      <c r="I29983"/>
    </row>
    <row r="29984" spans="6:9" x14ac:dyDescent="0.3">
      <c r="F29984"/>
      <c r="G29984"/>
      <c r="H29984"/>
      <c r="I29984"/>
    </row>
    <row r="29985" spans="6:9" x14ac:dyDescent="0.3">
      <c r="F29985"/>
      <c r="G29985"/>
      <c r="H29985"/>
      <c r="I29985"/>
    </row>
    <row r="29986" spans="6:9" x14ac:dyDescent="0.3">
      <c r="F29986"/>
      <c r="G29986"/>
      <c r="H29986"/>
      <c r="I29986"/>
    </row>
    <row r="29987" spans="6:9" x14ac:dyDescent="0.3">
      <c r="F29987"/>
      <c r="G29987"/>
      <c r="H29987"/>
      <c r="I29987"/>
    </row>
    <row r="29988" spans="6:9" x14ac:dyDescent="0.3">
      <c r="F29988"/>
      <c r="G29988"/>
      <c r="H29988"/>
      <c r="I29988"/>
    </row>
    <row r="29989" spans="6:9" x14ac:dyDescent="0.3">
      <c r="F29989"/>
      <c r="G29989"/>
      <c r="H29989"/>
      <c r="I29989"/>
    </row>
    <row r="29990" spans="6:9" x14ac:dyDescent="0.3">
      <c r="F29990"/>
      <c r="G29990"/>
      <c r="H29990"/>
      <c r="I29990"/>
    </row>
    <row r="29991" spans="6:9" x14ac:dyDescent="0.3">
      <c r="F29991"/>
      <c r="G29991"/>
      <c r="H29991"/>
      <c r="I29991"/>
    </row>
    <row r="29992" spans="6:9" x14ac:dyDescent="0.3">
      <c r="F29992"/>
      <c r="G29992"/>
      <c r="H29992"/>
      <c r="I29992"/>
    </row>
    <row r="29993" spans="6:9" x14ac:dyDescent="0.3">
      <c r="F29993"/>
      <c r="G29993"/>
      <c r="H29993"/>
      <c r="I29993"/>
    </row>
    <row r="29994" spans="6:9" x14ac:dyDescent="0.3">
      <c r="F29994"/>
      <c r="G29994"/>
      <c r="H29994"/>
      <c r="I29994"/>
    </row>
    <row r="29995" spans="6:9" x14ac:dyDescent="0.3">
      <c r="F29995"/>
      <c r="G29995"/>
      <c r="H29995"/>
      <c r="I29995"/>
    </row>
    <row r="29996" spans="6:9" x14ac:dyDescent="0.3">
      <c r="F29996"/>
      <c r="G29996"/>
      <c r="H29996"/>
      <c r="I29996"/>
    </row>
    <row r="29997" spans="6:9" x14ac:dyDescent="0.3">
      <c r="F29997"/>
      <c r="G29997"/>
      <c r="H29997"/>
      <c r="I29997"/>
    </row>
    <row r="29998" spans="6:9" x14ac:dyDescent="0.3">
      <c r="F29998"/>
      <c r="G29998"/>
      <c r="H29998"/>
      <c r="I29998"/>
    </row>
    <row r="29999" spans="6:9" x14ac:dyDescent="0.3">
      <c r="F29999"/>
      <c r="G29999"/>
      <c r="H29999"/>
      <c r="I29999"/>
    </row>
    <row r="30000" spans="6:9" x14ac:dyDescent="0.3">
      <c r="F30000"/>
      <c r="G30000"/>
      <c r="H30000"/>
      <c r="I30000"/>
    </row>
    <row r="30001" spans="6:9" x14ac:dyDescent="0.3">
      <c r="F30001"/>
      <c r="G30001"/>
      <c r="H30001"/>
      <c r="I30001"/>
    </row>
    <row r="30002" spans="6:9" x14ac:dyDescent="0.3">
      <c r="F30002"/>
      <c r="G30002"/>
      <c r="H30002"/>
      <c r="I30002"/>
    </row>
    <row r="30003" spans="6:9" x14ac:dyDescent="0.3">
      <c r="F30003"/>
      <c r="G30003"/>
      <c r="H30003"/>
      <c r="I30003"/>
    </row>
    <row r="30004" spans="6:9" x14ac:dyDescent="0.3">
      <c r="F30004"/>
      <c r="G30004"/>
      <c r="H30004"/>
      <c r="I30004"/>
    </row>
    <row r="30005" spans="6:9" x14ac:dyDescent="0.3">
      <c r="F30005"/>
      <c r="G30005"/>
      <c r="H30005"/>
      <c r="I30005"/>
    </row>
    <row r="30006" spans="6:9" x14ac:dyDescent="0.3">
      <c r="F30006"/>
      <c r="G30006"/>
      <c r="H30006"/>
      <c r="I30006"/>
    </row>
    <row r="30007" spans="6:9" x14ac:dyDescent="0.3">
      <c r="F30007"/>
      <c r="G30007"/>
      <c r="H30007"/>
      <c r="I30007"/>
    </row>
    <row r="30008" spans="6:9" x14ac:dyDescent="0.3">
      <c r="F30008"/>
      <c r="G30008"/>
      <c r="H30008"/>
      <c r="I30008"/>
    </row>
    <row r="30009" spans="6:9" x14ac:dyDescent="0.3">
      <c r="F30009"/>
      <c r="G30009"/>
      <c r="H30009"/>
      <c r="I30009"/>
    </row>
    <row r="30010" spans="6:9" x14ac:dyDescent="0.3">
      <c r="F30010"/>
      <c r="G30010"/>
      <c r="H30010"/>
      <c r="I30010"/>
    </row>
    <row r="30011" spans="6:9" x14ac:dyDescent="0.3">
      <c r="F30011"/>
      <c r="G30011"/>
      <c r="H30011"/>
      <c r="I30011"/>
    </row>
    <row r="30012" spans="6:9" x14ac:dyDescent="0.3">
      <c r="F30012"/>
      <c r="G30012"/>
      <c r="H30012"/>
      <c r="I30012"/>
    </row>
    <row r="30013" spans="6:9" x14ac:dyDescent="0.3">
      <c r="F30013"/>
      <c r="G30013"/>
      <c r="H30013"/>
      <c r="I30013"/>
    </row>
    <row r="30014" spans="6:9" x14ac:dyDescent="0.3">
      <c r="F30014"/>
      <c r="G30014"/>
      <c r="H30014"/>
      <c r="I30014"/>
    </row>
    <row r="30015" spans="6:9" x14ac:dyDescent="0.3">
      <c r="F30015"/>
      <c r="G30015"/>
      <c r="H30015"/>
      <c r="I30015"/>
    </row>
    <row r="30016" spans="6:9" x14ac:dyDescent="0.3">
      <c r="F30016"/>
      <c r="G30016"/>
      <c r="H30016"/>
      <c r="I30016"/>
    </row>
    <row r="30017" spans="6:9" x14ac:dyDescent="0.3">
      <c r="F30017"/>
      <c r="G30017"/>
      <c r="H30017"/>
      <c r="I30017"/>
    </row>
    <row r="30018" spans="6:9" x14ac:dyDescent="0.3">
      <c r="F30018"/>
      <c r="G30018"/>
      <c r="H30018"/>
      <c r="I30018"/>
    </row>
    <row r="30019" spans="6:9" x14ac:dyDescent="0.3">
      <c r="F30019"/>
      <c r="G30019"/>
      <c r="H30019"/>
      <c r="I30019"/>
    </row>
    <row r="30020" spans="6:9" x14ac:dyDescent="0.3">
      <c r="F30020"/>
      <c r="G30020"/>
      <c r="H30020"/>
      <c r="I30020"/>
    </row>
    <row r="30021" spans="6:9" x14ac:dyDescent="0.3">
      <c r="F30021"/>
      <c r="G30021"/>
      <c r="H30021"/>
      <c r="I30021"/>
    </row>
    <row r="30022" spans="6:9" x14ac:dyDescent="0.3">
      <c r="F30022"/>
      <c r="G30022"/>
      <c r="H30022"/>
      <c r="I30022"/>
    </row>
    <row r="30023" spans="6:9" x14ac:dyDescent="0.3">
      <c r="F30023"/>
      <c r="G30023"/>
      <c r="H30023"/>
      <c r="I30023"/>
    </row>
    <row r="30024" spans="6:9" x14ac:dyDescent="0.3">
      <c r="F30024"/>
      <c r="G30024"/>
      <c r="H30024"/>
      <c r="I30024"/>
    </row>
    <row r="30025" spans="6:9" x14ac:dyDescent="0.3">
      <c r="F30025"/>
      <c r="G30025"/>
      <c r="H30025"/>
      <c r="I30025"/>
    </row>
    <row r="30026" spans="6:9" x14ac:dyDescent="0.3">
      <c r="F30026"/>
      <c r="G30026"/>
      <c r="H30026"/>
      <c r="I30026"/>
    </row>
    <row r="30027" spans="6:9" x14ac:dyDescent="0.3">
      <c r="F30027"/>
      <c r="G30027"/>
      <c r="H30027"/>
      <c r="I30027"/>
    </row>
    <row r="30028" spans="6:9" x14ac:dyDescent="0.3">
      <c r="F30028"/>
      <c r="G30028"/>
      <c r="H30028"/>
      <c r="I30028"/>
    </row>
    <row r="30029" spans="6:9" x14ac:dyDescent="0.3">
      <c r="F30029"/>
      <c r="G30029"/>
      <c r="H30029"/>
      <c r="I30029"/>
    </row>
    <row r="30030" spans="6:9" x14ac:dyDescent="0.3">
      <c r="F30030"/>
      <c r="G30030"/>
      <c r="H30030"/>
      <c r="I30030"/>
    </row>
    <row r="30031" spans="6:9" x14ac:dyDescent="0.3">
      <c r="F30031"/>
      <c r="G30031"/>
      <c r="H30031"/>
      <c r="I30031"/>
    </row>
    <row r="30032" spans="6:9" x14ac:dyDescent="0.3">
      <c r="F30032"/>
      <c r="G30032"/>
      <c r="H30032"/>
      <c r="I30032"/>
    </row>
    <row r="30033" spans="6:9" x14ac:dyDescent="0.3">
      <c r="F30033"/>
      <c r="G30033"/>
      <c r="H30033"/>
      <c r="I30033"/>
    </row>
    <row r="30034" spans="6:9" x14ac:dyDescent="0.3">
      <c r="F30034"/>
      <c r="G30034"/>
      <c r="H30034"/>
      <c r="I30034"/>
    </row>
    <row r="30035" spans="6:9" x14ac:dyDescent="0.3">
      <c r="F30035"/>
      <c r="G30035"/>
      <c r="H30035"/>
      <c r="I30035"/>
    </row>
    <row r="30036" spans="6:9" x14ac:dyDescent="0.3">
      <c r="F30036"/>
      <c r="G30036"/>
      <c r="H30036"/>
      <c r="I30036"/>
    </row>
    <row r="30037" spans="6:9" x14ac:dyDescent="0.3">
      <c r="F30037"/>
      <c r="G30037"/>
      <c r="H30037"/>
      <c r="I30037"/>
    </row>
    <row r="30038" spans="6:9" x14ac:dyDescent="0.3">
      <c r="F30038"/>
      <c r="G30038"/>
      <c r="H30038"/>
      <c r="I30038"/>
    </row>
    <row r="30039" spans="6:9" x14ac:dyDescent="0.3">
      <c r="F30039"/>
      <c r="G30039"/>
      <c r="H30039"/>
      <c r="I30039"/>
    </row>
    <row r="30040" spans="6:9" x14ac:dyDescent="0.3">
      <c r="F30040"/>
      <c r="G30040"/>
      <c r="H30040"/>
      <c r="I30040"/>
    </row>
    <row r="30041" spans="6:9" x14ac:dyDescent="0.3">
      <c r="F30041"/>
      <c r="G30041"/>
      <c r="H30041"/>
      <c r="I30041"/>
    </row>
    <row r="30042" spans="6:9" x14ac:dyDescent="0.3">
      <c r="F30042"/>
      <c r="G30042"/>
      <c r="H30042"/>
      <c r="I30042"/>
    </row>
    <row r="30043" spans="6:9" x14ac:dyDescent="0.3">
      <c r="F30043"/>
      <c r="G30043"/>
      <c r="H30043"/>
      <c r="I30043"/>
    </row>
    <row r="30044" spans="6:9" x14ac:dyDescent="0.3">
      <c r="F30044"/>
      <c r="G30044"/>
      <c r="H30044"/>
      <c r="I30044"/>
    </row>
    <row r="30045" spans="6:9" x14ac:dyDescent="0.3">
      <c r="F30045"/>
      <c r="G30045"/>
      <c r="H30045"/>
      <c r="I30045"/>
    </row>
    <row r="30046" spans="6:9" x14ac:dyDescent="0.3">
      <c r="F30046"/>
      <c r="G30046"/>
      <c r="H30046"/>
      <c r="I30046"/>
    </row>
    <row r="30047" spans="6:9" x14ac:dyDescent="0.3">
      <c r="F30047"/>
      <c r="G30047"/>
      <c r="H30047"/>
      <c r="I30047"/>
    </row>
    <row r="30048" spans="6:9" x14ac:dyDescent="0.3">
      <c r="F30048"/>
      <c r="G30048"/>
      <c r="H30048"/>
      <c r="I30048"/>
    </row>
    <row r="30049" spans="6:9" x14ac:dyDescent="0.3">
      <c r="F30049"/>
      <c r="G30049"/>
      <c r="H30049"/>
      <c r="I30049"/>
    </row>
    <row r="30050" spans="6:9" x14ac:dyDescent="0.3">
      <c r="F30050"/>
      <c r="G30050"/>
      <c r="H30050"/>
      <c r="I30050"/>
    </row>
    <row r="30051" spans="6:9" x14ac:dyDescent="0.3">
      <c r="F30051"/>
      <c r="G30051"/>
      <c r="H30051"/>
      <c r="I30051"/>
    </row>
    <row r="30052" spans="6:9" x14ac:dyDescent="0.3">
      <c r="F30052"/>
      <c r="G30052"/>
      <c r="H30052"/>
      <c r="I30052"/>
    </row>
    <row r="30053" spans="6:9" x14ac:dyDescent="0.3">
      <c r="F30053"/>
      <c r="G30053"/>
      <c r="H30053"/>
      <c r="I30053"/>
    </row>
    <row r="30054" spans="6:9" x14ac:dyDescent="0.3">
      <c r="F30054"/>
      <c r="G30054"/>
      <c r="H30054"/>
      <c r="I30054"/>
    </row>
    <row r="30055" spans="6:9" x14ac:dyDescent="0.3">
      <c r="F30055"/>
      <c r="G30055"/>
      <c r="H30055"/>
      <c r="I30055"/>
    </row>
    <row r="30056" spans="6:9" x14ac:dyDescent="0.3">
      <c r="F30056"/>
      <c r="G30056"/>
      <c r="H30056"/>
      <c r="I30056"/>
    </row>
    <row r="30057" spans="6:9" x14ac:dyDescent="0.3">
      <c r="F30057"/>
      <c r="G30057"/>
      <c r="H30057"/>
      <c r="I30057"/>
    </row>
    <row r="30058" spans="6:9" x14ac:dyDescent="0.3">
      <c r="F30058"/>
      <c r="G30058"/>
      <c r="H30058"/>
      <c r="I30058"/>
    </row>
    <row r="30059" spans="6:9" x14ac:dyDescent="0.3">
      <c r="F30059"/>
      <c r="G30059"/>
      <c r="H30059"/>
      <c r="I30059"/>
    </row>
    <row r="30060" spans="6:9" x14ac:dyDescent="0.3">
      <c r="F30060"/>
      <c r="G30060"/>
      <c r="H30060"/>
      <c r="I30060"/>
    </row>
    <row r="30061" spans="6:9" x14ac:dyDescent="0.3">
      <c r="F30061"/>
      <c r="G30061"/>
      <c r="H30061"/>
      <c r="I30061"/>
    </row>
    <row r="30062" spans="6:9" x14ac:dyDescent="0.3">
      <c r="F30062"/>
      <c r="G30062"/>
      <c r="H30062"/>
      <c r="I30062"/>
    </row>
    <row r="30063" spans="6:9" x14ac:dyDescent="0.3">
      <c r="F30063"/>
      <c r="G30063"/>
      <c r="H30063"/>
      <c r="I30063"/>
    </row>
    <row r="30064" spans="6:9" x14ac:dyDescent="0.3">
      <c r="F30064"/>
      <c r="G30064"/>
      <c r="H30064"/>
      <c r="I30064"/>
    </row>
    <row r="30065" spans="6:9" x14ac:dyDescent="0.3">
      <c r="F30065"/>
      <c r="G30065"/>
      <c r="H30065"/>
      <c r="I30065"/>
    </row>
    <row r="30066" spans="6:9" x14ac:dyDescent="0.3">
      <c r="F30066"/>
      <c r="G30066"/>
      <c r="H30066"/>
      <c r="I30066"/>
    </row>
    <row r="30067" spans="6:9" x14ac:dyDescent="0.3">
      <c r="F30067"/>
      <c r="G30067"/>
      <c r="H30067"/>
      <c r="I30067"/>
    </row>
    <row r="30068" spans="6:9" x14ac:dyDescent="0.3">
      <c r="F30068"/>
      <c r="G30068"/>
      <c r="H30068"/>
      <c r="I30068"/>
    </row>
    <row r="30069" spans="6:9" x14ac:dyDescent="0.3">
      <c r="F30069"/>
      <c r="G30069"/>
      <c r="H30069"/>
      <c r="I30069"/>
    </row>
    <row r="30070" spans="6:9" x14ac:dyDescent="0.3">
      <c r="F30070"/>
      <c r="G30070"/>
      <c r="H30070"/>
      <c r="I30070"/>
    </row>
    <row r="30071" spans="6:9" x14ac:dyDescent="0.3">
      <c r="F30071"/>
      <c r="G30071"/>
      <c r="H30071"/>
      <c r="I30071"/>
    </row>
    <row r="30072" spans="6:9" x14ac:dyDescent="0.3">
      <c r="F30072"/>
      <c r="G30072"/>
      <c r="H30072"/>
      <c r="I30072"/>
    </row>
    <row r="30073" spans="6:9" x14ac:dyDescent="0.3">
      <c r="F30073"/>
      <c r="G30073"/>
      <c r="H30073"/>
      <c r="I30073"/>
    </row>
    <row r="30074" spans="6:9" x14ac:dyDescent="0.3">
      <c r="F30074"/>
      <c r="G30074"/>
      <c r="H30074"/>
      <c r="I30074"/>
    </row>
    <row r="30075" spans="6:9" x14ac:dyDescent="0.3">
      <c r="F30075"/>
      <c r="G30075"/>
      <c r="H30075"/>
      <c r="I30075"/>
    </row>
    <row r="30076" spans="6:9" x14ac:dyDescent="0.3">
      <c r="F30076"/>
      <c r="G30076"/>
      <c r="H30076"/>
      <c r="I30076"/>
    </row>
    <row r="30077" spans="6:9" x14ac:dyDescent="0.3">
      <c r="F30077"/>
      <c r="G30077"/>
      <c r="H30077"/>
      <c r="I30077"/>
    </row>
    <row r="30078" spans="6:9" x14ac:dyDescent="0.3">
      <c r="F30078"/>
      <c r="G30078"/>
      <c r="H30078"/>
      <c r="I30078"/>
    </row>
    <row r="30079" spans="6:9" x14ac:dyDescent="0.3">
      <c r="F30079"/>
      <c r="G30079"/>
      <c r="H30079"/>
      <c r="I30079"/>
    </row>
    <row r="30080" spans="6:9" x14ac:dyDescent="0.3">
      <c r="F30080"/>
      <c r="G30080"/>
      <c r="H30080"/>
      <c r="I30080"/>
    </row>
    <row r="30081" spans="6:9" x14ac:dyDescent="0.3">
      <c r="F30081"/>
      <c r="G30081"/>
      <c r="H30081"/>
      <c r="I30081"/>
    </row>
    <row r="30082" spans="6:9" x14ac:dyDescent="0.3">
      <c r="F30082"/>
      <c r="G30082"/>
      <c r="H30082"/>
      <c r="I30082"/>
    </row>
    <row r="30083" spans="6:9" x14ac:dyDescent="0.3">
      <c r="F30083"/>
      <c r="G30083"/>
      <c r="H30083"/>
      <c r="I30083"/>
    </row>
    <row r="30084" spans="6:9" x14ac:dyDescent="0.3">
      <c r="F30084"/>
      <c r="G30084"/>
      <c r="H30084"/>
      <c r="I30084"/>
    </row>
    <row r="30085" spans="6:9" x14ac:dyDescent="0.3">
      <c r="F30085"/>
      <c r="G30085"/>
      <c r="H30085"/>
      <c r="I30085"/>
    </row>
    <row r="30086" spans="6:9" x14ac:dyDescent="0.3">
      <c r="F30086"/>
      <c r="G30086"/>
      <c r="H30086"/>
      <c r="I30086"/>
    </row>
    <row r="30087" spans="6:9" x14ac:dyDescent="0.3">
      <c r="F30087"/>
      <c r="G30087"/>
      <c r="H30087"/>
      <c r="I30087"/>
    </row>
    <row r="30088" spans="6:9" x14ac:dyDescent="0.3">
      <c r="F30088"/>
      <c r="G30088"/>
      <c r="H30088"/>
      <c r="I30088"/>
    </row>
    <row r="30089" spans="6:9" x14ac:dyDescent="0.3">
      <c r="F30089"/>
      <c r="G30089"/>
      <c r="H30089"/>
      <c r="I30089"/>
    </row>
    <row r="30090" spans="6:9" x14ac:dyDescent="0.3">
      <c r="F30090"/>
      <c r="G30090"/>
      <c r="H30090"/>
      <c r="I30090"/>
    </row>
    <row r="30091" spans="6:9" x14ac:dyDescent="0.3">
      <c r="F30091"/>
      <c r="G30091"/>
      <c r="H30091"/>
      <c r="I30091"/>
    </row>
    <row r="30092" spans="6:9" x14ac:dyDescent="0.3">
      <c r="F30092"/>
      <c r="G30092"/>
      <c r="H30092"/>
      <c r="I30092"/>
    </row>
    <row r="30093" spans="6:9" x14ac:dyDescent="0.3">
      <c r="F30093"/>
      <c r="G30093"/>
      <c r="H30093"/>
      <c r="I30093"/>
    </row>
    <row r="30094" spans="6:9" x14ac:dyDescent="0.3">
      <c r="F30094"/>
      <c r="G30094"/>
      <c r="H30094"/>
      <c r="I30094"/>
    </row>
    <row r="30095" spans="6:9" x14ac:dyDescent="0.3">
      <c r="F30095"/>
      <c r="G30095"/>
      <c r="H30095"/>
      <c r="I30095"/>
    </row>
    <row r="30096" spans="6:9" x14ac:dyDescent="0.3">
      <c r="F30096"/>
      <c r="G30096"/>
      <c r="H30096"/>
      <c r="I30096"/>
    </row>
    <row r="30097" spans="6:9" x14ac:dyDescent="0.3">
      <c r="F30097"/>
      <c r="G30097"/>
      <c r="H30097"/>
      <c r="I30097"/>
    </row>
    <row r="30098" spans="6:9" x14ac:dyDescent="0.3">
      <c r="F30098"/>
      <c r="G30098"/>
      <c r="H30098"/>
      <c r="I30098"/>
    </row>
    <row r="30099" spans="6:9" x14ac:dyDescent="0.3">
      <c r="F30099"/>
      <c r="G30099"/>
      <c r="H30099"/>
      <c r="I30099"/>
    </row>
    <row r="30100" spans="6:9" x14ac:dyDescent="0.3">
      <c r="F30100"/>
      <c r="G30100"/>
      <c r="H30100"/>
      <c r="I30100"/>
    </row>
    <row r="30101" spans="6:9" x14ac:dyDescent="0.3">
      <c r="F30101"/>
      <c r="G30101"/>
      <c r="H30101"/>
      <c r="I30101"/>
    </row>
    <row r="30102" spans="6:9" x14ac:dyDescent="0.3">
      <c r="F30102"/>
      <c r="G30102"/>
      <c r="H30102"/>
      <c r="I30102"/>
    </row>
    <row r="30103" spans="6:9" x14ac:dyDescent="0.3">
      <c r="F30103"/>
      <c r="G30103"/>
      <c r="H30103"/>
      <c r="I30103"/>
    </row>
    <row r="30104" spans="6:9" x14ac:dyDescent="0.3">
      <c r="F30104"/>
      <c r="G30104"/>
      <c r="H30104"/>
      <c r="I30104"/>
    </row>
    <row r="30105" spans="6:9" x14ac:dyDescent="0.3">
      <c r="F30105"/>
      <c r="G30105"/>
      <c r="H30105"/>
      <c r="I30105"/>
    </row>
    <row r="30106" spans="6:9" x14ac:dyDescent="0.3">
      <c r="F30106"/>
      <c r="G30106"/>
      <c r="H30106"/>
      <c r="I30106"/>
    </row>
    <row r="30107" spans="6:9" x14ac:dyDescent="0.3">
      <c r="F30107"/>
      <c r="G30107"/>
      <c r="H30107"/>
      <c r="I30107"/>
    </row>
    <row r="30108" spans="6:9" x14ac:dyDescent="0.3">
      <c r="F30108"/>
      <c r="G30108"/>
      <c r="H30108"/>
      <c r="I30108"/>
    </row>
    <row r="30109" spans="6:9" x14ac:dyDescent="0.3">
      <c r="F30109"/>
      <c r="G30109"/>
      <c r="H30109"/>
      <c r="I30109"/>
    </row>
    <row r="30110" spans="6:9" x14ac:dyDescent="0.3">
      <c r="F30110"/>
      <c r="G30110"/>
      <c r="H30110"/>
      <c r="I30110"/>
    </row>
    <row r="30111" spans="6:9" x14ac:dyDescent="0.3">
      <c r="F30111"/>
      <c r="G30111"/>
      <c r="H30111"/>
      <c r="I30111"/>
    </row>
    <row r="30112" spans="6:9" x14ac:dyDescent="0.3">
      <c r="F30112"/>
      <c r="G30112"/>
      <c r="H30112"/>
      <c r="I30112"/>
    </row>
    <row r="30113" spans="6:9" x14ac:dyDescent="0.3">
      <c r="F30113"/>
      <c r="G30113"/>
      <c r="H30113"/>
      <c r="I30113"/>
    </row>
    <row r="30114" spans="6:9" x14ac:dyDescent="0.3">
      <c r="F30114"/>
      <c r="G30114"/>
      <c r="H30114"/>
      <c r="I30114"/>
    </row>
    <row r="30115" spans="6:9" x14ac:dyDescent="0.3">
      <c r="F30115"/>
      <c r="G30115"/>
      <c r="H30115"/>
      <c r="I30115"/>
    </row>
    <row r="30116" spans="6:9" x14ac:dyDescent="0.3">
      <c r="F30116"/>
      <c r="G30116"/>
      <c r="H30116"/>
      <c r="I30116"/>
    </row>
    <row r="30117" spans="6:9" x14ac:dyDescent="0.3">
      <c r="F30117"/>
      <c r="G30117"/>
      <c r="H30117"/>
      <c r="I30117"/>
    </row>
    <row r="30118" spans="6:9" x14ac:dyDescent="0.3">
      <c r="F30118"/>
      <c r="G30118"/>
      <c r="H30118"/>
      <c r="I30118"/>
    </row>
    <row r="30119" spans="6:9" x14ac:dyDescent="0.3">
      <c r="F30119"/>
      <c r="G30119"/>
      <c r="H30119"/>
      <c r="I30119"/>
    </row>
    <row r="30120" spans="6:9" x14ac:dyDescent="0.3">
      <c r="F30120"/>
      <c r="G30120"/>
      <c r="H30120"/>
      <c r="I30120"/>
    </row>
    <row r="30121" spans="6:9" x14ac:dyDescent="0.3">
      <c r="F30121"/>
      <c r="G30121"/>
      <c r="H30121"/>
      <c r="I30121"/>
    </row>
    <row r="30122" spans="6:9" x14ac:dyDescent="0.3">
      <c r="F30122"/>
      <c r="G30122"/>
      <c r="H30122"/>
      <c r="I30122"/>
    </row>
    <row r="30123" spans="6:9" x14ac:dyDescent="0.3">
      <c r="F30123"/>
      <c r="G30123"/>
      <c r="H30123"/>
      <c r="I30123"/>
    </row>
    <row r="30124" spans="6:9" x14ac:dyDescent="0.3">
      <c r="F30124"/>
      <c r="G30124"/>
      <c r="H30124"/>
      <c r="I30124"/>
    </row>
    <row r="30125" spans="6:9" x14ac:dyDescent="0.3">
      <c r="F30125"/>
      <c r="G30125"/>
      <c r="H30125"/>
      <c r="I30125"/>
    </row>
    <row r="30126" spans="6:9" x14ac:dyDescent="0.3">
      <c r="F30126"/>
      <c r="G30126"/>
      <c r="H30126"/>
      <c r="I30126"/>
    </row>
    <row r="30127" spans="6:9" x14ac:dyDescent="0.3">
      <c r="F30127"/>
      <c r="G30127"/>
      <c r="H30127"/>
      <c r="I30127"/>
    </row>
    <row r="30128" spans="6:9" x14ac:dyDescent="0.3">
      <c r="F30128"/>
      <c r="G30128"/>
      <c r="H30128"/>
      <c r="I30128"/>
    </row>
    <row r="30129" spans="6:9" x14ac:dyDescent="0.3">
      <c r="F30129"/>
      <c r="G30129"/>
      <c r="H30129"/>
      <c r="I30129"/>
    </row>
    <row r="30130" spans="6:9" x14ac:dyDescent="0.3">
      <c r="F30130"/>
      <c r="G30130"/>
      <c r="H30130"/>
      <c r="I30130"/>
    </row>
    <row r="30131" spans="6:9" x14ac:dyDescent="0.3">
      <c r="F30131"/>
      <c r="G30131"/>
      <c r="H30131"/>
      <c r="I30131"/>
    </row>
    <row r="30132" spans="6:9" x14ac:dyDescent="0.3">
      <c r="F30132"/>
      <c r="G30132"/>
      <c r="H30132"/>
      <c r="I30132"/>
    </row>
    <row r="30133" spans="6:9" x14ac:dyDescent="0.3">
      <c r="F30133"/>
      <c r="G30133"/>
      <c r="H30133"/>
      <c r="I30133"/>
    </row>
    <row r="30134" spans="6:9" x14ac:dyDescent="0.3">
      <c r="F30134"/>
      <c r="G30134"/>
      <c r="H30134"/>
      <c r="I30134"/>
    </row>
    <row r="30135" spans="6:9" x14ac:dyDescent="0.3">
      <c r="F30135"/>
      <c r="G30135"/>
      <c r="H30135"/>
      <c r="I30135"/>
    </row>
    <row r="30136" spans="6:9" x14ac:dyDescent="0.3">
      <c r="F30136"/>
      <c r="G30136"/>
      <c r="H30136"/>
      <c r="I30136"/>
    </row>
    <row r="30137" spans="6:9" x14ac:dyDescent="0.3">
      <c r="F30137"/>
      <c r="G30137"/>
      <c r="H30137"/>
      <c r="I30137"/>
    </row>
    <row r="30138" spans="6:9" x14ac:dyDescent="0.3">
      <c r="F30138"/>
      <c r="G30138"/>
      <c r="H30138"/>
      <c r="I30138"/>
    </row>
    <row r="30139" spans="6:9" x14ac:dyDescent="0.3">
      <c r="F30139"/>
      <c r="G30139"/>
      <c r="H30139"/>
      <c r="I30139"/>
    </row>
    <row r="30140" spans="6:9" x14ac:dyDescent="0.3">
      <c r="F30140"/>
      <c r="G30140"/>
      <c r="H30140"/>
      <c r="I30140"/>
    </row>
    <row r="30141" spans="6:9" x14ac:dyDescent="0.3">
      <c r="F30141"/>
      <c r="G30141"/>
      <c r="H30141"/>
      <c r="I30141"/>
    </row>
    <row r="30142" spans="6:9" x14ac:dyDescent="0.3">
      <c r="F30142"/>
      <c r="G30142"/>
      <c r="H30142"/>
      <c r="I30142"/>
    </row>
    <row r="30143" spans="6:9" x14ac:dyDescent="0.3">
      <c r="F30143"/>
      <c r="G30143"/>
      <c r="H30143"/>
      <c r="I30143"/>
    </row>
    <row r="30144" spans="6:9" x14ac:dyDescent="0.3">
      <c r="F30144"/>
      <c r="G30144"/>
      <c r="H30144"/>
      <c r="I30144"/>
    </row>
    <row r="30145" spans="6:9" x14ac:dyDescent="0.3">
      <c r="F30145"/>
      <c r="G30145"/>
      <c r="H30145"/>
      <c r="I30145"/>
    </row>
    <row r="30146" spans="6:9" x14ac:dyDescent="0.3">
      <c r="F30146"/>
      <c r="G30146"/>
      <c r="H30146"/>
      <c r="I30146"/>
    </row>
    <row r="30147" spans="6:9" x14ac:dyDescent="0.3">
      <c r="F30147"/>
      <c r="G30147"/>
      <c r="H30147"/>
      <c r="I30147"/>
    </row>
    <row r="30148" spans="6:9" x14ac:dyDescent="0.3">
      <c r="F30148"/>
      <c r="G30148"/>
      <c r="H30148"/>
      <c r="I30148"/>
    </row>
    <row r="30149" spans="6:9" x14ac:dyDescent="0.3">
      <c r="F30149"/>
      <c r="G30149"/>
      <c r="H30149"/>
      <c r="I30149"/>
    </row>
    <row r="30150" spans="6:9" x14ac:dyDescent="0.3">
      <c r="F30150"/>
      <c r="G30150"/>
      <c r="H30150"/>
      <c r="I30150"/>
    </row>
    <row r="30151" spans="6:9" x14ac:dyDescent="0.3">
      <c r="F30151"/>
      <c r="G30151"/>
      <c r="H30151"/>
      <c r="I30151"/>
    </row>
    <row r="30152" spans="6:9" x14ac:dyDescent="0.3">
      <c r="F30152"/>
      <c r="G30152"/>
      <c r="H30152"/>
      <c r="I30152"/>
    </row>
    <row r="30153" spans="6:9" x14ac:dyDescent="0.3">
      <c r="F30153"/>
      <c r="G30153"/>
      <c r="H30153"/>
      <c r="I30153"/>
    </row>
    <row r="30154" spans="6:9" x14ac:dyDescent="0.3">
      <c r="F30154"/>
      <c r="G30154"/>
      <c r="H30154"/>
      <c r="I30154"/>
    </row>
    <row r="30155" spans="6:9" x14ac:dyDescent="0.3">
      <c r="F30155"/>
      <c r="G30155"/>
      <c r="H30155"/>
      <c r="I30155"/>
    </row>
    <row r="30156" spans="6:9" x14ac:dyDescent="0.3">
      <c r="F30156"/>
      <c r="G30156"/>
      <c r="H30156"/>
      <c r="I30156"/>
    </row>
    <row r="30157" spans="6:9" x14ac:dyDescent="0.3">
      <c r="F30157"/>
      <c r="G30157"/>
      <c r="H30157"/>
      <c r="I30157"/>
    </row>
    <row r="30158" spans="6:9" x14ac:dyDescent="0.3">
      <c r="F30158"/>
      <c r="G30158"/>
      <c r="H30158"/>
      <c r="I30158"/>
    </row>
    <row r="30159" spans="6:9" x14ac:dyDescent="0.3">
      <c r="F30159"/>
      <c r="G30159"/>
      <c r="H30159"/>
      <c r="I30159"/>
    </row>
    <row r="30160" spans="6:9" x14ac:dyDescent="0.3">
      <c r="F30160"/>
      <c r="G30160"/>
      <c r="H30160"/>
      <c r="I30160"/>
    </row>
    <row r="30161" spans="6:9" x14ac:dyDescent="0.3">
      <c r="F30161"/>
      <c r="G30161"/>
      <c r="H30161"/>
      <c r="I30161"/>
    </row>
    <row r="30162" spans="6:9" x14ac:dyDescent="0.3">
      <c r="F30162"/>
      <c r="G30162"/>
      <c r="H30162"/>
      <c r="I30162"/>
    </row>
    <row r="30163" spans="6:9" x14ac:dyDescent="0.3">
      <c r="F30163"/>
      <c r="G30163"/>
      <c r="H30163"/>
      <c r="I30163"/>
    </row>
    <row r="30164" spans="6:9" x14ac:dyDescent="0.3">
      <c r="F30164"/>
      <c r="G30164"/>
      <c r="H30164"/>
      <c r="I30164"/>
    </row>
    <row r="30165" spans="6:9" x14ac:dyDescent="0.3">
      <c r="F30165"/>
      <c r="G30165"/>
      <c r="H30165"/>
      <c r="I30165"/>
    </row>
    <row r="30166" spans="6:9" x14ac:dyDescent="0.3">
      <c r="F30166"/>
      <c r="G30166"/>
      <c r="H30166"/>
      <c r="I30166"/>
    </row>
    <row r="30167" spans="6:9" x14ac:dyDescent="0.3">
      <c r="F30167"/>
      <c r="G30167"/>
      <c r="H30167"/>
      <c r="I30167"/>
    </row>
    <row r="30168" spans="6:9" x14ac:dyDescent="0.3">
      <c r="F30168"/>
      <c r="G30168"/>
      <c r="H30168"/>
      <c r="I30168"/>
    </row>
    <row r="30169" spans="6:9" x14ac:dyDescent="0.3">
      <c r="F30169"/>
      <c r="G30169"/>
      <c r="H30169"/>
      <c r="I30169"/>
    </row>
    <row r="30170" spans="6:9" x14ac:dyDescent="0.3">
      <c r="F30170"/>
      <c r="G30170"/>
      <c r="H30170"/>
      <c r="I30170"/>
    </row>
    <row r="30171" spans="6:9" x14ac:dyDescent="0.3">
      <c r="F30171"/>
      <c r="G30171"/>
      <c r="H30171"/>
      <c r="I30171"/>
    </row>
    <row r="30172" spans="6:9" x14ac:dyDescent="0.3">
      <c r="F30172"/>
      <c r="G30172"/>
      <c r="H30172"/>
      <c r="I30172"/>
    </row>
    <row r="30173" spans="6:9" x14ac:dyDescent="0.3">
      <c r="F30173"/>
      <c r="G30173"/>
      <c r="H30173"/>
      <c r="I30173"/>
    </row>
    <row r="30174" spans="6:9" x14ac:dyDescent="0.3">
      <c r="F30174"/>
      <c r="G30174"/>
      <c r="H30174"/>
      <c r="I30174"/>
    </row>
    <row r="30175" spans="6:9" x14ac:dyDescent="0.3">
      <c r="F30175"/>
      <c r="G30175"/>
      <c r="H30175"/>
      <c r="I30175"/>
    </row>
    <row r="30176" spans="6:9" x14ac:dyDescent="0.3">
      <c r="F30176"/>
      <c r="G30176"/>
      <c r="H30176"/>
      <c r="I30176"/>
    </row>
    <row r="30177" spans="6:9" x14ac:dyDescent="0.3">
      <c r="F30177"/>
      <c r="G30177"/>
      <c r="H30177"/>
      <c r="I30177"/>
    </row>
    <row r="30178" spans="6:9" x14ac:dyDescent="0.3">
      <c r="F30178"/>
      <c r="G30178"/>
      <c r="H30178"/>
      <c r="I30178"/>
    </row>
    <row r="30179" spans="6:9" x14ac:dyDescent="0.3">
      <c r="F30179"/>
      <c r="G30179"/>
      <c r="H30179"/>
      <c r="I30179"/>
    </row>
    <row r="30180" spans="6:9" x14ac:dyDescent="0.3">
      <c r="F30180"/>
      <c r="G30180"/>
      <c r="H30180"/>
      <c r="I30180"/>
    </row>
    <row r="30181" spans="6:9" x14ac:dyDescent="0.3">
      <c r="F30181"/>
      <c r="G30181"/>
      <c r="H30181"/>
      <c r="I30181"/>
    </row>
    <row r="30182" spans="6:9" x14ac:dyDescent="0.3">
      <c r="F30182"/>
      <c r="G30182"/>
      <c r="H30182"/>
      <c r="I30182"/>
    </row>
    <row r="30183" spans="6:9" x14ac:dyDescent="0.3">
      <c r="F30183"/>
      <c r="G30183"/>
      <c r="H30183"/>
      <c r="I30183"/>
    </row>
    <row r="30184" spans="6:9" x14ac:dyDescent="0.3">
      <c r="F30184"/>
      <c r="G30184"/>
      <c r="H30184"/>
      <c r="I30184"/>
    </row>
    <row r="30185" spans="6:9" x14ac:dyDescent="0.3">
      <c r="F30185"/>
      <c r="G30185"/>
      <c r="H30185"/>
      <c r="I30185"/>
    </row>
    <row r="30186" spans="6:9" x14ac:dyDescent="0.3">
      <c r="F30186"/>
      <c r="G30186"/>
      <c r="H30186"/>
      <c r="I30186"/>
    </row>
    <row r="30187" spans="6:9" x14ac:dyDescent="0.3">
      <c r="F30187"/>
      <c r="G30187"/>
      <c r="H30187"/>
      <c r="I30187"/>
    </row>
    <row r="30188" spans="6:9" x14ac:dyDescent="0.3">
      <c r="F30188"/>
      <c r="G30188"/>
      <c r="H30188"/>
      <c r="I30188"/>
    </row>
    <row r="30189" spans="6:9" x14ac:dyDescent="0.3">
      <c r="F30189"/>
      <c r="G30189"/>
      <c r="H30189"/>
      <c r="I30189"/>
    </row>
    <row r="30190" spans="6:9" x14ac:dyDescent="0.3">
      <c r="F30190"/>
      <c r="G30190"/>
      <c r="H30190"/>
      <c r="I30190"/>
    </row>
    <row r="30191" spans="6:9" x14ac:dyDescent="0.3">
      <c r="F30191"/>
      <c r="G30191"/>
      <c r="H30191"/>
      <c r="I30191"/>
    </row>
    <row r="30192" spans="6:9" x14ac:dyDescent="0.3">
      <c r="F30192"/>
      <c r="G30192"/>
      <c r="H30192"/>
      <c r="I30192"/>
    </row>
    <row r="30193" spans="6:9" x14ac:dyDescent="0.3">
      <c r="F30193"/>
      <c r="G30193"/>
      <c r="H30193"/>
      <c r="I30193"/>
    </row>
    <row r="30194" spans="6:9" x14ac:dyDescent="0.3">
      <c r="F30194"/>
      <c r="G30194"/>
      <c r="H30194"/>
      <c r="I30194"/>
    </row>
    <row r="30195" spans="6:9" x14ac:dyDescent="0.3">
      <c r="F30195"/>
      <c r="G30195"/>
      <c r="H30195"/>
      <c r="I30195"/>
    </row>
    <row r="30196" spans="6:9" x14ac:dyDescent="0.3">
      <c r="F30196"/>
      <c r="G30196"/>
      <c r="H30196"/>
      <c r="I30196"/>
    </row>
    <row r="30197" spans="6:9" x14ac:dyDescent="0.3">
      <c r="F30197"/>
      <c r="G30197"/>
      <c r="H30197"/>
      <c r="I30197"/>
    </row>
    <row r="30198" spans="6:9" x14ac:dyDescent="0.3">
      <c r="F30198"/>
      <c r="G30198"/>
      <c r="H30198"/>
      <c r="I30198"/>
    </row>
    <row r="30199" spans="6:9" x14ac:dyDescent="0.3">
      <c r="F30199"/>
      <c r="G30199"/>
      <c r="H30199"/>
      <c r="I30199"/>
    </row>
    <row r="30200" spans="6:9" x14ac:dyDescent="0.3">
      <c r="F30200"/>
      <c r="G30200"/>
      <c r="H30200"/>
      <c r="I30200"/>
    </row>
    <row r="30201" spans="6:9" x14ac:dyDescent="0.3">
      <c r="F30201"/>
      <c r="G30201"/>
      <c r="H30201"/>
      <c r="I30201"/>
    </row>
    <row r="30202" spans="6:9" x14ac:dyDescent="0.3">
      <c r="F30202"/>
      <c r="G30202"/>
      <c r="H30202"/>
      <c r="I30202"/>
    </row>
    <row r="30203" spans="6:9" x14ac:dyDescent="0.3">
      <c r="F30203"/>
      <c r="G30203"/>
      <c r="H30203"/>
      <c r="I30203"/>
    </row>
    <row r="30204" spans="6:9" x14ac:dyDescent="0.3">
      <c r="F30204"/>
      <c r="G30204"/>
      <c r="H30204"/>
      <c r="I30204"/>
    </row>
    <row r="30205" spans="6:9" x14ac:dyDescent="0.3">
      <c r="F30205"/>
      <c r="G30205"/>
      <c r="H30205"/>
      <c r="I30205"/>
    </row>
    <row r="30206" spans="6:9" x14ac:dyDescent="0.3">
      <c r="F30206"/>
      <c r="G30206"/>
      <c r="H30206"/>
      <c r="I30206"/>
    </row>
    <row r="30207" spans="6:9" x14ac:dyDescent="0.3">
      <c r="F30207"/>
      <c r="G30207"/>
      <c r="H30207"/>
      <c r="I30207"/>
    </row>
    <row r="30208" spans="6:9" x14ac:dyDescent="0.3">
      <c r="F30208"/>
      <c r="G30208"/>
      <c r="H30208"/>
      <c r="I30208"/>
    </row>
    <row r="30209" spans="6:9" x14ac:dyDescent="0.3">
      <c r="F30209"/>
      <c r="G30209"/>
      <c r="H30209"/>
      <c r="I30209"/>
    </row>
    <row r="30210" spans="6:9" x14ac:dyDescent="0.3">
      <c r="F30210"/>
      <c r="G30210"/>
      <c r="H30210"/>
      <c r="I30210"/>
    </row>
    <row r="30211" spans="6:9" x14ac:dyDescent="0.3">
      <c r="F30211"/>
      <c r="G30211"/>
      <c r="H30211"/>
      <c r="I30211"/>
    </row>
    <row r="30212" spans="6:9" x14ac:dyDescent="0.3">
      <c r="F30212"/>
      <c r="G30212"/>
      <c r="H30212"/>
      <c r="I30212"/>
    </row>
    <row r="30213" spans="6:9" x14ac:dyDescent="0.3">
      <c r="F30213"/>
      <c r="G30213"/>
      <c r="H30213"/>
      <c r="I30213"/>
    </row>
    <row r="30214" spans="6:9" x14ac:dyDescent="0.3">
      <c r="F30214"/>
      <c r="G30214"/>
      <c r="H30214"/>
      <c r="I30214"/>
    </row>
    <row r="30215" spans="6:9" x14ac:dyDescent="0.3">
      <c r="F30215"/>
      <c r="G30215"/>
      <c r="H30215"/>
      <c r="I30215"/>
    </row>
    <row r="30216" spans="6:9" x14ac:dyDescent="0.3">
      <c r="F30216"/>
      <c r="G30216"/>
      <c r="H30216"/>
      <c r="I30216"/>
    </row>
    <row r="30217" spans="6:9" x14ac:dyDescent="0.3">
      <c r="F30217"/>
      <c r="G30217"/>
      <c r="H30217"/>
      <c r="I30217"/>
    </row>
    <row r="30218" spans="6:9" x14ac:dyDescent="0.3">
      <c r="F30218"/>
      <c r="G30218"/>
      <c r="H30218"/>
      <c r="I30218"/>
    </row>
    <row r="30219" spans="6:9" x14ac:dyDescent="0.3">
      <c r="F30219"/>
      <c r="G30219"/>
      <c r="H30219"/>
      <c r="I30219"/>
    </row>
    <row r="30220" spans="6:9" x14ac:dyDescent="0.3">
      <c r="F30220"/>
      <c r="G30220"/>
      <c r="H30220"/>
      <c r="I30220"/>
    </row>
    <row r="30221" spans="6:9" x14ac:dyDescent="0.3">
      <c r="F30221"/>
      <c r="G30221"/>
      <c r="H30221"/>
      <c r="I30221"/>
    </row>
    <row r="30222" spans="6:9" x14ac:dyDescent="0.3">
      <c r="F30222"/>
      <c r="G30222"/>
      <c r="H30222"/>
      <c r="I30222"/>
    </row>
    <row r="30223" spans="6:9" x14ac:dyDescent="0.3">
      <c r="F30223"/>
      <c r="G30223"/>
      <c r="H30223"/>
      <c r="I30223"/>
    </row>
    <row r="30224" spans="6:9" x14ac:dyDescent="0.3">
      <c r="F30224"/>
      <c r="G30224"/>
      <c r="H30224"/>
      <c r="I30224"/>
    </row>
    <row r="30225" spans="6:9" x14ac:dyDescent="0.3">
      <c r="F30225"/>
      <c r="G30225"/>
      <c r="H30225"/>
      <c r="I30225"/>
    </row>
    <row r="30226" spans="6:9" x14ac:dyDescent="0.3">
      <c r="F30226"/>
      <c r="G30226"/>
      <c r="H30226"/>
      <c r="I30226"/>
    </row>
    <row r="30227" spans="6:9" x14ac:dyDescent="0.3">
      <c r="F30227"/>
      <c r="G30227"/>
      <c r="H30227"/>
      <c r="I30227"/>
    </row>
    <row r="30228" spans="6:9" x14ac:dyDescent="0.3">
      <c r="F30228"/>
      <c r="G30228"/>
      <c r="H30228"/>
      <c r="I30228"/>
    </row>
    <row r="30229" spans="6:9" x14ac:dyDescent="0.3">
      <c r="F30229"/>
      <c r="G30229"/>
      <c r="H30229"/>
      <c r="I30229"/>
    </row>
    <row r="30230" spans="6:9" x14ac:dyDescent="0.3">
      <c r="F30230"/>
      <c r="G30230"/>
      <c r="H30230"/>
      <c r="I30230"/>
    </row>
    <row r="30231" spans="6:9" x14ac:dyDescent="0.3">
      <c r="F30231"/>
      <c r="G30231"/>
      <c r="H30231"/>
      <c r="I30231"/>
    </row>
    <row r="30232" spans="6:9" x14ac:dyDescent="0.3">
      <c r="F30232"/>
      <c r="G30232"/>
      <c r="H30232"/>
      <c r="I30232"/>
    </row>
    <row r="30233" spans="6:9" x14ac:dyDescent="0.3">
      <c r="F30233"/>
      <c r="G30233"/>
      <c r="H30233"/>
      <c r="I30233"/>
    </row>
    <row r="30234" spans="6:9" x14ac:dyDescent="0.3">
      <c r="F30234"/>
      <c r="G30234"/>
      <c r="H30234"/>
      <c r="I30234"/>
    </row>
    <row r="30235" spans="6:9" x14ac:dyDescent="0.3">
      <c r="F30235"/>
      <c r="G30235"/>
      <c r="H30235"/>
      <c r="I30235"/>
    </row>
    <row r="30236" spans="6:9" x14ac:dyDescent="0.3">
      <c r="F30236"/>
      <c r="G30236"/>
      <c r="H30236"/>
      <c r="I30236"/>
    </row>
    <row r="30237" spans="6:9" x14ac:dyDescent="0.3">
      <c r="F30237"/>
      <c r="G30237"/>
      <c r="H30237"/>
      <c r="I30237"/>
    </row>
    <row r="30238" spans="6:9" x14ac:dyDescent="0.3">
      <c r="F30238"/>
      <c r="G30238"/>
      <c r="H30238"/>
      <c r="I30238"/>
    </row>
    <row r="30239" spans="6:9" x14ac:dyDescent="0.3">
      <c r="F30239"/>
      <c r="G30239"/>
      <c r="H30239"/>
      <c r="I30239"/>
    </row>
    <row r="30240" spans="6:9" x14ac:dyDescent="0.3">
      <c r="F30240"/>
      <c r="G30240"/>
      <c r="H30240"/>
      <c r="I30240"/>
    </row>
    <row r="30241" spans="6:9" x14ac:dyDescent="0.3">
      <c r="F30241"/>
      <c r="G30241"/>
      <c r="H30241"/>
      <c r="I30241"/>
    </row>
    <row r="30242" spans="6:9" x14ac:dyDescent="0.3">
      <c r="F30242"/>
      <c r="G30242"/>
      <c r="H30242"/>
      <c r="I30242"/>
    </row>
    <row r="30243" spans="6:9" x14ac:dyDescent="0.3">
      <c r="F30243"/>
      <c r="G30243"/>
      <c r="H30243"/>
      <c r="I30243"/>
    </row>
    <row r="30244" spans="6:9" x14ac:dyDescent="0.3">
      <c r="F30244"/>
      <c r="G30244"/>
      <c r="H30244"/>
      <c r="I30244"/>
    </row>
    <row r="30245" spans="6:9" x14ac:dyDescent="0.3">
      <c r="F30245"/>
      <c r="G30245"/>
      <c r="H30245"/>
      <c r="I30245"/>
    </row>
    <row r="30246" spans="6:9" x14ac:dyDescent="0.3">
      <c r="F30246"/>
      <c r="G30246"/>
      <c r="H30246"/>
      <c r="I30246"/>
    </row>
    <row r="30247" spans="6:9" x14ac:dyDescent="0.3">
      <c r="F30247"/>
      <c r="G30247"/>
      <c r="H30247"/>
      <c r="I30247"/>
    </row>
    <row r="30248" spans="6:9" x14ac:dyDescent="0.3">
      <c r="F30248"/>
      <c r="G30248"/>
      <c r="H30248"/>
      <c r="I30248"/>
    </row>
    <row r="30249" spans="6:9" x14ac:dyDescent="0.3">
      <c r="F30249"/>
      <c r="G30249"/>
      <c r="H30249"/>
      <c r="I30249"/>
    </row>
    <row r="30250" spans="6:9" x14ac:dyDescent="0.3">
      <c r="F30250"/>
      <c r="G30250"/>
      <c r="H30250"/>
      <c r="I30250"/>
    </row>
    <row r="30251" spans="6:9" x14ac:dyDescent="0.3">
      <c r="F30251"/>
      <c r="G30251"/>
      <c r="H30251"/>
      <c r="I30251"/>
    </row>
    <row r="30252" spans="6:9" x14ac:dyDescent="0.3">
      <c r="F30252"/>
      <c r="G30252"/>
      <c r="H30252"/>
      <c r="I30252"/>
    </row>
    <row r="30253" spans="6:9" x14ac:dyDescent="0.3">
      <c r="F30253"/>
      <c r="G30253"/>
      <c r="H30253"/>
      <c r="I30253"/>
    </row>
    <row r="30254" spans="6:9" x14ac:dyDescent="0.3">
      <c r="F30254"/>
      <c r="G30254"/>
      <c r="H30254"/>
      <c r="I30254"/>
    </row>
    <row r="30255" spans="6:9" x14ac:dyDescent="0.3">
      <c r="F30255"/>
      <c r="G30255"/>
      <c r="H30255"/>
      <c r="I30255"/>
    </row>
    <row r="30256" spans="6:9" x14ac:dyDescent="0.3">
      <c r="F30256"/>
      <c r="G30256"/>
      <c r="H30256"/>
      <c r="I30256"/>
    </row>
    <row r="30257" spans="6:9" x14ac:dyDescent="0.3">
      <c r="F30257"/>
      <c r="G30257"/>
      <c r="H30257"/>
      <c r="I30257"/>
    </row>
    <row r="30258" spans="6:9" x14ac:dyDescent="0.3">
      <c r="F30258"/>
      <c r="G30258"/>
      <c r="H30258"/>
      <c r="I30258"/>
    </row>
    <row r="30259" spans="6:9" x14ac:dyDescent="0.3">
      <c r="F30259"/>
      <c r="G30259"/>
      <c r="H30259"/>
      <c r="I30259"/>
    </row>
    <row r="30260" spans="6:9" x14ac:dyDescent="0.3">
      <c r="F30260"/>
      <c r="G30260"/>
      <c r="H30260"/>
      <c r="I30260"/>
    </row>
    <row r="30261" spans="6:9" x14ac:dyDescent="0.3">
      <c r="F30261"/>
      <c r="G30261"/>
      <c r="H30261"/>
      <c r="I30261"/>
    </row>
    <row r="30262" spans="6:9" x14ac:dyDescent="0.3">
      <c r="F30262"/>
      <c r="G30262"/>
      <c r="H30262"/>
      <c r="I30262"/>
    </row>
    <row r="30263" spans="6:9" x14ac:dyDescent="0.3">
      <c r="F30263"/>
      <c r="G30263"/>
      <c r="H30263"/>
      <c r="I30263"/>
    </row>
    <row r="30264" spans="6:9" x14ac:dyDescent="0.3">
      <c r="F30264"/>
      <c r="G30264"/>
      <c r="H30264"/>
      <c r="I30264"/>
    </row>
    <row r="30265" spans="6:9" x14ac:dyDescent="0.3">
      <c r="F30265"/>
      <c r="G30265"/>
      <c r="H30265"/>
      <c r="I30265"/>
    </row>
    <row r="30266" spans="6:9" x14ac:dyDescent="0.3">
      <c r="F30266"/>
      <c r="G30266"/>
      <c r="H30266"/>
      <c r="I30266"/>
    </row>
    <row r="30267" spans="6:9" x14ac:dyDescent="0.3">
      <c r="F30267"/>
      <c r="G30267"/>
      <c r="H30267"/>
      <c r="I30267"/>
    </row>
    <row r="30268" spans="6:9" x14ac:dyDescent="0.3">
      <c r="F30268"/>
      <c r="G30268"/>
      <c r="H30268"/>
      <c r="I30268"/>
    </row>
    <row r="30269" spans="6:9" x14ac:dyDescent="0.3">
      <c r="F30269"/>
      <c r="G30269"/>
      <c r="H30269"/>
      <c r="I30269"/>
    </row>
    <row r="30270" spans="6:9" x14ac:dyDescent="0.3">
      <c r="F30270"/>
      <c r="G30270"/>
      <c r="H30270"/>
      <c r="I30270"/>
    </row>
    <row r="30271" spans="6:9" x14ac:dyDescent="0.3">
      <c r="F30271"/>
      <c r="G30271"/>
      <c r="H30271"/>
      <c r="I30271"/>
    </row>
    <row r="30272" spans="6:9" x14ac:dyDescent="0.3">
      <c r="F30272"/>
      <c r="G30272"/>
      <c r="H30272"/>
      <c r="I30272"/>
    </row>
    <row r="30273" spans="6:9" x14ac:dyDescent="0.3">
      <c r="F30273"/>
      <c r="G30273"/>
      <c r="H30273"/>
      <c r="I30273"/>
    </row>
    <row r="30274" spans="6:9" x14ac:dyDescent="0.3">
      <c r="F30274"/>
      <c r="G30274"/>
      <c r="H30274"/>
      <c r="I30274"/>
    </row>
    <row r="30275" spans="6:9" x14ac:dyDescent="0.3">
      <c r="F30275"/>
      <c r="G30275"/>
      <c r="H30275"/>
      <c r="I30275"/>
    </row>
    <row r="30276" spans="6:9" x14ac:dyDescent="0.3">
      <c r="F30276"/>
      <c r="G30276"/>
      <c r="H30276"/>
      <c r="I30276"/>
    </row>
    <row r="30277" spans="6:9" x14ac:dyDescent="0.3">
      <c r="F30277"/>
      <c r="G30277"/>
      <c r="H30277"/>
      <c r="I30277"/>
    </row>
    <row r="30278" spans="6:9" x14ac:dyDescent="0.3">
      <c r="F30278"/>
      <c r="G30278"/>
      <c r="H30278"/>
      <c r="I30278"/>
    </row>
    <row r="30279" spans="6:9" x14ac:dyDescent="0.3">
      <c r="F30279"/>
      <c r="G30279"/>
      <c r="H30279"/>
      <c r="I30279"/>
    </row>
    <row r="30280" spans="6:9" x14ac:dyDescent="0.3">
      <c r="F30280"/>
      <c r="G30280"/>
      <c r="H30280"/>
      <c r="I30280"/>
    </row>
    <row r="30281" spans="6:9" x14ac:dyDescent="0.3">
      <c r="F30281"/>
      <c r="G30281"/>
      <c r="H30281"/>
      <c r="I30281"/>
    </row>
    <row r="30282" spans="6:9" x14ac:dyDescent="0.3">
      <c r="F30282"/>
      <c r="G30282"/>
      <c r="H30282"/>
      <c r="I30282"/>
    </row>
    <row r="30283" spans="6:9" x14ac:dyDescent="0.3">
      <c r="F30283"/>
      <c r="G30283"/>
      <c r="H30283"/>
      <c r="I30283"/>
    </row>
    <row r="30284" spans="6:9" x14ac:dyDescent="0.3">
      <c r="F30284"/>
      <c r="G30284"/>
      <c r="H30284"/>
      <c r="I30284"/>
    </row>
    <row r="30285" spans="6:9" x14ac:dyDescent="0.3">
      <c r="F30285"/>
      <c r="G30285"/>
      <c r="H30285"/>
      <c r="I30285"/>
    </row>
    <row r="30286" spans="6:9" x14ac:dyDescent="0.3">
      <c r="F30286"/>
      <c r="G30286"/>
      <c r="H30286"/>
      <c r="I30286"/>
    </row>
    <row r="30287" spans="6:9" x14ac:dyDescent="0.3">
      <c r="F30287"/>
      <c r="G30287"/>
      <c r="H30287"/>
      <c r="I30287"/>
    </row>
    <row r="30288" spans="6:9" x14ac:dyDescent="0.3">
      <c r="F30288"/>
      <c r="G30288"/>
      <c r="H30288"/>
      <c r="I30288"/>
    </row>
    <row r="30289" spans="6:9" x14ac:dyDescent="0.3">
      <c r="F30289"/>
      <c r="G30289"/>
      <c r="H30289"/>
      <c r="I30289"/>
    </row>
    <row r="30290" spans="6:9" x14ac:dyDescent="0.3">
      <c r="F30290"/>
      <c r="G30290"/>
      <c r="H30290"/>
      <c r="I30290"/>
    </row>
    <row r="30291" spans="6:9" x14ac:dyDescent="0.3">
      <c r="F30291"/>
      <c r="G30291"/>
      <c r="H30291"/>
      <c r="I30291"/>
    </row>
    <row r="30292" spans="6:9" x14ac:dyDescent="0.3">
      <c r="F30292"/>
      <c r="G30292"/>
      <c r="H30292"/>
      <c r="I30292"/>
    </row>
    <row r="30293" spans="6:9" x14ac:dyDescent="0.3">
      <c r="F30293"/>
      <c r="G30293"/>
      <c r="H30293"/>
      <c r="I30293"/>
    </row>
    <row r="30294" spans="6:9" x14ac:dyDescent="0.3">
      <c r="F30294"/>
      <c r="G30294"/>
      <c r="H30294"/>
      <c r="I30294"/>
    </row>
    <row r="30295" spans="6:9" x14ac:dyDescent="0.3">
      <c r="F30295"/>
      <c r="G30295"/>
      <c r="H30295"/>
      <c r="I30295"/>
    </row>
    <row r="30296" spans="6:9" x14ac:dyDescent="0.3">
      <c r="F30296"/>
      <c r="G30296"/>
      <c r="H30296"/>
      <c r="I30296"/>
    </row>
    <row r="30297" spans="6:9" x14ac:dyDescent="0.3">
      <c r="F30297"/>
      <c r="G30297"/>
      <c r="H30297"/>
      <c r="I30297"/>
    </row>
    <row r="30298" spans="6:9" x14ac:dyDescent="0.3">
      <c r="F30298"/>
      <c r="G30298"/>
      <c r="H30298"/>
      <c r="I30298"/>
    </row>
    <row r="30299" spans="6:9" x14ac:dyDescent="0.3">
      <c r="F30299"/>
      <c r="G30299"/>
      <c r="H30299"/>
      <c r="I30299"/>
    </row>
    <row r="30300" spans="6:9" x14ac:dyDescent="0.3">
      <c r="F30300"/>
      <c r="G30300"/>
      <c r="H30300"/>
      <c r="I30300"/>
    </row>
    <row r="30301" spans="6:9" x14ac:dyDescent="0.3">
      <c r="F30301"/>
      <c r="G30301"/>
      <c r="H30301"/>
      <c r="I30301"/>
    </row>
    <row r="30302" spans="6:9" x14ac:dyDescent="0.3">
      <c r="F30302"/>
      <c r="G30302"/>
      <c r="H30302"/>
      <c r="I30302"/>
    </row>
    <row r="30303" spans="6:9" x14ac:dyDescent="0.3">
      <c r="F30303"/>
      <c r="G30303"/>
      <c r="H30303"/>
      <c r="I30303"/>
    </row>
    <row r="30304" spans="6:9" x14ac:dyDescent="0.3">
      <c r="F30304"/>
      <c r="G30304"/>
      <c r="H30304"/>
      <c r="I30304"/>
    </row>
    <row r="30305" spans="6:9" x14ac:dyDescent="0.3">
      <c r="F30305"/>
      <c r="G30305"/>
      <c r="H30305"/>
      <c r="I30305"/>
    </row>
    <row r="30306" spans="6:9" x14ac:dyDescent="0.3">
      <c r="F30306"/>
      <c r="G30306"/>
      <c r="H30306"/>
      <c r="I30306"/>
    </row>
    <row r="30307" spans="6:9" x14ac:dyDescent="0.3">
      <c r="F30307"/>
      <c r="G30307"/>
      <c r="H30307"/>
      <c r="I30307"/>
    </row>
    <row r="30308" spans="6:9" x14ac:dyDescent="0.3">
      <c r="F30308"/>
      <c r="G30308"/>
      <c r="H30308"/>
      <c r="I30308"/>
    </row>
    <row r="30309" spans="6:9" x14ac:dyDescent="0.3">
      <c r="F30309"/>
      <c r="G30309"/>
      <c r="H30309"/>
      <c r="I30309"/>
    </row>
    <row r="30310" spans="6:9" x14ac:dyDescent="0.3">
      <c r="F30310"/>
      <c r="G30310"/>
      <c r="H30310"/>
      <c r="I30310"/>
    </row>
    <row r="30311" spans="6:9" x14ac:dyDescent="0.3">
      <c r="F30311"/>
      <c r="G30311"/>
      <c r="H30311"/>
      <c r="I30311"/>
    </row>
    <row r="30312" spans="6:9" x14ac:dyDescent="0.3">
      <c r="F30312"/>
      <c r="G30312"/>
      <c r="H30312"/>
      <c r="I30312"/>
    </row>
    <row r="30313" spans="6:9" x14ac:dyDescent="0.3">
      <c r="F30313"/>
      <c r="G30313"/>
      <c r="H30313"/>
      <c r="I30313"/>
    </row>
    <row r="30314" spans="6:9" x14ac:dyDescent="0.3">
      <c r="F30314"/>
      <c r="G30314"/>
      <c r="H30314"/>
      <c r="I30314"/>
    </row>
    <row r="30315" spans="6:9" x14ac:dyDescent="0.3">
      <c r="F30315"/>
      <c r="G30315"/>
      <c r="H30315"/>
      <c r="I30315"/>
    </row>
    <row r="30316" spans="6:9" x14ac:dyDescent="0.3">
      <c r="F30316"/>
      <c r="G30316"/>
      <c r="H30316"/>
      <c r="I30316"/>
    </row>
    <row r="30317" spans="6:9" x14ac:dyDescent="0.3">
      <c r="F30317"/>
      <c r="G30317"/>
      <c r="H30317"/>
      <c r="I30317"/>
    </row>
    <row r="30318" spans="6:9" x14ac:dyDescent="0.3">
      <c r="F30318"/>
      <c r="G30318"/>
      <c r="H30318"/>
      <c r="I30318"/>
    </row>
    <row r="30319" spans="6:9" x14ac:dyDescent="0.3">
      <c r="F30319"/>
      <c r="G30319"/>
      <c r="H30319"/>
      <c r="I30319"/>
    </row>
    <row r="30320" spans="6:9" x14ac:dyDescent="0.3">
      <c r="F30320"/>
      <c r="G30320"/>
      <c r="H30320"/>
      <c r="I30320"/>
    </row>
    <row r="30321" spans="6:9" x14ac:dyDescent="0.3">
      <c r="F30321"/>
      <c r="G30321"/>
      <c r="H30321"/>
      <c r="I30321"/>
    </row>
    <row r="30322" spans="6:9" x14ac:dyDescent="0.3">
      <c r="F30322"/>
      <c r="G30322"/>
      <c r="H30322"/>
      <c r="I30322"/>
    </row>
    <row r="30323" spans="6:9" x14ac:dyDescent="0.3">
      <c r="F30323"/>
      <c r="G30323"/>
      <c r="H30323"/>
      <c r="I30323"/>
    </row>
    <row r="30324" spans="6:9" x14ac:dyDescent="0.3">
      <c r="F30324"/>
      <c r="G30324"/>
      <c r="H30324"/>
      <c r="I30324"/>
    </row>
    <row r="30325" spans="6:9" x14ac:dyDescent="0.3">
      <c r="F30325"/>
      <c r="G30325"/>
      <c r="H30325"/>
      <c r="I30325"/>
    </row>
    <row r="30326" spans="6:9" x14ac:dyDescent="0.3">
      <c r="F30326"/>
      <c r="G30326"/>
      <c r="H30326"/>
      <c r="I30326"/>
    </row>
    <row r="30327" spans="6:9" x14ac:dyDescent="0.3">
      <c r="F30327"/>
      <c r="G30327"/>
      <c r="H30327"/>
      <c r="I30327"/>
    </row>
    <row r="30328" spans="6:9" x14ac:dyDescent="0.3">
      <c r="F30328"/>
      <c r="G30328"/>
      <c r="H30328"/>
      <c r="I30328"/>
    </row>
    <row r="30329" spans="6:9" x14ac:dyDescent="0.3">
      <c r="F30329"/>
      <c r="G30329"/>
      <c r="H30329"/>
      <c r="I30329"/>
    </row>
    <row r="30330" spans="6:9" x14ac:dyDescent="0.3">
      <c r="F30330"/>
      <c r="G30330"/>
      <c r="H30330"/>
      <c r="I30330"/>
    </row>
    <row r="30331" spans="6:9" x14ac:dyDescent="0.3">
      <c r="F30331"/>
      <c r="G30331"/>
      <c r="H30331"/>
      <c r="I30331"/>
    </row>
    <row r="30332" spans="6:9" x14ac:dyDescent="0.3">
      <c r="F30332"/>
      <c r="G30332"/>
      <c r="H30332"/>
      <c r="I30332"/>
    </row>
    <row r="30333" spans="6:9" x14ac:dyDescent="0.3">
      <c r="F30333"/>
      <c r="G30333"/>
      <c r="H30333"/>
      <c r="I30333"/>
    </row>
    <row r="30334" spans="6:9" x14ac:dyDescent="0.3">
      <c r="F30334"/>
      <c r="G30334"/>
      <c r="H30334"/>
      <c r="I30334"/>
    </row>
    <row r="30335" spans="6:9" x14ac:dyDescent="0.3">
      <c r="F30335"/>
      <c r="G30335"/>
      <c r="H30335"/>
      <c r="I30335"/>
    </row>
    <row r="30336" spans="6:9" x14ac:dyDescent="0.3">
      <c r="F30336"/>
      <c r="G30336"/>
      <c r="H30336"/>
      <c r="I30336"/>
    </row>
    <row r="30337" spans="6:9" x14ac:dyDescent="0.3">
      <c r="F30337"/>
      <c r="G30337"/>
      <c r="H30337"/>
      <c r="I30337"/>
    </row>
    <row r="30338" spans="6:9" x14ac:dyDescent="0.3">
      <c r="F30338"/>
      <c r="G30338"/>
      <c r="H30338"/>
      <c r="I30338"/>
    </row>
    <row r="30339" spans="6:9" x14ac:dyDescent="0.3">
      <c r="F30339"/>
      <c r="G30339"/>
      <c r="H30339"/>
      <c r="I30339"/>
    </row>
    <row r="30340" spans="6:9" x14ac:dyDescent="0.3">
      <c r="F30340"/>
      <c r="G30340"/>
      <c r="H30340"/>
      <c r="I30340"/>
    </row>
    <row r="30341" spans="6:9" x14ac:dyDescent="0.3">
      <c r="F30341"/>
      <c r="G30341"/>
      <c r="H30341"/>
      <c r="I30341"/>
    </row>
    <row r="30342" spans="6:9" x14ac:dyDescent="0.3">
      <c r="F30342"/>
      <c r="G30342"/>
      <c r="H30342"/>
      <c r="I30342"/>
    </row>
    <row r="30343" spans="6:9" x14ac:dyDescent="0.3">
      <c r="F30343"/>
      <c r="G30343"/>
      <c r="H30343"/>
      <c r="I30343"/>
    </row>
    <row r="30344" spans="6:9" x14ac:dyDescent="0.3">
      <c r="F30344"/>
      <c r="G30344"/>
      <c r="H30344"/>
      <c r="I30344"/>
    </row>
    <row r="30345" spans="6:9" x14ac:dyDescent="0.3">
      <c r="F30345"/>
      <c r="G30345"/>
      <c r="H30345"/>
      <c r="I30345"/>
    </row>
    <row r="30346" spans="6:9" x14ac:dyDescent="0.3">
      <c r="F30346"/>
      <c r="G30346"/>
      <c r="H30346"/>
      <c r="I30346"/>
    </row>
    <row r="30347" spans="6:9" x14ac:dyDescent="0.3">
      <c r="F30347"/>
      <c r="G30347"/>
      <c r="H30347"/>
      <c r="I30347"/>
    </row>
    <row r="30348" spans="6:9" x14ac:dyDescent="0.3">
      <c r="F30348"/>
      <c r="G30348"/>
      <c r="H30348"/>
      <c r="I30348"/>
    </row>
    <row r="30349" spans="6:9" x14ac:dyDescent="0.3">
      <c r="F30349"/>
      <c r="G30349"/>
      <c r="H30349"/>
      <c r="I30349"/>
    </row>
    <row r="30350" spans="6:9" x14ac:dyDescent="0.3">
      <c r="F30350"/>
      <c r="G30350"/>
      <c r="H30350"/>
      <c r="I30350"/>
    </row>
    <row r="30351" spans="6:9" x14ac:dyDescent="0.3">
      <c r="F30351"/>
      <c r="G30351"/>
      <c r="H30351"/>
      <c r="I30351"/>
    </row>
    <row r="30352" spans="6:9" x14ac:dyDescent="0.3">
      <c r="F30352"/>
      <c r="G30352"/>
      <c r="H30352"/>
      <c r="I30352"/>
    </row>
    <row r="30353" spans="6:9" x14ac:dyDescent="0.3">
      <c r="F30353"/>
      <c r="G30353"/>
      <c r="H30353"/>
      <c r="I30353"/>
    </row>
    <row r="30354" spans="6:9" x14ac:dyDescent="0.3">
      <c r="F30354"/>
      <c r="G30354"/>
      <c r="H30354"/>
      <c r="I30354"/>
    </row>
    <row r="30355" spans="6:9" x14ac:dyDescent="0.3">
      <c r="F30355"/>
      <c r="G30355"/>
      <c r="H30355"/>
      <c r="I30355"/>
    </row>
    <row r="30356" spans="6:9" x14ac:dyDescent="0.3">
      <c r="F30356"/>
      <c r="G30356"/>
      <c r="H30356"/>
      <c r="I30356"/>
    </row>
    <row r="30357" spans="6:9" x14ac:dyDescent="0.3">
      <c r="F30357"/>
      <c r="G30357"/>
      <c r="H30357"/>
      <c r="I30357"/>
    </row>
    <row r="30358" spans="6:9" x14ac:dyDescent="0.3">
      <c r="F30358"/>
      <c r="G30358"/>
      <c r="H30358"/>
      <c r="I30358"/>
    </row>
    <row r="30359" spans="6:9" x14ac:dyDescent="0.3">
      <c r="F30359"/>
      <c r="G30359"/>
      <c r="H30359"/>
      <c r="I30359"/>
    </row>
    <row r="30360" spans="6:9" x14ac:dyDescent="0.3">
      <c r="F30360"/>
      <c r="G30360"/>
      <c r="H30360"/>
      <c r="I30360"/>
    </row>
    <row r="30361" spans="6:9" x14ac:dyDescent="0.3">
      <c r="F30361"/>
      <c r="G30361"/>
      <c r="H30361"/>
      <c r="I30361"/>
    </row>
    <row r="30362" spans="6:9" x14ac:dyDescent="0.3">
      <c r="F30362"/>
      <c r="G30362"/>
      <c r="H30362"/>
      <c r="I30362"/>
    </row>
    <row r="30363" spans="6:9" x14ac:dyDescent="0.3">
      <c r="F30363"/>
      <c r="G30363"/>
      <c r="H30363"/>
      <c r="I30363"/>
    </row>
    <row r="30364" spans="6:9" x14ac:dyDescent="0.3">
      <c r="F30364"/>
      <c r="G30364"/>
      <c r="H30364"/>
      <c r="I30364"/>
    </row>
    <row r="30365" spans="6:9" x14ac:dyDescent="0.3">
      <c r="F30365"/>
      <c r="G30365"/>
      <c r="H30365"/>
      <c r="I30365"/>
    </row>
    <row r="30366" spans="6:9" x14ac:dyDescent="0.3">
      <c r="F30366"/>
      <c r="G30366"/>
      <c r="H30366"/>
      <c r="I30366"/>
    </row>
    <row r="30367" spans="6:9" x14ac:dyDescent="0.3">
      <c r="F30367"/>
      <c r="G30367"/>
      <c r="H30367"/>
      <c r="I30367"/>
    </row>
    <row r="30368" spans="6:9" x14ac:dyDescent="0.3">
      <c r="F30368"/>
      <c r="G30368"/>
      <c r="H30368"/>
      <c r="I30368"/>
    </row>
    <row r="30369" spans="6:9" x14ac:dyDescent="0.3">
      <c r="F30369"/>
      <c r="G30369"/>
      <c r="H30369"/>
      <c r="I30369"/>
    </row>
    <row r="30370" spans="6:9" x14ac:dyDescent="0.3">
      <c r="F30370"/>
      <c r="G30370"/>
      <c r="H30370"/>
      <c r="I30370"/>
    </row>
    <row r="30371" spans="6:9" x14ac:dyDescent="0.3">
      <c r="F30371"/>
      <c r="G30371"/>
      <c r="H30371"/>
      <c r="I30371"/>
    </row>
    <row r="30372" spans="6:9" x14ac:dyDescent="0.3">
      <c r="F30372"/>
      <c r="G30372"/>
      <c r="H30372"/>
      <c r="I30372"/>
    </row>
    <row r="30373" spans="6:9" x14ac:dyDescent="0.3">
      <c r="F30373"/>
      <c r="G30373"/>
      <c r="H30373"/>
      <c r="I30373"/>
    </row>
    <row r="30374" spans="6:9" x14ac:dyDescent="0.3">
      <c r="F30374"/>
      <c r="G30374"/>
      <c r="H30374"/>
      <c r="I30374"/>
    </row>
    <row r="30375" spans="6:9" x14ac:dyDescent="0.3">
      <c r="F30375"/>
      <c r="G30375"/>
      <c r="H30375"/>
      <c r="I30375"/>
    </row>
    <row r="30376" spans="6:9" x14ac:dyDescent="0.3">
      <c r="F30376"/>
      <c r="G30376"/>
      <c r="H30376"/>
      <c r="I30376"/>
    </row>
    <row r="30377" spans="6:9" x14ac:dyDescent="0.3">
      <c r="F30377"/>
      <c r="G30377"/>
      <c r="H30377"/>
      <c r="I30377"/>
    </row>
    <row r="30378" spans="6:9" x14ac:dyDescent="0.3">
      <c r="F30378"/>
      <c r="G30378"/>
      <c r="H30378"/>
      <c r="I30378"/>
    </row>
    <row r="30379" spans="6:9" x14ac:dyDescent="0.3">
      <c r="F30379"/>
      <c r="G30379"/>
      <c r="H30379"/>
      <c r="I30379"/>
    </row>
    <row r="30380" spans="6:9" x14ac:dyDescent="0.3">
      <c r="F30380"/>
      <c r="G30380"/>
      <c r="H30380"/>
      <c r="I30380"/>
    </row>
    <row r="30381" spans="6:9" x14ac:dyDescent="0.3">
      <c r="F30381"/>
      <c r="G30381"/>
      <c r="H30381"/>
      <c r="I30381"/>
    </row>
    <row r="30382" spans="6:9" x14ac:dyDescent="0.3">
      <c r="F30382"/>
      <c r="G30382"/>
      <c r="H30382"/>
      <c r="I30382"/>
    </row>
    <row r="30383" spans="6:9" x14ac:dyDescent="0.3">
      <c r="F30383"/>
      <c r="G30383"/>
      <c r="H30383"/>
      <c r="I30383"/>
    </row>
    <row r="30384" spans="6:9" x14ac:dyDescent="0.3">
      <c r="F30384"/>
      <c r="G30384"/>
      <c r="H30384"/>
      <c r="I30384"/>
    </row>
    <row r="30385" spans="6:9" x14ac:dyDescent="0.3">
      <c r="F30385"/>
      <c r="G30385"/>
      <c r="H30385"/>
      <c r="I30385"/>
    </row>
    <row r="30386" spans="6:9" x14ac:dyDescent="0.3">
      <c r="F30386"/>
      <c r="G30386"/>
      <c r="H30386"/>
      <c r="I30386"/>
    </row>
    <row r="30387" spans="6:9" x14ac:dyDescent="0.3">
      <c r="F30387"/>
      <c r="G30387"/>
      <c r="H30387"/>
      <c r="I30387"/>
    </row>
    <row r="30388" spans="6:9" x14ac:dyDescent="0.3">
      <c r="F30388"/>
      <c r="G30388"/>
      <c r="H30388"/>
      <c r="I30388"/>
    </row>
    <row r="30389" spans="6:9" x14ac:dyDescent="0.3">
      <c r="F30389"/>
      <c r="G30389"/>
      <c r="H30389"/>
      <c r="I30389"/>
    </row>
    <row r="30390" spans="6:9" x14ac:dyDescent="0.3">
      <c r="F30390"/>
      <c r="G30390"/>
      <c r="H30390"/>
      <c r="I30390"/>
    </row>
    <row r="30391" spans="6:9" x14ac:dyDescent="0.3">
      <c r="F30391"/>
      <c r="G30391"/>
      <c r="H30391"/>
      <c r="I30391"/>
    </row>
    <row r="30392" spans="6:9" x14ac:dyDescent="0.3">
      <c r="F30392"/>
      <c r="G30392"/>
      <c r="H30392"/>
      <c r="I30392"/>
    </row>
    <row r="30393" spans="6:9" x14ac:dyDescent="0.3">
      <c r="F30393"/>
      <c r="G30393"/>
      <c r="H30393"/>
      <c r="I30393"/>
    </row>
    <row r="30394" spans="6:9" x14ac:dyDescent="0.3">
      <c r="F30394"/>
      <c r="G30394"/>
      <c r="H30394"/>
      <c r="I30394"/>
    </row>
    <row r="30395" spans="6:9" x14ac:dyDescent="0.3">
      <c r="F30395"/>
      <c r="G30395"/>
      <c r="H30395"/>
      <c r="I30395"/>
    </row>
    <row r="30396" spans="6:9" x14ac:dyDescent="0.3">
      <c r="F30396"/>
      <c r="G30396"/>
      <c r="H30396"/>
      <c r="I30396"/>
    </row>
    <row r="30397" spans="6:9" x14ac:dyDescent="0.3">
      <c r="F30397"/>
      <c r="G30397"/>
      <c r="H30397"/>
      <c r="I30397"/>
    </row>
    <row r="30398" spans="6:9" x14ac:dyDescent="0.3">
      <c r="F30398"/>
      <c r="G30398"/>
      <c r="H30398"/>
      <c r="I30398"/>
    </row>
    <row r="30399" spans="6:9" x14ac:dyDescent="0.3">
      <c r="F30399"/>
      <c r="G30399"/>
      <c r="H30399"/>
      <c r="I30399"/>
    </row>
    <row r="30400" spans="6:9" x14ac:dyDescent="0.3">
      <c r="F30400"/>
      <c r="G30400"/>
      <c r="H30400"/>
      <c r="I30400"/>
    </row>
    <row r="30401" spans="6:9" x14ac:dyDescent="0.3">
      <c r="F30401"/>
      <c r="G30401"/>
      <c r="H30401"/>
      <c r="I30401"/>
    </row>
    <row r="30402" spans="6:9" x14ac:dyDescent="0.3">
      <c r="F30402"/>
      <c r="G30402"/>
      <c r="H30402"/>
      <c r="I30402"/>
    </row>
    <row r="30403" spans="6:9" x14ac:dyDescent="0.3">
      <c r="F30403"/>
      <c r="G30403"/>
      <c r="H30403"/>
      <c r="I30403"/>
    </row>
    <row r="30404" spans="6:9" x14ac:dyDescent="0.3">
      <c r="F30404"/>
      <c r="G30404"/>
      <c r="H30404"/>
      <c r="I30404"/>
    </row>
    <row r="30405" spans="6:9" x14ac:dyDescent="0.3">
      <c r="F30405"/>
      <c r="G30405"/>
      <c r="H30405"/>
      <c r="I30405"/>
    </row>
    <row r="30406" spans="6:9" x14ac:dyDescent="0.3">
      <c r="F30406"/>
      <c r="G30406"/>
      <c r="H30406"/>
      <c r="I30406"/>
    </row>
    <row r="30407" spans="6:9" x14ac:dyDescent="0.3">
      <c r="F30407"/>
      <c r="G30407"/>
      <c r="H30407"/>
      <c r="I30407"/>
    </row>
    <row r="30408" spans="6:9" x14ac:dyDescent="0.3">
      <c r="F30408"/>
      <c r="G30408"/>
      <c r="H30408"/>
      <c r="I30408"/>
    </row>
    <row r="30409" spans="6:9" x14ac:dyDescent="0.3">
      <c r="F30409"/>
      <c r="G30409"/>
      <c r="H30409"/>
      <c r="I30409"/>
    </row>
    <row r="30410" spans="6:9" x14ac:dyDescent="0.3">
      <c r="F30410"/>
      <c r="G30410"/>
      <c r="H30410"/>
      <c r="I30410"/>
    </row>
    <row r="30411" spans="6:9" x14ac:dyDescent="0.3">
      <c r="F30411"/>
      <c r="G30411"/>
      <c r="H30411"/>
      <c r="I30411"/>
    </row>
    <row r="30412" spans="6:9" x14ac:dyDescent="0.3">
      <c r="F30412"/>
      <c r="G30412"/>
      <c r="H30412"/>
      <c r="I30412"/>
    </row>
    <row r="30413" spans="6:9" x14ac:dyDescent="0.3">
      <c r="F30413"/>
      <c r="G30413"/>
      <c r="H30413"/>
      <c r="I30413"/>
    </row>
    <row r="30414" spans="6:9" x14ac:dyDescent="0.3">
      <c r="F30414"/>
      <c r="G30414"/>
      <c r="H30414"/>
      <c r="I30414"/>
    </row>
    <row r="30415" spans="6:9" x14ac:dyDescent="0.3">
      <c r="F30415"/>
      <c r="G30415"/>
      <c r="H30415"/>
      <c r="I30415"/>
    </row>
    <row r="30416" spans="6:9" x14ac:dyDescent="0.3">
      <c r="F30416"/>
      <c r="G30416"/>
      <c r="H30416"/>
      <c r="I30416"/>
    </row>
    <row r="30417" spans="6:9" x14ac:dyDescent="0.3">
      <c r="F30417"/>
      <c r="G30417"/>
      <c r="H30417"/>
      <c r="I30417"/>
    </row>
    <row r="30418" spans="6:9" x14ac:dyDescent="0.3">
      <c r="F30418"/>
      <c r="G30418"/>
      <c r="H30418"/>
      <c r="I30418"/>
    </row>
    <row r="30419" spans="6:9" x14ac:dyDescent="0.3">
      <c r="F30419"/>
      <c r="G30419"/>
      <c r="H30419"/>
      <c r="I30419"/>
    </row>
    <row r="30420" spans="6:9" x14ac:dyDescent="0.3">
      <c r="F30420"/>
      <c r="G30420"/>
      <c r="H30420"/>
      <c r="I30420"/>
    </row>
    <row r="30421" spans="6:9" x14ac:dyDescent="0.3">
      <c r="F30421"/>
      <c r="G30421"/>
      <c r="H30421"/>
      <c r="I30421"/>
    </row>
    <row r="30422" spans="6:9" x14ac:dyDescent="0.3">
      <c r="F30422"/>
      <c r="G30422"/>
      <c r="H30422"/>
      <c r="I30422"/>
    </row>
    <row r="30423" spans="6:9" x14ac:dyDescent="0.3">
      <c r="F30423"/>
      <c r="G30423"/>
      <c r="H30423"/>
      <c r="I30423"/>
    </row>
    <row r="30424" spans="6:9" x14ac:dyDescent="0.3">
      <c r="F30424"/>
      <c r="G30424"/>
      <c r="H30424"/>
      <c r="I30424"/>
    </row>
    <row r="30425" spans="6:9" x14ac:dyDescent="0.3">
      <c r="F30425"/>
      <c r="G30425"/>
      <c r="H30425"/>
      <c r="I30425"/>
    </row>
    <row r="30426" spans="6:9" x14ac:dyDescent="0.3">
      <c r="F30426"/>
      <c r="G30426"/>
      <c r="H30426"/>
      <c r="I30426"/>
    </row>
    <row r="30427" spans="6:9" x14ac:dyDescent="0.3">
      <c r="F30427"/>
      <c r="G30427"/>
      <c r="H30427"/>
      <c r="I30427"/>
    </row>
    <row r="30428" spans="6:9" x14ac:dyDescent="0.3">
      <c r="F30428"/>
      <c r="G30428"/>
      <c r="H30428"/>
      <c r="I30428"/>
    </row>
    <row r="30429" spans="6:9" x14ac:dyDescent="0.3">
      <c r="F30429"/>
      <c r="G30429"/>
      <c r="H30429"/>
      <c r="I30429"/>
    </row>
    <row r="30430" spans="6:9" x14ac:dyDescent="0.3">
      <c r="F30430"/>
      <c r="G30430"/>
      <c r="H30430"/>
      <c r="I30430"/>
    </row>
    <row r="30431" spans="6:9" x14ac:dyDescent="0.3">
      <c r="F30431"/>
      <c r="G30431"/>
      <c r="H30431"/>
      <c r="I30431"/>
    </row>
    <row r="30432" spans="6:9" x14ac:dyDescent="0.3">
      <c r="F30432"/>
      <c r="G30432"/>
      <c r="H30432"/>
      <c r="I30432"/>
    </row>
    <row r="30433" spans="6:9" x14ac:dyDescent="0.3">
      <c r="F30433"/>
      <c r="G30433"/>
      <c r="H30433"/>
      <c r="I30433"/>
    </row>
    <row r="30434" spans="6:9" x14ac:dyDescent="0.3">
      <c r="F30434"/>
      <c r="G30434"/>
      <c r="H30434"/>
      <c r="I30434"/>
    </row>
    <row r="30435" spans="6:9" x14ac:dyDescent="0.3">
      <c r="F30435"/>
      <c r="G30435"/>
      <c r="H30435"/>
      <c r="I30435"/>
    </row>
    <row r="30436" spans="6:9" x14ac:dyDescent="0.3">
      <c r="F30436"/>
      <c r="G30436"/>
      <c r="H30436"/>
      <c r="I30436"/>
    </row>
    <row r="30437" spans="6:9" x14ac:dyDescent="0.3">
      <c r="F30437"/>
      <c r="G30437"/>
      <c r="H30437"/>
      <c r="I30437"/>
    </row>
    <row r="30438" spans="6:9" x14ac:dyDescent="0.3">
      <c r="F30438"/>
      <c r="G30438"/>
      <c r="H30438"/>
      <c r="I30438"/>
    </row>
    <row r="30439" spans="6:9" x14ac:dyDescent="0.3">
      <c r="F30439"/>
      <c r="G30439"/>
      <c r="H30439"/>
      <c r="I30439"/>
    </row>
    <row r="30440" spans="6:9" x14ac:dyDescent="0.3">
      <c r="F30440"/>
      <c r="G30440"/>
      <c r="H30440"/>
      <c r="I30440"/>
    </row>
    <row r="30441" spans="6:9" x14ac:dyDescent="0.3">
      <c r="F30441"/>
      <c r="G30441"/>
      <c r="H30441"/>
      <c r="I30441"/>
    </row>
    <row r="30442" spans="6:9" x14ac:dyDescent="0.3">
      <c r="F30442"/>
      <c r="G30442"/>
      <c r="H30442"/>
      <c r="I30442"/>
    </row>
    <row r="30443" spans="6:9" x14ac:dyDescent="0.3">
      <c r="F30443"/>
      <c r="G30443"/>
      <c r="H30443"/>
      <c r="I30443"/>
    </row>
    <row r="30444" spans="6:9" x14ac:dyDescent="0.3">
      <c r="F30444"/>
      <c r="G30444"/>
      <c r="H30444"/>
      <c r="I30444"/>
    </row>
    <row r="30445" spans="6:9" x14ac:dyDescent="0.3">
      <c r="F30445"/>
      <c r="G30445"/>
      <c r="H30445"/>
      <c r="I30445"/>
    </row>
    <row r="30446" spans="6:9" x14ac:dyDescent="0.3">
      <c r="F30446"/>
      <c r="G30446"/>
      <c r="H30446"/>
      <c r="I30446"/>
    </row>
    <row r="30447" spans="6:9" x14ac:dyDescent="0.3">
      <c r="F30447"/>
      <c r="G30447"/>
      <c r="H30447"/>
      <c r="I30447"/>
    </row>
    <row r="30448" spans="6:9" x14ac:dyDescent="0.3">
      <c r="F30448"/>
      <c r="G30448"/>
      <c r="H30448"/>
      <c r="I30448"/>
    </row>
    <row r="30449" spans="6:9" x14ac:dyDescent="0.3">
      <c r="F30449"/>
      <c r="G30449"/>
      <c r="H30449"/>
      <c r="I30449"/>
    </row>
    <row r="30450" spans="6:9" x14ac:dyDescent="0.3">
      <c r="F30450"/>
      <c r="G30450"/>
      <c r="H30450"/>
      <c r="I30450"/>
    </row>
    <row r="30451" spans="6:9" x14ac:dyDescent="0.3">
      <c r="F30451"/>
      <c r="G30451"/>
      <c r="H30451"/>
      <c r="I30451"/>
    </row>
    <row r="30452" spans="6:9" x14ac:dyDescent="0.3">
      <c r="F30452"/>
      <c r="G30452"/>
      <c r="H30452"/>
      <c r="I30452"/>
    </row>
    <row r="30453" spans="6:9" x14ac:dyDescent="0.3">
      <c r="F30453"/>
      <c r="G30453"/>
      <c r="H30453"/>
      <c r="I30453"/>
    </row>
    <row r="30454" spans="6:9" x14ac:dyDescent="0.3">
      <c r="F30454"/>
      <c r="G30454"/>
      <c r="H30454"/>
      <c r="I30454"/>
    </row>
    <row r="30455" spans="6:9" x14ac:dyDescent="0.3">
      <c r="F30455"/>
      <c r="G30455"/>
      <c r="H30455"/>
      <c r="I30455"/>
    </row>
    <row r="30456" spans="6:9" x14ac:dyDescent="0.3">
      <c r="F30456"/>
      <c r="G30456"/>
      <c r="H30456"/>
      <c r="I30456"/>
    </row>
    <row r="30457" spans="6:9" x14ac:dyDescent="0.3">
      <c r="F30457"/>
      <c r="G30457"/>
      <c r="H30457"/>
      <c r="I30457"/>
    </row>
    <row r="30458" spans="6:9" x14ac:dyDescent="0.3">
      <c r="F30458"/>
      <c r="G30458"/>
      <c r="H30458"/>
      <c r="I30458"/>
    </row>
    <row r="30459" spans="6:9" x14ac:dyDescent="0.3">
      <c r="F30459"/>
      <c r="G30459"/>
      <c r="H30459"/>
      <c r="I30459"/>
    </row>
    <row r="30460" spans="6:9" x14ac:dyDescent="0.3">
      <c r="F30460"/>
      <c r="G30460"/>
      <c r="H30460"/>
      <c r="I30460"/>
    </row>
    <row r="30461" spans="6:9" x14ac:dyDescent="0.3">
      <c r="F30461"/>
      <c r="G30461"/>
      <c r="H30461"/>
      <c r="I30461"/>
    </row>
    <row r="30462" spans="6:9" x14ac:dyDescent="0.3">
      <c r="F30462"/>
      <c r="G30462"/>
      <c r="H30462"/>
      <c r="I30462"/>
    </row>
    <row r="30463" spans="6:9" x14ac:dyDescent="0.3">
      <c r="F30463"/>
      <c r="G30463"/>
      <c r="H30463"/>
      <c r="I30463"/>
    </row>
    <row r="30464" spans="6:9" x14ac:dyDescent="0.3">
      <c r="F30464"/>
      <c r="G30464"/>
      <c r="H30464"/>
      <c r="I30464"/>
    </row>
    <row r="30465" spans="6:9" x14ac:dyDescent="0.3">
      <c r="F30465"/>
      <c r="G30465"/>
      <c r="H30465"/>
      <c r="I30465"/>
    </row>
    <row r="30466" spans="6:9" x14ac:dyDescent="0.3">
      <c r="F30466"/>
      <c r="G30466"/>
      <c r="H30466"/>
      <c r="I30466"/>
    </row>
    <row r="30467" spans="6:9" x14ac:dyDescent="0.3">
      <c r="F30467"/>
      <c r="G30467"/>
      <c r="H30467"/>
      <c r="I30467"/>
    </row>
    <row r="30468" spans="6:9" x14ac:dyDescent="0.3">
      <c r="F30468"/>
      <c r="G30468"/>
      <c r="H30468"/>
      <c r="I30468"/>
    </row>
    <row r="30469" spans="6:9" x14ac:dyDescent="0.3">
      <c r="F30469"/>
      <c r="G30469"/>
      <c r="H30469"/>
      <c r="I30469"/>
    </row>
    <row r="30470" spans="6:9" x14ac:dyDescent="0.3">
      <c r="F30470"/>
      <c r="G30470"/>
      <c r="H30470"/>
      <c r="I30470"/>
    </row>
    <row r="30471" spans="6:9" x14ac:dyDescent="0.3">
      <c r="F30471"/>
      <c r="G30471"/>
      <c r="H30471"/>
      <c r="I30471"/>
    </row>
    <row r="30472" spans="6:9" x14ac:dyDescent="0.3">
      <c r="F30472"/>
      <c r="G30472"/>
      <c r="H30472"/>
      <c r="I30472"/>
    </row>
    <row r="30473" spans="6:9" x14ac:dyDescent="0.3">
      <c r="F30473"/>
      <c r="G30473"/>
      <c r="H30473"/>
      <c r="I30473"/>
    </row>
    <row r="30474" spans="6:9" x14ac:dyDescent="0.3">
      <c r="F30474"/>
      <c r="G30474"/>
      <c r="H30474"/>
      <c r="I30474"/>
    </row>
    <row r="30475" spans="6:9" x14ac:dyDescent="0.3">
      <c r="F30475"/>
      <c r="G30475"/>
      <c r="H30475"/>
      <c r="I30475"/>
    </row>
    <row r="30476" spans="6:9" x14ac:dyDescent="0.3">
      <c r="F30476"/>
      <c r="G30476"/>
      <c r="H30476"/>
      <c r="I30476"/>
    </row>
    <row r="30477" spans="6:9" x14ac:dyDescent="0.3">
      <c r="F30477"/>
      <c r="G30477"/>
      <c r="H30477"/>
      <c r="I30477"/>
    </row>
    <row r="30478" spans="6:9" x14ac:dyDescent="0.3">
      <c r="F30478"/>
      <c r="G30478"/>
      <c r="H30478"/>
      <c r="I30478"/>
    </row>
    <row r="30479" spans="6:9" x14ac:dyDescent="0.3">
      <c r="F30479"/>
      <c r="G30479"/>
      <c r="H30479"/>
      <c r="I30479"/>
    </row>
    <row r="30480" spans="6:9" x14ac:dyDescent="0.3">
      <c r="F30480"/>
      <c r="G30480"/>
      <c r="H30480"/>
      <c r="I30480"/>
    </row>
    <row r="30481" spans="6:9" x14ac:dyDescent="0.3">
      <c r="F30481"/>
      <c r="G30481"/>
      <c r="H30481"/>
      <c r="I30481"/>
    </row>
    <row r="30482" spans="6:9" x14ac:dyDescent="0.3">
      <c r="F30482"/>
      <c r="G30482"/>
      <c r="H30482"/>
      <c r="I30482"/>
    </row>
    <row r="30483" spans="6:9" x14ac:dyDescent="0.3">
      <c r="F30483"/>
      <c r="G30483"/>
      <c r="H30483"/>
      <c r="I30483"/>
    </row>
    <row r="30484" spans="6:9" x14ac:dyDescent="0.3">
      <c r="F30484"/>
      <c r="G30484"/>
      <c r="H30484"/>
      <c r="I30484"/>
    </row>
    <row r="30485" spans="6:9" x14ac:dyDescent="0.3">
      <c r="F30485"/>
      <c r="G30485"/>
      <c r="H30485"/>
      <c r="I30485"/>
    </row>
    <row r="30486" spans="6:9" x14ac:dyDescent="0.3">
      <c r="F30486"/>
      <c r="G30486"/>
      <c r="H30486"/>
      <c r="I30486"/>
    </row>
    <row r="30487" spans="6:9" x14ac:dyDescent="0.3">
      <c r="F30487"/>
      <c r="G30487"/>
      <c r="H30487"/>
      <c r="I30487"/>
    </row>
    <row r="30488" spans="6:9" x14ac:dyDescent="0.3">
      <c r="F30488"/>
      <c r="G30488"/>
      <c r="H30488"/>
      <c r="I30488"/>
    </row>
    <row r="30489" spans="6:9" x14ac:dyDescent="0.3">
      <c r="F30489"/>
      <c r="G30489"/>
      <c r="H30489"/>
      <c r="I30489"/>
    </row>
    <row r="30490" spans="6:9" x14ac:dyDescent="0.3">
      <c r="F30490"/>
      <c r="G30490"/>
      <c r="H30490"/>
      <c r="I30490"/>
    </row>
    <row r="30491" spans="6:9" x14ac:dyDescent="0.3">
      <c r="F30491"/>
      <c r="G30491"/>
      <c r="H30491"/>
      <c r="I30491"/>
    </row>
    <row r="30492" spans="6:9" x14ac:dyDescent="0.3">
      <c r="F30492"/>
      <c r="G30492"/>
      <c r="H30492"/>
      <c r="I30492"/>
    </row>
    <row r="30493" spans="6:9" x14ac:dyDescent="0.3">
      <c r="F30493"/>
      <c r="G30493"/>
      <c r="H30493"/>
      <c r="I30493"/>
    </row>
    <row r="30494" spans="6:9" x14ac:dyDescent="0.3">
      <c r="F30494"/>
      <c r="G30494"/>
      <c r="H30494"/>
      <c r="I30494"/>
    </row>
    <row r="30495" spans="6:9" x14ac:dyDescent="0.3">
      <c r="F30495"/>
      <c r="G30495"/>
      <c r="H30495"/>
      <c r="I30495"/>
    </row>
    <row r="30496" spans="6:9" x14ac:dyDescent="0.3">
      <c r="F30496"/>
      <c r="G30496"/>
      <c r="H30496"/>
      <c r="I30496"/>
    </row>
    <row r="30497" spans="6:9" x14ac:dyDescent="0.3">
      <c r="F30497"/>
      <c r="G30497"/>
      <c r="H30497"/>
      <c r="I30497"/>
    </row>
    <row r="30498" spans="6:9" x14ac:dyDescent="0.3">
      <c r="F30498"/>
      <c r="G30498"/>
      <c r="H30498"/>
      <c r="I30498"/>
    </row>
    <row r="30499" spans="6:9" x14ac:dyDescent="0.3">
      <c r="F30499"/>
      <c r="G30499"/>
      <c r="H30499"/>
      <c r="I30499"/>
    </row>
    <row r="30500" spans="6:9" x14ac:dyDescent="0.3">
      <c r="F30500"/>
      <c r="G30500"/>
      <c r="H30500"/>
      <c r="I30500"/>
    </row>
    <row r="30501" spans="6:9" x14ac:dyDescent="0.3">
      <c r="F30501"/>
      <c r="G30501"/>
      <c r="H30501"/>
      <c r="I30501"/>
    </row>
    <row r="30502" spans="6:9" x14ac:dyDescent="0.3">
      <c r="F30502"/>
      <c r="G30502"/>
      <c r="H30502"/>
      <c r="I30502"/>
    </row>
    <row r="30503" spans="6:9" x14ac:dyDescent="0.3">
      <c r="F30503"/>
      <c r="G30503"/>
      <c r="H30503"/>
      <c r="I30503"/>
    </row>
    <row r="30504" spans="6:9" x14ac:dyDescent="0.3">
      <c r="F30504"/>
      <c r="G30504"/>
      <c r="H30504"/>
      <c r="I30504"/>
    </row>
    <row r="30505" spans="6:9" x14ac:dyDescent="0.3">
      <c r="F30505"/>
      <c r="G30505"/>
      <c r="H30505"/>
      <c r="I30505"/>
    </row>
    <row r="30506" spans="6:9" x14ac:dyDescent="0.3">
      <c r="F30506"/>
      <c r="G30506"/>
      <c r="H30506"/>
      <c r="I30506"/>
    </row>
    <row r="30507" spans="6:9" x14ac:dyDescent="0.3">
      <c r="F30507"/>
      <c r="G30507"/>
      <c r="H30507"/>
      <c r="I30507"/>
    </row>
    <row r="30508" spans="6:9" x14ac:dyDescent="0.3">
      <c r="F30508"/>
      <c r="G30508"/>
      <c r="H30508"/>
      <c r="I30508"/>
    </row>
    <row r="30509" spans="6:9" x14ac:dyDescent="0.3">
      <c r="F30509"/>
      <c r="G30509"/>
      <c r="H30509"/>
      <c r="I30509"/>
    </row>
    <row r="30510" spans="6:9" x14ac:dyDescent="0.3">
      <c r="F30510"/>
      <c r="G30510"/>
      <c r="H30510"/>
      <c r="I30510"/>
    </row>
    <row r="30511" spans="6:9" x14ac:dyDescent="0.3">
      <c r="F30511"/>
      <c r="G30511"/>
      <c r="H30511"/>
      <c r="I30511"/>
    </row>
    <row r="30512" spans="6:9" x14ac:dyDescent="0.3">
      <c r="F30512"/>
      <c r="G30512"/>
      <c r="H30512"/>
      <c r="I30512"/>
    </row>
    <row r="30513" spans="6:9" x14ac:dyDescent="0.3">
      <c r="F30513"/>
      <c r="G30513"/>
      <c r="H30513"/>
      <c r="I30513"/>
    </row>
    <row r="30514" spans="6:9" x14ac:dyDescent="0.3">
      <c r="F30514"/>
      <c r="G30514"/>
      <c r="H30514"/>
      <c r="I30514"/>
    </row>
    <row r="30515" spans="6:9" x14ac:dyDescent="0.3">
      <c r="F30515"/>
      <c r="G30515"/>
      <c r="H30515"/>
      <c r="I30515"/>
    </row>
    <row r="30516" spans="6:9" x14ac:dyDescent="0.3">
      <c r="F30516"/>
      <c r="G30516"/>
      <c r="H30516"/>
      <c r="I30516"/>
    </row>
    <row r="30517" spans="6:9" x14ac:dyDescent="0.3">
      <c r="F30517"/>
      <c r="G30517"/>
      <c r="H30517"/>
      <c r="I30517"/>
    </row>
    <row r="30518" spans="6:9" x14ac:dyDescent="0.3">
      <c r="F30518"/>
      <c r="G30518"/>
      <c r="H30518"/>
      <c r="I30518"/>
    </row>
    <row r="30519" spans="6:9" x14ac:dyDescent="0.3">
      <c r="F30519"/>
      <c r="G30519"/>
      <c r="H30519"/>
      <c r="I30519"/>
    </row>
    <row r="30520" spans="6:9" x14ac:dyDescent="0.3">
      <c r="F30520"/>
      <c r="G30520"/>
      <c r="H30520"/>
      <c r="I30520"/>
    </row>
    <row r="30521" spans="6:9" x14ac:dyDescent="0.3">
      <c r="F30521"/>
      <c r="G30521"/>
      <c r="H30521"/>
      <c r="I30521"/>
    </row>
    <row r="30522" spans="6:9" x14ac:dyDescent="0.3">
      <c r="F30522"/>
      <c r="G30522"/>
      <c r="H30522"/>
      <c r="I30522"/>
    </row>
    <row r="30523" spans="6:9" x14ac:dyDescent="0.3">
      <c r="F30523"/>
      <c r="G30523"/>
      <c r="H30523"/>
      <c r="I30523"/>
    </row>
    <row r="30524" spans="6:9" x14ac:dyDescent="0.3">
      <c r="F30524"/>
      <c r="G30524"/>
      <c r="H30524"/>
      <c r="I30524"/>
    </row>
    <row r="30525" spans="6:9" x14ac:dyDescent="0.3">
      <c r="F30525"/>
      <c r="G30525"/>
      <c r="H30525"/>
      <c r="I30525"/>
    </row>
    <row r="30526" spans="6:9" x14ac:dyDescent="0.3">
      <c r="F30526"/>
      <c r="G30526"/>
      <c r="H30526"/>
      <c r="I30526"/>
    </row>
    <row r="30527" spans="6:9" x14ac:dyDescent="0.3">
      <c r="F30527"/>
      <c r="G30527"/>
      <c r="H30527"/>
      <c r="I30527"/>
    </row>
    <row r="30528" spans="6:9" x14ac:dyDescent="0.3">
      <c r="F30528"/>
      <c r="G30528"/>
      <c r="H30528"/>
      <c r="I30528"/>
    </row>
    <row r="30529" spans="6:9" x14ac:dyDescent="0.3">
      <c r="F30529"/>
      <c r="G30529"/>
      <c r="H30529"/>
      <c r="I30529"/>
    </row>
    <row r="30530" spans="6:9" x14ac:dyDescent="0.3">
      <c r="F30530"/>
      <c r="G30530"/>
      <c r="H30530"/>
      <c r="I30530"/>
    </row>
    <row r="30531" spans="6:9" x14ac:dyDescent="0.3">
      <c r="F30531"/>
      <c r="G30531"/>
      <c r="H30531"/>
      <c r="I30531"/>
    </row>
    <row r="30532" spans="6:9" x14ac:dyDescent="0.3">
      <c r="F30532"/>
      <c r="G30532"/>
      <c r="H30532"/>
      <c r="I30532"/>
    </row>
    <row r="30533" spans="6:9" x14ac:dyDescent="0.3">
      <c r="F30533"/>
      <c r="G30533"/>
      <c r="H30533"/>
      <c r="I30533"/>
    </row>
    <row r="30534" spans="6:9" x14ac:dyDescent="0.3">
      <c r="F30534"/>
      <c r="G30534"/>
      <c r="H30534"/>
      <c r="I30534"/>
    </row>
    <row r="30535" spans="6:9" x14ac:dyDescent="0.3">
      <c r="F30535"/>
      <c r="G30535"/>
      <c r="H30535"/>
      <c r="I30535"/>
    </row>
    <row r="30536" spans="6:9" x14ac:dyDescent="0.3">
      <c r="F30536"/>
      <c r="G30536"/>
      <c r="H30536"/>
      <c r="I30536"/>
    </row>
    <row r="30537" spans="6:9" x14ac:dyDescent="0.3">
      <c r="F30537"/>
      <c r="G30537"/>
      <c r="H30537"/>
      <c r="I30537"/>
    </row>
    <row r="30538" spans="6:9" x14ac:dyDescent="0.3">
      <c r="F30538"/>
      <c r="G30538"/>
      <c r="H30538"/>
      <c r="I30538"/>
    </row>
    <row r="30539" spans="6:9" x14ac:dyDescent="0.3">
      <c r="F30539"/>
      <c r="G30539"/>
      <c r="H30539"/>
      <c r="I30539"/>
    </row>
    <row r="30540" spans="6:9" x14ac:dyDescent="0.3">
      <c r="F30540"/>
      <c r="G30540"/>
      <c r="H30540"/>
      <c r="I30540"/>
    </row>
    <row r="30541" spans="6:9" x14ac:dyDescent="0.3">
      <c r="F30541"/>
      <c r="G30541"/>
      <c r="H30541"/>
      <c r="I30541"/>
    </row>
    <row r="30542" spans="6:9" x14ac:dyDescent="0.3">
      <c r="F30542"/>
      <c r="G30542"/>
      <c r="H30542"/>
      <c r="I30542"/>
    </row>
    <row r="30543" spans="6:9" x14ac:dyDescent="0.3">
      <c r="F30543"/>
      <c r="G30543"/>
      <c r="H30543"/>
      <c r="I30543"/>
    </row>
    <row r="30544" spans="6:9" x14ac:dyDescent="0.3">
      <c r="F30544"/>
      <c r="G30544"/>
      <c r="H30544"/>
      <c r="I30544"/>
    </row>
    <row r="30545" spans="6:9" x14ac:dyDescent="0.3">
      <c r="F30545"/>
      <c r="G30545"/>
      <c r="H30545"/>
      <c r="I30545"/>
    </row>
    <row r="30546" spans="6:9" x14ac:dyDescent="0.3">
      <c r="F30546"/>
      <c r="G30546"/>
      <c r="H30546"/>
      <c r="I30546"/>
    </row>
    <row r="30547" spans="6:9" x14ac:dyDescent="0.3">
      <c r="F30547"/>
      <c r="G30547"/>
      <c r="H30547"/>
      <c r="I30547"/>
    </row>
    <row r="30548" spans="6:9" x14ac:dyDescent="0.3">
      <c r="F30548"/>
      <c r="G30548"/>
      <c r="H30548"/>
      <c r="I30548"/>
    </row>
    <row r="30549" spans="6:9" x14ac:dyDescent="0.3">
      <c r="F30549"/>
      <c r="G30549"/>
      <c r="H30549"/>
      <c r="I30549"/>
    </row>
    <row r="30550" spans="6:9" x14ac:dyDescent="0.3">
      <c r="F30550"/>
      <c r="G30550"/>
      <c r="H30550"/>
      <c r="I30550"/>
    </row>
    <row r="30551" spans="6:9" x14ac:dyDescent="0.3">
      <c r="F30551"/>
      <c r="G30551"/>
      <c r="H30551"/>
      <c r="I30551"/>
    </row>
    <row r="30552" spans="6:9" x14ac:dyDescent="0.3">
      <c r="F30552"/>
      <c r="G30552"/>
      <c r="H30552"/>
      <c r="I30552"/>
    </row>
    <row r="30553" spans="6:9" x14ac:dyDescent="0.3">
      <c r="F30553"/>
      <c r="G30553"/>
      <c r="H30553"/>
      <c r="I30553"/>
    </row>
    <row r="30554" spans="6:9" x14ac:dyDescent="0.3">
      <c r="F30554"/>
      <c r="G30554"/>
      <c r="H30554"/>
      <c r="I30554"/>
    </row>
    <row r="30555" spans="6:9" x14ac:dyDescent="0.3">
      <c r="F30555"/>
      <c r="G30555"/>
      <c r="H30555"/>
      <c r="I30555"/>
    </row>
    <row r="30556" spans="6:9" x14ac:dyDescent="0.3">
      <c r="F30556"/>
      <c r="G30556"/>
      <c r="H30556"/>
      <c r="I30556"/>
    </row>
    <row r="30557" spans="6:9" x14ac:dyDescent="0.3">
      <c r="F30557"/>
      <c r="G30557"/>
      <c r="H30557"/>
      <c r="I30557"/>
    </row>
    <row r="30558" spans="6:9" x14ac:dyDescent="0.3">
      <c r="F30558"/>
      <c r="G30558"/>
      <c r="H30558"/>
      <c r="I30558"/>
    </row>
    <row r="30559" spans="6:9" x14ac:dyDescent="0.3">
      <c r="F30559"/>
      <c r="G30559"/>
      <c r="H30559"/>
      <c r="I30559"/>
    </row>
    <row r="30560" spans="6:9" x14ac:dyDescent="0.3">
      <c r="F30560"/>
      <c r="G30560"/>
      <c r="H30560"/>
      <c r="I30560"/>
    </row>
    <row r="30561" spans="6:9" x14ac:dyDescent="0.3">
      <c r="F30561"/>
      <c r="G30561"/>
      <c r="H30561"/>
      <c r="I30561"/>
    </row>
    <row r="30562" spans="6:9" x14ac:dyDescent="0.3">
      <c r="F30562"/>
      <c r="G30562"/>
      <c r="H30562"/>
      <c r="I30562"/>
    </row>
    <row r="30563" spans="6:9" x14ac:dyDescent="0.3">
      <c r="F30563"/>
      <c r="G30563"/>
      <c r="H30563"/>
      <c r="I30563"/>
    </row>
    <row r="30564" spans="6:9" x14ac:dyDescent="0.3">
      <c r="F30564"/>
      <c r="G30564"/>
      <c r="H30564"/>
      <c r="I30564"/>
    </row>
    <row r="30565" spans="6:9" x14ac:dyDescent="0.3">
      <c r="F30565"/>
      <c r="G30565"/>
      <c r="H30565"/>
      <c r="I30565"/>
    </row>
    <row r="30566" spans="6:9" x14ac:dyDescent="0.3">
      <c r="F30566"/>
      <c r="G30566"/>
      <c r="H30566"/>
      <c r="I30566"/>
    </row>
    <row r="30567" spans="6:9" x14ac:dyDescent="0.3">
      <c r="F30567"/>
      <c r="G30567"/>
      <c r="H30567"/>
      <c r="I30567"/>
    </row>
    <row r="30568" spans="6:9" x14ac:dyDescent="0.3">
      <c r="F30568"/>
      <c r="G30568"/>
      <c r="H30568"/>
      <c r="I30568"/>
    </row>
    <row r="30569" spans="6:9" x14ac:dyDescent="0.3">
      <c r="F30569"/>
      <c r="G30569"/>
      <c r="H30569"/>
      <c r="I30569"/>
    </row>
    <row r="30570" spans="6:9" x14ac:dyDescent="0.3">
      <c r="F30570"/>
      <c r="G30570"/>
      <c r="H30570"/>
      <c r="I30570"/>
    </row>
    <row r="30571" spans="6:9" x14ac:dyDescent="0.3">
      <c r="F30571"/>
      <c r="G30571"/>
      <c r="H30571"/>
      <c r="I30571"/>
    </row>
    <row r="30572" spans="6:9" x14ac:dyDescent="0.3">
      <c r="F30572"/>
      <c r="G30572"/>
      <c r="H30572"/>
      <c r="I30572"/>
    </row>
    <row r="30573" spans="6:9" x14ac:dyDescent="0.3">
      <c r="F30573"/>
      <c r="G30573"/>
      <c r="H30573"/>
      <c r="I30573"/>
    </row>
    <row r="30574" spans="6:9" x14ac:dyDescent="0.3">
      <c r="F30574"/>
      <c r="G30574"/>
      <c r="H30574"/>
      <c r="I30574"/>
    </row>
    <row r="30575" spans="6:9" x14ac:dyDescent="0.3">
      <c r="F30575"/>
      <c r="G30575"/>
      <c r="H30575"/>
      <c r="I30575"/>
    </row>
    <row r="30576" spans="6:9" x14ac:dyDescent="0.3">
      <c r="F30576"/>
      <c r="G30576"/>
      <c r="H30576"/>
      <c r="I30576"/>
    </row>
    <row r="30577" spans="6:9" x14ac:dyDescent="0.3">
      <c r="F30577"/>
      <c r="G30577"/>
      <c r="H30577"/>
      <c r="I30577"/>
    </row>
    <row r="30578" spans="6:9" x14ac:dyDescent="0.3">
      <c r="F30578"/>
      <c r="G30578"/>
      <c r="H30578"/>
      <c r="I30578"/>
    </row>
    <row r="30579" spans="6:9" x14ac:dyDescent="0.3">
      <c r="F30579"/>
      <c r="G30579"/>
      <c r="H30579"/>
      <c r="I30579"/>
    </row>
    <row r="30580" spans="6:9" x14ac:dyDescent="0.3">
      <c r="F30580"/>
      <c r="G30580"/>
      <c r="H30580"/>
      <c r="I30580"/>
    </row>
    <row r="30581" spans="6:9" x14ac:dyDescent="0.3">
      <c r="F30581"/>
      <c r="G30581"/>
      <c r="H30581"/>
      <c r="I30581"/>
    </row>
    <row r="30582" spans="6:9" x14ac:dyDescent="0.3">
      <c r="F30582"/>
      <c r="G30582"/>
      <c r="H30582"/>
      <c r="I30582"/>
    </row>
    <row r="30583" spans="6:9" x14ac:dyDescent="0.3">
      <c r="F30583"/>
      <c r="G30583"/>
      <c r="H30583"/>
      <c r="I30583"/>
    </row>
    <row r="30584" spans="6:9" x14ac:dyDescent="0.3">
      <c r="F30584"/>
      <c r="G30584"/>
      <c r="H30584"/>
      <c r="I30584"/>
    </row>
    <row r="30585" spans="6:9" x14ac:dyDescent="0.3">
      <c r="F30585"/>
      <c r="G30585"/>
      <c r="H30585"/>
      <c r="I30585"/>
    </row>
    <row r="30586" spans="6:9" x14ac:dyDescent="0.3">
      <c r="F30586"/>
      <c r="G30586"/>
      <c r="H30586"/>
      <c r="I30586"/>
    </row>
    <row r="30587" spans="6:9" x14ac:dyDescent="0.3">
      <c r="F30587"/>
      <c r="G30587"/>
      <c r="H30587"/>
      <c r="I30587"/>
    </row>
    <row r="30588" spans="6:9" x14ac:dyDescent="0.3">
      <c r="F30588"/>
      <c r="G30588"/>
      <c r="H30588"/>
      <c r="I30588"/>
    </row>
    <row r="30589" spans="6:9" x14ac:dyDescent="0.3">
      <c r="F30589"/>
      <c r="G30589"/>
      <c r="H30589"/>
      <c r="I30589"/>
    </row>
    <row r="30590" spans="6:9" x14ac:dyDescent="0.3">
      <c r="F30590"/>
      <c r="G30590"/>
      <c r="H30590"/>
      <c r="I30590"/>
    </row>
    <row r="30591" spans="6:9" x14ac:dyDescent="0.3">
      <c r="F30591"/>
      <c r="G30591"/>
      <c r="H30591"/>
      <c r="I30591"/>
    </row>
    <row r="30592" spans="6:9" x14ac:dyDescent="0.3">
      <c r="F30592"/>
      <c r="G30592"/>
      <c r="H30592"/>
      <c r="I30592"/>
    </row>
    <row r="30593" spans="6:9" x14ac:dyDescent="0.3">
      <c r="F30593"/>
      <c r="G30593"/>
      <c r="H30593"/>
      <c r="I30593"/>
    </row>
    <row r="30594" spans="6:9" x14ac:dyDescent="0.3">
      <c r="F30594"/>
      <c r="G30594"/>
      <c r="H30594"/>
      <c r="I30594"/>
    </row>
    <row r="30595" spans="6:9" x14ac:dyDescent="0.3">
      <c r="F30595"/>
      <c r="G30595"/>
      <c r="H30595"/>
      <c r="I30595"/>
    </row>
    <row r="30596" spans="6:9" x14ac:dyDescent="0.3">
      <c r="F30596"/>
      <c r="G30596"/>
      <c r="H30596"/>
      <c r="I30596"/>
    </row>
    <row r="30597" spans="6:9" x14ac:dyDescent="0.3">
      <c r="F30597"/>
      <c r="G30597"/>
      <c r="H30597"/>
      <c r="I30597"/>
    </row>
    <row r="30598" spans="6:9" x14ac:dyDescent="0.3">
      <c r="F30598"/>
      <c r="G30598"/>
      <c r="H30598"/>
      <c r="I30598"/>
    </row>
    <row r="30599" spans="6:9" x14ac:dyDescent="0.3">
      <c r="F30599"/>
      <c r="G30599"/>
      <c r="H30599"/>
      <c r="I30599"/>
    </row>
    <row r="30600" spans="6:9" x14ac:dyDescent="0.3">
      <c r="F30600"/>
      <c r="G30600"/>
      <c r="H30600"/>
      <c r="I30600"/>
    </row>
    <row r="30601" spans="6:9" x14ac:dyDescent="0.3">
      <c r="F30601"/>
      <c r="G30601"/>
      <c r="H30601"/>
      <c r="I30601"/>
    </row>
    <row r="30602" spans="6:9" x14ac:dyDescent="0.3">
      <c r="F30602"/>
      <c r="G30602"/>
      <c r="H30602"/>
      <c r="I30602"/>
    </row>
    <row r="30603" spans="6:9" x14ac:dyDescent="0.3">
      <c r="F30603"/>
      <c r="G30603"/>
      <c r="H30603"/>
      <c r="I30603"/>
    </row>
    <row r="30604" spans="6:9" x14ac:dyDescent="0.3">
      <c r="F30604"/>
      <c r="G30604"/>
      <c r="H30604"/>
      <c r="I30604"/>
    </row>
    <row r="30605" spans="6:9" x14ac:dyDescent="0.3">
      <c r="F30605"/>
      <c r="G30605"/>
      <c r="H30605"/>
      <c r="I30605"/>
    </row>
    <row r="30606" spans="6:9" x14ac:dyDescent="0.3">
      <c r="F30606"/>
      <c r="G30606"/>
      <c r="H30606"/>
      <c r="I30606"/>
    </row>
    <row r="30607" spans="6:9" x14ac:dyDescent="0.3">
      <c r="F30607"/>
      <c r="G30607"/>
      <c r="H30607"/>
      <c r="I30607"/>
    </row>
    <row r="30608" spans="6:9" x14ac:dyDescent="0.3">
      <c r="F30608"/>
      <c r="G30608"/>
      <c r="H30608"/>
      <c r="I30608"/>
    </row>
    <row r="30609" spans="6:9" x14ac:dyDescent="0.3">
      <c r="F30609"/>
      <c r="G30609"/>
      <c r="H30609"/>
      <c r="I30609"/>
    </row>
    <row r="30610" spans="6:9" x14ac:dyDescent="0.3">
      <c r="F30610"/>
      <c r="G30610"/>
      <c r="H30610"/>
      <c r="I30610"/>
    </row>
    <row r="30611" spans="6:9" x14ac:dyDescent="0.3">
      <c r="F30611"/>
      <c r="G30611"/>
      <c r="H30611"/>
      <c r="I30611"/>
    </row>
    <row r="30612" spans="6:9" x14ac:dyDescent="0.3">
      <c r="F30612"/>
      <c r="G30612"/>
      <c r="H30612"/>
      <c r="I30612"/>
    </row>
    <row r="30613" spans="6:9" x14ac:dyDescent="0.3">
      <c r="F30613"/>
      <c r="G30613"/>
      <c r="H30613"/>
      <c r="I30613"/>
    </row>
    <row r="30614" spans="6:9" x14ac:dyDescent="0.3">
      <c r="F30614"/>
      <c r="G30614"/>
      <c r="H30614"/>
      <c r="I30614"/>
    </row>
    <row r="30615" spans="6:9" x14ac:dyDescent="0.3">
      <c r="F30615"/>
      <c r="G30615"/>
      <c r="H30615"/>
      <c r="I30615"/>
    </row>
    <row r="30616" spans="6:9" x14ac:dyDescent="0.3">
      <c r="F30616"/>
      <c r="G30616"/>
      <c r="H30616"/>
      <c r="I30616"/>
    </row>
    <row r="30617" spans="6:9" x14ac:dyDescent="0.3">
      <c r="F30617"/>
      <c r="G30617"/>
      <c r="H30617"/>
      <c r="I30617"/>
    </row>
    <row r="30618" spans="6:9" x14ac:dyDescent="0.3">
      <c r="F30618"/>
      <c r="G30618"/>
      <c r="H30618"/>
      <c r="I30618"/>
    </row>
    <row r="30619" spans="6:9" x14ac:dyDescent="0.3">
      <c r="F30619"/>
      <c r="G30619"/>
      <c r="H30619"/>
      <c r="I30619"/>
    </row>
    <row r="30620" spans="6:9" x14ac:dyDescent="0.3">
      <c r="F30620"/>
      <c r="G30620"/>
      <c r="H30620"/>
      <c r="I30620"/>
    </row>
    <row r="30621" spans="6:9" x14ac:dyDescent="0.3">
      <c r="F30621"/>
      <c r="G30621"/>
      <c r="H30621"/>
      <c r="I30621"/>
    </row>
    <row r="30622" spans="6:9" x14ac:dyDescent="0.3">
      <c r="F30622"/>
      <c r="G30622"/>
      <c r="H30622"/>
      <c r="I30622"/>
    </row>
    <row r="30623" spans="6:9" x14ac:dyDescent="0.3">
      <c r="F30623"/>
      <c r="G30623"/>
      <c r="H30623"/>
      <c r="I30623"/>
    </row>
    <row r="30624" spans="6:9" x14ac:dyDescent="0.3">
      <c r="F30624"/>
      <c r="G30624"/>
      <c r="H30624"/>
      <c r="I30624"/>
    </row>
    <row r="30625" spans="6:9" x14ac:dyDescent="0.3">
      <c r="F30625"/>
      <c r="G30625"/>
      <c r="H30625"/>
      <c r="I30625"/>
    </row>
    <row r="30626" spans="6:9" x14ac:dyDescent="0.3">
      <c r="F30626"/>
      <c r="G30626"/>
      <c r="H30626"/>
      <c r="I30626"/>
    </row>
    <row r="30627" spans="6:9" x14ac:dyDescent="0.3">
      <c r="F30627"/>
      <c r="G30627"/>
      <c r="H30627"/>
      <c r="I30627"/>
    </row>
    <row r="30628" spans="6:9" x14ac:dyDescent="0.3">
      <c r="F30628"/>
      <c r="G30628"/>
      <c r="H30628"/>
      <c r="I30628"/>
    </row>
    <row r="30629" spans="6:9" x14ac:dyDescent="0.3">
      <c r="F30629"/>
      <c r="G30629"/>
      <c r="H30629"/>
      <c r="I30629"/>
    </row>
    <row r="30630" spans="6:9" x14ac:dyDescent="0.3">
      <c r="F30630"/>
      <c r="G30630"/>
      <c r="H30630"/>
      <c r="I30630"/>
    </row>
    <row r="30631" spans="6:9" x14ac:dyDescent="0.3">
      <c r="F30631"/>
      <c r="G30631"/>
      <c r="H30631"/>
      <c r="I30631"/>
    </row>
    <row r="30632" spans="6:9" x14ac:dyDescent="0.3">
      <c r="F30632"/>
      <c r="G30632"/>
      <c r="H30632"/>
      <c r="I30632"/>
    </row>
    <row r="30633" spans="6:9" x14ac:dyDescent="0.3">
      <c r="F30633"/>
      <c r="G30633"/>
      <c r="H30633"/>
      <c r="I30633"/>
    </row>
    <row r="30634" spans="6:9" x14ac:dyDescent="0.3">
      <c r="F30634"/>
      <c r="G30634"/>
      <c r="H30634"/>
      <c r="I30634"/>
    </row>
    <row r="30635" spans="6:9" x14ac:dyDescent="0.3">
      <c r="F30635"/>
      <c r="G30635"/>
      <c r="H30635"/>
      <c r="I30635"/>
    </row>
    <row r="30636" spans="6:9" x14ac:dyDescent="0.3">
      <c r="F30636"/>
      <c r="G30636"/>
      <c r="H30636"/>
      <c r="I30636"/>
    </row>
    <row r="30637" spans="6:9" x14ac:dyDescent="0.3">
      <c r="F30637"/>
      <c r="G30637"/>
      <c r="H30637"/>
      <c r="I30637"/>
    </row>
    <row r="30638" spans="6:9" x14ac:dyDescent="0.3">
      <c r="F30638"/>
      <c r="G30638"/>
      <c r="H30638"/>
      <c r="I30638"/>
    </row>
    <row r="30639" spans="6:9" x14ac:dyDescent="0.3">
      <c r="F30639"/>
      <c r="G30639"/>
      <c r="H30639"/>
      <c r="I30639"/>
    </row>
    <row r="30640" spans="6:9" x14ac:dyDescent="0.3">
      <c r="F30640"/>
      <c r="G30640"/>
      <c r="H30640"/>
      <c r="I30640"/>
    </row>
    <row r="30641" spans="6:9" x14ac:dyDescent="0.3">
      <c r="F30641"/>
      <c r="G30641"/>
      <c r="H30641"/>
      <c r="I30641"/>
    </row>
    <row r="30642" spans="6:9" x14ac:dyDescent="0.3">
      <c r="F30642"/>
      <c r="G30642"/>
      <c r="H30642"/>
      <c r="I30642"/>
    </row>
    <row r="30643" spans="6:9" x14ac:dyDescent="0.3">
      <c r="F30643"/>
      <c r="G30643"/>
      <c r="H30643"/>
      <c r="I30643"/>
    </row>
    <row r="30644" spans="6:9" x14ac:dyDescent="0.3">
      <c r="F30644"/>
      <c r="G30644"/>
      <c r="H30644"/>
      <c r="I30644"/>
    </row>
    <row r="30645" spans="6:9" x14ac:dyDescent="0.3">
      <c r="F30645"/>
      <c r="G30645"/>
      <c r="H30645"/>
      <c r="I30645"/>
    </row>
    <row r="30646" spans="6:9" x14ac:dyDescent="0.3">
      <c r="F30646"/>
      <c r="G30646"/>
      <c r="H30646"/>
      <c r="I30646"/>
    </row>
    <row r="30647" spans="6:9" x14ac:dyDescent="0.3">
      <c r="F30647"/>
      <c r="G30647"/>
      <c r="H30647"/>
      <c r="I30647"/>
    </row>
    <row r="30648" spans="6:9" x14ac:dyDescent="0.3">
      <c r="F30648"/>
      <c r="G30648"/>
      <c r="H30648"/>
      <c r="I30648"/>
    </row>
    <row r="30649" spans="6:9" x14ac:dyDescent="0.3">
      <c r="F30649"/>
      <c r="G30649"/>
      <c r="H30649"/>
      <c r="I30649"/>
    </row>
    <row r="30650" spans="6:9" x14ac:dyDescent="0.3">
      <c r="F30650"/>
      <c r="G30650"/>
      <c r="H30650"/>
      <c r="I30650"/>
    </row>
    <row r="30651" spans="6:9" x14ac:dyDescent="0.3">
      <c r="F30651"/>
      <c r="G30651"/>
      <c r="H30651"/>
      <c r="I30651"/>
    </row>
    <row r="30652" spans="6:9" x14ac:dyDescent="0.3">
      <c r="F30652"/>
      <c r="G30652"/>
      <c r="H30652"/>
      <c r="I30652"/>
    </row>
    <row r="30653" spans="6:9" x14ac:dyDescent="0.3">
      <c r="F30653"/>
      <c r="G30653"/>
      <c r="H30653"/>
      <c r="I30653"/>
    </row>
    <row r="30654" spans="6:9" x14ac:dyDescent="0.3">
      <c r="F30654"/>
      <c r="G30654"/>
      <c r="H30654"/>
      <c r="I30654"/>
    </row>
    <row r="30655" spans="6:9" x14ac:dyDescent="0.3">
      <c r="F30655"/>
      <c r="G30655"/>
      <c r="H30655"/>
      <c r="I30655"/>
    </row>
    <row r="30656" spans="6:9" x14ac:dyDescent="0.3">
      <c r="F30656"/>
      <c r="G30656"/>
      <c r="H30656"/>
      <c r="I30656"/>
    </row>
    <row r="30657" spans="6:9" x14ac:dyDescent="0.3">
      <c r="F30657"/>
      <c r="G30657"/>
      <c r="H30657"/>
      <c r="I30657"/>
    </row>
    <row r="30658" spans="6:9" x14ac:dyDescent="0.3">
      <c r="F30658"/>
      <c r="G30658"/>
      <c r="H30658"/>
      <c r="I30658"/>
    </row>
    <row r="30659" spans="6:9" x14ac:dyDescent="0.3">
      <c r="F30659"/>
      <c r="G30659"/>
      <c r="H30659"/>
      <c r="I30659"/>
    </row>
    <row r="30660" spans="6:9" x14ac:dyDescent="0.3">
      <c r="F30660"/>
      <c r="G30660"/>
      <c r="H30660"/>
      <c r="I30660"/>
    </row>
    <row r="30661" spans="6:9" x14ac:dyDescent="0.3">
      <c r="F30661"/>
      <c r="G30661"/>
      <c r="H30661"/>
      <c r="I30661"/>
    </row>
    <row r="30662" spans="6:9" x14ac:dyDescent="0.3">
      <c r="F30662"/>
      <c r="G30662"/>
      <c r="H30662"/>
      <c r="I30662"/>
    </row>
    <row r="30663" spans="6:9" x14ac:dyDescent="0.3">
      <c r="F30663"/>
      <c r="G30663"/>
      <c r="H30663"/>
      <c r="I30663"/>
    </row>
    <row r="30664" spans="6:9" x14ac:dyDescent="0.3">
      <c r="F30664"/>
      <c r="G30664"/>
      <c r="H30664"/>
      <c r="I30664"/>
    </row>
    <row r="30665" spans="6:9" x14ac:dyDescent="0.3">
      <c r="F30665"/>
      <c r="G30665"/>
      <c r="H30665"/>
      <c r="I30665"/>
    </row>
    <row r="30666" spans="6:9" x14ac:dyDescent="0.3">
      <c r="F30666"/>
      <c r="G30666"/>
      <c r="H30666"/>
      <c r="I30666"/>
    </row>
    <row r="30667" spans="6:9" x14ac:dyDescent="0.3">
      <c r="F30667"/>
      <c r="G30667"/>
      <c r="H30667"/>
      <c r="I30667"/>
    </row>
    <row r="30668" spans="6:9" x14ac:dyDescent="0.3">
      <c r="F30668"/>
      <c r="G30668"/>
      <c r="H30668"/>
      <c r="I30668"/>
    </row>
    <row r="30669" spans="6:9" x14ac:dyDescent="0.3">
      <c r="F30669"/>
      <c r="G30669"/>
      <c r="H30669"/>
      <c r="I30669"/>
    </row>
    <row r="30670" spans="6:9" x14ac:dyDescent="0.3">
      <c r="F30670"/>
      <c r="G30670"/>
      <c r="H30670"/>
      <c r="I30670"/>
    </row>
    <row r="30671" spans="6:9" x14ac:dyDescent="0.3">
      <c r="F30671"/>
      <c r="G30671"/>
      <c r="H30671"/>
      <c r="I30671"/>
    </row>
    <row r="30672" spans="6:9" x14ac:dyDescent="0.3">
      <c r="F30672"/>
      <c r="G30672"/>
      <c r="H30672"/>
      <c r="I30672"/>
    </row>
    <row r="30673" spans="6:9" x14ac:dyDescent="0.3">
      <c r="F30673"/>
      <c r="G30673"/>
      <c r="H30673"/>
      <c r="I30673"/>
    </row>
    <row r="30674" spans="6:9" x14ac:dyDescent="0.3">
      <c r="F30674"/>
      <c r="G30674"/>
      <c r="H30674"/>
      <c r="I30674"/>
    </row>
    <row r="30675" spans="6:9" x14ac:dyDescent="0.3">
      <c r="F30675"/>
      <c r="G30675"/>
      <c r="H30675"/>
      <c r="I30675"/>
    </row>
    <row r="30676" spans="6:9" x14ac:dyDescent="0.3">
      <c r="F30676"/>
      <c r="G30676"/>
      <c r="H30676"/>
      <c r="I30676"/>
    </row>
    <row r="30677" spans="6:9" x14ac:dyDescent="0.3">
      <c r="F30677"/>
      <c r="G30677"/>
      <c r="H30677"/>
      <c r="I30677"/>
    </row>
    <row r="30678" spans="6:9" x14ac:dyDescent="0.3">
      <c r="F30678"/>
      <c r="G30678"/>
      <c r="H30678"/>
      <c r="I30678"/>
    </row>
    <row r="30679" spans="6:9" x14ac:dyDescent="0.3">
      <c r="F30679"/>
      <c r="G30679"/>
      <c r="H30679"/>
      <c r="I30679"/>
    </row>
    <row r="30680" spans="6:9" x14ac:dyDescent="0.3">
      <c r="F30680"/>
      <c r="G30680"/>
      <c r="H30680"/>
      <c r="I30680"/>
    </row>
    <row r="30681" spans="6:9" x14ac:dyDescent="0.3">
      <c r="F30681"/>
      <c r="G30681"/>
      <c r="H30681"/>
      <c r="I30681"/>
    </row>
    <row r="30682" spans="6:9" x14ac:dyDescent="0.3">
      <c r="F30682"/>
      <c r="G30682"/>
      <c r="H30682"/>
      <c r="I30682"/>
    </row>
    <row r="30683" spans="6:9" x14ac:dyDescent="0.3">
      <c r="F30683"/>
      <c r="G30683"/>
      <c r="H30683"/>
      <c r="I30683"/>
    </row>
    <row r="30684" spans="6:9" x14ac:dyDescent="0.3">
      <c r="F30684"/>
      <c r="G30684"/>
      <c r="H30684"/>
      <c r="I30684"/>
    </row>
    <row r="30685" spans="6:9" x14ac:dyDescent="0.3">
      <c r="F30685"/>
      <c r="G30685"/>
      <c r="H30685"/>
      <c r="I30685"/>
    </row>
    <row r="30686" spans="6:9" x14ac:dyDescent="0.3">
      <c r="F30686"/>
      <c r="G30686"/>
      <c r="H30686"/>
      <c r="I30686"/>
    </row>
    <row r="30687" spans="6:9" x14ac:dyDescent="0.3">
      <c r="F30687"/>
      <c r="G30687"/>
      <c r="H30687"/>
      <c r="I30687"/>
    </row>
    <row r="30688" spans="6:9" x14ac:dyDescent="0.3">
      <c r="F30688"/>
      <c r="G30688"/>
      <c r="H30688"/>
      <c r="I30688"/>
    </row>
    <row r="30689" spans="6:9" x14ac:dyDescent="0.3">
      <c r="F30689"/>
      <c r="G30689"/>
      <c r="H30689"/>
      <c r="I30689"/>
    </row>
    <row r="30690" spans="6:9" x14ac:dyDescent="0.3">
      <c r="F30690"/>
      <c r="G30690"/>
      <c r="H30690"/>
      <c r="I30690"/>
    </row>
    <row r="30691" spans="6:9" x14ac:dyDescent="0.3">
      <c r="F30691"/>
      <c r="G30691"/>
      <c r="H30691"/>
      <c r="I30691"/>
    </row>
    <row r="30692" spans="6:9" x14ac:dyDescent="0.3">
      <c r="F30692"/>
      <c r="G30692"/>
      <c r="H30692"/>
      <c r="I30692"/>
    </row>
    <row r="30693" spans="6:9" x14ac:dyDescent="0.3">
      <c r="F30693"/>
      <c r="G30693"/>
      <c r="H30693"/>
      <c r="I30693"/>
    </row>
    <row r="30694" spans="6:9" x14ac:dyDescent="0.3">
      <c r="F30694"/>
      <c r="G30694"/>
      <c r="H30694"/>
      <c r="I30694"/>
    </row>
    <row r="30695" spans="6:9" x14ac:dyDescent="0.3">
      <c r="F30695"/>
      <c r="G30695"/>
      <c r="H30695"/>
      <c r="I30695"/>
    </row>
    <row r="30696" spans="6:9" x14ac:dyDescent="0.3">
      <c r="F30696"/>
      <c r="G30696"/>
      <c r="H30696"/>
      <c r="I30696"/>
    </row>
    <row r="30697" spans="6:9" x14ac:dyDescent="0.3">
      <c r="F30697"/>
      <c r="G30697"/>
      <c r="H30697"/>
      <c r="I30697"/>
    </row>
    <row r="30698" spans="6:9" x14ac:dyDescent="0.3">
      <c r="F30698"/>
      <c r="G30698"/>
      <c r="H30698"/>
      <c r="I30698"/>
    </row>
    <row r="30699" spans="6:9" x14ac:dyDescent="0.3">
      <c r="F30699"/>
      <c r="G30699"/>
      <c r="H30699"/>
      <c r="I30699"/>
    </row>
    <row r="30700" spans="6:9" x14ac:dyDescent="0.3">
      <c r="F30700"/>
      <c r="G30700"/>
      <c r="H30700"/>
      <c r="I30700"/>
    </row>
    <row r="30701" spans="6:9" x14ac:dyDescent="0.3">
      <c r="F30701"/>
      <c r="G30701"/>
      <c r="H30701"/>
      <c r="I30701"/>
    </row>
    <row r="30702" spans="6:9" x14ac:dyDescent="0.3">
      <c r="F30702"/>
      <c r="G30702"/>
      <c r="H30702"/>
      <c r="I30702"/>
    </row>
    <row r="30703" spans="6:9" x14ac:dyDescent="0.3">
      <c r="F30703"/>
      <c r="G30703"/>
      <c r="H30703"/>
      <c r="I30703"/>
    </row>
    <row r="30704" spans="6:9" x14ac:dyDescent="0.3">
      <c r="F30704"/>
      <c r="G30704"/>
      <c r="H30704"/>
      <c r="I30704"/>
    </row>
    <row r="30705" spans="6:9" x14ac:dyDescent="0.3">
      <c r="F30705"/>
      <c r="G30705"/>
      <c r="H30705"/>
      <c r="I30705"/>
    </row>
    <row r="30706" spans="6:9" x14ac:dyDescent="0.3">
      <c r="F30706"/>
      <c r="G30706"/>
      <c r="H30706"/>
      <c r="I30706"/>
    </row>
    <row r="30707" spans="6:9" x14ac:dyDescent="0.3">
      <c r="F30707"/>
      <c r="G30707"/>
      <c r="H30707"/>
      <c r="I30707"/>
    </row>
    <row r="30708" spans="6:9" x14ac:dyDescent="0.3">
      <c r="F30708"/>
      <c r="G30708"/>
      <c r="H30708"/>
      <c r="I30708"/>
    </row>
    <row r="30709" spans="6:9" x14ac:dyDescent="0.3">
      <c r="F30709"/>
      <c r="G30709"/>
      <c r="H30709"/>
      <c r="I30709"/>
    </row>
    <row r="30710" spans="6:9" x14ac:dyDescent="0.3">
      <c r="F30710"/>
      <c r="G30710"/>
      <c r="H30710"/>
      <c r="I30710"/>
    </row>
    <row r="30711" spans="6:9" x14ac:dyDescent="0.3">
      <c r="F30711"/>
      <c r="G30711"/>
      <c r="H30711"/>
      <c r="I30711"/>
    </row>
    <row r="30712" spans="6:9" x14ac:dyDescent="0.3">
      <c r="F30712"/>
      <c r="G30712"/>
      <c r="H30712"/>
      <c r="I30712"/>
    </row>
    <row r="30713" spans="6:9" x14ac:dyDescent="0.3">
      <c r="F30713"/>
      <c r="G30713"/>
      <c r="H30713"/>
      <c r="I30713"/>
    </row>
    <row r="30714" spans="6:9" x14ac:dyDescent="0.3">
      <c r="F30714"/>
      <c r="G30714"/>
      <c r="H30714"/>
      <c r="I30714"/>
    </row>
    <row r="30715" spans="6:9" x14ac:dyDescent="0.3">
      <c r="F30715"/>
      <c r="G30715"/>
      <c r="H30715"/>
      <c r="I30715"/>
    </row>
    <row r="30716" spans="6:9" x14ac:dyDescent="0.3">
      <c r="F30716"/>
      <c r="G30716"/>
      <c r="H30716"/>
      <c r="I30716"/>
    </row>
    <row r="30717" spans="6:9" x14ac:dyDescent="0.3">
      <c r="F30717"/>
      <c r="G30717"/>
      <c r="H30717"/>
      <c r="I30717"/>
    </row>
    <row r="30718" spans="6:9" x14ac:dyDescent="0.3">
      <c r="F30718"/>
      <c r="G30718"/>
      <c r="H30718"/>
      <c r="I30718"/>
    </row>
    <row r="30719" spans="6:9" x14ac:dyDescent="0.3">
      <c r="F30719"/>
      <c r="G30719"/>
      <c r="H30719"/>
      <c r="I30719"/>
    </row>
    <row r="30720" spans="6:9" x14ac:dyDescent="0.3">
      <c r="F30720"/>
      <c r="G30720"/>
      <c r="H30720"/>
      <c r="I30720"/>
    </row>
    <row r="30721" spans="6:9" x14ac:dyDescent="0.3">
      <c r="F30721"/>
      <c r="G30721"/>
      <c r="H30721"/>
      <c r="I30721"/>
    </row>
    <row r="30722" spans="6:9" x14ac:dyDescent="0.3">
      <c r="F30722"/>
      <c r="G30722"/>
      <c r="H30722"/>
      <c r="I30722"/>
    </row>
    <row r="30723" spans="6:9" x14ac:dyDescent="0.3">
      <c r="F30723"/>
      <c r="G30723"/>
      <c r="H30723"/>
      <c r="I30723"/>
    </row>
    <row r="30724" spans="6:9" x14ac:dyDescent="0.3">
      <c r="F30724"/>
      <c r="G30724"/>
      <c r="H30724"/>
      <c r="I30724"/>
    </row>
    <row r="30725" spans="6:9" x14ac:dyDescent="0.3">
      <c r="F30725"/>
      <c r="G30725"/>
      <c r="H30725"/>
      <c r="I30725"/>
    </row>
    <row r="30726" spans="6:9" x14ac:dyDescent="0.3">
      <c r="F30726"/>
      <c r="G30726"/>
      <c r="H30726"/>
      <c r="I30726"/>
    </row>
    <row r="30727" spans="6:9" x14ac:dyDescent="0.3">
      <c r="F30727"/>
      <c r="G30727"/>
      <c r="H30727"/>
      <c r="I30727"/>
    </row>
    <row r="30728" spans="6:9" x14ac:dyDescent="0.3">
      <c r="F30728"/>
      <c r="G30728"/>
      <c r="H30728"/>
      <c r="I30728"/>
    </row>
    <row r="30729" spans="6:9" x14ac:dyDescent="0.3">
      <c r="F30729"/>
      <c r="G30729"/>
      <c r="H30729"/>
      <c r="I30729"/>
    </row>
    <row r="30730" spans="6:9" x14ac:dyDescent="0.3">
      <c r="F30730"/>
      <c r="G30730"/>
      <c r="H30730"/>
      <c r="I30730"/>
    </row>
    <row r="30731" spans="6:9" x14ac:dyDescent="0.3">
      <c r="F30731"/>
      <c r="G30731"/>
      <c r="H30731"/>
      <c r="I30731"/>
    </row>
    <row r="30732" spans="6:9" x14ac:dyDescent="0.3">
      <c r="F30732"/>
      <c r="G30732"/>
      <c r="H30732"/>
      <c r="I30732"/>
    </row>
    <row r="30733" spans="6:9" x14ac:dyDescent="0.3">
      <c r="F30733"/>
      <c r="G30733"/>
      <c r="H30733"/>
      <c r="I30733"/>
    </row>
    <row r="30734" spans="6:9" x14ac:dyDescent="0.3">
      <c r="F30734"/>
      <c r="G30734"/>
      <c r="H30734"/>
      <c r="I30734"/>
    </row>
    <row r="30735" spans="6:9" x14ac:dyDescent="0.3">
      <c r="F30735"/>
      <c r="G30735"/>
      <c r="H30735"/>
      <c r="I30735"/>
    </row>
    <row r="30736" spans="6:9" x14ac:dyDescent="0.3">
      <c r="F30736"/>
      <c r="G30736"/>
      <c r="H30736"/>
      <c r="I30736"/>
    </row>
    <row r="30737" spans="6:9" x14ac:dyDescent="0.3">
      <c r="F30737"/>
      <c r="G30737"/>
      <c r="H30737"/>
      <c r="I30737"/>
    </row>
    <row r="30738" spans="6:9" x14ac:dyDescent="0.3">
      <c r="F30738"/>
      <c r="G30738"/>
      <c r="H30738"/>
      <c r="I30738"/>
    </row>
    <row r="30739" spans="6:9" x14ac:dyDescent="0.3">
      <c r="F30739"/>
      <c r="G30739"/>
      <c r="H30739"/>
      <c r="I30739"/>
    </row>
    <row r="30740" spans="6:9" x14ac:dyDescent="0.3">
      <c r="F30740"/>
      <c r="G30740"/>
      <c r="H30740"/>
      <c r="I30740"/>
    </row>
    <row r="30741" spans="6:9" x14ac:dyDescent="0.3">
      <c r="F30741"/>
      <c r="G30741"/>
      <c r="H30741"/>
      <c r="I30741"/>
    </row>
    <row r="30742" spans="6:9" x14ac:dyDescent="0.3">
      <c r="F30742"/>
      <c r="G30742"/>
      <c r="H30742"/>
      <c r="I30742"/>
    </row>
    <row r="30743" spans="6:9" x14ac:dyDescent="0.3">
      <c r="F30743"/>
      <c r="G30743"/>
      <c r="H30743"/>
      <c r="I30743"/>
    </row>
    <row r="30744" spans="6:9" x14ac:dyDescent="0.3">
      <c r="F30744"/>
      <c r="G30744"/>
      <c r="H30744"/>
      <c r="I30744"/>
    </row>
    <row r="30745" spans="6:9" x14ac:dyDescent="0.3">
      <c r="F30745"/>
      <c r="G30745"/>
      <c r="H30745"/>
      <c r="I30745"/>
    </row>
    <row r="30746" spans="6:9" x14ac:dyDescent="0.3">
      <c r="F30746"/>
      <c r="G30746"/>
      <c r="H30746"/>
      <c r="I30746"/>
    </row>
    <row r="30747" spans="6:9" x14ac:dyDescent="0.3">
      <c r="F30747"/>
      <c r="G30747"/>
      <c r="H30747"/>
      <c r="I30747"/>
    </row>
    <row r="30748" spans="6:9" x14ac:dyDescent="0.3">
      <c r="F30748"/>
      <c r="G30748"/>
      <c r="H30748"/>
      <c r="I30748"/>
    </row>
    <row r="30749" spans="6:9" x14ac:dyDescent="0.3">
      <c r="F30749"/>
      <c r="G30749"/>
      <c r="H30749"/>
      <c r="I30749"/>
    </row>
    <row r="30750" spans="6:9" x14ac:dyDescent="0.3">
      <c r="F30750"/>
      <c r="G30750"/>
      <c r="H30750"/>
      <c r="I30750"/>
    </row>
    <row r="30751" spans="6:9" x14ac:dyDescent="0.3">
      <c r="F30751"/>
      <c r="G30751"/>
      <c r="H30751"/>
      <c r="I30751"/>
    </row>
    <row r="30752" spans="6:9" x14ac:dyDescent="0.3">
      <c r="F30752"/>
      <c r="G30752"/>
      <c r="H30752"/>
      <c r="I30752"/>
    </row>
    <row r="30753" spans="6:9" x14ac:dyDescent="0.3">
      <c r="F30753"/>
      <c r="G30753"/>
      <c r="H30753"/>
      <c r="I30753"/>
    </row>
    <row r="30754" spans="6:9" x14ac:dyDescent="0.3">
      <c r="F30754"/>
      <c r="G30754"/>
      <c r="H30754"/>
      <c r="I30754"/>
    </row>
    <row r="30755" spans="6:9" x14ac:dyDescent="0.3">
      <c r="F30755"/>
      <c r="G30755"/>
      <c r="H30755"/>
      <c r="I30755"/>
    </row>
    <row r="30756" spans="6:9" x14ac:dyDescent="0.3">
      <c r="F30756"/>
      <c r="G30756"/>
      <c r="H30756"/>
      <c r="I30756"/>
    </row>
    <row r="30757" spans="6:9" x14ac:dyDescent="0.3">
      <c r="F30757"/>
      <c r="G30757"/>
      <c r="H30757"/>
      <c r="I30757"/>
    </row>
    <row r="30758" spans="6:9" x14ac:dyDescent="0.3">
      <c r="F30758"/>
      <c r="G30758"/>
      <c r="H30758"/>
      <c r="I30758"/>
    </row>
    <row r="30759" spans="6:9" x14ac:dyDescent="0.3">
      <c r="F30759"/>
      <c r="G30759"/>
      <c r="H30759"/>
      <c r="I30759"/>
    </row>
    <row r="30760" spans="6:9" x14ac:dyDescent="0.3">
      <c r="F30760"/>
      <c r="G30760"/>
      <c r="H30760"/>
      <c r="I30760"/>
    </row>
    <row r="30761" spans="6:9" x14ac:dyDescent="0.3">
      <c r="F30761"/>
      <c r="G30761"/>
      <c r="H30761"/>
      <c r="I30761"/>
    </row>
    <row r="30762" spans="6:9" x14ac:dyDescent="0.3">
      <c r="F30762"/>
      <c r="G30762"/>
      <c r="H30762"/>
      <c r="I30762"/>
    </row>
    <row r="30763" spans="6:9" x14ac:dyDescent="0.3">
      <c r="F30763"/>
      <c r="G30763"/>
      <c r="H30763"/>
      <c r="I30763"/>
    </row>
    <row r="30764" spans="6:9" x14ac:dyDescent="0.3">
      <c r="F30764"/>
      <c r="G30764"/>
      <c r="H30764"/>
      <c r="I30764"/>
    </row>
    <row r="30765" spans="6:9" x14ac:dyDescent="0.3">
      <c r="F30765"/>
      <c r="G30765"/>
      <c r="H30765"/>
      <c r="I30765"/>
    </row>
    <row r="30766" spans="6:9" x14ac:dyDescent="0.3">
      <c r="F30766"/>
      <c r="G30766"/>
      <c r="H30766"/>
      <c r="I30766"/>
    </row>
    <row r="30767" spans="6:9" x14ac:dyDescent="0.3">
      <c r="F30767"/>
      <c r="G30767"/>
      <c r="H30767"/>
      <c r="I30767"/>
    </row>
    <row r="30768" spans="6:9" x14ac:dyDescent="0.3">
      <c r="F30768"/>
      <c r="G30768"/>
      <c r="H30768"/>
      <c r="I30768"/>
    </row>
    <row r="30769" spans="6:9" x14ac:dyDescent="0.3">
      <c r="F30769"/>
      <c r="G30769"/>
      <c r="H30769"/>
      <c r="I30769"/>
    </row>
    <row r="30770" spans="6:9" x14ac:dyDescent="0.3">
      <c r="F30770"/>
      <c r="G30770"/>
      <c r="H30770"/>
      <c r="I30770"/>
    </row>
    <row r="30771" spans="6:9" x14ac:dyDescent="0.3">
      <c r="F30771"/>
      <c r="G30771"/>
      <c r="H30771"/>
      <c r="I30771"/>
    </row>
    <row r="30772" spans="6:9" x14ac:dyDescent="0.3">
      <c r="F30772"/>
      <c r="G30772"/>
      <c r="H30772"/>
      <c r="I30772"/>
    </row>
    <row r="30773" spans="6:9" x14ac:dyDescent="0.3">
      <c r="F30773"/>
      <c r="G30773"/>
      <c r="H30773"/>
      <c r="I30773"/>
    </row>
    <row r="30774" spans="6:9" x14ac:dyDescent="0.3">
      <c r="F30774"/>
      <c r="G30774"/>
      <c r="H30774"/>
      <c r="I30774"/>
    </row>
    <row r="30775" spans="6:9" x14ac:dyDescent="0.3">
      <c r="F30775"/>
      <c r="G30775"/>
      <c r="H30775"/>
      <c r="I30775"/>
    </row>
    <row r="30776" spans="6:9" x14ac:dyDescent="0.3">
      <c r="F30776"/>
      <c r="G30776"/>
      <c r="H30776"/>
      <c r="I30776"/>
    </row>
    <row r="30777" spans="6:9" x14ac:dyDescent="0.3">
      <c r="F30777"/>
      <c r="G30777"/>
      <c r="H30777"/>
      <c r="I30777"/>
    </row>
    <row r="30778" spans="6:9" x14ac:dyDescent="0.3">
      <c r="F30778"/>
      <c r="G30778"/>
      <c r="H30778"/>
      <c r="I30778"/>
    </row>
    <row r="30779" spans="6:9" x14ac:dyDescent="0.3">
      <c r="F30779"/>
      <c r="G30779"/>
      <c r="H30779"/>
      <c r="I30779"/>
    </row>
    <row r="30780" spans="6:9" x14ac:dyDescent="0.3">
      <c r="F30780"/>
      <c r="G30780"/>
      <c r="H30780"/>
      <c r="I30780"/>
    </row>
    <row r="30781" spans="6:9" x14ac:dyDescent="0.3">
      <c r="F30781"/>
      <c r="G30781"/>
      <c r="H30781"/>
      <c r="I30781"/>
    </row>
    <row r="30782" spans="6:9" x14ac:dyDescent="0.3">
      <c r="F30782"/>
      <c r="G30782"/>
      <c r="H30782"/>
      <c r="I30782"/>
    </row>
    <row r="30783" spans="6:9" x14ac:dyDescent="0.3">
      <c r="F30783"/>
      <c r="G30783"/>
      <c r="H30783"/>
      <c r="I30783"/>
    </row>
    <row r="30784" spans="6:9" x14ac:dyDescent="0.3">
      <c r="F30784"/>
      <c r="G30784"/>
      <c r="H30784"/>
      <c r="I30784"/>
    </row>
    <row r="30785" spans="6:9" x14ac:dyDescent="0.3">
      <c r="F30785"/>
      <c r="G30785"/>
      <c r="H30785"/>
      <c r="I30785"/>
    </row>
    <row r="30786" spans="6:9" x14ac:dyDescent="0.3">
      <c r="F30786"/>
      <c r="G30786"/>
      <c r="H30786"/>
      <c r="I30786"/>
    </row>
    <row r="30787" spans="6:9" x14ac:dyDescent="0.3">
      <c r="F30787"/>
      <c r="G30787"/>
      <c r="H30787"/>
      <c r="I30787"/>
    </row>
    <row r="30788" spans="6:9" x14ac:dyDescent="0.3">
      <c r="F30788"/>
      <c r="G30788"/>
      <c r="H30788"/>
      <c r="I30788"/>
    </row>
    <row r="30789" spans="6:9" x14ac:dyDescent="0.3">
      <c r="F30789"/>
      <c r="G30789"/>
      <c r="H30789"/>
      <c r="I30789"/>
    </row>
    <row r="30790" spans="6:9" x14ac:dyDescent="0.3">
      <c r="F30790"/>
      <c r="G30790"/>
      <c r="H30790"/>
      <c r="I30790"/>
    </row>
    <row r="30791" spans="6:9" x14ac:dyDescent="0.3">
      <c r="F30791"/>
      <c r="G30791"/>
      <c r="H30791"/>
      <c r="I30791"/>
    </row>
    <row r="30792" spans="6:9" x14ac:dyDescent="0.3">
      <c r="F30792"/>
      <c r="G30792"/>
      <c r="H30792"/>
      <c r="I30792"/>
    </row>
    <row r="30793" spans="6:9" x14ac:dyDescent="0.3">
      <c r="F30793"/>
      <c r="G30793"/>
      <c r="H30793"/>
      <c r="I30793"/>
    </row>
    <row r="30794" spans="6:9" x14ac:dyDescent="0.3">
      <c r="F30794"/>
      <c r="G30794"/>
      <c r="H30794"/>
      <c r="I30794"/>
    </row>
    <row r="30795" spans="6:9" x14ac:dyDescent="0.3">
      <c r="F30795"/>
      <c r="G30795"/>
      <c r="H30795"/>
      <c r="I30795"/>
    </row>
    <row r="30796" spans="6:9" x14ac:dyDescent="0.3">
      <c r="F30796"/>
      <c r="G30796"/>
      <c r="H30796"/>
      <c r="I30796"/>
    </row>
    <row r="30797" spans="6:9" x14ac:dyDescent="0.3">
      <c r="F30797"/>
      <c r="G30797"/>
      <c r="H30797"/>
      <c r="I30797"/>
    </row>
    <row r="30798" spans="6:9" x14ac:dyDescent="0.3">
      <c r="F30798"/>
      <c r="G30798"/>
      <c r="H30798"/>
      <c r="I30798"/>
    </row>
    <row r="30799" spans="6:9" x14ac:dyDescent="0.3">
      <c r="F30799"/>
      <c r="G30799"/>
      <c r="H30799"/>
      <c r="I30799"/>
    </row>
    <row r="30800" spans="6:9" x14ac:dyDescent="0.3">
      <c r="F30800"/>
      <c r="G30800"/>
      <c r="H30800"/>
      <c r="I30800"/>
    </row>
    <row r="30801" spans="6:9" x14ac:dyDescent="0.3">
      <c r="F30801"/>
      <c r="G30801"/>
      <c r="H30801"/>
      <c r="I30801"/>
    </row>
    <row r="30802" spans="6:9" x14ac:dyDescent="0.3">
      <c r="F30802"/>
      <c r="G30802"/>
      <c r="H30802"/>
      <c r="I30802"/>
    </row>
    <row r="30803" spans="6:9" x14ac:dyDescent="0.3">
      <c r="F30803"/>
      <c r="G30803"/>
      <c r="H30803"/>
      <c r="I30803"/>
    </row>
    <row r="30804" spans="6:9" x14ac:dyDescent="0.3">
      <c r="F30804"/>
      <c r="G30804"/>
      <c r="H30804"/>
      <c r="I30804"/>
    </row>
    <row r="30805" spans="6:9" x14ac:dyDescent="0.3">
      <c r="F30805"/>
      <c r="G30805"/>
      <c r="H30805"/>
      <c r="I30805"/>
    </row>
    <row r="30806" spans="6:9" x14ac:dyDescent="0.3">
      <c r="F30806"/>
      <c r="G30806"/>
      <c r="H30806"/>
      <c r="I30806"/>
    </row>
    <row r="30807" spans="6:9" x14ac:dyDescent="0.3">
      <c r="F30807"/>
      <c r="G30807"/>
      <c r="H30807"/>
      <c r="I30807"/>
    </row>
    <row r="30808" spans="6:9" x14ac:dyDescent="0.3">
      <c r="F30808"/>
      <c r="G30808"/>
      <c r="H30808"/>
      <c r="I30808"/>
    </row>
    <row r="30809" spans="6:9" x14ac:dyDescent="0.3">
      <c r="F30809"/>
      <c r="G30809"/>
      <c r="H30809"/>
      <c r="I30809"/>
    </row>
    <row r="30810" spans="6:9" x14ac:dyDescent="0.3">
      <c r="F30810"/>
      <c r="G30810"/>
      <c r="H30810"/>
      <c r="I30810"/>
    </row>
    <row r="30811" spans="6:9" x14ac:dyDescent="0.3">
      <c r="F30811"/>
      <c r="G30811"/>
      <c r="H30811"/>
      <c r="I30811"/>
    </row>
    <row r="30812" spans="6:9" x14ac:dyDescent="0.3">
      <c r="F30812"/>
      <c r="G30812"/>
      <c r="H30812"/>
      <c r="I30812"/>
    </row>
    <row r="30813" spans="6:9" x14ac:dyDescent="0.3">
      <c r="F30813"/>
      <c r="G30813"/>
      <c r="H30813"/>
      <c r="I30813"/>
    </row>
    <row r="30814" spans="6:9" x14ac:dyDescent="0.3">
      <c r="F30814"/>
      <c r="G30814"/>
      <c r="H30814"/>
      <c r="I30814"/>
    </row>
    <row r="30815" spans="6:9" x14ac:dyDescent="0.3">
      <c r="F30815"/>
      <c r="G30815"/>
      <c r="H30815"/>
      <c r="I30815"/>
    </row>
    <row r="30816" spans="6:9" x14ac:dyDescent="0.3">
      <c r="F30816"/>
      <c r="G30816"/>
      <c r="H30816"/>
      <c r="I30816"/>
    </row>
    <row r="30817" spans="6:9" x14ac:dyDescent="0.3">
      <c r="F30817"/>
      <c r="G30817"/>
      <c r="H30817"/>
      <c r="I30817"/>
    </row>
    <row r="30818" spans="6:9" x14ac:dyDescent="0.3">
      <c r="F30818"/>
      <c r="G30818"/>
      <c r="H30818"/>
      <c r="I30818"/>
    </row>
    <row r="30819" spans="6:9" x14ac:dyDescent="0.3">
      <c r="F30819"/>
      <c r="G30819"/>
      <c r="H30819"/>
      <c r="I30819"/>
    </row>
    <row r="30820" spans="6:9" x14ac:dyDescent="0.3">
      <c r="F30820"/>
      <c r="G30820"/>
      <c r="H30820"/>
      <c r="I30820"/>
    </row>
    <row r="30821" spans="6:9" x14ac:dyDescent="0.3">
      <c r="F30821"/>
      <c r="G30821"/>
      <c r="H30821"/>
      <c r="I30821"/>
    </row>
    <row r="30822" spans="6:9" x14ac:dyDescent="0.3">
      <c r="F30822"/>
      <c r="G30822"/>
      <c r="H30822"/>
      <c r="I30822"/>
    </row>
    <row r="30823" spans="6:9" x14ac:dyDescent="0.3">
      <c r="F30823"/>
      <c r="G30823"/>
      <c r="H30823"/>
      <c r="I30823"/>
    </row>
    <row r="30824" spans="6:9" x14ac:dyDescent="0.3">
      <c r="F30824"/>
      <c r="G30824"/>
      <c r="H30824"/>
      <c r="I30824"/>
    </row>
    <row r="30825" spans="6:9" x14ac:dyDescent="0.3">
      <c r="F30825"/>
      <c r="G30825"/>
      <c r="H30825"/>
      <c r="I30825"/>
    </row>
    <row r="30826" spans="6:9" x14ac:dyDescent="0.3">
      <c r="F30826"/>
      <c r="G30826"/>
      <c r="H30826"/>
      <c r="I30826"/>
    </row>
    <row r="30827" spans="6:9" x14ac:dyDescent="0.3">
      <c r="F30827"/>
      <c r="G30827"/>
      <c r="H30827"/>
      <c r="I30827"/>
    </row>
    <row r="30828" spans="6:9" x14ac:dyDescent="0.3">
      <c r="F30828"/>
      <c r="G30828"/>
      <c r="H30828"/>
      <c r="I30828"/>
    </row>
    <row r="30829" spans="6:9" x14ac:dyDescent="0.3">
      <c r="F30829"/>
      <c r="G30829"/>
      <c r="H30829"/>
      <c r="I30829"/>
    </row>
    <row r="30830" spans="6:9" x14ac:dyDescent="0.3">
      <c r="F30830"/>
      <c r="G30830"/>
      <c r="H30830"/>
      <c r="I30830"/>
    </row>
    <row r="30831" spans="6:9" x14ac:dyDescent="0.3">
      <c r="F30831"/>
      <c r="G30831"/>
      <c r="H30831"/>
      <c r="I30831"/>
    </row>
    <row r="30832" spans="6:9" x14ac:dyDescent="0.3">
      <c r="F30832"/>
      <c r="G30832"/>
      <c r="H30832"/>
      <c r="I30832"/>
    </row>
    <row r="30833" spans="6:9" x14ac:dyDescent="0.3">
      <c r="F30833"/>
      <c r="G30833"/>
      <c r="H30833"/>
      <c r="I30833"/>
    </row>
    <row r="30834" spans="6:9" x14ac:dyDescent="0.3">
      <c r="F30834"/>
      <c r="G30834"/>
      <c r="H30834"/>
      <c r="I30834"/>
    </row>
    <row r="30835" spans="6:9" x14ac:dyDescent="0.3">
      <c r="F30835"/>
      <c r="G30835"/>
      <c r="H30835"/>
      <c r="I30835"/>
    </row>
    <row r="30836" spans="6:9" x14ac:dyDescent="0.3">
      <c r="F30836"/>
      <c r="G30836"/>
      <c r="H30836"/>
      <c r="I30836"/>
    </row>
    <row r="30837" spans="6:9" x14ac:dyDescent="0.3">
      <c r="F30837"/>
      <c r="G30837"/>
      <c r="H30837"/>
      <c r="I30837"/>
    </row>
    <row r="30838" spans="6:9" x14ac:dyDescent="0.3">
      <c r="F30838"/>
      <c r="G30838"/>
      <c r="H30838"/>
      <c r="I30838"/>
    </row>
    <row r="30839" spans="6:9" x14ac:dyDescent="0.3">
      <c r="F30839"/>
      <c r="G30839"/>
      <c r="H30839"/>
      <c r="I30839"/>
    </row>
    <row r="30840" spans="6:9" x14ac:dyDescent="0.3">
      <c r="F30840"/>
      <c r="G30840"/>
      <c r="H30840"/>
      <c r="I30840"/>
    </row>
    <row r="30841" spans="6:9" x14ac:dyDescent="0.3">
      <c r="F30841"/>
      <c r="G30841"/>
      <c r="H30841"/>
      <c r="I30841"/>
    </row>
    <row r="30842" spans="6:9" x14ac:dyDescent="0.3">
      <c r="F30842"/>
      <c r="G30842"/>
      <c r="H30842"/>
      <c r="I30842"/>
    </row>
    <row r="30843" spans="6:9" x14ac:dyDescent="0.3">
      <c r="F30843"/>
      <c r="G30843"/>
      <c r="H30843"/>
      <c r="I30843"/>
    </row>
    <row r="30844" spans="6:9" x14ac:dyDescent="0.3">
      <c r="F30844"/>
      <c r="G30844"/>
      <c r="H30844"/>
      <c r="I30844"/>
    </row>
    <row r="30845" spans="6:9" x14ac:dyDescent="0.3">
      <c r="F30845"/>
      <c r="G30845"/>
      <c r="H30845"/>
      <c r="I30845"/>
    </row>
    <row r="30846" spans="6:9" x14ac:dyDescent="0.3">
      <c r="F30846"/>
      <c r="G30846"/>
      <c r="H30846"/>
      <c r="I30846"/>
    </row>
    <row r="30847" spans="6:9" x14ac:dyDescent="0.3">
      <c r="F30847"/>
      <c r="G30847"/>
      <c r="H30847"/>
      <c r="I30847"/>
    </row>
    <row r="30848" spans="6:9" x14ac:dyDescent="0.3">
      <c r="F30848"/>
      <c r="G30848"/>
      <c r="H30848"/>
      <c r="I30848"/>
    </row>
    <row r="30849" spans="6:9" x14ac:dyDescent="0.3">
      <c r="F30849"/>
      <c r="G30849"/>
      <c r="H30849"/>
      <c r="I30849"/>
    </row>
    <row r="30850" spans="6:9" x14ac:dyDescent="0.3">
      <c r="F30850"/>
      <c r="G30850"/>
      <c r="H30850"/>
      <c r="I30850"/>
    </row>
    <row r="30851" spans="6:9" x14ac:dyDescent="0.3">
      <c r="F30851"/>
      <c r="G30851"/>
      <c r="H30851"/>
      <c r="I30851"/>
    </row>
    <row r="30852" spans="6:9" x14ac:dyDescent="0.3">
      <c r="F30852"/>
      <c r="G30852"/>
      <c r="H30852"/>
      <c r="I30852"/>
    </row>
    <row r="30853" spans="6:9" x14ac:dyDescent="0.3">
      <c r="F30853"/>
      <c r="G30853"/>
      <c r="H30853"/>
      <c r="I30853"/>
    </row>
    <row r="30854" spans="6:9" x14ac:dyDescent="0.3">
      <c r="F30854"/>
      <c r="G30854"/>
      <c r="H30854"/>
      <c r="I30854"/>
    </row>
    <row r="30855" spans="6:9" x14ac:dyDescent="0.3">
      <c r="F30855"/>
      <c r="G30855"/>
      <c r="H30855"/>
      <c r="I30855"/>
    </row>
    <row r="30856" spans="6:9" x14ac:dyDescent="0.3">
      <c r="F30856"/>
      <c r="G30856"/>
      <c r="H30856"/>
      <c r="I30856"/>
    </row>
    <row r="30857" spans="6:9" x14ac:dyDescent="0.3">
      <c r="F30857"/>
      <c r="G30857"/>
      <c r="H30857"/>
      <c r="I30857"/>
    </row>
    <row r="30858" spans="6:9" x14ac:dyDescent="0.3">
      <c r="F30858"/>
      <c r="G30858"/>
      <c r="H30858"/>
      <c r="I30858"/>
    </row>
    <row r="30859" spans="6:9" x14ac:dyDescent="0.3">
      <c r="F30859"/>
      <c r="G30859"/>
      <c r="H30859"/>
      <c r="I30859"/>
    </row>
    <row r="30860" spans="6:9" x14ac:dyDescent="0.3">
      <c r="F30860"/>
      <c r="G30860"/>
      <c r="H30860"/>
      <c r="I30860"/>
    </row>
    <row r="30861" spans="6:9" x14ac:dyDescent="0.3">
      <c r="F30861"/>
      <c r="G30861"/>
      <c r="H30861"/>
      <c r="I30861"/>
    </row>
    <row r="30862" spans="6:9" x14ac:dyDescent="0.3">
      <c r="F30862"/>
      <c r="G30862"/>
      <c r="H30862"/>
      <c r="I30862"/>
    </row>
    <row r="30863" spans="6:9" x14ac:dyDescent="0.3">
      <c r="F30863"/>
      <c r="G30863"/>
      <c r="H30863"/>
      <c r="I30863"/>
    </row>
    <row r="30864" spans="6:9" x14ac:dyDescent="0.3">
      <c r="F30864"/>
      <c r="G30864"/>
      <c r="H30864"/>
      <c r="I30864"/>
    </row>
    <row r="30865" spans="6:9" x14ac:dyDescent="0.3">
      <c r="F30865"/>
      <c r="G30865"/>
      <c r="H30865"/>
      <c r="I30865"/>
    </row>
    <row r="30866" spans="6:9" x14ac:dyDescent="0.3">
      <c r="F30866"/>
      <c r="G30866"/>
      <c r="H30866"/>
      <c r="I30866"/>
    </row>
    <row r="30867" spans="6:9" x14ac:dyDescent="0.3">
      <c r="F30867"/>
      <c r="G30867"/>
      <c r="H30867"/>
      <c r="I30867"/>
    </row>
    <row r="30868" spans="6:9" x14ac:dyDescent="0.3">
      <c r="F30868"/>
      <c r="G30868"/>
      <c r="H30868"/>
      <c r="I30868"/>
    </row>
    <row r="30869" spans="6:9" x14ac:dyDescent="0.3">
      <c r="F30869"/>
      <c r="G30869"/>
      <c r="H30869"/>
      <c r="I30869"/>
    </row>
    <row r="30870" spans="6:9" x14ac:dyDescent="0.3">
      <c r="F30870"/>
      <c r="G30870"/>
      <c r="H30870"/>
      <c r="I30870"/>
    </row>
    <row r="30871" spans="6:9" x14ac:dyDescent="0.3">
      <c r="F30871"/>
      <c r="G30871"/>
      <c r="H30871"/>
      <c r="I30871"/>
    </row>
    <row r="30872" spans="6:9" x14ac:dyDescent="0.3">
      <c r="F30872"/>
      <c r="G30872"/>
      <c r="H30872"/>
      <c r="I30872"/>
    </row>
    <row r="30873" spans="6:9" x14ac:dyDescent="0.3">
      <c r="F30873"/>
      <c r="G30873"/>
      <c r="H30873"/>
      <c r="I30873"/>
    </row>
    <row r="30874" spans="6:9" x14ac:dyDescent="0.3">
      <c r="F30874"/>
      <c r="G30874"/>
      <c r="H30874"/>
      <c r="I30874"/>
    </row>
    <row r="30875" spans="6:9" x14ac:dyDescent="0.3">
      <c r="F30875"/>
      <c r="G30875"/>
      <c r="H30875"/>
      <c r="I30875"/>
    </row>
    <row r="30876" spans="6:9" x14ac:dyDescent="0.3">
      <c r="F30876"/>
      <c r="G30876"/>
      <c r="H30876"/>
      <c r="I30876"/>
    </row>
    <row r="30877" spans="6:9" x14ac:dyDescent="0.3">
      <c r="F30877"/>
      <c r="G30877"/>
      <c r="H30877"/>
      <c r="I30877"/>
    </row>
    <row r="30878" spans="6:9" x14ac:dyDescent="0.3">
      <c r="F30878"/>
      <c r="G30878"/>
      <c r="H30878"/>
      <c r="I30878"/>
    </row>
    <row r="30879" spans="6:9" x14ac:dyDescent="0.3">
      <c r="F30879"/>
      <c r="G30879"/>
      <c r="H30879"/>
      <c r="I30879"/>
    </row>
    <row r="30880" spans="6:9" x14ac:dyDescent="0.3">
      <c r="F30880"/>
      <c r="G30880"/>
      <c r="H30880"/>
      <c r="I30880"/>
    </row>
    <row r="30881" spans="6:9" x14ac:dyDescent="0.3">
      <c r="F30881"/>
      <c r="G30881"/>
      <c r="H30881"/>
      <c r="I30881"/>
    </row>
    <row r="30882" spans="6:9" x14ac:dyDescent="0.3">
      <c r="F30882"/>
      <c r="G30882"/>
      <c r="H30882"/>
      <c r="I30882"/>
    </row>
    <row r="30883" spans="6:9" x14ac:dyDescent="0.3">
      <c r="F30883"/>
      <c r="G30883"/>
      <c r="H30883"/>
      <c r="I30883"/>
    </row>
    <row r="30884" spans="6:9" x14ac:dyDescent="0.3">
      <c r="F30884"/>
      <c r="G30884"/>
      <c r="H30884"/>
      <c r="I30884"/>
    </row>
    <row r="30885" spans="6:9" x14ac:dyDescent="0.3">
      <c r="F30885"/>
      <c r="G30885"/>
      <c r="H30885"/>
      <c r="I30885"/>
    </row>
    <row r="30886" spans="6:9" x14ac:dyDescent="0.3">
      <c r="F30886"/>
      <c r="G30886"/>
      <c r="H30886"/>
      <c r="I30886"/>
    </row>
    <row r="30887" spans="6:9" x14ac:dyDescent="0.3">
      <c r="F30887"/>
      <c r="G30887"/>
      <c r="H30887"/>
      <c r="I30887"/>
    </row>
    <row r="30888" spans="6:9" x14ac:dyDescent="0.3">
      <c r="F30888"/>
      <c r="G30888"/>
      <c r="H30888"/>
      <c r="I30888"/>
    </row>
    <row r="30889" spans="6:9" x14ac:dyDescent="0.3">
      <c r="F30889"/>
      <c r="G30889"/>
      <c r="H30889"/>
      <c r="I30889"/>
    </row>
    <row r="30890" spans="6:9" x14ac:dyDescent="0.3">
      <c r="F30890"/>
      <c r="G30890"/>
      <c r="H30890"/>
      <c r="I30890"/>
    </row>
    <row r="30891" spans="6:9" x14ac:dyDescent="0.3">
      <c r="F30891"/>
      <c r="G30891"/>
      <c r="H30891"/>
      <c r="I30891"/>
    </row>
    <row r="30892" spans="6:9" x14ac:dyDescent="0.3">
      <c r="F30892"/>
      <c r="G30892"/>
      <c r="H30892"/>
      <c r="I30892"/>
    </row>
    <row r="30893" spans="6:9" x14ac:dyDescent="0.3">
      <c r="F30893"/>
      <c r="G30893"/>
      <c r="H30893"/>
      <c r="I30893"/>
    </row>
    <row r="30894" spans="6:9" x14ac:dyDescent="0.3">
      <c r="F30894"/>
      <c r="G30894"/>
      <c r="H30894"/>
      <c r="I30894"/>
    </row>
    <row r="30895" spans="6:9" x14ac:dyDescent="0.3">
      <c r="F30895"/>
      <c r="G30895"/>
      <c r="H30895"/>
      <c r="I30895"/>
    </row>
    <row r="30896" spans="6:9" x14ac:dyDescent="0.3">
      <c r="F30896"/>
      <c r="G30896"/>
      <c r="H30896"/>
      <c r="I30896"/>
    </row>
    <row r="30897" spans="6:9" x14ac:dyDescent="0.3">
      <c r="F30897"/>
      <c r="G30897"/>
      <c r="H30897"/>
      <c r="I30897"/>
    </row>
    <row r="30898" spans="6:9" x14ac:dyDescent="0.3">
      <c r="F30898"/>
      <c r="G30898"/>
      <c r="H30898"/>
      <c r="I30898"/>
    </row>
    <row r="30899" spans="6:9" x14ac:dyDescent="0.3">
      <c r="F30899"/>
      <c r="G30899"/>
      <c r="H30899"/>
      <c r="I30899"/>
    </row>
    <row r="30900" spans="6:9" x14ac:dyDescent="0.3">
      <c r="F30900"/>
      <c r="G30900"/>
      <c r="H30900"/>
      <c r="I30900"/>
    </row>
    <row r="30901" spans="6:9" x14ac:dyDescent="0.3">
      <c r="F30901"/>
      <c r="G30901"/>
      <c r="H30901"/>
      <c r="I30901"/>
    </row>
    <row r="30902" spans="6:9" x14ac:dyDescent="0.3">
      <c r="F30902"/>
      <c r="G30902"/>
      <c r="H30902"/>
      <c r="I30902"/>
    </row>
    <row r="30903" spans="6:9" x14ac:dyDescent="0.3">
      <c r="F30903"/>
      <c r="G30903"/>
      <c r="H30903"/>
      <c r="I30903"/>
    </row>
    <row r="30904" spans="6:9" x14ac:dyDescent="0.3">
      <c r="F30904"/>
      <c r="G30904"/>
      <c r="H30904"/>
      <c r="I30904"/>
    </row>
    <row r="30905" spans="6:9" x14ac:dyDescent="0.3">
      <c r="F30905"/>
      <c r="G30905"/>
      <c r="H30905"/>
      <c r="I30905"/>
    </row>
    <row r="30906" spans="6:9" x14ac:dyDescent="0.3">
      <c r="F30906"/>
      <c r="G30906"/>
      <c r="H30906"/>
      <c r="I30906"/>
    </row>
    <row r="30907" spans="6:9" x14ac:dyDescent="0.3">
      <c r="F30907"/>
      <c r="G30907"/>
      <c r="H30907"/>
      <c r="I30907"/>
    </row>
    <row r="30908" spans="6:9" x14ac:dyDescent="0.3">
      <c r="F30908"/>
      <c r="G30908"/>
      <c r="H30908"/>
      <c r="I30908"/>
    </row>
    <row r="30909" spans="6:9" x14ac:dyDescent="0.3">
      <c r="F30909"/>
      <c r="G30909"/>
      <c r="H30909"/>
      <c r="I30909"/>
    </row>
    <row r="30910" spans="6:9" x14ac:dyDescent="0.3">
      <c r="F30910"/>
      <c r="G30910"/>
      <c r="H30910"/>
      <c r="I30910"/>
    </row>
    <row r="30911" spans="6:9" x14ac:dyDescent="0.3">
      <c r="F30911"/>
      <c r="G30911"/>
      <c r="H30911"/>
      <c r="I30911"/>
    </row>
    <row r="30912" spans="6:9" x14ac:dyDescent="0.3">
      <c r="F30912"/>
      <c r="G30912"/>
      <c r="H30912"/>
      <c r="I30912"/>
    </row>
    <row r="30913" spans="6:9" x14ac:dyDescent="0.3">
      <c r="F30913"/>
      <c r="G30913"/>
      <c r="H30913"/>
      <c r="I30913"/>
    </row>
    <row r="30914" spans="6:9" x14ac:dyDescent="0.3">
      <c r="F30914"/>
      <c r="G30914"/>
      <c r="H30914"/>
      <c r="I30914"/>
    </row>
    <row r="30915" spans="6:9" x14ac:dyDescent="0.3">
      <c r="F30915"/>
      <c r="G30915"/>
      <c r="H30915"/>
      <c r="I30915"/>
    </row>
    <row r="30916" spans="6:9" x14ac:dyDescent="0.3">
      <c r="F30916"/>
      <c r="G30916"/>
      <c r="H30916"/>
      <c r="I30916"/>
    </row>
    <row r="30917" spans="6:9" x14ac:dyDescent="0.3">
      <c r="F30917"/>
      <c r="G30917"/>
      <c r="H30917"/>
      <c r="I30917"/>
    </row>
    <row r="30918" spans="6:9" x14ac:dyDescent="0.3">
      <c r="F30918"/>
      <c r="G30918"/>
      <c r="H30918"/>
      <c r="I30918"/>
    </row>
    <row r="30919" spans="6:9" x14ac:dyDescent="0.3">
      <c r="F30919"/>
      <c r="G30919"/>
      <c r="H30919"/>
      <c r="I30919"/>
    </row>
    <row r="30920" spans="6:9" x14ac:dyDescent="0.3">
      <c r="F30920"/>
      <c r="G30920"/>
      <c r="H30920"/>
      <c r="I30920"/>
    </row>
    <row r="30921" spans="6:9" x14ac:dyDescent="0.3">
      <c r="F30921"/>
      <c r="G30921"/>
      <c r="H30921"/>
      <c r="I30921"/>
    </row>
    <row r="30922" spans="6:9" x14ac:dyDescent="0.3">
      <c r="F30922"/>
      <c r="G30922"/>
      <c r="H30922"/>
      <c r="I30922"/>
    </row>
    <row r="30923" spans="6:9" x14ac:dyDescent="0.3">
      <c r="F30923"/>
      <c r="G30923"/>
      <c r="H30923"/>
      <c r="I30923"/>
    </row>
    <row r="30924" spans="6:9" x14ac:dyDescent="0.3">
      <c r="F30924"/>
      <c r="G30924"/>
      <c r="H30924"/>
      <c r="I30924"/>
    </row>
    <row r="30925" spans="6:9" x14ac:dyDescent="0.3">
      <c r="F30925"/>
      <c r="G30925"/>
      <c r="H30925"/>
      <c r="I30925"/>
    </row>
    <row r="30926" spans="6:9" x14ac:dyDescent="0.3">
      <c r="F30926"/>
      <c r="G30926"/>
      <c r="H30926"/>
      <c r="I30926"/>
    </row>
    <row r="30927" spans="6:9" x14ac:dyDescent="0.3">
      <c r="F30927"/>
      <c r="G30927"/>
      <c r="H30927"/>
      <c r="I30927"/>
    </row>
    <row r="30928" spans="6:9" x14ac:dyDescent="0.3">
      <c r="F30928"/>
      <c r="G30928"/>
      <c r="H30928"/>
      <c r="I30928"/>
    </row>
    <row r="30929" spans="6:9" x14ac:dyDescent="0.3">
      <c r="F30929"/>
      <c r="G30929"/>
      <c r="H30929"/>
      <c r="I30929"/>
    </row>
    <row r="30930" spans="6:9" x14ac:dyDescent="0.3">
      <c r="F30930"/>
      <c r="G30930"/>
      <c r="H30930"/>
      <c r="I30930"/>
    </row>
    <row r="30931" spans="6:9" x14ac:dyDescent="0.3">
      <c r="F30931"/>
      <c r="G30931"/>
      <c r="H30931"/>
      <c r="I30931"/>
    </row>
    <row r="30932" spans="6:9" x14ac:dyDescent="0.3">
      <c r="F30932"/>
      <c r="G30932"/>
      <c r="H30932"/>
      <c r="I30932"/>
    </row>
    <row r="30933" spans="6:9" x14ac:dyDescent="0.3">
      <c r="F30933"/>
      <c r="G30933"/>
      <c r="H30933"/>
      <c r="I30933"/>
    </row>
    <row r="30934" spans="6:9" x14ac:dyDescent="0.3">
      <c r="F30934"/>
      <c r="G30934"/>
      <c r="H30934"/>
      <c r="I30934"/>
    </row>
    <row r="30935" spans="6:9" x14ac:dyDescent="0.3">
      <c r="F30935"/>
      <c r="G30935"/>
      <c r="H30935"/>
      <c r="I30935"/>
    </row>
    <row r="30936" spans="6:9" x14ac:dyDescent="0.3">
      <c r="F30936"/>
      <c r="G30936"/>
      <c r="H30936"/>
      <c r="I30936"/>
    </row>
    <row r="30937" spans="6:9" x14ac:dyDescent="0.3">
      <c r="F30937"/>
      <c r="G30937"/>
      <c r="H30937"/>
      <c r="I30937"/>
    </row>
    <row r="30938" spans="6:9" x14ac:dyDescent="0.3">
      <c r="F30938"/>
      <c r="G30938"/>
      <c r="H30938"/>
      <c r="I30938"/>
    </row>
    <row r="30939" spans="6:9" x14ac:dyDescent="0.3">
      <c r="F30939"/>
      <c r="G30939"/>
      <c r="H30939"/>
      <c r="I30939"/>
    </row>
    <row r="30940" spans="6:9" x14ac:dyDescent="0.3">
      <c r="F30940"/>
      <c r="G30940"/>
      <c r="H30940"/>
      <c r="I30940"/>
    </row>
    <row r="30941" spans="6:9" x14ac:dyDescent="0.3">
      <c r="F30941"/>
      <c r="G30941"/>
      <c r="H30941"/>
      <c r="I30941"/>
    </row>
    <row r="30942" spans="6:9" x14ac:dyDescent="0.3">
      <c r="F30942"/>
      <c r="G30942"/>
      <c r="H30942"/>
      <c r="I30942"/>
    </row>
    <row r="30943" spans="6:9" x14ac:dyDescent="0.3">
      <c r="F30943"/>
      <c r="G30943"/>
      <c r="H30943"/>
      <c r="I30943"/>
    </row>
    <row r="30944" spans="6:9" x14ac:dyDescent="0.3">
      <c r="F30944"/>
      <c r="G30944"/>
      <c r="H30944"/>
      <c r="I30944"/>
    </row>
    <row r="30945" spans="6:9" x14ac:dyDescent="0.3">
      <c r="F30945"/>
      <c r="G30945"/>
      <c r="H30945"/>
      <c r="I30945"/>
    </row>
    <row r="30946" spans="6:9" x14ac:dyDescent="0.3">
      <c r="F30946"/>
      <c r="G30946"/>
      <c r="H30946"/>
      <c r="I30946"/>
    </row>
    <row r="30947" spans="6:9" x14ac:dyDescent="0.3">
      <c r="F30947"/>
      <c r="G30947"/>
      <c r="H30947"/>
      <c r="I30947"/>
    </row>
    <row r="30948" spans="6:9" x14ac:dyDescent="0.3">
      <c r="F30948"/>
      <c r="G30948"/>
      <c r="H30948"/>
      <c r="I30948"/>
    </row>
    <row r="30949" spans="6:9" x14ac:dyDescent="0.3">
      <c r="F30949"/>
      <c r="G30949"/>
      <c r="H30949"/>
      <c r="I30949"/>
    </row>
    <row r="30950" spans="6:9" x14ac:dyDescent="0.3">
      <c r="F30950"/>
      <c r="G30950"/>
      <c r="H30950"/>
      <c r="I30950"/>
    </row>
    <row r="30951" spans="6:9" x14ac:dyDescent="0.3">
      <c r="F30951"/>
      <c r="G30951"/>
      <c r="H30951"/>
      <c r="I30951"/>
    </row>
    <row r="30952" spans="6:9" x14ac:dyDescent="0.3">
      <c r="F30952"/>
      <c r="G30952"/>
      <c r="H30952"/>
      <c r="I30952"/>
    </row>
    <row r="30953" spans="6:9" x14ac:dyDescent="0.3">
      <c r="F30953"/>
      <c r="G30953"/>
      <c r="H30953"/>
      <c r="I30953"/>
    </row>
    <row r="30954" spans="6:9" x14ac:dyDescent="0.3">
      <c r="F30954"/>
      <c r="G30954"/>
      <c r="H30954"/>
      <c r="I30954"/>
    </row>
    <row r="30955" spans="6:9" x14ac:dyDescent="0.3">
      <c r="F30955"/>
      <c r="G30955"/>
      <c r="H30955"/>
      <c r="I30955"/>
    </row>
    <row r="30956" spans="6:9" x14ac:dyDescent="0.3">
      <c r="F30956"/>
      <c r="G30956"/>
      <c r="H30956"/>
      <c r="I30956"/>
    </row>
    <row r="30957" spans="6:9" x14ac:dyDescent="0.3">
      <c r="F30957"/>
      <c r="G30957"/>
      <c r="H30957"/>
      <c r="I30957"/>
    </row>
    <row r="30958" spans="6:9" x14ac:dyDescent="0.3">
      <c r="F30958"/>
      <c r="G30958"/>
      <c r="H30958"/>
      <c r="I30958"/>
    </row>
    <row r="30959" spans="6:9" x14ac:dyDescent="0.3">
      <c r="F30959"/>
      <c r="G30959"/>
      <c r="H30959"/>
      <c r="I30959"/>
    </row>
    <row r="30960" spans="6:9" x14ac:dyDescent="0.3">
      <c r="F30960"/>
      <c r="G30960"/>
      <c r="H30960"/>
      <c r="I30960"/>
    </row>
    <row r="30961" spans="6:9" x14ac:dyDescent="0.3">
      <c r="F30961"/>
      <c r="G30961"/>
      <c r="H30961"/>
      <c r="I30961"/>
    </row>
    <row r="30962" spans="6:9" x14ac:dyDescent="0.3">
      <c r="F30962"/>
      <c r="G30962"/>
      <c r="H30962"/>
      <c r="I30962"/>
    </row>
    <row r="30963" spans="6:9" x14ac:dyDescent="0.3">
      <c r="F30963"/>
      <c r="G30963"/>
      <c r="H30963"/>
      <c r="I30963"/>
    </row>
    <row r="30964" spans="6:9" x14ac:dyDescent="0.3">
      <c r="F30964"/>
      <c r="G30964"/>
      <c r="H30964"/>
      <c r="I30964"/>
    </row>
    <row r="30965" spans="6:9" x14ac:dyDescent="0.3">
      <c r="F30965"/>
      <c r="G30965"/>
      <c r="H30965"/>
      <c r="I30965"/>
    </row>
    <row r="30966" spans="6:9" x14ac:dyDescent="0.3">
      <c r="F30966"/>
      <c r="G30966"/>
      <c r="H30966"/>
      <c r="I30966"/>
    </row>
    <row r="30967" spans="6:9" x14ac:dyDescent="0.3">
      <c r="F30967"/>
      <c r="G30967"/>
      <c r="H30967"/>
      <c r="I30967"/>
    </row>
    <row r="30968" spans="6:9" x14ac:dyDescent="0.3">
      <c r="F30968"/>
      <c r="G30968"/>
      <c r="H30968"/>
      <c r="I30968"/>
    </row>
    <row r="30969" spans="6:9" x14ac:dyDescent="0.3">
      <c r="F30969"/>
      <c r="G30969"/>
      <c r="H30969"/>
      <c r="I30969"/>
    </row>
    <row r="30970" spans="6:9" x14ac:dyDescent="0.3">
      <c r="F30970"/>
      <c r="G30970"/>
      <c r="H30970"/>
      <c r="I30970"/>
    </row>
    <row r="30971" spans="6:9" x14ac:dyDescent="0.3">
      <c r="F30971"/>
      <c r="G30971"/>
      <c r="H30971"/>
      <c r="I30971"/>
    </row>
    <row r="30972" spans="6:9" x14ac:dyDescent="0.3">
      <c r="F30972"/>
      <c r="G30972"/>
      <c r="H30972"/>
      <c r="I30972"/>
    </row>
    <row r="30973" spans="6:9" x14ac:dyDescent="0.3">
      <c r="F30973"/>
      <c r="G30973"/>
      <c r="H30973"/>
      <c r="I30973"/>
    </row>
    <row r="30974" spans="6:9" x14ac:dyDescent="0.3">
      <c r="F30974"/>
      <c r="G30974"/>
      <c r="H30974"/>
      <c r="I30974"/>
    </row>
    <row r="30975" spans="6:9" x14ac:dyDescent="0.3">
      <c r="F30975"/>
      <c r="G30975"/>
      <c r="H30975"/>
      <c r="I30975"/>
    </row>
    <row r="30976" spans="6:9" x14ac:dyDescent="0.3">
      <c r="F30976"/>
      <c r="G30976"/>
      <c r="H30976"/>
      <c r="I30976"/>
    </row>
    <row r="30977" spans="6:9" x14ac:dyDescent="0.3">
      <c r="F30977"/>
      <c r="G30977"/>
      <c r="H30977"/>
      <c r="I30977"/>
    </row>
    <row r="30978" spans="6:9" x14ac:dyDescent="0.3">
      <c r="F30978"/>
      <c r="G30978"/>
      <c r="H30978"/>
      <c r="I30978"/>
    </row>
    <row r="30979" spans="6:9" x14ac:dyDescent="0.3">
      <c r="F30979"/>
      <c r="G30979"/>
      <c r="H30979"/>
      <c r="I30979"/>
    </row>
    <row r="30980" spans="6:9" x14ac:dyDescent="0.3">
      <c r="F30980"/>
      <c r="G30980"/>
      <c r="H30980"/>
      <c r="I30980"/>
    </row>
    <row r="30981" spans="6:9" x14ac:dyDescent="0.3">
      <c r="F30981"/>
      <c r="G30981"/>
      <c r="H30981"/>
      <c r="I30981"/>
    </row>
    <row r="30982" spans="6:9" x14ac:dyDescent="0.3">
      <c r="F30982"/>
      <c r="G30982"/>
      <c r="H30982"/>
      <c r="I30982"/>
    </row>
    <row r="30983" spans="6:9" x14ac:dyDescent="0.3">
      <c r="F30983"/>
      <c r="G30983"/>
      <c r="H30983"/>
      <c r="I30983"/>
    </row>
    <row r="30984" spans="6:9" x14ac:dyDescent="0.3">
      <c r="F30984"/>
      <c r="G30984"/>
      <c r="H30984"/>
      <c r="I30984"/>
    </row>
    <row r="30985" spans="6:9" x14ac:dyDescent="0.3">
      <c r="F30985"/>
      <c r="G30985"/>
      <c r="H30985"/>
      <c r="I30985"/>
    </row>
    <row r="30986" spans="6:9" x14ac:dyDescent="0.3">
      <c r="F30986"/>
      <c r="G30986"/>
      <c r="H30986"/>
      <c r="I30986"/>
    </row>
    <row r="30987" spans="6:9" x14ac:dyDescent="0.3">
      <c r="F30987"/>
      <c r="G30987"/>
      <c r="H30987"/>
      <c r="I30987"/>
    </row>
    <row r="30988" spans="6:9" x14ac:dyDescent="0.3">
      <c r="F30988"/>
      <c r="G30988"/>
      <c r="H30988"/>
      <c r="I30988"/>
    </row>
    <row r="30989" spans="6:9" x14ac:dyDescent="0.3">
      <c r="F30989"/>
      <c r="G30989"/>
      <c r="H30989"/>
      <c r="I30989"/>
    </row>
    <row r="30990" spans="6:9" x14ac:dyDescent="0.3">
      <c r="F30990"/>
      <c r="G30990"/>
      <c r="H30990"/>
      <c r="I30990"/>
    </row>
    <row r="30991" spans="6:9" x14ac:dyDescent="0.3">
      <c r="F30991"/>
      <c r="G30991"/>
      <c r="H30991"/>
      <c r="I30991"/>
    </row>
    <row r="30992" spans="6:9" x14ac:dyDescent="0.3">
      <c r="F30992"/>
      <c r="G30992"/>
      <c r="H30992"/>
      <c r="I30992"/>
    </row>
    <row r="30993" spans="6:9" x14ac:dyDescent="0.3">
      <c r="F30993"/>
      <c r="G30993"/>
      <c r="H30993"/>
      <c r="I30993"/>
    </row>
    <row r="30994" spans="6:9" x14ac:dyDescent="0.3">
      <c r="F30994"/>
      <c r="G30994"/>
      <c r="H30994"/>
      <c r="I30994"/>
    </row>
    <row r="30995" spans="6:9" x14ac:dyDescent="0.3">
      <c r="F30995"/>
      <c r="G30995"/>
      <c r="H30995"/>
      <c r="I30995"/>
    </row>
    <row r="30996" spans="6:9" x14ac:dyDescent="0.3">
      <c r="F30996"/>
      <c r="G30996"/>
      <c r="H30996"/>
      <c r="I30996"/>
    </row>
    <row r="30997" spans="6:9" x14ac:dyDescent="0.3">
      <c r="F30997"/>
      <c r="G30997"/>
      <c r="H30997"/>
      <c r="I30997"/>
    </row>
    <row r="30998" spans="6:9" x14ac:dyDescent="0.3">
      <c r="F30998"/>
      <c r="G30998"/>
      <c r="H30998"/>
      <c r="I30998"/>
    </row>
    <row r="30999" spans="6:9" x14ac:dyDescent="0.3">
      <c r="F30999"/>
      <c r="G30999"/>
      <c r="H30999"/>
      <c r="I30999"/>
    </row>
    <row r="31000" spans="6:9" x14ac:dyDescent="0.3">
      <c r="F31000"/>
      <c r="G31000"/>
      <c r="H31000"/>
      <c r="I31000"/>
    </row>
    <row r="31001" spans="6:9" x14ac:dyDescent="0.3">
      <c r="F31001"/>
      <c r="G31001"/>
      <c r="H31001"/>
      <c r="I31001"/>
    </row>
    <row r="31002" spans="6:9" x14ac:dyDescent="0.3">
      <c r="F31002"/>
      <c r="G31002"/>
      <c r="H31002"/>
      <c r="I31002"/>
    </row>
    <row r="31003" spans="6:9" x14ac:dyDescent="0.3">
      <c r="F31003"/>
      <c r="G31003"/>
      <c r="H31003"/>
      <c r="I31003"/>
    </row>
    <row r="31004" spans="6:9" x14ac:dyDescent="0.3">
      <c r="F31004"/>
      <c r="G31004"/>
      <c r="H31004"/>
      <c r="I31004"/>
    </row>
    <row r="31005" spans="6:9" x14ac:dyDescent="0.3">
      <c r="F31005"/>
      <c r="G31005"/>
      <c r="H31005"/>
      <c r="I31005"/>
    </row>
    <row r="31006" spans="6:9" x14ac:dyDescent="0.3">
      <c r="F31006"/>
      <c r="G31006"/>
      <c r="H31006"/>
      <c r="I31006"/>
    </row>
    <row r="31007" spans="6:9" x14ac:dyDescent="0.3">
      <c r="F31007"/>
      <c r="G31007"/>
      <c r="H31007"/>
      <c r="I31007"/>
    </row>
    <row r="31008" spans="6:9" x14ac:dyDescent="0.3">
      <c r="F31008"/>
      <c r="G31008"/>
      <c r="H31008"/>
      <c r="I31008"/>
    </row>
    <row r="31009" spans="6:9" x14ac:dyDescent="0.3">
      <c r="F31009"/>
      <c r="G31009"/>
      <c r="H31009"/>
      <c r="I31009"/>
    </row>
    <row r="31010" spans="6:9" x14ac:dyDescent="0.3">
      <c r="F31010"/>
      <c r="G31010"/>
      <c r="H31010"/>
      <c r="I31010"/>
    </row>
    <row r="31011" spans="6:9" x14ac:dyDescent="0.3">
      <c r="F31011"/>
      <c r="G31011"/>
      <c r="H31011"/>
      <c r="I31011"/>
    </row>
    <row r="31012" spans="6:9" x14ac:dyDescent="0.3">
      <c r="F31012"/>
      <c r="G31012"/>
      <c r="H31012"/>
      <c r="I31012"/>
    </row>
    <row r="31013" spans="6:9" x14ac:dyDescent="0.3">
      <c r="F31013"/>
      <c r="G31013"/>
      <c r="H31013"/>
      <c r="I31013"/>
    </row>
    <row r="31014" spans="6:9" x14ac:dyDescent="0.3">
      <c r="F31014"/>
      <c r="G31014"/>
      <c r="H31014"/>
      <c r="I31014"/>
    </row>
    <row r="31015" spans="6:9" x14ac:dyDescent="0.3">
      <c r="F31015"/>
      <c r="G31015"/>
      <c r="H31015"/>
      <c r="I31015"/>
    </row>
    <row r="31016" spans="6:9" x14ac:dyDescent="0.3">
      <c r="F31016"/>
      <c r="G31016"/>
      <c r="H31016"/>
      <c r="I31016"/>
    </row>
    <row r="31017" spans="6:9" x14ac:dyDescent="0.3">
      <c r="F31017"/>
      <c r="G31017"/>
      <c r="H31017"/>
      <c r="I31017"/>
    </row>
    <row r="31018" spans="6:9" x14ac:dyDescent="0.3">
      <c r="F31018"/>
      <c r="G31018"/>
      <c r="H31018"/>
      <c r="I31018"/>
    </row>
    <row r="31019" spans="6:9" x14ac:dyDescent="0.3">
      <c r="F31019"/>
      <c r="G31019"/>
      <c r="H31019"/>
      <c r="I31019"/>
    </row>
    <row r="31020" spans="6:9" x14ac:dyDescent="0.3">
      <c r="F31020"/>
      <c r="G31020"/>
      <c r="H31020"/>
      <c r="I31020"/>
    </row>
    <row r="31021" spans="6:9" x14ac:dyDescent="0.3">
      <c r="F31021"/>
      <c r="G31021"/>
      <c r="H31021"/>
      <c r="I31021"/>
    </row>
    <row r="31022" spans="6:9" x14ac:dyDescent="0.3">
      <c r="F31022"/>
      <c r="G31022"/>
      <c r="H31022"/>
      <c r="I31022"/>
    </row>
    <row r="31023" spans="6:9" x14ac:dyDescent="0.3">
      <c r="F31023"/>
      <c r="G31023"/>
      <c r="H31023"/>
      <c r="I31023"/>
    </row>
    <row r="31024" spans="6:9" x14ac:dyDescent="0.3">
      <c r="F31024"/>
      <c r="G31024"/>
      <c r="H31024"/>
      <c r="I31024"/>
    </row>
    <row r="31025" spans="6:9" x14ac:dyDescent="0.3">
      <c r="F31025"/>
      <c r="G31025"/>
      <c r="H31025"/>
      <c r="I31025"/>
    </row>
    <row r="31026" spans="6:9" x14ac:dyDescent="0.3">
      <c r="F31026"/>
      <c r="G31026"/>
      <c r="H31026"/>
      <c r="I31026"/>
    </row>
    <row r="31027" spans="6:9" x14ac:dyDescent="0.3">
      <c r="F31027"/>
      <c r="G31027"/>
      <c r="H31027"/>
      <c r="I31027"/>
    </row>
    <row r="31028" spans="6:9" x14ac:dyDescent="0.3">
      <c r="F31028"/>
      <c r="G31028"/>
      <c r="H31028"/>
      <c r="I31028"/>
    </row>
    <row r="31029" spans="6:9" x14ac:dyDescent="0.3">
      <c r="F31029"/>
      <c r="G31029"/>
      <c r="H31029"/>
      <c r="I31029"/>
    </row>
    <row r="31030" spans="6:9" x14ac:dyDescent="0.3">
      <c r="F31030"/>
      <c r="G31030"/>
      <c r="H31030"/>
      <c r="I31030"/>
    </row>
    <row r="31031" spans="6:9" x14ac:dyDescent="0.3">
      <c r="F31031"/>
      <c r="G31031"/>
      <c r="H31031"/>
      <c r="I31031"/>
    </row>
    <row r="31032" spans="6:9" x14ac:dyDescent="0.3">
      <c r="F31032"/>
      <c r="G31032"/>
      <c r="H31032"/>
      <c r="I31032"/>
    </row>
    <row r="31033" spans="6:9" x14ac:dyDescent="0.3">
      <c r="F31033"/>
      <c r="G31033"/>
      <c r="H31033"/>
      <c r="I31033"/>
    </row>
    <row r="31034" spans="6:9" x14ac:dyDescent="0.3">
      <c r="F31034"/>
      <c r="G31034"/>
      <c r="H31034"/>
      <c r="I31034"/>
    </row>
    <row r="31035" spans="6:9" x14ac:dyDescent="0.3">
      <c r="F31035"/>
      <c r="G31035"/>
      <c r="H31035"/>
      <c r="I31035"/>
    </row>
    <row r="31036" spans="6:9" x14ac:dyDescent="0.3">
      <c r="F31036"/>
      <c r="G31036"/>
      <c r="H31036"/>
      <c r="I31036"/>
    </row>
    <row r="31037" spans="6:9" x14ac:dyDescent="0.3">
      <c r="F31037"/>
      <c r="G31037"/>
      <c r="H31037"/>
      <c r="I31037"/>
    </row>
    <row r="31038" spans="6:9" x14ac:dyDescent="0.3">
      <c r="F31038"/>
      <c r="G31038"/>
      <c r="H31038"/>
      <c r="I31038"/>
    </row>
    <row r="31039" spans="6:9" x14ac:dyDescent="0.3">
      <c r="F31039"/>
      <c r="G31039"/>
      <c r="H31039"/>
      <c r="I31039"/>
    </row>
    <row r="31040" spans="6:9" x14ac:dyDescent="0.3">
      <c r="F31040"/>
      <c r="G31040"/>
      <c r="H31040"/>
      <c r="I31040"/>
    </row>
    <row r="31041" spans="6:9" x14ac:dyDescent="0.3">
      <c r="F31041"/>
      <c r="G31041"/>
      <c r="H31041"/>
      <c r="I31041"/>
    </row>
    <row r="31042" spans="6:9" x14ac:dyDescent="0.3">
      <c r="F31042"/>
      <c r="G31042"/>
      <c r="H31042"/>
      <c r="I31042"/>
    </row>
    <row r="31043" spans="6:9" x14ac:dyDescent="0.3">
      <c r="F31043"/>
      <c r="G31043"/>
      <c r="H31043"/>
      <c r="I31043"/>
    </row>
    <row r="31044" spans="6:9" x14ac:dyDescent="0.3">
      <c r="F31044"/>
      <c r="G31044"/>
      <c r="H31044"/>
      <c r="I31044"/>
    </row>
    <row r="31045" spans="6:9" x14ac:dyDescent="0.3">
      <c r="F31045"/>
      <c r="G31045"/>
      <c r="H31045"/>
      <c r="I31045"/>
    </row>
    <row r="31046" spans="6:9" x14ac:dyDescent="0.3">
      <c r="F31046"/>
      <c r="G31046"/>
      <c r="H31046"/>
      <c r="I31046"/>
    </row>
    <row r="31047" spans="6:9" x14ac:dyDescent="0.3">
      <c r="F31047"/>
      <c r="G31047"/>
      <c r="H31047"/>
      <c r="I31047"/>
    </row>
    <row r="31048" spans="6:9" x14ac:dyDescent="0.3">
      <c r="F31048"/>
      <c r="G31048"/>
      <c r="H31048"/>
      <c r="I31048"/>
    </row>
    <row r="31049" spans="6:9" x14ac:dyDescent="0.3">
      <c r="F31049"/>
      <c r="G31049"/>
      <c r="H31049"/>
      <c r="I31049"/>
    </row>
    <row r="31050" spans="6:9" x14ac:dyDescent="0.3">
      <c r="F31050"/>
      <c r="G31050"/>
      <c r="H31050"/>
      <c r="I31050"/>
    </row>
    <row r="31051" spans="6:9" x14ac:dyDescent="0.3">
      <c r="F31051"/>
      <c r="G31051"/>
      <c r="H31051"/>
      <c r="I31051"/>
    </row>
    <row r="31052" spans="6:9" x14ac:dyDescent="0.3">
      <c r="F31052"/>
      <c r="G31052"/>
      <c r="H31052"/>
      <c r="I31052"/>
    </row>
    <row r="31053" spans="6:9" x14ac:dyDescent="0.3">
      <c r="F31053"/>
      <c r="G31053"/>
      <c r="H31053"/>
      <c r="I31053"/>
    </row>
    <row r="31054" spans="6:9" x14ac:dyDescent="0.3">
      <c r="F31054"/>
      <c r="G31054"/>
      <c r="H31054"/>
      <c r="I31054"/>
    </row>
    <row r="31055" spans="6:9" x14ac:dyDescent="0.3">
      <c r="F31055"/>
      <c r="G31055"/>
      <c r="H31055"/>
      <c r="I31055"/>
    </row>
    <row r="31056" spans="6:9" x14ac:dyDescent="0.3">
      <c r="F31056"/>
      <c r="G31056"/>
      <c r="H31056"/>
      <c r="I31056"/>
    </row>
    <row r="31057" spans="6:9" x14ac:dyDescent="0.3">
      <c r="F31057"/>
      <c r="G31057"/>
      <c r="H31057"/>
      <c r="I31057"/>
    </row>
    <row r="31058" spans="6:9" x14ac:dyDescent="0.3">
      <c r="F31058"/>
      <c r="G31058"/>
      <c r="H31058"/>
      <c r="I31058"/>
    </row>
    <row r="31059" spans="6:9" x14ac:dyDescent="0.3">
      <c r="F31059"/>
      <c r="G31059"/>
      <c r="H31059"/>
      <c r="I31059"/>
    </row>
    <row r="31060" spans="6:9" x14ac:dyDescent="0.3">
      <c r="F31060"/>
      <c r="G31060"/>
      <c r="H31060"/>
      <c r="I31060"/>
    </row>
    <row r="31061" spans="6:9" x14ac:dyDescent="0.3">
      <c r="F31061"/>
      <c r="G31061"/>
      <c r="H31061"/>
      <c r="I31061"/>
    </row>
    <row r="31062" spans="6:9" x14ac:dyDescent="0.3">
      <c r="F31062"/>
      <c r="G31062"/>
      <c r="H31062"/>
      <c r="I31062"/>
    </row>
    <row r="31063" spans="6:9" x14ac:dyDescent="0.3">
      <c r="F31063"/>
      <c r="G31063"/>
      <c r="H31063"/>
      <c r="I31063"/>
    </row>
    <row r="31064" spans="6:9" x14ac:dyDescent="0.3">
      <c r="F31064"/>
      <c r="G31064"/>
      <c r="H31064"/>
      <c r="I31064"/>
    </row>
    <row r="31065" spans="6:9" x14ac:dyDescent="0.3">
      <c r="F31065"/>
      <c r="G31065"/>
      <c r="H31065"/>
      <c r="I31065"/>
    </row>
    <row r="31066" spans="6:9" x14ac:dyDescent="0.3">
      <c r="F31066"/>
      <c r="G31066"/>
      <c r="H31066"/>
      <c r="I31066"/>
    </row>
    <row r="31067" spans="6:9" x14ac:dyDescent="0.3">
      <c r="F31067"/>
      <c r="G31067"/>
      <c r="H31067"/>
      <c r="I31067"/>
    </row>
    <row r="31068" spans="6:9" x14ac:dyDescent="0.3">
      <c r="F31068"/>
      <c r="G31068"/>
      <c r="H31068"/>
      <c r="I31068"/>
    </row>
    <row r="31069" spans="6:9" x14ac:dyDescent="0.3">
      <c r="F31069"/>
      <c r="G31069"/>
      <c r="H31069"/>
      <c r="I31069"/>
    </row>
    <row r="31070" spans="6:9" x14ac:dyDescent="0.3">
      <c r="F31070"/>
      <c r="G31070"/>
      <c r="H31070"/>
      <c r="I31070"/>
    </row>
    <row r="31071" spans="6:9" x14ac:dyDescent="0.3">
      <c r="F31071"/>
      <c r="G31071"/>
      <c r="H31071"/>
      <c r="I31071"/>
    </row>
    <row r="31072" spans="6:9" x14ac:dyDescent="0.3">
      <c r="F31072"/>
      <c r="G31072"/>
      <c r="H31072"/>
      <c r="I31072"/>
    </row>
    <row r="31073" spans="6:9" x14ac:dyDescent="0.3">
      <c r="F31073"/>
      <c r="G31073"/>
      <c r="H31073"/>
      <c r="I31073"/>
    </row>
    <row r="31074" spans="6:9" x14ac:dyDescent="0.3">
      <c r="F31074"/>
      <c r="G31074"/>
      <c r="H31074"/>
      <c r="I31074"/>
    </row>
    <row r="31075" spans="6:9" x14ac:dyDescent="0.3">
      <c r="F31075"/>
      <c r="G31075"/>
      <c r="H31075"/>
      <c r="I31075"/>
    </row>
    <row r="31076" spans="6:9" x14ac:dyDescent="0.3">
      <c r="F31076"/>
      <c r="G31076"/>
      <c r="H31076"/>
      <c r="I31076"/>
    </row>
    <row r="31077" spans="6:9" x14ac:dyDescent="0.3">
      <c r="F31077"/>
      <c r="G31077"/>
      <c r="H31077"/>
      <c r="I31077"/>
    </row>
    <row r="31078" spans="6:9" x14ac:dyDescent="0.3">
      <c r="F31078"/>
      <c r="G31078"/>
      <c r="H31078"/>
      <c r="I31078"/>
    </row>
    <row r="31079" spans="6:9" x14ac:dyDescent="0.3">
      <c r="F31079"/>
      <c r="G31079"/>
      <c r="H31079"/>
      <c r="I31079"/>
    </row>
    <row r="31080" spans="6:9" x14ac:dyDescent="0.3">
      <c r="F31080"/>
      <c r="G31080"/>
      <c r="H31080"/>
      <c r="I31080"/>
    </row>
    <row r="31081" spans="6:9" x14ac:dyDescent="0.3">
      <c r="F31081"/>
      <c r="G31081"/>
      <c r="H31081"/>
      <c r="I31081"/>
    </row>
    <row r="31082" spans="6:9" x14ac:dyDescent="0.3">
      <c r="F31082"/>
      <c r="G31082"/>
      <c r="H31082"/>
      <c r="I31082"/>
    </row>
    <row r="31083" spans="6:9" x14ac:dyDescent="0.3">
      <c r="F31083"/>
      <c r="G31083"/>
      <c r="H31083"/>
      <c r="I31083"/>
    </row>
    <row r="31084" spans="6:9" x14ac:dyDescent="0.3">
      <c r="F31084"/>
      <c r="G31084"/>
      <c r="H31084"/>
      <c r="I31084"/>
    </row>
    <row r="31085" spans="6:9" x14ac:dyDescent="0.3">
      <c r="F31085"/>
      <c r="G31085"/>
      <c r="H31085"/>
      <c r="I31085"/>
    </row>
    <row r="31086" spans="6:9" x14ac:dyDescent="0.3">
      <c r="F31086"/>
      <c r="G31086"/>
      <c r="H31086"/>
      <c r="I31086"/>
    </row>
    <row r="31087" spans="6:9" x14ac:dyDescent="0.3">
      <c r="F31087"/>
      <c r="G31087"/>
      <c r="H31087"/>
      <c r="I31087"/>
    </row>
    <row r="31088" spans="6:9" x14ac:dyDescent="0.3">
      <c r="F31088"/>
      <c r="G31088"/>
      <c r="H31088"/>
      <c r="I31088"/>
    </row>
    <row r="31089" spans="6:9" x14ac:dyDescent="0.3">
      <c r="F31089"/>
      <c r="G31089"/>
      <c r="H31089"/>
      <c r="I31089"/>
    </row>
    <row r="31090" spans="6:9" x14ac:dyDescent="0.3">
      <c r="F31090"/>
      <c r="G31090"/>
      <c r="H31090"/>
      <c r="I31090"/>
    </row>
    <row r="31091" spans="6:9" x14ac:dyDescent="0.3">
      <c r="F31091"/>
      <c r="G31091"/>
      <c r="H31091"/>
      <c r="I31091"/>
    </row>
    <row r="31092" spans="6:9" x14ac:dyDescent="0.3">
      <c r="F31092"/>
      <c r="G31092"/>
      <c r="H31092"/>
      <c r="I31092"/>
    </row>
    <row r="31093" spans="6:9" x14ac:dyDescent="0.3">
      <c r="F31093"/>
      <c r="G31093"/>
      <c r="H31093"/>
      <c r="I31093"/>
    </row>
    <row r="31094" spans="6:9" x14ac:dyDescent="0.3">
      <c r="F31094"/>
      <c r="G31094"/>
      <c r="H31094"/>
      <c r="I31094"/>
    </row>
    <row r="31095" spans="6:9" x14ac:dyDescent="0.3">
      <c r="F31095"/>
      <c r="G31095"/>
      <c r="H31095"/>
      <c r="I31095"/>
    </row>
    <row r="31096" spans="6:9" x14ac:dyDescent="0.3">
      <c r="F31096"/>
      <c r="G31096"/>
      <c r="H31096"/>
      <c r="I31096"/>
    </row>
    <row r="31097" spans="6:9" x14ac:dyDescent="0.3">
      <c r="F31097"/>
      <c r="G31097"/>
      <c r="H31097"/>
      <c r="I31097"/>
    </row>
    <row r="31098" spans="6:9" x14ac:dyDescent="0.3">
      <c r="F31098"/>
      <c r="G31098"/>
      <c r="H31098"/>
      <c r="I31098"/>
    </row>
    <row r="31099" spans="6:9" x14ac:dyDescent="0.3">
      <c r="F31099"/>
      <c r="G31099"/>
      <c r="H31099"/>
      <c r="I31099"/>
    </row>
    <row r="31100" spans="6:9" x14ac:dyDescent="0.3">
      <c r="F31100"/>
      <c r="G31100"/>
      <c r="H31100"/>
      <c r="I31100"/>
    </row>
    <row r="31101" spans="6:9" x14ac:dyDescent="0.3">
      <c r="F31101"/>
      <c r="G31101"/>
      <c r="H31101"/>
      <c r="I31101"/>
    </row>
    <row r="31102" spans="6:9" x14ac:dyDescent="0.3">
      <c r="F31102"/>
      <c r="G31102"/>
      <c r="H31102"/>
      <c r="I31102"/>
    </row>
    <row r="31103" spans="6:9" x14ac:dyDescent="0.3">
      <c r="F31103"/>
      <c r="G31103"/>
      <c r="H31103"/>
      <c r="I31103"/>
    </row>
    <row r="31104" spans="6:9" x14ac:dyDescent="0.3">
      <c r="F31104"/>
      <c r="G31104"/>
      <c r="H31104"/>
      <c r="I31104"/>
    </row>
    <row r="31105" spans="6:9" x14ac:dyDescent="0.3">
      <c r="F31105"/>
      <c r="G31105"/>
      <c r="H31105"/>
      <c r="I31105"/>
    </row>
    <row r="31106" spans="6:9" x14ac:dyDescent="0.3">
      <c r="F31106"/>
      <c r="G31106"/>
      <c r="H31106"/>
      <c r="I31106"/>
    </row>
    <row r="31107" spans="6:9" x14ac:dyDescent="0.3">
      <c r="F31107"/>
      <c r="G31107"/>
      <c r="H31107"/>
      <c r="I31107"/>
    </row>
    <row r="31108" spans="6:9" x14ac:dyDescent="0.3">
      <c r="F31108"/>
      <c r="G31108"/>
      <c r="H31108"/>
      <c r="I31108"/>
    </row>
    <row r="31109" spans="6:9" x14ac:dyDescent="0.3">
      <c r="F31109"/>
      <c r="G31109"/>
      <c r="H31109"/>
      <c r="I31109"/>
    </row>
    <row r="31110" spans="6:9" x14ac:dyDescent="0.3">
      <c r="F31110"/>
      <c r="G31110"/>
      <c r="H31110"/>
      <c r="I31110"/>
    </row>
    <row r="31111" spans="6:9" x14ac:dyDescent="0.3">
      <c r="F31111"/>
      <c r="G31111"/>
      <c r="H31111"/>
      <c r="I31111"/>
    </row>
    <row r="31112" spans="6:9" x14ac:dyDescent="0.3">
      <c r="F31112"/>
      <c r="G31112"/>
      <c r="H31112"/>
      <c r="I31112"/>
    </row>
    <row r="31113" spans="6:9" x14ac:dyDescent="0.3">
      <c r="F31113"/>
      <c r="G31113"/>
      <c r="H31113"/>
      <c r="I31113"/>
    </row>
    <row r="31114" spans="6:9" x14ac:dyDescent="0.3">
      <c r="F31114"/>
      <c r="G31114"/>
      <c r="H31114"/>
      <c r="I31114"/>
    </row>
    <row r="31115" spans="6:9" x14ac:dyDescent="0.3">
      <c r="F31115"/>
      <c r="G31115"/>
      <c r="H31115"/>
      <c r="I31115"/>
    </row>
    <row r="31116" spans="6:9" x14ac:dyDescent="0.3">
      <c r="F31116"/>
      <c r="G31116"/>
      <c r="H31116"/>
      <c r="I31116"/>
    </row>
    <row r="31117" spans="6:9" x14ac:dyDescent="0.3">
      <c r="F31117"/>
      <c r="G31117"/>
      <c r="H31117"/>
      <c r="I31117"/>
    </row>
    <row r="31118" spans="6:9" x14ac:dyDescent="0.3">
      <c r="F31118"/>
      <c r="G31118"/>
      <c r="H31118"/>
      <c r="I31118"/>
    </row>
    <row r="31119" spans="6:9" x14ac:dyDescent="0.3">
      <c r="F31119"/>
      <c r="G31119"/>
      <c r="H31119"/>
      <c r="I31119"/>
    </row>
    <row r="31120" spans="6:9" x14ac:dyDescent="0.3">
      <c r="F31120"/>
      <c r="G31120"/>
      <c r="H31120"/>
      <c r="I31120"/>
    </row>
    <row r="31121" spans="6:9" x14ac:dyDescent="0.3">
      <c r="F31121"/>
      <c r="G31121"/>
      <c r="H31121"/>
      <c r="I31121"/>
    </row>
    <row r="31122" spans="6:9" x14ac:dyDescent="0.3">
      <c r="F31122"/>
      <c r="G31122"/>
      <c r="H31122"/>
      <c r="I31122"/>
    </row>
    <row r="31123" spans="6:9" x14ac:dyDescent="0.3">
      <c r="F31123"/>
      <c r="G31123"/>
      <c r="H31123"/>
      <c r="I31123"/>
    </row>
    <row r="31124" spans="6:9" x14ac:dyDescent="0.3">
      <c r="F31124"/>
      <c r="G31124"/>
      <c r="H31124"/>
      <c r="I31124"/>
    </row>
    <row r="31125" spans="6:9" x14ac:dyDescent="0.3">
      <c r="F31125"/>
      <c r="G31125"/>
      <c r="H31125"/>
      <c r="I31125"/>
    </row>
    <row r="31126" spans="6:9" x14ac:dyDescent="0.3">
      <c r="F31126"/>
      <c r="G31126"/>
      <c r="H31126"/>
      <c r="I31126"/>
    </row>
    <row r="31127" spans="6:9" x14ac:dyDescent="0.3">
      <c r="F31127"/>
      <c r="G31127"/>
      <c r="H31127"/>
      <c r="I31127"/>
    </row>
    <row r="31128" spans="6:9" x14ac:dyDescent="0.3">
      <c r="F31128"/>
      <c r="G31128"/>
      <c r="H31128"/>
      <c r="I31128"/>
    </row>
    <row r="31129" spans="6:9" x14ac:dyDescent="0.3">
      <c r="F31129"/>
      <c r="G31129"/>
      <c r="H31129"/>
      <c r="I31129"/>
    </row>
    <row r="31130" spans="6:9" x14ac:dyDescent="0.3">
      <c r="F31130"/>
      <c r="G31130"/>
      <c r="H31130"/>
      <c r="I31130"/>
    </row>
    <row r="31131" spans="6:9" x14ac:dyDescent="0.3">
      <c r="F31131"/>
      <c r="G31131"/>
      <c r="H31131"/>
      <c r="I31131"/>
    </row>
    <row r="31132" spans="6:9" x14ac:dyDescent="0.3">
      <c r="F31132"/>
      <c r="G31132"/>
      <c r="H31132"/>
      <c r="I31132"/>
    </row>
    <row r="31133" spans="6:9" x14ac:dyDescent="0.3">
      <c r="F31133"/>
      <c r="G31133"/>
      <c r="H31133"/>
      <c r="I31133"/>
    </row>
    <row r="31134" spans="6:9" x14ac:dyDescent="0.3">
      <c r="F31134"/>
      <c r="G31134"/>
      <c r="H31134"/>
      <c r="I31134"/>
    </row>
    <row r="31135" spans="6:9" x14ac:dyDescent="0.3">
      <c r="F31135"/>
      <c r="G31135"/>
      <c r="H31135"/>
      <c r="I31135"/>
    </row>
    <row r="31136" spans="6:9" x14ac:dyDescent="0.3">
      <c r="F31136"/>
      <c r="G31136"/>
      <c r="H31136"/>
      <c r="I31136"/>
    </row>
    <row r="31137" spans="6:9" x14ac:dyDescent="0.3">
      <c r="F31137"/>
      <c r="G31137"/>
      <c r="H31137"/>
      <c r="I31137"/>
    </row>
    <row r="31138" spans="6:9" x14ac:dyDescent="0.3">
      <c r="F31138"/>
      <c r="G31138"/>
      <c r="H31138"/>
      <c r="I31138"/>
    </row>
    <row r="31139" spans="6:9" x14ac:dyDescent="0.3">
      <c r="F31139"/>
      <c r="G31139"/>
      <c r="H31139"/>
      <c r="I31139"/>
    </row>
    <row r="31140" spans="6:9" x14ac:dyDescent="0.3">
      <c r="F31140"/>
      <c r="G31140"/>
      <c r="H31140"/>
      <c r="I31140"/>
    </row>
    <row r="31141" spans="6:9" x14ac:dyDescent="0.3">
      <c r="F31141"/>
      <c r="G31141"/>
      <c r="H31141"/>
      <c r="I31141"/>
    </row>
    <row r="31142" spans="6:9" x14ac:dyDescent="0.3">
      <c r="F31142"/>
      <c r="G31142"/>
      <c r="H31142"/>
      <c r="I31142"/>
    </row>
    <row r="31143" spans="6:9" x14ac:dyDescent="0.3">
      <c r="F31143"/>
      <c r="G31143"/>
      <c r="H31143"/>
      <c r="I31143"/>
    </row>
    <row r="31144" spans="6:9" x14ac:dyDescent="0.3">
      <c r="F31144"/>
      <c r="G31144"/>
      <c r="H31144"/>
      <c r="I31144"/>
    </row>
    <row r="31145" spans="6:9" x14ac:dyDescent="0.3">
      <c r="F31145"/>
      <c r="G31145"/>
      <c r="H31145"/>
      <c r="I31145"/>
    </row>
    <row r="31146" spans="6:9" x14ac:dyDescent="0.3">
      <c r="F31146"/>
      <c r="G31146"/>
      <c r="H31146"/>
      <c r="I31146"/>
    </row>
    <row r="31147" spans="6:9" x14ac:dyDescent="0.3">
      <c r="F31147"/>
      <c r="G31147"/>
      <c r="H31147"/>
      <c r="I31147"/>
    </row>
    <row r="31148" spans="6:9" x14ac:dyDescent="0.3">
      <c r="F31148"/>
      <c r="G31148"/>
      <c r="H31148"/>
      <c r="I31148"/>
    </row>
    <row r="31149" spans="6:9" x14ac:dyDescent="0.3">
      <c r="F31149"/>
      <c r="G31149"/>
      <c r="H31149"/>
      <c r="I31149"/>
    </row>
    <row r="31150" spans="6:9" x14ac:dyDescent="0.3">
      <c r="F31150"/>
      <c r="G31150"/>
      <c r="H31150"/>
      <c r="I31150"/>
    </row>
    <row r="31151" spans="6:9" x14ac:dyDescent="0.3">
      <c r="F31151"/>
      <c r="G31151"/>
      <c r="H31151"/>
      <c r="I31151"/>
    </row>
    <row r="31152" spans="6:9" x14ac:dyDescent="0.3">
      <c r="F31152"/>
      <c r="G31152"/>
      <c r="H31152"/>
      <c r="I31152"/>
    </row>
    <row r="31153" spans="6:9" x14ac:dyDescent="0.3">
      <c r="F31153"/>
      <c r="G31153"/>
      <c r="H31153"/>
      <c r="I31153"/>
    </row>
    <row r="31154" spans="6:9" x14ac:dyDescent="0.3">
      <c r="F31154"/>
      <c r="G31154"/>
      <c r="H31154"/>
      <c r="I31154"/>
    </row>
    <row r="31155" spans="6:9" x14ac:dyDescent="0.3">
      <c r="F31155"/>
      <c r="G31155"/>
      <c r="H31155"/>
      <c r="I31155"/>
    </row>
    <row r="31156" spans="6:9" x14ac:dyDescent="0.3">
      <c r="F31156"/>
      <c r="G31156"/>
      <c r="H31156"/>
      <c r="I31156"/>
    </row>
    <row r="31157" spans="6:9" x14ac:dyDescent="0.3">
      <c r="F31157"/>
      <c r="G31157"/>
      <c r="H31157"/>
      <c r="I31157"/>
    </row>
    <row r="31158" spans="6:9" x14ac:dyDescent="0.3">
      <c r="F31158"/>
      <c r="G31158"/>
      <c r="H31158"/>
      <c r="I31158"/>
    </row>
    <row r="31159" spans="6:9" x14ac:dyDescent="0.3">
      <c r="F31159"/>
      <c r="G31159"/>
      <c r="H31159"/>
      <c r="I31159"/>
    </row>
    <row r="31160" spans="6:9" x14ac:dyDescent="0.3">
      <c r="F31160"/>
      <c r="G31160"/>
      <c r="H31160"/>
      <c r="I31160"/>
    </row>
    <row r="31161" spans="6:9" x14ac:dyDescent="0.3">
      <c r="F31161"/>
      <c r="G31161"/>
      <c r="H31161"/>
      <c r="I31161"/>
    </row>
    <row r="31162" spans="6:9" x14ac:dyDescent="0.3">
      <c r="F31162"/>
      <c r="G31162"/>
      <c r="H31162"/>
      <c r="I31162"/>
    </row>
    <row r="31163" spans="6:9" x14ac:dyDescent="0.3">
      <c r="F31163"/>
      <c r="G31163"/>
      <c r="H31163"/>
      <c r="I31163"/>
    </row>
    <row r="31164" spans="6:9" x14ac:dyDescent="0.3">
      <c r="F31164"/>
      <c r="G31164"/>
      <c r="H31164"/>
      <c r="I31164"/>
    </row>
    <row r="31165" spans="6:9" x14ac:dyDescent="0.3">
      <c r="F31165"/>
      <c r="G31165"/>
      <c r="H31165"/>
      <c r="I31165"/>
    </row>
    <row r="31166" spans="6:9" x14ac:dyDescent="0.3">
      <c r="F31166"/>
      <c r="G31166"/>
      <c r="H31166"/>
      <c r="I31166"/>
    </row>
    <row r="31167" spans="6:9" x14ac:dyDescent="0.3">
      <c r="F31167"/>
      <c r="G31167"/>
      <c r="H31167"/>
      <c r="I31167"/>
    </row>
    <row r="31168" spans="6:9" x14ac:dyDescent="0.3">
      <c r="F31168"/>
      <c r="G31168"/>
      <c r="H31168"/>
      <c r="I31168"/>
    </row>
    <row r="31169" spans="6:9" x14ac:dyDescent="0.3">
      <c r="F31169"/>
      <c r="G31169"/>
      <c r="H31169"/>
      <c r="I31169"/>
    </row>
    <row r="31170" spans="6:9" x14ac:dyDescent="0.3">
      <c r="F31170"/>
      <c r="G31170"/>
      <c r="H31170"/>
      <c r="I31170"/>
    </row>
    <row r="31171" spans="6:9" x14ac:dyDescent="0.3">
      <c r="F31171"/>
      <c r="G31171"/>
      <c r="H31171"/>
      <c r="I31171"/>
    </row>
    <row r="31172" spans="6:9" x14ac:dyDescent="0.3">
      <c r="F31172"/>
      <c r="G31172"/>
      <c r="H31172"/>
      <c r="I31172"/>
    </row>
    <row r="31173" spans="6:9" x14ac:dyDescent="0.3">
      <c r="F31173"/>
      <c r="G31173"/>
      <c r="H31173"/>
      <c r="I31173"/>
    </row>
    <row r="31174" spans="6:9" x14ac:dyDescent="0.3">
      <c r="F31174"/>
      <c r="G31174"/>
      <c r="H31174"/>
      <c r="I31174"/>
    </row>
    <row r="31175" spans="6:9" x14ac:dyDescent="0.3">
      <c r="F31175"/>
      <c r="G31175"/>
      <c r="H31175"/>
      <c r="I31175"/>
    </row>
    <row r="31176" spans="6:9" x14ac:dyDescent="0.3">
      <c r="F31176"/>
      <c r="G31176"/>
      <c r="H31176"/>
      <c r="I31176"/>
    </row>
    <row r="31177" spans="6:9" x14ac:dyDescent="0.3">
      <c r="F31177"/>
      <c r="G31177"/>
      <c r="H31177"/>
      <c r="I31177"/>
    </row>
    <row r="31178" spans="6:9" x14ac:dyDescent="0.3">
      <c r="F31178"/>
      <c r="G31178"/>
      <c r="H31178"/>
      <c r="I31178"/>
    </row>
    <row r="31179" spans="6:9" x14ac:dyDescent="0.3">
      <c r="F31179"/>
      <c r="G31179"/>
      <c r="H31179"/>
      <c r="I31179"/>
    </row>
    <row r="31180" spans="6:9" x14ac:dyDescent="0.3">
      <c r="F31180"/>
      <c r="G31180"/>
      <c r="H31180"/>
      <c r="I31180"/>
    </row>
    <row r="31181" spans="6:9" x14ac:dyDescent="0.3">
      <c r="F31181"/>
      <c r="G31181"/>
      <c r="H31181"/>
      <c r="I31181"/>
    </row>
    <row r="31182" spans="6:9" x14ac:dyDescent="0.3">
      <c r="F31182"/>
      <c r="G31182"/>
      <c r="H31182"/>
      <c r="I31182"/>
    </row>
    <row r="31183" spans="6:9" x14ac:dyDescent="0.3">
      <c r="F31183"/>
      <c r="G31183"/>
      <c r="H31183"/>
      <c r="I31183"/>
    </row>
    <row r="31184" spans="6:9" x14ac:dyDescent="0.3">
      <c r="F31184"/>
      <c r="G31184"/>
      <c r="H31184"/>
      <c r="I31184"/>
    </row>
    <row r="31185" spans="6:9" x14ac:dyDescent="0.3">
      <c r="F31185"/>
      <c r="G31185"/>
      <c r="H31185"/>
      <c r="I31185"/>
    </row>
    <row r="31186" spans="6:9" x14ac:dyDescent="0.3">
      <c r="F31186"/>
      <c r="G31186"/>
      <c r="H31186"/>
      <c r="I31186"/>
    </row>
    <row r="31187" spans="6:9" x14ac:dyDescent="0.3">
      <c r="F31187"/>
      <c r="G31187"/>
      <c r="H31187"/>
      <c r="I31187"/>
    </row>
    <row r="31188" spans="6:9" x14ac:dyDescent="0.3">
      <c r="F31188"/>
      <c r="G31188"/>
      <c r="H31188"/>
      <c r="I31188"/>
    </row>
    <row r="31189" spans="6:9" x14ac:dyDescent="0.3">
      <c r="F31189"/>
      <c r="G31189"/>
      <c r="H31189"/>
      <c r="I31189"/>
    </row>
    <row r="31190" spans="6:9" x14ac:dyDescent="0.3">
      <c r="F31190"/>
      <c r="G31190"/>
      <c r="H31190"/>
      <c r="I31190"/>
    </row>
    <row r="31191" spans="6:9" x14ac:dyDescent="0.3">
      <c r="F31191"/>
      <c r="G31191"/>
      <c r="H31191"/>
      <c r="I31191"/>
    </row>
    <row r="31192" spans="6:9" x14ac:dyDescent="0.3">
      <c r="F31192"/>
      <c r="G31192"/>
      <c r="H31192"/>
      <c r="I31192"/>
    </row>
    <row r="31193" spans="6:9" x14ac:dyDescent="0.3">
      <c r="F31193"/>
      <c r="G31193"/>
      <c r="H31193"/>
      <c r="I31193"/>
    </row>
    <row r="31194" spans="6:9" x14ac:dyDescent="0.3">
      <c r="F31194"/>
      <c r="G31194"/>
      <c r="H31194"/>
      <c r="I31194"/>
    </row>
    <row r="31195" spans="6:9" x14ac:dyDescent="0.3">
      <c r="F31195"/>
      <c r="G31195"/>
      <c r="H31195"/>
      <c r="I31195"/>
    </row>
    <row r="31196" spans="6:9" x14ac:dyDescent="0.3">
      <c r="F31196"/>
      <c r="G31196"/>
      <c r="H31196"/>
      <c r="I31196"/>
    </row>
    <row r="31197" spans="6:9" x14ac:dyDescent="0.3">
      <c r="F31197"/>
      <c r="G31197"/>
      <c r="H31197"/>
      <c r="I31197"/>
    </row>
    <row r="31198" spans="6:9" x14ac:dyDescent="0.3">
      <c r="F31198"/>
      <c r="G31198"/>
      <c r="H31198"/>
      <c r="I31198"/>
    </row>
    <row r="31199" spans="6:9" x14ac:dyDescent="0.3">
      <c r="F31199"/>
      <c r="G31199"/>
      <c r="H31199"/>
      <c r="I31199"/>
    </row>
    <row r="31200" spans="6:9" x14ac:dyDescent="0.3">
      <c r="F31200"/>
      <c r="G31200"/>
      <c r="H31200"/>
      <c r="I31200"/>
    </row>
    <row r="31201" spans="6:9" x14ac:dyDescent="0.3">
      <c r="F31201"/>
      <c r="G31201"/>
      <c r="H31201"/>
      <c r="I31201"/>
    </row>
    <row r="31202" spans="6:9" x14ac:dyDescent="0.3">
      <c r="F31202"/>
      <c r="G31202"/>
      <c r="H31202"/>
      <c r="I31202"/>
    </row>
    <row r="31203" spans="6:9" x14ac:dyDescent="0.3">
      <c r="F31203"/>
      <c r="G31203"/>
      <c r="H31203"/>
      <c r="I31203"/>
    </row>
    <row r="31204" spans="6:9" x14ac:dyDescent="0.3">
      <c r="F31204"/>
      <c r="G31204"/>
      <c r="H31204"/>
      <c r="I31204"/>
    </row>
    <row r="31205" spans="6:9" x14ac:dyDescent="0.3">
      <c r="F31205"/>
      <c r="G31205"/>
      <c r="H31205"/>
      <c r="I31205"/>
    </row>
    <row r="31206" spans="6:9" x14ac:dyDescent="0.3">
      <c r="F31206"/>
      <c r="G31206"/>
      <c r="H31206"/>
      <c r="I31206"/>
    </row>
    <row r="31207" spans="6:9" x14ac:dyDescent="0.3">
      <c r="F31207"/>
      <c r="G31207"/>
      <c r="H31207"/>
      <c r="I31207"/>
    </row>
    <row r="31208" spans="6:9" x14ac:dyDescent="0.3">
      <c r="F31208"/>
      <c r="G31208"/>
      <c r="H31208"/>
      <c r="I31208"/>
    </row>
    <row r="31209" spans="6:9" x14ac:dyDescent="0.3">
      <c r="F31209"/>
      <c r="G31209"/>
      <c r="H31209"/>
      <c r="I31209"/>
    </row>
    <row r="31210" spans="6:9" x14ac:dyDescent="0.3">
      <c r="F31210"/>
      <c r="G31210"/>
      <c r="H31210"/>
      <c r="I31210"/>
    </row>
    <row r="31211" spans="6:9" x14ac:dyDescent="0.3">
      <c r="F31211"/>
      <c r="G31211"/>
      <c r="H31211"/>
      <c r="I31211"/>
    </row>
    <row r="31212" spans="6:9" x14ac:dyDescent="0.3">
      <c r="F31212"/>
      <c r="G31212"/>
      <c r="H31212"/>
      <c r="I31212"/>
    </row>
    <row r="31213" spans="6:9" x14ac:dyDescent="0.3">
      <c r="F31213"/>
      <c r="G31213"/>
      <c r="H31213"/>
      <c r="I31213"/>
    </row>
    <row r="31214" spans="6:9" x14ac:dyDescent="0.3">
      <c r="F31214"/>
      <c r="G31214"/>
      <c r="H31214"/>
      <c r="I31214"/>
    </row>
    <row r="31215" spans="6:9" x14ac:dyDescent="0.3">
      <c r="F31215"/>
      <c r="G31215"/>
      <c r="H31215"/>
      <c r="I31215"/>
    </row>
    <row r="31216" spans="6:9" x14ac:dyDescent="0.3">
      <c r="F31216"/>
      <c r="G31216"/>
      <c r="H31216"/>
      <c r="I31216"/>
    </row>
    <row r="31217" spans="6:9" x14ac:dyDescent="0.3">
      <c r="F31217"/>
      <c r="G31217"/>
      <c r="H31217"/>
      <c r="I31217"/>
    </row>
    <row r="31218" spans="6:9" x14ac:dyDescent="0.3">
      <c r="F31218"/>
      <c r="G31218"/>
      <c r="H31218"/>
      <c r="I31218"/>
    </row>
    <row r="31219" spans="6:9" x14ac:dyDescent="0.3">
      <c r="F31219"/>
      <c r="G31219"/>
      <c r="H31219"/>
      <c r="I31219"/>
    </row>
    <row r="31220" spans="6:9" x14ac:dyDescent="0.3">
      <c r="F31220"/>
      <c r="G31220"/>
      <c r="H31220"/>
      <c r="I31220"/>
    </row>
    <row r="31221" spans="6:9" x14ac:dyDescent="0.3">
      <c r="F31221"/>
      <c r="G31221"/>
      <c r="H31221"/>
      <c r="I31221"/>
    </row>
    <row r="31222" spans="6:9" x14ac:dyDescent="0.3">
      <c r="F31222"/>
      <c r="G31222"/>
      <c r="H31222"/>
      <c r="I31222"/>
    </row>
    <row r="31223" spans="6:9" x14ac:dyDescent="0.3">
      <c r="F31223"/>
      <c r="G31223"/>
      <c r="H31223"/>
      <c r="I31223"/>
    </row>
    <row r="31224" spans="6:9" x14ac:dyDescent="0.3">
      <c r="F31224"/>
      <c r="G31224"/>
      <c r="H31224"/>
      <c r="I31224"/>
    </row>
    <row r="31225" spans="6:9" x14ac:dyDescent="0.3">
      <c r="F31225"/>
      <c r="G31225"/>
      <c r="H31225"/>
      <c r="I31225"/>
    </row>
    <row r="31226" spans="6:9" x14ac:dyDescent="0.3">
      <c r="F31226"/>
      <c r="G31226"/>
      <c r="H31226"/>
      <c r="I31226"/>
    </row>
    <row r="31227" spans="6:9" x14ac:dyDescent="0.3">
      <c r="F31227"/>
      <c r="G31227"/>
      <c r="H31227"/>
      <c r="I31227"/>
    </row>
    <row r="31228" spans="6:9" x14ac:dyDescent="0.3">
      <c r="F31228"/>
      <c r="G31228"/>
      <c r="H31228"/>
      <c r="I31228"/>
    </row>
    <row r="31229" spans="6:9" x14ac:dyDescent="0.3">
      <c r="F31229"/>
      <c r="G31229"/>
      <c r="H31229"/>
      <c r="I31229"/>
    </row>
    <row r="31230" spans="6:9" x14ac:dyDescent="0.3">
      <c r="F31230"/>
      <c r="G31230"/>
      <c r="H31230"/>
      <c r="I31230"/>
    </row>
    <row r="31231" spans="6:9" x14ac:dyDescent="0.3">
      <c r="F31231"/>
      <c r="G31231"/>
      <c r="H31231"/>
      <c r="I31231"/>
    </row>
    <row r="31232" spans="6:9" x14ac:dyDescent="0.3">
      <c r="F31232"/>
      <c r="G31232"/>
      <c r="H31232"/>
      <c r="I31232"/>
    </row>
    <row r="31233" spans="6:9" x14ac:dyDescent="0.3">
      <c r="F31233"/>
      <c r="G31233"/>
      <c r="H31233"/>
      <c r="I31233"/>
    </row>
    <row r="31234" spans="6:9" x14ac:dyDescent="0.3">
      <c r="F31234"/>
      <c r="G31234"/>
      <c r="H31234"/>
      <c r="I31234"/>
    </row>
    <row r="31235" spans="6:9" x14ac:dyDescent="0.3">
      <c r="F31235"/>
      <c r="G31235"/>
      <c r="H31235"/>
      <c r="I31235"/>
    </row>
    <row r="31236" spans="6:9" x14ac:dyDescent="0.3">
      <c r="F31236"/>
      <c r="G31236"/>
      <c r="H31236"/>
      <c r="I31236"/>
    </row>
    <row r="31237" spans="6:9" x14ac:dyDescent="0.3">
      <c r="F31237"/>
      <c r="G31237"/>
      <c r="H31237"/>
      <c r="I31237"/>
    </row>
    <row r="31238" spans="6:9" x14ac:dyDescent="0.3">
      <c r="F31238"/>
      <c r="G31238"/>
      <c r="H31238"/>
      <c r="I31238"/>
    </row>
    <row r="31239" spans="6:9" x14ac:dyDescent="0.3">
      <c r="F31239"/>
      <c r="G31239"/>
      <c r="H31239"/>
      <c r="I31239"/>
    </row>
    <row r="31240" spans="6:9" x14ac:dyDescent="0.3">
      <c r="F31240"/>
      <c r="G31240"/>
      <c r="H31240"/>
      <c r="I31240"/>
    </row>
    <row r="31241" spans="6:9" x14ac:dyDescent="0.3">
      <c r="F31241"/>
      <c r="G31241"/>
      <c r="H31241"/>
      <c r="I31241"/>
    </row>
    <row r="31242" spans="6:9" x14ac:dyDescent="0.3">
      <c r="F31242"/>
      <c r="G31242"/>
      <c r="H31242"/>
      <c r="I31242"/>
    </row>
    <row r="31243" spans="6:9" x14ac:dyDescent="0.3">
      <c r="F31243"/>
      <c r="G31243"/>
      <c r="H31243"/>
      <c r="I31243"/>
    </row>
    <row r="31244" spans="6:9" x14ac:dyDescent="0.3">
      <c r="F31244"/>
      <c r="G31244"/>
      <c r="H31244"/>
      <c r="I31244"/>
    </row>
    <row r="31245" spans="6:9" x14ac:dyDescent="0.3">
      <c r="F31245"/>
      <c r="G31245"/>
      <c r="H31245"/>
      <c r="I31245"/>
    </row>
    <row r="31246" spans="6:9" x14ac:dyDescent="0.3">
      <c r="F31246"/>
      <c r="G31246"/>
      <c r="H31246"/>
      <c r="I31246"/>
    </row>
    <row r="31247" spans="6:9" x14ac:dyDescent="0.3">
      <c r="F31247"/>
      <c r="G31247"/>
      <c r="H31247"/>
      <c r="I31247"/>
    </row>
    <row r="31248" spans="6:9" x14ac:dyDescent="0.3">
      <c r="F31248"/>
      <c r="G31248"/>
      <c r="H31248"/>
      <c r="I31248"/>
    </row>
    <row r="31249" spans="6:9" x14ac:dyDescent="0.3">
      <c r="F31249"/>
      <c r="G31249"/>
      <c r="H31249"/>
      <c r="I31249"/>
    </row>
    <row r="31250" spans="6:9" x14ac:dyDescent="0.3">
      <c r="F31250"/>
      <c r="G31250"/>
      <c r="H31250"/>
      <c r="I31250"/>
    </row>
    <row r="31251" spans="6:9" x14ac:dyDescent="0.3">
      <c r="F31251"/>
      <c r="G31251"/>
      <c r="H31251"/>
      <c r="I31251"/>
    </row>
    <row r="31252" spans="6:9" x14ac:dyDescent="0.3">
      <c r="F31252"/>
      <c r="G31252"/>
      <c r="H31252"/>
      <c r="I31252"/>
    </row>
    <row r="31253" spans="6:9" x14ac:dyDescent="0.3">
      <c r="F31253"/>
      <c r="G31253"/>
      <c r="H31253"/>
      <c r="I31253"/>
    </row>
    <row r="31254" spans="6:9" x14ac:dyDescent="0.3">
      <c r="F31254"/>
      <c r="G31254"/>
      <c r="H31254"/>
      <c r="I31254"/>
    </row>
    <row r="31255" spans="6:9" x14ac:dyDescent="0.3">
      <c r="F31255"/>
      <c r="G31255"/>
      <c r="H31255"/>
      <c r="I31255"/>
    </row>
    <row r="31256" spans="6:9" x14ac:dyDescent="0.3">
      <c r="F31256"/>
      <c r="G31256"/>
      <c r="H31256"/>
      <c r="I31256"/>
    </row>
    <row r="31257" spans="6:9" x14ac:dyDescent="0.3">
      <c r="F31257"/>
      <c r="G31257"/>
      <c r="H31257"/>
      <c r="I31257"/>
    </row>
    <row r="31258" spans="6:9" x14ac:dyDescent="0.3">
      <c r="F31258"/>
      <c r="G31258"/>
      <c r="H31258"/>
      <c r="I31258"/>
    </row>
    <row r="31259" spans="6:9" x14ac:dyDescent="0.3">
      <c r="F31259"/>
      <c r="G31259"/>
      <c r="H31259"/>
      <c r="I31259"/>
    </row>
    <row r="31260" spans="6:9" x14ac:dyDescent="0.3">
      <c r="F31260"/>
      <c r="G31260"/>
      <c r="H31260"/>
      <c r="I31260"/>
    </row>
    <row r="31261" spans="6:9" x14ac:dyDescent="0.3">
      <c r="F31261"/>
      <c r="G31261"/>
      <c r="H31261"/>
      <c r="I31261"/>
    </row>
    <row r="31262" spans="6:9" x14ac:dyDescent="0.3">
      <c r="F31262"/>
      <c r="G31262"/>
      <c r="H31262"/>
      <c r="I31262"/>
    </row>
    <row r="31263" spans="6:9" x14ac:dyDescent="0.3">
      <c r="F31263"/>
      <c r="G31263"/>
      <c r="H31263"/>
      <c r="I31263"/>
    </row>
    <row r="31264" spans="6:9" x14ac:dyDescent="0.3">
      <c r="F31264"/>
      <c r="G31264"/>
      <c r="H31264"/>
      <c r="I31264"/>
    </row>
    <row r="31265" spans="6:9" x14ac:dyDescent="0.3">
      <c r="F31265"/>
      <c r="G31265"/>
      <c r="H31265"/>
      <c r="I31265"/>
    </row>
    <row r="31266" spans="6:9" x14ac:dyDescent="0.3">
      <c r="F31266"/>
      <c r="G31266"/>
      <c r="H31266"/>
      <c r="I31266"/>
    </row>
    <row r="31267" spans="6:9" x14ac:dyDescent="0.3">
      <c r="F31267"/>
      <c r="G31267"/>
      <c r="H31267"/>
      <c r="I31267"/>
    </row>
    <row r="31268" spans="6:9" x14ac:dyDescent="0.3">
      <c r="F31268"/>
      <c r="G31268"/>
      <c r="H31268"/>
      <c r="I31268"/>
    </row>
    <row r="31269" spans="6:9" x14ac:dyDescent="0.3">
      <c r="F31269"/>
      <c r="G31269"/>
      <c r="H31269"/>
      <c r="I31269"/>
    </row>
    <row r="31270" spans="6:9" x14ac:dyDescent="0.3">
      <c r="F31270"/>
      <c r="G31270"/>
      <c r="H31270"/>
      <c r="I31270"/>
    </row>
    <row r="31271" spans="6:9" x14ac:dyDescent="0.3">
      <c r="F31271"/>
      <c r="G31271"/>
      <c r="H31271"/>
      <c r="I31271"/>
    </row>
    <row r="31272" spans="6:9" x14ac:dyDescent="0.3">
      <c r="F31272"/>
      <c r="G31272"/>
      <c r="H31272"/>
      <c r="I31272"/>
    </row>
    <row r="31273" spans="6:9" x14ac:dyDescent="0.3">
      <c r="F31273"/>
      <c r="G31273"/>
      <c r="H31273"/>
      <c r="I31273"/>
    </row>
    <row r="31274" spans="6:9" x14ac:dyDescent="0.3">
      <c r="F31274"/>
      <c r="G31274"/>
      <c r="H31274"/>
      <c r="I31274"/>
    </row>
    <row r="31275" spans="6:9" x14ac:dyDescent="0.3">
      <c r="F31275"/>
      <c r="G31275"/>
      <c r="H31275"/>
      <c r="I31275"/>
    </row>
    <row r="31276" spans="6:9" x14ac:dyDescent="0.3">
      <c r="F31276"/>
      <c r="G31276"/>
      <c r="H31276"/>
      <c r="I31276"/>
    </row>
    <row r="31277" spans="6:9" x14ac:dyDescent="0.3">
      <c r="F31277"/>
      <c r="G31277"/>
      <c r="H31277"/>
      <c r="I31277"/>
    </row>
    <row r="31278" spans="6:9" x14ac:dyDescent="0.3">
      <c r="F31278"/>
      <c r="G31278"/>
      <c r="H31278"/>
      <c r="I31278"/>
    </row>
    <row r="31279" spans="6:9" x14ac:dyDescent="0.3">
      <c r="F31279"/>
      <c r="G31279"/>
      <c r="H31279"/>
      <c r="I31279"/>
    </row>
    <row r="31280" spans="6:9" x14ac:dyDescent="0.3">
      <c r="F31280"/>
      <c r="G31280"/>
      <c r="H31280"/>
      <c r="I31280"/>
    </row>
    <row r="31281" spans="6:9" x14ac:dyDescent="0.3">
      <c r="F31281"/>
      <c r="G31281"/>
      <c r="H31281"/>
      <c r="I31281"/>
    </row>
    <row r="31282" spans="6:9" x14ac:dyDescent="0.3">
      <c r="F31282"/>
      <c r="G31282"/>
      <c r="H31282"/>
      <c r="I31282"/>
    </row>
    <row r="31283" spans="6:9" x14ac:dyDescent="0.3">
      <c r="F31283"/>
      <c r="G31283"/>
      <c r="H31283"/>
      <c r="I31283"/>
    </row>
    <row r="31284" spans="6:9" x14ac:dyDescent="0.3">
      <c r="F31284"/>
      <c r="G31284"/>
      <c r="H31284"/>
      <c r="I31284"/>
    </row>
    <row r="31285" spans="6:9" x14ac:dyDescent="0.3">
      <c r="F31285"/>
      <c r="G31285"/>
      <c r="H31285"/>
      <c r="I31285"/>
    </row>
    <row r="31286" spans="6:9" x14ac:dyDescent="0.3">
      <c r="F31286"/>
      <c r="G31286"/>
      <c r="H31286"/>
      <c r="I31286"/>
    </row>
    <row r="31287" spans="6:9" x14ac:dyDescent="0.3">
      <c r="F31287"/>
      <c r="G31287"/>
      <c r="H31287"/>
      <c r="I31287"/>
    </row>
    <row r="31288" spans="6:9" x14ac:dyDescent="0.3">
      <c r="F31288"/>
      <c r="G31288"/>
      <c r="H31288"/>
      <c r="I31288"/>
    </row>
    <row r="31289" spans="6:9" x14ac:dyDescent="0.3">
      <c r="F31289"/>
      <c r="G31289"/>
      <c r="H31289"/>
      <c r="I31289"/>
    </row>
    <row r="31290" spans="6:9" x14ac:dyDescent="0.3">
      <c r="F31290"/>
      <c r="G31290"/>
      <c r="H31290"/>
      <c r="I31290"/>
    </row>
    <row r="31291" spans="6:9" x14ac:dyDescent="0.3">
      <c r="F31291"/>
      <c r="G31291"/>
      <c r="H31291"/>
      <c r="I31291"/>
    </row>
    <row r="31292" spans="6:9" x14ac:dyDescent="0.3">
      <c r="F31292"/>
      <c r="G31292"/>
      <c r="H31292"/>
      <c r="I31292"/>
    </row>
    <row r="31293" spans="6:9" x14ac:dyDescent="0.3">
      <c r="F31293"/>
      <c r="G31293"/>
      <c r="H31293"/>
      <c r="I31293"/>
    </row>
    <row r="31294" spans="6:9" x14ac:dyDescent="0.3">
      <c r="F31294"/>
      <c r="G31294"/>
      <c r="H31294"/>
      <c r="I31294"/>
    </row>
    <row r="31295" spans="6:9" x14ac:dyDescent="0.3">
      <c r="F31295"/>
      <c r="G31295"/>
      <c r="H31295"/>
      <c r="I31295"/>
    </row>
    <row r="31296" spans="6:9" x14ac:dyDescent="0.3">
      <c r="F31296"/>
      <c r="G31296"/>
      <c r="H31296"/>
      <c r="I31296"/>
    </row>
    <row r="31297" spans="6:9" x14ac:dyDescent="0.3">
      <c r="F31297"/>
      <c r="G31297"/>
      <c r="H31297"/>
      <c r="I31297"/>
    </row>
    <row r="31298" spans="6:9" x14ac:dyDescent="0.3">
      <c r="F31298"/>
      <c r="G31298"/>
      <c r="H31298"/>
      <c r="I31298"/>
    </row>
    <row r="31299" spans="6:9" x14ac:dyDescent="0.3">
      <c r="F31299"/>
      <c r="G31299"/>
      <c r="H31299"/>
      <c r="I31299"/>
    </row>
    <row r="31300" spans="6:9" x14ac:dyDescent="0.3">
      <c r="F31300"/>
      <c r="G31300"/>
      <c r="H31300"/>
      <c r="I31300"/>
    </row>
    <row r="31301" spans="6:9" x14ac:dyDescent="0.3">
      <c r="F31301"/>
      <c r="G31301"/>
      <c r="H31301"/>
      <c r="I31301"/>
    </row>
    <row r="31302" spans="6:9" x14ac:dyDescent="0.3">
      <c r="F31302"/>
      <c r="G31302"/>
      <c r="H31302"/>
      <c r="I31302"/>
    </row>
    <row r="31303" spans="6:9" x14ac:dyDescent="0.3">
      <c r="F31303"/>
      <c r="G31303"/>
      <c r="H31303"/>
      <c r="I31303"/>
    </row>
    <row r="31304" spans="6:9" x14ac:dyDescent="0.3">
      <c r="F31304"/>
      <c r="G31304"/>
      <c r="H31304"/>
      <c r="I31304"/>
    </row>
    <row r="31305" spans="6:9" x14ac:dyDescent="0.3">
      <c r="F31305"/>
      <c r="G31305"/>
      <c r="H31305"/>
      <c r="I31305"/>
    </row>
    <row r="31306" spans="6:9" x14ac:dyDescent="0.3">
      <c r="F31306"/>
      <c r="G31306"/>
      <c r="H31306"/>
      <c r="I31306"/>
    </row>
    <row r="31307" spans="6:9" x14ac:dyDescent="0.3">
      <c r="F31307"/>
      <c r="G31307"/>
      <c r="H31307"/>
      <c r="I31307"/>
    </row>
    <row r="31308" spans="6:9" x14ac:dyDescent="0.3">
      <c r="F31308"/>
      <c r="G31308"/>
      <c r="H31308"/>
      <c r="I31308"/>
    </row>
    <row r="31309" spans="6:9" x14ac:dyDescent="0.3">
      <c r="F31309"/>
      <c r="G31309"/>
      <c r="H31309"/>
      <c r="I31309"/>
    </row>
    <row r="31310" spans="6:9" x14ac:dyDescent="0.3">
      <c r="F31310"/>
      <c r="G31310"/>
      <c r="H31310"/>
      <c r="I31310"/>
    </row>
    <row r="31311" spans="6:9" x14ac:dyDescent="0.3">
      <c r="F31311"/>
      <c r="G31311"/>
      <c r="H31311"/>
      <c r="I31311"/>
    </row>
    <row r="31312" spans="6:9" x14ac:dyDescent="0.3">
      <c r="F31312"/>
      <c r="G31312"/>
      <c r="H31312"/>
      <c r="I31312"/>
    </row>
    <row r="31313" spans="6:9" x14ac:dyDescent="0.3">
      <c r="F31313"/>
      <c r="G31313"/>
      <c r="H31313"/>
      <c r="I31313"/>
    </row>
    <row r="31314" spans="6:9" x14ac:dyDescent="0.3">
      <c r="F31314"/>
      <c r="G31314"/>
      <c r="H31314"/>
      <c r="I31314"/>
    </row>
    <row r="31315" spans="6:9" x14ac:dyDescent="0.3">
      <c r="F31315"/>
      <c r="G31315"/>
      <c r="H31315"/>
      <c r="I31315"/>
    </row>
    <row r="31316" spans="6:9" x14ac:dyDescent="0.3">
      <c r="F31316"/>
      <c r="G31316"/>
      <c r="H31316"/>
      <c r="I31316"/>
    </row>
    <row r="31317" spans="6:9" x14ac:dyDescent="0.3">
      <c r="F31317"/>
      <c r="G31317"/>
      <c r="H31317"/>
      <c r="I31317"/>
    </row>
    <row r="31318" spans="6:9" x14ac:dyDescent="0.3">
      <c r="F31318"/>
      <c r="G31318"/>
      <c r="H31318"/>
      <c r="I31318"/>
    </row>
    <row r="31319" spans="6:9" x14ac:dyDescent="0.3">
      <c r="F31319"/>
      <c r="G31319"/>
      <c r="H31319"/>
      <c r="I31319"/>
    </row>
    <row r="31320" spans="6:9" x14ac:dyDescent="0.3">
      <c r="F31320"/>
      <c r="G31320"/>
      <c r="H31320"/>
      <c r="I31320"/>
    </row>
    <row r="31321" spans="6:9" x14ac:dyDescent="0.3">
      <c r="F31321"/>
      <c r="G31321"/>
      <c r="H31321"/>
      <c r="I31321"/>
    </row>
    <row r="31322" spans="6:9" x14ac:dyDescent="0.3">
      <c r="F31322"/>
      <c r="G31322"/>
      <c r="H31322"/>
      <c r="I31322"/>
    </row>
    <row r="31323" spans="6:9" x14ac:dyDescent="0.3">
      <c r="F31323"/>
      <c r="G31323"/>
      <c r="H31323"/>
      <c r="I31323"/>
    </row>
    <row r="31324" spans="6:9" x14ac:dyDescent="0.3">
      <c r="F31324"/>
      <c r="G31324"/>
      <c r="H31324"/>
      <c r="I31324"/>
    </row>
    <row r="31325" spans="6:9" x14ac:dyDescent="0.3">
      <c r="F31325"/>
      <c r="G31325"/>
      <c r="H31325"/>
      <c r="I31325"/>
    </row>
    <row r="31326" spans="6:9" x14ac:dyDescent="0.3">
      <c r="F31326"/>
      <c r="G31326"/>
      <c r="H31326"/>
      <c r="I31326"/>
    </row>
    <row r="31327" spans="6:9" x14ac:dyDescent="0.3">
      <c r="F31327"/>
      <c r="G31327"/>
      <c r="H31327"/>
      <c r="I31327"/>
    </row>
    <row r="31328" spans="6:9" x14ac:dyDescent="0.3">
      <c r="F31328"/>
      <c r="G31328"/>
      <c r="H31328"/>
      <c r="I31328"/>
    </row>
    <row r="31329" spans="6:9" x14ac:dyDescent="0.3">
      <c r="F31329"/>
      <c r="G31329"/>
      <c r="H31329"/>
      <c r="I31329"/>
    </row>
    <row r="31330" spans="6:9" x14ac:dyDescent="0.3">
      <c r="F31330"/>
      <c r="G31330"/>
      <c r="H31330"/>
      <c r="I31330"/>
    </row>
    <row r="31331" spans="6:9" x14ac:dyDescent="0.3">
      <c r="F31331"/>
      <c r="G31331"/>
      <c r="H31331"/>
      <c r="I31331"/>
    </row>
    <row r="31332" spans="6:9" x14ac:dyDescent="0.3">
      <c r="F31332"/>
      <c r="G31332"/>
      <c r="H31332"/>
      <c r="I31332"/>
    </row>
    <row r="31333" spans="6:9" x14ac:dyDescent="0.3">
      <c r="F31333"/>
      <c r="G31333"/>
      <c r="H31333"/>
      <c r="I31333"/>
    </row>
    <row r="31334" spans="6:9" x14ac:dyDescent="0.3">
      <c r="F31334"/>
      <c r="G31334"/>
      <c r="H31334"/>
      <c r="I31334"/>
    </row>
    <row r="31335" spans="6:9" x14ac:dyDescent="0.3">
      <c r="F31335"/>
      <c r="G31335"/>
      <c r="H31335"/>
      <c r="I31335"/>
    </row>
    <row r="31336" spans="6:9" x14ac:dyDescent="0.3">
      <c r="F31336"/>
      <c r="G31336"/>
      <c r="H31336"/>
      <c r="I31336"/>
    </row>
    <row r="31337" spans="6:9" x14ac:dyDescent="0.3">
      <c r="F31337"/>
      <c r="G31337"/>
      <c r="H31337"/>
      <c r="I31337"/>
    </row>
    <row r="31338" spans="6:9" x14ac:dyDescent="0.3">
      <c r="F31338"/>
      <c r="G31338"/>
      <c r="H31338"/>
      <c r="I31338"/>
    </row>
    <row r="31339" spans="6:9" x14ac:dyDescent="0.3">
      <c r="F31339"/>
      <c r="G31339"/>
      <c r="H31339"/>
      <c r="I31339"/>
    </row>
    <row r="31340" spans="6:9" x14ac:dyDescent="0.3">
      <c r="F31340"/>
      <c r="G31340"/>
      <c r="H31340"/>
      <c r="I31340"/>
    </row>
    <row r="31341" spans="6:9" x14ac:dyDescent="0.3">
      <c r="F31341"/>
      <c r="G31341"/>
      <c r="H31341"/>
      <c r="I31341"/>
    </row>
    <row r="31342" spans="6:9" x14ac:dyDescent="0.3">
      <c r="F31342"/>
      <c r="G31342"/>
      <c r="H31342"/>
      <c r="I31342"/>
    </row>
    <row r="31343" spans="6:9" x14ac:dyDescent="0.3">
      <c r="F31343"/>
      <c r="G31343"/>
      <c r="H31343"/>
      <c r="I31343"/>
    </row>
    <row r="31344" spans="6:9" x14ac:dyDescent="0.3">
      <c r="F31344"/>
      <c r="G31344"/>
      <c r="H31344"/>
      <c r="I31344"/>
    </row>
    <row r="31345" spans="6:9" x14ac:dyDescent="0.3">
      <c r="F31345"/>
      <c r="G31345"/>
      <c r="H31345"/>
      <c r="I31345"/>
    </row>
    <row r="31346" spans="6:9" x14ac:dyDescent="0.3">
      <c r="F31346"/>
      <c r="G31346"/>
      <c r="H31346"/>
      <c r="I31346"/>
    </row>
    <row r="31347" spans="6:9" x14ac:dyDescent="0.3">
      <c r="F31347"/>
      <c r="G31347"/>
      <c r="H31347"/>
      <c r="I31347"/>
    </row>
    <row r="31348" spans="6:9" x14ac:dyDescent="0.3">
      <c r="F31348"/>
      <c r="G31348"/>
      <c r="H31348"/>
      <c r="I31348"/>
    </row>
    <row r="31349" spans="6:9" x14ac:dyDescent="0.3">
      <c r="F31349"/>
      <c r="G31349"/>
      <c r="H31349"/>
      <c r="I31349"/>
    </row>
    <row r="31350" spans="6:9" x14ac:dyDescent="0.3">
      <c r="F31350"/>
      <c r="G31350"/>
      <c r="H31350"/>
      <c r="I31350"/>
    </row>
    <row r="31351" spans="6:9" x14ac:dyDescent="0.3">
      <c r="F31351"/>
      <c r="G31351"/>
      <c r="H31351"/>
      <c r="I31351"/>
    </row>
    <row r="31352" spans="6:9" x14ac:dyDescent="0.3">
      <c r="F31352"/>
      <c r="G31352"/>
      <c r="H31352"/>
      <c r="I31352"/>
    </row>
    <row r="31353" spans="6:9" x14ac:dyDescent="0.3">
      <c r="F31353"/>
      <c r="G31353"/>
      <c r="H31353"/>
      <c r="I31353"/>
    </row>
    <row r="31354" spans="6:9" x14ac:dyDescent="0.3">
      <c r="F31354"/>
      <c r="G31354"/>
      <c r="H31354"/>
      <c r="I31354"/>
    </row>
    <row r="31355" spans="6:9" x14ac:dyDescent="0.3">
      <c r="F31355"/>
      <c r="G31355"/>
      <c r="H31355"/>
      <c r="I31355"/>
    </row>
    <row r="31356" spans="6:9" x14ac:dyDescent="0.3">
      <c r="F31356"/>
      <c r="G31356"/>
      <c r="H31356"/>
      <c r="I31356"/>
    </row>
    <row r="31357" spans="6:9" x14ac:dyDescent="0.3">
      <c r="F31357"/>
      <c r="G31357"/>
      <c r="H31357"/>
      <c r="I31357"/>
    </row>
    <row r="31358" spans="6:9" x14ac:dyDescent="0.3">
      <c r="F31358"/>
      <c r="G31358"/>
      <c r="H31358"/>
      <c r="I31358"/>
    </row>
    <row r="31359" spans="6:9" x14ac:dyDescent="0.3">
      <c r="F31359"/>
      <c r="G31359"/>
      <c r="H31359"/>
      <c r="I31359"/>
    </row>
    <row r="31360" spans="6:9" x14ac:dyDescent="0.3">
      <c r="F31360"/>
      <c r="G31360"/>
      <c r="H31360"/>
      <c r="I31360"/>
    </row>
    <row r="31361" spans="6:9" x14ac:dyDescent="0.3">
      <c r="F31361"/>
      <c r="G31361"/>
      <c r="H31361"/>
      <c r="I31361"/>
    </row>
    <row r="31362" spans="6:9" x14ac:dyDescent="0.3">
      <c r="F31362"/>
      <c r="G31362"/>
      <c r="H31362"/>
      <c r="I31362"/>
    </row>
    <row r="31363" spans="6:9" x14ac:dyDescent="0.3">
      <c r="F31363"/>
      <c r="G31363"/>
      <c r="H31363"/>
      <c r="I31363"/>
    </row>
    <row r="31364" spans="6:9" x14ac:dyDescent="0.3">
      <c r="F31364"/>
      <c r="G31364"/>
      <c r="H31364"/>
      <c r="I31364"/>
    </row>
    <row r="31365" spans="6:9" x14ac:dyDescent="0.3">
      <c r="F31365"/>
      <c r="G31365"/>
      <c r="H31365"/>
      <c r="I31365"/>
    </row>
    <row r="31366" spans="6:9" x14ac:dyDescent="0.3">
      <c r="F31366"/>
      <c r="G31366"/>
      <c r="H31366"/>
      <c r="I31366"/>
    </row>
    <row r="31367" spans="6:9" x14ac:dyDescent="0.3">
      <c r="F31367"/>
      <c r="G31367"/>
      <c r="H31367"/>
      <c r="I31367"/>
    </row>
    <row r="31368" spans="6:9" x14ac:dyDescent="0.3">
      <c r="F31368"/>
      <c r="G31368"/>
      <c r="H31368"/>
      <c r="I31368"/>
    </row>
    <row r="31369" spans="6:9" x14ac:dyDescent="0.3">
      <c r="F31369"/>
      <c r="G31369"/>
      <c r="H31369"/>
      <c r="I31369"/>
    </row>
    <row r="31370" spans="6:9" x14ac:dyDescent="0.3">
      <c r="F31370"/>
      <c r="G31370"/>
      <c r="H31370"/>
      <c r="I31370"/>
    </row>
    <row r="31371" spans="6:9" x14ac:dyDescent="0.3">
      <c r="F31371"/>
      <c r="G31371"/>
      <c r="H31371"/>
      <c r="I31371"/>
    </row>
    <row r="31372" spans="6:9" x14ac:dyDescent="0.3">
      <c r="F31372"/>
      <c r="G31372"/>
      <c r="H31372"/>
      <c r="I31372"/>
    </row>
    <row r="31373" spans="6:9" x14ac:dyDescent="0.3">
      <c r="F31373"/>
      <c r="G31373"/>
      <c r="H31373"/>
      <c r="I31373"/>
    </row>
    <row r="31374" spans="6:9" x14ac:dyDescent="0.3">
      <c r="F31374"/>
      <c r="G31374"/>
      <c r="H31374"/>
      <c r="I31374"/>
    </row>
    <row r="31375" spans="6:9" x14ac:dyDescent="0.3">
      <c r="F31375"/>
      <c r="G31375"/>
      <c r="H31375"/>
      <c r="I31375"/>
    </row>
    <row r="31376" spans="6:9" x14ac:dyDescent="0.3">
      <c r="F31376"/>
      <c r="G31376"/>
      <c r="H31376"/>
      <c r="I31376"/>
    </row>
    <row r="31377" spans="6:9" x14ac:dyDescent="0.3">
      <c r="F31377"/>
      <c r="G31377"/>
      <c r="H31377"/>
      <c r="I31377"/>
    </row>
    <row r="31378" spans="6:9" x14ac:dyDescent="0.3">
      <c r="F31378"/>
      <c r="G31378"/>
      <c r="H31378"/>
      <c r="I31378"/>
    </row>
    <row r="31379" spans="6:9" x14ac:dyDescent="0.3">
      <c r="F31379"/>
      <c r="G31379"/>
      <c r="H31379"/>
      <c r="I31379"/>
    </row>
    <row r="31380" spans="6:9" x14ac:dyDescent="0.3">
      <c r="F31380"/>
      <c r="G31380"/>
      <c r="H31380"/>
      <c r="I31380"/>
    </row>
    <row r="31381" spans="6:9" x14ac:dyDescent="0.3">
      <c r="F31381"/>
      <c r="G31381"/>
      <c r="H31381"/>
      <c r="I31381"/>
    </row>
    <row r="31382" spans="6:9" x14ac:dyDescent="0.3">
      <c r="F31382"/>
      <c r="G31382"/>
      <c r="H31382"/>
      <c r="I31382"/>
    </row>
    <row r="31383" spans="6:9" x14ac:dyDescent="0.3">
      <c r="F31383"/>
      <c r="G31383"/>
      <c r="H31383"/>
      <c r="I31383"/>
    </row>
    <row r="31384" spans="6:9" x14ac:dyDescent="0.3">
      <c r="F31384"/>
      <c r="G31384"/>
      <c r="H31384"/>
      <c r="I31384"/>
    </row>
    <row r="31385" spans="6:9" x14ac:dyDescent="0.3">
      <c r="F31385"/>
      <c r="G31385"/>
      <c r="H31385"/>
      <c r="I31385"/>
    </row>
    <row r="31386" spans="6:9" x14ac:dyDescent="0.3">
      <c r="F31386"/>
      <c r="G31386"/>
      <c r="H31386"/>
      <c r="I31386"/>
    </row>
    <row r="31387" spans="6:9" x14ac:dyDescent="0.3">
      <c r="F31387"/>
      <c r="G31387"/>
      <c r="H31387"/>
      <c r="I31387"/>
    </row>
    <row r="31388" spans="6:9" x14ac:dyDescent="0.3">
      <c r="F31388"/>
      <c r="G31388"/>
      <c r="H31388"/>
      <c r="I31388"/>
    </row>
    <row r="31389" spans="6:9" x14ac:dyDescent="0.3">
      <c r="F31389"/>
      <c r="G31389"/>
      <c r="H31389"/>
      <c r="I31389"/>
    </row>
    <row r="31390" spans="6:9" x14ac:dyDescent="0.3">
      <c r="F31390"/>
      <c r="G31390"/>
      <c r="H31390"/>
      <c r="I31390"/>
    </row>
    <row r="31391" spans="6:9" x14ac:dyDescent="0.3">
      <c r="F31391"/>
      <c r="G31391"/>
      <c r="H31391"/>
      <c r="I31391"/>
    </row>
    <row r="31392" spans="6:9" x14ac:dyDescent="0.3">
      <c r="F31392"/>
      <c r="G31392"/>
      <c r="H31392"/>
      <c r="I31392"/>
    </row>
    <row r="31393" spans="6:9" x14ac:dyDescent="0.3">
      <c r="F31393"/>
      <c r="G31393"/>
      <c r="H31393"/>
      <c r="I31393"/>
    </row>
    <row r="31394" spans="6:9" x14ac:dyDescent="0.3">
      <c r="F31394"/>
      <c r="G31394"/>
      <c r="H31394"/>
      <c r="I31394"/>
    </row>
    <row r="31395" spans="6:9" x14ac:dyDescent="0.3">
      <c r="F31395"/>
      <c r="G31395"/>
      <c r="H31395"/>
      <c r="I31395"/>
    </row>
    <row r="31396" spans="6:9" x14ac:dyDescent="0.3">
      <c r="F31396"/>
      <c r="G31396"/>
      <c r="H31396"/>
      <c r="I31396"/>
    </row>
    <row r="31397" spans="6:9" x14ac:dyDescent="0.3">
      <c r="F31397"/>
      <c r="G31397"/>
      <c r="H31397"/>
      <c r="I31397"/>
    </row>
    <row r="31398" spans="6:9" x14ac:dyDescent="0.3">
      <c r="F31398"/>
      <c r="G31398"/>
      <c r="H31398"/>
      <c r="I31398"/>
    </row>
    <row r="31399" spans="6:9" x14ac:dyDescent="0.3">
      <c r="F31399"/>
      <c r="G31399"/>
      <c r="H31399"/>
      <c r="I31399"/>
    </row>
    <row r="31400" spans="6:9" x14ac:dyDescent="0.3">
      <c r="F31400"/>
      <c r="G31400"/>
      <c r="H31400"/>
      <c r="I31400"/>
    </row>
    <row r="31401" spans="6:9" x14ac:dyDescent="0.3">
      <c r="F31401"/>
      <c r="G31401"/>
      <c r="H31401"/>
      <c r="I31401"/>
    </row>
    <row r="31402" spans="6:9" x14ac:dyDescent="0.3">
      <c r="F31402"/>
      <c r="G31402"/>
      <c r="H31402"/>
      <c r="I31402"/>
    </row>
    <row r="31403" spans="6:9" x14ac:dyDescent="0.3">
      <c r="F31403"/>
      <c r="G31403"/>
      <c r="H31403"/>
      <c r="I31403"/>
    </row>
    <row r="31404" spans="6:9" x14ac:dyDescent="0.3">
      <c r="F31404"/>
      <c r="G31404"/>
      <c r="H31404"/>
      <c r="I31404"/>
    </row>
    <row r="31405" spans="6:9" x14ac:dyDescent="0.3">
      <c r="F31405"/>
      <c r="G31405"/>
      <c r="H31405"/>
      <c r="I31405"/>
    </row>
    <row r="31406" spans="6:9" x14ac:dyDescent="0.3">
      <c r="F31406"/>
      <c r="G31406"/>
      <c r="H31406"/>
      <c r="I31406"/>
    </row>
    <row r="31407" spans="6:9" x14ac:dyDescent="0.3">
      <c r="F31407"/>
      <c r="G31407"/>
      <c r="H31407"/>
      <c r="I31407"/>
    </row>
    <row r="31408" spans="6:9" x14ac:dyDescent="0.3">
      <c r="F31408"/>
      <c r="G31408"/>
      <c r="H31408"/>
      <c r="I31408"/>
    </row>
    <row r="31409" spans="6:9" x14ac:dyDescent="0.3">
      <c r="F31409"/>
      <c r="G31409"/>
      <c r="H31409"/>
      <c r="I31409"/>
    </row>
    <row r="31410" spans="6:9" x14ac:dyDescent="0.3">
      <c r="F31410"/>
      <c r="G31410"/>
      <c r="H31410"/>
      <c r="I31410"/>
    </row>
    <row r="31411" spans="6:9" x14ac:dyDescent="0.3">
      <c r="F31411"/>
      <c r="G31411"/>
      <c r="H31411"/>
      <c r="I31411"/>
    </row>
    <row r="31412" spans="6:9" x14ac:dyDescent="0.3">
      <c r="F31412"/>
      <c r="G31412"/>
      <c r="H31412"/>
      <c r="I31412"/>
    </row>
    <row r="31413" spans="6:9" x14ac:dyDescent="0.3">
      <c r="F31413"/>
      <c r="G31413"/>
      <c r="H31413"/>
      <c r="I31413"/>
    </row>
    <row r="31414" spans="6:9" x14ac:dyDescent="0.3">
      <c r="F31414"/>
      <c r="G31414"/>
      <c r="H31414"/>
      <c r="I31414"/>
    </row>
    <row r="31415" spans="6:9" x14ac:dyDescent="0.3">
      <c r="F31415"/>
      <c r="G31415"/>
      <c r="H31415"/>
      <c r="I31415"/>
    </row>
    <row r="31416" spans="6:9" x14ac:dyDescent="0.3">
      <c r="F31416"/>
      <c r="G31416"/>
      <c r="H31416"/>
      <c r="I31416"/>
    </row>
    <row r="31417" spans="6:9" x14ac:dyDescent="0.3">
      <c r="F31417"/>
      <c r="G31417"/>
      <c r="H31417"/>
      <c r="I31417"/>
    </row>
    <row r="31418" spans="6:9" x14ac:dyDescent="0.3">
      <c r="F31418"/>
      <c r="G31418"/>
      <c r="H31418"/>
      <c r="I31418"/>
    </row>
    <row r="31419" spans="6:9" x14ac:dyDescent="0.3">
      <c r="F31419"/>
      <c r="G31419"/>
      <c r="H31419"/>
      <c r="I31419"/>
    </row>
    <row r="31420" spans="6:9" x14ac:dyDescent="0.3">
      <c r="F31420"/>
      <c r="G31420"/>
      <c r="H31420"/>
      <c r="I31420"/>
    </row>
    <row r="31421" spans="6:9" x14ac:dyDescent="0.3">
      <c r="F31421"/>
      <c r="G31421"/>
      <c r="H31421"/>
      <c r="I31421"/>
    </row>
    <row r="31422" spans="6:9" x14ac:dyDescent="0.3">
      <c r="F31422"/>
      <c r="G31422"/>
      <c r="H31422"/>
      <c r="I31422"/>
    </row>
    <row r="31423" spans="6:9" x14ac:dyDescent="0.3">
      <c r="F31423"/>
      <c r="G31423"/>
      <c r="H31423"/>
      <c r="I31423"/>
    </row>
    <row r="31424" spans="6:9" x14ac:dyDescent="0.3">
      <c r="F31424"/>
      <c r="G31424"/>
      <c r="H31424"/>
      <c r="I31424"/>
    </row>
    <row r="31425" spans="6:9" x14ac:dyDescent="0.3">
      <c r="F31425"/>
      <c r="G31425"/>
      <c r="H31425"/>
      <c r="I31425"/>
    </row>
    <row r="31426" spans="6:9" x14ac:dyDescent="0.3">
      <c r="F31426"/>
      <c r="G31426"/>
      <c r="H31426"/>
      <c r="I31426"/>
    </row>
    <row r="31427" spans="6:9" x14ac:dyDescent="0.3">
      <c r="F31427"/>
      <c r="G31427"/>
      <c r="H31427"/>
      <c r="I31427"/>
    </row>
    <row r="31428" spans="6:9" x14ac:dyDescent="0.3">
      <c r="F31428"/>
      <c r="G31428"/>
      <c r="H31428"/>
      <c r="I31428"/>
    </row>
    <row r="31429" spans="6:9" x14ac:dyDescent="0.3">
      <c r="F31429"/>
      <c r="G31429"/>
      <c r="H31429"/>
      <c r="I31429"/>
    </row>
    <row r="31430" spans="6:9" x14ac:dyDescent="0.3">
      <c r="F31430"/>
      <c r="G31430"/>
      <c r="H31430"/>
      <c r="I31430"/>
    </row>
    <row r="31431" spans="6:9" x14ac:dyDescent="0.3">
      <c r="F31431"/>
      <c r="G31431"/>
      <c r="H31431"/>
      <c r="I31431"/>
    </row>
    <row r="31432" spans="6:9" x14ac:dyDescent="0.3">
      <c r="F31432"/>
      <c r="G31432"/>
      <c r="H31432"/>
      <c r="I31432"/>
    </row>
    <row r="31433" spans="6:9" x14ac:dyDescent="0.3">
      <c r="F31433"/>
      <c r="G31433"/>
      <c r="H31433"/>
      <c r="I31433"/>
    </row>
    <row r="31434" spans="6:9" x14ac:dyDescent="0.3">
      <c r="F31434"/>
      <c r="G31434"/>
      <c r="H31434"/>
      <c r="I31434"/>
    </row>
    <row r="31435" spans="6:9" x14ac:dyDescent="0.3">
      <c r="F31435"/>
      <c r="G31435"/>
      <c r="H31435"/>
      <c r="I31435"/>
    </row>
    <row r="31436" spans="6:9" x14ac:dyDescent="0.3">
      <c r="F31436"/>
      <c r="G31436"/>
      <c r="H31436"/>
      <c r="I31436"/>
    </row>
    <row r="31437" spans="6:9" x14ac:dyDescent="0.3">
      <c r="F31437"/>
      <c r="G31437"/>
      <c r="H31437"/>
      <c r="I31437"/>
    </row>
    <row r="31438" spans="6:9" x14ac:dyDescent="0.3">
      <c r="F31438"/>
      <c r="G31438"/>
      <c r="H31438"/>
      <c r="I31438"/>
    </row>
    <row r="31439" spans="6:9" x14ac:dyDescent="0.3">
      <c r="F31439"/>
      <c r="G31439"/>
      <c r="H31439"/>
      <c r="I31439"/>
    </row>
    <row r="31440" spans="6:9" x14ac:dyDescent="0.3">
      <c r="F31440"/>
      <c r="G31440"/>
      <c r="H31440"/>
      <c r="I31440"/>
    </row>
    <row r="31441" spans="6:9" x14ac:dyDescent="0.3">
      <c r="F31441"/>
      <c r="G31441"/>
      <c r="H31441"/>
      <c r="I31441"/>
    </row>
    <row r="31442" spans="6:9" x14ac:dyDescent="0.3">
      <c r="F31442"/>
      <c r="G31442"/>
      <c r="H31442"/>
      <c r="I31442"/>
    </row>
    <row r="31443" spans="6:9" x14ac:dyDescent="0.3">
      <c r="F31443"/>
      <c r="G31443"/>
      <c r="H31443"/>
      <c r="I31443"/>
    </row>
    <row r="31444" spans="6:9" x14ac:dyDescent="0.3">
      <c r="F31444"/>
      <c r="G31444"/>
      <c r="H31444"/>
      <c r="I31444"/>
    </row>
    <row r="31445" spans="6:9" x14ac:dyDescent="0.3">
      <c r="F31445"/>
      <c r="G31445"/>
      <c r="H31445"/>
      <c r="I31445"/>
    </row>
    <row r="31446" spans="6:9" x14ac:dyDescent="0.3">
      <c r="F31446"/>
      <c r="G31446"/>
      <c r="H31446"/>
      <c r="I31446"/>
    </row>
    <row r="31447" spans="6:9" x14ac:dyDescent="0.3">
      <c r="F31447"/>
      <c r="G31447"/>
      <c r="H31447"/>
      <c r="I31447"/>
    </row>
    <row r="31448" spans="6:9" x14ac:dyDescent="0.3">
      <c r="F31448"/>
      <c r="G31448"/>
      <c r="H31448"/>
      <c r="I31448"/>
    </row>
    <row r="31449" spans="6:9" x14ac:dyDescent="0.3">
      <c r="F31449"/>
      <c r="G31449"/>
      <c r="H31449"/>
      <c r="I31449"/>
    </row>
    <row r="31450" spans="6:9" x14ac:dyDescent="0.3">
      <c r="F31450"/>
      <c r="G31450"/>
      <c r="H31450"/>
      <c r="I31450"/>
    </row>
    <row r="31451" spans="6:9" x14ac:dyDescent="0.3">
      <c r="F31451"/>
      <c r="G31451"/>
      <c r="H31451"/>
      <c r="I31451"/>
    </row>
    <row r="31452" spans="6:9" x14ac:dyDescent="0.3">
      <c r="F31452"/>
      <c r="G31452"/>
      <c r="H31452"/>
      <c r="I31452"/>
    </row>
    <row r="31453" spans="6:9" x14ac:dyDescent="0.3">
      <c r="F31453"/>
      <c r="G31453"/>
      <c r="H31453"/>
      <c r="I31453"/>
    </row>
    <row r="31454" spans="6:9" x14ac:dyDescent="0.3">
      <c r="F31454"/>
      <c r="G31454"/>
      <c r="H31454"/>
      <c r="I31454"/>
    </row>
    <row r="31455" spans="6:9" x14ac:dyDescent="0.3">
      <c r="F31455"/>
      <c r="G31455"/>
      <c r="H31455"/>
      <c r="I31455"/>
    </row>
    <row r="31456" spans="6:9" x14ac:dyDescent="0.3">
      <c r="F31456"/>
      <c r="G31456"/>
      <c r="H31456"/>
      <c r="I31456"/>
    </row>
    <row r="31457" spans="6:9" x14ac:dyDescent="0.3">
      <c r="F31457"/>
      <c r="G31457"/>
      <c r="H31457"/>
      <c r="I31457"/>
    </row>
    <row r="31458" spans="6:9" x14ac:dyDescent="0.3">
      <c r="F31458"/>
      <c r="G31458"/>
      <c r="H31458"/>
      <c r="I31458"/>
    </row>
    <row r="31459" spans="6:9" x14ac:dyDescent="0.3">
      <c r="F31459"/>
      <c r="G31459"/>
      <c r="H31459"/>
      <c r="I31459"/>
    </row>
    <row r="31460" spans="6:9" x14ac:dyDescent="0.3">
      <c r="F31460"/>
      <c r="G31460"/>
      <c r="H31460"/>
      <c r="I31460"/>
    </row>
    <row r="31461" spans="6:9" x14ac:dyDescent="0.3">
      <c r="F31461"/>
      <c r="G31461"/>
      <c r="H31461"/>
      <c r="I31461"/>
    </row>
    <row r="31462" spans="6:9" x14ac:dyDescent="0.3">
      <c r="F31462"/>
      <c r="G31462"/>
      <c r="H31462"/>
      <c r="I31462"/>
    </row>
    <row r="31463" spans="6:9" x14ac:dyDescent="0.3">
      <c r="F31463"/>
      <c r="G31463"/>
      <c r="H31463"/>
      <c r="I31463"/>
    </row>
    <row r="31464" spans="6:9" x14ac:dyDescent="0.3">
      <c r="F31464"/>
      <c r="G31464"/>
      <c r="H31464"/>
      <c r="I31464"/>
    </row>
    <row r="31465" spans="6:9" x14ac:dyDescent="0.3">
      <c r="F31465"/>
      <c r="G31465"/>
      <c r="H31465"/>
      <c r="I31465"/>
    </row>
    <row r="31466" spans="6:9" x14ac:dyDescent="0.3">
      <c r="F31466"/>
      <c r="G31466"/>
      <c r="H31466"/>
      <c r="I31466"/>
    </row>
    <row r="31467" spans="6:9" x14ac:dyDescent="0.3">
      <c r="F31467"/>
      <c r="G31467"/>
      <c r="H31467"/>
      <c r="I31467"/>
    </row>
    <row r="31468" spans="6:9" x14ac:dyDescent="0.3">
      <c r="F31468"/>
      <c r="G31468"/>
      <c r="H31468"/>
      <c r="I31468"/>
    </row>
    <row r="31469" spans="6:9" x14ac:dyDescent="0.3">
      <c r="F31469"/>
      <c r="G31469"/>
      <c r="H31469"/>
      <c r="I31469"/>
    </row>
    <row r="31470" spans="6:9" x14ac:dyDescent="0.3">
      <c r="F31470"/>
      <c r="G31470"/>
      <c r="H31470"/>
      <c r="I31470"/>
    </row>
    <row r="31471" spans="6:9" x14ac:dyDescent="0.3">
      <c r="F31471"/>
      <c r="G31471"/>
      <c r="H31471"/>
      <c r="I31471"/>
    </row>
    <row r="31472" spans="6:9" x14ac:dyDescent="0.3">
      <c r="F31472"/>
      <c r="G31472"/>
      <c r="H31472"/>
      <c r="I31472"/>
    </row>
    <row r="31473" spans="6:9" x14ac:dyDescent="0.3">
      <c r="F31473"/>
      <c r="G31473"/>
      <c r="H31473"/>
      <c r="I31473"/>
    </row>
    <row r="31474" spans="6:9" x14ac:dyDescent="0.3">
      <c r="F31474"/>
      <c r="G31474"/>
      <c r="H31474"/>
      <c r="I31474"/>
    </row>
    <row r="31475" spans="6:9" x14ac:dyDescent="0.3">
      <c r="F31475"/>
      <c r="G31475"/>
      <c r="H31475"/>
      <c r="I31475"/>
    </row>
    <row r="31476" spans="6:9" x14ac:dyDescent="0.3">
      <c r="F31476"/>
      <c r="G31476"/>
      <c r="H31476"/>
      <c r="I31476"/>
    </row>
    <row r="31477" spans="6:9" x14ac:dyDescent="0.3">
      <c r="F31477"/>
      <c r="G31477"/>
      <c r="H31477"/>
      <c r="I31477"/>
    </row>
    <row r="31478" spans="6:9" x14ac:dyDescent="0.3">
      <c r="F31478"/>
      <c r="G31478"/>
      <c r="H31478"/>
      <c r="I31478"/>
    </row>
    <row r="31479" spans="6:9" x14ac:dyDescent="0.3">
      <c r="F31479"/>
      <c r="G31479"/>
      <c r="H31479"/>
      <c r="I31479"/>
    </row>
    <row r="31480" spans="6:9" x14ac:dyDescent="0.3">
      <c r="F31480"/>
      <c r="G31480"/>
      <c r="H31480"/>
      <c r="I31480"/>
    </row>
    <row r="31481" spans="6:9" x14ac:dyDescent="0.3">
      <c r="F31481"/>
      <c r="G31481"/>
      <c r="H31481"/>
      <c r="I31481"/>
    </row>
    <row r="31482" spans="6:9" x14ac:dyDescent="0.3">
      <c r="F31482"/>
      <c r="G31482"/>
      <c r="H31482"/>
      <c r="I31482"/>
    </row>
    <row r="31483" spans="6:9" x14ac:dyDescent="0.3">
      <c r="F31483"/>
      <c r="G31483"/>
      <c r="H31483"/>
      <c r="I31483"/>
    </row>
    <row r="31484" spans="6:9" x14ac:dyDescent="0.3">
      <c r="F31484"/>
      <c r="G31484"/>
      <c r="H31484"/>
      <c r="I31484"/>
    </row>
    <row r="31485" spans="6:9" x14ac:dyDescent="0.3">
      <c r="F31485"/>
      <c r="G31485"/>
      <c r="H31485"/>
      <c r="I31485"/>
    </row>
    <row r="31486" spans="6:9" x14ac:dyDescent="0.3">
      <c r="F31486"/>
      <c r="G31486"/>
      <c r="H31486"/>
      <c r="I31486"/>
    </row>
    <row r="31487" spans="6:9" x14ac:dyDescent="0.3">
      <c r="F31487"/>
      <c r="G31487"/>
      <c r="H31487"/>
      <c r="I31487"/>
    </row>
    <row r="31488" spans="6:9" x14ac:dyDescent="0.3">
      <c r="F31488"/>
      <c r="G31488"/>
      <c r="H31488"/>
      <c r="I31488"/>
    </row>
    <row r="31489" spans="6:9" x14ac:dyDescent="0.3">
      <c r="F31489"/>
      <c r="G31489"/>
      <c r="H31489"/>
      <c r="I31489"/>
    </row>
    <row r="31490" spans="6:9" x14ac:dyDescent="0.3">
      <c r="F31490"/>
      <c r="G31490"/>
      <c r="H31490"/>
      <c r="I31490"/>
    </row>
    <row r="31491" spans="6:9" x14ac:dyDescent="0.3">
      <c r="F31491"/>
      <c r="G31491"/>
      <c r="H31491"/>
      <c r="I31491"/>
    </row>
    <row r="31492" spans="6:9" x14ac:dyDescent="0.3">
      <c r="F31492"/>
      <c r="G31492"/>
      <c r="H31492"/>
      <c r="I31492"/>
    </row>
    <row r="31493" spans="6:9" x14ac:dyDescent="0.3">
      <c r="F31493"/>
      <c r="G31493"/>
      <c r="H31493"/>
      <c r="I31493"/>
    </row>
    <row r="31494" spans="6:9" x14ac:dyDescent="0.3">
      <c r="F31494"/>
      <c r="G31494"/>
      <c r="H31494"/>
      <c r="I31494"/>
    </row>
    <row r="31495" spans="6:9" x14ac:dyDescent="0.3">
      <c r="F31495"/>
      <c r="G31495"/>
      <c r="H31495"/>
      <c r="I31495"/>
    </row>
    <row r="31496" spans="6:9" x14ac:dyDescent="0.3">
      <c r="F31496"/>
      <c r="G31496"/>
      <c r="H31496"/>
      <c r="I31496"/>
    </row>
    <row r="31497" spans="6:9" x14ac:dyDescent="0.3">
      <c r="F31497"/>
      <c r="G31497"/>
      <c r="H31497"/>
      <c r="I31497"/>
    </row>
    <row r="31498" spans="6:9" x14ac:dyDescent="0.3">
      <c r="F31498"/>
      <c r="G31498"/>
      <c r="H31498"/>
      <c r="I31498"/>
    </row>
    <row r="31499" spans="6:9" x14ac:dyDescent="0.3">
      <c r="F31499"/>
      <c r="G31499"/>
      <c r="H31499"/>
      <c r="I31499"/>
    </row>
    <row r="31500" spans="6:9" x14ac:dyDescent="0.3">
      <c r="F31500"/>
      <c r="G31500"/>
      <c r="H31500"/>
      <c r="I31500"/>
    </row>
    <row r="31501" spans="6:9" x14ac:dyDescent="0.3">
      <c r="F31501"/>
      <c r="G31501"/>
      <c r="H31501"/>
      <c r="I31501"/>
    </row>
    <row r="31502" spans="6:9" x14ac:dyDescent="0.3">
      <c r="F31502"/>
      <c r="G31502"/>
      <c r="H31502"/>
      <c r="I31502"/>
    </row>
    <row r="31503" spans="6:9" x14ac:dyDescent="0.3">
      <c r="F31503"/>
      <c r="G31503"/>
      <c r="H31503"/>
      <c r="I31503"/>
    </row>
    <row r="31504" spans="6:9" x14ac:dyDescent="0.3">
      <c r="F31504"/>
      <c r="G31504"/>
      <c r="H31504"/>
      <c r="I31504"/>
    </row>
    <row r="31505" spans="6:9" x14ac:dyDescent="0.3">
      <c r="F31505"/>
      <c r="G31505"/>
      <c r="H31505"/>
      <c r="I31505"/>
    </row>
    <row r="31506" spans="6:9" x14ac:dyDescent="0.3">
      <c r="F31506"/>
      <c r="G31506"/>
      <c r="H31506"/>
      <c r="I31506"/>
    </row>
    <row r="31507" spans="6:9" x14ac:dyDescent="0.3">
      <c r="F31507"/>
      <c r="G31507"/>
      <c r="H31507"/>
      <c r="I31507"/>
    </row>
    <row r="31508" spans="6:9" x14ac:dyDescent="0.3">
      <c r="F31508"/>
      <c r="G31508"/>
      <c r="H31508"/>
      <c r="I31508"/>
    </row>
    <row r="31509" spans="6:9" x14ac:dyDescent="0.3">
      <c r="F31509"/>
      <c r="G31509"/>
      <c r="H31509"/>
      <c r="I31509"/>
    </row>
    <row r="31510" spans="6:9" x14ac:dyDescent="0.3">
      <c r="F31510"/>
      <c r="G31510"/>
      <c r="H31510"/>
      <c r="I31510"/>
    </row>
    <row r="31511" spans="6:9" x14ac:dyDescent="0.3">
      <c r="F31511"/>
      <c r="G31511"/>
      <c r="H31511"/>
      <c r="I31511"/>
    </row>
    <row r="31512" spans="6:9" x14ac:dyDescent="0.3">
      <c r="F31512"/>
      <c r="G31512"/>
      <c r="H31512"/>
      <c r="I31512"/>
    </row>
    <row r="31513" spans="6:9" x14ac:dyDescent="0.3">
      <c r="F31513"/>
      <c r="G31513"/>
      <c r="H31513"/>
      <c r="I31513"/>
    </row>
    <row r="31514" spans="6:9" x14ac:dyDescent="0.3">
      <c r="F31514"/>
      <c r="G31514"/>
      <c r="H31514"/>
      <c r="I31514"/>
    </row>
    <row r="31515" spans="6:9" x14ac:dyDescent="0.3">
      <c r="F31515"/>
      <c r="G31515"/>
      <c r="H31515"/>
      <c r="I31515"/>
    </row>
    <row r="31516" spans="6:9" x14ac:dyDescent="0.3">
      <c r="F31516"/>
      <c r="G31516"/>
      <c r="H31516"/>
      <c r="I31516"/>
    </row>
    <row r="31517" spans="6:9" x14ac:dyDescent="0.3">
      <c r="F31517"/>
      <c r="G31517"/>
      <c r="H31517"/>
      <c r="I31517"/>
    </row>
    <row r="31518" spans="6:9" x14ac:dyDescent="0.3">
      <c r="F31518"/>
      <c r="G31518"/>
      <c r="H31518"/>
      <c r="I31518"/>
    </row>
    <row r="31519" spans="6:9" x14ac:dyDescent="0.3">
      <c r="F31519"/>
      <c r="G31519"/>
      <c r="H31519"/>
      <c r="I31519"/>
    </row>
    <row r="31520" spans="6:9" x14ac:dyDescent="0.3">
      <c r="F31520"/>
      <c r="G31520"/>
      <c r="H31520"/>
      <c r="I31520"/>
    </row>
    <row r="31521" spans="6:9" x14ac:dyDescent="0.3">
      <c r="F31521"/>
      <c r="G31521"/>
      <c r="H31521"/>
      <c r="I31521"/>
    </row>
    <row r="31522" spans="6:9" x14ac:dyDescent="0.3">
      <c r="F31522"/>
      <c r="G31522"/>
      <c r="H31522"/>
      <c r="I31522"/>
    </row>
    <row r="31523" spans="6:9" x14ac:dyDescent="0.3">
      <c r="F31523"/>
      <c r="G31523"/>
      <c r="H31523"/>
      <c r="I31523"/>
    </row>
    <row r="31524" spans="6:9" x14ac:dyDescent="0.3">
      <c r="F31524"/>
      <c r="G31524"/>
      <c r="H31524"/>
      <c r="I31524"/>
    </row>
    <row r="31525" spans="6:9" x14ac:dyDescent="0.3">
      <c r="F31525"/>
      <c r="G31525"/>
      <c r="H31525"/>
      <c r="I31525"/>
    </row>
    <row r="31526" spans="6:9" x14ac:dyDescent="0.3">
      <c r="F31526"/>
      <c r="G31526"/>
      <c r="H31526"/>
      <c r="I31526"/>
    </row>
    <row r="31527" spans="6:9" x14ac:dyDescent="0.3">
      <c r="F31527"/>
      <c r="G31527"/>
      <c r="H31527"/>
      <c r="I31527"/>
    </row>
    <row r="31528" spans="6:9" x14ac:dyDescent="0.3">
      <c r="F31528"/>
      <c r="G31528"/>
      <c r="H31528"/>
      <c r="I31528"/>
    </row>
    <row r="31529" spans="6:9" x14ac:dyDescent="0.3">
      <c r="F31529"/>
      <c r="G31529"/>
      <c r="H31529"/>
      <c r="I31529"/>
    </row>
    <row r="31530" spans="6:9" x14ac:dyDescent="0.3">
      <c r="F31530"/>
      <c r="G31530"/>
      <c r="H31530"/>
      <c r="I31530"/>
    </row>
    <row r="31531" spans="6:9" x14ac:dyDescent="0.3">
      <c r="F31531"/>
      <c r="G31531"/>
      <c r="H31531"/>
      <c r="I31531"/>
    </row>
    <row r="31532" spans="6:9" x14ac:dyDescent="0.3">
      <c r="F31532"/>
      <c r="G31532"/>
      <c r="H31532"/>
      <c r="I31532"/>
    </row>
    <row r="31533" spans="6:9" x14ac:dyDescent="0.3">
      <c r="F31533"/>
      <c r="G31533"/>
      <c r="H31533"/>
      <c r="I31533"/>
    </row>
    <row r="31534" spans="6:9" x14ac:dyDescent="0.3">
      <c r="F31534"/>
      <c r="G31534"/>
      <c r="H31534"/>
      <c r="I31534"/>
    </row>
    <row r="31535" spans="6:9" x14ac:dyDescent="0.3">
      <c r="F31535"/>
      <c r="G31535"/>
      <c r="H31535"/>
      <c r="I31535"/>
    </row>
    <row r="31536" spans="6:9" x14ac:dyDescent="0.3">
      <c r="F31536"/>
      <c r="G31536"/>
      <c r="H31536"/>
      <c r="I31536"/>
    </row>
    <row r="31537" spans="6:9" x14ac:dyDescent="0.3">
      <c r="F31537"/>
      <c r="G31537"/>
      <c r="H31537"/>
      <c r="I31537"/>
    </row>
    <row r="31538" spans="6:9" x14ac:dyDescent="0.3">
      <c r="F31538"/>
      <c r="G31538"/>
      <c r="H31538"/>
      <c r="I31538"/>
    </row>
    <row r="31539" spans="6:9" x14ac:dyDescent="0.3">
      <c r="F31539"/>
      <c r="G31539"/>
      <c r="H31539"/>
      <c r="I31539"/>
    </row>
    <row r="31540" spans="6:9" x14ac:dyDescent="0.3">
      <c r="F31540"/>
      <c r="G31540"/>
      <c r="H31540"/>
      <c r="I31540"/>
    </row>
    <row r="31541" spans="6:9" x14ac:dyDescent="0.3">
      <c r="F31541"/>
      <c r="G31541"/>
      <c r="H31541"/>
      <c r="I31541"/>
    </row>
    <row r="31542" spans="6:9" x14ac:dyDescent="0.3">
      <c r="F31542"/>
      <c r="G31542"/>
      <c r="H31542"/>
      <c r="I31542"/>
    </row>
    <row r="31543" spans="6:9" x14ac:dyDescent="0.3">
      <c r="F31543"/>
      <c r="G31543"/>
      <c r="H31543"/>
      <c r="I31543"/>
    </row>
    <row r="31544" spans="6:9" x14ac:dyDescent="0.3">
      <c r="F31544"/>
      <c r="G31544"/>
      <c r="H31544"/>
      <c r="I31544"/>
    </row>
    <row r="31545" spans="6:9" x14ac:dyDescent="0.3">
      <c r="F31545"/>
      <c r="G31545"/>
      <c r="H31545"/>
      <c r="I31545"/>
    </row>
    <row r="31546" spans="6:9" x14ac:dyDescent="0.3">
      <c r="F31546"/>
      <c r="G31546"/>
      <c r="H31546"/>
      <c r="I31546"/>
    </row>
    <row r="31547" spans="6:9" x14ac:dyDescent="0.3">
      <c r="F31547"/>
      <c r="G31547"/>
      <c r="H31547"/>
      <c r="I31547"/>
    </row>
    <row r="31548" spans="6:9" x14ac:dyDescent="0.3">
      <c r="F31548"/>
      <c r="G31548"/>
      <c r="H31548"/>
      <c r="I31548"/>
    </row>
    <row r="31549" spans="6:9" x14ac:dyDescent="0.3">
      <c r="F31549"/>
      <c r="G31549"/>
      <c r="H31549"/>
      <c r="I31549"/>
    </row>
    <row r="31550" spans="6:9" x14ac:dyDescent="0.3">
      <c r="F31550"/>
      <c r="G31550"/>
      <c r="H31550"/>
      <c r="I31550"/>
    </row>
    <row r="31551" spans="6:9" x14ac:dyDescent="0.3">
      <c r="F31551"/>
      <c r="G31551"/>
      <c r="H31551"/>
      <c r="I31551"/>
    </row>
    <row r="31552" spans="6:9" x14ac:dyDescent="0.3">
      <c r="F31552"/>
      <c r="G31552"/>
      <c r="H31552"/>
      <c r="I31552"/>
    </row>
    <row r="31553" spans="6:9" x14ac:dyDescent="0.3">
      <c r="F31553"/>
      <c r="G31553"/>
      <c r="H31553"/>
      <c r="I31553"/>
    </row>
    <row r="31554" spans="6:9" x14ac:dyDescent="0.3">
      <c r="F31554"/>
      <c r="G31554"/>
      <c r="H31554"/>
      <c r="I31554"/>
    </row>
    <row r="31555" spans="6:9" x14ac:dyDescent="0.3">
      <c r="F31555"/>
      <c r="G31555"/>
      <c r="H31555"/>
      <c r="I31555"/>
    </row>
    <row r="31556" spans="6:9" x14ac:dyDescent="0.3">
      <c r="F31556"/>
      <c r="G31556"/>
      <c r="H31556"/>
      <c r="I31556"/>
    </row>
    <row r="31557" spans="6:9" x14ac:dyDescent="0.3">
      <c r="F31557"/>
      <c r="G31557"/>
      <c r="H31557"/>
      <c r="I31557"/>
    </row>
    <row r="31558" spans="6:9" x14ac:dyDescent="0.3">
      <c r="F31558"/>
      <c r="G31558"/>
      <c r="H31558"/>
      <c r="I31558"/>
    </row>
    <row r="31559" spans="6:9" x14ac:dyDescent="0.3">
      <c r="F31559"/>
      <c r="G31559"/>
      <c r="H31559"/>
      <c r="I31559"/>
    </row>
    <row r="31560" spans="6:9" x14ac:dyDescent="0.3">
      <c r="F31560"/>
      <c r="G31560"/>
      <c r="H31560"/>
      <c r="I31560"/>
    </row>
    <row r="31561" spans="6:9" x14ac:dyDescent="0.3">
      <c r="F31561"/>
      <c r="G31561"/>
      <c r="H31561"/>
      <c r="I31561"/>
    </row>
    <row r="31562" spans="6:9" x14ac:dyDescent="0.3">
      <c r="F31562"/>
      <c r="G31562"/>
      <c r="H31562"/>
      <c r="I31562"/>
    </row>
    <row r="31563" spans="6:9" x14ac:dyDescent="0.3">
      <c r="F31563"/>
      <c r="G31563"/>
      <c r="H31563"/>
      <c r="I31563"/>
    </row>
    <row r="31564" spans="6:9" x14ac:dyDescent="0.3">
      <c r="F31564"/>
      <c r="G31564"/>
      <c r="H31564"/>
      <c r="I31564"/>
    </row>
    <row r="31565" spans="6:9" x14ac:dyDescent="0.3">
      <c r="F31565"/>
      <c r="G31565"/>
      <c r="H31565"/>
      <c r="I31565"/>
    </row>
    <row r="31566" spans="6:9" x14ac:dyDescent="0.3">
      <c r="F31566"/>
      <c r="G31566"/>
      <c r="H31566"/>
      <c r="I31566"/>
    </row>
    <row r="31567" spans="6:9" x14ac:dyDescent="0.3">
      <c r="F31567"/>
      <c r="G31567"/>
      <c r="H31567"/>
      <c r="I31567"/>
    </row>
    <row r="31568" spans="6:9" x14ac:dyDescent="0.3">
      <c r="F31568"/>
      <c r="G31568"/>
      <c r="H31568"/>
      <c r="I31568"/>
    </row>
    <row r="31569" spans="6:9" x14ac:dyDescent="0.3">
      <c r="F31569"/>
      <c r="G31569"/>
      <c r="H31569"/>
      <c r="I31569"/>
    </row>
    <row r="31570" spans="6:9" x14ac:dyDescent="0.3">
      <c r="F31570"/>
      <c r="G31570"/>
      <c r="H31570"/>
      <c r="I31570"/>
    </row>
    <row r="31571" spans="6:9" x14ac:dyDescent="0.3">
      <c r="F31571"/>
      <c r="G31571"/>
      <c r="H31571"/>
      <c r="I31571"/>
    </row>
    <row r="31572" spans="6:9" x14ac:dyDescent="0.3">
      <c r="F31572"/>
      <c r="G31572"/>
      <c r="H31572"/>
      <c r="I31572"/>
    </row>
    <row r="31573" spans="6:9" x14ac:dyDescent="0.3">
      <c r="F31573"/>
      <c r="G31573"/>
      <c r="H31573"/>
      <c r="I31573"/>
    </row>
    <row r="31574" spans="6:9" x14ac:dyDescent="0.3">
      <c r="F31574"/>
      <c r="G31574"/>
      <c r="H31574"/>
      <c r="I31574"/>
    </row>
    <row r="31575" spans="6:9" x14ac:dyDescent="0.3">
      <c r="F31575"/>
      <c r="G31575"/>
      <c r="H31575"/>
      <c r="I31575"/>
    </row>
    <row r="31576" spans="6:9" x14ac:dyDescent="0.3">
      <c r="F31576"/>
      <c r="G31576"/>
      <c r="H31576"/>
      <c r="I31576"/>
    </row>
    <row r="31577" spans="6:9" x14ac:dyDescent="0.3">
      <c r="F31577"/>
      <c r="G31577"/>
      <c r="H31577"/>
      <c r="I31577"/>
    </row>
    <row r="31578" spans="6:9" x14ac:dyDescent="0.3">
      <c r="F31578"/>
      <c r="G31578"/>
      <c r="H31578"/>
      <c r="I31578"/>
    </row>
    <row r="31579" spans="6:9" x14ac:dyDescent="0.3">
      <c r="F31579"/>
      <c r="G31579"/>
      <c r="H31579"/>
      <c r="I31579"/>
    </row>
    <row r="31580" spans="6:9" x14ac:dyDescent="0.3">
      <c r="F31580"/>
      <c r="G31580"/>
      <c r="H31580"/>
      <c r="I31580"/>
    </row>
    <row r="31581" spans="6:9" x14ac:dyDescent="0.3">
      <c r="F31581"/>
      <c r="G31581"/>
      <c r="H31581"/>
      <c r="I31581"/>
    </row>
    <row r="31582" spans="6:9" x14ac:dyDescent="0.3">
      <c r="F31582"/>
      <c r="G31582"/>
      <c r="H31582"/>
      <c r="I31582"/>
    </row>
    <row r="31583" spans="6:9" x14ac:dyDescent="0.3">
      <c r="F31583"/>
      <c r="G31583"/>
      <c r="H31583"/>
      <c r="I31583"/>
    </row>
    <row r="31584" spans="6:9" x14ac:dyDescent="0.3">
      <c r="F31584"/>
      <c r="G31584"/>
      <c r="H31584"/>
      <c r="I31584"/>
    </row>
    <row r="31585" spans="6:9" x14ac:dyDescent="0.3">
      <c r="F31585"/>
      <c r="G31585"/>
      <c r="H31585"/>
      <c r="I31585"/>
    </row>
    <row r="31586" spans="6:9" x14ac:dyDescent="0.3">
      <c r="F31586"/>
      <c r="G31586"/>
      <c r="H31586"/>
      <c r="I31586"/>
    </row>
    <row r="31587" spans="6:9" x14ac:dyDescent="0.3">
      <c r="F31587"/>
      <c r="G31587"/>
      <c r="H31587"/>
      <c r="I31587"/>
    </row>
    <row r="31588" spans="6:9" x14ac:dyDescent="0.3">
      <c r="F31588"/>
      <c r="G31588"/>
      <c r="H31588"/>
      <c r="I31588"/>
    </row>
    <row r="31589" spans="6:9" x14ac:dyDescent="0.3">
      <c r="F31589"/>
      <c r="G31589"/>
      <c r="H31589"/>
      <c r="I31589"/>
    </row>
    <row r="31590" spans="6:9" x14ac:dyDescent="0.3">
      <c r="F31590"/>
      <c r="G31590"/>
      <c r="H31590"/>
      <c r="I31590"/>
    </row>
    <row r="31591" spans="6:9" x14ac:dyDescent="0.3">
      <c r="F31591"/>
      <c r="G31591"/>
      <c r="H31591"/>
      <c r="I31591"/>
    </row>
    <row r="31592" spans="6:9" x14ac:dyDescent="0.3">
      <c r="F31592"/>
      <c r="G31592"/>
      <c r="H31592"/>
      <c r="I31592"/>
    </row>
    <row r="31593" spans="6:9" x14ac:dyDescent="0.3">
      <c r="F31593"/>
      <c r="G31593"/>
      <c r="H31593"/>
      <c r="I31593"/>
    </row>
    <row r="31594" spans="6:9" x14ac:dyDescent="0.3">
      <c r="F31594"/>
      <c r="G31594"/>
      <c r="H31594"/>
      <c r="I31594"/>
    </row>
    <row r="31595" spans="6:9" x14ac:dyDescent="0.3">
      <c r="F31595"/>
      <c r="G31595"/>
      <c r="H31595"/>
      <c r="I31595"/>
    </row>
    <row r="31596" spans="6:9" x14ac:dyDescent="0.3">
      <c r="F31596"/>
      <c r="G31596"/>
      <c r="H31596"/>
      <c r="I31596"/>
    </row>
    <row r="31597" spans="6:9" x14ac:dyDescent="0.3">
      <c r="F31597"/>
      <c r="G31597"/>
      <c r="H31597"/>
      <c r="I31597"/>
    </row>
    <row r="31598" spans="6:9" x14ac:dyDescent="0.3">
      <c r="F31598"/>
      <c r="G31598"/>
      <c r="H31598"/>
      <c r="I31598"/>
    </row>
    <row r="31599" spans="6:9" x14ac:dyDescent="0.3">
      <c r="F31599"/>
      <c r="G31599"/>
      <c r="H31599"/>
      <c r="I31599"/>
    </row>
    <row r="31600" spans="6:9" x14ac:dyDescent="0.3">
      <c r="F31600"/>
      <c r="G31600"/>
      <c r="H31600"/>
      <c r="I31600"/>
    </row>
    <row r="31601" spans="6:9" x14ac:dyDescent="0.3">
      <c r="F31601"/>
      <c r="G31601"/>
      <c r="H31601"/>
      <c r="I31601"/>
    </row>
    <row r="31602" spans="6:9" x14ac:dyDescent="0.3">
      <c r="F31602"/>
      <c r="G31602"/>
      <c r="H31602"/>
      <c r="I31602"/>
    </row>
    <row r="31603" spans="6:9" x14ac:dyDescent="0.3">
      <c r="F31603"/>
      <c r="G31603"/>
      <c r="H31603"/>
      <c r="I31603"/>
    </row>
    <row r="31604" spans="6:9" x14ac:dyDescent="0.3">
      <c r="F31604"/>
      <c r="G31604"/>
      <c r="H31604"/>
      <c r="I31604"/>
    </row>
    <row r="31605" spans="6:9" x14ac:dyDescent="0.3">
      <c r="F31605"/>
      <c r="G31605"/>
      <c r="H31605"/>
      <c r="I31605"/>
    </row>
    <row r="31606" spans="6:9" x14ac:dyDescent="0.3">
      <c r="F31606"/>
      <c r="G31606"/>
      <c r="H31606"/>
      <c r="I31606"/>
    </row>
    <row r="31607" spans="6:9" x14ac:dyDescent="0.3">
      <c r="F31607"/>
      <c r="G31607"/>
      <c r="H31607"/>
      <c r="I31607"/>
    </row>
    <row r="31608" spans="6:9" x14ac:dyDescent="0.3">
      <c r="F31608"/>
      <c r="G31608"/>
      <c r="H31608"/>
      <c r="I31608"/>
    </row>
    <row r="31609" spans="6:9" x14ac:dyDescent="0.3">
      <c r="F31609"/>
      <c r="G31609"/>
      <c r="H31609"/>
      <c r="I31609"/>
    </row>
    <row r="31610" spans="6:9" x14ac:dyDescent="0.3">
      <c r="F31610"/>
      <c r="G31610"/>
      <c r="H31610"/>
      <c r="I31610"/>
    </row>
    <row r="31611" spans="6:9" x14ac:dyDescent="0.3">
      <c r="F31611"/>
      <c r="G31611"/>
      <c r="H31611"/>
      <c r="I31611"/>
    </row>
    <row r="31612" spans="6:9" x14ac:dyDescent="0.3">
      <c r="F31612"/>
      <c r="G31612"/>
      <c r="H31612"/>
      <c r="I31612"/>
    </row>
    <row r="31613" spans="6:9" x14ac:dyDescent="0.3">
      <c r="F31613"/>
      <c r="G31613"/>
      <c r="H31613"/>
      <c r="I31613"/>
    </row>
    <row r="31614" spans="6:9" x14ac:dyDescent="0.3">
      <c r="F31614"/>
      <c r="G31614"/>
      <c r="H31614"/>
      <c r="I31614"/>
    </row>
    <row r="31615" spans="6:9" x14ac:dyDescent="0.3">
      <c r="F31615"/>
      <c r="G31615"/>
      <c r="H31615"/>
      <c r="I31615"/>
    </row>
    <row r="31616" spans="6:9" x14ac:dyDescent="0.3">
      <c r="F31616"/>
      <c r="G31616"/>
      <c r="H31616"/>
      <c r="I31616"/>
    </row>
    <row r="31617" spans="6:9" x14ac:dyDescent="0.3">
      <c r="F31617"/>
      <c r="G31617"/>
      <c r="H31617"/>
      <c r="I31617"/>
    </row>
    <row r="31618" spans="6:9" x14ac:dyDescent="0.3">
      <c r="F31618"/>
      <c r="G31618"/>
      <c r="H31618"/>
      <c r="I31618"/>
    </row>
    <row r="31619" spans="6:9" x14ac:dyDescent="0.3">
      <c r="F31619"/>
      <c r="G31619"/>
      <c r="H31619"/>
      <c r="I31619"/>
    </row>
    <row r="31620" spans="6:9" x14ac:dyDescent="0.3">
      <c r="F31620"/>
      <c r="G31620"/>
      <c r="H31620"/>
      <c r="I31620"/>
    </row>
    <row r="31621" spans="6:9" x14ac:dyDescent="0.3">
      <c r="F31621"/>
      <c r="G31621"/>
      <c r="H31621"/>
      <c r="I31621"/>
    </row>
    <row r="31622" spans="6:9" x14ac:dyDescent="0.3">
      <c r="F31622"/>
      <c r="G31622"/>
      <c r="H31622"/>
      <c r="I31622"/>
    </row>
    <row r="31623" spans="6:9" x14ac:dyDescent="0.3">
      <c r="F31623"/>
      <c r="G31623"/>
      <c r="H31623"/>
      <c r="I31623"/>
    </row>
    <row r="31624" spans="6:9" x14ac:dyDescent="0.3">
      <c r="F31624"/>
      <c r="G31624"/>
      <c r="H31624"/>
      <c r="I31624"/>
    </row>
    <row r="31625" spans="6:9" x14ac:dyDescent="0.3">
      <c r="F31625"/>
      <c r="G31625"/>
      <c r="H31625"/>
      <c r="I31625"/>
    </row>
    <row r="31626" spans="6:9" x14ac:dyDescent="0.3">
      <c r="F31626"/>
      <c r="G31626"/>
      <c r="H31626"/>
      <c r="I31626"/>
    </row>
    <row r="31627" spans="6:9" x14ac:dyDescent="0.3">
      <c r="F31627"/>
      <c r="G31627"/>
      <c r="H31627"/>
      <c r="I31627"/>
    </row>
    <row r="31628" spans="6:9" x14ac:dyDescent="0.3">
      <c r="F31628"/>
      <c r="G31628"/>
      <c r="H31628"/>
      <c r="I31628"/>
    </row>
    <row r="31629" spans="6:9" x14ac:dyDescent="0.3">
      <c r="F31629"/>
      <c r="G31629"/>
      <c r="H31629"/>
      <c r="I31629"/>
    </row>
    <row r="31630" spans="6:9" x14ac:dyDescent="0.3">
      <c r="F31630"/>
      <c r="G31630"/>
      <c r="H31630"/>
      <c r="I31630"/>
    </row>
    <row r="31631" spans="6:9" x14ac:dyDescent="0.3">
      <c r="F31631"/>
      <c r="G31631"/>
      <c r="H31631"/>
      <c r="I31631"/>
    </row>
    <row r="31632" spans="6:9" x14ac:dyDescent="0.3">
      <c r="F31632"/>
      <c r="G31632"/>
      <c r="H31632"/>
      <c r="I31632"/>
    </row>
    <row r="31633" spans="6:9" x14ac:dyDescent="0.3">
      <c r="F31633"/>
      <c r="G31633"/>
      <c r="H31633"/>
      <c r="I31633"/>
    </row>
    <row r="31634" spans="6:9" x14ac:dyDescent="0.3">
      <c r="F31634"/>
      <c r="G31634"/>
      <c r="H31634"/>
      <c r="I31634"/>
    </row>
    <row r="31635" spans="6:9" x14ac:dyDescent="0.3">
      <c r="F31635"/>
      <c r="G31635"/>
      <c r="H31635"/>
      <c r="I31635"/>
    </row>
    <row r="31636" spans="6:9" x14ac:dyDescent="0.3">
      <c r="F31636"/>
      <c r="G31636"/>
      <c r="H31636"/>
      <c r="I31636"/>
    </row>
    <row r="31637" spans="6:9" x14ac:dyDescent="0.3">
      <c r="F31637"/>
      <c r="G31637"/>
      <c r="H31637"/>
      <c r="I31637"/>
    </row>
    <row r="31638" spans="6:9" x14ac:dyDescent="0.3">
      <c r="F31638"/>
      <c r="G31638"/>
      <c r="H31638"/>
      <c r="I31638"/>
    </row>
    <row r="31639" spans="6:9" x14ac:dyDescent="0.3">
      <c r="F31639"/>
      <c r="G31639"/>
      <c r="H31639"/>
      <c r="I31639"/>
    </row>
    <row r="31640" spans="6:9" x14ac:dyDescent="0.3">
      <c r="F31640"/>
      <c r="G31640"/>
      <c r="H31640"/>
      <c r="I31640"/>
    </row>
    <row r="31641" spans="6:9" x14ac:dyDescent="0.3">
      <c r="F31641"/>
      <c r="G31641"/>
      <c r="H31641"/>
      <c r="I31641"/>
    </row>
    <row r="31642" spans="6:9" x14ac:dyDescent="0.3">
      <c r="F31642"/>
      <c r="G31642"/>
      <c r="H31642"/>
      <c r="I31642"/>
    </row>
    <row r="31643" spans="6:9" x14ac:dyDescent="0.3">
      <c r="F31643"/>
      <c r="G31643"/>
      <c r="H31643"/>
      <c r="I31643"/>
    </row>
    <row r="31644" spans="6:9" x14ac:dyDescent="0.3">
      <c r="F31644"/>
      <c r="G31644"/>
      <c r="H31644"/>
      <c r="I31644"/>
    </row>
    <row r="31645" spans="6:9" x14ac:dyDescent="0.3">
      <c r="F31645"/>
      <c r="G31645"/>
      <c r="H31645"/>
      <c r="I31645"/>
    </row>
    <row r="31646" spans="6:9" x14ac:dyDescent="0.3">
      <c r="F31646"/>
      <c r="G31646"/>
      <c r="H31646"/>
      <c r="I31646"/>
    </row>
    <row r="31647" spans="6:9" x14ac:dyDescent="0.3">
      <c r="F31647"/>
      <c r="G31647"/>
      <c r="H31647"/>
      <c r="I31647"/>
    </row>
    <row r="31648" spans="6:9" x14ac:dyDescent="0.3">
      <c r="F31648"/>
      <c r="G31648"/>
      <c r="H31648"/>
      <c r="I31648"/>
    </row>
    <row r="31649" spans="6:9" x14ac:dyDescent="0.3">
      <c r="F31649"/>
      <c r="G31649"/>
      <c r="H31649"/>
      <c r="I31649"/>
    </row>
    <row r="31650" spans="6:9" x14ac:dyDescent="0.3">
      <c r="F31650"/>
      <c r="G31650"/>
      <c r="H31650"/>
      <c r="I31650"/>
    </row>
    <row r="31651" spans="6:9" x14ac:dyDescent="0.3">
      <c r="F31651"/>
      <c r="G31651"/>
      <c r="H31651"/>
      <c r="I31651"/>
    </row>
    <row r="31652" spans="6:9" x14ac:dyDescent="0.3">
      <c r="F31652"/>
      <c r="G31652"/>
      <c r="H31652"/>
      <c r="I31652"/>
    </row>
    <row r="31653" spans="6:9" x14ac:dyDescent="0.3">
      <c r="F31653"/>
      <c r="G31653"/>
      <c r="H31653"/>
      <c r="I31653"/>
    </row>
    <row r="31654" spans="6:9" x14ac:dyDescent="0.3">
      <c r="F31654"/>
      <c r="G31654"/>
      <c r="H31654"/>
      <c r="I31654"/>
    </row>
    <row r="31655" spans="6:9" x14ac:dyDescent="0.3">
      <c r="F31655"/>
      <c r="G31655"/>
      <c r="H31655"/>
      <c r="I31655"/>
    </row>
    <row r="31656" spans="6:9" x14ac:dyDescent="0.3">
      <c r="F31656"/>
      <c r="G31656"/>
      <c r="H31656"/>
      <c r="I31656"/>
    </row>
    <row r="31657" spans="6:9" x14ac:dyDescent="0.3">
      <c r="F31657"/>
      <c r="G31657"/>
      <c r="H31657"/>
      <c r="I31657"/>
    </row>
    <row r="31658" spans="6:9" x14ac:dyDescent="0.3">
      <c r="F31658"/>
      <c r="G31658"/>
      <c r="H31658"/>
      <c r="I31658"/>
    </row>
    <row r="31659" spans="6:9" x14ac:dyDescent="0.3">
      <c r="F31659"/>
      <c r="G31659"/>
      <c r="H31659"/>
      <c r="I31659"/>
    </row>
    <row r="31660" spans="6:9" x14ac:dyDescent="0.3">
      <c r="F31660"/>
      <c r="G31660"/>
      <c r="H31660"/>
      <c r="I31660"/>
    </row>
    <row r="31661" spans="6:9" x14ac:dyDescent="0.3">
      <c r="F31661"/>
      <c r="G31661"/>
      <c r="H31661"/>
      <c r="I31661"/>
    </row>
    <row r="31662" spans="6:9" x14ac:dyDescent="0.3">
      <c r="F31662"/>
      <c r="G31662"/>
      <c r="H31662"/>
      <c r="I31662"/>
    </row>
    <row r="31663" spans="6:9" x14ac:dyDescent="0.3">
      <c r="F31663"/>
      <c r="G31663"/>
      <c r="H31663"/>
      <c r="I31663"/>
    </row>
    <row r="31664" spans="6:9" x14ac:dyDescent="0.3">
      <c r="F31664"/>
      <c r="G31664"/>
      <c r="H31664"/>
      <c r="I31664"/>
    </row>
    <row r="31665" spans="6:9" x14ac:dyDescent="0.3">
      <c r="F31665"/>
      <c r="G31665"/>
      <c r="H31665"/>
      <c r="I31665"/>
    </row>
    <row r="31666" spans="6:9" x14ac:dyDescent="0.3">
      <c r="F31666"/>
      <c r="G31666"/>
      <c r="H31666"/>
      <c r="I31666"/>
    </row>
    <row r="31667" spans="6:9" x14ac:dyDescent="0.3">
      <c r="F31667"/>
      <c r="G31667"/>
      <c r="H31667"/>
      <c r="I31667"/>
    </row>
    <row r="31668" spans="6:9" x14ac:dyDescent="0.3">
      <c r="F31668"/>
      <c r="G31668"/>
      <c r="H31668"/>
      <c r="I31668"/>
    </row>
    <row r="31669" spans="6:9" x14ac:dyDescent="0.3">
      <c r="F31669"/>
      <c r="G31669"/>
      <c r="H31669"/>
      <c r="I31669"/>
    </row>
    <row r="31670" spans="6:9" x14ac:dyDescent="0.3">
      <c r="F31670"/>
      <c r="G31670"/>
      <c r="H31670"/>
      <c r="I31670"/>
    </row>
    <row r="31671" spans="6:9" x14ac:dyDescent="0.3">
      <c r="F31671"/>
      <c r="G31671"/>
      <c r="H31671"/>
      <c r="I31671"/>
    </row>
    <row r="31672" spans="6:9" x14ac:dyDescent="0.3">
      <c r="F31672"/>
      <c r="G31672"/>
      <c r="H31672"/>
      <c r="I31672"/>
    </row>
    <row r="31673" spans="6:9" x14ac:dyDescent="0.3">
      <c r="F31673"/>
      <c r="G31673"/>
      <c r="H31673"/>
      <c r="I31673"/>
    </row>
    <row r="31674" spans="6:9" x14ac:dyDescent="0.3">
      <c r="F31674"/>
      <c r="G31674"/>
      <c r="H31674"/>
      <c r="I31674"/>
    </row>
    <row r="31675" spans="6:9" x14ac:dyDescent="0.3">
      <c r="F31675"/>
      <c r="G31675"/>
      <c r="H31675"/>
      <c r="I31675"/>
    </row>
    <row r="31676" spans="6:9" x14ac:dyDescent="0.3">
      <c r="F31676"/>
      <c r="G31676"/>
      <c r="H31676"/>
      <c r="I31676"/>
    </row>
    <row r="31677" spans="6:9" x14ac:dyDescent="0.3">
      <c r="F31677"/>
      <c r="G31677"/>
      <c r="H31677"/>
      <c r="I31677"/>
    </row>
    <row r="31678" spans="6:9" x14ac:dyDescent="0.3">
      <c r="F31678"/>
      <c r="G31678"/>
      <c r="H31678"/>
      <c r="I31678"/>
    </row>
    <row r="31679" spans="6:9" x14ac:dyDescent="0.3">
      <c r="F31679"/>
      <c r="G31679"/>
      <c r="H31679"/>
      <c r="I31679"/>
    </row>
    <row r="31680" spans="6:9" x14ac:dyDescent="0.3">
      <c r="F31680"/>
      <c r="G31680"/>
      <c r="H31680"/>
      <c r="I31680"/>
    </row>
    <row r="31681" spans="6:9" x14ac:dyDescent="0.3">
      <c r="F31681"/>
      <c r="G31681"/>
      <c r="H31681"/>
      <c r="I31681"/>
    </row>
    <row r="31682" spans="6:9" x14ac:dyDescent="0.3">
      <c r="F31682"/>
      <c r="G31682"/>
      <c r="H31682"/>
      <c r="I31682"/>
    </row>
    <row r="31683" spans="6:9" x14ac:dyDescent="0.3">
      <c r="F31683"/>
      <c r="G31683"/>
      <c r="H31683"/>
      <c r="I31683"/>
    </row>
    <row r="31684" spans="6:9" x14ac:dyDescent="0.3">
      <c r="F31684"/>
      <c r="G31684"/>
      <c r="H31684"/>
      <c r="I31684"/>
    </row>
    <row r="31685" spans="6:9" x14ac:dyDescent="0.3">
      <c r="F31685"/>
      <c r="G31685"/>
      <c r="H31685"/>
      <c r="I31685"/>
    </row>
    <row r="31686" spans="6:9" x14ac:dyDescent="0.3">
      <c r="F31686"/>
      <c r="G31686"/>
      <c r="H31686"/>
      <c r="I31686"/>
    </row>
    <row r="31687" spans="6:9" x14ac:dyDescent="0.3">
      <c r="F31687"/>
      <c r="G31687"/>
      <c r="H31687"/>
      <c r="I31687"/>
    </row>
    <row r="31688" spans="6:9" x14ac:dyDescent="0.3">
      <c r="F31688"/>
      <c r="G31688"/>
      <c r="H31688"/>
      <c r="I31688"/>
    </row>
    <row r="31689" spans="6:9" x14ac:dyDescent="0.3">
      <c r="F31689"/>
      <c r="G31689"/>
      <c r="H31689"/>
      <c r="I31689"/>
    </row>
    <row r="31690" spans="6:9" x14ac:dyDescent="0.3">
      <c r="F31690"/>
      <c r="G31690"/>
      <c r="H31690"/>
      <c r="I31690"/>
    </row>
    <row r="31691" spans="6:9" x14ac:dyDescent="0.3">
      <c r="F31691"/>
      <c r="G31691"/>
      <c r="H31691"/>
      <c r="I31691"/>
    </row>
    <row r="31692" spans="6:9" x14ac:dyDescent="0.3">
      <c r="F31692"/>
      <c r="G31692"/>
      <c r="H31692"/>
      <c r="I31692"/>
    </row>
    <row r="31693" spans="6:9" x14ac:dyDescent="0.3">
      <c r="F31693"/>
      <c r="G31693"/>
      <c r="H31693"/>
      <c r="I31693"/>
    </row>
    <row r="31694" spans="6:9" x14ac:dyDescent="0.3">
      <c r="F31694"/>
      <c r="G31694"/>
      <c r="H31694"/>
      <c r="I31694"/>
    </row>
    <row r="31695" spans="6:9" x14ac:dyDescent="0.3">
      <c r="F31695"/>
      <c r="G31695"/>
      <c r="H31695"/>
      <c r="I31695"/>
    </row>
    <row r="31696" spans="6:9" x14ac:dyDescent="0.3">
      <c r="F31696"/>
      <c r="G31696"/>
      <c r="H31696"/>
      <c r="I31696"/>
    </row>
    <row r="31697" spans="6:9" x14ac:dyDescent="0.3">
      <c r="F31697"/>
      <c r="G31697"/>
      <c r="H31697"/>
      <c r="I31697"/>
    </row>
    <row r="31698" spans="6:9" x14ac:dyDescent="0.3">
      <c r="F31698"/>
      <c r="G31698"/>
      <c r="H31698"/>
      <c r="I31698"/>
    </row>
    <row r="31699" spans="6:9" x14ac:dyDescent="0.3">
      <c r="F31699"/>
      <c r="G31699"/>
      <c r="H31699"/>
      <c r="I31699"/>
    </row>
    <row r="31700" spans="6:9" x14ac:dyDescent="0.3">
      <c r="F31700"/>
      <c r="G31700"/>
      <c r="H31700"/>
      <c r="I31700"/>
    </row>
    <row r="31701" spans="6:9" x14ac:dyDescent="0.3">
      <c r="F31701"/>
      <c r="G31701"/>
      <c r="H31701"/>
      <c r="I31701"/>
    </row>
    <row r="31702" spans="6:9" x14ac:dyDescent="0.3">
      <c r="F31702"/>
      <c r="G31702"/>
      <c r="H31702"/>
      <c r="I31702"/>
    </row>
    <row r="31703" spans="6:9" x14ac:dyDescent="0.3">
      <c r="F31703"/>
      <c r="G31703"/>
      <c r="H31703"/>
      <c r="I31703"/>
    </row>
    <row r="31704" spans="6:9" x14ac:dyDescent="0.3">
      <c r="F31704"/>
      <c r="G31704"/>
      <c r="H31704"/>
      <c r="I31704"/>
    </row>
    <row r="31705" spans="6:9" x14ac:dyDescent="0.3">
      <c r="F31705"/>
      <c r="G31705"/>
      <c r="H31705"/>
      <c r="I31705"/>
    </row>
    <row r="31706" spans="6:9" x14ac:dyDescent="0.3">
      <c r="F31706"/>
      <c r="G31706"/>
      <c r="H31706"/>
      <c r="I31706"/>
    </row>
    <row r="31707" spans="6:9" x14ac:dyDescent="0.3">
      <c r="F31707"/>
      <c r="G31707"/>
      <c r="H31707"/>
      <c r="I31707"/>
    </row>
    <row r="31708" spans="6:9" x14ac:dyDescent="0.3">
      <c r="F31708"/>
      <c r="G31708"/>
      <c r="H31708"/>
      <c r="I31708"/>
    </row>
    <row r="31709" spans="6:9" x14ac:dyDescent="0.3">
      <c r="F31709"/>
      <c r="G31709"/>
      <c r="H31709"/>
      <c r="I31709"/>
    </row>
    <row r="31710" spans="6:9" x14ac:dyDescent="0.3">
      <c r="F31710"/>
      <c r="G31710"/>
      <c r="H31710"/>
      <c r="I31710"/>
    </row>
    <row r="31711" spans="6:9" x14ac:dyDescent="0.3">
      <c r="F31711"/>
      <c r="G31711"/>
      <c r="H31711"/>
      <c r="I31711"/>
    </row>
    <row r="31712" spans="6:9" x14ac:dyDescent="0.3">
      <c r="F31712"/>
      <c r="G31712"/>
      <c r="H31712"/>
      <c r="I31712"/>
    </row>
    <row r="31713" spans="6:9" x14ac:dyDescent="0.3">
      <c r="F31713"/>
      <c r="G31713"/>
      <c r="H31713"/>
      <c r="I31713"/>
    </row>
    <row r="31714" spans="6:9" x14ac:dyDescent="0.3">
      <c r="F31714"/>
      <c r="G31714"/>
      <c r="H31714"/>
      <c r="I31714"/>
    </row>
    <row r="31715" spans="6:9" x14ac:dyDescent="0.3">
      <c r="F31715"/>
      <c r="G31715"/>
      <c r="H31715"/>
      <c r="I31715"/>
    </row>
    <row r="31716" spans="6:9" x14ac:dyDescent="0.3">
      <c r="F31716"/>
      <c r="G31716"/>
      <c r="H31716"/>
      <c r="I31716"/>
    </row>
    <row r="31717" spans="6:9" x14ac:dyDescent="0.3">
      <c r="F31717"/>
      <c r="G31717"/>
      <c r="H31717"/>
      <c r="I31717"/>
    </row>
    <row r="31718" spans="6:9" x14ac:dyDescent="0.3">
      <c r="F31718"/>
      <c r="G31718"/>
      <c r="H31718"/>
      <c r="I31718"/>
    </row>
    <row r="31719" spans="6:9" x14ac:dyDescent="0.3">
      <c r="F31719"/>
      <c r="G31719"/>
      <c r="H31719"/>
      <c r="I31719"/>
    </row>
    <row r="31720" spans="6:9" x14ac:dyDescent="0.3">
      <c r="F31720"/>
      <c r="G31720"/>
      <c r="H31720"/>
      <c r="I31720"/>
    </row>
    <row r="31721" spans="6:9" x14ac:dyDescent="0.3">
      <c r="F31721"/>
      <c r="G31721"/>
      <c r="H31721"/>
      <c r="I31721"/>
    </row>
    <row r="31722" spans="6:9" x14ac:dyDescent="0.3">
      <c r="F31722"/>
      <c r="G31722"/>
      <c r="H31722"/>
      <c r="I31722"/>
    </row>
    <row r="31723" spans="6:9" x14ac:dyDescent="0.3">
      <c r="F31723"/>
      <c r="G31723"/>
      <c r="H31723"/>
      <c r="I31723"/>
    </row>
    <row r="31724" spans="6:9" x14ac:dyDescent="0.3">
      <c r="F31724"/>
      <c r="G31724"/>
      <c r="H31724"/>
      <c r="I31724"/>
    </row>
    <row r="31725" spans="6:9" x14ac:dyDescent="0.3">
      <c r="F31725"/>
      <c r="G31725"/>
      <c r="H31725"/>
      <c r="I31725"/>
    </row>
    <row r="31726" spans="6:9" x14ac:dyDescent="0.3">
      <c r="F31726"/>
      <c r="G31726"/>
      <c r="H31726"/>
      <c r="I31726"/>
    </row>
    <row r="31727" spans="6:9" x14ac:dyDescent="0.3">
      <c r="F31727"/>
      <c r="G31727"/>
      <c r="H31727"/>
      <c r="I31727"/>
    </row>
    <row r="31728" spans="6:9" x14ac:dyDescent="0.3">
      <c r="F31728"/>
      <c r="G31728"/>
      <c r="H31728"/>
      <c r="I31728"/>
    </row>
    <row r="31729" spans="6:9" x14ac:dyDescent="0.3">
      <c r="F31729"/>
      <c r="G31729"/>
      <c r="H31729"/>
      <c r="I31729"/>
    </row>
    <row r="31730" spans="6:9" x14ac:dyDescent="0.3">
      <c r="F31730"/>
      <c r="G31730"/>
      <c r="H31730"/>
      <c r="I31730"/>
    </row>
    <row r="31731" spans="6:9" x14ac:dyDescent="0.3">
      <c r="F31731"/>
      <c r="G31731"/>
      <c r="H31731"/>
      <c r="I31731"/>
    </row>
    <row r="31732" spans="6:9" x14ac:dyDescent="0.3">
      <c r="F31732"/>
      <c r="G31732"/>
      <c r="H31732"/>
      <c r="I31732"/>
    </row>
    <row r="31733" spans="6:9" x14ac:dyDescent="0.3">
      <c r="F31733"/>
      <c r="G31733"/>
      <c r="H31733"/>
      <c r="I31733"/>
    </row>
    <row r="31734" spans="6:9" x14ac:dyDescent="0.3">
      <c r="F31734"/>
      <c r="G31734"/>
      <c r="H31734"/>
      <c r="I31734"/>
    </row>
    <row r="31735" spans="6:9" x14ac:dyDescent="0.3">
      <c r="F31735"/>
      <c r="G31735"/>
      <c r="H31735"/>
      <c r="I31735"/>
    </row>
    <row r="31736" spans="6:9" x14ac:dyDescent="0.3">
      <c r="F31736"/>
      <c r="G31736"/>
      <c r="H31736"/>
      <c r="I31736"/>
    </row>
    <row r="31737" spans="6:9" x14ac:dyDescent="0.3">
      <c r="F31737"/>
      <c r="G31737"/>
      <c r="H31737"/>
      <c r="I31737"/>
    </row>
    <row r="31738" spans="6:9" x14ac:dyDescent="0.3">
      <c r="F31738"/>
      <c r="G31738"/>
      <c r="H31738"/>
      <c r="I31738"/>
    </row>
    <row r="31739" spans="6:9" x14ac:dyDescent="0.3">
      <c r="F31739"/>
      <c r="G31739"/>
      <c r="H31739"/>
      <c r="I31739"/>
    </row>
    <row r="31740" spans="6:9" x14ac:dyDescent="0.3">
      <c r="F31740"/>
      <c r="G31740"/>
      <c r="H31740"/>
      <c r="I31740"/>
    </row>
    <row r="31741" spans="6:9" x14ac:dyDescent="0.3">
      <c r="F31741"/>
      <c r="G31741"/>
      <c r="H31741"/>
      <c r="I31741"/>
    </row>
    <row r="31742" spans="6:9" x14ac:dyDescent="0.3">
      <c r="F31742"/>
      <c r="G31742"/>
      <c r="H31742"/>
      <c r="I31742"/>
    </row>
    <row r="31743" spans="6:9" x14ac:dyDescent="0.3">
      <c r="F31743"/>
      <c r="G31743"/>
      <c r="H31743"/>
      <c r="I31743"/>
    </row>
    <row r="31744" spans="6:9" x14ac:dyDescent="0.3">
      <c r="F31744"/>
      <c r="G31744"/>
      <c r="H31744"/>
      <c r="I31744"/>
    </row>
    <row r="31745" spans="6:9" x14ac:dyDescent="0.3">
      <c r="F31745"/>
      <c r="G31745"/>
      <c r="H31745"/>
      <c r="I31745"/>
    </row>
    <row r="31746" spans="6:9" x14ac:dyDescent="0.3">
      <c r="F31746"/>
      <c r="G31746"/>
      <c r="H31746"/>
      <c r="I31746"/>
    </row>
    <row r="31747" spans="6:9" x14ac:dyDescent="0.3">
      <c r="F31747"/>
      <c r="G31747"/>
      <c r="H31747"/>
      <c r="I31747"/>
    </row>
    <row r="31748" spans="6:9" x14ac:dyDescent="0.3">
      <c r="F31748"/>
      <c r="G31748"/>
      <c r="H31748"/>
      <c r="I31748"/>
    </row>
    <row r="31749" spans="6:9" x14ac:dyDescent="0.3">
      <c r="F31749"/>
      <c r="G31749"/>
      <c r="H31749"/>
      <c r="I31749"/>
    </row>
    <row r="31750" spans="6:9" x14ac:dyDescent="0.3">
      <c r="F31750"/>
      <c r="G31750"/>
      <c r="H31750"/>
      <c r="I31750"/>
    </row>
    <row r="31751" spans="6:9" x14ac:dyDescent="0.3">
      <c r="F31751"/>
      <c r="G31751"/>
      <c r="H31751"/>
      <c r="I31751"/>
    </row>
    <row r="31752" spans="6:9" x14ac:dyDescent="0.3">
      <c r="F31752"/>
      <c r="G31752"/>
      <c r="H31752"/>
      <c r="I31752"/>
    </row>
    <row r="31753" spans="6:9" x14ac:dyDescent="0.3">
      <c r="F31753"/>
      <c r="G31753"/>
      <c r="H31753"/>
      <c r="I31753"/>
    </row>
    <row r="31754" spans="6:9" x14ac:dyDescent="0.3">
      <c r="F31754"/>
      <c r="G31754"/>
      <c r="H31754"/>
      <c r="I31754"/>
    </row>
    <row r="31755" spans="6:9" x14ac:dyDescent="0.3">
      <c r="F31755"/>
      <c r="G31755"/>
      <c r="H31755"/>
      <c r="I31755"/>
    </row>
    <row r="31756" spans="6:9" x14ac:dyDescent="0.3">
      <c r="F31756"/>
      <c r="G31756"/>
      <c r="H31756"/>
      <c r="I31756"/>
    </row>
    <row r="31757" spans="6:9" x14ac:dyDescent="0.3">
      <c r="F31757"/>
      <c r="G31757"/>
      <c r="H31757"/>
      <c r="I31757"/>
    </row>
    <row r="31758" spans="6:9" x14ac:dyDescent="0.3">
      <c r="F31758"/>
      <c r="G31758"/>
      <c r="H31758"/>
      <c r="I31758"/>
    </row>
    <row r="31759" spans="6:9" x14ac:dyDescent="0.3">
      <c r="F31759"/>
      <c r="G31759"/>
      <c r="H31759"/>
      <c r="I31759"/>
    </row>
    <row r="31760" spans="6:9" x14ac:dyDescent="0.3">
      <c r="F31760"/>
      <c r="G31760"/>
      <c r="H31760"/>
      <c r="I31760"/>
    </row>
    <row r="31761" spans="6:9" x14ac:dyDescent="0.3">
      <c r="F31761"/>
      <c r="G31761"/>
      <c r="H31761"/>
      <c r="I31761"/>
    </row>
    <row r="31762" spans="6:9" x14ac:dyDescent="0.3">
      <c r="F31762"/>
      <c r="G31762"/>
      <c r="H31762"/>
      <c r="I31762"/>
    </row>
    <row r="31763" spans="6:9" x14ac:dyDescent="0.3">
      <c r="F31763"/>
      <c r="G31763"/>
      <c r="H31763"/>
      <c r="I31763"/>
    </row>
    <row r="31764" spans="6:9" x14ac:dyDescent="0.3">
      <c r="F31764"/>
      <c r="G31764"/>
      <c r="H31764"/>
      <c r="I31764"/>
    </row>
    <row r="31765" spans="6:9" x14ac:dyDescent="0.3">
      <c r="F31765"/>
      <c r="G31765"/>
      <c r="H31765"/>
      <c r="I31765"/>
    </row>
    <row r="31766" spans="6:9" x14ac:dyDescent="0.3">
      <c r="F31766"/>
      <c r="G31766"/>
      <c r="H31766"/>
      <c r="I31766"/>
    </row>
    <row r="31767" spans="6:9" x14ac:dyDescent="0.3">
      <c r="F31767"/>
      <c r="G31767"/>
      <c r="H31767"/>
      <c r="I31767"/>
    </row>
    <row r="31768" spans="6:9" x14ac:dyDescent="0.3">
      <c r="F31768"/>
      <c r="G31768"/>
      <c r="H31768"/>
      <c r="I31768"/>
    </row>
    <row r="31769" spans="6:9" x14ac:dyDescent="0.3">
      <c r="F31769"/>
      <c r="G31769"/>
      <c r="H31769"/>
      <c r="I31769"/>
    </row>
    <row r="31770" spans="6:9" x14ac:dyDescent="0.3">
      <c r="F31770"/>
      <c r="G31770"/>
      <c r="H31770"/>
      <c r="I31770"/>
    </row>
    <row r="31771" spans="6:9" x14ac:dyDescent="0.3">
      <c r="F31771"/>
      <c r="G31771"/>
      <c r="H31771"/>
      <c r="I31771"/>
    </row>
    <row r="31772" spans="6:9" x14ac:dyDescent="0.3">
      <c r="F31772"/>
      <c r="G31772"/>
      <c r="H31772"/>
      <c r="I31772"/>
    </row>
    <row r="31773" spans="6:9" x14ac:dyDescent="0.3">
      <c r="F31773"/>
      <c r="G31773"/>
      <c r="H31773"/>
      <c r="I31773"/>
    </row>
    <row r="31774" spans="6:9" x14ac:dyDescent="0.3">
      <c r="F31774"/>
      <c r="G31774"/>
      <c r="H31774"/>
      <c r="I31774"/>
    </row>
    <row r="31775" spans="6:9" x14ac:dyDescent="0.3">
      <c r="F31775"/>
      <c r="G31775"/>
      <c r="H31775"/>
      <c r="I31775"/>
    </row>
    <row r="31776" spans="6:9" x14ac:dyDescent="0.3">
      <c r="F31776"/>
      <c r="G31776"/>
      <c r="H31776"/>
      <c r="I31776"/>
    </row>
    <row r="31777" spans="6:9" x14ac:dyDescent="0.3">
      <c r="F31777"/>
      <c r="G31777"/>
      <c r="H31777"/>
      <c r="I31777"/>
    </row>
    <row r="31778" spans="6:9" x14ac:dyDescent="0.3">
      <c r="F31778"/>
      <c r="G31778"/>
      <c r="H31778"/>
      <c r="I31778"/>
    </row>
    <row r="31779" spans="6:9" x14ac:dyDescent="0.3">
      <c r="F31779"/>
      <c r="G31779"/>
      <c r="H31779"/>
      <c r="I31779"/>
    </row>
    <row r="31780" spans="6:9" x14ac:dyDescent="0.3">
      <c r="F31780"/>
      <c r="G31780"/>
      <c r="H31780"/>
      <c r="I31780"/>
    </row>
    <row r="31781" spans="6:9" x14ac:dyDescent="0.3">
      <c r="F31781"/>
      <c r="G31781"/>
      <c r="H31781"/>
      <c r="I31781"/>
    </row>
    <row r="31782" spans="6:9" x14ac:dyDescent="0.3">
      <c r="F31782"/>
      <c r="G31782"/>
      <c r="H31782"/>
      <c r="I31782"/>
    </row>
    <row r="31783" spans="6:9" x14ac:dyDescent="0.3">
      <c r="F31783"/>
      <c r="G31783"/>
      <c r="H31783"/>
      <c r="I31783"/>
    </row>
    <row r="31784" spans="6:9" x14ac:dyDescent="0.3">
      <c r="F31784"/>
      <c r="G31784"/>
      <c r="H31784"/>
      <c r="I31784"/>
    </row>
    <row r="31785" spans="6:9" x14ac:dyDescent="0.3">
      <c r="F31785"/>
      <c r="G31785"/>
      <c r="H31785"/>
      <c r="I31785"/>
    </row>
    <row r="31786" spans="6:9" x14ac:dyDescent="0.3">
      <c r="F31786"/>
      <c r="G31786"/>
      <c r="H31786"/>
      <c r="I31786"/>
    </row>
    <row r="31787" spans="6:9" x14ac:dyDescent="0.3">
      <c r="F31787"/>
      <c r="G31787"/>
      <c r="H31787"/>
      <c r="I31787"/>
    </row>
    <row r="31788" spans="6:9" x14ac:dyDescent="0.3">
      <c r="F31788"/>
      <c r="G31788"/>
      <c r="H31788"/>
      <c r="I31788"/>
    </row>
    <row r="31789" spans="6:9" x14ac:dyDescent="0.3">
      <c r="F31789"/>
      <c r="G31789"/>
      <c r="H31789"/>
      <c r="I31789"/>
    </row>
    <row r="31790" spans="6:9" x14ac:dyDescent="0.3">
      <c r="F31790"/>
      <c r="G31790"/>
      <c r="H31790"/>
      <c r="I31790"/>
    </row>
    <row r="31791" spans="6:9" x14ac:dyDescent="0.3">
      <c r="F31791"/>
      <c r="G31791"/>
      <c r="H31791"/>
      <c r="I31791"/>
    </row>
    <row r="31792" spans="6:9" x14ac:dyDescent="0.3">
      <c r="F31792"/>
      <c r="G31792"/>
      <c r="H31792"/>
      <c r="I31792"/>
    </row>
    <row r="31793" spans="6:9" x14ac:dyDescent="0.3">
      <c r="F31793"/>
      <c r="G31793"/>
      <c r="H31793"/>
      <c r="I31793"/>
    </row>
    <row r="31794" spans="6:9" x14ac:dyDescent="0.3">
      <c r="F31794"/>
      <c r="G31794"/>
      <c r="H31794"/>
      <c r="I31794"/>
    </row>
    <row r="31795" spans="6:9" x14ac:dyDescent="0.3">
      <c r="F31795"/>
      <c r="G31795"/>
      <c r="H31795"/>
      <c r="I31795"/>
    </row>
    <row r="31796" spans="6:9" x14ac:dyDescent="0.3">
      <c r="F31796"/>
      <c r="G31796"/>
      <c r="H31796"/>
      <c r="I31796"/>
    </row>
    <row r="31797" spans="6:9" x14ac:dyDescent="0.3">
      <c r="F31797"/>
      <c r="G31797"/>
      <c r="H31797"/>
      <c r="I31797"/>
    </row>
    <row r="31798" spans="6:9" x14ac:dyDescent="0.3">
      <c r="F31798"/>
      <c r="G31798"/>
      <c r="H31798"/>
      <c r="I31798"/>
    </row>
    <row r="31799" spans="6:9" x14ac:dyDescent="0.3">
      <c r="F31799"/>
      <c r="G31799"/>
      <c r="H31799"/>
      <c r="I31799"/>
    </row>
    <row r="31800" spans="6:9" x14ac:dyDescent="0.3">
      <c r="F31800"/>
      <c r="G31800"/>
      <c r="H31800"/>
      <c r="I31800"/>
    </row>
    <row r="31801" spans="6:9" x14ac:dyDescent="0.3">
      <c r="F31801"/>
      <c r="G31801"/>
      <c r="H31801"/>
      <c r="I31801"/>
    </row>
    <row r="31802" spans="6:9" x14ac:dyDescent="0.3">
      <c r="F31802"/>
      <c r="G31802"/>
      <c r="H31802"/>
      <c r="I31802"/>
    </row>
    <row r="31803" spans="6:9" x14ac:dyDescent="0.3">
      <c r="F31803"/>
      <c r="G31803"/>
      <c r="H31803"/>
      <c r="I31803"/>
    </row>
    <row r="31804" spans="6:9" x14ac:dyDescent="0.3">
      <c r="F31804"/>
      <c r="G31804"/>
      <c r="H31804"/>
      <c r="I31804"/>
    </row>
    <row r="31805" spans="6:9" x14ac:dyDescent="0.3">
      <c r="F31805"/>
      <c r="G31805"/>
      <c r="H31805"/>
      <c r="I31805"/>
    </row>
    <row r="31806" spans="6:9" x14ac:dyDescent="0.3">
      <c r="F31806"/>
      <c r="G31806"/>
      <c r="H31806"/>
      <c r="I31806"/>
    </row>
    <row r="31807" spans="6:9" x14ac:dyDescent="0.3">
      <c r="F31807"/>
      <c r="G31807"/>
      <c r="H31807"/>
      <c r="I31807"/>
    </row>
    <row r="31808" spans="6:9" x14ac:dyDescent="0.3">
      <c r="F31808"/>
      <c r="G31808"/>
      <c r="H31808"/>
      <c r="I31808"/>
    </row>
    <row r="31809" spans="6:9" x14ac:dyDescent="0.3">
      <c r="F31809"/>
      <c r="G31809"/>
      <c r="H31809"/>
      <c r="I31809"/>
    </row>
    <row r="31810" spans="6:9" x14ac:dyDescent="0.3">
      <c r="F31810"/>
      <c r="G31810"/>
      <c r="H31810"/>
      <c r="I31810"/>
    </row>
    <row r="31811" spans="6:9" x14ac:dyDescent="0.3">
      <c r="F31811"/>
      <c r="G31811"/>
      <c r="H31811"/>
      <c r="I31811"/>
    </row>
    <row r="31812" spans="6:9" x14ac:dyDescent="0.3">
      <c r="F31812"/>
      <c r="G31812"/>
      <c r="H31812"/>
      <c r="I31812"/>
    </row>
    <row r="31813" spans="6:9" x14ac:dyDescent="0.3">
      <c r="F31813"/>
      <c r="G31813"/>
      <c r="H31813"/>
      <c r="I31813"/>
    </row>
    <row r="31814" spans="6:9" x14ac:dyDescent="0.3">
      <c r="F31814"/>
      <c r="G31814"/>
      <c r="H31814"/>
      <c r="I31814"/>
    </row>
    <row r="31815" spans="6:9" x14ac:dyDescent="0.3">
      <c r="F31815"/>
      <c r="G31815"/>
      <c r="H31815"/>
      <c r="I31815"/>
    </row>
    <row r="31816" spans="6:9" x14ac:dyDescent="0.3">
      <c r="F31816"/>
      <c r="G31816"/>
      <c r="H31816"/>
      <c r="I31816"/>
    </row>
    <row r="31817" spans="6:9" x14ac:dyDescent="0.3">
      <c r="F31817"/>
      <c r="G31817"/>
      <c r="H31817"/>
      <c r="I31817"/>
    </row>
    <row r="31818" spans="6:9" x14ac:dyDescent="0.3">
      <c r="F31818"/>
      <c r="G31818"/>
      <c r="H31818"/>
      <c r="I31818"/>
    </row>
    <row r="31819" spans="6:9" x14ac:dyDescent="0.3">
      <c r="F31819"/>
      <c r="G31819"/>
      <c r="H31819"/>
      <c r="I31819"/>
    </row>
    <row r="31820" spans="6:9" x14ac:dyDescent="0.3">
      <c r="F31820"/>
      <c r="G31820"/>
      <c r="H31820"/>
      <c r="I31820"/>
    </row>
    <row r="31821" spans="6:9" x14ac:dyDescent="0.3">
      <c r="F31821"/>
      <c r="G31821"/>
      <c r="H31821"/>
      <c r="I31821"/>
    </row>
    <row r="31822" spans="6:9" x14ac:dyDescent="0.3">
      <c r="F31822"/>
      <c r="G31822"/>
      <c r="H31822"/>
      <c r="I31822"/>
    </row>
    <row r="31823" spans="6:9" x14ac:dyDescent="0.3">
      <c r="F31823"/>
      <c r="G31823"/>
      <c r="H31823"/>
      <c r="I31823"/>
    </row>
    <row r="31824" spans="6:9" x14ac:dyDescent="0.3">
      <c r="F31824"/>
      <c r="G31824"/>
      <c r="H31824"/>
      <c r="I31824"/>
    </row>
    <row r="31825" spans="6:9" x14ac:dyDescent="0.3">
      <c r="F31825"/>
      <c r="G31825"/>
      <c r="H31825"/>
      <c r="I31825"/>
    </row>
    <row r="31826" spans="6:9" x14ac:dyDescent="0.3">
      <c r="F31826"/>
      <c r="G31826"/>
      <c r="H31826"/>
      <c r="I31826"/>
    </row>
    <row r="31827" spans="6:9" x14ac:dyDescent="0.3">
      <c r="F31827"/>
      <c r="G31827"/>
      <c r="H31827"/>
      <c r="I31827"/>
    </row>
    <row r="31828" spans="6:9" x14ac:dyDescent="0.3">
      <c r="F31828"/>
      <c r="G31828"/>
      <c r="H31828"/>
      <c r="I31828"/>
    </row>
    <row r="31829" spans="6:9" x14ac:dyDescent="0.3">
      <c r="F31829"/>
      <c r="G31829"/>
      <c r="H31829"/>
      <c r="I31829"/>
    </row>
    <row r="31830" spans="6:9" x14ac:dyDescent="0.3">
      <c r="F31830"/>
      <c r="G31830"/>
      <c r="H31830"/>
      <c r="I31830"/>
    </row>
    <row r="31831" spans="6:9" x14ac:dyDescent="0.3">
      <c r="F31831"/>
      <c r="G31831"/>
      <c r="H31831"/>
      <c r="I31831"/>
    </row>
    <row r="31832" spans="6:9" x14ac:dyDescent="0.3">
      <c r="F31832"/>
      <c r="G31832"/>
      <c r="H31832"/>
      <c r="I31832"/>
    </row>
    <row r="31833" spans="6:9" x14ac:dyDescent="0.3">
      <c r="F31833"/>
      <c r="G31833"/>
      <c r="H31833"/>
      <c r="I31833"/>
    </row>
    <row r="31834" spans="6:9" x14ac:dyDescent="0.3">
      <c r="F31834"/>
      <c r="G31834"/>
      <c r="H31834"/>
      <c r="I31834"/>
    </row>
    <row r="31835" spans="6:9" x14ac:dyDescent="0.3">
      <c r="F31835"/>
      <c r="G31835"/>
      <c r="H31835"/>
      <c r="I31835"/>
    </row>
    <row r="31836" spans="6:9" x14ac:dyDescent="0.3">
      <c r="F31836"/>
      <c r="G31836"/>
      <c r="H31836"/>
      <c r="I31836"/>
    </row>
    <row r="31837" spans="6:9" x14ac:dyDescent="0.3">
      <c r="F31837"/>
      <c r="G31837"/>
      <c r="H31837"/>
      <c r="I31837"/>
    </row>
    <row r="31838" spans="6:9" x14ac:dyDescent="0.3">
      <c r="F31838"/>
      <c r="G31838"/>
      <c r="H31838"/>
      <c r="I31838"/>
    </row>
    <row r="31839" spans="6:9" x14ac:dyDescent="0.3">
      <c r="F31839"/>
      <c r="G31839"/>
      <c r="H31839"/>
      <c r="I31839"/>
    </row>
    <row r="31840" spans="6:9" x14ac:dyDescent="0.3">
      <c r="F31840"/>
      <c r="G31840"/>
      <c r="H31840"/>
      <c r="I31840"/>
    </row>
    <row r="31841" spans="6:9" x14ac:dyDescent="0.3">
      <c r="F31841"/>
      <c r="G31841"/>
      <c r="H31841"/>
      <c r="I31841"/>
    </row>
    <row r="31842" spans="6:9" x14ac:dyDescent="0.3">
      <c r="F31842"/>
      <c r="G31842"/>
      <c r="H31842"/>
      <c r="I31842"/>
    </row>
    <row r="31843" spans="6:9" x14ac:dyDescent="0.3">
      <c r="F31843"/>
      <c r="G31843"/>
      <c r="H31843"/>
      <c r="I31843"/>
    </row>
    <row r="31844" spans="6:9" x14ac:dyDescent="0.3">
      <c r="F31844"/>
      <c r="G31844"/>
      <c r="H31844"/>
      <c r="I31844"/>
    </row>
    <row r="31845" spans="6:9" x14ac:dyDescent="0.3">
      <c r="F31845"/>
      <c r="G31845"/>
      <c r="H31845"/>
      <c r="I31845"/>
    </row>
    <row r="31846" spans="6:9" x14ac:dyDescent="0.3">
      <c r="F31846"/>
      <c r="G31846"/>
      <c r="H31846"/>
      <c r="I31846"/>
    </row>
    <row r="31847" spans="6:9" x14ac:dyDescent="0.3">
      <c r="F31847"/>
      <c r="G31847"/>
      <c r="H31847"/>
      <c r="I31847"/>
    </row>
    <row r="31848" spans="6:9" x14ac:dyDescent="0.3">
      <c r="F31848"/>
      <c r="G31848"/>
      <c r="H31848"/>
      <c r="I31848"/>
    </row>
    <row r="31849" spans="6:9" x14ac:dyDescent="0.3">
      <c r="F31849"/>
      <c r="G31849"/>
      <c r="H31849"/>
      <c r="I31849"/>
    </row>
    <row r="31850" spans="6:9" x14ac:dyDescent="0.3">
      <c r="F31850"/>
      <c r="G31850"/>
      <c r="H31850"/>
      <c r="I31850"/>
    </row>
    <row r="31851" spans="6:9" x14ac:dyDescent="0.3">
      <c r="F31851"/>
      <c r="G31851"/>
      <c r="H31851"/>
      <c r="I31851"/>
    </row>
    <row r="31852" spans="6:9" x14ac:dyDescent="0.3">
      <c r="F31852"/>
      <c r="G31852"/>
      <c r="H31852"/>
      <c r="I31852"/>
    </row>
    <row r="31853" spans="6:9" x14ac:dyDescent="0.3">
      <c r="F31853"/>
      <c r="G31853"/>
      <c r="H31853"/>
      <c r="I31853"/>
    </row>
    <row r="31854" spans="6:9" x14ac:dyDescent="0.3">
      <c r="F31854"/>
      <c r="G31854"/>
      <c r="H31854"/>
      <c r="I31854"/>
    </row>
    <row r="31855" spans="6:9" x14ac:dyDescent="0.3">
      <c r="F31855"/>
      <c r="G31855"/>
      <c r="H31855"/>
      <c r="I31855"/>
    </row>
    <row r="31856" spans="6:9" x14ac:dyDescent="0.3">
      <c r="F31856"/>
      <c r="G31856"/>
      <c r="H31856"/>
      <c r="I31856"/>
    </row>
    <row r="31857" spans="6:9" x14ac:dyDescent="0.3">
      <c r="F31857"/>
      <c r="G31857"/>
      <c r="H31857"/>
      <c r="I31857"/>
    </row>
    <row r="31858" spans="6:9" x14ac:dyDescent="0.3">
      <c r="F31858"/>
      <c r="G31858"/>
      <c r="H31858"/>
      <c r="I31858"/>
    </row>
    <row r="31859" spans="6:9" x14ac:dyDescent="0.3">
      <c r="F31859"/>
      <c r="G31859"/>
      <c r="H31859"/>
      <c r="I31859"/>
    </row>
    <row r="31860" spans="6:9" x14ac:dyDescent="0.3">
      <c r="F31860"/>
      <c r="G31860"/>
      <c r="H31860"/>
      <c r="I31860"/>
    </row>
    <row r="31861" spans="6:9" x14ac:dyDescent="0.3">
      <c r="F31861"/>
      <c r="G31861"/>
      <c r="H31861"/>
      <c r="I31861"/>
    </row>
    <row r="31862" spans="6:9" x14ac:dyDescent="0.3">
      <c r="F31862"/>
      <c r="G31862"/>
      <c r="H31862"/>
      <c r="I31862"/>
    </row>
    <row r="31863" spans="6:9" x14ac:dyDescent="0.3">
      <c r="F31863"/>
      <c r="G31863"/>
      <c r="H31863"/>
      <c r="I31863"/>
    </row>
    <row r="31864" spans="6:9" x14ac:dyDescent="0.3">
      <c r="F31864"/>
      <c r="G31864"/>
      <c r="H31864"/>
      <c r="I31864"/>
    </row>
    <row r="31865" spans="6:9" x14ac:dyDescent="0.3">
      <c r="F31865"/>
      <c r="G31865"/>
      <c r="H31865"/>
      <c r="I31865"/>
    </row>
    <row r="31866" spans="6:9" x14ac:dyDescent="0.3">
      <c r="F31866"/>
      <c r="G31866"/>
      <c r="H31866"/>
      <c r="I31866"/>
    </row>
    <row r="31867" spans="6:9" x14ac:dyDescent="0.3">
      <c r="F31867"/>
      <c r="G31867"/>
      <c r="H31867"/>
      <c r="I31867"/>
    </row>
    <row r="31868" spans="6:9" x14ac:dyDescent="0.3">
      <c r="F31868"/>
      <c r="G31868"/>
      <c r="H31868"/>
      <c r="I31868"/>
    </row>
    <row r="31869" spans="6:9" x14ac:dyDescent="0.3">
      <c r="F31869"/>
      <c r="G31869"/>
      <c r="H31869"/>
      <c r="I31869"/>
    </row>
    <row r="31870" spans="6:9" x14ac:dyDescent="0.3">
      <c r="F31870"/>
      <c r="G31870"/>
      <c r="H31870"/>
      <c r="I31870"/>
    </row>
    <row r="31871" spans="6:9" x14ac:dyDescent="0.3">
      <c r="F31871"/>
      <c r="G31871"/>
      <c r="H31871"/>
      <c r="I31871"/>
    </row>
    <row r="31872" spans="6:9" x14ac:dyDescent="0.3">
      <c r="F31872"/>
      <c r="G31872"/>
      <c r="H31872"/>
      <c r="I31872"/>
    </row>
    <row r="31873" spans="6:9" x14ac:dyDescent="0.3">
      <c r="F31873"/>
      <c r="G31873"/>
      <c r="H31873"/>
      <c r="I31873"/>
    </row>
    <row r="31874" spans="6:9" x14ac:dyDescent="0.3">
      <c r="F31874"/>
      <c r="G31874"/>
      <c r="H31874"/>
      <c r="I31874"/>
    </row>
    <row r="31875" spans="6:9" x14ac:dyDescent="0.3">
      <c r="F31875"/>
      <c r="G31875"/>
      <c r="H31875"/>
      <c r="I31875"/>
    </row>
    <row r="31876" spans="6:9" x14ac:dyDescent="0.3">
      <c r="F31876"/>
      <c r="G31876"/>
      <c r="H31876"/>
      <c r="I31876"/>
    </row>
    <row r="31877" spans="6:9" x14ac:dyDescent="0.3">
      <c r="F31877"/>
      <c r="G31877"/>
      <c r="H31877"/>
      <c r="I31877"/>
    </row>
    <row r="31878" spans="6:9" x14ac:dyDescent="0.3">
      <c r="F31878"/>
      <c r="G31878"/>
      <c r="H31878"/>
      <c r="I31878"/>
    </row>
    <row r="31879" spans="6:9" x14ac:dyDescent="0.3">
      <c r="F31879"/>
      <c r="G31879"/>
      <c r="H31879"/>
      <c r="I31879"/>
    </row>
    <row r="31880" spans="6:9" x14ac:dyDescent="0.3">
      <c r="F31880"/>
      <c r="G31880"/>
      <c r="H31880"/>
      <c r="I31880"/>
    </row>
    <row r="31881" spans="6:9" x14ac:dyDescent="0.3">
      <c r="F31881"/>
      <c r="G31881"/>
      <c r="H31881"/>
      <c r="I31881"/>
    </row>
    <row r="31882" spans="6:9" x14ac:dyDescent="0.3">
      <c r="F31882"/>
      <c r="G31882"/>
      <c r="H31882"/>
      <c r="I31882"/>
    </row>
    <row r="31883" spans="6:9" x14ac:dyDescent="0.3">
      <c r="F31883"/>
      <c r="G31883"/>
      <c r="H31883"/>
      <c r="I31883"/>
    </row>
    <row r="31884" spans="6:9" x14ac:dyDescent="0.3">
      <c r="F31884"/>
      <c r="G31884"/>
      <c r="H31884"/>
      <c r="I31884"/>
    </row>
    <row r="31885" spans="6:9" x14ac:dyDescent="0.3">
      <c r="F31885"/>
      <c r="G31885"/>
      <c r="H31885"/>
      <c r="I31885"/>
    </row>
    <row r="31886" spans="6:9" x14ac:dyDescent="0.3">
      <c r="F31886"/>
      <c r="G31886"/>
      <c r="H31886"/>
      <c r="I31886"/>
    </row>
    <row r="31887" spans="6:9" x14ac:dyDescent="0.3">
      <c r="F31887"/>
      <c r="G31887"/>
      <c r="H31887"/>
      <c r="I31887"/>
    </row>
    <row r="31888" spans="6:9" x14ac:dyDescent="0.3">
      <c r="F31888"/>
      <c r="G31888"/>
      <c r="H31888"/>
      <c r="I31888"/>
    </row>
    <row r="31889" spans="6:9" x14ac:dyDescent="0.3">
      <c r="F31889"/>
      <c r="G31889"/>
      <c r="H31889"/>
      <c r="I31889"/>
    </row>
    <row r="31890" spans="6:9" x14ac:dyDescent="0.3">
      <c r="F31890"/>
      <c r="G31890"/>
      <c r="H31890"/>
      <c r="I31890"/>
    </row>
    <row r="31891" spans="6:9" x14ac:dyDescent="0.3">
      <c r="F31891"/>
      <c r="G31891"/>
      <c r="H31891"/>
      <c r="I31891"/>
    </row>
    <row r="31892" spans="6:9" x14ac:dyDescent="0.3">
      <c r="F31892"/>
      <c r="G31892"/>
      <c r="H31892"/>
      <c r="I31892"/>
    </row>
    <row r="31893" spans="6:9" x14ac:dyDescent="0.3">
      <c r="F31893"/>
      <c r="G31893"/>
      <c r="H31893"/>
      <c r="I31893"/>
    </row>
    <row r="31894" spans="6:9" x14ac:dyDescent="0.3">
      <c r="F31894"/>
      <c r="G31894"/>
      <c r="H31894"/>
      <c r="I31894"/>
    </row>
    <row r="31895" spans="6:9" x14ac:dyDescent="0.3">
      <c r="F31895"/>
      <c r="G31895"/>
      <c r="H31895"/>
      <c r="I31895"/>
    </row>
    <row r="31896" spans="6:9" x14ac:dyDescent="0.3">
      <c r="F31896"/>
      <c r="G31896"/>
      <c r="H31896"/>
      <c r="I31896"/>
    </row>
    <row r="31897" spans="6:9" x14ac:dyDescent="0.3">
      <c r="F31897"/>
      <c r="G31897"/>
      <c r="H31897"/>
      <c r="I31897"/>
    </row>
    <row r="31898" spans="6:9" x14ac:dyDescent="0.3">
      <c r="F31898"/>
      <c r="G31898"/>
      <c r="H31898"/>
      <c r="I31898"/>
    </row>
    <row r="31899" spans="6:9" x14ac:dyDescent="0.3">
      <c r="F31899"/>
      <c r="G31899"/>
      <c r="H31899"/>
      <c r="I31899"/>
    </row>
    <row r="31900" spans="6:9" x14ac:dyDescent="0.3">
      <c r="F31900"/>
      <c r="G31900"/>
      <c r="H31900"/>
      <c r="I31900"/>
    </row>
    <row r="31901" spans="6:9" x14ac:dyDescent="0.3">
      <c r="F31901"/>
      <c r="G31901"/>
      <c r="H31901"/>
      <c r="I31901"/>
    </row>
    <row r="31902" spans="6:9" x14ac:dyDescent="0.3">
      <c r="F31902"/>
      <c r="G31902"/>
      <c r="H31902"/>
      <c r="I31902"/>
    </row>
    <row r="31903" spans="6:9" x14ac:dyDescent="0.3">
      <c r="F31903"/>
      <c r="G31903"/>
      <c r="H31903"/>
      <c r="I31903"/>
    </row>
    <row r="31904" spans="6:9" x14ac:dyDescent="0.3">
      <c r="F31904"/>
      <c r="G31904"/>
      <c r="H31904"/>
      <c r="I31904"/>
    </row>
    <row r="31905" spans="6:9" x14ac:dyDescent="0.3">
      <c r="F31905"/>
      <c r="G31905"/>
      <c r="H31905"/>
      <c r="I31905"/>
    </row>
    <row r="31906" spans="6:9" x14ac:dyDescent="0.3">
      <c r="F31906"/>
      <c r="G31906"/>
      <c r="H31906"/>
      <c r="I31906"/>
    </row>
    <row r="31907" spans="6:9" x14ac:dyDescent="0.3">
      <c r="F31907"/>
      <c r="G31907"/>
      <c r="H31907"/>
      <c r="I31907"/>
    </row>
    <row r="31908" spans="6:9" x14ac:dyDescent="0.3">
      <c r="F31908"/>
      <c r="G31908"/>
      <c r="H31908"/>
      <c r="I31908"/>
    </row>
    <row r="31909" spans="6:9" x14ac:dyDescent="0.3">
      <c r="F31909"/>
      <c r="G31909"/>
      <c r="H31909"/>
      <c r="I31909"/>
    </row>
    <row r="31910" spans="6:9" x14ac:dyDescent="0.3">
      <c r="F31910"/>
      <c r="G31910"/>
      <c r="H31910"/>
      <c r="I31910"/>
    </row>
    <row r="31911" spans="6:9" x14ac:dyDescent="0.3">
      <c r="F31911"/>
      <c r="G31911"/>
      <c r="H31911"/>
      <c r="I31911"/>
    </row>
    <row r="31912" spans="6:9" x14ac:dyDescent="0.3">
      <c r="F31912"/>
      <c r="G31912"/>
      <c r="H31912"/>
      <c r="I31912"/>
    </row>
    <row r="31913" spans="6:9" x14ac:dyDescent="0.3">
      <c r="F31913"/>
      <c r="G31913"/>
      <c r="H31913"/>
      <c r="I31913"/>
    </row>
    <row r="31914" spans="6:9" x14ac:dyDescent="0.3">
      <c r="F31914"/>
      <c r="G31914"/>
      <c r="H31914"/>
      <c r="I31914"/>
    </row>
    <row r="31915" spans="6:9" x14ac:dyDescent="0.3">
      <c r="F31915"/>
      <c r="G31915"/>
      <c r="H31915"/>
      <c r="I31915"/>
    </row>
    <row r="31916" spans="6:9" x14ac:dyDescent="0.3">
      <c r="F31916"/>
      <c r="G31916"/>
      <c r="H31916"/>
      <c r="I31916"/>
    </row>
    <row r="31917" spans="6:9" x14ac:dyDescent="0.3">
      <c r="F31917"/>
      <c r="G31917"/>
      <c r="H31917"/>
      <c r="I31917"/>
    </row>
    <row r="31918" spans="6:9" x14ac:dyDescent="0.3">
      <c r="F31918"/>
      <c r="G31918"/>
      <c r="H31918"/>
      <c r="I31918"/>
    </row>
    <row r="31919" spans="6:9" x14ac:dyDescent="0.3">
      <c r="F31919"/>
      <c r="G31919"/>
      <c r="H31919"/>
      <c r="I31919"/>
    </row>
    <row r="31920" spans="6:9" x14ac:dyDescent="0.3">
      <c r="F31920"/>
      <c r="G31920"/>
      <c r="H31920"/>
      <c r="I31920"/>
    </row>
    <row r="31921" spans="6:9" x14ac:dyDescent="0.3">
      <c r="F31921"/>
      <c r="G31921"/>
      <c r="H31921"/>
      <c r="I31921"/>
    </row>
    <row r="31922" spans="6:9" x14ac:dyDescent="0.3">
      <c r="F31922"/>
      <c r="G31922"/>
      <c r="H31922"/>
      <c r="I31922"/>
    </row>
    <row r="31923" spans="6:9" x14ac:dyDescent="0.3">
      <c r="F31923"/>
      <c r="G31923"/>
      <c r="H31923"/>
      <c r="I31923"/>
    </row>
    <row r="31924" spans="6:9" x14ac:dyDescent="0.3">
      <c r="F31924"/>
      <c r="G31924"/>
      <c r="H31924"/>
      <c r="I31924"/>
    </row>
    <row r="31925" spans="6:9" x14ac:dyDescent="0.3">
      <c r="F31925"/>
      <c r="G31925"/>
      <c r="H31925"/>
      <c r="I31925"/>
    </row>
    <row r="31926" spans="6:9" x14ac:dyDescent="0.3">
      <c r="F31926"/>
      <c r="G31926"/>
      <c r="H31926"/>
      <c r="I31926"/>
    </row>
    <row r="31927" spans="6:9" x14ac:dyDescent="0.3">
      <c r="F31927"/>
      <c r="G31927"/>
      <c r="H31927"/>
      <c r="I31927"/>
    </row>
    <row r="31928" spans="6:9" x14ac:dyDescent="0.3">
      <c r="F31928"/>
      <c r="G31928"/>
      <c r="H31928"/>
      <c r="I31928"/>
    </row>
    <row r="31929" spans="6:9" x14ac:dyDescent="0.3">
      <c r="F31929"/>
      <c r="G31929"/>
      <c r="H31929"/>
      <c r="I31929"/>
    </row>
    <row r="31930" spans="6:9" x14ac:dyDescent="0.3">
      <c r="F31930"/>
      <c r="G31930"/>
      <c r="H31930"/>
      <c r="I31930"/>
    </row>
    <row r="31931" spans="6:9" x14ac:dyDescent="0.3">
      <c r="F31931"/>
      <c r="G31931"/>
      <c r="H31931"/>
      <c r="I31931"/>
    </row>
    <row r="31932" spans="6:9" x14ac:dyDescent="0.3">
      <c r="F31932"/>
      <c r="G31932"/>
      <c r="H31932"/>
      <c r="I31932"/>
    </row>
    <row r="31933" spans="6:9" x14ac:dyDescent="0.3">
      <c r="F31933"/>
      <c r="G31933"/>
      <c r="H31933"/>
      <c r="I31933"/>
    </row>
    <row r="31934" spans="6:9" x14ac:dyDescent="0.3">
      <c r="F31934"/>
      <c r="G31934"/>
      <c r="H31934"/>
      <c r="I31934"/>
    </row>
    <row r="31935" spans="6:9" x14ac:dyDescent="0.3">
      <c r="F31935"/>
      <c r="G31935"/>
      <c r="H31935"/>
      <c r="I31935"/>
    </row>
    <row r="31936" spans="6:9" x14ac:dyDescent="0.3">
      <c r="F31936"/>
      <c r="G31936"/>
      <c r="H31936"/>
      <c r="I31936"/>
    </row>
    <row r="31937" spans="6:9" x14ac:dyDescent="0.3">
      <c r="F31937"/>
      <c r="G31937"/>
      <c r="H31937"/>
      <c r="I31937"/>
    </row>
    <row r="31938" spans="6:9" x14ac:dyDescent="0.3">
      <c r="F31938"/>
      <c r="G31938"/>
      <c r="H31938"/>
      <c r="I31938"/>
    </row>
    <row r="31939" spans="6:9" x14ac:dyDescent="0.3">
      <c r="F31939"/>
      <c r="G31939"/>
      <c r="H31939"/>
      <c r="I31939"/>
    </row>
    <row r="31940" spans="6:9" x14ac:dyDescent="0.3">
      <c r="F31940"/>
      <c r="G31940"/>
      <c r="H31940"/>
      <c r="I31940"/>
    </row>
    <row r="31941" spans="6:9" x14ac:dyDescent="0.3">
      <c r="F31941"/>
      <c r="G31941"/>
      <c r="H31941"/>
      <c r="I31941"/>
    </row>
    <row r="31942" spans="6:9" x14ac:dyDescent="0.3">
      <c r="F31942"/>
      <c r="G31942"/>
      <c r="H31942"/>
      <c r="I31942"/>
    </row>
    <row r="31943" spans="6:9" x14ac:dyDescent="0.3">
      <c r="F31943"/>
      <c r="G31943"/>
      <c r="H31943"/>
      <c r="I31943"/>
    </row>
    <row r="31944" spans="6:9" x14ac:dyDescent="0.3">
      <c r="F31944"/>
      <c r="G31944"/>
      <c r="H31944"/>
      <c r="I31944"/>
    </row>
    <row r="31945" spans="6:9" x14ac:dyDescent="0.3">
      <c r="F31945"/>
      <c r="G31945"/>
      <c r="H31945"/>
      <c r="I31945"/>
    </row>
    <row r="31946" spans="6:9" x14ac:dyDescent="0.3">
      <c r="F31946"/>
      <c r="G31946"/>
      <c r="H31946"/>
      <c r="I31946"/>
    </row>
    <row r="31947" spans="6:9" x14ac:dyDescent="0.3">
      <c r="F31947"/>
      <c r="G31947"/>
      <c r="H31947"/>
      <c r="I31947"/>
    </row>
    <row r="31948" spans="6:9" x14ac:dyDescent="0.3">
      <c r="F31948"/>
      <c r="G31948"/>
      <c r="H31948"/>
      <c r="I31948"/>
    </row>
    <row r="31949" spans="6:9" x14ac:dyDescent="0.3">
      <c r="F31949"/>
      <c r="G31949"/>
      <c r="H31949"/>
      <c r="I31949"/>
    </row>
    <row r="31950" spans="6:9" x14ac:dyDescent="0.3">
      <c r="F31950"/>
      <c r="G31950"/>
      <c r="H31950"/>
      <c r="I31950"/>
    </row>
    <row r="31951" spans="6:9" x14ac:dyDescent="0.3">
      <c r="F31951"/>
      <c r="G31951"/>
      <c r="H31951"/>
      <c r="I31951"/>
    </row>
    <row r="31952" spans="6:9" x14ac:dyDescent="0.3">
      <c r="F31952"/>
      <c r="G31952"/>
      <c r="H31952"/>
      <c r="I31952"/>
    </row>
    <row r="31953" spans="6:9" x14ac:dyDescent="0.3">
      <c r="F31953"/>
      <c r="G31953"/>
      <c r="H31953"/>
      <c r="I31953"/>
    </row>
    <row r="31954" spans="6:9" x14ac:dyDescent="0.3">
      <c r="F31954"/>
      <c r="G31954"/>
      <c r="H31954"/>
      <c r="I31954"/>
    </row>
    <row r="31955" spans="6:9" x14ac:dyDescent="0.3">
      <c r="F31955"/>
      <c r="G31955"/>
      <c r="H31955"/>
      <c r="I31955"/>
    </row>
    <row r="31956" spans="6:9" x14ac:dyDescent="0.3">
      <c r="F31956"/>
      <c r="G31956"/>
      <c r="H31956"/>
      <c r="I31956"/>
    </row>
    <row r="31957" spans="6:9" x14ac:dyDescent="0.3">
      <c r="F31957"/>
      <c r="G31957"/>
      <c r="H31957"/>
      <c r="I31957"/>
    </row>
    <row r="31958" spans="6:9" x14ac:dyDescent="0.3">
      <c r="F31958"/>
      <c r="G31958"/>
      <c r="H31958"/>
      <c r="I31958"/>
    </row>
    <row r="31959" spans="6:9" x14ac:dyDescent="0.3">
      <c r="F31959"/>
      <c r="G31959"/>
      <c r="H31959"/>
      <c r="I31959"/>
    </row>
    <row r="31960" spans="6:9" x14ac:dyDescent="0.3">
      <c r="F31960"/>
      <c r="G31960"/>
      <c r="H31960"/>
      <c r="I31960"/>
    </row>
    <row r="31961" spans="6:9" x14ac:dyDescent="0.3">
      <c r="F31961"/>
      <c r="G31961"/>
      <c r="H31961"/>
      <c r="I31961"/>
    </row>
    <row r="31962" spans="6:9" x14ac:dyDescent="0.3">
      <c r="F31962"/>
      <c r="G31962"/>
      <c r="H31962"/>
      <c r="I31962"/>
    </row>
    <row r="31963" spans="6:9" x14ac:dyDescent="0.3">
      <c r="F31963"/>
      <c r="G31963"/>
      <c r="H31963"/>
      <c r="I31963"/>
    </row>
    <row r="31964" spans="6:9" x14ac:dyDescent="0.3">
      <c r="F31964"/>
      <c r="G31964"/>
      <c r="H31964"/>
      <c r="I31964"/>
    </row>
    <row r="31965" spans="6:9" x14ac:dyDescent="0.3">
      <c r="F31965"/>
      <c r="G31965"/>
      <c r="H31965"/>
      <c r="I31965"/>
    </row>
    <row r="31966" spans="6:9" x14ac:dyDescent="0.3">
      <c r="F31966"/>
      <c r="G31966"/>
      <c r="H31966"/>
      <c r="I31966"/>
    </row>
    <row r="31967" spans="6:9" x14ac:dyDescent="0.3">
      <c r="F31967"/>
      <c r="G31967"/>
      <c r="H31967"/>
      <c r="I31967"/>
    </row>
    <row r="31968" spans="6:9" x14ac:dyDescent="0.3">
      <c r="F31968"/>
      <c r="G31968"/>
      <c r="H31968"/>
      <c r="I31968"/>
    </row>
    <row r="31969" spans="6:9" x14ac:dyDescent="0.3">
      <c r="F31969"/>
      <c r="G31969"/>
      <c r="H31969"/>
      <c r="I31969"/>
    </row>
    <row r="31970" spans="6:9" x14ac:dyDescent="0.3">
      <c r="F31970"/>
      <c r="G31970"/>
      <c r="H31970"/>
      <c r="I31970"/>
    </row>
    <row r="31971" spans="6:9" x14ac:dyDescent="0.3">
      <c r="F31971"/>
      <c r="G31971"/>
      <c r="H31971"/>
      <c r="I31971"/>
    </row>
    <row r="31972" spans="6:9" x14ac:dyDescent="0.3">
      <c r="F31972"/>
      <c r="G31972"/>
      <c r="H31972"/>
      <c r="I31972"/>
    </row>
    <row r="31973" spans="6:9" x14ac:dyDescent="0.3">
      <c r="F31973"/>
      <c r="G31973"/>
      <c r="H31973"/>
      <c r="I31973"/>
    </row>
    <row r="31974" spans="6:9" x14ac:dyDescent="0.3">
      <c r="F31974"/>
      <c r="G31974"/>
      <c r="H31974"/>
      <c r="I31974"/>
    </row>
    <row r="31975" spans="6:9" x14ac:dyDescent="0.3">
      <c r="F31975"/>
      <c r="G31975"/>
      <c r="H31975"/>
      <c r="I31975"/>
    </row>
    <row r="31976" spans="6:9" x14ac:dyDescent="0.3">
      <c r="F31976"/>
      <c r="G31976"/>
      <c r="H31976"/>
      <c r="I31976"/>
    </row>
    <row r="31977" spans="6:9" x14ac:dyDescent="0.3">
      <c r="F31977"/>
      <c r="G31977"/>
      <c r="H31977"/>
      <c r="I31977"/>
    </row>
    <row r="31978" spans="6:9" x14ac:dyDescent="0.3">
      <c r="F31978"/>
      <c r="G31978"/>
      <c r="H31978"/>
      <c r="I31978"/>
    </row>
    <row r="31979" spans="6:9" x14ac:dyDescent="0.3">
      <c r="F31979"/>
      <c r="G31979"/>
      <c r="H31979"/>
      <c r="I31979"/>
    </row>
    <row r="31980" spans="6:9" x14ac:dyDescent="0.3">
      <c r="F31980"/>
      <c r="G31980"/>
      <c r="H31980"/>
      <c r="I31980"/>
    </row>
    <row r="31981" spans="6:9" x14ac:dyDescent="0.3">
      <c r="F31981"/>
      <c r="G31981"/>
      <c r="H31981"/>
      <c r="I31981"/>
    </row>
    <row r="31982" spans="6:9" x14ac:dyDescent="0.3">
      <c r="F31982"/>
      <c r="G31982"/>
      <c r="H31982"/>
      <c r="I31982"/>
    </row>
    <row r="31983" spans="6:9" x14ac:dyDescent="0.3">
      <c r="F31983"/>
      <c r="G31983"/>
      <c r="H31983"/>
      <c r="I31983"/>
    </row>
    <row r="31984" spans="6:9" x14ac:dyDescent="0.3">
      <c r="F31984"/>
      <c r="G31984"/>
      <c r="H31984"/>
      <c r="I31984"/>
    </row>
    <row r="31985" spans="6:9" x14ac:dyDescent="0.3">
      <c r="F31985"/>
      <c r="G31985"/>
      <c r="H31985"/>
      <c r="I31985"/>
    </row>
    <row r="31986" spans="6:9" x14ac:dyDescent="0.3">
      <c r="F31986"/>
      <c r="G31986"/>
      <c r="H31986"/>
      <c r="I31986"/>
    </row>
    <row r="31987" spans="6:9" x14ac:dyDescent="0.3">
      <c r="F31987"/>
      <c r="G31987"/>
      <c r="H31987"/>
      <c r="I31987"/>
    </row>
    <row r="31988" spans="6:9" x14ac:dyDescent="0.3">
      <c r="F31988"/>
      <c r="G31988"/>
      <c r="H31988"/>
      <c r="I31988"/>
    </row>
    <row r="31989" spans="6:9" x14ac:dyDescent="0.3">
      <c r="F31989"/>
      <c r="G31989"/>
      <c r="H31989"/>
      <c r="I31989"/>
    </row>
    <row r="31990" spans="6:9" x14ac:dyDescent="0.3">
      <c r="F31990"/>
      <c r="G31990"/>
      <c r="H31990"/>
      <c r="I31990"/>
    </row>
    <row r="31991" spans="6:9" x14ac:dyDescent="0.3">
      <c r="F31991"/>
      <c r="G31991"/>
      <c r="H31991"/>
      <c r="I31991"/>
    </row>
    <row r="31992" spans="6:9" x14ac:dyDescent="0.3">
      <c r="F31992"/>
      <c r="G31992"/>
      <c r="H31992"/>
      <c r="I31992"/>
    </row>
    <row r="31993" spans="6:9" x14ac:dyDescent="0.3">
      <c r="F31993"/>
      <c r="G31993"/>
      <c r="H31993"/>
      <c r="I31993"/>
    </row>
    <row r="31994" spans="6:9" x14ac:dyDescent="0.3">
      <c r="F31994"/>
      <c r="G31994"/>
      <c r="H31994"/>
      <c r="I31994"/>
    </row>
    <row r="31995" spans="6:9" x14ac:dyDescent="0.3">
      <c r="F31995"/>
      <c r="G31995"/>
      <c r="H31995"/>
      <c r="I31995"/>
    </row>
    <row r="31996" spans="6:9" x14ac:dyDescent="0.3">
      <c r="F31996"/>
      <c r="G31996"/>
      <c r="H31996"/>
      <c r="I31996"/>
    </row>
    <row r="31997" spans="6:9" x14ac:dyDescent="0.3">
      <c r="F31997"/>
      <c r="G31997"/>
      <c r="H31997"/>
      <c r="I31997"/>
    </row>
    <row r="31998" spans="6:9" x14ac:dyDescent="0.3">
      <c r="F31998"/>
      <c r="G31998"/>
      <c r="H31998"/>
      <c r="I31998"/>
    </row>
    <row r="31999" spans="6:9" x14ac:dyDescent="0.3">
      <c r="F31999"/>
      <c r="G31999"/>
      <c r="H31999"/>
      <c r="I31999"/>
    </row>
    <row r="32000" spans="6:9" x14ac:dyDescent="0.3">
      <c r="F32000"/>
      <c r="G32000"/>
      <c r="H32000"/>
      <c r="I32000"/>
    </row>
    <row r="32001" spans="6:9" x14ac:dyDescent="0.3">
      <c r="F32001"/>
      <c r="G32001"/>
      <c r="H32001"/>
      <c r="I32001"/>
    </row>
    <row r="32002" spans="6:9" x14ac:dyDescent="0.3">
      <c r="F32002"/>
      <c r="G32002"/>
      <c r="H32002"/>
      <c r="I32002"/>
    </row>
    <row r="32003" spans="6:9" x14ac:dyDescent="0.3">
      <c r="F32003"/>
      <c r="G32003"/>
      <c r="H32003"/>
      <c r="I32003"/>
    </row>
    <row r="32004" spans="6:9" x14ac:dyDescent="0.3">
      <c r="F32004"/>
      <c r="G32004"/>
      <c r="H32004"/>
      <c r="I32004"/>
    </row>
    <row r="32005" spans="6:9" x14ac:dyDescent="0.3">
      <c r="F32005"/>
      <c r="G32005"/>
      <c r="H32005"/>
      <c r="I32005"/>
    </row>
    <row r="32006" spans="6:9" x14ac:dyDescent="0.3">
      <c r="F32006"/>
      <c r="G32006"/>
      <c r="H32006"/>
      <c r="I32006"/>
    </row>
    <row r="32007" spans="6:9" x14ac:dyDescent="0.3">
      <c r="F32007"/>
      <c r="G32007"/>
      <c r="H32007"/>
      <c r="I32007"/>
    </row>
    <row r="32008" spans="6:9" x14ac:dyDescent="0.3">
      <c r="F32008"/>
      <c r="G32008"/>
      <c r="H32008"/>
      <c r="I32008"/>
    </row>
    <row r="32009" spans="6:9" x14ac:dyDescent="0.3">
      <c r="F32009"/>
      <c r="G32009"/>
      <c r="H32009"/>
      <c r="I32009"/>
    </row>
    <row r="32010" spans="6:9" x14ac:dyDescent="0.3">
      <c r="F32010"/>
      <c r="G32010"/>
      <c r="H32010"/>
      <c r="I32010"/>
    </row>
    <row r="32011" spans="6:9" x14ac:dyDescent="0.3">
      <c r="F32011"/>
      <c r="G32011"/>
      <c r="H32011"/>
      <c r="I32011"/>
    </row>
    <row r="32012" spans="6:9" x14ac:dyDescent="0.3">
      <c r="F32012"/>
      <c r="G32012"/>
      <c r="H32012"/>
      <c r="I32012"/>
    </row>
    <row r="32013" spans="6:9" x14ac:dyDescent="0.3">
      <c r="F32013"/>
      <c r="G32013"/>
      <c r="H32013"/>
      <c r="I32013"/>
    </row>
    <row r="32014" spans="6:9" x14ac:dyDescent="0.3">
      <c r="F32014"/>
      <c r="G32014"/>
      <c r="H32014"/>
      <c r="I32014"/>
    </row>
    <row r="32015" spans="6:9" x14ac:dyDescent="0.3">
      <c r="F32015"/>
      <c r="G32015"/>
      <c r="H32015"/>
      <c r="I32015"/>
    </row>
    <row r="32016" spans="6:9" x14ac:dyDescent="0.3">
      <c r="F32016"/>
      <c r="G32016"/>
      <c r="H32016"/>
      <c r="I32016"/>
    </row>
    <row r="32017" spans="6:9" x14ac:dyDescent="0.3">
      <c r="F32017"/>
      <c r="G32017"/>
      <c r="H32017"/>
      <c r="I32017"/>
    </row>
    <row r="32018" spans="6:9" x14ac:dyDescent="0.3">
      <c r="F32018"/>
      <c r="G32018"/>
      <c r="H32018"/>
      <c r="I32018"/>
    </row>
    <row r="32019" spans="6:9" x14ac:dyDescent="0.3">
      <c r="F32019"/>
      <c r="G32019"/>
      <c r="H32019"/>
      <c r="I32019"/>
    </row>
    <row r="32020" spans="6:9" x14ac:dyDescent="0.3">
      <c r="F32020"/>
      <c r="G32020"/>
      <c r="H32020"/>
      <c r="I32020"/>
    </row>
    <row r="32021" spans="6:9" x14ac:dyDescent="0.3">
      <c r="F32021"/>
      <c r="G32021"/>
      <c r="H32021"/>
      <c r="I32021"/>
    </row>
    <row r="32022" spans="6:9" x14ac:dyDescent="0.3">
      <c r="F32022"/>
      <c r="G32022"/>
      <c r="H32022"/>
      <c r="I32022"/>
    </row>
    <row r="32023" spans="6:9" x14ac:dyDescent="0.3">
      <c r="F32023"/>
      <c r="G32023"/>
      <c r="H32023"/>
      <c r="I32023"/>
    </row>
    <row r="32024" spans="6:9" x14ac:dyDescent="0.3">
      <c r="F32024"/>
      <c r="G32024"/>
      <c r="H32024"/>
      <c r="I32024"/>
    </row>
    <row r="32025" spans="6:9" x14ac:dyDescent="0.3">
      <c r="F32025"/>
      <c r="G32025"/>
      <c r="H32025"/>
      <c r="I32025"/>
    </row>
    <row r="32026" spans="6:9" x14ac:dyDescent="0.3">
      <c r="F32026"/>
      <c r="G32026"/>
      <c r="H32026"/>
      <c r="I32026"/>
    </row>
    <row r="32027" spans="6:9" x14ac:dyDescent="0.3">
      <c r="F32027"/>
      <c r="G32027"/>
      <c r="H32027"/>
      <c r="I32027"/>
    </row>
    <row r="32028" spans="6:9" x14ac:dyDescent="0.3">
      <c r="F32028"/>
      <c r="G32028"/>
      <c r="H32028"/>
      <c r="I32028"/>
    </row>
    <row r="32029" spans="6:9" x14ac:dyDescent="0.3">
      <c r="F32029"/>
      <c r="G32029"/>
      <c r="H32029"/>
      <c r="I32029"/>
    </row>
    <row r="32030" spans="6:9" x14ac:dyDescent="0.3">
      <c r="F32030"/>
      <c r="G32030"/>
      <c r="H32030"/>
      <c r="I32030"/>
    </row>
    <row r="32031" spans="6:9" x14ac:dyDescent="0.3">
      <c r="F32031"/>
      <c r="G32031"/>
      <c r="H32031"/>
      <c r="I32031"/>
    </row>
    <row r="32032" spans="6:9" x14ac:dyDescent="0.3">
      <c r="F32032"/>
      <c r="G32032"/>
      <c r="H32032"/>
      <c r="I32032"/>
    </row>
    <row r="32033" spans="6:9" x14ac:dyDescent="0.3">
      <c r="F32033"/>
      <c r="G32033"/>
      <c r="H32033"/>
      <c r="I32033"/>
    </row>
    <row r="32034" spans="6:9" x14ac:dyDescent="0.3">
      <c r="F32034"/>
      <c r="G32034"/>
      <c r="H32034"/>
      <c r="I32034"/>
    </row>
    <row r="32035" spans="6:9" x14ac:dyDescent="0.3">
      <c r="F32035"/>
      <c r="G32035"/>
      <c r="H32035"/>
      <c r="I32035"/>
    </row>
    <row r="32036" spans="6:9" x14ac:dyDescent="0.3">
      <c r="F32036"/>
      <c r="G32036"/>
      <c r="H32036"/>
      <c r="I32036"/>
    </row>
    <row r="32037" spans="6:9" x14ac:dyDescent="0.3">
      <c r="F32037"/>
      <c r="G32037"/>
      <c r="H32037"/>
      <c r="I32037"/>
    </row>
    <row r="32038" spans="6:9" x14ac:dyDescent="0.3">
      <c r="F32038"/>
      <c r="G32038"/>
      <c r="H32038"/>
      <c r="I32038"/>
    </row>
    <row r="32039" spans="6:9" x14ac:dyDescent="0.3">
      <c r="F32039"/>
      <c r="G32039"/>
      <c r="H32039"/>
      <c r="I32039"/>
    </row>
    <row r="32040" spans="6:9" x14ac:dyDescent="0.3">
      <c r="F32040"/>
      <c r="G32040"/>
      <c r="H32040"/>
      <c r="I32040"/>
    </row>
    <row r="32041" spans="6:9" x14ac:dyDescent="0.3">
      <c r="F32041"/>
      <c r="G32041"/>
      <c r="H32041"/>
      <c r="I32041"/>
    </row>
    <row r="32042" spans="6:9" x14ac:dyDescent="0.3">
      <c r="F32042"/>
      <c r="G32042"/>
      <c r="H32042"/>
      <c r="I32042"/>
    </row>
    <row r="32043" spans="6:9" x14ac:dyDescent="0.3">
      <c r="F32043"/>
      <c r="G32043"/>
      <c r="H32043"/>
      <c r="I32043"/>
    </row>
    <row r="32044" spans="6:9" x14ac:dyDescent="0.3">
      <c r="F32044"/>
      <c r="G32044"/>
      <c r="H32044"/>
      <c r="I32044"/>
    </row>
    <row r="32045" spans="6:9" x14ac:dyDescent="0.3">
      <c r="F32045"/>
      <c r="G32045"/>
      <c r="H32045"/>
      <c r="I32045"/>
    </row>
    <row r="32046" spans="6:9" x14ac:dyDescent="0.3">
      <c r="F32046"/>
      <c r="G32046"/>
      <c r="H32046"/>
      <c r="I32046"/>
    </row>
    <row r="32047" spans="6:9" x14ac:dyDescent="0.3">
      <c r="F32047"/>
      <c r="G32047"/>
      <c r="H32047"/>
      <c r="I32047"/>
    </row>
    <row r="32048" spans="6:9" x14ac:dyDescent="0.3">
      <c r="F32048"/>
      <c r="G32048"/>
      <c r="H32048"/>
      <c r="I32048"/>
    </row>
    <row r="32049" spans="6:9" x14ac:dyDescent="0.3">
      <c r="F32049"/>
      <c r="G32049"/>
      <c r="H32049"/>
      <c r="I32049"/>
    </row>
    <row r="32050" spans="6:9" x14ac:dyDescent="0.3">
      <c r="F32050"/>
      <c r="G32050"/>
      <c r="H32050"/>
      <c r="I32050"/>
    </row>
    <row r="32051" spans="6:9" x14ac:dyDescent="0.3">
      <c r="F32051"/>
      <c r="G32051"/>
      <c r="H32051"/>
      <c r="I32051"/>
    </row>
    <row r="32052" spans="6:9" x14ac:dyDescent="0.3">
      <c r="F32052"/>
      <c r="G32052"/>
      <c r="H32052"/>
      <c r="I32052"/>
    </row>
    <row r="32053" spans="6:9" x14ac:dyDescent="0.3">
      <c r="F32053"/>
      <c r="G32053"/>
      <c r="H32053"/>
      <c r="I32053"/>
    </row>
    <row r="32054" spans="6:9" x14ac:dyDescent="0.3">
      <c r="F32054"/>
      <c r="G32054"/>
      <c r="H32054"/>
      <c r="I32054"/>
    </row>
    <row r="32055" spans="6:9" x14ac:dyDescent="0.3">
      <c r="F32055"/>
      <c r="G32055"/>
      <c r="H32055"/>
      <c r="I32055"/>
    </row>
    <row r="32056" spans="6:9" x14ac:dyDescent="0.3">
      <c r="F32056"/>
      <c r="G32056"/>
      <c r="H32056"/>
      <c r="I32056"/>
    </row>
    <row r="32057" spans="6:9" x14ac:dyDescent="0.3">
      <c r="F32057"/>
      <c r="G32057"/>
      <c r="H32057"/>
      <c r="I32057"/>
    </row>
    <row r="32058" spans="6:9" x14ac:dyDescent="0.3">
      <c r="F32058"/>
      <c r="G32058"/>
      <c r="H32058"/>
      <c r="I32058"/>
    </row>
    <row r="32059" spans="6:9" x14ac:dyDescent="0.3">
      <c r="F32059"/>
      <c r="G32059"/>
      <c r="H32059"/>
      <c r="I32059"/>
    </row>
    <row r="32060" spans="6:9" x14ac:dyDescent="0.3">
      <c r="F32060"/>
      <c r="G32060"/>
      <c r="H32060"/>
      <c r="I32060"/>
    </row>
    <row r="32061" spans="6:9" x14ac:dyDescent="0.3">
      <c r="F32061"/>
      <c r="G32061"/>
      <c r="H32061"/>
      <c r="I32061"/>
    </row>
    <row r="32062" spans="6:9" x14ac:dyDescent="0.3">
      <c r="F32062"/>
      <c r="G32062"/>
      <c r="H32062"/>
      <c r="I32062"/>
    </row>
    <row r="32063" spans="6:9" x14ac:dyDescent="0.3">
      <c r="F32063"/>
      <c r="G32063"/>
      <c r="H32063"/>
      <c r="I32063"/>
    </row>
    <row r="32064" spans="6:9" x14ac:dyDescent="0.3">
      <c r="F32064"/>
      <c r="G32064"/>
      <c r="H32064"/>
      <c r="I32064"/>
    </row>
    <row r="32065" spans="6:9" x14ac:dyDescent="0.3">
      <c r="F32065"/>
      <c r="G32065"/>
      <c r="H32065"/>
      <c r="I32065"/>
    </row>
    <row r="32066" spans="6:9" x14ac:dyDescent="0.3">
      <c r="F32066"/>
      <c r="G32066"/>
      <c r="H32066"/>
      <c r="I32066"/>
    </row>
    <row r="32067" spans="6:9" x14ac:dyDescent="0.3">
      <c r="F32067"/>
      <c r="G32067"/>
      <c r="H32067"/>
      <c r="I32067"/>
    </row>
    <row r="32068" spans="6:9" x14ac:dyDescent="0.3">
      <c r="F32068"/>
      <c r="G32068"/>
      <c r="H32068"/>
      <c r="I32068"/>
    </row>
    <row r="32069" spans="6:9" x14ac:dyDescent="0.3">
      <c r="F32069"/>
      <c r="G32069"/>
      <c r="H32069"/>
      <c r="I32069"/>
    </row>
    <row r="32070" spans="6:9" x14ac:dyDescent="0.3">
      <c r="F32070"/>
      <c r="G32070"/>
      <c r="H32070"/>
      <c r="I32070"/>
    </row>
    <row r="32071" spans="6:9" x14ac:dyDescent="0.3">
      <c r="F32071"/>
      <c r="G32071"/>
      <c r="H32071"/>
      <c r="I32071"/>
    </row>
    <row r="32072" spans="6:9" x14ac:dyDescent="0.3">
      <c r="F32072"/>
      <c r="G32072"/>
      <c r="H32072"/>
      <c r="I32072"/>
    </row>
    <row r="32073" spans="6:9" x14ac:dyDescent="0.3">
      <c r="F32073"/>
      <c r="G32073"/>
      <c r="H32073"/>
      <c r="I32073"/>
    </row>
    <row r="32074" spans="6:9" x14ac:dyDescent="0.3">
      <c r="F32074"/>
      <c r="G32074"/>
      <c r="H32074"/>
      <c r="I32074"/>
    </row>
    <row r="32075" spans="6:9" x14ac:dyDescent="0.3">
      <c r="F32075"/>
      <c r="G32075"/>
      <c r="H32075"/>
      <c r="I32075"/>
    </row>
    <row r="32076" spans="6:9" x14ac:dyDescent="0.3">
      <c r="F32076"/>
      <c r="G32076"/>
      <c r="H32076"/>
      <c r="I32076"/>
    </row>
    <row r="32077" spans="6:9" x14ac:dyDescent="0.3">
      <c r="F32077"/>
      <c r="G32077"/>
      <c r="H32077"/>
      <c r="I32077"/>
    </row>
    <row r="32078" spans="6:9" x14ac:dyDescent="0.3">
      <c r="F32078"/>
      <c r="G32078"/>
      <c r="H32078"/>
      <c r="I32078"/>
    </row>
    <row r="32079" spans="6:9" x14ac:dyDescent="0.3">
      <c r="F32079"/>
      <c r="G32079"/>
      <c r="H32079"/>
      <c r="I32079"/>
    </row>
    <row r="32080" spans="6:9" x14ac:dyDescent="0.3">
      <c r="F32080"/>
      <c r="G32080"/>
      <c r="H32080"/>
      <c r="I32080"/>
    </row>
    <row r="32081" spans="6:9" x14ac:dyDescent="0.3">
      <c r="F32081"/>
      <c r="G32081"/>
      <c r="H32081"/>
      <c r="I32081"/>
    </row>
    <row r="32082" spans="6:9" x14ac:dyDescent="0.3">
      <c r="F32082"/>
      <c r="G32082"/>
      <c r="H32082"/>
      <c r="I32082"/>
    </row>
    <row r="32083" spans="6:9" x14ac:dyDescent="0.3">
      <c r="F32083"/>
      <c r="G32083"/>
      <c r="H32083"/>
      <c r="I32083"/>
    </row>
    <row r="32084" spans="6:9" x14ac:dyDescent="0.3">
      <c r="F32084"/>
      <c r="G32084"/>
      <c r="H32084"/>
      <c r="I32084"/>
    </row>
    <row r="32085" spans="6:9" x14ac:dyDescent="0.3">
      <c r="F32085"/>
      <c r="G32085"/>
      <c r="H32085"/>
      <c r="I32085"/>
    </row>
    <row r="32086" spans="6:9" x14ac:dyDescent="0.3">
      <c r="F32086"/>
      <c r="G32086"/>
      <c r="H32086"/>
      <c r="I32086"/>
    </row>
    <row r="32087" spans="6:9" x14ac:dyDescent="0.3">
      <c r="F32087"/>
      <c r="G32087"/>
      <c r="H32087"/>
      <c r="I32087"/>
    </row>
    <row r="32088" spans="6:9" x14ac:dyDescent="0.3">
      <c r="F32088"/>
      <c r="G32088"/>
      <c r="H32088"/>
      <c r="I32088"/>
    </row>
    <row r="32089" spans="6:9" x14ac:dyDescent="0.3">
      <c r="F32089"/>
      <c r="G32089"/>
      <c r="H32089"/>
      <c r="I32089"/>
    </row>
    <row r="32090" spans="6:9" x14ac:dyDescent="0.3">
      <c r="F32090"/>
      <c r="G32090"/>
      <c r="H32090"/>
      <c r="I32090"/>
    </row>
    <row r="32091" spans="6:9" x14ac:dyDescent="0.3">
      <c r="F32091"/>
      <c r="G32091"/>
      <c r="H32091"/>
      <c r="I32091"/>
    </row>
    <row r="32092" spans="6:9" x14ac:dyDescent="0.3">
      <c r="F32092"/>
      <c r="G32092"/>
      <c r="H32092"/>
      <c r="I32092"/>
    </row>
    <row r="32093" spans="6:9" x14ac:dyDescent="0.3">
      <c r="F32093"/>
      <c r="G32093"/>
      <c r="H32093"/>
      <c r="I32093"/>
    </row>
    <row r="32094" spans="6:9" x14ac:dyDescent="0.3">
      <c r="F32094"/>
      <c r="G32094"/>
      <c r="H32094"/>
      <c r="I32094"/>
    </row>
    <row r="32095" spans="6:9" x14ac:dyDescent="0.3">
      <c r="F32095"/>
      <c r="G32095"/>
      <c r="H32095"/>
      <c r="I32095"/>
    </row>
    <row r="32096" spans="6:9" x14ac:dyDescent="0.3">
      <c r="F32096"/>
      <c r="G32096"/>
      <c r="H32096"/>
      <c r="I32096"/>
    </row>
    <row r="32097" spans="6:9" x14ac:dyDescent="0.3">
      <c r="F32097"/>
      <c r="G32097"/>
      <c r="H32097"/>
      <c r="I32097"/>
    </row>
    <row r="32098" spans="6:9" x14ac:dyDescent="0.3">
      <c r="F32098"/>
      <c r="G32098"/>
      <c r="H32098"/>
      <c r="I32098"/>
    </row>
    <row r="32099" spans="6:9" x14ac:dyDescent="0.3">
      <c r="F32099"/>
      <c r="G32099"/>
      <c r="H32099"/>
      <c r="I32099"/>
    </row>
    <row r="32100" spans="6:9" x14ac:dyDescent="0.3">
      <c r="F32100"/>
      <c r="G32100"/>
      <c r="H32100"/>
      <c r="I32100"/>
    </row>
    <row r="32101" spans="6:9" x14ac:dyDescent="0.3">
      <c r="F32101"/>
      <c r="G32101"/>
      <c r="H32101"/>
      <c r="I32101"/>
    </row>
    <row r="32102" spans="6:9" x14ac:dyDescent="0.3">
      <c r="F32102"/>
      <c r="G32102"/>
      <c r="H32102"/>
      <c r="I32102"/>
    </row>
    <row r="32103" spans="6:9" x14ac:dyDescent="0.3">
      <c r="F32103"/>
      <c r="G32103"/>
      <c r="H32103"/>
      <c r="I32103"/>
    </row>
    <row r="32104" spans="6:9" x14ac:dyDescent="0.3">
      <c r="F32104"/>
      <c r="G32104"/>
      <c r="H32104"/>
      <c r="I32104"/>
    </row>
    <row r="32105" spans="6:9" x14ac:dyDescent="0.3">
      <c r="F32105"/>
      <c r="G32105"/>
      <c r="H32105"/>
      <c r="I32105"/>
    </row>
    <row r="32106" spans="6:9" x14ac:dyDescent="0.3">
      <c r="F32106"/>
      <c r="G32106"/>
      <c r="H32106"/>
      <c r="I32106"/>
    </row>
    <row r="32107" spans="6:9" x14ac:dyDescent="0.3">
      <c r="F32107"/>
      <c r="G32107"/>
      <c r="H32107"/>
      <c r="I32107"/>
    </row>
    <row r="32108" spans="6:9" x14ac:dyDescent="0.3">
      <c r="F32108"/>
      <c r="G32108"/>
      <c r="H32108"/>
      <c r="I32108"/>
    </row>
    <row r="32109" spans="6:9" x14ac:dyDescent="0.3">
      <c r="F32109"/>
      <c r="G32109"/>
      <c r="H32109"/>
      <c r="I32109"/>
    </row>
    <row r="32110" spans="6:9" x14ac:dyDescent="0.3">
      <c r="F32110"/>
      <c r="G32110"/>
      <c r="H32110"/>
      <c r="I32110"/>
    </row>
    <row r="32111" spans="6:9" x14ac:dyDescent="0.3">
      <c r="F32111"/>
      <c r="G32111"/>
      <c r="H32111"/>
      <c r="I32111"/>
    </row>
    <row r="32112" spans="6:9" x14ac:dyDescent="0.3">
      <c r="F32112"/>
      <c r="G32112"/>
      <c r="H32112"/>
      <c r="I32112"/>
    </row>
    <row r="32113" spans="6:9" x14ac:dyDescent="0.3">
      <c r="F32113"/>
      <c r="G32113"/>
      <c r="H32113"/>
      <c r="I32113"/>
    </row>
    <row r="32114" spans="6:9" x14ac:dyDescent="0.3">
      <c r="F32114"/>
      <c r="G32114"/>
      <c r="H32114"/>
      <c r="I32114"/>
    </row>
    <row r="32115" spans="6:9" x14ac:dyDescent="0.3">
      <c r="F32115"/>
      <c r="G32115"/>
      <c r="H32115"/>
      <c r="I32115"/>
    </row>
    <row r="32116" spans="6:9" x14ac:dyDescent="0.3">
      <c r="F32116"/>
      <c r="G32116"/>
      <c r="H32116"/>
      <c r="I32116"/>
    </row>
    <row r="32117" spans="6:9" x14ac:dyDescent="0.3">
      <c r="F32117"/>
      <c r="G32117"/>
      <c r="H32117"/>
      <c r="I32117"/>
    </row>
    <row r="32118" spans="6:9" x14ac:dyDescent="0.3">
      <c r="F32118"/>
      <c r="G32118"/>
      <c r="H32118"/>
      <c r="I32118"/>
    </row>
    <row r="32119" spans="6:9" x14ac:dyDescent="0.3">
      <c r="F32119"/>
      <c r="G32119"/>
      <c r="H32119"/>
      <c r="I32119"/>
    </row>
    <row r="32120" spans="6:9" x14ac:dyDescent="0.3">
      <c r="F32120"/>
      <c r="G32120"/>
      <c r="H32120"/>
      <c r="I32120"/>
    </row>
    <row r="32121" spans="6:9" x14ac:dyDescent="0.3">
      <c r="F32121"/>
      <c r="G32121"/>
      <c r="H32121"/>
      <c r="I32121"/>
    </row>
    <row r="32122" spans="6:9" x14ac:dyDescent="0.3">
      <c r="F32122"/>
      <c r="G32122"/>
      <c r="H32122"/>
      <c r="I32122"/>
    </row>
    <row r="32123" spans="6:9" x14ac:dyDescent="0.3">
      <c r="F32123"/>
      <c r="G32123"/>
      <c r="H32123"/>
      <c r="I32123"/>
    </row>
    <row r="32124" spans="6:9" x14ac:dyDescent="0.3">
      <c r="F32124"/>
      <c r="G32124"/>
      <c r="H32124"/>
      <c r="I32124"/>
    </row>
    <row r="32125" spans="6:9" x14ac:dyDescent="0.3">
      <c r="F32125"/>
      <c r="G32125"/>
      <c r="H32125"/>
      <c r="I32125"/>
    </row>
    <row r="32126" spans="6:9" x14ac:dyDescent="0.3">
      <c r="F32126"/>
      <c r="G32126"/>
      <c r="H32126"/>
      <c r="I32126"/>
    </row>
    <row r="32127" spans="6:9" x14ac:dyDescent="0.3">
      <c r="F32127"/>
      <c r="G32127"/>
      <c r="H32127"/>
      <c r="I32127"/>
    </row>
    <row r="32128" spans="6:9" x14ac:dyDescent="0.3">
      <c r="F32128"/>
      <c r="G32128"/>
      <c r="H32128"/>
      <c r="I32128"/>
    </row>
    <row r="32129" spans="6:9" x14ac:dyDescent="0.3">
      <c r="F32129"/>
      <c r="G32129"/>
      <c r="H32129"/>
      <c r="I32129"/>
    </row>
    <row r="32130" spans="6:9" x14ac:dyDescent="0.3">
      <c r="F32130"/>
      <c r="G32130"/>
      <c r="H32130"/>
      <c r="I32130"/>
    </row>
    <row r="32131" spans="6:9" x14ac:dyDescent="0.3">
      <c r="F32131"/>
      <c r="G32131"/>
      <c r="H32131"/>
      <c r="I32131"/>
    </row>
    <row r="32132" spans="6:9" x14ac:dyDescent="0.3">
      <c r="F32132"/>
      <c r="G32132"/>
      <c r="H32132"/>
      <c r="I32132"/>
    </row>
    <row r="32133" spans="6:9" x14ac:dyDescent="0.3">
      <c r="F32133"/>
      <c r="G32133"/>
      <c r="H32133"/>
      <c r="I32133"/>
    </row>
    <row r="32134" spans="6:9" x14ac:dyDescent="0.3">
      <c r="F32134"/>
      <c r="G32134"/>
      <c r="H32134"/>
      <c r="I32134"/>
    </row>
    <row r="32135" spans="6:9" x14ac:dyDescent="0.3">
      <c r="F32135"/>
      <c r="G32135"/>
      <c r="H32135"/>
      <c r="I32135"/>
    </row>
    <row r="32136" spans="6:9" x14ac:dyDescent="0.3">
      <c r="F32136"/>
      <c r="G32136"/>
      <c r="H32136"/>
      <c r="I32136"/>
    </row>
    <row r="32137" spans="6:9" x14ac:dyDescent="0.3">
      <c r="F32137"/>
      <c r="G32137"/>
      <c r="H32137"/>
      <c r="I32137"/>
    </row>
    <row r="32138" spans="6:9" x14ac:dyDescent="0.3">
      <c r="F32138"/>
      <c r="G32138"/>
      <c r="H32138"/>
      <c r="I32138"/>
    </row>
    <row r="32139" spans="6:9" x14ac:dyDescent="0.3">
      <c r="F32139"/>
      <c r="G32139"/>
      <c r="H32139"/>
      <c r="I32139"/>
    </row>
    <row r="32140" spans="6:9" x14ac:dyDescent="0.3">
      <c r="F32140"/>
      <c r="G32140"/>
      <c r="H32140"/>
      <c r="I32140"/>
    </row>
    <row r="32141" spans="6:9" x14ac:dyDescent="0.3">
      <c r="F32141"/>
      <c r="G32141"/>
      <c r="H32141"/>
      <c r="I32141"/>
    </row>
    <row r="32142" spans="6:9" x14ac:dyDescent="0.3">
      <c r="F32142"/>
      <c r="G32142"/>
      <c r="H32142"/>
      <c r="I32142"/>
    </row>
    <row r="32143" spans="6:9" x14ac:dyDescent="0.3">
      <c r="F32143"/>
      <c r="G32143"/>
      <c r="H32143"/>
      <c r="I32143"/>
    </row>
    <row r="32144" spans="6:9" x14ac:dyDescent="0.3">
      <c r="F32144"/>
      <c r="G32144"/>
      <c r="H32144"/>
      <c r="I32144"/>
    </row>
    <row r="32145" spans="6:9" x14ac:dyDescent="0.3">
      <c r="F32145"/>
      <c r="G32145"/>
      <c r="H32145"/>
      <c r="I32145"/>
    </row>
    <row r="32146" spans="6:9" x14ac:dyDescent="0.3">
      <c r="F32146"/>
      <c r="G32146"/>
      <c r="H32146"/>
      <c r="I32146"/>
    </row>
    <row r="32147" spans="6:9" x14ac:dyDescent="0.3">
      <c r="F32147"/>
      <c r="G32147"/>
      <c r="H32147"/>
      <c r="I32147"/>
    </row>
    <row r="32148" spans="6:9" x14ac:dyDescent="0.3">
      <c r="F32148"/>
      <c r="G32148"/>
      <c r="H32148"/>
      <c r="I32148"/>
    </row>
    <row r="32149" spans="6:9" x14ac:dyDescent="0.3">
      <c r="F32149"/>
      <c r="G32149"/>
      <c r="H32149"/>
      <c r="I32149"/>
    </row>
    <row r="32150" spans="6:9" x14ac:dyDescent="0.3">
      <c r="F32150"/>
      <c r="G32150"/>
      <c r="H32150"/>
      <c r="I32150"/>
    </row>
    <row r="32151" spans="6:9" x14ac:dyDescent="0.3">
      <c r="F32151"/>
      <c r="G32151"/>
      <c r="H32151"/>
      <c r="I32151"/>
    </row>
    <row r="32152" spans="6:9" x14ac:dyDescent="0.3">
      <c r="F32152"/>
      <c r="G32152"/>
      <c r="H32152"/>
      <c r="I32152"/>
    </row>
    <row r="32153" spans="6:9" x14ac:dyDescent="0.3">
      <c r="F32153"/>
      <c r="G32153"/>
      <c r="H32153"/>
      <c r="I32153"/>
    </row>
    <row r="32154" spans="6:9" x14ac:dyDescent="0.3">
      <c r="F32154"/>
      <c r="G32154"/>
      <c r="H32154"/>
      <c r="I32154"/>
    </row>
    <row r="32155" spans="6:9" x14ac:dyDescent="0.3">
      <c r="F32155"/>
      <c r="G32155"/>
      <c r="H32155"/>
      <c r="I32155"/>
    </row>
    <row r="32156" spans="6:9" x14ac:dyDescent="0.3">
      <c r="F32156"/>
      <c r="G32156"/>
      <c r="H32156"/>
      <c r="I32156"/>
    </row>
    <row r="32157" spans="6:9" x14ac:dyDescent="0.3">
      <c r="F32157"/>
      <c r="G32157"/>
      <c r="H32157"/>
      <c r="I32157"/>
    </row>
    <row r="32158" spans="6:9" x14ac:dyDescent="0.3">
      <c r="F32158"/>
      <c r="G32158"/>
      <c r="H32158"/>
      <c r="I32158"/>
    </row>
    <row r="32159" spans="6:9" x14ac:dyDescent="0.3">
      <c r="F32159"/>
      <c r="G32159"/>
      <c r="H32159"/>
      <c r="I32159"/>
    </row>
    <row r="32160" spans="6:9" x14ac:dyDescent="0.3">
      <c r="F32160"/>
      <c r="G32160"/>
      <c r="H32160"/>
      <c r="I32160"/>
    </row>
    <row r="32161" spans="6:9" x14ac:dyDescent="0.3">
      <c r="F32161"/>
      <c r="G32161"/>
      <c r="H32161"/>
      <c r="I32161"/>
    </row>
    <row r="32162" spans="6:9" x14ac:dyDescent="0.3">
      <c r="F32162"/>
      <c r="G32162"/>
      <c r="H32162"/>
      <c r="I32162"/>
    </row>
    <row r="32163" spans="6:9" x14ac:dyDescent="0.3">
      <c r="F32163"/>
      <c r="G32163"/>
      <c r="H32163"/>
      <c r="I32163"/>
    </row>
    <row r="32164" spans="6:9" x14ac:dyDescent="0.3">
      <c r="F32164"/>
      <c r="G32164"/>
      <c r="H32164"/>
      <c r="I32164"/>
    </row>
    <row r="32165" spans="6:9" x14ac:dyDescent="0.3">
      <c r="F32165"/>
      <c r="G32165"/>
      <c r="H32165"/>
      <c r="I32165"/>
    </row>
    <row r="32166" spans="6:9" x14ac:dyDescent="0.3">
      <c r="F32166"/>
      <c r="G32166"/>
      <c r="H32166"/>
      <c r="I32166"/>
    </row>
    <row r="32167" spans="6:9" x14ac:dyDescent="0.3">
      <c r="F32167"/>
      <c r="G32167"/>
      <c r="H32167"/>
      <c r="I32167"/>
    </row>
    <row r="32168" spans="6:9" x14ac:dyDescent="0.3">
      <c r="F32168"/>
      <c r="G32168"/>
      <c r="H32168"/>
      <c r="I32168"/>
    </row>
    <row r="32169" spans="6:9" x14ac:dyDescent="0.3">
      <c r="F32169"/>
      <c r="G32169"/>
      <c r="H32169"/>
      <c r="I32169"/>
    </row>
    <row r="32170" spans="6:9" x14ac:dyDescent="0.3">
      <c r="F32170"/>
      <c r="G32170"/>
      <c r="H32170"/>
      <c r="I32170"/>
    </row>
    <row r="32171" spans="6:9" x14ac:dyDescent="0.3">
      <c r="F32171"/>
      <c r="G32171"/>
      <c r="H32171"/>
      <c r="I32171"/>
    </row>
    <row r="32172" spans="6:9" x14ac:dyDescent="0.3">
      <c r="F32172"/>
      <c r="G32172"/>
      <c r="H32172"/>
      <c r="I32172"/>
    </row>
    <row r="32173" spans="6:9" x14ac:dyDescent="0.3">
      <c r="F32173"/>
      <c r="G32173"/>
      <c r="H32173"/>
      <c r="I32173"/>
    </row>
    <row r="32174" spans="6:9" x14ac:dyDescent="0.3">
      <c r="F32174"/>
      <c r="G32174"/>
      <c r="H32174"/>
      <c r="I32174"/>
    </row>
    <row r="32175" spans="6:9" x14ac:dyDescent="0.3">
      <c r="F32175"/>
      <c r="G32175"/>
      <c r="H32175"/>
      <c r="I32175"/>
    </row>
    <row r="32176" spans="6:9" x14ac:dyDescent="0.3">
      <c r="F32176"/>
      <c r="G32176"/>
      <c r="H32176"/>
      <c r="I32176"/>
    </row>
    <row r="32177" spans="6:9" x14ac:dyDescent="0.3">
      <c r="F32177"/>
      <c r="G32177"/>
      <c r="H32177"/>
      <c r="I32177"/>
    </row>
    <row r="32178" spans="6:9" x14ac:dyDescent="0.3">
      <c r="F32178"/>
      <c r="G32178"/>
      <c r="H32178"/>
      <c r="I32178"/>
    </row>
    <row r="32179" spans="6:9" x14ac:dyDescent="0.3">
      <c r="F32179"/>
      <c r="G32179"/>
      <c r="H32179"/>
      <c r="I32179"/>
    </row>
    <row r="32180" spans="6:9" x14ac:dyDescent="0.3">
      <c r="F32180"/>
      <c r="G32180"/>
      <c r="H32180"/>
      <c r="I32180"/>
    </row>
    <row r="32181" spans="6:9" x14ac:dyDescent="0.3">
      <c r="F32181"/>
      <c r="G32181"/>
      <c r="H32181"/>
      <c r="I32181"/>
    </row>
    <row r="32182" spans="6:9" x14ac:dyDescent="0.3">
      <c r="F32182"/>
      <c r="G32182"/>
      <c r="H32182"/>
      <c r="I32182"/>
    </row>
    <row r="32183" spans="6:9" x14ac:dyDescent="0.3">
      <c r="F32183"/>
      <c r="G32183"/>
      <c r="H32183"/>
      <c r="I32183"/>
    </row>
    <row r="32184" spans="6:9" x14ac:dyDescent="0.3">
      <c r="F32184"/>
      <c r="G32184"/>
      <c r="H32184"/>
      <c r="I32184"/>
    </row>
    <row r="32185" spans="6:9" x14ac:dyDescent="0.3">
      <c r="F32185"/>
      <c r="G32185"/>
      <c r="H32185"/>
      <c r="I32185"/>
    </row>
    <row r="32186" spans="6:9" x14ac:dyDescent="0.3">
      <c r="F32186"/>
      <c r="G32186"/>
      <c r="H32186"/>
      <c r="I32186"/>
    </row>
    <row r="32187" spans="6:9" x14ac:dyDescent="0.3">
      <c r="F32187"/>
      <c r="G32187"/>
      <c r="H32187"/>
      <c r="I32187"/>
    </row>
    <row r="32188" spans="6:9" x14ac:dyDescent="0.3">
      <c r="F32188"/>
      <c r="G32188"/>
      <c r="H32188"/>
      <c r="I32188"/>
    </row>
    <row r="32189" spans="6:9" x14ac:dyDescent="0.3">
      <c r="F32189"/>
      <c r="G32189"/>
      <c r="H32189"/>
      <c r="I32189"/>
    </row>
    <row r="32190" spans="6:9" x14ac:dyDescent="0.3">
      <c r="F32190"/>
      <c r="G32190"/>
      <c r="H32190"/>
      <c r="I32190"/>
    </row>
    <row r="32191" spans="6:9" x14ac:dyDescent="0.3">
      <c r="F32191"/>
      <c r="G32191"/>
      <c r="H32191"/>
      <c r="I32191"/>
    </row>
    <row r="32192" spans="6:9" x14ac:dyDescent="0.3">
      <c r="F32192"/>
      <c r="G32192"/>
      <c r="H32192"/>
      <c r="I32192"/>
    </row>
    <row r="32193" spans="6:9" x14ac:dyDescent="0.3">
      <c r="F32193"/>
      <c r="G32193"/>
      <c r="H32193"/>
      <c r="I32193"/>
    </row>
    <row r="32194" spans="6:9" x14ac:dyDescent="0.3">
      <c r="F32194"/>
      <c r="G32194"/>
      <c r="H32194"/>
      <c r="I32194"/>
    </row>
    <row r="32195" spans="6:9" x14ac:dyDescent="0.3">
      <c r="F32195"/>
      <c r="G32195"/>
      <c r="H32195"/>
      <c r="I32195"/>
    </row>
    <row r="32196" spans="6:9" x14ac:dyDescent="0.3">
      <c r="F32196"/>
      <c r="G32196"/>
      <c r="H32196"/>
      <c r="I32196"/>
    </row>
    <row r="32197" spans="6:9" x14ac:dyDescent="0.3">
      <c r="F32197"/>
      <c r="G32197"/>
      <c r="H32197"/>
      <c r="I32197"/>
    </row>
    <row r="32198" spans="6:9" x14ac:dyDescent="0.3">
      <c r="F32198"/>
      <c r="G32198"/>
      <c r="H32198"/>
      <c r="I32198"/>
    </row>
    <row r="32199" spans="6:9" x14ac:dyDescent="0.3">
      <c r="F32199"/>
      <c r="G32199"/>
      <c r="H32199"/>
      <c r="I32199"/>
    </row>
    <row r="32200" spans="6:9" x14ac:dyDescent="0.3">
      <c r="F32200"/>
      <c r="G32200"/>
      <c r="H32200"/>
      <c r="I32200"/>
    </row>
    <row r="32201" spans="6:9" x14ac:dyDescent="0.3">
      <c r="F32201"/>
      <c r="G32201"/>
      <c r="H32201"/>
      <c r="I32201"/>
    </row>
    <row r="32202" spans="6:9" x14ac:dyDescent="0.3">
      <c r="F32202"/>
      <c r="G32202"/>
      <c r="H32202"/>
      <c r="I32202"/>
    </row>
    <row r="32203" spans="6:9" x14ac:dyDescent="0.3">
      <c r="F32203"/>
      <c r="G32203"/>
      <c r="H32203"/>
      <c r="I32203"/>
    </row>
    <row r="32204" spans="6:9" x14ac:dyDescent="0.3">
      <c r="F32204"/>
      <c r="G32204"/>
      <c r="H32204"/>
      <c r="I32204"/>
    </row>
    <row r="32205" spans="6:9" x14ac:dyDescent="0.3">
      <c r="F32205"/>
      <c r="G32205"/>
      <c r="H32205"/>
      <c r="I32205"/>
    </row>
    <row r="32206" spans="6:9" x14ac:dyDescent="0.3">
      <c r="F32206"/>
      <c r="G32206"/>
      <c r="H32206"/>
      <c r="I32206"/>
    </row>
    <row r="32207" spans="6:9" x14ac:dyDescent="0.3">
      <c r="F32207"/>
      <c r="G32207"/>
      <c r="H32207"/>
      <c r="I32207"/>
    </row>
    <row r="32208" spans="6:9" x14ac:dyDescent="0.3">
      <c r="F32208"/>
      <c r="G32208"/>
      <c r="H32208"/>
      <c r="I32208"/>
    </row>
    <row r="32209" spans="6:9" x14ac:dyDescent="0.3">
      <c r="F32209"/>
      <c r="G32209"/>
      <c r="H32209"/>
      <c r="I32209"/>
    </row>
    <row r="32210" spans="6:9" x14ac:dyDescent="0.3">
      <c r="F32210"/>
      <c r="G32210"/>
      <c r="H32210"/>
      <c r="I32210"/>
    </row>
    <row r="32211" spans="6:9" x14ac:dyDescent="0.3">
      <c r="F32211"/>
      <c r="G32211"/>
      <c r="H32211"/>
      <c r="I32211"/>
    </row>
    <row r="32212" spans="6:9" x14ac:dyDescent="0.3">
      <c r="F32212"/>
      <c r="G32212"/>
      <c r="H32212"/>
      <c r="I32212"/>
    </row>
    <row r="32213" spans="6:9" x14ac:dyDescent="0.3">
      <c r="F32213"/>
      <c r="G32213"/>
      <c r="H32213"/>
      <c r="I32213"/>
    </row>
    <row r="32214" spans="6:9" x14ac:dyDescent="0.3">
      <c r="F32214"/>
      <c r="G32214"/>
      <c r="H32214"/>
      <c r="I32214"/>
    </row>
    <row r="32215" spans="6:9" x14ac:dyDescent="0.3">
      <c r="F32215"/>
      <c r="G32215"/>
      <c r="H32215"/>
      <c r="I32215"/>
    </row>
    <row r="32216" spans="6:9" x14ac:dyDescent="0.3">
      <c r="F32216"/>
      <c r="G32216"/>
      <c r="H32216"/>
      <c r="I32216"/>
    </row>
    <row r="32217" spans="6:9" x14ac:dyDescent="0.3">
      <c r="F32217"/>
      <c r="G32217"/>
      <c r="H32217"/>
      <c r="I32217"/>
    </row>
    <row r="32218" spans="6:9" x14ac:dyDescent="0.3">
      <c r="F32218"/>
      <c r="G32218"/>
      <c r="H32218"/>
      <c r="I32218"/>
    </row>
    <row r="32219" spans="6:9" x14ac:dyDescent="0.3">
      <c r="F32219"/>
      <c r="G32219"/>
      <c r="H32219"/>
      <c r="I32219"/>
    </row>
    <row r="32220" spans="6:9" x14ac:dyDescent="0.3">
      <c r="F32220"/>
      <c r="G32220"/>
      <c r="H32220"/>
      <c r="I32220"/>
    </row>
    <row r="32221" spans="6:9" x14ac:dyDescent="0.3">
      <c r="F32221"/>
      <c r="G32221"/>
      <c r="H32221"/>
      <c r="I32221"/>
    </row>
    <row r="32222" spans="6:9" x14ac:dyDescent="0.3">
      <c r="F32222"/>
      <c r="G32222"/>
      <c r="H32222"/>
      <c r="I32222"/>
    </row>
    <row r="32223" spans="6:9" x14ac:dyDescent="0.3">
      <c r="F32223"/>
      <c r="G32223"/>
      <c r="H32223"/>
      <c r="I32223"/>
    </row>
    <row r="32224" spans="6:9" x14ac:dyDescent="0.3">
      <c r="F32224"/>
      <c r="G32224"/>
      <c r="H32224"/>
      <c r="I32224"/>
    </row>
    <row r="32225" spans="6:9" x14ac:dyDescent="0.3">
      <c r="F32225"/>
      <c r="G32225"/>
      <c r="H32225"/>
      <c r="I32225"/>
    </row>
    <row r="32226" spans="6:9" x14ac:dyDescent="0.3">
      <c r="F32226"/>
      <c r="G32226"/>
      <c r="H32226"/>
      <c r="I32226"/>
    </row>
    <row r="32227" spans="6:9" x14ac:dyDescent="0.3">
      <c r="F32227"/>
      <c r="G32227"/>
      <c r="H32227"/>
      <c r="I32227"/>
    </row>
    <row r="32228" spans="6:9" x14ac:dyDescent="0.3">
      <c r="F32228"/>
      <c r="G32228"/>
      <c r="H32228"/>
      <c r="I32228"/>
    </row>
    <row r="32229" spans="6:9" x14ac:dyDescent="0.3">
      <c r="F32229"/>
      <c r="G32229"/>
      <c r="H32229"/>
      <c r="I32229"/>
    </row>
    <row r="32230" spans="6:9" x14ac:dyDescent="0.3">
      <c r="F32230"/>
      <c r="G32230"/>
      <c r="H32230"/>
      <c r="I32230"/>
    </row>
    <row r="32231" spans="6:9" x14ac:dyDescent="0.3">
      <c r="F32231"/>
      <c r="G32231"/>
      <c r="H32231"/>
      <c r="I32231"/>
    </row>
    <row r="32232" spans="6:9" x14ac:dyDescent="0.3">
      <c r="F32232"/>
      <c r="G32232"/>
      <c r="H32232"/>
      <c r="I32232"/>
    </row>
    <row r="32233" spans="6:9" x14ac:dyDescent="0.3">
      <c r="F32233"/>
      <c r="G32233"/>
      <c r="H32233"/>
      <c r="I32233"/>
    </row>
    <row r="32234" spans="6:9" x14ac:dyDescent="0.3">
      <c r="F32234"/>
      <c r="G32234"/>
      <c r="H32234"/>
      <c r="I32234"/>
    </row>
    <row r="32235" spans="6:9" x14ac:dyDescent="0.3">
      <c r="F32235"/>
      <c r="G32235"/>
      <c r="H32235"/>
      <c r="I32235"/>
    </row>
    <row r="32236" spans="6:9" x14ac:dyDescent="0.3">
      <c r="F32236"/>
      <c r="G32236"/>
      <c r="H32236"/>
      <c r="I32236"/>
    </row>
    <row r="32237" spans="6:9" x14ac:dyDescent="0.3">
      <c r="F32237"/>
      <c r="G32237"/>
      <c r="H32237"/>
      <c r="I32237"/>
    </row>
    <row r="32238" spans="6:9" x14ac:dyDescent="0.3">
      <c r="F32238"/>
      <c r="G32238"/>
      <c r="H32238"/>
      <c r="I32238"/>
    </row>
    <row r="32239" spans="6:9" x14ac:dyDescent="0.3">
      <c r="F32239"/>
      <c r="G32239"/>
      <c r="H32239"/>
      <c r="I32239"/>
    </row>
    <row r="32240" spans="6:9" x14ac:dyDescent="0.3">
      <c r="F32240"/>
      <c r="G32240"/>
      <c r="H32240"/>
      <c r="I32240"/>
    </row>
    <row r="32241" spans="6:9" x14ac:dyDescent="0.3">
      <c r="F32241"/>
      <c r="G32241"/>
      <c r="H32241"/>
      <c r="I32241"/>
    </row>
    <row r="32242" spans="6:9" x14ac:dyDescent="0.3">
      <c r="F32242"/>
      <c r="G32242"/>
      <c r="H32242"/>
      <c r="I32242"/>
    </row>
    <row r="32243" spans="6:9" x14ac:dyDescent="0.3">
      <c r="F32243"/>
      <c r="G32243"/>
      <c r="H32243"/>
      <c r="I32243"/>
    </row>
    <row r="32244" spans="6:9" x14ac:dyDescent="0.3">
      <c r="F32244"/>
      <c r="G32244"/>
      <c r="H32244"/>
      <c r="I32244"/>
    </row>
    <row r="32245" spans="6:9" x14ac:dyDescent="0.3">
      <c r="F32245"/>
      <c r="G32245"/>
      <c r="H32245"/>
      <c r="I32245"/>
    </row>
    <row r="32246" spans="6:9" x14ac:dyDescent="0.3">
      <c r="F32246"/>
      <c r="G32246"/>
      <c r="H32246"/>
      <c r="I32246"/>
    </row>
    <row r="32247" spans="6:9" x14ac:dyDescent="0.3">
      <c r="F32247"/>
      <c r="G32247"/>
      <c r="H32247"/>
      <c r="I32247"/>
    </row>
    <row r="32248" spans="6:9" x14ac:dyDescent="0.3">
      <c r="F32248"/>
      <c r="G32248"/>
      <c r="H32248"/>
      <c r="I32248"/>
    </row>
    <row r="32249" spans="6:9" x14ac:dyDescent="0.3">
      <c r="F32249"/>
      <c r="G32249"/>
      <c r="H32249"/>
      <c r="I32249"/>
    </row>
    <row r="32250" spans="6:9" x14ac:dyDescent="0.3">
      <c r="F32250"/>
      <c r="G32250"/>
      <c r="H32250"/>
      <c r="I32250"/>
    </row>
    <row r="32251" spans="6:9" x14ac:dyDescent="0.3">
      <c r="F32251"/>
      <c r="G32251"/>
      <c r="H32251"/>
      <c r="I32251"/>
    </row>
    <row r="32252" spans="6:9" x14ac:dyDescent="0.3">
      <c r="F32252"/>
      <c r="G32252"/>
      <c r="H32252"/>
      <c r="I32252"/>
    </row>
    <row r="32253" spans="6:9" x14ac:dyDescent="0.3">
      <c r="F32253"/>
      <c r="G32253"/>
      <c r="H32253"/>
      <c r="I32253"/>
    </row>
    <row r="32254" spans="6:9" x14ac:dyDescent="0.3">
      <c r="F32254"/>
      <c r="G32254"/>
      <c r="H32254"/>
      <c r="I32254"/>
    </row>
    <row r="32255" spans="6:9" x14ac:dyDescent="0.3">
      <c r="F32255"/>
      <c r="G32255"/>
      <c r="H32255"/>
      <c r="I32255"/>
    </row>
    <row r="32256" spans="6:9" x14ac:dyDescent="0.3">
      <c r="F32256"/>
      <c r="G32256"/>
      <c r="H32256"/>
      <c r="I32256"/>
    </row>
    <row r="32257" spans="6:9" x14ac:dyDescent="0.3">
      <c r="F32257"/>
      <c r="G32257"/>
      <c r="H32257"/>
      <c r="I32257"/>
    </row>
    <row r="32258" spans="6:9" x14ac:dyDescent="0.3">
      <c r="F32258"/>
      <c r="G32258"/>
      <c r="H32258"/>
      <c r="I32258"/>
    </row>
    <row r="32259" spans="6:9" x14ac:dyDescent="0.3">
      <c r="F32259"/>
      <c r="G32259"/>
      <c r="H32259"/>
      <c r="I32259"/>
    </row>
    <row r="32260" spans="6:9" x14ac:dyDescent="0.3">
      <c r="F32260"/>
      <c r="G32260"/>
      <c r="H32260"/>
      <c r="I32260"/>
    </row>
    <row r="32261" spans="6:9" x14ac:dyDescent="0.3">
      <c r="F32261"/>
      <c r="G32261"/>
      <c r="H32261"/>
      <c r="I32261"/>
    </row>
    <row r="32262" spans="6:9" x14ac:dyDescent="0.3">
      <c r="F32262"/>
      <c r="G32262"/>
      <c r="H32262"/>
      <c r="I32262"/>
    </row>
    <row r="32263" spans="6:9" x14ac:dyDescent="0.3">
      <c r="F32263"/>
      <c r="G32263"/>
      <c r="H32263"/>
      <c r="I32263"/>
    </row>
    <row r="32264" spans="6:9" x14ac:dyDescent="0.3">
      <c r="F32264"/>
      <c r="G32264"/>
      <c r="H32264"/>
      <c r="I32264"/>
    </row>
    <row r="32265" spans="6:9" x14ac:dyDescent="0.3">
      <c r="F32265"/>
      <c r="G32265"/>
      <c r="H32265"/>
      <c r="I32265"/>
    </row>
    <row r="32266" spans="6:9" x14ac:dyDescent="0.3">
      <c r="F32266"/>
      <c r="G32266"/>
      <c r="H32266"/>
      <c r="I32266"/>
    </row>
    <row r="32267" spans="6:9" x14ac:dyDescent="0.3">
      <c r="F32267"/>
      <c r="G32267"/>
      <c r="H32267"/>
      <c r="I32267"/>
    </row>
    <row r="32268" spans="6:9" x14ac:dyDescent="0.3">
      <c r="F32268"/>
      <c r="G32268"/>
      <c r="H32268"/>
      <c r="I32268"/>
    </row>
    <row r="32269" spans="6:9" x14ac:dyDescent="0.3">
      <c r="F32269"/>
      <c r="G32269"/>
      <c r="H32269"/>
      <c r="I32269"/>
    </row>
    <row r="32270" spans="6:9" x14ac:dyDescent="0.3">
      <c r="F32270"/>
      <c r="G32270"/>
      <c r="H32270"/>
      <c r="I32270"/>
    </row>
    <row r="32271" spans="6:9" x14ac:dyDescent="0.3">
      <c r="F32271"/>
      <c r="G32271"/>
      <c r="H32271"/>
      <c r="I32271"/>
    </row>
    <row r="32272" spans="6:9" x14ac:dyDescent="0.3">
      <c r="F32272"/>
      <c r="G32272"/>
      <c r="H32272"/>
      <c r="I32272"/>
    </row>
    <row r="32273" spans="6:9" x14ac:dyDescent="0.3">
      <c r="F32273"/>
      <c r="G32273"/>
      <c r="H32273"/>
      <c r="I32273"/>
    </row>
    <row r="32274" spans="6:9" x14ac:dyDescent="0.3">
      <c r="F32274"/>
      <c r="G32274"/>
      <c r="H32274"/>
      <c r="I32274"/>
    </row>
    <row r="32275" spans="6:9" x14ac:dyDescent="0.3">
      <c r="F32275"/>
      <c r="G32275"/>
      <c r="H32275"/>
      <c r="I32275"/>
    </row>
    <row r="32276" spans="6:9" x14ac:dyDescent="0.3">
      <c r="F32276"/>
      <c r="G32276"/>
      <c r="H32276"/>
      <c r="I32276"/>
    </row>
    <row r="32277" spans="6:9" x14ac:dyDescent="0.3">
      <c r="F32277"/>
      <c r="G32277"/>
      <c r="H32277"/>
      <c r="I32277"/>
    </row>
    <row r="32278" spans="6:9" x14ac:dyDescent="0.3">
      <c r="F32278"/>
      <c r="G32278"/>
      <c r="H32278"/>
      <c r="I32278"/>
    </row>
    <row r="32279" spans="6:9" x14ac:dyDescent="0.3">
      <c r="F32279"/>
      <c r="G32279"/>
      <c r="H32279"/>
      <c r="I32279"/>
    </row>
    <row r="32280" spans="6:9" x14ac:dyDescent="0.3">
      <c r="F32280"/>
      <c r="G32280"/>
      <c r="H32280"/>
      <c r="I32280"/>
    </row>
    <row r="32281" spans="6:9" x14ac:dyDescent="0.3">
      <c r="F32281"/>
      <c r="G32281"/>
      <c r="H32281"/>
      <c r="I32281"/>
    </row>
    <row r="32282" spans="6:9" x14ac:dyDescent="0.3">
      <c r="F32282"/>
      <c r="G32282"/>
      <c r="H32282"/>
      <c r="I32282"/>
    </row>
    <row r="32283" spans="6:9" x14ac:dyDescent="0.3">
      <c r="F32283"/>
      <c r="G32283"/>
      <c r="H32283"/>
      <c r="I32283"/>
    </row>
    <row r="32284" spans="6:9" x14ac:dyDescent="0.3">
      <c r="F32284"/>
      <c r="G32284"/>
      <c r="H32284"/>
      <c r="I32284"/>
    </row>
    <row r="32285" spans="6:9" x14ac:dyDescent="0.3">
      <c r="F32285"/>
      <c r="G32285"/>
      <c r="H32285"/>
      <c r="I32285"/>
    </row>
    <row r="32286" spans="6:9" x14ac:dyDescent="0.3">
      <c r="F32286"/>
      <c r="G32286"/>
      <c r="H32286"/>
      <c r="I32286"/>
    </row>
    <row r="32287" spans="6:9" x14ac:dyDescent="0.3">
      <c r="F32287"/>
      <c r="G32287"/>
      <c r="H32287"/>
      <c r="I32287"/>
    </row>
    <row r="32288" spans="6:9" x14ac:dyDescent="0.3">
      <c r="F32288"/>
      <c r="G32288"/>
      <c r="H32288"/>
      <c r="I32288"/>
    </row>
    <row r="32289" spans="6:9" x14ac:dyDescent="0.3">
      <c r="F32289"/>
      <c r="G32289"/>
      <c r="H32289"/>
      <c r="I32289"/>
    </row>
    <row r="32290" spans="6:9" x14ac:dyDescent="0.3">
      <c r="F32290"/>
      <c r="G32290"/>
      <c r="H32290"/>
      <c r="I32290"/>
    </row>
    <row r="32291" spans="6:9" x14ac:dyDescent="0.3">
      <c r="F32291"/>
      <c r="G32291"/>
      <c r="H32291"/>
      <c r="I32291"/>
    </row>
    <row r="32292" spans="6:9" x14ac:dyDescent="0.3">
      <c r="F32292"/>
      <c r="G32292"/>
      <c r="H32292"/>
      <c r="I32292"/>
    </row>
    <row r="32293" spans="6:9" x14ac:dyDescent="0.3">
      <c r="F32293"/>
      <c r="G32293"/>
      <c r="H32293"/>
      <c r="I32293"/>
    </row>
    <row r="32294" spans="6:9" x14ac:dyDescent="0.3">
      <c r="F32294"/>
      <c r="G32294"/>
      <c r="H32294"/>
      <c r="I32294"/>
    </row>
    <row r="32295" spans="6:9" x14ac:dyDescent="0.3">
      <c r="F32295"/>
      <c r="G32295"/>
      <c r="H32295"/>
      <c r="I32295"/>
    </row>
    <row r="32296" spans="6:9" x14ac:dyDescent="0.3">
      <c r="F32296"/>
      <c r="G32296"/>
      <c r="H32296"/>
      <c r="I32296"/>
    </row>
    <row r="32297" spans="6:9" x14ac:dyDescent="0.3">
      <c r="F32297"/>
      <c r="G32297"/>
      <c r="H32297"/>
      <c r="I32297"/>
    </row>
    <row r="32298" spans="6:9" x14ac:dyDescent="0.3">
      <c r="F32298"/>
      <c r="G32298"/>
      <c r="H32298"/>
      <c r="I32298"/>
    </row>
    <row r="32299" spans="6:9" x14ac:dyDescent="0.3">
      <c r="F32299"/>
      <c r="G32299"/>
      <c r="H32299"/>
      <c r="I32299"/>
    </row>
    <row r="32300" spans="6:9" x14ac:dyDescent="0.3">
      <c r="F32300"/>
      <c r="G32300"/>
      <c r="H32300"/>
      <c r="I32300"/>
    </row>
    <row r="32301" spans="6:9" x14ac:dyDescent="0.3">
      <c r="F32301"/>
      <c r="G32301"/>
      <c r="H32301"/>
      <c r="I32301"/>
    </row>
    <row r="32302" spans="6:9" x14ac:dyDescent="0.3">
      <c r="F32302"/>
      <c r="G32302"/>
      <c r="H32302"/>
      <c r="I32302"/>
    </row>
    <row r="32303" spans="6:9" x14ac:dyDescent="0.3">
      <c r="F32303"/>
      <c r="G32303"/>
      <c r="H32303"/>
      <c r="I32303"/>
    </row>
    <row r="32304" spans="6:9" x14ac:dyDescent="0.3">
      <c r="F32304"/>
      <c r="G32304"/>
      <c r="H32304"/>
      <c r="I32304"/>
    </row>
    <row r="32305" spans="6:9" x14ac:dyDescent="0.3">
      <c r="F32305"/>
      <c r="G32305"/>
      <c r="H32305"/>
      <c r="I32305"/>
    </row>
    <row r="32306" spans="6:9" x14ac:dyDescent="0.3">
      <c r="F32306"/>
      <c r="G32306"/>
      <c r="H32306"/>
      <c r="I32306"/>
    </row>
    <row r="32307" spans="6:9" x14ac:dyDescent="0.3">
      <c r="F32307"/>
      <c r="G32307"/>
      <c r="H32307"/>
      <c r="I32307"/>
    </row>
    <row r="32308" spans="6:9" x14ac:dyDescent="0.3">
      <c r="F32308"/>
      <c r="G32308"/>
      <c r="H32308"/>
      <c r="I32308"/>
    </row>
    <row r="32309" spans="6:9" x14ac:dyDescent="0.3">
      <c r="F32309"/>
      <c r="G32309"/>
      <c r="H32309"/>
      <c r="I32309"/>
    </row>
    <row r="32310" spans="6:9" x14ac:dyDescent="0.3">
      <c r="F32310"/>
      <c r="G32310"/>
      <c r="H32310"/>
      <c r="I32310"/>
    </row>
    <row r="32311" spans="6:9" x14ac:dyDescent="0.3">
      <c r="F32311"/>
      <c r="G32311"/>
      <c r="H32311"/>
      <c r="I32311"/>
    </row>
    <row r="32312" spans="6:9" x14ac:dyDescent="0.3">
      <c r="F32312"/>
      <c r="G32312"/>
      <c r="H32312"/>
      <c r="I32312"/>
    </row>
    <row r="32313" spans="6:9" x14ac:dyDescent="0.3">
      <c r="F32313"/>
      <c r="G32313"/>
      <c r="H32313"/>
      <c r="I32313"/>
    </row>
    <row r="32314" spans="6:9" x14ac:dyDescent="0.3">
      <c r="F32314"/>
      <c r="G32314"/>
      <c r="H32314"/>
      <c r="I32314"/>
    </row>
    <row r="32315" spans="6:9" x14ac:dyDescent="0.3">
      <c r="F32315"/>
      <c r="G32315"/>
      <c r="H32315"/>
      <c r="I32315"/>
    </row>
    <row r="32316" spans="6:9" x14ac:dyDescent="0.3">
      <c r="F32316"/>
      <c r="G32316"/>
      <c r="H32316"/>
      <c r="I32316"/>
    </row>
    <row r="32317" spans="6:9" x14ac:dyDescent="0.3">
      <c r="F32317"/>
      <c r="G32317"/>
      <c r="H32317"/>
      <c r="I32317"/>
    </row>
    <row r="32318" spans="6:9" x14ac:dyDescent="0.3">
      <c r="F32318"/>
      <c r="G32318"/>
      <c r="H32318"/>
      <c r="I32318"/>
    </row>
    <row r="32319" spans="6:9" x14ac:dyDescent="0.3">
      <c r="F32319"/>
      <c r="G32319"/>
      <c r="H32319"/>
      <c r="I32319"/>
    </row>
    <row r="32320" spans="6:9" x14ac:dyDescent="0.3">
      <c r="F32320"/>
      <c r="G32320"/>
      <c r="H32320"/>
      <c r="I32320"/>
    </row>
    <row r="32321" spans="6:9" x14ac:dyDescent="0.3">
      <c r="F32321"/>
      <c r="G32321"/>
      <c r="H32321"/>
      <c r="I32321"/>
    </row>
    <row r="32322" spans="6:9" x14ac:dyDescent="0.3">
      <c r="F32322"/>
      <c r="G32322"/>
      <c r="H32322"/>
      <c r="I32322"/>
    </row>
    <row r="32323" spans="6:9" x14ac:dyDescent="0.3">
      <c r="F32323"/>
      <c r="G32323"/>
      <c r="H32323"/>
      <c r="I32323"/>
    </row>
    <row r="32324" spans="6:9" x14ac:dyDescent="0.3">
      <c r="F32324"/>
      <c r="G32324"/>
      <c r="H32324"/>
      <c r="I32324"/>
    </row>
    <row r="32325" spans="6:9" x14ac:dyDescent="0.3">
      <c r="F32325"/>
      <c r="G32325"/>
      <c r="H32325"/>
      <c r="I32325"/>
    </row>
    <row r="32326" spans="6:9" x14ac:dyDescent="0.3">
      <c r="F32326"/>
      <c r="G32326"/>
      <c r="H32326"/>
      <c r="I32326"/>
    </row>
    <row r="32327" spans="6:9" x14ac:dyDescent="0.3">
      <c r="F32327"/>
      <c r="G32327"/>
      <c r="H32327"/>
      <c r="I32327"/>
    </row>
    <row r="32328" spans="6:9" x14ac:dyDescent="0.3">
      <c r="F32328"/>
      <c r="G32328"/>
      <c r="H32328"/>
      <c r="I32328"/>
    </row>
    <row r="32329" spans="6:9" x14ac:dyDescent="0.3">
      <c r="F32329"/>
      <c r="G32329"/>
      <c r="H32329"/>
      <c r="I32329"/>
    </row>
    <row r="32330" spans="6:9" x14ac:dyDescent="0.3">
      <c r="F32330"/>
      <c r="G32330"/>
      <c r="H32330"/>
      <c r="I32330"/>
    </row>
    <row r="32331" spans="6:9" x14ac:dyDescent="0.3">
      <c r="F32331"/>
      <c r="G32331"/>
      <c r="H32331"/>
      <c r="I32331"/>
    </row>
    <row r="32332" spans="6:9" x14ac:dyDescent="0.3">
      <c r="F32332"/>
      <c r="G32332"/>
      <c r="H32332"/>
      <c r="I32332"/>
    </row>
    <row r="32333" spans="6:9" x14ac:dyDescent="0.3">
      <c r="F32333"/>
      <c r="G32333"/>
      <c r="H32333"/>
      <c r="I32333"/>
    </row>
    <row r="32334" spans="6:9" x14ac:dyDescent="0.3">
      <c r="F32334"/>
      <c r="G32334"/>
      <c r="H32334"/>
      <c r="I32334"/>
    </row>
    <row r="32335" spans="6:9" x14ac:dyDescent="0.3">
      <c r="F32335"/>
      <c r="G32335"/>
      <c r="H32335"/>
      <c r="I32335"/>
    </row>
    <row r="32336" spans="6:9" x14ac:dyDescent="0.3">
      <c r="F32336"/>
      <c r="G32336"/>
      <c r="H32336"/>
      <c r="I32336"/>
    </row>
    <row r="32337" spans="6:9" x14ac:dyDescent="0.3">
      <c r="F32337"/>
      <c r="G32337"/>
      <c r="H32337"/>
      <c r="I32337"/>
    </row>
    <row r="32338" spans="6:9" x14ac:dyDescent="0.3">
      <c r="F32338"/>
      <c r="G32338"/>
      <c r="H32338"/>
      <c r="I32338"/>
    </row>
    <row r="32339" spans="6:9" x14ac:dyDescent="0.3">
      <c r="F32339"/>
      <c r="G32339"/>
      <c r="H32339"/>
      <c r="I32339"/>
    </row>
    <row r="32340" spans="6:9" x14ac:dyDescent="0.3">
      <c r="F32340"/>
      <c r="G32340"/>
      <c r="H32340"/>
      <c r="I32340"/>
    </row>
    <row r="32341" spans="6:9" x14ac:dyDescent="0.3">
      <c r="F32341"/>
      <c r="G32341"/>
      <c r="H32341"/>
      <c r="I32341"/>
    </row>
    <row r="32342" spans="6:9" x14ac:dyDescent="0.3">
      <c r="F32342"/>
      <c r="G32342"/>
      <c r="H32342"/>
      <c r="I32342"/>
    </row>
    <row r="32343" spans="6:9" x14ac:dyDescent="0.3">
      <c r="F32343"/>
      <c r="G32343"/>
      <c r="H32343"/>
      <c r="I32343"/>
    </row>
    <row r="32344" spans="6:9" x14ac:dyDescent="0.3">
      <c r="F32344"/>
      <c r="G32344"/>
      <c r="H32344"/>
      <c r="I32344"/>
    </row>
    <row r="32345" spans="6:9" x14ac:dyDescent="0.3">
      <c r="F32345"/>
      <c r="G32345"/>
      <c r="H32345"/>
      <c r="I32345"/>
    </row>
    <row r="32346" spans="6:9" x14ac:dyDescent="0.3">
      <c r="F32346"/>
      <c r="G32346"/>
      <c r="H32346"/>
      <c r="I32346"/>
    </row>
    <row r="32347" spans="6:9" x14ac:dyDescent="0.3">
      <c r="F32347"/>
      <c r="G32347"/>
      <c r="H32347"/>
      <c r="I32347"/>
    </row>
    <row r="32348" spans="6:9" x14ac:dyDescent="0.3">
      <c r="F32348"/>
      <c r="G32348"/>
      <c r="H32348"/>
      <c r="I32348"/>
    </row>
    <row r="32349" spans="6:9" x14ac:dyDescent="0.3">
      <c r="F32349"/>
      <c r="G32349"/>
      <c r="H32349"/>
      <c r="I32349"/>
    </row>
    <row r="32350" spans="6:9" x14ac:dyDescent="0.3">
      <c r="F32350"/>
      <c r="G32350"/>
      <c r="H32350"/>
      <c r="I32350"/>
    </row>
    <row r="32351" spans="6:9" x14ac:dyDescent="0.3">
      <c r="F32351"/>
      <c r="G32351"/>
      <c r="H32351"/>
      <c r="I32351"/>
    </row>
    <row r="32352" spans="6:9" x14ac:dyDescent="0.3">
      <c r="F32352"/>
      <c r="G32352"/>
      <c r="H32352"/>
      <c r="I32352"/>
    </row>
    <row r="32353" spans="6:9" x14ac:dyDescent="0.3">
      <c r="F32353"/>
      <c r="G32353"/>
      <c r="H32353"/>
      <c r="I32353"/>
    </row>
    <row r="32354" spans="6:9" x14ac:dyDescent="0.3">
      <c r="F32354"/>
      <c r="G32354"/>
      <c r="H32354"/>
      <c r="I32354"/>
    </row>
    <row r="32355" spans="6:9" x14ac:dyDescent="0.3">
      <c r="F32355"/>
      <c r="G32355"/>
      <c r="H32355"/>
      <c r="I32355"/>
    </row>
    <row r="32356" spans="6:9" x14ac:dyDescent="0.3">
      <c r="F32356"/>
      <c r="G32356"/>
      <c r="H32356"/>
      <c r="I32356"/>
    </row>
    <row r="32357" spans="6:9" x14ac:dyDescent="0.3">
      <c r="F32357"/>
      <c r="G32357"/>
      <c r="H32357"/>
      <c r="I32357"/>
    </row>
    <row r="32358" spans="6:9" x14ac:dyDescent="0.3">
      <c r="F32358"/>
      <c r="G32358"/>
      <c r="H32358"/>
      <c r="I32358"/>
    </row>
    <row r="32359" spans="6:9" x14ac:dyDescent="0.3">
      <c r="F32359"/>
      <c r="G32359"/>
      <c r="H32359"/>
      <c r="I32359"/>
    </row>
    <row r="32360" spans="6:9" x14ac:dyDescent="0.3">
      <c r="F32360"/>
      <c r="G32360"/>
      <c r="H32360"/>
      <c r="I32360"/>
    </row>
    <row r="32361" spans="6:9" x14ac:dyDescent="0.3">
      <c r="F32361"/>
      <c r="G32361"/>
      <c r="H32361"/>
      <c r="I32361"/>
    </row>
    <row r="32362" spans="6:9" x14ac:dyDescent="0.3">
      <c r="F32362"/>
      <c r="G32362"/>
      <c r="H32362"/>
      <c r="I32362"/>
    </row>
    <row r="32363" spans="6:9" x14ac:dyDescent="0.3">
      <c r="F32363"/>
      <c r="G32363"/>
      <c r="H32363"/>
      <c r="I32363"/>
    </row>
    <row r="32364" spans="6:9" x14ac:dyDescent="0.3">
      <c r="F32364"/>
      <c r="G32364"/>
      <c r="H32364"/>
      <c r="I32364"/>
    </row>
    <row r="32365" spans="6:9" x14ac:dyDescent="0.3">
      <c r="F32365"/>
      <c r="G32365"/>
      <c r="H32365"/>
      <c r="I32365"/>
    </row>
    <row r="32366" spans="6:9" x14ac:dyDescent="0.3">
      <c r="F32366"/>
      <c r="G32366"/>
      <c r="H32366"/>
      <c r="I32366"/>
    </row>
    <row r="32367" spans="6:9" x14ac:dyDescent="0.3">
      <c r="F32367"/>
      <c r="G32367"/>
      <c r="H32367"/>
      <c r="I32367"/>
    </row>
    <row r="32368" spans="6:9" x14ac:dyDescent="0.3">
      <c r="F32368"/>
      <c r="G32368"/>
      <c r="H32368"/>
      <c r="I32368"/>
    </row>
    <row r="32369" spans="6:9" x14ac:dyDescent="0.3">
      <c r="F32369"/>
      <c r="G32369"/>
      <c r="H32369"/>
      <c r="I32369"/>
    </row>
    <row r="32370" spans="6:9" x14ac:dyDescent="0.3">
      <c r="F32370"/>
      <c r="G32370"/>
      <c r="H32370"/>
      <c r="I32370"/>
    </row>
    <row r="32371" spans="6:9" x14ac:dyDescent="0.3">
      <c r="F32371"/>
      <c r="G32371"/>
      <c r="H32371"/>
      <c r="I32371"/>
    </row>
    <row r="32372" spans="6:9" x14ac:dyDescent="0.3">
      <c r="F32372"/>
      <c r="G32372"/>
      <c r="H32372"/>
      <c r="I32372"/>
    </row>
    <row r="32373" spans="6:9" x14ac:dyDescent="0.3">
      <c r="F32373"/>
      <c r="G32373"/>
      <c r="H32373"/>
      <c r="I32373"/>
    </row>
    <row r="32374" spans="6:9" x14ac:dyDescent="0.3">
      <c r="F32374"/>
      <c r="G32374"/>
      <c r="H32374"/>
      <c r="I32374"/>
    </row>
    <row r="32375" spans="6:9" x14ac:dyDescent="0.3">
      <c r="F32375"/>
      <c r="G32375"/>
      <c r="H32375"/>
      <c r="I32375"/>
    </row>
    <row r="32376" spans="6:9" x14ac:dyDescent="0.3">
      <c r="F32376"/>
      <c r="G32376"/>
      <c r="H32376"/>
      <c r="I32376"/>
    </row>
    <row r="32377" spans="6:9" x14ac:dyDescent="0.3">
      <c r="F32377"/>
      <c r="G32377"/>
      <c r="H32377"/>
      <c r="I32377"/>
    </row>
    <row r="32378" spans="6:9" x14ac:dyDescent="0.3">
      <c r="F32378"/>
      <c r="G32378"/>
      <c r="H32378"/>
      <c r="I32378"/>
    </row>
    <row r="32379" spans="6:9" x14ac:dyDescent="0.3">
      <c r="F32379"/>
      <c r="G32379"/>
      <c r="H32379"/>
      <c r="I32379"/>
    </row>
    <row r="32380" spans="6:9" x14ac:dyDescent="0.3">
      <c r="F32380"/>
      <c r="G32380"/>
      <c r="H32380"/>
      <c r="I32380"/>
    </row>
    <row r="32381" spans="6:9" x14ac:dyDescent="0.3">
      <c r="F32381"/>
      <c r="G32381"/>
      <c r="H32381"/>
      <c r="I32381"/>
    </row>
    <row r="32382" spans="6:9" x14ac:dyDescent="0.3">
      <c r="F32382"/>
      <c r="G32382"/>
      <c r="H32382"/>
      <c r="I32382"/>
    </row>
    <row r="32383" spans="6:9" x14ac:dyDescent="0.3">
      <c r="F32383"/>
      <c r="G32383"/>
      <c r="H32383"/>
      <c r="I32383"/>
    </row>
    <row r="32384" spans="6:9" x14ac:dyDescent="0.3">
      <c r="F32384"/>
      <c r="G32384"/>
      <c r="H32384"/>
      <c r="I32384"/>
    </row>
    <row r="32385" spans="6:9" x14ac:dyDescent="0.3">
      <c r="F32385"/>
      <c r="G32385"/>
      <c r="H32385"/>
      <c r="I32385"/>
    </row>
    <row r="32386" spans="6:9" x14ac:dyDescent="0.3">
      <c r="F32386"/>
      <c r="G32386"/>
      <c r="H32386"/>
      <c r="I32386"/>
    </row>
    <row r="32387" spans="6:9" x14ac:dyDescent="0.3">
      <c r="F32387"/>
      <c r="G32387"/>
      <c r="H32387"/>
      <c r="I32387"/>
    </row>
    <row r="32388" spans="6:9" x14ac:dyDescent="0.3">
      <c r="F32388"/>
      <c r="G32388"/>
      <c r="H32388"/>
      <c r="I32388"/>
    </row>
    <row r="32389" spans="6:9" x14ac:dyDescent="0.3">
      <c r="F32389"/>
      <c r="G32389"/>
      <c r="H32389"/>
      <c r="I32389"/>
    </row>
    <row r="32390" spans="6:9" x14ac:dyDescent="0.3">
      <c r="F32390"/>
      <c r="G32390"/>
      <c r="H32390"/>
      <c r="I32390"/>
    </row>
    <row r="32391" spans="6:9" x14ac:dyDescent="0.3">
      <c r="F32391"/>
      <c r="G32391"/>
      <c r="H32391"/>
      <c r="I32391"/>
    </row>
    <row r="32392" spans="6:9" x14ac:dyDescent="0.3">
      <c r="F32392"/>
      <c r="G32392"/>
      <c r="H32392"/>
      <c r="I32392"/>
    </row>
    <row r="32393" spans="6:9" x14ac:dyDescent="0.3">
      <c r="F32393"/>
      <c r="G32393"/>
      <c r="H32393"/>
      <c r="I32393"/>
    </row>
    <row r="32394" spans="6:9" x14ac:dyDescent="0.3">
      <c r="F32394"/>
      <c r="G32394"/>
      <c r="H32394"/>
      <c r="I32394"/>
    </row>
    <row r="32395" spans="6:9" x14ac:dyDescent="0.3">
      <c r="F32395"/>
      <c r="G32395"/>
      <c r="H32395"/>
      <c r="I32395"/>
    </row>
    <row r="32396" spans="6:9" x14ac:dyDescent="0.3">
      <c r="F32396"/>
      <c r="G32396"/>
      <c r="H32396"/>
      <c r="I32396"/>
    </row>
    <row r="32397" spans="6:9" x14ac:dyDescent="0.3">
      <c r="F32397"/>
      <c r="G32397"/>
      <c r="H32397"/>
      <c r="I32397"/>
    </row>
    <row r="32398" spans="6:9" x14ac:dyDescent="0.3">
      <c r="F32398"/>
      <c r="G32398"/>
      <c r="H32398"/>
      <c r="I32398"/>
    </row>
    <row r="32399" spans="6:9" x14ac:dyDescent="0.3">
      <c r="F32399"/>
      <c r="G32399"/>
      <c r="H32399"/>
      <c r="I32399"/>
    </row>
    <row r="32400" spans="6:9" x14ac:dyDescent="0.3">
      <c r="F32400"/>
      <c r="G32400"/>
      <c r="H32400"/>
      <c r="I32400"/>
    </row>
    <row r="32401" spans="6:9" x14ac:dyDescent="0.3">
      <c r="F32401"/>
      <c r="G32401"/>
      <c r="H32401"/>
      <c r="I32401"/>
    </row>
    <row r="32402" spans="6:9" x14ac:dyDescent="0.3">
      <c r="F32402"/>
      <c r="G32402"/>
      <c r="H32402"/>
      <c r="I32402"/>
    </row>
    <row r="32403" spans="6:9" x14ac:dyDescent="0.3">
      <c r="F32403"/>
      <c r="G32403"/>
      <c r="H32403"/>
      <c r="I32403"/>
    </row>
    <row r="32404" spans="6:9" x14ac:dyDescent="0.3">
      <c r="F32404"/>
      <c r="G32404"/>
      <c r="H32404"/>
      <c r="I32404"/>
    </row>
    <row r="32405" spans="6:9" x14ac:dyDescent="0.3">
      <c r="F32405"/>
      <c r="G32405"/>
      <c r="H32405"/>
      <c r="I32405"/>
    </row>
    <row r="32406" spans="6:9" x14ac:dyDescent="0.3">
      <c r="F32406"/>
      <c r="G32406"/>
      <c r="H32406"/>
      <c r="I32406"/>
    </row>
    <row r="32407" spans="6:9" x14ac:dyDescent="0.3">
      <c r="F32407"/>
      <c r="G32407"/>
      <c r="H32407"/>
      <c r="I32407"/>
    </row>
    <row r="32408" spans="6:9" x14ac:dyDescent="0.3">
      <c r="F32408"/>
      <c r="G32408"/>
      <c r="H32408"/>
      <c r="I32408"/>
    </row>
    <row r="32409" spans="6:9" x14ac:dyDescent="0.3">
      <c r="F32409"/>
      <c r="G32409"/>
      <c r="H32409"/>
      <c r="I32409"/>
    </row>
    <row r="32410" spans="6:9" x14ac:dyDescent="0.3">
      <c r="F32410"/>
      <c r="G32410"/>
      <c r="H32410"/>
      <c r="I32410"/>
    </row>
    <row r="32411" spans="6:9" x14ac:dyDescent="0.3">
      <c r="F32411"/>
      <c r="G32411"/>
      <c r="H32411"/>
      <c r="I32411"/>
    </row>
    <row r="32412" spans="6:9" x14ac:dyDescent="0.3">
      <c r="F32412"/>
      <c r="G32412"/>
      <c r="H32412"/>
      <c r="I32412"/>
    </row>
    <row r="32413" spans="6:9" x14ac:dyDescent="0.3">
      <c r="F32413"/>
      <c r="G32413"/>
      <c r="H32413"/>
      <c r="I32413"/>
    </row>
    <row r="32414" spans="6:9" x14ac:dyDescent="0.3">
      <c r="F32414"/>
      <c r="G32414"/>
      <c r="H32414"/>
      <c r="I32414"/>
    </row>
    <row r="32415" spans="6:9" x14ac:dyDescent="0.3">
      <c r="F32415"/>
      <c r="G32415"/>
      <c r="H32415"/>
      <c r="I32415"/>
    </row>
    <row r="32416" spans="6:9" x14ac:dyDescent="0.3">
      <c r="F32416"/>
      <c r="G32416"/>
      <c r="H32416"/>
      <c r="I32416"/>
    </row>
    <row r="32417" spans="6:9" x14ac:dyDescent="0.3">
      <c r="F32417"/>
      <c r="G32417"/>
      <c r="H32417"/>
      <c r="I32417"/>
    </row>
    <row r="32418" spans="6:9" x14ac:dyDescent="0.3">
      <c r="F32418"/>
      <c r="G32418"/>
      <c r="H32418"/>
      <c r="I32418"/>
    </row>
    <row r="32419" spans="6:9" x14ac:dyDescent="0.3">
      <c r="F32419"/>
      <c r="G32419"/>
      <c r="H32419"/>
      <c r="I32419"/>
    </row>
    <row r="32420" spans="6:9" x14ac:dyDescent="0.3">
      <c r="F32420"/>
      <c r="G32420"/>
      <c r="H32420"/>
      <c r="I32420"/>
    </row>
    <row r="32421" spans="6:9" x14ac:dyDescent="0.3">
      <c r="F32421"/>
      <c r="G32421"/>
      <c r="H32421"/>
      <c r="I32421"/>
    </row>
    <row r="32422" spans="6:9" x14ac:dyDescent="0.3">
      <c r="F32422"/>
      <c r="G32422"/>
      <c r="H32422"/>
      <c r="I32422"/>
    </row>
    <row r="32423" spans="6:9" x14ac:dyDescent="0.3">
      <c r="F32423"/>
      <c r="G32423"/>
      <c r="H32423"/>
      <c r="I32423"/>
    </row>
    <row r="32424" spans="6:9" x14ac:dyDescent="0.3">
      <c r="F32424"/>
      <c r="G32424"/>
      <c r="H32424"/>
      <c r="I32424"/>
    </row>
    <row r="32425" spans="6:9" x14ac:dyDescent="0.3">
      <c r="F32425"/>
      <c r="G32425"/>
      <c r="H32425"/>
      <c r="I32425"/>
    </row>
    <row r="32426" spans="6:9" x14ac:dyDescent="0.3">
      <c r="F32426"/>
      <c r="G32426"/>
      <c r="H32426"/>
      <c r="I32426"/>
    </row>
    <row r="32427" spans="6:9" x14ac:dyDescent="0.3">
      <c r="F32427"/>
      <c r="G32427"/>
      <c r="H32427"/>
      <c r="I32427"/>
    </row>
    <row r="32428" spans="6:9" x14ac:dyDescent="0.3">
      <c r="F32428"/>
      <c r="G32428"/>
      <c r="H32428"/>
      <c r="I32428"/>
    </row>
    <row r="32429" spans="6:9" x14ac:dyDescent="0.3">
      <c r="F32429"/>
      <c r="G32429"/>
      <c r="H32429"/>
      <c r="I32429"/>
    </row>
    <row r="32430" spans="6:9" x14ac:dyDescent="0.3">
      <c r="F32430"/>
      <c r="G32430"/>
      <c r="H32430"/>
      <c r="I32430"/>
    </row>
    <row r="32431" spans="6:9" x14ac:dyDescent="0.3">
      <c r="F32431"/>
      <c r="G32431"/>
      <c r="H32431"/>
      <c r="I32431"/>
    </row>
    <row r="32432" spans="6:9" x14ac:dyDescent="0.3">
      <c r="F32432"/>
      <c r="G32432"/>
      <c r="H32432"/>
      <c r="I32432"/>
    </row>
    <row r="32433" spans="6:9" x14ac:dyDescent="0.3">
      <c r="F32433"/>
      <c r="G32433"/>
      <c r="H32433"/>
      <c r="I32433"/>
    </row>
    <row r="32434" spans="6:9" x14ac:dyDescent="0.3">
      <c r="F32434"/>
      <c r="G32434"/>
      <c r="H32434"/>
      <c r="I32434"/>
    </row>
    <row r="32435" spans="6:9" x14ac:dyDescent="0.3">
      <c r="F32435"/>
      <c r="G32435"/>
      <c r="H32435"/>
      <c r="I32435"/>
    </row>
    <row r="32436" spans="6:9" x14ac:dyDescent="0.3">
      <c r="F32436"/>
      <c r="G32436"/>
      <c r="H32436"/>
      <c r="I32436"/>
    </row>
    <row r="32437" spans="6:9" x14ac:dyDescent="0.3">
      <c r="F32437"/>
      <c r="G32437"/>
      <c r="H32437"/>
      <c r="I32437"/>
    </row>
    <row r="32438" spans="6:9" x14ac:dyDescent="0.3">
      <c r="F32438"/>
      <c r="G32438"/>
      <c r="H32438"/>
      <c r="I32438"/>
    </row>
    <row r="32439" spans="6:9" x14ac:dyDescent="0.3">
      <c r="F32439"/>
      <c r="G32439"/>
      <c r="H32439"/>
      <c r="I32439"/>
    </row>
    <row r="32440" spans="6:9" x14ac:dyDescent="0.3">
      <c r="F32440"/>
      <c r="G32440"/>
      <c r="H32440"/>
      <c r="I32440"/>
    </row>
    <row r="32441" spans="6:9" x14ac:dyDescent="0.3">
      <c r="F32441"/>
      <c r="G32441"/>
      <c r="H32441"/>
      <c r="I32441"/>
    </row>
    <row r="32442" spans="6:9" x14ac:dyDescent="0.3">
      <c r="F32442"/>
      <c r="G32442"/>
      <c r="H32442"/>
      <c r="I32442"/>
    </row>
    <row r="32443" spans="6:9" x14ac:dyDescent="0.3">
      <c r="F32443"/>
      <c r="G32443"/>
      <c r="H32443"/>
      <c r="I32443"/>
    </row>
    <row r="32444" spans="6:9" x14ac:dyDescent="0.3">
      <c r="F32444"/>
      <c r="G32444"/>
      <c r="H32444"/>
      <c r="I32444"/>
    </row>
    <row r="32445" spans="6:9" x14ac:dyDescent="0.3">
      <c r="F32445"/>
      <c r="G32445"/>
      <c r="H32445"/>
      <c r="I32445"/>
    </row>
    <row r="32446" spans="6:9" x14ac:dyDescent="0.3">
      <c r="F32446"/>
      <c r="G32446"/>
      <c r="H32446"/>
      <c r="I32446"/>
    </row>
    <row r="32447" spans="6:9" x14ac:dyDescent="0.3">
      <c r="F32447"/>
      <c r="G32447"/>
      <c r="H32447"/>
      <c r="I32447"/>
    </row>
    <row r="32448" spans="6:9" x14ac:dyDescent="0.3">
      <c r="F32448"/>
      <c r="G32448"/>
      <c r="H32448"/>
      <c r="I32448"/>
    </row>
    <row r="32449" spans="6:9" x14ac:dyDescent="0.3">
      <c r="F32449"/>
      <c r="G32449"/>
      <c r="H32449"/>
      <c r="I32449"/>
    </row>
    <row r="32450" spans="6:9" x14ac:dyDescent="0.3">
      <c r="F32450"/>
      <c r="G32450"/>
      <c r="H32450"/>
      <c r="I32450"/>
    </row>
    <row r="32451" spans="6:9" x14ac:dyDescent="0.3">
      <c r="F32451"/>
      <c r="G32451"/>
      <c r="H32451"/>
      <c r="I32451"/>
    </row>
    <row r="32452" spans="6:9" x14ac:dyDescent="0.3">
      <c r="F32452"/>
      <c r="G32452"/>
      <c r="H32452"/>
      <c r="I32452"/>
    </row>
    <row r="32453" spans="6:9" x14ac:dyDescent="0.3">
      <c r="F32453"/>
      <c r="G32453"/>
      <c r="H32453"/>
      <c r="I32453"/>
    </row>
    <row r="32454" spans="6:9" x14ac:dyDescent="0.3">
      <c r="F32454"/>
      <c r="G32454"/>
      <c r="H32454"/>
      <c r="I32454"/>
    </row>
    <row r="32455" spans="6:9" x14ac:dyDescent="0.3">
      <c r="F32455"/>
      <c r="G32455"/>
      <c r="H32455"/>
      <c r="I32455"/>
    </row>
    <row r="32456" spans="6:9" x14ac:dyDescent="0.3">
      <c r="F32456"/>
      <c r="G32456"/>
      <c r="H32456"/>
      <c r="I32456"/>
    </row>
    <row r="32457" spans="6:9" x14ac:dyDescent="0.3">
      <c r="F32457"/>
      <c r="G32457"/>
      <c r="H32457"/>
      <c r="I32457"/>
    </row>
    <row r="32458" spans="6:9" x14ac:dyDescent="0.3">
      <c r="F32458"/>
      <c r="G32458"/>
      <c r="H32458"/>
      <c r="I32458"/>
    </row>
    <row r="32459" spans="6:9" x14ac:dyDescent="0.3">
      <c r="F32459"/>
      <c r="G32459"/>
      <c r="H32459"/>
      <c r="I32459"/>
    </row>
    <row r="32460" spans="6:9" x14ac:dyDescent="0.3">
      <c r="F32460"/>
      <c r="G32460"/>
      <c r="H32460"/>
      <c r="I32460"/>
    </row>
    <row r="32461" spans="6:9" x14ac:dyDescent="0.3">
      <c r="F32461"/>
      <c r="G32461"/>
      <c r="H32461"/>
      <c r="I32461"/>
    </row>
    <row r="32462" spans="6:9" x14ac:dyDescent="0.3">
      <c r="F32462"/>
      <c r="G32462"/>
      <c r="H32462"/>
      <c r="I32462"/>
    </row>
    <row r="32463" spans="6:9" x14ac:dyDescent="0.3">
      <c r="F32463"/>
      <c r="G32463"/>
      <c r="H32463"/>
      <c r="I32463"/>
    </row>
    <row r="32464" spans="6:9" x14ac:dyDescent="0.3">
      <c r="F32464"/>
      <c r="G32464"/>
      <c r="H32464"/>
      <c r="I32464"/>
    </row>
    <row r="32465" spans="6:9" x14ac:dyDescent="0.3">
      <c r="F32465"/>
      <c r="G32465"/>
      <c r="H32465"/>
      <c r="I32465"/>
    </row>
    <row r="32466" spans="6:9" x14ac:dyDescent="0.3">
      <c r="F32466"/>
      <c r="G32466"/>
      <c r="H32466"/>
      <c r="I32466"/>
    </row>
    <row r="32467" spans="6:9" x14ac:dyDescent="0.3">
      <c r="F32467"/>
      <c r="G32467"/>
      <c r="H32467"/>
      <c r="I32467"/>
    </row>
    <row r="32468" spans="6:9" x14ac:dyDescent="0.3">
      <c r="F32468"/>
      <c r="G32468"/>
      <c r="H32468"/>
      <c r="I32468"/>
    </row>
    <row r="32469" spans="6:9" x14ac:dyDescent="0.3">
      <c r="F32469"/>
      <c r="G32469"/>
      <c r="H32469"/>
      <c r="I32469"/>
    </row>
    <row r="32470" spans="6:9" x14ac:dyDescent="0.3">
      <c r="F32470"/>
      <c r="G32470"/>
      <c r="H32470"/>
      <c r="I32470"/>
    </row>
    <row r="32471" spans="6:9" x14ac:dyDescent="0.3">
      <c r="F32471"/>
      <c r="G32471"/>
      <c r="H32471"/>
      <c r="I32471"/>
    </row>
    <row r="32472" spans="6:9" x14ac:dyDescent="0.3">
      <c r="F32472"/>
      <c r="G32472"/>
      <c r="H32472"/>
      <c r="I32472"/>
    </row>
    <row r="32473" spans="6:9" x14ac:dyDescent="0.3">
      <c r="F32473"/>
      <c r="G32473"/>
      <c r="H32473"/>
      <c r="I32473"/>
    </row>
    <row r="32474" spans="6:9" x14ac:dyDescent="0.3">
      <c r="F32474"/>
      <c r="G32474"/>
      <c r="H32474"/>
      <c r="I32474"/>
    </row>
    <row r="32475" spans="6:9" x14ac:dyDescent="0.3">
      <c r="F32475"/>
      <c r="G32475"/>
      <c r="H32475"/>
      <c r="I32475"/>
    </row>
    <row r="32476" spans="6:9" x14ac:dyDescent="0.3">
      <c r="F32476"/>
      <c r="G32476"/>
      <c r="H32476"/>
      <c r="I32476"/>
    </row>
    <row r="32477" spans="6:9" x14ac:dyDescent="0.3">
      <c r="F32477"/>
      <c r="G32477"/>
      <c r="H32477"/>
      <c r="I32477"/>
    </row>
    <row r="32478" spans="6:9" x14ac:dyDescent="0.3">
      <c r="F32478"/>
      <c r="G32478"/>
      <c r="H32478"/>
      <c r="I32478"/>
    </row>
    <row r="32479" spans="6:9" x14ac:dyDescent="0.3">
      <c r="F32479"/>
      <c r="G32479"/>
      <c r="H32479"/>
      <c r="I32479"/>
    </row>
    <row r="32480" spans="6:9" x14ac:dyDescent="0.3">
      <c r="F32480"/>
      <c r="G32480"/>
      <c r="H32480"/>
      <c r="I32480"/>
    </row>
    <row r="32481" spans="6:9" x14ac:dyDescent="0.3">
      <c r="F32481"/>
      <c r="G32481"/>
      <c r="H32481"/>
      <c r="I32481"/>
    </row>
    <row r="32482" spans="6:9" x14ac:dyDescent="0.3">
      <c r="F32482"/>
      <c r="G32482"/>
      <c r="H32482"/>
      <c r="I32482"/>
    </row>
    <row r="32483" spans="6:9" x14ac:dyDescent="0.3">
      <c r="F32483"/>
      <c r="G32483"/>
      <c r="H32483"/>
      <c r="I32483"/>
    </row>
    <row r="32484" spans="6:9" x14ac:dyDescent="0.3">
      <c r="F32484"/>
      <c r="G32484"/>
      <c r="H32484"/>
      <c r="I32484"/>
    </row>
    <row r="32485" spans="6:9" x14ac:dyDescent="0.3">
      <c r="F32485"/>
      <c r="G32485"/>
      <c r="H32485"/>
      <c r="I32485"/>
    </row>
    <row r="32486" spans="6:9" x14ac:dyDescent="0.3">
      <c r="F32486"/>
      <c r="G32486"/>
      <c r="H32486"/>
      <c r="I32486"/>
    </row>
    <row r="32487" spans="6:9" x14ac:dyDescent="0.3">
      <c r="F32487"/>
      <c r="G32487"/>
      <c r="H32487"/>
      <c r="I32487"/>
    </row>
    <row r="32488" spans="6:9" x14ac:dyDescent="0.3">
      <c r="F32488"/>
      <c r="G32488"/>
      <c r="H32488"/>
      <c r="I32488"/>
    </row>
    <row r="32489" spans="6:9" x14ac:dyDescent="0.3">
      <c r="F32489"/>
      <c r="G32489"/>
      <c r="H32489"/>
      <c r="I32489"/>
    </row>
    <row r="32490" spans="6:9" x14ac:dyDescent="0.3">
      <c r="F32490"/>
      <c r="G32490"/>
      <c r="H32490"/>
      <c r="I32490"/>
    </row>
    <row r="32491" spans="6:9" x14ac:dyDescent="0.3">
      <c r="F32491"/>
      <c r="G32491"/>
      <c r="H32491"/>
      <c r="I32491"/>
    </row>
    <row r="32492" spans="6:9" x14ac:dyDescent="0.3">
      <c r="F32492"/>
      <c r="G32492"/>
      <c r="H32492"/>
      <c r="I32492"/>
    </row>
    <row r="32493" spans="6:9" x14ac:dyDescent="0.3">
      <c r="F32493"/>
      <c r="G32493"/>
      <c r="H32493"/>
      <c r="I32493"/>
    </row>
    <row r="32494" spans="6:9" x14ac:dyDescent="0.3">
      <c r="F32494"/>
      <c r="G32494"/>
      <c r="H32494"/>
      <c r="I32494"/>
    </row>
    <row r="32495" spans="6:9" x14ac:dyDescent="0.3">
      <c r="F32495"/>
      <c r="G32495"/>
      <c r="H32495"/>
      <c r="I32495"/>
    </row>
    <row r="32496" spans="6:9" x14ac:dyDescent="0.3">
      <c r="F32496"/>
      <c r="G32496"/>
      <c r="H32496"/>
      <c r="I32496"/>
    </row>
    <row r="32497" spans="6:9" x14ac:dyDescent="0.3">
      <c r="F32497"/>
      <c r="G32497"/>
      <c r="H32497"/>
      <c r="I32497"/>
    </row>
    <row r="32498" spans="6:9" x14ac:dyDescent="0.3">
      <c r="F32498"/>
      <c r="G32498"/>
      <c r="H32498"/>
      <c r="I32498"/>
    </row>
    <row r="32499" spans="6:9" x14ac:dyDescent="0.3">
      <c r="F32499"/>
      <c r="G32499"/>
      <c r="H32499"/>
      <c r="I32499"/>
    </row>
    <row r="32500" spans="6:9" x14ac:dyDescent="0.3">
      <c r="F32500"/>
      <c r="G32500"/>
      <c r="H32500"/>
      <c r="I32500"/>
    </row>
    <row r="32501" spans="6:9" x14ac:dyDescent="0.3">
      <c r="F32501"/>
      <c r="G32501"/>
      <c r="H32501"/>
      <c r="I32501"/>
    </row>
    <row r="32502" spans="6:9" x14ac:dyDescent="0.3">
      <c r="F32502"/>
      <c r="G32502"/>
      <c r="H32502"/>
      <c r="I32502"/>
    </row>
    <row r="32503" spans="6:9" x14ac:dyDescent="0.3">
      <c r="F32503"/>
      <c r="G32503"/>
      <c r="H32503"/>
      <c r="I32503"/>
    </row>
    <row r="32504" spans="6:9" x14ac:dyDescent="0.3">
      <c r="F32504"/>
      <c r="G32504"/>
      <c r="H32504"/>
      <c r="I32504"/>
    </row>
    <row r="32505" spans="6:9" x14ac:dyDescent="0.3">
      <c r="F32505"/>
      <c r="G32505"/>
      <c r="H32505"/>
      <c r="I32505"/>
    </row>
    <row r="32506" spans="6:9" x14ac:dyDescent="0.3">
      <c r="F32506"/>
      <c r="G32506"/>
      <c r="H32506"/>
      <c r="I32506"/>
    </row>
    <row r="32507" spans="6:9" x14ac:dyDescent="0.3">
      <c r="F32507"/>
      <c r="G32507"/>
      <c r="H32507"/>
      <c r="I32507"/>
    </row>
    <row r="32508" spans="6:9" x14ac:dyDescent="0.3">
      <c r="F32508"/>
      <c r="G32508"/>
      <c r="H32508"/>
      <c r="I32508"/>
    </row>
    <row r="32509" spans="6:9" x14ac:dyDescent="0.3">
      <c r="F32509"/>
      <c r="G32509"/>
      <c r="H32509"/>
      <c r="I32509"/>
    </row>
    <row r="32510" spans="6:9" x14ac:dyDescent="0.3">
      <c r="F32510"/>
      <c r="G32510"/>
      <c r="H32510"/>
      <c r="I32510"/>
    </row>
    <row r="32511" spans="6:9" x14ac:dyDescent="0.3">
      <c r="F32511"/>
      <c r="G32511"/>
      <c r="H32511"/>
      <c r="I32511"/>
    </row>
    <row r="32512" spans="6:9" x14ac:dyDescent="0.3">
      <c r="F32512"/>
      <c r="G32512"/>
      <c r="H32512"/>
      <c r="I32512"/>
    </row>
    <row r="32513" spans="6:9" x14ac:dyDescent="0.3">
      <c r="F32513"/>
      <c r="G32513"/>
      <c r="H32513"/>
      <c r="I32513"/>
    </row>
    <row r="32514" spans="6:9" x14ac:dyDescent="0.3">
      <c r="F32514"/>
      <c r="G32514"/>
      <c r="H32514"/>
      <c r="I32514"/>
    </row>
    <row r="32515" spans="6:9" x14ac:dyDescent="0.3">
      <c r="F32515"/>
      <c r="G32515"/>
      <c r="H32515"/>
      <c r="I32515"/>
    </row>
    <row r="32516" spans="6:9" x14ac:dyDescent="0.3">
      <c r="F32516"/>
      <c r="G32516"/>
      <c r="H32516"/>
      <c r="I32516"/>
    </row>
    <row r="32517" spans="6:9" x14ac:dyDescent="0.3">
      <c r="F32517"/>
      <c r="G32517"/>
      <c r="H32517"/>
      <c r="I32517"/>
    </row>
    <row r="32518" spans="6:9" x14ac:dyDescent="0.3">
      <c r="F32518"/>
      <c r="G32518"/>
      <c r="H32518"/>
      <c r="I32518"/>
    </row>
    <row r="32519" spans="6:9" x14ac:dyDescent="0.3">
      <c r="F32519"/>
      <c r="G32519"/>
      <c r="H32519"/>
      <c r="I32519"/>
    </row>
    <row r="32520" spans="6:9" x14ac:dyDescent="0.3">
      <c r="F32520"/>
      <c r="G32520"/>
      <c r="H32520"/>
      <c r="I32520"/>
    </row>
    <row r="32521" spans="6:9" x14ac:dyDescent="0.3">
      <c r="F32521"/>
      <c r="G32521"/>
      <c r="H32521"/>
      <c r="I32521"/>
    </row>
    <row r="32522" spans="6:9" x14ac:dyDescent="0.3">
      <c r="F32522"/>
      <c r="G32522"/>
      <c r="H32522"/>
      <c r="I32522"/>
    </row>
    <row r="32523" spans="6:9" x14ac:dyDescent="0.3">
      <c r="F32523"/>
      <c r="G32523"/>
      <c r="H32523"/>
      <c r="I32523"/>
    </row>
    <row r="32524" spans="6:9" x14ac:dyDescent="0.3">
      <c r="F32524"/>
      <c r="G32524"/>
      <c r="H32524"/>
      <c r="I32524"/>
    </row>
    <row r="32525" spans="6:9" x14ac:dyDescent="0.3">
      <c r="F32525"/>
      <c r="G32525"/>
      <c r="H32525"/>
      <c r="I32525"/>
    </row>
    <row r="32526" spans="6:9" x14ac:dyDescent="0.3">
      <c r="F32526"/>
      <c r="G32526"/>
      <c r="H32526"/>
      <c r="I32526"/>
    </row>
    <row r="32527" spans="6:9" x14ac:dyDescent="0.3">
      <c r="F32527"/>
      <c r="G32527"/>
      <c r="H32527"/>
      <c r="I32527"/>
    </row>
    <row r="32528" spans="6:9" x14ac:dyDescent="0.3">
      <c r="F32528"/>
      <c r="G32528"/>
      <c r="H32528"/>
      <c r="I32528"/>
    </row>
    <row r="32529" spans="6:9" x14ac:dyDescent="0.3">
      <c r="F32529"/>
      <c r="G32529"/>
      <c r="H32529"/>
      <c r="I32529"/>
    </row>
    <row r="32530" spans="6:9" x14ac:dyDescent="0.3">
      <c r="F32530"/>
      <c r="G32530"/>
      <c r="H32530"/>
      <c r="I32530"/>
    </row>
    <row r="32531" spans="6:9" x14ac:dyDescent="0.3">
      <c r="F32531"/>
      <c r="G32531"/>
      <c r="H32531"/>
      <c r="I32531"/>
    </row>
    <row r="32532" spans="6:9" x14ac:dyDescent="0.3">
      <c r="F32532"/>
      <c r="G32532"/>
      <c r="H32532"/>
      <c r="I32532"/>
    </row>
    <row r="32533" spans="6:9" x14ac:dyDescent="0.3">
      <c r="F32533"/>
      <c r="G32533"/>
      <c r="H32533"/>
      <c r="I32533"/>
    </row>
    <row r="32534" spans="6:9" x14ac:dyDescent="0.3">
      <c r="F32534"/>
      <c r="G32534"/>
      <c r="H32534"/>
      <c r="I32534"/>
    </row>
    <row r="32535" spans="6:9" x14ac:dyDescent="0.3">
      <c r="F32535"/>
      <c r="G32535"/>
      <c r="H32535"/>
      <c r="I32535"/>
    </row>
    <row r="32536" spans="6:9" x14ac:dyDescent="0.3">
      <c r="F32536"/>
      <c r="G32536"/>
      <c r="H32536"/>
      <c r="I32536"/>
    </row>
    <row r="32537" spans="6:9" x14ac:dyDescent="0.3">
      <c r="F32537"/>
      <c r="G32537"/>
      <c r="H32537"/>
      <c r="I32537"/>
    </row>
    <row r="32538" spans="6:9" x14ac:dyDescent="0.3">
      <c r="F32538"/>
      <c r="G32538"/>
      <c r="H32538"/>
      <c r="I32538"/>
    </row>
    <row r="32539" spans="6:9" x14ac:dyDescent="0.3">
      <c r="F32539"/>
      <c r="G32539"/>
      <c r="H32539"/>
      <c r="I32539"/>
    </row>
    <row r="32540" spans="6:9" x14ac:dyDescent="0.3">
      <c r="F32540"/>
      <c r="G32540"/>
      <c r="H32540"/>
      <c r="I32540"/>
    </row>
    <row r="32541" spans="6:9" x14ac:dyDescent="0.3">
      <c r="F32541"/>
      <c r="G32541"/>
      <c r="H32541"/>
      <c r="I32541"/>
    </row>
    <row r="32542" spans="6:9" x14ac:dyDescent="0.3">
      <c r="F32542"/>
      <c r="G32542"/>
      <c r="H32542"/>
      <c r="I32542"/>
    </row>
    <row r="32543" spans="6:9" x14ac:dyDescent="0.3">
      <c r="F32543"/>
      <c r="G32543"/>
      <c r="H32543"/>
      <c r="I32543"/>
    </row>
    <row r="32544" spans="6:9" x14ac:dyDescent="0.3">
      <c r="F32544"/>
      <c r="G32544"/>
      <c r="H32544"/>
      <c r="I32544"/>
    </row>
    <row r="32545" spans="6:9" x14ac:dyDescent="0.3">
      <c r="F32545"/>
      <c r="G32545"/>
      <c r="H32545"/>
      <c r="I32545"/>
    </row>
    <row r="32546" spans="6:9" x14ac:dyDescent="0.3">
      <c r="F32546"/>
      <c r="G32546"/>
      <c r="H32546"/>
      <c r="I32546"/>
    </row>
    <row r="32547" spans="6:9" x14ac:dyDescent="0.3">
      <c r="F32547"/>
      <c r="G32547"/>
      <c r="H32547"/>
      <c r="I32547"/>
    </row>
    <row r="32548" spans="6:9" x14ac:dyDescent="0.3">
      <c r="F32548"/>
      <c r="G32548"/>
      <c r="H32548"/>
      <c r="I32548"/>
    </row>
    <row r="32549" spans="6:9" x14ac:dyDescent="0.3">
      <c r="F32549"/>
      <c r="G32549"/>
      <c r="H32549"/>
      <c r="I32549"/>
    </row>
    <row r="32550" spans="6:9" x14ac:dyDescent="0.3">
      <c r="F32550"/>
      <c r="G32550"/>
      <c r="H32550"/>
      <c r="I32550"/>
    </row>
    <row r="32551" spans="6:9" x14ac:dyDescent="0.3">
      <c r="F32551"/>
      <c r="G32551"/>
      <c r="H32551"/>
      <c r="I32551"/>
    </row>
    <row r="32552" spans="6:9" x14ac:dyDescent="0.3">
      <c r="F32552"/>
      <c r="G32552"/>
      <c r="H32552"/>
      <c r="I32552"/>
    </row>
    <row r="32553" spans="6:9" x14ac:dyDescent="0.3">
      <c r="F32553"/>
      <c r="G32553"/>
      <c r="H32553"/>
      <c r="I32553"/>
    </row>
    <row r="32554" spans="6:9" x14ac:dyDescent="0.3">
      <c r="F32554"/>
      <c r="G32554"/>
      <c r="H32554"/>
      <c r="I32554"/>
    </row>
    <row r="32555" spans="6:9" x14ac:dyDescent="0.3">
      <c r="F32555"/>
      <c r="G32555"/>
      <c r="H32555"/>
      <c r="I32555"/>
    </row>
    <row r="32556" spans="6:9" x14ac:dyDescent="0.3">
      <c r="F32556"/>
      <c r="G32556"/>
      <c r="H32556"/>
      <c r="I32556"/>
    </row>
    <row r="32557" spans="6:9" x14ac:dyDescent="0.3">
      <c r="F32557"/>
      <c r="G32557"/>
      <c r="H32557"/>
      <c r="I32557"/>
    </row>
    <row r="32558" spans="6:9" x14ac:dyDescent="0.3">
      <c r="F32558"/>
      <c r="G32558"/>
      <c r="H32558"/>
      <c r="I32558"/>
    </row>
    <row r="32559" spans="6:9" x14ac:dyDescent="0.3">
      <c r="F32559"/>
      <c r="G32559"/>
      <c r="H32559"/>
      <c r="I32559"/>
    </row>
    <row r="32560" spans="6:9" x14ac:dyDescent="0.3">
      <c r="F32560"/>
      <c r="G32560"/>
      <c r="H32560"/>
      <c r="I32560"/>
    </row>
    <row r="32561" spans="6:9" x14ac:dyDescent="0.3">
      <c r="F32561"/>
      <c r="G32561"/>
      <c r="H32561"/>
      <c r="I32561"/>
    </row>
    <row r="32562" spans="6:9" x14ac:dyDescent="0.3">
      <c r="F32562"/>
      <c r="G32562"/>
      <c r="H32562"/>
      <c r="I32562"/>
    </row>
    <row r="32563" spans="6:9" x14ac:dyDescent="0.3">
      <c r="F32563"/>
      <c r="G32563"/>
      <c r="H32563"/>
      <c r="I32563"/>
    </row>
    <row r="32564" spans="6:9" x14ac:dyDescent="0.3">
      <c r="F32564"/>
      <c r="G32564"/>
      <c r="H32564"/>
      <c r="I32564"/>
    </row>
    <row r="32565" spans="6:9" x14ac:dyDescent="0.3">
      <c r="F32565"/>
      <c r="G32565"/>
      <c r="H32565"/>
      <c r="I32565"/>
    </row>
    <row r="32566" spans="6:9" x14ac:dyDescent="0.3">
      <c r="F32566"/>
      <c r="G32566"/>
      <c r="H32566"/>
      <c r="I32566"/>
    </row>
    <row r="32567" spans="6:9" x14ac:dyDescent="0.3">
      <c r="F32567"/>
      <c r="G32567"/>
      <c r="H32567"/>
      <c r="I32567"/>
    </row>
    <row r="32568" spans="6:9" x14ac:dyDescent="0.3">
      <c r="F32568"/>
      <c r="G32568"/>
      <c r="H32568"/>
      <c r="I32568"/>
    </row>
    <row r="32569" spans="6:9" x14ac:dyDescent="0.3">
      <c r="F32569"/>
      <c r="G32569"/>
      <c r="H32569"/>
      <c r="I32569"/>
    </row>
    <row r="32570" spans="6:9" x14ac:dyDescent="0.3">
      <c r="F32570"/>
      <c r="G32570"/>
      <c r="H32570"/>
      <c r="I32570"/>
    </row>
    <row r="32571" spans="6:9" x14ac:dyDescent="0.3">
      <c r="F32571"/>
      <c r="G32571"/>
      <c r="H32571"/>
      <c r="I32571"/>
    </row>
    <row r="32572" spans="6:9" x14ac:dyDescent="0.3">
      <c r="F32572"/>
      <c r="G32572"/>
      <c r="H32572"/>
      <c r="I32572"/>
    </row>
    <row r="32573" spans="6:9" x14ac:dyDescent="0.3">
      <c r="F32573"/>
      <c r="G32573"/>
      <c r="H32573"/>
      <c r="I32573"/>
    </row>
    <row r="32574" spans="6:9" x14ac:dyDescent="0.3">
      <c r="F32574"/>
      <c r="G32574"/>
      <c r="H32574"/>
      <c r="I32574"/>
    </row>
    <row r="32575" spans="6:9" x14ac:dyDescent="0.3">
      <c r="F32575"/>
      <c r="G32575"/>
      <c r="H32575"/>
      <c r="I32575"/>
    </row>
    <row r="32576" spans="6:9" x14ac:dyDescent="0.3">
      <c r="F32576"/>
      <c r="G32576"/>
      <c r="H32576"/>
      <c r="I32576"/>
    </row>
    <row r="32577" spans="6:9" x14ac:dyDescent="0.3">
      <c r="F32577"/>
      <c r="G32577"/>
      <c r="H32577"/>
      <c r="I32577"/>
    </row>
    <row r="32578" spans="6:9" x14ac:dyDescent="0.3">
      <c r="F32578"/>
      <c r="G32578"/>
      <c r="H32578"/>
      <c r="I32578"/>
    </row>
    <row r="32579" spans="6:9" x14ac:dyDescent="0.3">
      <c r="F32579"/>
      <c r="G32579"/>
      <c r="H32579"/>
      <c r="I32579"/>
    </row>
    <row r="32580" spans="6:9" x14ac:dyDescent="0.3">
      <c r="F32580"/>
      <c r="G32580"/>
      <c r="H32580"/>
      <c r="I32580"/>
    </row>
    <row r="32581" spans="6:9" x14ac:dyDescent="0.3">
      <c r="F32581"/>
      <c r="G32581"/>
      <c r="H32581"/>
      <c r="I32581"/>
    </row>
    <row r="32582" spans="6:9" x14ac:dyDescent="0.3">
      <c r="F32582"/>
      <c r="G32582"/>
      <c r="H32582"/>
      <c r="I32582"/>
    </row>
    <row r="32583" spans="6:9" x14ac:dyDescent="0.3">
      <c r="F32583"/>
      <c r="G32583"/>
      <c r="H32583"/>
      <c r="I32583"/>
    </row>
    <row r="32584" spans="6:9" x14ac:dyDescent="0.3">
      <c r="F32584"/>
      <c r="G32584"/>
      <c r="H32584"/>
      <c r="I32584"/>
    </row>
    <row r="32585" spans="6:9" x14ac:dyDescent="0.3">
      <c r="F32585"/>
      <c r="G32585"/>
      <c r="H32585"/>
      <c r="I32585"/>
    </row>
    <row r="32586" spans="6:9" x14ac:dyDescent="0.3">
      <c r="F32586"/>
      <c r="G32586"/>
      <c r="H32586"/>
      <c r="I32586"/>
    </row>
    <row r="32587" spans="6:9" x14ac:dyDescent="0.3">
      <c r="F32587"/>
      <c r="G32587"/>
      <c r="H32587"/>
      <c r="I32587"/>
    </row>
    <row r="32588" spans="6:9" x14ac:dyDescent="0.3">
      <c r="F32588"/>
      <c r="G32588"/>
      <c r="H32588"/>
      <c r="I32588"/>
    </row>
    <row r="32589" spans="6:9" x14ac:dyDescent="0.3">
      <c r="F32589"/>
      <c r="G32589"/>
      <c r="H32589"/>
      <c r="I32589"/>
    </row>
    <row r="32590" spans="6:9" x14ac:dyDescent="0.3">
      <c r="F32590"/>
      <c r="G32590"/>
      <c r="H32590"/>
      <c r="I32590"/>
    </row>
    <row r="32591" spans="6:9" x14ac:dyDescent="0.3">
      <c r="F32591"/>
      <c r="G32591"/>
      <c r="H32591"/>
      <c r="I32591"/>
    </row>
    <row r="32592" spans="6:9" x14ac:dyDescent="0.3">
      <c r="F32592"/>
      <c r="G32592"/>
      <c r="H32592"/>
      <c r="I32592"/>
    </row>
    <row r="32593" spans="6:9" x14ac:dyDescent="0.3">
      <c r="F32593"/>
      <c r="G32593"/>
      <c r="H32593"/>
      <c r="I32593"/>
    </row>
    <row r="32594" spans="6:9" x14ac:dyDescent="0.3">
      <c r="F32594"/>
      <c r="G32594"/>
      <c r="H32594"/>
      <c r="I32594"/>
    </row>
    <row r="32595" spans="6:9" x14ac:dyDescent="0.3">
      <c r="F32595"/>
      <c r="G32595"/>
      <c r="H32595"/>
      <c r="I32595"/>
    </row>
    <row r="32596" spans="6:9" x14ac:dyDescent="0.3">
      <c r="F32596"/>
      <c r="G32596"/>
      <c r="H32596"/>
      <c r="I32596"/>
    </row>
    <row r="32597" spans="6:9" x14ac:dyDescent="0.3">
      <c r="F32597"/>
      <c r="G32597"/>
      <c r="H32597"/>
      <c r="I32597"/>
    </row>
    <row r="32598" spans="6:9" x14ac:dyDescent="0.3">
      <c r="F32598"/>
      <c r="G32598"/>
      <c r="H32598"/>
      <c r="I32598"/>
    </row>
    <row r="32599" spans="6:9" x14ac:dyDescent="0.3">
      <c r="F32599"/>
      <c r="G32599"/>
      <c r="H32599"/>
      <c r="I32599"/>
    </row>
    <row r="32600" spans="6:9" x14ac:dyDescent="0.3">
      <c r="F32600"/>
      <c r="G32600"/>
      <c r="H32600"/>
      <c r="I32600"/>
    </row>
    <row r="32601" spans="6:9" x14ac:dyDescent="0.3">
      <c r="F32601"/>
      <c r="G32601"/>
      <c r="H32601"/>
      <c r="I32601"/>
    </row>
    <row r="32602" spans="6:9" x14ac:dyDescent="0.3">
      <c r="F32602"/>
      <c r="G32602"/>
      <c r="H32602"/>
      <c r="I32602"/>
    </row>
    <row r="32603" spans="6:9" x14ac:dyDescent="0.3">
      <c r="F32603"/>
      <c r="G32603"/>
      <c r="H32603"/>
      <c r="I32603"/>
    </row>
    <row r="32604" spans="6:9" x14ac:dyDescent="0.3">
      <c r="F32604"/>
      <c r="G32604"/>
      <c r="H32604"/>
      <c r="I32604"/>
    </row>
    <row r="32605" spans="6:9" x14ac:dyDescent="0.3">
      <c r="F32605"/>
      <c r="G32605"/>
      <c r="H32605"/>
      <c r="I32605"/>
    </row>
    <row r="32606" spans="6:9" x14ac:dyDescent="0.3">
      <c r="F32606"/>
      <c r="G32606"/>
      <c r="H32606"/>
      <c r="I32606"/>
    </row>
    <row r="32607" spans="6:9" x14ac:dyDescent="0.3">
      <c r="F32607"/>
      <c r="G32607"/>
      <c r="H32607"/>
      <c r="I32607"/>
    </row>
    <row r="32608" spans="6:9" x14ac:dyDescent="0.3">
      <c r="F32608"/>
      <c r="G32608"/>
      <c r="H32608"/>
      <c r="I32608"/>
    </row>
    <row r="32609" spans="6:9" x14ac:dyDescent="0.3">
      <c r="F32609"/>
      <c r="G32609"/>
      <c r="H32609"/>
      <c r="I32609"/>
    </row>
    <row r="32610" spans="6:9" x14ac:dyDescent="0.3">
      <c r="F32610"/>
      <c r="G32610"/>
      <c r="H32610"/>
      <c r="I32610"/>
    </row>
    <row r="32611" spans="6:9" x14ac:dyDescent="0.3">
      <c r="F32611"/>
      <c r="G32611"/>
      <c r="H32611"/>
      <c r="I32611"/>
    </row>
    <row r="32612" spans="6:9" x14ac:dyDescent="0.3">
      <c r="F32612"/>
      <c r="G32612"/>
      <c r="H32612"/>
      <c r="I32612"/>
    </row>
    <row r="32613" spans="6:9" x14ac:dyDescent="0.3">
      <c r="F32613"/>
      <c r="G32613"/>
      <c r="H32613"/>
      <c r="I32613"/>
    </row>
    <row r="32614" spans="6:9" x14ac:dyDescent="0.3">
      <c r="F32614"/>
      <c r="G32614"/>
      <c r="H32614"/>
      <c r="I32614"/>
    </row>
    <row r="32615" spans="6:9" x14ac:dyDescent="0.3">
      <c r="F32615"/>
      <c r="G32615"/>
      <c r="H32615"/>
      <c r="I32615"/>
    </row>
    <row r="32616" spans="6:9" x14ac:dyDescent="0.3">
      <c r="F32616"/>
      <c r="G32616"/>
      <c r="H32616"/>
      <c r="I32616"/>
    </row>
    <row r="32617" spans="6:9" x14ac:dyDescent="0.3">
      <c r="F32617"/>
      <c r="G32617"/>
      <c r="H32617"/>
      <c r="I32617"/>
    </row>
    <row r="32618" spans="6:9" x14ac:dyDescent="0.3">
      <c r="F32618"/>
      <c r="G32618"/>
      <c r="H32618"/>
      <c r="I32618"/>
    </row>
    <row r="32619" spans="6:9" x14ac:dyDescent="0.3">
      <c r="F32619"/>
      <c r="G32619"/>
      <c r="H32619"/>
      <c r="I32619"/>
    </row>
    <row r="32620" spans="6:9" x14ac:dyDescent="0.3">
      <c r="F32620"/>
      <c r="G32620"/>
      <c r="H32620"/>
      <c r="I32620"/>
    </row>
    <row r="32621" spans="6:9" x14ac:dyDescent="0.3">
      <c r="F32621"/>
      <c r="G32621"/>
      <c r="H32621"/>
      <c r="I32621"/>
    </row>
    <row r="32622" spans="6:9" x14ac:dyDescent="0.3">
      <c r="F32622"/>
      <c r="G32622"/>
      <c r="H32622"/>
      <c r="I32622"/>
    </row>
    <row r="32623" spans="6:9" x14ac:dyDescent="0.3">
      <c r="F32623"/>
      <c r="G32623"/>
      <c r="H32623"/>
      <c r="I32623"/>
    </row>
    <row r="32624" spans="6:9" x14ac:dyDescent="0.3">
      <c r="F32624"/>
      <c r="G32624"/>
      <c r="H32624"/>
      <c r="I32624"/>
    </row>
    <row r="32625" spans="6:9" x14ac:dyDescent="0.3">
      <c r="F32625"/>
      <c r="G32625"/>
      <c r="H32625"/>
      <c r="I32625"/>
    </row>
    <row r="32626" spans="6:9" x14ac:dyDescent="0.3">
      <c r="F32626"/>
      <c r="G32626"/>
      <c r="H32626"/>
      <c r="I32626"/>
    </row>
    <row r="32627" spans="6:9" x14ac:dyDescent="0.3">
      <c r="F32627"/>
      <c r="G32627"/>
      <c r="H32627"/>
      <c r="I32627"/>
    </row>
    <row r="32628" spans="6:9" x14ac:dyDescent="0.3">
      <c r="F32628"/>
      <c r="G32628"/>
      <c r="H32628"/>
      <c r="I32628"/>
    </row>
    <row r="32629" spans="6:9" x14ac:dyDescent="0.3">
      <c r="F32629"/>
      <c r="G32629"/>
      <c r="H32629"/>
      <c r="I32629"/>
    </row>
    <row r="32630" spans="6:9" x14ac:dyDescent="0.3">
      <c r="F32630"/>
      <c r="G32630"/>
      <c r="H32630"/>
      <c r="I32630"/>
    </row>
    <row r="32631" spans="6:9" x14ac:dyDescent="0.3">
      <c r="F32631"/>
      <c r="G32631"/>
      <c r="H32631"/>
      <c r="I32631"/>
    </row>
    <row r="32632" spans="6:9" x14ac:dyDescent="0.3">
      <c r="F32632"/>
      <c r="G32632"/>
      <c r="H32632"/>
      <c r="I32632"/>
    </row>
    <row r="32633" spans="6:9" x14ac:dyDescent="0.3">
      <c r="F32633"/>
      <c r="G32633"/>
      <c r="H32633"/>
      <c r="I32633"/>
    </row>
    <row r="32634" spans="6:9" x14ac:dyDescent="0.3">
      <c r="F32634"/>
      <c r="G32634"/>
      <c r="H32634"/>
      <c r="I32634"/>
    </row>
    <row r="32635" spans="6:9" x14ac:dyDescent="0.3">
      <c r="F32635"/>
      <c r="G32635"/>
      <c r="H32635"/>
      <c r="I32635"/>
    </row>
    <row r="32636" spans="6:9" x14ac:dyDescent="0.3">
      <c r="F32636"/>
      <c r="G32636"/>
      <c r="H32636"/>
      <c r="I32636"/>
    </row>
    <row r="32637" spans="6:9" x14ac:dyDescent="0.3">
      <c r="F32637"/>
      <c r="G32637"/>
      <c r="H32637"/>
      <c r="I32637"/>
    </row>
    <row r="32638" spans="6:9" x14ac:dyDescent="0.3">
      <c r="F32638"/>
      <c r="G32638"/>
      <c r="H32638"/>
      <c r="I32638"/>
    </row>
    <row r="32639" spans="6:9" x14ac:dyDescent="0.3">
      <c r="F32639"/>
      <c r="G32639"/>
      <c r="H32639"/>
      <c r="I32639"/>
    </row>
    <row r="32640" spans="6:9" x14ac:dyDescent="0.3">
      <c r="F32640"/>
      <c r="G32640"/>
      <c r="H32640"/>
      <c r="I32640"/>
    </row>
    <row r="32641" spans="6:9" x14ac:dyDescent="0.3">
      <c r="F32641"/>
      <c r="G32641"/>
      <c r="H32641"/>
      <c r="I32641"/>
    </row>
    <row r="32642" spans="6:9" x14ac:dyDescent="0.3">
      <c r="F32642"/>
      <c r="G32642"/>
      <c r="H32642"/>
      <c r="I32642"/>
    </row>
    <row r="32643" spans="6:9" x14ac:dyDescent="0.3">
      <c r="F32643"/>
      <c r="G32643"/>
      <c r="H32643"/>
      <c r="I32643"/>
    </row>
    <row r="32644" spans="6:9" x14ac:dyDescent="0.3">
      <c r="F32644"/>
      <c r="G32644"/>
      <c r="H32644"/>
      <c r="I32644"/>
    </row>
    <row r="32645" spans="6:9" x14ac:dyDescent="0.3">
      <c r="F32645"/>
      <c r="G32645"/>
      <c r="H32645"/>
      <c r="I32645"/>
    </row>
    <row r="32646" spans="6:9" x14ac:dyDescent="0.3">
      <c r="F32646"/>
      <c r="G32646"/>
      <c r="H32646"/>
      <c r="I32646"/>
    </row>
    <row r="32647" spans="6:9" x14ac:dyDescent="0.3">
      <c r="F32647"/>
      <c r="G32647"/>
      <c r="H32647"/>
      <c r="I32647"/>
    </row>
    <row r="32648" spans="6:9" x14ac:dyDescent="0.3">
      <c r="F32648"/>
      <c r="G32648"/>
      <c r="H32648"/>
      <c r="I32648"/>
    </row>
    <row r="32649" spans="6:9" x14ac:dyDescent="0.3">
      <c r="F32649"/>
      <c r="G32649"/>
      <c r="H32649"/>
      <c r="I32649"/>
    </row>
    <row r="32650" spans="6:9" x14ac:dyDescent="0.3">
      <c r="F32650"/>
      <c r="G32650"/>
      <c r="H32650"/>
      <c r="I32650"/>
    </row>
    <row r="32651" spans="6:9" x14ac:dyDescent="0.3">
      <c r="F32651"/>
      <c r="G32651"/>
      <c r="H32651"/>
      <c r="I32651"/>
    </row>
    <row r="32652" spans="6:9" x14ac:dyDescent="0.3">
      <c r="F32652"/>
      <c r="G32652"/>
      <c r="H32652"/>
      <c r="I32652"/>
    </row>
    <row r="32653" spans="6:9" x14ac:dyDescent="0.3">
      <c r="F32653"/>
      <c r="G32653"/>
      <c r="H32653"/>
      <c r="I32653"/>
    </row>
    <row r="32654" spans="6:9" x14ac:dyDescent="0.3">
      <c r="F32654"/>
      <c r="G32654"/>
      <c r="H32654"/>
      <c r="I32654"/>
    </row>
    <row r="32655" spans="6:9" x14ac:dyDescent="0.3">
      <c r="F32655"/>
      <c r="G32655"/>
      <c r="H32655"/>
      <c r="I32655"/>
    </row>
    <row r="32656" spans="6:9" x14ac:dyDescent="0.3">
      <c r="F32656"/>
      <c r="G32656"/>
      <c r="H32656"/>
      <c r="I32656"/>
    </row>
    <row r="32657" spans="6:9" x14ac:dyDescent="0.3">
      <c r="F32657"/>
      <c r="G32657"/>
      <c r="H32657"/>
      <c r="I32657"/>
    </row>
    <row r="32658" spans="6:9" x14ac:dyDescent="0.3">
      <c r="F32658"/>
      <c r="G32658"/>
      <c r="H32658"/>
      <c r="I32658"/>
    </row>
    <row r="32659" spans="6:9" x14ac:dyDescent="0.3">
      <c r="F32659"/>
      <c r="G32659"/>
      <c r="H32659"/>
      <c r="I32659"/>
    </row>
    <row r="32660" spans="6:9" x14ac:dyDescent="0.3">
      <c r="F32660"/>
      <c r="G32660"/>
      <c r="H32660"/>
      <c r="I32660"/>
    </row>
    <row r="32661" spans="6:9" x14ac:dyDescent="0.3">
      <c r="F32661"/>
      <c r="G32661"/>
      <c r="H32661"/>
      <c r="I32661"/>
    </row>
    <row r="32662" spans="6:9" x14ac:dyDescent="0.3">
      <c r="F32662"/>
      <c r="G32662"/>
      <c r="H32662"/>
      <c r="I32662"/>
    </row>
    <row r="32663" spans="6:9" x14ac:dyDescent="0.3">
      <c r="F32663"/>
      <c r="G32663"/>
      <c r="H32663"/>
      <c r="I32663"/>
    </row>
    <row r="32664" spans="6:9" x14ac:dyDescent="0.3">
      <c r="F32664"/>
      <c r="G32664"/>
      <c r="H32664"/>
      <c r="I32664"/>
    </row>
    <row r="32665" spans="6:9" x14ac:dyDescent="0.3">
      <c r="F32665"/>
      <c r="G32665"/>
      <c r="H32665"/>
      <c r="I32665"/>
    </row>
    <row r="32666" spans="6:9" x14ac:dyDescent="0.3">
      <c r="F32666"/>
      <c r="G32666"/>
      <c r="H32666"/>
      <c r="I32666"/>
    </row>
    <row r="32667" spans="6:9" x14ac:dyDescent="0.3">
      <c r="F32667"/>
      <c r="G32667"/>
      <c r="H32667"/>
      <c r="I32667"/>
    </row>
    <row r="32668" spans="6:9" x14ac:dyDescent="0.3">
      <c r="F32668"/>
      <c r="G32668"/>
      <c r="H32668"/>
      <c r="I32668"/>
    </row>
    <row r="32669" spans="6:9" x14ac:dyDescent="0.3">
      <c r="F32669"/>
      <c r="G32669"/>
      <c r="H32669"/>
      <c r="I32669"/>
    </row>
    <row r="32670" spans="6:9" x14ac:dyDescent="0.3">
      <c r="F32670"/>
      <c r="G32670"/>
      <c r="H32670"/>
      <c r="I32670"/>
    </row>
    <row r="32671" spans="6:9" x14ac:dyDescent="0.3">
      <c r="F32671"/>
      <c r="G32671"/>
      <c r="H32671"/>
      <c r="I32671"/>
    </row>
    <row r="32672" spans="6:9" x14ac:dyDescent="0.3">
      <c r="F32672"/>
      <c r="G32672"/>
      <c r="H32672"/>
      <c r="I32672"/>
    </row>
    <row r="32673" spans="6:9" x14ac:dyDescent="0.3">
      <c r="F32673"/>
      <c r="G32673"/>
      <c r="H32673"/>
      <c r="I32673"/>
    </row>
    <row r="32674" spans="6:9" x14ac:dyDescent="0.3">
      <c r="F32674"/>
      <c r="G32674"/>
      <c r="H32674"/>
      <c r="I32674"/>
    </row>
    <row r="32675" spans="6:9" x14ac:dyDescent="0.3">
      <c r="F32675"/>
      <c r="G32675"/>
      <c r="H32675"/>
      <c r="I32675"/>
    </row>
    <row r="32676" spans="6:9" x14ac:dyDescent="0.3">
      <c r="F32676"/>
      <c r="G32676"/>
      <c r="H32676"/>
      <c r="I32676"/>
    </row>
    <row r="32677" spans="6:9" x14ac:dyDescent="0.3">
      <c r="F32677"/>
      <c r="G32677"/>
      <c r="H32677"/>
      <c r="I32677"/>
    </row>
    <row r="32678" spans="6:9" x14ac:dyDescent="0.3">
      <c r="F32678"/>
      <c r="G32678"/>
      <c r="H32678"/>
      <c r="I32678"/>
    </row>
    <row r="32679" spans="6:9" x14ac:dyDescent="0.3">
      <c r="F32679"/>
      <c r="G32679"/>
      <c r="H32679"/>
      <c r="I32679"/>
    </row>
    <row r="32680" spans="6:9" x14ac:dyDescent="0.3">
      <c r="F32680"/>
      <c r="G32680"/>
      <c r="H32680"/>
      <c r="I32680"/>
    </row>
    <row r="32681" spans="6:9" x14ac:dyDescent="0.3">
      <c r="F32681"/>
      <c r="G32681"/>
      <c r="H32681"/>
      <c r="I32681"/>
    </row>
    <row r="32682" spans="6:9" x14ac:dyDescent="0.3">
      <c r="F32682"/>
      <c r="G32682"/>
      <c r="H32682"/>
      <c r="I32682"/>
    </row>
    <row r="32683" spans="6:9" x14ac:dyDescent="0.3">
      <c r="F32683"/>
      <c r="G32683"/>
      <c r="H32683"/>
      <c r="I32683"/>
    </row>
    <row r="32684" spans="6:9" x14ac:dyDescent="0.3">
      <c r="F32684"/>
      <c r="G32684"/>
      <c r="H32684"/>
      <c r="I32684"/>
    </row>
    <row r="32685" spans="6:9" x14ac:dyDescent="0.3">
      <c r="F32685"/>
      <c r="G32685"/>
      <c r="H32685"/>
      <c r="I32685"/>
    </row>
    <row r="32686" spans="6:9" x14ac:dyDescent="0.3">
      <c r="F32686"/>
      <c r="G32686"/>
      <c r="H32686"/>
      <c r="I32686"/>
    </row>
    <row r="32687" spans="6:9" x14ac:dyDescent="0.3">
      <c r="F32687"/>
      <c r="G32687"/>
      <c r="H32687"/>
      <c r="I32687"/>
    </row>
    <row r="32688" spans="6:9" x14ac:dyDescent="0.3">
      <c r="F32688"/>
      <c r="G32688"/>
      <c r="H32688"/>
      <c r="I32688"/>
    </row>
    <row r="32689" spans="6:9" x14ac:dyDescent="0.3">
      <c r="F32689"/>
      <c r="G32689"/>
      <c r="H32689"/>
      <c r="I32689"/>
    </row>
    <row r="32690" spans="6:9" x14ac:dyDescent="0.3">
      <c r="F32690"/>
      <c r="G32690"/>
      <c r="H32690"/>
      <c r="I32690"/>
    </row>
    <row r="32691" spans="6:9" x14ac:dyDescent="0.3">
      <c r="F32691"/>
      <c r="G32691"/>
      <c r="H32691"/>
      <c r="I32691"/>
    </row>
    <row r="32692" spans="6:9" x14ac:dyDescent="0.3">
      <c r="F32692"/>
      <c r="G32692"/>
      <c r="H32692"/>
      <c r="I32692"/>
    </row>
    <row r="32693" spans="6:9" x14ac:dyDescent="0.3">
      <c r="F32693"/>
      <c r="G32693"/>
      <c r="H32693"/>
      <c r="I32693"/>
    </row>
    <row r="32694" spans="6:9" x14ac:dyDescent="0.3">
      <c r="F32694"/>
      <c r="G32694"/>
      <c r="H32694"/>
      <c r="I32694"/>
    </row>
    <row r="32695" spans="6:9" x14ac:dyDescent="0.3">
      <c r="F32695"/>
      <c r="G32695"/>
      <c r="H32695"/>
      <c r="I32695"/>
    </row>
    <row r="32696" spans="6:9" x14ac:dyDescent="0.3">
      <c r="F32696"/>
      <c r="G32696"/>
      <c r="H32696"/>
      <c r="I32696"/>
    </row>
    <row r="32697" spans="6:9" x14ac:dyDescent="0.3">
      <c r="F32697"/>
      <c r="G32697"/>
      <c r="H32697"/>
      <c r="I32697"/>
    </row>
    <row r="32698" spans="6:9" x14ac:dyDescent="0.3">
      <c r="F32698"/>
      <c r="G32698"/>
      <c r="H32698"/>
      <c r="I32698"/>
    </row>
    <row r="32699" spans="6:9" x14ac:dyDescent="0.3">
      <c r="F32699"/>
      <c r="G32699"/>
      <c r="H32699"/>
      <c r="I32699"/>
    </row>
    <row r="32700" spans="6:9" x14ac:dyDescent="0.3">
      <c r="F32700"/>
      <c r="G32700"/>
      <c r="H32700"/>
      <c r="I32700"/>
    </row>
    <row r="32701" spans="6:9" x14ac:dyDescent="0.3">
      <c r="F32701"/>
      <c r="G32701"/>
      <c r="H32701"/>
      <c r="I32701"/>
    </row>
    <row r="32702" spans="6:9" x14ac:dyDescent="0.3">
      <c r="F32702"/>
      <c r="G32702"/>
      <c r="H32702"/>
      <c r="I32702"/>
    </row>
    <row r="32703" spans="6:9" x14ac:dyDescent="0.3">
      <c r="F32703"/>
      <c r="G32703"/>
      <c r="H32703"/>
      <c r="I32703"/>
    </row>
    <row r="32704" spans="6:9" x14ac:dyDescent="0.3">
      <c r="F32704"/>
      <c r="G32704"/>
      <c r="H32704"/>
      <c r="I32704"/>
    </row>
    <row r="32705" spans="6:9" x14ac:dyDescent="0.3">
      <c r="F32705"/>
      <c r="G32705"/>
      <c r="H32705"/>
      <c r="I32705"/>
    </row>
    <row r="32706" spans="6:9" x14ac:dyDescent="0.3">
      <c r="F32706"/>
      <c r="G32706"/>
      <c r="H32706"/>
      <c r="I32706"/>
    </row>
    <row r="32707" spans="6:9" x14ac:dyDescent="0.3">
      <c r="F32707"/>
      <c r="G32707"/>
      <c r="H32707"/>
      <c r="I32707"/>
    </row>
    <row r="32708" spans="6:9" x14ac:dyDescent="0.3">
      <c r="F32708"/>
      <c r="G32708"/>
      <c r="H32708"/>
      <c r="I32708"/>
    </row>
    <row r="32709" spans="6:9" x14ac:dyDescent="0.3">
      <c r="F32709"/>
      <c r="G32709"/>
      <c r="H32709"/>
      <c r="I32709"/>
    </row>
    <row r="32710" spans="6:9" x14ac:dyDescent="0.3">
      <c r="F32710"/>
      <c r="G32710"/>
      <c r="H32710"/>
      <c r="I32710"/>
    </row>
    <row r="32711" spans="6:9" x14ac:dyDescent="0.3">
      <c r="F32711"/>
      <c r="G32711"/>
      <c r="H32711"/>
      <c r="I32711"/>
    </row>
    <row r="32712" spans="6:9" x14ac:dyDescent="0.3">
      <c r="F32712"/>
      <c r="G32712"/>
      <c r="H32712"/>
      <c r="I32712"/>
    </row>
    <row r="32713" spans="6:9" x14ac:dyDescent="0.3">
      <c r="F32713"/>
      <c r="G32713"/>
      <c r="H32713"/>
      <c r="I32713"/>
    </row>
    <row r="32714" spans="6:9" x14ac:dyDescent="0.3">
      <c r="F32714"/>
      <c r="G32714"/>
      <c r="H32714"/>
      <c r="I32714"/>
    </row>
    <row r="32715" spans="6:9" x14ac:dyDescent="0.3">
      <c r="F32715"/>
      <c r="G32715"/>
      <c r="H32715"/>
      <c r="I32715"/>
    </row>
    <row r="32716" spans="6:9" x14ac:dyDescent="0.3">
      <c r="F32716"/>
      <c r="G32716"/>
      <c r="H32716"/>
      <c r="I32716"/>
    </row>
    <row r="32717" spans="6:9" x14ac:dyDescent="0.3">
      <c r="F32717"/>
      <c r="G32717"/>
      <c r="H32717"/>
      <c r="I32717"/>
    </row>
    <row r="32718" spans="6:9" x14ac:dyDescent="0.3">
      <c r="F32718"/>
      <c r="G32718"/>
      <c r="H32718"/>
      <c r="I32718"/>
    </row>
    <row r="32719" spans="6:9" x14ac:dyDescent="0.3">
      <c r="F32719"/>
      <c r="G32719"/>
      <c r="H32719"/>
      <c r="I32719"/>
    </row>
    <row r="32720" spans="6:9" x14ac:dyDescent="0.3">
      <c r="F32720"/>
      <c r="G32720"/>
      <c r="H32720"/>
      <c r="I32720"/>
    </row>
    <row r="32721" spans="6:9" x14ac:dyDescent="0.3">
      <c r="F32721"/>
      <c r="G32721"/>
      <c r="H32721"/>
      <c r="I32721"/>
    </row>
    <row r="32722" spans="6:9" x14ac:dyDescent="0.3">
      <c r="F32722"/>
      <c r="G32722"/>
      <c r="H32722"/>
      <c r="I32722"/>
    </row>
    <row r="32723" spans="6:9" x14ac:dyDescent="0.3">
      <c r="F32723"/>
      <c r="G32723"/>
      <c r="H32723"/>
      <c r="I32723"/>
    </row>
    <row r="32724" spans="6:9" x14ac:dyDescent="0.3">
      <c r="F32724"/>
      <c r="G32724"/>
      <c r="H32724"/>
      <c r="I32724"/>
    </row>
    <row r="32725" spans="6:9" x14ac:dyDescent="0.3">
      <c r="F32725"/>
      <c r="G32725"/>
      <c r="H32725"/>
      <c r="I32725"/>
    </row>
    <row r="32726" spans="6:9" x14ac:dyDescent="0.3">
      <c r="F32726"/>
      <c r="G32726"/>
      <c r="H32726"/>
      <c r="I32726"/>
    </row>
    <row r="32727" spans="6:9" x14ac:dyDescent="0.3">
      <c r="F32727"/>
      <c r="G32727"/>
      <c r="H32727"/>
      <c r="I32727"/>
    </row>
    <row r="32728" spans="6:9" x14ac:dyDescent="0.3">
      <c r="F32728"/>
      <c r="G32728"/>
      <c r="H32728"/>
      <c r="I32728"/>
    </row>
    <row r="32729" spans="6:9" x14ac:dyDescent="0.3">
      <c r="F32729"/>
      <c r="G32729"/>
      <c r="H32729"/>
      <c r="I32729"/>
    </row>
    <row r="32730" spans="6:9" x14ac:dyDescent="0.3">
      <c r="F32730"/>
      <c r="G32730"/>
      <c r="H32730"/>
      <c r="I32730"/>
    </row>
    <row r="32731" spans="6:9" x14ac:dyDescent="0.3">
      <c r="F32731"/>
      <c r="G32731"/>
      <c r="H32731"/>
      <c r="I32731"/>
    </row>
    <row r="32732" spans="6:9" x14ac:dyDescent="0.3">
      <c r="F32732"/>
      <c r="G32732"/>
      <c r="H32732"/>
      <c r="I32732"/>
    </row>
    <row r="32733" spans="6:9" x14ac:dyDescent="0.3">
      <c r="F32733"/>
      <c r="G32733"/>
      <c r="H32733"/>
      <c r="I32733"/>
    </row>
    <row r="32734" spans="6:9" x14ac:dyDescent="0.3">
      <c r="F32734"/>
      <c r="G32734"/>
      <c r="H32734"/>
      <c r="I32734"/>
    </row>
    <row r="32735" spans="6:9" x14ac:dyDescent="0.3">
      <c r="F32735"/>
      <c r="G32735"/>
      <c r="H32735"/>
      <c r="I32735"/>
    </row>
    <row r="32736" spans="6:9" x14ac:dyDescent="0.3">
      <c r="F32736"/>
      <c r="G32736"/>
      <c r="H32736"/>
      <c r="I32736"/>
    </row>
    <row r="32737" spans="6:9" x14ac:dyDescent="0.3">
      <c r="F32737"/>
      <c r="G32737"/>
      <c r="H32737"/>
      <c r="I32737"/>
    </row>
    <row r="32738" spans="6:9" x14ac:dyDescent="0.3">
      <c r="F32738"/>
      <c r="G32738"/>
      <c r="H32738"/>
      <c r="I32738"/>
    </row>
    <row r="32739" spans="6:9" x14ac:dyDescent="0.3">
      <c r="F32739"/>
      <c r="G32739"/>
      <c r="H32739"/>
      <c r="I32739"/>
    </row>
    <row r="32740" spans="6:9" x14ac:dyDescent="0.3">
      <c r="F32740"/>
      <c r="G32740"/>
      <c r="H32740"/>
      <c r="I32740"/>
    </row>
    <row r="32741" spans="6:9" x14ac:dyDescent="0.3">
      <c r="F32741"/>
      <c r="G32741"/>
      <c r="H32741"/>
      <c r="I32741"/>
    </row>
    <row r="32742" spans="6:9" x14ac:dyDescent="0.3">
      <c r="F32742"/>
      <c r="G32742"/>
      <c r="H32742"/>
      <c r="I32742"/>
    </row>
    <row r="32743" spans="6:9" x14ac:dyDescent="0.3">
      <c r="F32743"/>
      <c r="G32743"/>
      <c r="H32743"/>
      <c r="I32743"/>
    </row>
    <row r="32744" spans="6:9" x14ac:dyDescent="0.3">
      <c r="F32744"/>
      <c r="G32744"/>
      <c r="H32744"/>
      <c r="I32744"/>
    </row>
    <row r="32745" spans="6:9" x14ac:dyDescent="0.3">
      <c r="F32745"/>
      <c r="G32745"/>
      <c r="H32745"/>
      <c r="I32745"/>
    </row>
    <row r="32746" spans="6:9" x14ac:dyDescent="0.3">
      <c r="F32746"/>
      <c r="G32746"/>
      <c r="H32746"/>
      <c r="I32746"/>
    </row>
    <row r="32747" spans="6:9" x14ac:dyDescent="0.3">
      <c r="F32747"/>
      <c r="G32747"/>
      <c r="H32747"/>
      <c r="I32747"/>
    </row>
    <row r="32748" spans="6:9" x14ac:dyDescent="0.3">
      <c r="F32748"/>
      <c r="G32748"/>
      <c r="H32748"/>
      <c r="I32748"/>
    </row>
    <row r="32749" spans="6:9" x14ac:dyDescent="0.3">
      <c r="F32749"/>
      <c r="G32749"/>
      <c r="H32749"/>
      <c r="I32749"/>
    </row>
    <row r="32750" spans="6:9" x14ac:dyDescent="0.3">
      <c r="F32750"/>
      <c r="G32750"/>
      <c r="H32750"/>
      <c r="I32750"/>
    </row>
    <row r="32751" spans="6:9" x14ac:dyDescent="0.3">
      <c r="F32751"/>
      <c r="G32751"/>
      <c r="H32751"/>
      <c r="I32751"/>
    </row>
    <row r="32752" spans="6:9" x14ac:dyDescent="0.3">
      <c r="F32752"/>
      <c r="G32752"/>
      <c r="H32752"/>
      <c r="I32752"/>
    </row>
    <row r="32753" spans="6:9" x14ac:dyDescent="0.3">
      <c r="F32753"/>
      <c r="G32753"/>
      <c r="H32753"/>
      <c r="I32753"/>
    </row>
    <row r="32754" spans="6:9" x14ac:dyDescent="0.3">
      <c r="F32754"/>
      <c r="G32754"/>
      <c r="H32754"/>
      <c r="I32754"/>
    </row>
    <row r="32755" spans="6:9" x14ac:dyDescent="0.3">
      <c r="F32755"/>
      <c r="G32755"/>
      <c r="H32755"/>
      <c r="I32755"/>
    </row>
    <row r="32756" spans="6:9" x14ac:dyDescent="0.3">
      <c r="F32756"/>
      <c r="G32756"/>
      <c r="H32756"/>
      <c r="I32756"/>
    </row>
    <row r="32757" spans="6:9" x14ac:dyDescent="0.3">
      <c r="F32757"/>
      <c r="G32757"/>
      <c r="H32757"/>
      <c r="I32757"/>
    </row>
    <row r="32758" spans="6:9" x14ac:dyDescent="0.3">
      <c r="F32758"/>
      <c r="G32758"/>
      <c r="H32758"/>
      <c r="I32758"/>
    </row>
    <row r="32759" spans="6:9" x14ac:dyDescent="0.3">
      <c r="F32759"/>
      <c r="G32759"/>
      <c r="H32759"/>
      <c r="I32759"/>
    </row>
    <row r="32760" spans="6:9" x14ac:dyDescent="0.3">
      <c r="F32760"/>
      <c r="G32760"/>
      <c r="H32760"/>
      <c r="I32760"/>
    </row>
    <row r="32761" spans="6:9" x14ac:dyDescent="0.3">
      <c r="F32761"/>
      <c r="G32761"/>
      <c r="H32761"/>
      <c r="I32761"/>
    </row>
    <row r="32762" spans="6:9" x14ac:dyDescent="0.3">
      <c r="F32762"/>
      <c r="G32762"/>
      <c r="H32762"/>
      <c r="I32762"/>
    </row>
    <row r="32763" spans="6:9" x14ac:dyDescent="0.3">
      <c r="F32763"/>
      <c r="G32763"/>
      <c r="H32763"/>
      <c r="I32763"/>
    </row>
    <row r="32764" spans="6:9" x14ac:dyDescent="0.3">
      <c r="F32764"/>
      <c r="G32764"/>
      <c r="H32764"/>
      <c r="I32764"/>
    </row>
    <row r="32765" spans="6:9" x14ac:dyDescent="0.3">
      <c r="F32765"/>
      <c r="G32765"/>
      <c r="H32765"/>
      <c r="I32765"/>
    </row>
    <row r="32766" spans="6:9" x14ac:dyDescent="0.3">
      <c r="F32766"/>
      <c r="G32766"/>
      <c r="H32766"/>
      <c r="I32766"/>
    </row>
    <row r="32767" spans="6:9" x14ac:dyDescent="0.3">
      <c r="F32767"/>
      <c r="G32767"/>
      <c r="H32767"/>
      <c r="I32767"/>
    </row>
    <row r="32768" spans="6:9" x14ac:dyDescent="0.3">
      <c r="F32768"/>
      <c r="G32768"/>
      <c r="H32768"/>
      <c r="I32768"/>
    </row>
    <row r="32769" spans="6:9" x14ac:dyDescent="0.3">
      <c r="F32769"/>
      <c r="G32769"/>
      <c r="H32769"/>
      <c r="I32769"/>
    </row>
    <row r="32770" spans="6:9" x14ac:dyDescent="0.3">
      <c r="F32770"/>
      <c r="G32770"/>
      <c r="H32770"/>
      <c r="I32770"/>
    </row>
    <row r="32771" spans="6:9" x14ac:dyDescent="0.3">
      <c r="F32771"/>
      <c r="G32771"/>
      <c r="H32771"/>
      <c r="I32771"/>
    </row>
    <row r="32772" spans="6:9" x14ac:dyDescent="0.3">
      <c r="F32772"/>
      <c r="G32772"/>
      <c r="H32772"/>
      <c r="I32772"/>
    </row>
    <row r="32773" spans="6:9" x14ac:dyDescent="0.3">
      <c r="F32773"/>
      <c r="G32773"/>
      <c r="H32773"/>
      <c r="I32773"/>
    </row>
    <row r="32774" spans="6:9" x14ac:dyDescent="0.3">
      <c r="F32774"/>
      <c r="G32774"/>
      <c r="H32774"/>
      <c r="I32774"/>
    </row>
    <row r="32775" spans="6:9" x14ac:dyDescent="0.3">
      <c r="F32775"/>
      <c r="G32775"/>
      <c r="H32775"/>
      <c r="I32775"/>
    </row>
    <row r="32776" spans="6:9" x14ac:dyDescent="0.3">
      <c r="F32776"/>
      <c r="G32776"/>
      <c r="H32776"/>
      <c r="I32776"/>
    </row>
    <row r="32777" spans="6:9" x14ac:dyDescent="0.3">
      <c r="F32777"/>
      <c r="G32777"/>
      <c r="H32777"/>
      <c r="I32777"/>
    </row>
    <row r="32778" spans="6:9" x14ac:dyDescent="0.3">
      <c r="F32778"/>
      <c r="G32778"/>
      <c r="H32778"/>
      <c r="I32778"/>
    </row>
    <row r="32779" spans="6:9" x14ac:dyDescent="0.3">
      <c r="F32779"/>
      <c r="G32779"/>
      <c r="H32779"/>
      <c r="I32779"/>
    </row>
    <row r="32780" spans="6:9" x14ac:dyDescent="0.3">
      <c r="F32780"/>
      <c r="G32780"/>
      <c r="H32780"/>
      <c r="I32780"/>
    </row>
    <row r="32781" spans="6:9" x14ac:dyDescent="0.3">
      <c r="F32781"/>
      <c r="G32781"/>
      <c r="H32781"/>
      <c r="I32781"/>
    </row>
    <row r="32782" spans="6:9" x14ac:dyDescent="0.3">
      <c r="F32782"/>
      <c r="G32782"/>
      <c r="H32782"/>
      <c r="I32782"/>
    </row>
    <row r="32783" spans="6:9" x14ac:dyDescent="0.3">
      <c r="F32783"/>
      <c r="G32783"/>
      <c r="H32783"/>
      <c r="I32783"/>
    </row>
    <row r="32784" spans="6:9" x14ac:dyDescent="0.3">
      <c r="F32784"/>
      <c r="G32784"/>
      <c r="H32784"/>
      <c r="I32784"/>
    </row>
    <row r="32785" spans="6:9" x14ac:dyDescent="0.3">
      <c r="F32785"/>
      <c r="G32785"/>
      <c r="H32785"/>
      <c r="I32785"/>
    </row>
    <row r="32786" spans="6:9" x14ac:dyDescent="0.3">
      <c r="F32786"/>
      <c r="G32786"/>
      <c r="H32786"/>
      <c r="I32786"/>
    </row>
    <row r="32787" spans="6:9" x14ac:dyDescent="0.3">
      <c r="F32787"/>
      <c r="G32787"/>
      <c r="H32787"/>
      <c r="I32787"/>
    </row>
    <row r="32788" spans="6:9" x14ac:dyDescent="0.3">
      <c r="F32788"/>
      <c r="G32788"/>
      <c r="H32788"/>
      <c r="I32788"/>
    </row>
    <row r="32789" spans="6:9" x14ac:dyDescent="0.3">
      <c r="F32789"/>
      <c r="G32789"/>
      <c r="H32789"/>
      <c r="I32789"/>
    </row>
    <row r="32790" spans="6:9" x14ac:dyDescent="0.3">
      <c r="F32790"/>
      <c r="G32790"/>
      <c r="H32790"/>
      <c r="I32790"/>
    </row>
    <row r="32791" spans="6:9" x14ac:dyDescent="0.3">
      <c r="F32791"/>
      <c r="G32791"/>
      <c r="H32791"/>
      <c r="I32791"/>
    </row>
    <row r="32792" spans="6:9" x14ac:dyDescent="0.3">
      <c r="F32792"/>
      <c r="G32792"/>
      <c r="H32792"/>
      <c r="I32792"/>
    </row>
    <row r="32793" spans="6:9" x14ac:dyDescent="0.3">
      <c r="F32793"/>
      <c r="G32793"/>
      <c r="H32793"/>
      <c r="I32793"/>
    </row>
    <row r="32794" spans="6:9" x14ac:dyDescent="0.3">
      <c r="F32794"/>
      <c r="G32794"/>
      <c r="H32794"/>
      <c r="I32794"/>
    </row>
    <row r="32795" spans="6:9" x14ac:dyDescent="0.3">
      <c r="F32795"/>
      <c r="G32795"/>
      <c r="H32795"/>
      <c r="I32795"/>
    </row>
    <row r="32796" spans="6:9" x14ac:dyDescent="0.3">
      <c r="F32796"/>
      <c r="G32796"/>
      <c r="H32796"/>
      <c r="I32796"/>
    </row>
    <row r="32797" spans="6:9" x14ac:dyDescent="0.3">
      <c r="F32797"/>
      <c r="G32797"/>
      <c r="H32797"/>
      <c r="I32797"/>
    </row>
    <row r="32798" spans="6:9" x14ac:dyDescent="0.3">
      <c r="F32798"/>
      <c r="G32798"/>
      <c r="H32798"/>
      <c r="I32798"/>
    </row>
    <row r="32799" spans="6:9" x14ac:dyDescent="0.3">
      <c r="F32799"/>
      <c r="G32799"/>
      <c r="H32799"/>
      <c r="I32799"/>
    </row>
    <row r="32800" spans="6:9" x14ac:dyDescent="0.3">
      <c r="F32800"/>
      <c r="G32800"/>
      <c r="H32800"/>
      <c r="I32800"/>
    </row>
    <row r="32801" spans="6:9" x14ac:dyDescent="0.3">
      <c r="F32801"/>
      <c r="G32801"/>
      <c r="H32801"/>
      <c r="I32801"/>
    </row>
    <row r="32802" spans="6:9" x14ac:dyDescent="0.3">
      <c r="F32802"/>
      <c r="G32802"/>
      <c r="H32802"/>
      <c r="I32802"/>
    </row>
    <row r="32803" spans="6:9" x14ac:dyDescent="0.3">
      <c r="F32803"/>
      <c r="G32803"/>
      <c r="H32803"/>
      <c r="I32803"/>
    </row>
    <row r="32804" spans="6:9" x14ac:dyDescent="0.3">
      <c r="F32804"/>
      <c r="G32804"/>
      <c r="H32804"/>
      <c r="I32804"/>
    </row>
    <row r="32805" spans="6:9" x14ac:dyDescent="0.3">
      <c r="F32805"/>
      <c r="G32805"/>
      <c r="H32805"/>
      <c r="I32805"/>
    </row>
    <row r="32806" spans="6:9" x14ac:dyDescent="0.3">
      <c r="F32806"/>
      <c r="G32806"/>
      <c r="H32806"/>
      <c r="I32806"/>
    </row>
    <row r="32807" spans="6:9" x14ac:dyDescent="0.3">
      <c r="F32807"/>
      <c r="G32807"/>
      <c r="H32807"/>
      <c r="I32807"/>
    </row>
    <row r="32808" spans="6:9" x14ac:dyDescent="0.3">
      <c r="F32808"/>
      <c r="G32808"/>
      <c r="H32808"/>
      <c r="I32808"/>
    </row>
    <row r="32809" spans="6:9" x14ac:dyDescent="0.3">
      <c r="F32809"/>
      <c r="G32809"/>
      <c r="H32809"/>
      <c r="I32809"/>
    </row>
    <row r="32810" spans="6:9" x14ac:dyDescent="0.3">
      <c r="F32810"/>
      <c r="G32810"/>
      <c r="H32810"/>
      <c r="I32810"/>
    </row>
    <row r="32811" spans="6:9" x14ac:dyDescent="0.3">
      <c r="F32811"/>
      <c r="G32811"/>
      <c r="H32811"/>
      <c r="I32811"/>
    </row>
    <row r="32812" spans="6:9" x14ac:dyDescent="0.3">
      <c r="F32812"/>
      <c r="G32812"/>
      <c r="H32812"/>
      <c r="I32812"/>
    </row>
    <row r="32813" spans="6:9" x14ac:dyDescent="0.3">
      <c r="F32813"/>
      <c r="G32813"/>
      <c r="H32813"/>
      <c r="I32813"/>
    </row>
    <row r="32814" spans="6:9" x14ac:dyDescent="0.3">
      <c r="F32814"/>
      <c r="G32814"/>
      <c r="H32814"/>
      <c r="I32814"/>
    </row>
    <row r="32815" spans="6:9" x14ac:dyDescent="0.3">
      <c r="F32815"/>
      <c r="G32815"/>
      <c r="H32815"/>
      <c r="I32815"/>
    </row>
    <row r="32816" spans="6:9" x14ac:dyDescent="0.3">
      <c r="F32816"/>
      <c r="G32816"/>
      <c r="H32816"/>
      <c r="I32816"/>
    </row>
    <row r="32817" spans="6:9" x14ac:dyDescent="0.3">
      <c r="F32817"/>
      <c r="G32817"/>
      <c r="H32817"/>
      <c r="I32817"/>
    </row>
    <row r="32818" spans="6:9" x14ac:dyDescent="0.3">
      <c r="F32818"/>
      <c r="G32818"/>
      <c r="H32818"/>
      <c r="I32818"/>
    </row>
    <row r="32819" spans="6:9" x14ac:dyDescent="0.3">
      <c r="F32819"/>
      <c r="G32819"/>
      <c r="H32819"/>
      <c r="I32819"/>
    </row>
    <row r="32820" spans="6:9" x14ac:dyDescent="0.3">
      <c r="F32820"/>
      <c r="G32820"/>
      <c r="H32820"/>
      <c r="I32820"/>
    </row>
    <row r="32821" spans="6:9" x14ac:dyDescent="0.3">
      <c r="F32821"/>
      <c r="G32821"/>
      <c r="H32821"/>
      <c r="I32821"/>
    </row>
    <row r="32822" spans="6:9" x14ac:dyDescent="0.3">
      <c r="F32822"/>
      <c r="G32822"/>
      <c r="H32822"/>
      <c r="I32822"/>
    </row>
    <row r="32823" spans="6:9" x14ac:dyDescent="0.3">
      <c r="F32823"/>
      <c r="G32823"/>
      <c r="H32823"/>
      <c r="I32823"/>
    </row>
    <row r="32824" spans="6:9" x14ac:dyDescent="0.3">
      <c r="F32824"/>
      <c r="G32824"/>
      <c r="H32824"/>
      <c r="I32824"/>
    </row>
    <row r="32825" spans="6:9" x14ac:dyDescent="0.3">
      <c r="F32825"/>
      <c r="G32825"/>
      <c r="H32825"/>
      <c r="I32825"/>
    </row>
    <row r="32826" spans="6:9" x14ac:dyDescent="0.3">
      <c r="F32826"/>
      <c r="G32826"/>
      <c r="H32826"/>
      <c r="I32826"/>
    </row>
    <row r="32827" spans="6:9" x14ac:dyDescent="0.3">
      <c r="F32827"/>
      <c r="G32827"/>
      <c r="H32827"/>
      <c r="I32827"/>
    </row>
    <row r="32828" spans="6:9" x14ac:dyDescent="0.3">
      <c r="F32828"/>
      <c r="G32828"/>
      <c r="H32828"/>
      <c r="I32828"/>
    </row>
    <row r="32829" spans="6:9" x14ac:dyDescent="0.3">
      <c r="F32829"/>
      <c r="G32829"/>
      <c r="H32829"/>
      <c r="I32829"/>
    </row>
    <row r="32830" spans="6:9" x14ac:dyDescent="0.3">
      <c r="F32830"/>
      <c r="G32830"/>
      <c r="H32830"/>
      <c r="I32830"/>
    </row>
    <row r="32831" spans="6:9" x14ac:dyDescent="0.3">
      <c r="F32831"/>
      <c r="G32831"/>
      <c r="H32831"/>
      <c r="I32831"/>
    </row>
    <row r="32832" spans="6:9" x14ac:dyDescent="0.3">
      <c r="F32832"/>
      <c r="G32832"/>
      <c r="H32832"/>
      <c r="I32832"/>
    </row>
    <row r="32833" spans="6:9" x14ac:dyDescent="0.3">
      <c r="F32833"/>
      <c r="G32833"/>
      <c r="H32833"/>
      <c r="I32833"/>
    </row>
    <row r="32834" spans="6:9" x14ac:dyDescent="0.3">
      <c r="F32834"/>
      <c r="G32834"/>
      <c r="H32834"/>
      <c r="I32834"/>
    </row>
    <row r="32835" spans="6:9" x14ac:dyDescent="0.3">
      <c r="F32835"/>
      <c r="G32835"/>
      <c r="H32835"/>
      <c r="I32835"/>
    </row>
    <row r="32836" spans="6:9" x14ac:dyDescent="0.3">
      <c r="F32836"/>
      <c r="G32836"/>
      <c r="H32836"/>
      <c r="I32836"/>
    </row>
    <row r="32837" spans="6:9" x14ac:dyDescent="0.3">
      <c r="F32837"/>
      <c r="G32837"/>
      <c r="H32837"/>
      <c r="I32837"/>
    </row>
    <row r="32838" spans="6:9" x14ac:dyDescent="0.3">
      <c r="F32838"/>
      <c r="G32838"/>
      <c r="H32838"/>
      <c r="I32838"/>
    </row>
    <row r="32839" spans="6:9" x14ac:dyDescent="0.3">
      <c r="F32839"/>
      <c r="G32839"/>
      <c r="H32839"/>
      <c r="I32839"/>
    </row>
    <row r="32840" spans="6:9" x14ac:dyDescent="0.3">
      <c r="F32840"/>
      <c r="G32840"/>
      <c r="H32840"/>
      <c r="I32840"/>
    </row>
    <row r="32841" spans="6:9" x14ac:dyDescent="0.3">
      <c r="F32841"/>
      <c r="G32841"/>
      <c r="H32841"/>
      <c r="I32841"/>
    </row>
    <row r="32842" spans="6:9" x14ac:dyDescent="0.3">
      <c r="F32842"/>
      <c r="G32842"/>
      <c r="H32842"/>
      <c r="I32842"/>
    </row>
    <row r="32843" spans="6:9" x14ac:dyDescent="0.3">
      <c r="F32843"/>
      <c r="G32843"/>
      <c r="H32843"/>
      <c r="I32843"/>
    </row>
    <row r="32844" spans="6:9" x14ac:dyDescent="0.3">
      <c r="F32844"/>
      <c r="G32844"/>
      <c r="H32844"/>
      <c r="I32844"/>
    </row>
    <row r="32845" spans="6:9" x14ac:dyDescent="0.3">
      <c r="F32845"/>
      <c r="G32845"/>
      <c r="H32845"/>
      <c r="I32845"/>
    </row>
    <row r="32846" spans="6:9" x14ac:dyDescent="0.3">
      <c r="F32846"/>
      <c r="G32846"/>
      <c r="H32846"/>
      <c r="I32846"/>
    </row>
    <row r="32847" spans="6:9" x14ac:dyDescent="0.3">
      <c r="F32847"/>
      <c r="G32847"/>
      <c r="H32847"/>
      <c r="I32847"/>
    </row>
    <row r="32848" spans="6:9" x14ac:dyDescent="0.3">
      <c r="F32848"/>
      <c r="G32848"/>
      <c r="H32848"/>
      <c r="I32848"/>
    </row>
    <row r="32849" spans="6:9" x14ac:dyDescent="0.3">
      <c r="F32849"/>
      <c r="G32849"/>
      <c r="H32849"/>
      <c r="I32849"/>
    </row>
    <row r="32850" spans="6:9" x14ac:dyDescent="0.3">
      <c r="F32850"/>
      <c r="G32850"/>
      <c r="H32850"/>
      <c r="I32850"/>
    </row>
    <row r="32851" spans="6:9" x14ac:dyDescent="0.3">
      <c r="F32851"/>
      <c r="G32851"/>
      <c r="H32851"/>
      <c r="I32851"/>
    </row>
    <row r="32852" spans="6:9" x14ac:dyDescent="0.3">
      <c r="F32852"/>
      <c r="G32852"/>
      <c r="H32852"/>
      <c r="I32852"/>
    </row>
    <row r="32853" spans="6:9" x14ac:dyDescent="0.3">
      <c r="F32853"/>
      <c r="G32853"/>
      <c r="H32853"/>
      <c r="I32853"/>
    </row>
    <row r="32854" spans="6:9" x14ac:dyDescent="0.3">
      <c r="F32854"/>
      <c r="G32854"/>
      <c r="H32854"/>
      <c r="I32854"/>
    </row>
    <row r="32855" spans="6:9" x14ac:dyDescent="0.3">
      <c r="F32855"/>
      <c r="G32855"/>
      <c r="H32855"/>
      <c r="I32855"/>
    </row>
    <row r="32856" spans="6:9" x14ac:dyDescent="0.3">
      <c r="F32856"/>
      <c r="G32856"/>
      <c r="H32856"/>
      <c r="I32856"/>
    </row>
    <row r="32857" spans="6:9" x14ac:dyDescent="0.3">
      <c r="F32857"/>
      <c r="G32857"/>
      <c r="H32857"/>
      <c r="I32857"/>
    </row>
    <row r="32858" spans="6:9" x14ac:dyDescent="0.3">
      <c r="F32858"/>
      <c r="G32858"/>
      <c r="H32858"/>
      <c r="I32858"/>
    </row>
    <row r="32859" spans="6:9" x14ac:dyDescent="0.3">
      <c r="F32859"/>
      <c r="G32859"/>
      <c r="H32859"/>
      <c r="I32859"/>
    </row>
    <row r="32860" spans="6:9" x14ac:dyDescent="0.3">
      <c r="F32860"/>
      <c r="G32860"/>
      <c r="H32860"/>
      <c r="I32860"/>
    </row>
    <row r="32861" spans="6:9" x14ac:dyDescent="0.3">
      <c r="F32861"/>
      <c r="G32861"/>
      <c r="H32861"/>
      <c r="I32861"/>
    </row>
    <row r="32862" spans="6:9" x14ac:dyDescent="0.3">
      <c r="F32862"/>
      <c r="G32862"/>
      <c r="H32862"/>
      <c r="I32862"/>
    </row>
    <row r="32863" spans="6:9" x14ac:dyDescent="0.3">
      <c r="F32863"/>
      <c r="G32863"/>
      <c r="H32863"/>
      <c r="I32863"/>
    </row>
    <row r="32864" spans="6:9" x14ac:dyDescent="0.3">
      <c r="F32864"/>
      <c r="G32864"/>
      <c r="H32864"/>
      <c r="I32864"/>
    </row>
    <row r="32865" spans="6:9" x14ac:dyDescent="0.3">
      <c r="F32865"/>
      <c r="G32865"/>
      <c r="H32865"/>
      <c r="I32865"/>
    </row>
    <row r="32866" spans="6:9" x14ac:dyDescent="0.3">
      <c r="F32866"/>
      <c r="G32866"/>
      <c r="H32866"/>
      <c r="I32866"/>
    </row>
    <row r="32867" spans="6:9" x14ac:dyDescent="0.3">
      <c r="F32867"/>
      <c r="G32867"/>
      <c r="H32867"/>
      <c r="I32867"/>
    </row>
    <row r="32868" spans="6:9" x14ac:dyDescent="0.3">
      <c r="F32868"/>
      <c r="G32868"/>
      <c r="H32868"/>
      <c r="I32868"/>
    </row>
    <row r="32869" spans="6:9" x14ac:dyDescent="0.3">
      <c r="F32869"/>
      <c r="G32869"/>
      <c r="H32869"/>
      <c r="I32869"/>
    </row>
    <row r="32870" spans="6:9" x14ac:dyDescent="0.3">
      <c r="F32870"/>
      <c r="G32870"/>
      <c r="H32870"/>
      <c r="I32870"/>
    </row>
    <row r="32871" spans="6:9" x14ac:dyDescent="0.3">
      <c r="F32871"/>
      <c r="G32871"/>
      <c r="H32871"/>
      <c r="I32871"/>
    </row>
    <row r="32872" spans="6:9" x14ac:dyDescent="0.3">
      <c r="F32872"/>
      <c r="G32872"/>
      <c r="H32872"/>
      <c r="I32872"/>
    </row>
    <row r="32873" spans="6:9" x14ac:dyDescent="0.3">
      <c r="F32873"/>
      <c r="G32873"/>
      <c r="H32873"/>
      <c r="I32873"/>
    </row>
    <row r="32874" spans="6:9" x14ac:dyDescent="0.3">
      <c r="F32874"/>
      <c r="G32874"/>
      <c r="H32874"/>
      <c r="I32874"/>
    </row>
    <row r="32875" spans="6:9" x14ac:dyDescent="0.3">
      <c r="F32875"/>
      <c r="G32875"/>
      <c r="H32875"/>
      <c r="I32875"/>
    </row>
    <row r="32876" spans="6:9" x14ac:dyDescent="0.3">
      <c r="F32876"/>
      <c r="G32876"/>
      <c r="H32876"/>
      <c r="I32876"/>
    </row>
    <row r="32877" spans="6:9" x14ac:dyDescent="0.3">
      <c r="F32877"/>
      <c r="G32877"/>
      <c r="H32877"/>
      <c r="I32877"/>
    </row>
    <row r="32878" spans="6:9" x14ac:dyDescent="0.3">
      <c r="F32878"/>
      <c r="G32878"/>
      <c r="H32878"/>
      <c r="I32878"/>
    </row>
    <row r="32879" spans="6:9" x14ac:dyDescent="0.3">
      <c r="F32879"/>
      <c r="G32879"/>
      <c r="H32879"/>
      <c r="I32879"/>
    </row>
    <row r="32880" spans="6:9" x14ac:dyDescent="0.3">
      <c r="F32880"/>
      <c r="G32880"/>
      <c r="H32880"/>
      <c r="I32880"/>
    </row>
    <row r="32881" spans="6:9" x14ac:dyDescent="0.3">
      <c r="F32881"/>
      <c r="G32881"/>
      <c r="H32881"/>
      <c r="I32881"/>
    </row>
    <row r="32882" spans="6:9" x14ac:dyDescent="0.3">
      <c r="F32882"/>
      <c r="G32882"/>
      <c r="H32882"/>
      <c r="I32882"/>
    </row>
    <row r="32883" spans="6:9" x14ac:dyDescent="0.3">
      <c r="F32883"/>
      <c r="G32883"/>
      <c r="H32883"/>
      <c r="I32883"/>
    </row>
    <row r="32884" spans="6:9" x14ac:dyDescent="0.3">
      <c r="F32884"/>
      <c r="G32884"/>
      <c r="H32884"/>
      <c r="I32884"/>
    </row>
    <row r="32885" spans="6:9" x14ac:dyDescent="0.3">
      <c r="F32885"/>
      <c r="G32885"/>
      <c r="H32885"/>
      <c r="I32885"/>
    </row>
    <row r="32886" spans="6:9" x14ac:dyDescent="0.3">
      <c r="F32886"/>
      <c r="G32886"/>
      <c r="H32886"/>
      <c r="I32886"/>
    </row>
    <row r="32887" spans="6:9" x14ac:dyDescent="0.3">
      <c r="F32887"/>
      <c r="G32887"/>
      <c r="H32887"/>
      <c r="I32887"/>
    </row>
    <row r="32888" spans="6:9" x14ac:dyDescent="0.3">
      <c r="F32888"/>
      <c r="G32888"/>
      <c r="H32888"/>
      <c r="I32888"/>
    </row>
    <row r="32889" spans="6:9" x14ac:dyDescent="0.3">
      <c r="F32889"/>
      <c r="G32889"/>
      <c r="H32889"/>
      <c r="I32889"/>
    </row>
    <row r="32890" spans="6:9" x14ac:dyDescent="0.3">
      <c r="F32890"/>
      <c r="G32890"/>
      <c r="H32890"/>
      <c r="I32890"/>
    </row>
    <row r="32891" spans="6:9" x14ac:dyDescent="0.3">
      <c r="F32891"/>
      <c r="G32891"/>
      <c r="H32891"/>
      <c r="I32891"/>
    </row>
    <row r="32892" spans="6:9" x14ac:dyDescent="0.3">
      <c r="F32892"/>
      <c r="G32892"/>
      <c r="H32892"/>
      <c r="I32892"/>
    </row>
    <row r="32893" spans="6:9" x14ac:dyDescent="0.3">
      <c r="F32893"/>
      <c r="G32893"/>
      <c r="H32893"/>
      <c r="I32893"/>
    </row>
    <row r="32894" spans="6:9" x14ac:dyDescent="0.3">
      <c r="F32894"/>
      <c r="G32894"/>
      <c r="H32894"/>
      <c r="I32894"/>
    </row>
    <row r="32895" spans="6:9" x14ac:dyDescent="0.3">
      <c r="F32895"/>
      <c r="G32895"/>
      <c r="H32895"/>
      <c r="I32895"/>
    </row>
    <row r="32896" spans="6:9" x14ac:dyDescent="0.3">
      <c r="F32896"/>
      <c r="G32896"/>
      <c r="H32896"/>
      <c r="I32896"/>
    </row>
    <row r="32897" spans="6:9" x14ac:dyDescent="0.3">
      <c r="F32897"/>
      <c r="G32897"/>
      <c r="H32897"/>
      <c r="I32897"/>
    </row>
    <row r="32898" spans="6:9" x14ac:dyDescent="0.3">
      <c r="F32898"/>
      <c r="G32898"/>
      <c r="H32898"/>
      <c r="I32898"/>
    </row>
    <row r="32899" spans="6:9" x14ac:dyDescent="0.3">
      <c r="F32899"/>
      <c r="G32899"/>
      <c r="H32899"/>
      <c r="I32899"/>
    </row>
    <row r="32900" spans="6:9" x14ac:dyDescent="0.3">
      <c r="F32900"/>
      <c r="G32900"/>
      <c r="H32900"/>
      <c r="I32900"/>
    </row>
    <row r="32901" spans="6:9" x14ac:dyDescent="0.3">
      <c r="F32901"/>
      <c r="G32901"/>
      <c r="H32901"/>
      <c r="I32901"/>
    </row>
    <row r="32902" spans="6:9" x14ac:dyDescent="0.3">
      <c r="F32902"/>
      <c r="G32902"/>
      <c r="H32902"/>
      <c r="I32902"/>
    </row>
    <row r="32903" spans="6:9" x14ac:dyDescent="0.3">
      <c r="F32903"/>
      <c r="G32903"/>
      <c r="H32903"/>
      <c r="I32903"/>
    </row>
    <row r="32904" spans="6:9" x14ac:dyDescent="0.3">
      <c r="F32904"/>
      <c r="G32904"/>
      <c r="H32904"/>
      <c r="I32904"/>
    </row>
    <row r="32905" spans="6:9" x14ac:dyDescent="0.3">
      <c r="F32905"/>
      <c r="G32905"/>
      <c r="H32905"/>
      <c r="I32905"/>
    </row>
    <row r="32906" spans="6:9" x14ac:dyDescent="0.3">
      <c r="F32906"/>
      <c r="G32906"/>
      <c r="H32906"/>
      <c r="I32906"/>
    </row>
    <row r="32907" spans="6:9" x14ac:dyDescent="0.3">
      <c r="F32907"/>
      <c r="G32907"/>
      <c r="H32907"/>
      <c r="I32907"/>
    </row>
    <row r="32908" spans="6:9" x14ac:dyDescent="0.3">
      <c r="F32908"/>
      <c r="G32908"/>
      <c r="H32908"/>
      <c r="I32908"/>
    </row>
    <row r="32909" spans="6:9" x14ac:dyDescent="0.3">
      <c r="F32909"/>
      <c r="G32909"/>
      <c r="H32909"/>
      <c r="I32909"/>
    </row>
    <row r="32910" spans="6:9" x14ac:dyDescent="0.3">
      <c r="F32910"/>
      <c r="G32910"/>
      <c r="H32910"/>
      <c r="I32910"/>
    </row>
    <row r="32911" spans="6:9" x14ac:dyDescent="0.3">
      <c r="F32911"/>
      <c r="G32911"/>
      <c r="H32911"/>
      <c r="I32911"/>
    </row>
    <row r="32912" spans="6:9" x14ac:dyDescent="0.3">
      <c r="F32912"/>
      <c r="G32912"/>
      <c r="H32912"/>
      <c r="I32912"/>
    </row>
    <row r="32913" spans="6:9" x14ac:dyDescent="0.3">
      <c r="F32913"/>
      <c r="G32913"/>
      <c r="H32913"/>
      <c r="I32913"/>
    </row>
    <row r="32914" spans="6:9" x14ac:dyDescent="0.3">
      <c r="F32914"/>
      <c r="G32914"/>
      <c r="H32914"/>
      <c r="I32914"/>
    </row>
    <row r="32915" spans="6:9" x14ac:dyDescent="0.3">
      <c r="F32915"/>
      <c r="G32915"/>
      <c r="H32915"/>
      <c r="I32915"/>
    </row>
    <row r="32916" spans="6:9" x14ac:dyDescent="0.3">
      <c r="F32916"/>
      <c r="G32916"/>
      <c r="H32916"/>
      <c r="I32916"/>
    </row>
    <row r="32917" spans="6:9" x14ac:dyDescent="0.3">
      <c r="F32917"/>
      <c r="G32917"/>
      <c r="H32917"/>
      <c r="I32917"/>
    </row>
    <row r="32918" spans="6:9" x14ac:dyDescent="0.3">
      <c r="F32918"/>
      <c r="G32918"/>
      <c r="H32918"/>
      <c r="I32918"/>
    </row>
    <row r="32919" spans="6:9" x14ac:dyDescent="0.3">
      <c r="F32919"/>
      <c r="G32919"/>
      <c r="H32919"/>
      <c r="I32919"/>
    </row>
    <row r="32920" spans="6:9" x14ac:dyDescent="0.3">
      <c r="F32920"/>
      <c r="G32920"/>
      <c r="H32920"/>
      <c r="I32920"/>
    </row>
    <row r="32921" spans="6:9" x14ac:dyDescent="0.3">
      <c r="F32921"/>
      <c r="G32921"/>
      <c r="H32921"/>
      <c r="I32921"/>
    </row>
    <row r="32922" spans="6:9" x14ac:dyDescent="0.3">
      <c r="F32922"/>
      <c r="G32922"/>
      <c r="H32922"/>
      <c r="I32922"/>
    </row>
    <row r="32923" spans="6:9" x14ac:dyDescent="0.3">
      <c r="F32923"/>
      <c r="G32923"/>
      <c r="H32923"/>
      <c r="I32923"/>
    </row>
    <row r="32924" spans="6:9" x14ac:dyDescent="0.3">
      <c r="F32924"/>
      <c r="G32924"/>
      <c r="H32924"/>
      <c r="I32924"/>
    </row>
    <row r="32925" spans="6:9" x14ac:dyDescent="0.3">
      <c r="F32925"/>
      <c r="G32925"/>
      <c r="H32925"/>
      <c r="I32925"/>
    </row>
    <row r="32926" spans="6:9" x14ac:dyDescent="0.3">
      <c r="F32926"/>
      <c r="G32926"/>
      <c r="H32926"/>
      <c r="I32926"/>
    </row>
    <row r="32927" spans="6:9" x14ac:dyDescent="0.3">
      <c r="F32927"/>
      <c r="G32927"/>
      <c r="H32927"/>
      <c r="I32927"/>
    </row>
    <row r="32928" spans="6:9" x14ac:dyDescent="0.3">
      <c r="F32928"/>
      <c r="G32928"/>
      <c r="H32928"/>
      <c r="I32928"/>
    </row>
    <row r="32929" spans="6:9" x14ac:dyDescent="0.3">
      <c r="F32929"/>
      <c r="G32929"/>
      <c r="H32929"/>
      <c r="I32929"/>
    </row>
    <row r="32930" spans="6:9" x14ac:dyDescent="0.3">
      <c r="F32930"/>
      <c r="G32930"/>
      <c r="H32930"/>
      <c r="I32930"/>
    </row>
    <row r="32931" spans="6:9" x14ac:dyDescent="0.3">
      <c r="F32931"/>
      <c r="G32931"/>
      <c r="H32931"/>
      <c r="I32931"/>
    </row>
    <row r="32932" spans="6:9" x14ac:dyDescent="0.3">
      <c r="F32932"/>
      <c r="G32932"/>
      <c r="H32932"/>
      <c r="I32932"/>
    </row>
    <row r="32933" spans="6:9" x14ac:dyDescent="0.3">
      <c r="F32933"/>
      <c r="G32933"/>
      <c r="H32933"/>
      <c r="I32933"/>
    </row>
    <row r="32934" spans="6:9" x14ac:dyDescent="0.3">
      <c r="F32934"/>
      <c r="G32934"/>
      <c r="H32934"/>
      <c r="I32934"/>
    </row>
    <row r="32935" spans="6:9" x14ac:dyDescent="0.3">
      <c r="F32935"/>
      <c r="G32935"/>
      <c r="H32935"/>
      <c r="I32935"/>
    </row>
    <row r="32936" spans="6:9" x14ac:dyDescent="0.3">
      <c r="F32936"/>
      <c r="G32936"/>
      <c r="H32936"/>
      <c r="I32936"/>
    </row>
    <row r="32937" spans="6:9" x14ac:dyDescent="0.3">
      <c r="F32937"/>
      <c r="G32937"/>
      <c r="H32937"/>
      <c r="I32937"/>
    </row>
    <row r="32938" spans="6:9" x14ac:dyDescent="0.3">
      <c r="F32938"/>
      <c r="G32938"/>
      <c r="H32938"/>
      <c r="I32938"/>
    </row>
    <row r="32939" spans="6:9" x14ac:dyDescent="0.3">
      <c r="F32939"/>
      <c r="G32939"/>
      <c r="H32939"/>
      <c r="I32939"/>
    </row>
    <row r="32940" spans="6:9" x14ac:dyDescent="0.3">
      <c r="F32940"/>
      <c r="G32940"/>
      <c r="H32940"/>
      <c r="I32940"/>
    </row>
    <row r="32941" spans="6:9" x14ac:dyDescent="0.3">
      <c r="F32941"/>
      <c r="G32941"/>
      <c r="H32941"/>
      <c r="I32941"/>
    </row>
    <row r="32942" spans="6:9" x14ac:dyDescent="0.3">
      <c r="F32942"/>
      <c r="G32942"/>
      <c r="H32942"/>
      <c r="I32942"/>
    </row>
    <row r="32943" spans="6:9" x14ac:dyDescent="0.3">
      <c r="F32943"/>
      <c r="G32943"/>
      <c r="H32943"/>
      <c r="I32943"/>
    </row>
    <row r="32944" spans="6:9" x14ac:dyDescent="0.3">
      <c r="F32944"/>
      <c r="G32944"/>
      <c r="H32944"/>
      <c r="I32944"/>
    </row>
    <row r="32945" spans="6:9" x14ac:dyDescent="0.3">
      <c r="F32945"/>
      <c r="G32945"/>
      <c r="H32945"/>
      <c r="I32945"/>
    </row>
    <row r="32946" spans="6:9" x14ac:dyDescent="0.3">
      <c r="F32946"/>
      <c r="G32946"/>
      <c r="H32946"/>
      <c r="I32946"/>
    </row>
    <row r="32947" spans="6:9" x14ac:dyDescent="0.3">
      <c r="F32947"/>
      <c r="G32947"/>
      <c r="H32947"/>
      <c r="I32947"/>
    </row>
    <row r="32948" spans="6:9" x14ac:dyDescent="0.3">
      <c r="F32948"/>
      <c r="G32948"/>
      <c r="H32948"/>
      <c r="I32948"/>
    </row>
    <row r="32949" spans="6:9" x14ac:dyDescent="0.3">
      <c r="F32949"/>
      <c r="G32949"/>
      <c r="H32949"/>
      <c r="I32949"/>
    </row>
    <row r="32950" spans="6:9" x14ac:dyDescent="0.3">
      <c r="F32950"/>
      <c r="G32950"/>
      <c r="H32950"/>
      <c r="I32950"/>
    </row>
    <row r="32951" spans="6:9" x14ac:dyDescent="0.3">
      <c r="F32951"/>
      <c r="G32951"/>
      <c r="H32951"/>
      <c r="I32951"/>
    </row>
    <row r="32952" spans="6:9" x14ac:dyDescent="0.3">
      <c r="F32952"/>
      <c r="G32952"/>
      <c r="H32952"/>
      <c r="I32952"/>
    </row>
    <row r="32953" spans="6:9" x14ac:dyDescent="0.3">
      <c r="F32953"/>
      <c r="G32953"/>
      <c r="H32953"/>
      <c r="I32953"/>
    </row>
    <row r="32954" spans="6:9" x14ac:dyDescent="0.3">
      <c r="F32954"/>
      <c r="G32954"/>
      <c r="H32954"/>
      <c r="I32954"/>
    </row>
    <row r="32955" spans="6:9" x14ac:dyDescent="0.3">
      <c r="F32955"/>
      <c r="G32955"/>
      <c r="H32955"/>
      <c r="I32955"/>
    </row>
    <row r="32956" spans="6:9" x14ac:dyDescent="0.3">
      <c r="F32956"/>
      <c r="G32956"/>
      <c r="H32956"/>
      <c r="I32956"/>
    </row>
    <row r="32957" spans="6:9" x14ac:dyDescent="0.3">
      <c r="F32957"/>
      <c r="G32957"/>
      <c r="H32957"/>
      <c r="I32957"/>
    </row>
    <row r="32958" spans="6:9" x14ac:dyDescent="0.3">
      <c r="F32958"/>
      <c r="G32958"/>
      <c r="H32958"/>
      <c r="I32958"/>
    </row>
    <row r="32959" spans="6:9" x14ac:dyDescent="0.3">
      <c r="F32959"/>
      <c r="G32959"/>
      <c r="H32959"/>
      <c r="I32959"/>
    </row>
    <row r="32960" spans="6:9" x14ac:dyDescent="0.3">
      <c r="F32960"/>
      <c r="G32960"/>
      <c r="H32960"/>
      <c r="I32960"/>
    </row>
    <row r="32961" spans="6:9" x14ac:dyDescent="0.3">
      <c r="F32961"/>
      <c r="G32961"/>
      <c r="H32961"/>
      <c r="I32961"/>
    </row>
    <row r="32962" spans="6:9" x14ac:dyDescent="0.3">
      <c r="F32962"/>
      <c r="G32962"/>
      <c r="H32962"/>
      <c r="I32962"/>
    </row>
    <row r="32963" spans="6:9" x14ac:dyDescent="0.3">
      <c r="F32963"/>
      <c r="G32963"/>
      <c r="H32963"/>
      <c r="I32963"/>
    </row>
    <row r="32964" spans="6:9" x14ac:dyDescent="0.3">
      <c r="F32964"/>
      <c r="G32964"/>
      <c r="H32964"/>
      <c r="I32964"/>
    </row>
    <row r="32965" spans="6:9" x14ac:dyDescent="0.3">
      <c r="F32965"/>
      <c r="G32965"/>
      <c r="H32965"/>
      <c r="I32965"/>
    </row>
    <row r="32966" spans="6:9" x14ac:dyDescent="0.3">
      <c r="F32966"/>
      <c r="G32966"/>
      <c r="H32966"/>
      <c r="I32966"/>
    </row>
    <row r="32967" spans="6:9" x14ac:dyDescent="0.3">
      <c r="F32967"/>
      <c r="G32967"/>
      <c r="H32967"/>
      <c r="I32967"/>
    </row>
    <row r="32968" spans="6:9" x14ac:dyDescent="0.3">
      <c r="F32968"/>
      <c r="G32968"/>
      <c r="H32968"/>
      <c r="I32968"/>
    </row>
    <row r="32969" spans="6:9" x14ac:dyDescent="0.3">
      <c r="F32969"/>
      <c r="G32969"/>
      <c r="H32969"/>
      <c r="I32969"/>
    </row>
    <row r="32970" spans="6:9" x14ac:dyDescent="0.3">
      <c r="F32970"/>
      <c r="G32970"/>
      <c r="H32970"/>
      <c r="I32970"/>
    </row>
    <row r="32971" spans="6:9" x14ac:dyDescent="0.3">
      <c r="F32971"/>
      <c r="G32971"/>
      <c r="H32971"/>
      <c r="I32971"/>
    </row>
    <row r="32972" spans="6:9" x14ac:dyDescent="0.3">
      <c r="F32972"/>
      <c r="G32972"/>
      <c r="H32972"/>
      <c r="I32972"/>
    </row>
    <row r="32973" spans="6:9" x14ac:dyDescent="0.3">
      <c r="F32973"/>
      <c r="G32973"/>
      <c r="H32973"/>
      <c r="I32973"/>
    </row>
    <row r="32974" spans="6:9" x14ac:dyDescent="0.3">
      <c r="F32974"/>
      <c r="G32974"/>
      <c r="H32974"/>
      <c r="I32974"/>
    </row>
    <row r="32975" spans="6:9" x14ac:dyDescent="0.3">
      <c r="F32975"/>
      <c r="G32975"/>
      <c r="H32975"/>
      <c r="I32975"/>
    </row>
    <row r="32976" spans="6:9" x14ac:dyDescent="0.3">
      <c r="F32976"/>
      <c r="G32976"/>
      <c r="H32976"/>
      <c r="I32976"/>
    </row>
    <row r="32977" spans="6:9" x14ac:dyDescent="0.3">
      <c r="F32977"/>
      <c r="G32977"/>
      <c r="H32977"/>
      <c r="I32977"/>
    </row>
    <row r="32978" spans="6:9" x14ac:dyDescent="0.3">
      <c r="F32978"/>
      <c r="G32978"/>
      <c r="H32978"/>
      <c r="I32978"/>
    </row>
    <row r="32979" spans="6:9" x14ac:dyDescent="0.3">
      <c r="F32979"/>
      <c r="G32979"/>
      <c r="H32979"/>
      <c r="I32979"/>
    </row>
    <row r="32980" spans="6:9" x14ac:dyDescent="0.3">
      <c r="F32980"/>
      <c r="G32980"/>
      <c r="H32980"/>
      <c r="I32980"/>
    </row>
    <row r="32981" spans="6:9" x14ac:dyDescent="0.3">
      <c r="F32981"/>
      <c r="G32981"/>
      <c r="H32981"/>
      <c r="I32981"/>
    </row>
    <row r="32982" spans="6:9" x14ac:dyDescent="0.3">
      <c r="F32982"/>
      <c r="G32982"/>
      <c r="H32982"/>
      <c r="I32982"/>
    </row>
    <row r="32983" spans="6:9" x14ac:dyDescent="0.3">
      <c r="F32983"/>
      <c r="G32983"/>
      <c r="H32983"/>
      <c r="I32983"/>
    </row>
    <row r="32984" spans="6:9" x14ac:dyDescent="0.3">
      <c r="F32984"/>
      <c r="G32984"/>
      <c r="H32984"/>
      <c r="I32984"/>
    </row>
    <row r="32985" spans="6:9" x14ac:dyDescent="0.3">
      <c r="F32985"/>
      <c r="G32985"/>
      <c r="H32985"/>
      <c r="I32985"/>
    </row>
    <row r="32986" spans="6:9" x14ac:dyDescent="0.3">
      <c r="F32986"/>
      <c r="G32986"/>
      <c r="H32986"/>
      <c r="I32986"/>
    </row>
    <row r="32987" spans="6:9" x14ac:dyDescent="0.3">
      <c r="F32987"/>
      <c r="G32987"/>
      <c r="H32987"/>
      <c r="I32987"/>
    </row>
    <row r="32988" spans="6:9" x14ac:dyDescent="0.3">
      <c r="F32988"/>
      <c r="G32988"/>
      <c r="H32988"/>
      <c r="I32988"/>
    </row>
    <row r="32989" spans="6:9" x14ac:dyDescent="0.3">
      <c r="F32989"/>
      <c r="G32989"/>
      <c r="H32989"/>
      <c r="I32989"/>
    </row>
    <row r="32990" spans="6:9" x14ac:dyDescent="0.3">
      <c r="F32990"/>
      <c r="G32990"/>
      <c r="H32990"/>
      <c r="I32990"/>
    </row>
    <row r="32991" spans="6:9" x14ac:dyDescent="0.3">
      <c r="F32991"/>
      <c r="G32991"/>
      <c r="H32991"/>
      <c r="I32991"/>
    </row>
    <row r="32992" spans="6:9" x14ac:dyDescent="0.3">
      <c r="F32992"/>
      <c r="G32992"/>
      <c r="H32992"/>
      <c r="I32992"/>
    </row>
    <row r="32993" spans="6:9" x14ac:dyDescent="0.3">
      <c r="F32993"/>
      <c r="G32993"/>
      <c r="H32993"/>
      <c r="I32993"/>
    </row>
    <row r="32994" spans="6:9" x14ac:dyDescent="0.3">
      <c r="F32994"/>
      <c r="G32994"/>
      <c r="H32994"/>
      <c r="I32994"/>
    </row>
    <row r="32995" spans="6:9" x14ac:dyDescent="0.3">
      <c r="F32995"/>
      <c r="G32995"/>
      <c r="H32995"/>
      <c r="I32995"/>
    </row>
    <row r="32996" spans="6:9" x14ac:dyDescent="0.3">
      <c r="F32996"/>
      <c r="G32996"/>
      <c r="H32996"/>
      <c r="I32996"/>
    </row>
    <row r="32997" spans="6:9" x14ac:dyDescent="0.3">
      <c r="F32997"/>
      <c r="G32997"/>
      <c r="H32997"/>
      <c r="I32997"/>
    </row>
    <row r="32998" spans="6:9" x14ac:dyDescent="0.3">
      <c r="F32998"/>
      <c r="G32998"/>
      <c r="H32998"/>
      <c r="I32998"/>
    </row>
    <row r="32999" spans="6:9" x14ac:dyDescent="0.3">
      <c r="F32999"/>
      <c r="G32999"/>
      <c r="H32999"/>
      <c r="I32999"/>
    </row>
    <row r="33000" spans="6:9" x14ac:dyDescent="0.3">
      <c r="F33000"/>
      <c r="G33000"/>
      <c r="H33000"/>
      <c r="I33000"/>
    </row>
    <row r="33001" spans="6:9" x14ac:dyDescent="0.3">
      <c r="F33001"/>
      <c r="G33001"/>
      <c r="H33001"/>
      <c r="I33001"/>
    </row>
    <row r="33002" spans="6:9" x14ac:dyDescent="0.3">
      <c r="F33002"/>
      <c r="G33002"/>
      <c r="H33002"/>
      <c r="I33002"/>
    </row>
    <row r="33003" spans="6:9" x14ac:dyDescent="0.3">
      <c r="F33003"/>
      <c r="G33003"/>
      <c r="H33003"/>
      <c r="I33003"/>
    </row>
    <row r="33004" spans="6:9" x14ac:dyDescent="0.3">
      <c r="F33004"/>
      <c r="G33004"/>
      <c r="H33004"/>
      <c r="I33004"/>
    </row>
    <row r="33005" spans="6:9" x14ac:dyDescent="0.3">
      <c r="F33005"/>
      <c r="G33005"/>
      <c r="H33005"/>
      <c r="I33005"/>
    </row>
    <row r="33006" spans="6:9" x14ac:dyDescent="0.3">
      <c r="F33006"/>
      <c r="G33006"/>
      <c r="H33006"/>
      <c r="I33006"/>
    </row>
    <row r="33007" spans="6:9" x14ac:dyDescent="0.3">
      <c r="F33007"/>
      <c r="G33007"/>
      <c r="H33007"/>
      <c r="I33007"/>
    </row>
    <row r="33008" spans="6:9" x14ac:dyDescent="0.3">
      <c r="F33008"/>
      <c r="G33008"/>
      <c r="H33008"/>
      <c r="I33008"/>
    </row>
    <row r="33009" spans="6:9" x14ac:dyDescent="0.3">
      <c r="F33009"/>
      <c r="G33009"/>
      <c r="H33009"/>
      <c r="I33009"/>
    </row>
    <row r="33010" spans="6:9" x14ac:dyDescent="0.3">
      <c r="F33010"/>
      <c r="G33010"/>
      <c r="H33010"/>
      <c r="I33010"/>
    </row>
    <row r="33011" spans="6:9" x14ac:dyDescent="0.3">
      <c r="F33011"/>
      <c r="G33011"/>
      <c r="H33011"/>
      <c r="I33011"/>
    </row>
    <row r="33012" spans="6:9" x14ac:dyDescent="0.3">
      <c r="F33012"/>
      <c r="G33012"/>
      <c r="H33012"/>
      <c r="I33012"/>
    </row>
    <row r="33013" spans="6:9" x14ac:dyDescent="0.3">
      <c r="F33013"/>
      <c r="G33013"/>
      <c r="H33013"/>
      <c r="I33013"/>
    </row>
    <row r="33014" spans="6:9" x14ac:dyDescent="0.3">
      <c r="F33014"/>
      <c r="G33014"/>
      <c r="H33014"/>
      <c r="I33014"/>
    </row>
    <row r="33015" spans="6:9" x14ac:dyDescent="0.3">
      <c r="F33015"/>
      <c r="G33015"/>
      <c r="H33015"/>
      <c r="I33015"/>
    </row>
    <row r="33016" spans="6:9" x14ac:dyDescent="0.3">
      <c r="F33016"/>
      <c r="G33016"/>
      <c r="H33016"/>
      <c r="I33016"/>
    </row>
    <row r="33017" spans="6:9" x14ac:dyDescent="0.3">
      <c r="F33017"/>
      <c r="G33017"/>
      <c r="H33017"/>
      <c r="I33017"/>
    </row>
    <row r="33018" spans="6:9" x14ac:dyDescent="0.3">
      <c r="F33018"/>
      <c r="G33018"/>
      <c r="H33018"/>
      <c r="I33018"/>
    </row>
    <row r="33019" spans="6:9" x14ac:dyDescent="0.3">
      <c r="F33019"/>
      <c r="G33019"/>
      <c r="H33019"/>
      <c r="I33019"/>
    </row>
    <row r="33020" spans="6:9" x14ac:dyDescent="0.3">
      <c r="F33020"/>
      <c r="G33020"/>
      <c r="H33020"/>
      <c r="I33020"/>
    </row>
    <row r="33021" spans="6:9" x14ac:dyDescent="0.3">
      <c r="F33021"/>
      <c r="G33021"/>
      <c r="H33021"/>
      <c r="I33021"/>
    </row>
    <row r="33022" spans="6:9" x14ac:dyDescent="0.3">
      <c r="F33022"/>
      <c r="G33022"/>
      <c r="H33022"/>
      <c r="I33022"/>
    </row>
    <row r="33023" spans="6:9" x14ac:dyDescent="0.3">
      <c r="F33023"/>
      <c r="G33023"/>
      <c r="H33023"/>
      <c r="I33023"/>
    </row>
    <row r="33024" spans="6:9" x14ac:dyDescent="0.3">
      <c r="F33024"/>
      <c r="G33024"/>
      <c r="H33024"/>
      <c r="I33024"/>
    </row>
    <row r="33025" spans="6:9" x14ac:dyDescent="0.3">
      <c r="F33025"/>
      <c r="G33025"/>
      <c r="H33025"/>
      <c r="I33025"/>
    </row>
    <row r="33026" spans="6:9" x14ac:dyDescent="0.3">
      <c r="F33026"/>
      <c r="G33026"/>
      <c r="H33026"/>
      <c r="I33026"/>
    </row>
    <row r="33027" spans="6:9" x14ac:dyDescent="0.3">
      <c r="F33027"/>
      <c r="G33027"/>
      <c r="H33027"/>
      <c r="I33027"/>
    </row>
    <row r="33028" spans="6:9" x14ac:dyDescent="0.3">
      <c r="F33028"/>
      <c r="G33028"/>
      <c r="H33028"/>
      <c r="I33028"/>
    </row>
    <row r="33029" spans="6:9" x14ac:dyDescent="0.3">
      <c r="F33029"/>
      <c r="G33029"/>
      <c r="H33029"/>
      <c r="I33029"/>
    </row>
    <row r="33030" spans="6:9" x14ac:dyDescent="0.3">
      <c r="F33030"/>
      <c r="G33030"/>
      <c r="H33030"/>
      <c r="I33030"/>
    </row>
    <row r="33031" spans="6:9" x14ac:dyDescent="0.3">
      <c r="F33031"/>
      <c r="G33031"/>
      <c r="H33031"/>
      <c r="I33031"/>
    </row>
    <row r="33032" spans="6:9" x14ac:dyDescent="0.3">
      <c r="F33032"/>
      <c r="G33032"/>
      <c r="H33032"/>
      <c r="I33032"/>
    </row>
    <row r="33033" spans="6:9" x14ac:dyDescent="0.3">
      <c r="F33033"/>
      <c r="G33033"/>
      <c r="H33033"/>
      <c r="I33033"/>
    </row>
    <row r="33034" spans="6:9" x14ac:dyDescent="0.3">
      <c r="F33034"/>
      <c r="G33034"/>
      <c r="H33034"/>
      <c r="I33034"/>
    </row>
    <row r="33035" spans="6:9" x14ac:dyDescent="0.3">
      <c r="F33035"/>
      <c r="G33035"/>
      <c r="H33035"/>
      <c r="I33035"/>
    </row>
    <row r="33036" spans="6:9" x14ac:dyDescent="0.3">
      <c r="F33036"/>
      <c r="G33036"/>
      <c r="H33036"/>
      <c r="I33036"/>
    </row>
    <row r="33037" spans="6:9" x14ac:dyDescent="0.3">
      <c r="F33037"/>
      <c r="G33037"/>
      <c r="H33037"/>
      <c r="I33037"/>
    </row>
    <row r="33038" spans="6:9" x14ac:dyDescent="0.3">
      <c r="F33038"/>
      <c r="G33038"/>
      <c r="H33038"/>
      <c r="I33038"/>
    </row>
    <row r="33039" spans="6:9" x14ac:dyDescent="0.3">
      <c r="F33039"/>
      <c r="G33039"/>
      <c r="H33039"/>
      <c r="I33039"/>
    </row>
    <row r="33040" spans="6:9" x14ac:dyDescent="0.3">
      <c r="F33040"/>
      <c r="G33040"/>
      <c r="H33040"/>
      <c r="I33040"/>
    </row>
    <row r="33041" spans="6:9" x14ac:dyDescent="0.3">
      <c r="F33041"/>
      <c r="G33041"/>
      <c r="H33041"/>
      <c r="I33041"/>
    </row>
    <row r="33042" spans="6:9" x14ac:dyDescent="0.3">
      <c r="F33042"/>
      <c r="G33042"/>
      <c r="H33042"/>
      <c r="I33042"/>
    </row>
    <row r="33043" spans="6:9" x14ac:dyDescent="0.3">
      <c r="F33043"/>
      <c r="G33043"/>
      <c r="H33043"/>
      <c r="I33043"/>
    </row>
    <row r="33044" spans="6:9" x14ac:dyDescent="0.3">
      <c r="F33044"/>
      <c r="G33044"/>
      <c r="H33044"/>
      <c r="I33044"/>
    </row>
    <row r="33045" spans="6:9" x14ac:dyDescent="0.3">
      <c r="F33045"/>
      <c r="G33045"/>
      <c r="H33045"/>
      <c r="I33045"/>
    </row>
    <row r="33046" spans="6:9" x14ac:dyDescent="0.3">
      <c r="F33046"/>
      <c r="G33046"/>
      <c r="H33046"/>
      <c r="I33046"/>
    </row>
    <row r="33047" spans="6:9" x14ac:dyDescent="0.3">
      <c r="F33047"/>
      <c r="G33047"/>
      <c r="H33047"/>
      <c r="I33047"/>
    </row>
    <row r="33048" spans="6:9" x14ac:dyDescent="0.3">
      <c r="F33048"/>
      <c r="G33048"/>
      <c r="H33048"/>
      <c r="I33048"/>
    </row>
    <row r="33049" spans="6:9" x14ac:dyDescent="0.3">
      <c r="F33049"/>
      <c r="G33049"/>
      <c r="H33049"/>
      <c r="I33049"/>
    </row>
    <row r="33050" spans="6:9" x14ac:dyDescent="0.3">
      <c r="F33050"/>
      <c r="G33050"/>
      <c r="H33050"/>
      <c r="I33050"/>
    </row>
    <row r="33051" spans="6:9" x14ac:dyDescent="0.3">
      <c r="F33051"/>
      <c r="G33051"/>
      <c r="H33051"/>
      <c r="I33051"/>
    </row>
    <row r="33052" spans="6:9" x14ac:dyDescent="0.3">
      <c r="F33052"/>
      <c r="G33052"/>
      <c r="H33052"/>
      <c r="I33052"/>
    </row>
    <row r="33053" spans="6:9" x14ac:dyDescent="0.3">
      <c r="F33053"/>
      <c r="G33053"/>
      <c r="H33053"/>
      <c r="I33053"/>
    </row>
    <row r="33054" spans="6:9" x14ac:dyDescent="0.3">
      <c r="F33054"/>
      <c r="G33054"/>
      <c r="H33054"/>
      <c r="I33054"/>
    </row>
    <row r="33055" spans="6:9" x14ac:dyDescent="0.3">
      <c r="F33055"/>
      <c r="G33055"/>
      <c r="H33055"/>
      <c r="I33055"/>
    </row>
    <row r="33056" spans="6:9" x14ac:dyDescent="0.3">
      <c r="F33056"/>
      <c r="G33056"/>
      <c r="H33056"/>
      <c r="I33056"/>
    </row>
    <row r="33057" spans="6:9" x14ac:dyDescent="0.3">
      <c r="F33057"/>
      <c r="G33057"/>
      <c r="H33057"/>
      <c r="I33057"/>
    </row>
    <row r="33058" spans="6:9" x14ac:dyDescent="0.3">
      <c r="F33058"/>
      <c r="G33058"/>
      <c r="H33058"/>
      <c r="I33058"/>
    </row>
    <row r="33059" spans="6:9" x14ac:dyDescent="0.3">
      <c r="F33059"/>
      <c r="G33059"/>
      <c r="H33059"/>
      <c r="I33059"/>
    </row>
    <row r="33060" spans="6:9" x14ac:dyDescent="0.3">
      <c r="F33060"/>
      <c r="G33060"/>
      <c r="H33060"/>
      <c r="I33060"/>
    </row>
    <row r="33061" spans="6:9" x14ac:dyDescent="0.3">
      <c r="F33061"/>
      <c r="G33061"/>
      <c r="H33061"/>
      <c r="I33061"/>
    </row>
    <row r="33062" spans="6:9" x14ac:dyDescent="0.3">
      <c r="F33062"/>
      <c r="G33062"/>
      <c r="H33062"/>
      <c r="I33062"/>
    </row>
    <row r="33063" spans="6:9" x14ac:dyDescent="0.3">
      <c r="F33063"/>
      <c r="G33063"/>
      <c r="H33063"/>
      <c r="I33063"/>
    </row>
    <row r="33064" spans="6:9" x14ac:dyDescent="0.3">
      <c r="F33064"/>
      <c r="G33064"/>
      <c r="H33064"/>
      <c r="I33064"/>
    </row>
    <row r="33065" spans="6:9" x14ac:dyDescent="0.3">
      <c r="F33065"/>
      <c r="G33065"/>
      <c r="H33065"/>
      <c r="I33065"/>
    </row>
    <row r="33066" spans="6:9" x14ac:dyDescent="0.3">
      <c r="F33066"/>
      <c r="G33066"/>
      <c r="H33066"/>
      <c r="I33066"/>
    </row>
    <row r="33067" spans="6:9" x14ac:dyDescent="0.3">
      <c r="F33067"/>
      <c r="G33067"/>
      <c r="H33067"/>
      <c r="I33067"/>
    </row>
    <row r="33068" spans="6:9" x14ac:dyDescent="0.3">
      <c r="F33068"/>
      <c r="G33068"/>
      <c r="H33068"/>
      <c r="I33068"/>
    </row>
    <row r="33069" spans="6:9" x14ac:dyDescent="0.3">
      <c r="F33069"/>
      <c r="G33069"/>
      <c r="H33069"/>
      <c r="I33069"/>
    </row>
    <row r="33070" spans="6:9" x14ac:dyDescent="0.3">
      <c r="F33070"/>
      <c r="G33070"/>
      <c r="H33070"/>
      <c r="I33070"/>
    </row>
    <row r="33071" spans="6:9" x14ac:dyDescent="0.3">
      <c r="F33071"/>
      <c r="G33071"/>
      <c r="H33071"/>
      <c r="I33071"/>
    </row>
    <row r="33072" spans="6:9" x14ac:dyDescent="0.3">
      <c r="F33072"/>
      <c r="G33072"/>
      <c r="H33072"/>
      <c r="I33072"/>
    </row>
    <row r="33073" spans="6:9" x14ac:dyDescent="0.3">
      <c r="F33073"/>
      <c r="G33073"/>
      <c r="H33073"/>
      <c r="I33073"/>
    </row>
    <row r="33074" spans="6:9" x14ac:dyDescent="0.3">
      <c r="F33074"/>
      <c r="G33074"/>
      <c r="H33074"/>
      <c r="I33074"/>
    </row>
    <row r="33075" spans="6:9" x14ac:dyDescent="0.3">
      <c r="F33075"/>
      <c r="G33075"/>
      <c r="H33075"/>
      <c r="I33075"/>
    </row>
    <row r="33076" spans="6:9" x14ac:dyDescent="0.3">
      <c r="F33076"/>
      <c r="G33076"/>
      <c r="H33076"/>
      <c r="I33076"/>
    </row>
    <row r="33077" spans="6:9" x14ac:dyDescent="0.3">
      <c r="F33077"/>
      <c r="G33077"/>
      <c r="H33077"/>
      <c r="I33077"/>
    </row>
    <row r="33078" spans="6:9" x14ac:dyDescent="0.3">
      <c r="F33078"/>
      <c r="G33078"/>
      <c r="H33078"/>
      <c r="I33078"/>
    </row>
    <row r="33079" spans="6:9" x14ac:dyDescent="0.3">
      <c r="F33079"/>
      <c r="G33079"/>
      <c r="H33079"/>
      <c r="I33079"/>
    </row>
    <row r="33080" spans="6:9" x14ac:dyDescent="0.3">
      <c r="F33080"/>
      <c r="G33080"/>
      <c r="H33080"/>
      <c r="I33080"/>
    </row>
    <row r="33081" spans="6:9" x14ac:dyDescent="0.3">
      <c r="F33081"/>
      <c r="G33081"/>
      <c r="H33081"/>
      <c r="I33081"/>
    </row>
    <row r="33082" spans="6:9" x14ac:dyDescent="0.3">
      <c r="F33082"/>
      <c r="G33082"/>
      <c r="H33082"/>
      <c r="I33082"/>
    </row>
    <row r="33083" spans="6:9" x14ac:dyDescent="0.3">
      <c r="F33083"/>
      <c r="G33083"/>
      <c r="H33083"/>
      <c r="I33083"/>
    </row>
    <row r="33084" spans="6:9" x14ac:dyDescent="0.3">
      <c r="F33084"/>
      <c r="G33084"/>
      <c r="H33084"/>
      <c r="I33084"/>
    </row>
    <row r="33085" spans="6:9" x14ac:dyDescent="0.3">
      <c r="F33085"/>
      <c r="G33085"/>
      <c r="H33085"/>
      <c r="I33085"/>
    </row>
    <row r="33086" spans="6:9" x14ac:dyDescent="0.3">
      <c r="F33086"/>
      <c r="G33086"/>
      <c r="H33086"/>
      <c r="I33086"/>
    </row>
    <row r="33087" spans="6:9" x14ac:dyDescent="0.3">
      <c r="F33087"/>
      <c r="G33087"/>
      <c r="H33087"/>
      <c r="I33087"/>
    </row>
    <row r="33088" spans="6:9" x14ac:dyDescent="0.3">
      <c r="F33088"/>
      <c r="G33088"/>
      <c r="H33088"/>
      <c r="I33088"/>
    </row>
    <row r="33089" spans="6:9" x14ac:dyDescent="0.3">
      <c r="F33089"/>
      <c r="G33089"/>
      <c r="H33089"/>
      <c r="I33089"/>
    </row>
    <row r="33090" spans="6:9" x14ac:dyDescent="0.3">
      <c r="F33090"/>
      <c r="G33090"/>
      <c r="H33090"/>
      <c r="I33090"/>
    </row>
    <row r="33091" spans="6:9" x14ac:dyDescent="0.3">
      <c r="F33091"/>
      <c r="G33091"/>
      <c r="H33091"/>
      <c r="I33091"/>
    </row>
    <row r="33092" spans="6:9" x14ac:dyDescent="0.3">
      <c r="F33092"/>
      <c r="G33092"/>
      <c r="H33092"/>
      <c r="I33092"/>
    </row>
    <row r="33093" spans="6:9" x14ac:dyDescent="0.3">
      <c r="F33093"/>
      <c r="G33093"/>
      <c r="H33093"/>
      <c r="I33093"/>
    </row>
    <row r="33094" spans="6:9" x14ac:dyDescent="0.3">
      <c r="F33094"/>
      <c r="G33094"/>
      <c r="H33094"/>
      <c r="I33094"/>
    </row>
    <row r="33095" spans="6:9" x14ac:dyDescent="0.3">
      <c r="F33095"/>
      <c r="G33095"/>
      <c r="H33095"/>
      <c r="I33095"/>
    </row>
    <row r="33096" spans="6:9" x14ac:dyDescent="0.3">
      <c r="F33096"/>
      <c r="G33096"/>
      <c r="H33096"/>
      <c r="I33096"/>
    </row>
    <row r="33097" spans="6:9" x14ac:dyDescent="0.3">
      <c r="F33097"/>
      <c r="G33097"/>
      <c r="H33097"/>
      <c r="I33097"/>
    </row>
    <row r="33098" spans="6:9" x14ac:dyDescent="0.3">
      <c r="F33098"/>
      <c r="G33098"/>
      <c r="H33098"/>
      <c r="I33098"/>
    </row>
    <row r="33099" spans="6:9" x14ac:dyDescent="0.3">
      <c r="F33099"/>
      <c r="G33099"/>
      <c r="H33099"/>
      <c r="I33099"/>
    </row>
    <row r="33100" spans="6:9" x14ac:dyDescent="0.3">
      <c r="F33100"/>
      <c r="G33100"/>
      <c r="H33100"/>
      <c r="I33100"/>
    </row>
    <row r="33101" spans="6:9" x14ac:dyDescent="0.3">
      <c r="F33101"/>
      <c r="G33101"/>
      <c r="H33101"/>
      <c r="I33101"/>
    </row>
    <row r="33102" spans="6:9" x14ac:dyDescent="0.3">
      <c r="F33102"/>
      <c r="G33102"/>
      <c r="H33102"/>
      <c r="I33102"/>
    </row>
    <row r="33103" spans="6:9" x14ac:dyDescent="0.3">
      <c r="F33103"/>
      <c r="G33103"/>
      <c r="H33103"/>
      <c r="I33103"/>
    </row>
    <row r="33104" spans="6:9" x14ac:dyDescent="0.3">
      <c r="F33104"/>
      <c r="G33104"/>
      <c r="H33104"/>
      <c r="I33104"/>
    </row>
    <row r="33105" spans="6:9" x14ac:dyDescent="0.3">
      <c r="F33105"/>
      <c r="G33105"/>
      <c r="H33105"/>
      <c r="I33105"/>
    </row>
    <row r="33106" spans="6:9" x14ac:dyDescent="0.3">
      <c r="F33106"/>
      <c r="G33106"/>
      <c r="H33106"/>
      <c r="I33106"/>
    </row>
    <row r="33107" spans="6:9" x14ac:dyDescent="0.3">
      <c r="F33107"/>
      <c r="G33107"/>
      <c r="H33107"/>
      <c r="I33107"/>
    </row>
    <row r="33108" spans="6:9" x14ac:dyDescent="0.3">
      <c r="F33108"/>
      <c r="G33108"/>
      <c r="H33108"/>
      <c r="I33108"/>
    </row>
    <row r="33109" spans="6:9" x14ac:dyDescent="0.3">
      <c r="F33109"/>
      <c r="G33109"/>
      <c r="H33109"/>
      <c r="I33109"/>
    </row>
    <row r="33110" spans="6:9" x14ac:dyDescent="0.3">
      <c r="F33110"/>
      <c r="G33110"/>
      <c r="H33110"/>
      <c r="I33110"/>
    </row>
    <row r="33111" spans="6:9" x14ac:dyDescent="0.3">
      <c r="F33111"/>
      <c r="G33111"/>
      <c r="H33111"/>
      <c r="I33111"/>
    </row>
    <row r="33112" spans="6:9" x14ac:dyDescent="0.3">
      <c r="F33112"/>
      <c r="G33112"/>
      <c r="H33112"/>
      <c r="I33112"/>
    </row>
    <row r="33113" spans="6:9" x14ac:dyDescent="0.3">
      <c r="F33113"/>
      <c r="G33113"/>
      <c r="H33113"/>
      <c r="I33113"/>
    </row>
    <row r="33114" spans="6:9" x14ac:dyDescent="0.3">
      <c r="F33114"/>
      <c r="G33114"/>
      <c r="H33114"/>
      <c r="I33114"/>
    </row>
    <row r="33115" spans="6:9" x14ac:dyDescent="0.3">
      <c r="F33115"/>
      <c r="G33115"/>
      <c r="H33115"/>
      <c r="I33115"/>
    </row>
    <row r="33116" spans="6:9" x14ac:dyDescent="0.3">
      <c r="F33116"/>
      <c r="G33116"/>
      <c r="H33116"/>
      <c r="I33116"/>
    </row>
    <row r="33117" spans="6:9" x14ac:dyDescent="0.3">
      <c r="F33117"/>
      <c r="G33117"/>
      <c r="H33117"/>
      <c r="I33117"/>
    </row>
    <row r="33118" spans="6:9" x14ac:dyDescent="0.3">
      <c r="F33118"/>
      <c r="G33118"/>
      <c r="H33118"/>
      <c r="I33118"/>
    </row>
    <row r="33119" spans="6:9" x14ac:dyDescent="0.3">
      <c r="F33119"/>
      <c r="G33119"/>
      <c r="H33119"/>
      <c r="I33119"/>
    </row>
    <row r="33120" spans="6:9" x14ac:dyDescent="0.3">
      <c r="F33120"/>
      <c r="G33120"/>
      <c r="H33120"/>
      <c r="I33120"/>
    </row>
    <row r="33121" spans="6:9" x14ac:dyDescent="0.3">
      <c r="F33121"/>
      <c r="G33121"/>
      <c r="H33121"/>
      <c r="I33121"/>
    </row>
    <row r="33122" spans="6:9" x14ac:dyDescent="0.3">
      <c r="F33122"/>
      <c r="G33122"/>
      <c r="H33122"/>
      <c r="I33122"/>
    </row>
    <row r="33123" spans="6:9" x14ac:dyDescent="0.3">
      <c r="F33123"/>
      <c r="G33123"/>
      <c r="H33123"/>
      <c r="I33123"/>
    </row>
    <row r="33124" spans="6:9" x14ac:dyDescent="0.3">
      <c r="F33124"/>
      <c r="G33124"/>
      <c r="H33124"/>
      <c r="I33124"/>
    </row>
    <row r="33125" spans="6:9" x14ac:dyDescent="0.3">
      <c r="F33125"/>
      <c r="G33125"/>
      <c r="H33125"/>
      <c r="I33125"/>
    </row>
    <row r="33126" spans="6:9" x14ac:dyDescent="0.3">
      <c r="F33126"/>
      <c r="G33126"/>
      <c r="H33126"/>
      <c r="I33126"/>
    </row>
    <row r="33127" spans="6:9" x14ac:dyDescent="0.3">
      <c r="F33127"/>
      <c r="G33127"/>
      <c r="H33127"/>
      <c r="I33127"/>
    </row>
    <row r="33128" spans="6:9" x14ac:dyDescent="0.3">
      <c r="F33128"/>
      <c r="G33128"/>
      <c r="H33128"/>
      <c r="I33128"/>
    </row>
    <row r="33129" spans="6:9" x14ac:dyDescent="0.3">
      <c r="F33129"/>
      <c r="G33129"/>
      <c r="H33129"/>
      <c r="I33129"/>
    </row>
    <row r="33130" spans="6:9" x14ac:dyDescent="0.3">
      <c r="F33130"/>
      <c r="G33130"/>
      <c r="H33130"/>
      <c r="I33130"/>
    </row>
    <row r="33131" spans="6:9" x14ac:dyDescent="0.3">
      <c r="F33131"/>
      <c r="G33131"/>
      <c r="H33131"/>
      <c r="I33131"/>
    </row>
    <row r="33132" spans="6:9" x14ac:dyDescent="0.3">
      <c r="F33132"/>
      <c r="G33132"/>
      <c r="H33132"/>
      <c r="I33132"/>
    </row>
    <row r="33133" spans="6:9" x14ac:dyDescent="0.3">
      <c r="F33133"/>
      <c r="G33133"/>
      <c r="H33133"/>
      <c r="I33133"/>
    </row>
    <row r="33134" spans="6:9" x14ac:dyDescent="0.3">
      <c r="F33134"/>
      <c r="G33134"/>
      <c r="H33134"/>
      <c r="I33134"/>
    </row>
    <row r="33135" spans="6:9" x14ac:dyDescent="0.3">
      <c r="F33135"/>
      <c r="G33135"/>
      <c r="H33135"/>
      <c r="I33135"/>
    </row>
    <row r="33136" spans="6:9" x14ac:dyDescent="0.3">
      <c r="F33136"/>
      <c r="G33136"/>
      <c r="H33136"/>
      <c r="I33136"/>
    </row>
    <row r="33137" spans="6:9" x14ac:dyDescent="0.3">
      <c r="F33137"/>
      <c r="G33137"/>
      <c r="H33137"/>
      <c r="I33137"/>
    </row>
    <row r="33138" spans="6:9" x14ac:dyDescent="0.3">
      <c r="F33138"/>
      <c r="G33138"/>
      <c r="H33138"/>
      <c r="I33138"/>
    </row>
    <row r="33139" spans="6:9" x14ac:dyDescent="0.3">
      <c r="F33139"/>
      <c r="G33139"/>
      <c r="H33139"/>
      <c r="I33139"/>
    </row>
    <row r="33140" spans="6:9" x14ac:dyDescent="0.3">
      <c r="F33140"/>
      <c r="G33140"/>
      <c r="H33140"/>
      <c r="I33140"/>
    </row>
    <row r="33141" spans="6:9" x14ac:dyDescent="0.3">
      <c r="F33141"/>
      <c r="G33141"/>
      <c r="H33141"/>
      <c r="I33141"/>
    </row>
    <row r="33142" spans="6:9" x14ac:dyDescent="0.3">
      <c r="F33142"/>
      <c r="G33142"/>
      <c r="H33142"/>
      <c r="I33142"/>
    </row>
    <row r="33143" spans="6:9" x14ac:dyDescent="0.3">
      <c r="F33143"/>
      <c r="G33143"/>
      <c r="H33143"/>
      <c r="I33143"/>
    </row>
    <row r="33144" spans="6:9" x14ac:dyDescent="0.3">
      <c r="F33144"/>
      <c r="G33144"/>
      <c r="H33144"/>
      <c r="I33144"/>
    </row>
    <row r="33145" spans="6:9" x14ac:dyDescent="0.3">
      <c r="F33145"/>
      <c r="G33145"/>
      <c r="H33145"/>
      <c r="I33145"/>
    </row>
    <row r="33146" spans="6:9" x14ac:dyDescent="0.3">
      <c r="F33146"/>
      <c r="G33146"/>
      <c r="H33146"/>
      <c r="I33146"/>
    </row>
    <row r="33147" spans="6:9" x14ac:dyDescent="0.3">
      <c r="F33147"/>
      <c r="G33147"/>
      <c r="H33147"/>
      <c r="I33147"/>
    </row>
    <row r="33148" spans="6:9" x14ac:dyDescent="0.3">
      <c r="F33148"/>
      <c r="G33148"/>
      <c r="H33148"/>
      <c r="I33148"/>
    </row>
    <row r="33149" spans="6:9" x14ac:dyDescent="0.3">
      <c r="F33149"/>
      <c r="G33149"/>
      <c r="H33149"/>
      <c r="I33149"/>
    </row>
    <row r="33150" spans="6:9" x14ac:dyDescent="0.3">
      <c r="F33150"/>
      <c r="G33150"/>
      <c r="H33150"/>
      <c r="I33150"/>
    </row>
    <row r="33151" spans="6:9" x14ac:dyDescent="0.3">
      <c r="F33151"/>
      <c r="G33151"/>
      <c r="H33151"/>
      <c r="I33151"/>
    </row>
    <row r="33152" spans="6:9" x14ac:dyDescent="0.3">
      <c r="F33152"/>
      <c r="G33152"/>
      <c r="H33152"/>
      <c r="I33152"/>
    </row>
    <row r="33153" spans="6:9" x14ac:dyDescent="0.3">
      <c r="F33153"/>
      <c r="G33153"/>
      <c r="H33153"/>
      <c r="I33153"/>
    </row>
    <row r="33154" spans="6:9" x14ac:dyDescent="0.3">
      <c r="F33154"/>
      <c r="G33154"/>
      <c r="H33154"/>
      <c r="I33154"/>
    </row>
    <row r="33155" spans="6:9" x14ac:dyDescent="0.3">
      <c r="F33155"/>
      <c r="G33155"/>
      <c r="H33155"/>
      <c r="I33155"/>
    </row>
    <row r="33156" spans="6:9" x14ac:dyDescent="0.3">
      <c r="F33156"/>
      <c r="G33156"/>
      <c r="H33156"/>
      <c r="I33156"/>
    </row>
    <row r="33157" spans="6:9" x14ac:dyDescent="0.3">
      <c r="F33157"/>
      <c r="G33157"/>
      <c r="H33157"/>
      <c r="I33157"/>
    </row>
    <row r="33158" spans="6:9" x14ac:dyDescent="0.3">
      <c r="F33158"/>
      <c r="G33158"/>
      <c r="H33158"/>
      <c r="I33158"/>
    </row>
    <row r="33159" spans="6:9" x14ac:dyDescent="0.3">
      <c r="F33159"/>
      <c r="G33159"/>
      <c r="H33159"/>
      <c r="I33159"/>
    </row>
    <row r="33160" spans="6:9" x14ac:dyDescent="0.3">
      <c r="F33160"/>
      <c r="G33160"/>
      <c r="H33160"/>
      <c r="I33160"/>
    </row>
    <row r="33161" spans="6:9" x14ac:dyDescent="0.3">
      <c r="F33161"/>
      <c r="G33161"/>
      <c r="H33161"/>
      <c r="I33161"/>
    </row>
    <row r="33162" spans="6:9" x14ac:dyDescent="0.3">
      <c r="F33162"/>
      <c r="G33162"/>
      <c r="H33162"/>
      <c r="I33162"/>
    </row>
    <row r="33163" spans="6:9" x14ac:dyDescent="0.3">
      <c r="F33163"/>
      <c r="G33163"/>
      <c r="H33163"/>
      <c r="I33163"/>
    </row>
    <row r="33164" spans="6:9" x14ac:dyDescent="0.3">
      <c r="F33164"/>
      <c r="G33164"/>
      <c r="H33164"/>
      <c r="I33164"/>
    </row>
    <row r="33165" spans="6:9" x14ac:dyDescent="0.3">
      <c r="F33165"/>
      <c r="G33165"/>
      <c r="H33165"/>
      <c r="I33165"/>
    </row>
    <row r="33166" spans="6:9" x14ac:dyDescent="0.3">
      <c r="F33166"/>
      <c r="G33166"/>
      <c r="H33166"/>
      <c r="I33166"/>
    </row>
    <row r="33167" spans="6:9" x14ac:dyDescent="0.3">
      <c r="F33167"/>
      <c r="G33167"/>
      <c r="H33167"/>
      <c r="I33167"/>
    </row>
    <row r="33168" spans="6:9" x14ac:dyDescent="0.3">
      <c r="F33168"/>
      <c r="G33168"/>
      <c r="H33168"/>
      <c r="I33168"/>
    </row>
    <row r="33169" spans="6:9" x14ac:dyDescent="0.3">
      <c r="F33169"/>
      <c r="G33169"/>
      <c r="H33169"/>
      <c r="I33169"/>
    </row>
    <row r="33170" spans="6:9" x14ac:dyDescent="0.3">
      <c r="F33170"/>
      <c r="G33170"/>
      <c r="H33170"/>
      <c r="I33170"/>
    </row>
    <row r="33171" spans="6:9" x14ac:dyDescent="0.3">
      <c r="F33171"/>
      <c r="G33171"/>
      <c r="H33171"/>
      <c r="I33171"/>
    </row>
    <row r="33172" spans="6:9" x14ac:dyDescent="0.3">
      <c r="F33172"/>
      <c r="G33172"/>
      <c r="H33172"/>
      <c r="I33172"/>
    </row>
    <row r="33173" spans="6:9" x14ac:dyDescent="0.3">
      <c r="F33173"/>
      <c r="G33173"/>
      <c r="H33173"/>
      <c r="I33173"/>
    </row>
    <row r="33174" spans="6:9" x14ac:dyDescent="0.3">
      <c r="F33174"/>
      <c r="G33174"/>
      <c r="H33174"/>
      <c r="I33174"/>
    </row>
    <row r="33175" spans="6:9" x14ac:dyDescent="0.3">
      <c r="F33175"/>
      <c r="G33175"/>
      <c r="H33175"/>
      <c r="I33175"/>
    </row>
    <row r="33176" spans="6:9" x14ac:dyDescent="0.3">
      <c r="F33176"/>
      <c r="G33176"/>
      <c r="H33176"/>
      <c r="I33176"/>
    </row>
    <row r="33177" spans="6:9" x14ac:dyDescent="0.3">
      <c r="F33177"/>
      <c r="G33177"/>
      <c r="H33177"/>
      <c r="I33177"/>
    </row>
    <row r="33178" spans="6:9" x14ac:dyDescent="0.3">
      <c r="F33178"/>
      <c r="G33178"/>
      <c r="H33178"/>
      <c r="I33178"/>
    </row>
    <row r="33179" spans="6:9" x14ac:dyDescent="0.3">
      <c r="F33179"/>
      <c r="G33179"/>
      <c r="H33179"/>
      <c r="I33179"/>
    </row>
    <row r="33180" spans="6:9" x14ac:dyDescent="0.3">
      <c r="F33180"/>
      <c r="G33180"/>
      <c r="H33180"/>
      <c r="I33180"/>
    </row>
    <row r="33181" spans="6:9" x14ac:dyDescent="0.3">
      <c r="F33181"/>
      <c r="G33181"/>
      <c r="H33181"/>
      <c r="I33181"/>
    </row>
    <row r="33182" spans="6:9" x14ac:dyDescent="0.3">
      <c r="F33182"/>
      <c r="G33182"/>
      <c r="H33182"/>
      <c r="I33182"/>
    </row>
    <row r="33183" spans="6:9" x14ac:dyDescent="0.3">
      <c r="F33183"/>
      <c r="G33183"/>
      <c r="H33183"/>
      <c r="I33183"/>
    </row>
    <row r="33184" spans="6:9" x14ac:dyDescent="0.3">
      <c r="F33184"/>
      <c r="G33184"/>
      <c r="H33184"/>
      <c r="I33184"/>
    </row>
    <row r="33185" spans="6:9" x14ac:dyDescent="0.3">
      <c r="F33185"/>
      <c r="G33185"/>
      <c r="H33185"/>
      <c r="I33185"/>
    </row>
    <row r="33186" spans="6:9" x14ac:dyDescent="0.3">
      <c r="F33186"/>
      <c r="G33186"/>
      <c r="H33186"/>
      <c r="I33186"/>
    </row>
    <row r="33187" spans="6:9" x14ac:dyDescent="0.3">
      <c r="F33187"/>
      <c r="G33187"/>
      <c r="H33187"/>
      <c r="I33187"/>
    </row>
    <row r="33188" spans="6:9" x14ac:dyDescent="0.3">
      <c r="F33188"/>
      <c r="G33188"/>
      <c r="H33188"/>
      <c r="I33188"/>
    </row>
    <row r="33189" spans="6:9" x14ac:dyDescent="0.3">
      <c r="F33189"/>
      <c r="G33189"/>
      <c r="H33189"/>
      <c r="I33189"/>
    </row>
    <row r="33190" spans="6:9" x14ac:dyDescent="0.3">
      <c r="F33190"/>
      <c r="G33190"/>
      <c r="H33190"/>
      <c r="I33190"/>
    </row>
    <row r="33191" spans="6:9" x14ac:dyDescent="0.3">
      <c r="F33191"/>
      <c r="G33191"/>
      <c r="H33191"/>
      <c r="I33191"/>
    </row>
    <row r="33192" spans="6:9" x14ac:dyDescent="0.3">
      <c r="F33192"/>
      <c r="G33192"/>
      <c r="H33192"/>
      <c r="I33192"/>
    </row>
    <row r="33193" spans="6:9" x14ac:dyDescent="0.3">
      <c r="F33193"/>
      <c r="G33193"/>
      <c r="H33193"/>
      <c r="I33193"/>
    </row>
    <row r="33194" spans="6:9" x14ac:dyDescent="0.3">
      <c r="F33194"/>
      <c r="G33194"/>
      <c r="H33194"/>
      <c r="I33194"/>
    </row>
    <row r="33195" spans="6:9" x14ac:dyDescent="0.3">
      <c r="F33195"/>
      <c r="G33195"/>
      <c r="H33195"/>
      <c r="I33195"/>
    </row>
    <row r="33196" spans="6:9" x14ac:dyDescent="0.3">
      <c r="F33196"/>
      <c r="G33196"/>
      <c r="H33196"/>
      <c r="I33196"/>
    </row>
    <row r="33197" spans="6:9" x14ac:dyDescent="0.3">
      <c r="F33197"/>
      <c r="G33197"/>
      <c r="H33197"/>
      <c r="I33197"/>
    </row>
    <row r="33198" spans="6:9" x14ac:dyDescent="0.3">
      <c r="F33198"/>
      <c r="G33198"/>
      <c r="H33198"/>
      <c r="I33198"/>
    </row>
    <row r="33199" spans="6:9" x14ac:dyDescent="0.3">
      <c r="F33199"/>
      <c r="G33199"/>
      <c r="H33199"/>
      <c r="I33199"/>
    </row>
    <row r="33200" spans="6:9" x14ac:dyDescent="0.3">
      <c r="F33200"/>
      <c r="G33200"/>
      <c r="H33200"/>
      <c r="I33200"/>
    </row>
    <row r="33201" spans="6:9" x14ac:dyDescent="0.3">
      <c r="F33201"/>
      <c r="G33201"/>
      <c r="H33201"/>
      <c r="I33201"/>
    </row>
    <row r="33202" spans="6:9" x14ac:dyDescent="0.3">
      <c r="F33202"/>
      <c r="G33202"/>
      <c r="H33202"/>
      <c r="I33202"/>
    </row>
    <row r="33203" spans="6:9" x14ac:dyDescent="0.3">
      <c r="F33203"/>
      <c r="G33203"/>
      <c r="H33203"/>
      <c r="I33203"/>
    </row>
    <row r="33204" spans="6:9" x14ac:dyDescent="0.3">
      <c r="F33204"/>
      <c r="G33204"/>
      <c r="H33204"/>
      <c r="I33204"/>
    </row>
    <row r="33205" spans="6:9" x14ac:dyDescent="0.3">
      <c r="F33205"/>
      <c r="G33205"/>
      <c r="H33205"/>
      <c r="I33205"/>
    </row>
    <row r="33206" spans="6:9" x14ac:dyDescent="0.3">
      <c r="F33206"/>
      <c r="G33206"/>
      <c r="H33206"/>
      <c r="I33206"/>
    </row>
    <row r="33207" spans="6:9" x14ac:dyDescent="0.3">
      <c r="F33207"/>
      <c r="G33207"/>
      <c r="H33207"/>
      <c r="I33207"/>
    </row>
    <row r="33208" spans="6:9" x14ac:dyDescent="0.3">
      <c r="F33208"/>
      <c r="G33208"/>
      <c r="H33208"/>
      <c r="I33208"/>
    </row>
    <row r="33209" spans="6:9" x14ac:dyDescent="0.3">
      <c r="F33209"/>
      <c r="G33209"/>
      <c r="H33209"/>
      <c r="I33209"/>
    </row>
    <row r="33210" spans="6:9" x14ac:dyDescent="0.3">
      <c r="F33210"/>
      <c r="G33210"/>
      <c r="H33210"/>
      <c r="I33210"/>
    </row>
    <row r="33211" spans="6:9" x14ac:dyDescent="0.3">
      <c r="F33211"/>
      <c r="G33211"/>
      <c r="H33211"/>
      <c r="I33211"/>
    </row>
    <row r="33212" spans="6:9" x14ac:dyDescent="0.3">
      <c r="F33212"/>
      <c r="G33212"/>
      <c r="H33212"/>
      <c r="I33212"/>
    </row>
    <row r="33213" spans="6:9" x14ac:dyDescent="0.3">
      <c r="F33213"/>
      <c r="G33213"/>
      <c r="H33213"/>
      <c r="I33213"/>
    </row>
    <row r="33214" spans="6:9" x14ac:dyDescent="0.3">
      <c r="F33214"/>
      <c r="G33214"/>
      <c r="H33214"/>
      <c r="I33214"/>
    </row>
    <row r="33215" spans="6:9" x14ac:dyDescent="0.3">
      <c r="F33215"/>
      <c r="G33215"/>
      <c r="H33215"/>
      <c r="I33215"/>
    </row>
    <row r="33216" spans="6:9" x14ac:dyDescent="0.3">
      <c r="F33216"/>
      <c r="G33216"/>
      <c r="H33216"/>
      <c r="I33216"/>
    </row>
    <row r="33217" spans="6:9" x14ac:dyDescent="0.3">
      <c r="F33217"/>
      <c r="G33217"/>
      <c r="H33217"/>
      <c r="I33217"/>
    </row>
    <row r="33218" spans="6:9" x14ac:dyDescent="0.3">
      <c r="F33218"/>
      <c r="G33218"/>
      <c r="H33218"/>
      <c r="I33218"/>
    </row>
    <row r="33219" spans="6:9" x14ac:dyDescent="0.3">
      <c r="F33219"/>
      <c r="G33219"/>
      <c r="H33219"/>
      <c r="I33219"/>
    </row>
    <row r="33220" spans="6:9" x14ac:dyDescent="0.3">
      <c r="F33220"/>
      <c r="G33220"/>
      <c r="H33220"/>
      <c r="I33220"/>
    </row>
    <row r="33221" spans="6:9" x14ac:dyDescent="0.3">
      <c r="F33221"/>
      <c r="G33221"/>
      <c r="H33221"/>
      <c r="I33221"/>
    </row>
    <row r="33222" spans="6:9" x14ac:dyDescent="0.3">
      <c r="F33222"/>
      <c r="G33222"/>
      <c r="H33222"/>
      <c r="I33222"/>
    </row>
    <row r="33223" spans="6:9" x14ac:dyDescent="0.3">
      <c r="F33223"/>
      <c r="G33223"/>
      <c r="H33223"/>
      <c r="I33223"/>
    </row>
    <row r="33224" spans="6:9" x14ac:dyDescent="0.3">
      <c r="F33224"/>
      <c r="G33224"/>
      <c r="H33224"/>
      <c r="I33224"/>
    </row>
    <row r="33225" spans="6:9" x14ac:dyDescent="0.3">
      <c r="F33225"/>
      <c r="G33225"/>
      <c r="H33225"/>
      <c r="I33225"/>
    </row>
    <row r="33226" spans="6:9" x14ac:dyDescent="0.3">
      <c r="F33226"/>
      <c r="G33226"/>
      <c r="H33226"/>
      <c r="I33226"/>
    </row>
    <row r="33227" spans="6:9" x14ac:dyDescent="0.3">
      <c r="F33227"/>
      <c r="G33227"/>
      <c r="H33227"/>
      <c r="I33227"/>
    </row>
    <row r="33228" spans="6:9" x14ac:dyDescent="0.3">
      <c r="F33228"/>
      <c r="G33228"/>
      <c r="H33228"/>
      <c r="I33228"/>
    </row>
    <row r="33229" spans="6:9" x14ac:dyDescent="0.3">
      <c r="F33229"/>
      <c r="G33229"/>
      <c r="H33229"/>
      <c r="I33229"/>
    </row>
    <row r="33230" spans="6:9" x14ac:dyDescent="0.3">
      <c r="F33230"/>
      <c r="G33230"/>
      <c r="H33230"/>
      <c r="I33230"/>
    </row>
    <row r="33231" spans="6:9" x14ac:dyDescent="0.3">
      <c r="F33231"/>
      <c r="G33231"/>
      <c r="H33231"/>
      <c r="I33231"/>
    </row>
    <row r="33232" spans="6:9" x14ac:dyDescent="0.3">
      <c r="F33232"/>
      <c r="G33232"/>
      <c r="H33232"/>
      <c r="I33232"/>
    </row>
    <row r="33233" spans="6:9" x14ac:dyDescent="0.3">
      <c r="F33233"/>
      <c r="G33233"/>
      <c r="H33233"/>
      <c r="I33233"/>
    </row>
    <row r="33234" spans="6:9" x14ac:dyDescent="0.3">
      <c r="F33234"/>
      <c r="G33234"/>
      <c r="H33234"/>
      <c r="I33234"/>
    </row>
    <row r="33235" spans="6:9" x14ac:dyDescent="0.3">
      <c r="F33235"/>
      <c r="G33235"/>
      <c r="H33235"/>
      <c r="I33235"/>
    </row>
    <row r="33236" spans="6:9" x14ac:dyDescent="0.3">
      <c r="F33236"/>
      <c r="G33236"/>
      <c r="H33236"/>
      <c r="I33236"/>
    </row>
    <row r="33237" spans="6:9" x14ac:dyDescent="0.3">
      <c r="F33237"/>
      <c r="G33237"/>
      <c r="H33237"/>
      <c r="I33237"/>
    </row>
    <row r="33238" spans="6:9" x14ac:dyDescent="0.3">
      <c r="F33238"/>
      <c r="G33238"/>
      <c r="H33238"/>
      <c r="I33238"/>
    </row>
    <row r="33239" spans="6:9" x14ac:dyDescent="0.3">
      <c r="F33239"/>
      <c r="G33239"/>
      <c r="H33239"/>
      <c r="I33239"/>
    </row>
    <row r="33240" spans="6:9" x14ac:dyDescent="0.3">
      <c r="F33240"/>
      <c r="G33240"/>
      <c r="H33240"/>
      <c r="I33240"/>
    </row>
    <row r="33241" spans="6:9" x14ac:dyDescent="0.3">
      <c r="F33241"/>
      <c r="G33241"/>
      <c r="H33241"/>
      <c r="I33241"/>
    </row>
    <row r="33242" spans="6:9" x14ac:dyDescent="0.3">
      <c r="F33242"/>
      <c r="G33242"/>
      <c r="H33242"/>
      <c r="I33242"/>
    </row>
    <row r="33243" spans="6:9" x14ac:dyDescent="0.3">
      <c r="F33243"/>
      <c r="G33243"/>
      <c r="H33243"/>
      <c r="I33243"/>
    </row>
    <row r="33244" spans="6:9" x14ac:dyDescent="0.3">
      <c r="F33244"/>
      <c r="G33244"/>
      <c r="H33244"/>
      <c r="I33244"/>
    </row>
    <row r="33245" spans="6:9" x14ac:dyDescent="0.3">
      <c r="F33245"/>
      <c r="G33245"/>
      <c r="H33245"/>
      <c r="I33245"/>
    </row>
    <row r="33246" spans="6:9" x14ac:dyDescent="0.3">
      <c r="F33246"/>
      <c r="G33246"/>
      <c r="H33246"/>
      <c r="I33246"/>
    </row>
    <row r="33247" spans="6:9" x14ac:dyDescent="0.3">
      <c r="F33247"/>
      <c r="G33247"/>
      <c r="H33247"/>
      <c r="I33247"/>
    </row>
    <row r="33248" spans="6:9" x14ac:dyDescent="0.3">
      <c r="F33248"/>
      <c r="G33248"/>
      <c r="H33248"/>
      <c r="I33248"/>
    </row>
    <row r="33249" spans="6:9" x14ac:dyDescent="0.3">
      <c r="F33249"/>
      <c r="G33249"/>
      <c r="H33249"/>
      <c r="I33249"/>
    </row>
    <row r="33250" spans="6:9" x14ac:dyDescent="0.3">
      <c r="F33250"/>
      <c r="G33250"/>
      <c r="H33250"/>
      <c r="I33250"/>
    </row>
    <row r="33251" spans="6:9" x14ac:dyDescent="0.3">
      <c r="F33251"/>
      <c r="G33251"/>
      <c r="H33251"/>
      <c r="I33251"/>
    </row>
    <row r="33252" spans="6:9" x14ac:dyDescent="0.3">
      <c r="F33252"/>
      <c r="G33252"/>
      <c r="H33252"/>
      <c r="I33252"/>
    </row>
    <row r="33253" spans="6:9" x14ac:dyDescent="0.3">
      <c r="F33253"/>
      <c r="G33253"/>
      <c r="H33253"/>
      <c r="I33253"/>
    </row>
    <row r="33254" spans="6:9" x14ac:dyDescent="0.3">
      <c r="F33254"/>
      <c r="G33254"/>
      <c r="H33254"/>
      <c r="I33254"/>
    </row>
    <row r="33255" spans="6:9" x14ac:dyDescent="0.3">
      <c r="F33255"/>
      <c r="G33255"/>
      <c r="H33255"/>
      <c r="I33255"/>
    </row>
    <row r="33256" spans="6:9" x14ac:dyDescent="0.3">
      <c r="F33256"/>
      <c r="G33256"/>
      <c r="H33256"/>
      <c r="I33256"/>
    </row>
    <row r="33257" spans="6:9" x14ac:dyDescent="0.3">
      <c r="F33257"/>
      <c r="G33257"/>
      <c r="H33257"/>
      <c r="I33257"/>
    </row>
    <row r="33258" spans="6:9" x14ac:dyDescent="0.3">
      <c r="F33258"/>
      <c r="G33258"/>
      <c r="H33258"/>
      <c r="I33258"/>
    </row>
    <row r="33259" spans="6:9" x14ac:dyDescent="0.3">
      <c r="F33259"/>
      <c r="G33259"/>
      <c r="H33259"/>
      <c r="I33259"/>
    </row>
    <row r="33260" spans="6:9" x14ac:dyDescent="0.3">
      <c r="F33260"/>
      <c r="G33260"/>
      <c r="H33260"/>
      <c r="I33260"/>
    </row>
    <row r="33261" spans="6:9" x14ac:dyDescent="0.3">
      <c r="F33261"/>
      <c r="G33261"/>
      <c r="H33261"/>
      <c r="I33261"/>
    </row>
    <row r="33262" spans="6:9" x14ac:dyDescent="0.3">
      <c r="F33262"/>
      <c r="G33262"/>
      <c r="H33262"/>
      <c r="I33262"/>
    </row>
    <row r="33263" spans="6:9" x14ac:dyDescent="0.3">
      <c r="F33263"/>
      <c r="G33263"/>
      <c r="H33263"/>
      <c r="I33263"/>
    </row>
    <row r="33264" spans="6:9" x14ac:dyDescent="0.3">
      <c r="F33264"/>
      <c r="G33264"/>
      <c r="H33264"/>
      <c r="I33264"/>
    </row>
    <row r="33265" spans="6:9" x14ac:dyDescent="0.3">
      <c r="F33265"/>
      <c r="G33265"/>
      <c r="H33265"/>
      <c r="I33265"/>
    </row>
    <row r="33266" spans="6:9" x14ac:dyDescent="0.3">
      <c r="F33266"/>
      <c r="G33266"/>
      <c r="H33266"/>
      <c r="I33266"/>
    </row>
    <row r="33267" spans="6:9" x14ac:dyDescent="0.3">
      <c r="F33267"/>
      <c r="G33267"/>
      <c r="H33267"/>
      <c r="I33267"/>
    </row>
    <row r="33268" spans="6:9" x14ac:dyDescent="0.3">
      <c r="F33268"/>
      <c r="G33268"/>
      <c r="H33268"/>
      <c r="I33268"/>
    </row>
    <row r="33269" spans="6:9" x14ac:dyDescent="0.3">
      <c r="F33269"/>
      <c r="G33269"/>
      <c r="H33269"/>
      <c r="I33269"/>
    </row>
    <row r="33270" spans="6:9" x14ac:dyDescent="0.3">
      <c r="F33270"/>
      <c r="G33270"/>
      <c r="H33270"/>
      <c r="I33270"/>
    </row>
    <row r="33271" spans="6:9" x14ac:dyDescent="0.3">
      <c r="F33271"/>
      <c r="G33271"/>
      <c r="H33271"/>
      <c r="I33271"/>
    </row>
    <row r="33272" spans="6:9" x14ac:dyDescent="0.3">
      <c r="F33272"/>
      <c r="G33272"/>
      <c r="H33272"/>
      <c r="I33272"/>
    </row>
    <row r="33273" spans="6:9" x14ac:dyDescent="0.3">
      <c r="F33273"/>
      <c r="G33273"/>
      <c r="H33273"/>
      <c r="I33273"/>
    </row>
    <row r="33274" spans="6:9" x14ac:dyDescent="0.3">
      <c r="F33274"/>
      <c r="G33274"/>
      <c r="H33274"/>
      <c r="I33274"/>
    </row>
    <row r="33275" spans="6:9" x14ac:dyDescent="0.3">
      <c r="F33275"/>
      <c r="G33275"/>
      <c r="H33275"/>
      <c r="I33275"/>
    </row>
    <row r="33276" spans="6:9" x14ac:dyDescent="0.3">
      <c r="F33276"/>
      <c r="G33276"/>
      <c r="H33276"/>
      <c r="I33276"/>
    </row>
    <row r="33277" spans="6:9" x14ac:dyDescent="0.3">
      <c r="F33277"/>
      <c r="G33277"/>
      <c r="H33277"/>
      <c r="I33277"/>
    </row>
    <row r="33278" spans="6:9" x14ac:dyDescent="0.3">
      <c r="F33278"/>
      <c r="G33278"/>
      <c r="H33278"/>
      <c r="I33278"/>
    </row>
    <row r="33279" spans="6:9" x14ac:dyDescent="0.3">
      <c r="F33279"/>
      <c r="G33279"/>
      <c r="H33279"/>
      <c r="I33279"/>
    </row>
    <row r="33280" spans="6:9" x14ac:dyDescent="0.3">
      <c r="F33280"/>
      <c r="G33280"/>
      <c r="H33280"/>
      <c r="I33280"/>
    </row>
    <row r="33281" spans="6:9" x14ac:dyDescent="0.3">
      <c r="F33281"/>
      <c r="G33281"/>
      <c r="H33281"/>
      <c r="I33281"/>
    </row>
    <row r="33282" spans="6:9" x14ac:dyDescent="0.3">
      <c r="F33282"/>
      <c r="G33282"/>
      <c r="H33282"/>
      <c r="I33282"/>
    </row>
    <row r="33283" spans="6:9" x14ac:dyDescent="0.3">
      <c r="F33283"/>
      <c r="G33283"/>
      <c r="H33283"/>
      <c r="I33283"/>
    </row>
    <row r="33284" spans="6:9" x14ac:dyDescent="0.3">
      <c r="F33284"/>
      <c r="G33284"/>
      <c r="H33284"/>
      <c r="I33284"/>
    </row>
    <row r="33285" spans="6:9" x14ac:dyDescent="0.3">
      <c r="F33285"/>
      <c r="G33285"/>
      <c r="H33285"/>
      <c r="I33285"/>
    </row>
    <row r="33286" spans="6:9" x14ac:dyDescent="0.3">
      <c r="F33286"/>
      <c r="G33286"/>
      <c r="H33286"/>
      <c r="I33286"/>
    </row>
    <row r="33287" spans="6:9" x14ac:dyDescent="0.3">
      <c r="F33287"/>
      <c r="G33287"/>
      <c r="H33287"/>
      <c r="I33287"/>
    </row>
    <row r="33288" spans="6:9" x14ac:dyDescent="0.3">
      <c r="F33288"/>
      <c r="G33288"/>
      <c r="H33288"/>
      <c r="I33288"/>
    </row>
    <row r="33289" spans="6:9" x14ac:dyDescent="0.3">
      <c r="F33289"/>
      <c r="G33289"/>
      <c r="H33289"/>
      <c r="I33289"/>
    </row>
    <row r="33290" spans="6:9" x14ac:dyDescent="0.3">
      <c r="F33290"/>
      <c r="G33290"/>
      <c r="H33290"/>
      <c r="I33290"/>
    </row>
    <row r="33291" spans="6:9" x14ac:dyDescent="0.3">
      <c r="F33291"/>
      <c r="G33291"/>
      <c r="H33291"/>
      <c r="I33291"/>
    </row>
    <row r="33292" spans="6:9" x14ac:dyDescent="0.3">
      <c r="F33292"/>
      <c r="G33292"/>
      <c r="H33292"/>
      <c r="I33292"/>
    </row>
    <row r="33293" spans="6:9" x14ac:dyDescent="0.3">
      <c r="F33293"/>
      <c r="G33293"/>
      <c r="H33293"/>
      <c r="I33293"/>
    </row>
    <row r="33294" spans="6:9" x14ac:dyDescent="0.3">
      <c r="F33294"/>
      <c r="G33294"/>
      <c r="H33294"/>
      <c r="I33294"/>
    </row>
    <row r="33295" spans="6:9" x14ac:dyDescent="0.3">
      <c r="F33295"/>
      <c r="G33295"/>
      <c r="H33295"/>
      <c r="I33295"/>
    </row>
    <row r="33296" spans="6:9" x14ac:dyDescent="0.3">
      <c r="F33296"/>
      <c r="G33296"/>
      <c r="H33296"/>
      <c r="I33296"/>
    </row>
    <row r="33297" spans="6:9" x14ac:dyDescent="0.3">
      <c r="F33297"/>
      <c r="G33297"/>
      <c r="H33297"/>
      <c r="I33297"/>
    </row>
    <row r="33298" spans="6:9" x14ac:dyDescent="0.3">
      <c r="F33298"/>
      <c r="G33298"/>
      <c r="H33298"/>
      <c r="I33298"/>
    </row>
    <row r="33299" spans="6:9" x14ac:dyDescent="0.3">
      <c r="F33299"/>
      <c r="G33299"/>
      <c r="H33299"/>
      <c r="I33299"/>
    </row>
    <row r="33300" spans="6:9" x14ac:dyDescent="0.3">
      <c r="F33300"/>
      <c r="G33300"/>
      <c r="H33300"/>
      <c r="I33300"/>
    </row>
    <row r="33301" spans="6:9" x14ac:dyDescent="0.3">
      <c r="F33301"/>
      <c r="G33301"/>
      <c r="H33301"/>
      <c r="I33301"/>
    </row>
    <row r="33302" spans="6:9" x14ac:dyDescent="0.3">
      <c r="F33302"/>
      <c r="G33302"/>
      <c r="H33302"/>
      <c r="I33302"/>
    </row>
    <row r="33303" spans="6:9" x14ac:dyDescent="0.3">
      <c r="F33303"/>
      <c r="G33303"/>
      <c r="H33303"/>
      <c r="I33303"/>
    </row>
    <row r="33304" spans="6:9" x14ac:dyDescent="0.3">
      <c r="F33304"/>
      <c r="G33304"/>
      <c r="H33304"/>
      <c r="I33304"/>
    </row>
    <row r="33305" spans="6:9" x14ac:dyDescent="0.3">
      <c r="F33305"/>
      <c r="G33305"/>
      <c r="H33305"/>
      <c r="I33305"/>
    </row>
    <row r="33306" spans="6:9" x14ac:dyDescent="0.3">
      <c r="F33306"/>
      <c r="G33306"/>
      <c r="H33306"/>
      <c r="I33306"/>
    </row>
    <row r="33307" spans="6:9" x14ac:dyDescent="0.3">
      <c r="F33307"/>
      <c r="G33307"/>
      <c r="H33307"/>
      <c r="I33307"/>
    </row>
    <row r="33308" spans="6:9" x14ac:dyDescent="0.3">
      <c r="F33308"/>
      <c r="G33308"/>
      <c r="H33308"/>
      <c r="I33308"/>
    </row>
    <row r="33309" spans="6:9" x14ac:dyDescent="0.3">
      <c r="F33309"/>
      <c r="G33309"/>
      <c r="H33309"/>
      <c r="I33309"/>
    </row>
    <row r="33310" spans="6:9" x14ac:dyDescent="0.3">
      <c r="F33310"/>
      <c r="G33310"/>
      <c r="H33310"/>
      <c r="I33310"/>
    </row>
    <row r="33311" spans="6:9" x14ac:dyDescent="0.3">
      <c r="F33311"/>
      <c r="G33311"/>
      <c r="H33311"/>
      <c r="I33311"/>
    </row>
    <row r="33312" spans="6:9" x14ac:dyDescent="0.3">
      <c r="F33312"/>
      <c r="G33312"/>
      <c r="H33312"/>
      <c r="I33312"/>
    </row>
    <row r="33313" spans="6:9" x14ac:dyDescent="0.3">
      <c r="F33313"/>
      <c r="G33313"/>
      <c r="H33313"/>
      <c r="I33313"/>
    </row>
    <row r="33314" spans="6:9" x14ac:dyDescent="0.3">
      <c r="F33314"/>
      <c r="G33314"/>
      <c r="H33314"/>
      <c r="I33314"/>
    </row>
    <row r="33315" spans="6:9" x14ac:dyDescent="0.3">
      <c r="F33315"/>
      <c r="G33315"/>
      <c r="H33315"/>
      <c r="I33315"/>
    </row>
    <row r="33316" spans="6:9" x14ac:dyDescent="0.3">
      <c r="F33316"/>
      <c r="G33316"/>
      <c r="H33316"/>
      <c r="I33316"/>
    </row>
    <row r="33317" spans="6:9" x14ac:dyDescent="0.3">
      <c r="F33317"/>
      <c r="G33317"/>
      <c r="H33317"/>
      <c r="I33317"/>
    </row>
    <row r="33318" spans="6:9" x14ac:dyDescent="0.3">
      <c r="F33318"/>
      <c r="G33318"/>
      <c r="H33318"/>
      <c r="I33318"/>
    </row>
    <row r="33319" spans="6:9" x14ac:dyDescent="0.3">
      <c r="F33319"/>
      <c r="G33319"/>
      <c r="H33319"/>
      <c r="I33319"/>
    </row>
    <row r="33320" spans="6:9" x14ac:dyDescent="0.3">
      <c r="F33320"/>
      <c r="G33320"/>
      <c r="H33320"/>
      <c r="I33320"/>
    </row>
    <row r="33321" spans="6:9" x14ac:dyDescent="0.3">
      <c r="F33321"/>
      <c r="G33321"/>
      <c r="H33321"/>
      <c r="I33321"/>
    </row>
    <row r="33322" spans="6:9" x14ac:dyDescent="0.3">
      <c r="F33322"/>
      <c r="G33322"/>
      <c r="H33322"/>
      <c r="I33322"/>
    </row>
    <row r="33323" spans="6:9" x14ac:dyDescent="0.3">
      <c r="F33323"/>
      <c r="G33323"/>
      <c r="H33323"/>
      <c r="I33323"/>
    </row>
    <row r="33324" spans="6:9" x14ac:dyDescent="0.3">
      <c r="F33324"/>
      <c r="G33324"/>
      <c r="H33324"/>
      <c r="I33324"/>
    </row>
    <row r="33325" spans="6:9" x14ac:dyDescent="0.3">
      <c r="F33325"/>
      <c r="G33325"/>
      <c r="H33325"/>
      <c r="I33325"/>
    </row>
    <row r="33326" spans="6:9" x14ac:dyDescent="0.3">
      <c r="F33326"/>
      <c r="G33326"/>
      <c r="H33326"/>
      <c r="I33326"/>
    </row>
    <row r="33327" spans="6:9" x14ac:dyDescent="0.3">
      <c r="F33327"/>
      <c r="G33327"/>
      <c r="H33327"/>
      <c r="I33327"/>
    </row>
    <row r="33328" spans="6:9" x14ac:dyDescent="0.3">
      <c r="F33328"/>
      <c r="G33328"/>
      <c r="H33328"/>
      <c r="I33328"/>
    </row>
    <row r="33329" spans="6:9" x14ac:dyDescent="0.3">
      <c r="F33329"/>
      <c r="G33329"/>
      <c r="H33329"/>
      <c r="I33329"/>
    </row>
    <row r="33330" spans="6:9" x14ac:dyDescent="0.3">
      <c r="F33330"/>
      <c r="G33330"/>
      <c r="H33330"/>
      <c r="I33330"/>
    </row>
    <row r="33331" spans="6:9" x14ac:dyDescent="0.3">
      <c r="F33331"/>
      <c r="G33331"/>
      <c r="H33331"/>
      <c r="I33331"/>
    </row>
    <row r="33332" spans="6:9" x14ac:dyDescent="0.3">
      <c r="F33332"/>
      <c r="G33332"/>
      <c r="H33332"/>
      <c r="I33332"/>
    </row>
    <row r="33333" spans="6:9" x14ac:dyDescent="0.3">
      <c r="F33333"/>
      <c r="G33333"/>
      <c r="H33333"/>
      <c r="I33333"/>
    </row>
    <row r="33334" spans="6:9" x14ac:dyDescent="0.3">
      <c r="F33334"/>
      <c r="G33334"/>
      <c r="H33334"/>
      <c r="I33334"/>
    </row>
    <row r="33335" spans="6:9" x14ac:dyDescent="0.3">
      <c r="F33335"/>
      <c r="G33335"/>
      <c r="H33335"/>
      <c r="I33335"/>
    </row>
    <row r="33336" spans="6:9" x14ac:dyDescent="0.3">
      <c r="F33336"/>
      <c r="G33336"/>
      <c r="H33336"/>
      <c r="I33336"/>
    </row>
    <row r="33337" spans="6:9" x14ac:dyDescent="0.3">
      <c r="F33337"/>
      <c r="G33337"/>
      <c r="H33337"/>
      <c r="I33337"/>
    </row>
    <row r="33338" spans="6:9" x14ac:dyDescent="0.3">
      <c r="F33338"/>
      <c r="G33338"/>
      <c r="H33338"/>
      <c r="I33338"/>
    </row>
    <row r="33339" spans="6:9" x14ac:dyDescent="0.3">
      <c r="F33339"/>
      <c r="G33339"/>
      <c r="H33339"/>
      <c r="I33339"/>
    </row>
    <row r="33340" spans="6:9" x14ac:dyDescent="0.3">
      <c r="F33340"/>
      <c r="G33340"/>
      <c r="H33340"/>
      <c r="I33340"/>
    </row>
    <row r="33341" spans="6:9" x14ac:dyDescent="0.3">
      <c r="F33341"/>
      <c r="G33341"/>
      <c r="H33341"/>
      <c r="I33341"/>
    </row>
    <row r="33342" spans="6:9" x14ac:dyDescent="0.3">
      <c r="F33342"/>
      <c r="G33342"/>
      <c r="H33342"/>
      <c r="I33342"/>
    </row>
    <row r="33343" spans="6:9" x14ac:dyDescent="0.3">
      <c r="F33343"/>
      <c r="G33343"/>
      <c r="H33343"/>
      <c r="I33343"/>
    </row>
    <row r="33344" spans="6:9" x14ac:dyDescent="0.3">
      <c r="F33344"/>
      <c r="G33344"/>
      <c r="H33344"/>
      <c r="I33344"/>
    </row>
    <row r="33345" spans="6:9" x14ac:dyDescent="0.3">
      <c r="F33345"/>
      <c r="G33345"/>
      <c r="H33345"/>
      <c r="I33345"/>
    </row>
    <row r="33346" spans="6:9" x14ac:dyDescent="0.3">
      <c r="F33346"/>
      <c r="G33346"/>
      <c r="H33346"/>
      <c r="I33346"/>
    </row>
    <row r="33347" spans="6:9" x14ac:dyDescent="0.3">
      <c r="F33347"/>
      <c r="G33347"/>
      <c r="H33347"/>
      <c r="I33347"/>
    </row>
    <row r="33348" spans="6:9" x14ac:dyDescent="0.3">
      <c r="F33348"/>
      <c r="G33348"/>
      <c r="H33348"/>
      <c r="I33348"/>
    </row>
    <row r="33349" spans="6:9" x14ac:dyDescent="0.3">
      <c r="F33349"/>
      <c r="G33349"/>
      <c r="H33349"/>
      <c r="I33349"/>
    </row>
    <row r="33350" spans="6:9" x14ac:dyDescent="0.3">
      <c r="F33350"/>
      <c r="G33350"/>
      <c r="H33350"/>
      <c r="I33350"/>
    </row>
    <row r="33351" spans="6:9" x14ac:dyDescent="0.3">
      <c r="F33351"/>
      <c r="G33351"/>
      <c r="H33351"/>
      <c r="I33351"/>
    </row>
    <row r="33352" spans="6:9" x14ac:dyDescent="0.3">
      <c r="F33352"/>
      <c r="G33352"/>
      <c r="H33352"/>
      <c r="I33352"/>
    </row>
    <row r="33353" spans="6:9" x14ac:dyDescent="0.3">
      <c r="F33353"/>
      <c r="G33353"/>
      <c r="H33353"/>
      <c r="I33353"/>
    </row>
    <row r="33354" spans="6:9" x14ac:dyDescent="0.3">
      <c r="F33354"/>
      <c r="G33354"/>
      <c r="H33354"/>
      <c r="I33354"/>
    </row>
    <row r="33355" spans="6:9" x14ac:dyDescent="0.3">
      <c r="F33355"/>
      <c r="G33355"/>
      <c r="H33355"/>
      <c r="I33355"/>
    </row>
    <row r="33356" spans="6:9" x14ac:dyDescent="0.3">
      <c r="F33356"/>
      <c r="G33356"/>
      <c r="H33356"/>
      <c r="I33356"/>
    </row>
    <row r="33357" spans="6:9" x14ac:dyDescent="0.3">
      <c r="F33357"/>
      <c r="G33357"/>
      <c r="H33357"/>
      <c r="I33357"/>
    </row>
    <row r="33358" spans="6:9" x14ac:dyDescent="0.3">
      <c r="F33358"/>
      <c r="G33358"/>
      <c r="H33358"/>
      <c r="I33358"/>
    </row>
    <row r="33359" spans="6:9" x14ac:dyDescent="0.3">
      <c r="F33359"/>
      <c r="G33359"/>
      <c r="H33359"/>
      <c r="I33359"/>
    </row>
    <row r="33360" spans="6:9" x14ac:dyDescent="0.3">
      <c r="F33360"/>
      <c r="G33360"/>
      <c r="H33360"/>
      <c r="I33360"/>
    </row>
    <row r="33361" spans="6:9" x14ac:dyDescent="0.3">
      <c r="F33361"/>
      <c r="G33361"/>
      <c r="H33361"/>
      <c r="I33361"/>
    </row>
    <row r="33362" spans="6:9" x14ac:dyDescent="0.3">
      <c r="F33362"/>
      <c r="G33362"/>
      <c r="H33362"/>
      <c r="I33362"/>
    </row>
    <row r="33363" spans="6:9" x14ac:dyDescent="0.3">
      <c r="F33363"/>
      <c r="G33363"/>
      <c r="H33363"/>
      <c r="I33363"/>
    </row>
    <row r="33364" spans="6:9" x14ac:dyDescent="0.3">
      <c r="F33364"/>
      <c r="G33364"/>
      <c r="H33364"/>
      <c r="I33364"/>
    </row>
    <row r="33365" spans="6:9" x14ac:dyDescent="0.3">
      <c r="F33365"/>
      <c r="G33365"/>
      <c r="H33365"/>
      <c r="I33365"/>
    </row>
    <row r="33366" spans="6:9" x14ac:dyDescent="0.3">
      <c r="F33366"/>
      <c r="G33366"/>
      <c r="H33366"/>
      <c r="I33366"/>
    </row>
    <row r="33367" spans="6:9" x14ac:dyDescent="0.3">
      <c r="F33367"/>
      <c r="G33367"/>
      <c r="H33367"/>
      <c r="I33367"/>
    </row>
    <row r="33368" spans="6:9" x14ac:dyDescent="0.3">
      <c r="F33368"/>
      <c r="G33368"/>
      <c r="H33368"/>
      <c r="I33368"/>
    </row>
    <row r="33369" spans="6:9" x14ac:dyDescent="0.3">
      <c r="F33369"/>
      <c r="G33369"/>
      <c r="H33369"/>
      <c r="I33369"/>
    </row>
    <row r="33370" spans="6:9" x14ac:dyDescent="0.3">
      <c r="F33370"/>
      <c r="G33370"/>
      <c r="H33370"/>
      <c r="I33370"/>
    </row>
    <row r="33371" spans="6:9" x14ac:dyDescent="0.3">
      <c r="F33371"/>
      <c r="G33371"/>
      <c r="H33371"/>
      <c r="I33371"/>
    </row>
    <row r="33372" spans="6:9" x14ac:dyDescent="0.3">
      <c r="F33372"/>
      <c r="G33372"/>
      <c r="H33372"/>
      <c r="I33372"/>
    </row>
    <row r="33373" spans="6:9" x14ac:dyDescent="0.3">
      <c r="F33373"/>
      <c r="G33373"/>
      <c r="H33373"/>
      <c r="I33373"/>
    </row>
    <row r="33374" spans="6:9" x14ac:dyDescent="0.3">
      <c r="F33374"/>
      <c r="G33374"/>
      <c r="H33374"/>
      <c r="I33374"/>
    </row>
    <row r="33375" spans="6:9" x14ac:dyDescent="0.3">
      <c r="F33375"/>
      <c r="G33375"/>
      <c r="H33375"/>
      <c r="I33375"/>
    </row>
    <row r="33376" spans="6:9" x14ac:dyDescent="0.3">
      <c r="F33376"/>
      <c r="G33376"/>
      <c r="H33376"/>
      <c r="I33376"/>
    </row>
    <row r="33377" spans="6:9" x14ac:dyDescent="0.3">
      <c r="F33377"/>
      <c r="G33377"/>
      <c r="H33377"/>
      <c r="I33377"/>
    </row>
    <row r="33378" spans="6:9" x14ac:dyDescent="0.3">
      <c r="F33378"/>
      <c r="G33378"/>
      <c r="H33378"/>
      <c r="I33378"/>
    </row>
    <row r="33379" spans="6:9" x14ac:dyDescent="0.3">
      <c r="F33379"/>
      <c r="G33379"/>
      <c r="H33379"/>
      <c r="I33379"/>
    </row>
    <row r="33380" spans="6:9" x14ac:dyDescent="0.3">
      <c r="F33380"/>
      <c r="G33380"/>
      <c r="H33380"/>
      <c r="I33380"/>
    </row>
    <row r="33381" spans="6:9" x14ac:dyDescent="0.3">
      <c r="F33381"/>
      <c r="G33381"/>
      <c r="H33381"/>
      <c r="I33381"/>
    </row>
    <row r="33382" spans="6:9" x14ac:dyDescent="0.3">
      <c r="F33382"/>
      <c r="G33382"/>
      <c r="H33382"/>
      <c r="I33382"/>
    </row>
    <row r="33383" spans="6:9" x14ac:dyDescent="0.3">
      <c r="F33383"/>
      <c r="G33383"/>
      <c r="H33383"/>
      <c r="I33383"/>
    </row>
    <row r="33384" spans="6:9" x14ac:dyDescent="0.3">
      <c r="F33384"/>
      <c r="G33384"/>
      <c r="H33384"/>
      <c r="I33384"/>
    </row>
    <row r="33385" spans="6:9" x14ac:dyDescent="0.3">
      <c r="F33385"/>
      <c r="G33385"/>
      <c r="H33385"/>
      <c r="I33385"/>
    </row>
    <row r="33386" spans="6:9" x14ac:dyDescent="0.3">
      <c r="F33386"/>
      <c r="G33386"/>
      <c r="H33386"/>
      <c r="I33386"/>
    </row>
    <row r="33387" spans="6:9" x14ac:dyDescent="0.3">
      <c r="F33387"/>
      <c r="G33387"/>
      <c r="H33387"/>
      <c r="I33387"/>
    </row>
    <row r="33388" spans="6:9" x14ac:dyDescent="0.3">
      <c r="F33388"/>
      <c r="G33388"/>
      <c r="H33388"/>
      <c r="I33388"/>
    </row>
    <row r="33389" spans="6:9" x14ac:dyDescent="0.3">
      <c r="F33389"/>
      <c r="G33389"/>
      <c r="H33389"/>
      <c r="I33389"/>
    </row>
    <row r="33390" spans="6:9" x14ac:dyDescent="0.3">
      <c r="F33390"/>
      <c r="G33390"/>
      <c r="H33390"/>
      <c r="I33390"/>
    </row>
    <row r="33391" spans="6:9" x14ac:dyDescent="0.3">
      <c r="F33391"/>
      <c r="G33391"/>
      <c r="H33391"/>
      <c r="I33391"/>
    </row>
    <row r="33392" spans="6:9" x14ac:dyDescent="0.3">
      <c r="F33392"/>
      <c r="G33392"/>
      <c r="H33392"/>
      <c r="I33392"/>
    </row>
    <row r="33393" spans="6:9" x14ac:dyDescent="0.3">
      <c r="F33393"/>
      <c r="G33393"/>
      <c r="H33393"/>
      <c r="I33393"/>
    </row>
    <row r="33394" spans="6:9" x14ac:dyDescent="0.3">
      <c r="F33394"/>
      <c r="G33394"/>
      <c r="H33394"/>
      <c r="I33394"/>
    </row>
    <row r="33395" spans="6:9" x14ac:dyDescent="0.3">
      <c r="F33395"/>
      <c r="G33395"/>
      <c r="H33395"/>
      <c r="I33395"/>
    </row>
    <row r="33396" spans="6:9" x14ac:dyDescent="0.3">
      <c r="F33396"/>
      <c r="G33396"/>
      <c r="H33396"/>
      <c r="I33396"/>
    </row>
    <row r="33397" spans="6:9" x14ac:dyDescent="0.3">
      <c r="F33397"/>
      <c r="G33397"/>
      <c r="H33397"/>
      <c r="I33397"/>
    </row>
    <row r="33398" spans="6:9" x14ac:dyDescent="0.3">
      <c r="F33398"/>
      <c r="G33398"/>
      <c r="H33398"/>
      <c r="I33398"/>
    </row>
    <row r="33399" spans="6:9" x14ac:dyDescent="0.3">
      <c r="F33399"/>
      <c r="G33399"/>
      <c r="H33399"/>
      <c r="I33399"/>
    </row>
    <row r="33400" spans="6:9" x14ac:dyDescent="0.3">
      <c r="F33400"/>
      <c r="G33400"/>
      <c r="H33400"/>
      <c r="I33400"/>
    </row>
    <row r="33401" spans="6:9" x14ac:dyDescent="0.3">
      <c r="F33401"/>
      <c r="G33401"/>
      <c r="H33401"/>
      <c r="I33401"/>
    </row>
    <row r="33402" spans="6:9" x14ac:dyDescent="0.3">
      <c r="F33402"/>
      <c r="G33402"/>
      <c r="H33402"/>
      <c r="I33402"/>
    </row>
    <row r="33403" spans="6:9" x14ac:dyDescent="0.3">
      <c r="F33403"/>
      <c r="G33403"/>
      <c r="H33403"/>
      <c r="I33403"/>
    </row>
    <row r="33404" spans="6:9" x14ac:dyDescent="0.3">
      <c r="F33404"/>
      <c r="G33404"/>
      <c r="H33404"/>
      <c r="I33404"/>
    </row>
    <row r="33405" spans="6:9" x14ac:dyDescent="0.3">
      <c r="F33405"/>
      <c r="G33405"/>
      <c r="H33405"/>
      <c r="I33405"/>
    </row>
    <row r="33406" spans="6:9" x14ac:dyDescent="0.3">
      <c r="F33406"/>
      <c r="G33406"/>
      <c r="H33406"/>
      <c r="I33406"/>
    </row>
    <row r="33407" spans="6:9" x14ac:dyDescent="0.3">
      <c r="F33407"/>
      <c r="G33407"/>
      <c r="H33407"/>
      <c r="I33407"/>
    </row>
    <row r="33408" spans="6:9" x14ac:dyDescent="0.3">
      <c r="F33408"/>
      <c r="G33408"/>
      <c r="H33408"/>
      <c r="I33408"/>
    </row>
    <row r="33409" spans="6:9" x14ac:dyDescent="0.3">
      <c r="F33409"/>
      <c r="G33409"/>
      <c r="H33409"/>
      <c r="I33409"/>
    </row>
    <row r="33410" spans="6:9" x14ac:dyDescent="0.3">
      <c r="F33410"/>
      <c r="G33410"/>
      <c r="H33410"/>
      <c r="I33410"/>
    </row>
    <row r="33411" spans="6:9" x14ac:dyDescent="0.3">
      <c r="F33411"/>
      <c r="G33411"/>
      <c r="H33411"/>
      <c r="I33411"/>
    </row>
    <row r="33412" spans="6:9" x14ac:dyDescent="0.3">
      <c r="F33412"/>
      <c r="G33412"/>
      <c r="H33412"/>
      <c r="I33412"/>
    </row>
    <row r="33413" spans="6:9" x14ac:dyDescent="0.3">
      <c r="F33413"/>
      <c r="G33413"/>
      <c r="H33413"/>
      <c r="I33413"/>
    </row>
    <row r="33414" spans="6:9" x14ac:dyDescent="0.3">
      <c r="F33414"/>
      <c r="G33414"/>
      <c r="H33414"/>
      <c r="I33414"/>
    </row>
    <row r="33415" spans="6:9" x14ac:dyDescent="0.3">
      <c r="F33415"/>
      <c r="G33415"/>
      <c r="H33415"/>
      <c r="I33415"/>
    </row>
    <row r="33416" spans="6:9" x14ac:dyDescent="0.3">
      <c r="F33416"/>
      <c r="G33416"/>
      <c r="H33416"/>
      <c r="I33416"/>
    </row>
    <row r="33417" spans="6:9" x14ac:dyDescent="0.3">
      <c r="F33417"/>
      <c r="G33417"/>
      <c r="H33417"/>
      <c r="I33417"/>
    </row>
    <row r="33418" spans="6:9" x14ac:dyDescent="0.3">
      <c r="F33418"/>
      <c r="G33418"/>
      <c r="H33418"/>
      <c r="I33418"/>
    </row>
    <row r="33419" spans="6:9" x14ac:dyDescent="0.3">
      <c r="F33419"/>
      <c r="G33419"/>
      <c r="H33419"/>
      <c r="I33419"/>
    </row>
    <row r="33420" spans="6:9" x14ac:dyDescent="0.3">
      <c r="F33420"/>
      <c r="G33420"/>
      <c r="H33420"/>
      <c r="I33420"/>
    </row>
    <row r="33421" spans="6:9" x14ac:dyDescent="0.3">
      <c r="F33421"/>
      <c r="G33421"/>
      <c r="H33421"/>
      <c r="I33421"/>
    </row>
    <row r="33422" spans="6:9" x14ac:dyDescent="0.3">
      <c r="F33422"/>
      <c r="G33422"/>
      <c r="H33422"/>
      <c r="I33422"/>
    </row>
    <row r="33423" spans="6:9" x14ac:dyDescent="0.3">
      <c r="F33423"/>
      <c r="G33423"/>
      <c r="H33423"/>
      <c r="I33423"/>
    </row>
    <row r="33424" spans="6:9" x14ac:dyDescent="0.3">
      <c r="F33424"/>
      <c r="G33424"/>
      <c r="H33424"/>
      <c r="I33424"/>
    </row>
    <row r="33425" spans="6:9" x14ac:dyDescent="0.3">
      <c r="F33425"/>
      <c r="G33425"/>
      <c r="H33425"/>
      <c r="I33425"/>
    </row>
    <row r="33426" spans="6:9" x14ac:dyDescent="0.3">
      <c r="F33426"/>
      <c r="G33426"/>
      <c r="H33426"/>
      <c r="I33426"/>
    </row>
    <row r="33427" spans="6:9" x14ac:dyDescent="0.3">
      <c r="F33427"/>
      <c r="G33427"/>
      <c r="H33427"/>
      <c r="I33427"/>
    </row>
    <row r="33428" spans="6:9" x14ac:dyDescent="0.3">
      <c r="F33428"/>
      <c r="G33428"/>
      <c r="H33428"/>
      <c r="I33428"/>
    </row>
    <row r="33429" spans="6:9" x14ac:dyDescent="0.3">
      <c r="F33429"/>
      <c r="G33429"/>
      <c r="H33429"/>
      <c r="I33429"/>
    </row>
    <row r="33430" spans="6:9" x14ac:dyDescent="0.3">
      <c r="F33430"/>
      <c r="G33430"/>
      <c r="H33430"/>
      <c r="I33430"/>
    </row>
    <row r="33431" spans="6:9" x14ac:dyDescent="0.3">
      <c r="F33431"/>
      <c r="G33431"/>
      <c r="H33431"/>
      <c r="I33431"/>
    </row>
    <row r="33432" spans="6:9" x14ac:dyDescent="0.3">
      <c r="F33432"/>
      <c r="G33432"/>
      <c r="H33432"/>
      <c r="I33432"/>
    </row>
    <row r="33433" spans="6:9" x14ac:dyDescent="0.3">
      <c r="F33433"/>
      <c r="G33433"/>
      <c r="H33433"/>
      <c r="I33433"/>
    </row>
    <row r="33434" spans="6:9" x14ac:dyDescent="0.3">
      <c r="F33434"/>
      <c r="G33434"/>
      <c r="H33434"/>
      <c r="I33434"/>
    </row>
    <row r="33435" spans="6:9" x14ac:dyDescent="0.3">
      <c r="F33435"/>
      <c r="G33435"/>
      <c r="H33435"/>
      <c r="I33435"/>
    </row>
    <row r="33436" spans="6:9" x14ac:dyDescent="0.3">
      <c r="F33436"/>
      <c r="G33436"/>
      <c r="H33436"/>
      <c r="I33436"/>
    </row>
    <row r="33437" spans="6:9" x14ac:dyDescent="0.3">
      <c r="F33437"/>
      <c r="G33437"/>
      <c r="H33437"/>
      <c r="I33437"/>
    </row>
    <row r="33438" spans="6:9" x14ac:dyDescent="0.3">
      <c r="F33438"/>
      <c r="G33438"/>
      <c r="H33438"/>
      <c r="I33438"/>
    </row>
    <row r="33439" spans="6:9" x14ac:dyDescent="0.3">
      <c r="F33439"/>
      <c r="G33439"/>
      <c r="H33439"/>
      <c r="I33439"/>
    </row>
    <row r="33440" spans="6:9" x14ac:dyDescent="0.3">
      <c r="F33440"/>
      <c r="G33440"/>
      <c r="H33440"/>
      <c r="I33440"/>
    </row>
    <row r="33441" spans="6:9" x14ac:dyDescent="0.3">
      <c r="F33441"/>
      <c r="G33441"/>
      <c r="H33441"/>
      <c r="I33441"/>
    </row>
    <row r="33442" spans="6:9" x14ac:dyDescent="0.3">
      <c r="F33442"/>
      <c r="G33442"/>
      <c r="H33442"/>
      <c r="I33442"/>
    </row>
    <row r="33443" spans="6:9" x14ac:dyDescent="0.3">
      <c r="F33443"/>
      <c r="G33443"/>
      <c r="H33443"/>
      <c r="I33443"/>
    </row>
    <row r="33444" spans="6:9" x14ac:dyDescent="0.3">
      <c r="F33444"/>
      <c r="G33444"/>
      <c r="H33444"/>
      <c r="I33444"/>
    </row>
    <row r="33445" spans="6:9" x14ac:dyDescent="0.3">
      <c r="F33445"/>
      <c r="G33445"/>
      <c r="H33445"/>
      <c r="I33445"/>
    </row>
    <row r="33446" spans="6:9" x14ac:dyDescent="0.3">
      <c r="F33446"/>
      <c r="G33446"/>
      <c r="H33446"/>
      <c r="I33446"/>
    </row>
    <row r="33447" spans="6:9" x14ac:dyDescent="0.3">
      <c r="F33447"/>
      <c r="G33447"/>
      <c r="H33447"/>
      <c r="I33447"/>
    </row>
    <row r="33448" spans="6:9" x14ac:dyDescent="0.3">
      <c r="F33448"/>
      <c r="G33448"/>
      <c r="H33448"/>
      <c r="I33448"/>
    </row>
    <row r="33449" spans="6:9" x14ac:dyDescent="0.3">
      <c r="F33449"/>
      <c r="G33449"/>
      <c r="H33449"/>
      <c r="I33449"/>
    </row>
    <row r="33450" spans="6:9" x14ac:dyDescent="0.3">
      <c r="F33450"/>
      <c r="G33450"/>
      <c r="H33450"/>
      <c r="I33450"/>
    </row>
    <row r="33451" spans="6:9" x14ac:dyDescent="0.3">
      <c r="F33451"/>
      <c r="G33451"/>
      <c r="H33451"/>
      <c r="I33451"/>
    </row>
    <row r="33452" spans="6:9" x14ac:dyDescent="0.3">
      <c r="F33452"/>
      <c r="G33452"/>
      <c r="H33452"/>
      <c r="I33452"/>
    </row>
    <row r="33453" spans="6:9" x14ac:dyDescent="0.3">
      <c r="F33453"/>
      <c r="G33453"/>
      <c r="H33453"/>
      <c r="I33453"/>
    </row>
    <row r="33454" spans="6:9" x14ac:dyDescent="0.3">
      <c r="F33454"/>
      <c r="G33454"/>
      <c r="H33454"/>
      <c r="I33454"/>
    </row>
    <row r="33455" spans="6:9" x14ac:dyDescent="0.3">
      <c r="F33455"/>
      <c r="G33455"/>
      <c r="H33455"/>
      <c r="I33455"/>
    </row>
    <row r="33456" spans="6:9" x14ac:dyDescent="0.3">
      <c r="F33456"/>
      <c r="G33456"/>
      <c r="H33456"/>
      <c r="I33456"/>
    </row>
    <row r="33457" spans="6:9" x14ac:dyDescent="0.3">
      <c r="F33457"/>
      <c r="G33457"/>
      <c r="H33457"/>
      <c r="I33457"/>
    </row>
    <row r="33458" spans="6:9" x14ac:dyDescent="0.3">
      <c r="F33458"/>
      <c r="G33458"/>
      <c r="H33458"/>
      <c r="I33458"/>
    </row>
    <row r="33459" spans="6:9" x14ac:dyDescent="0.3">
      <c r="F33459"/>
      <c r="G33459"/>
      <c r="H33459"/>
      <c r="I33459"/>
    </row>
    <row r="33460" spans="6:9" x14ac:dyDescent="0.3">
      <c r="F33460"/>
      <c r="G33460"/>
      <c r="H33460"/>
      <c r="I33460"/>
    </row>
    <row r="33461" spans="6:9" x14ac:dyDescent="0.3">
      <c r="F33461"/>
      <c r="G33461"/>
      <c r="H33461"/>
      <c r="I33461"/>
    </row>
    <row r="33462" spans="6:9" x14ac:dyDescent="0.3">
      <c r="F33462"/>
      <c r="G33462"/>
      <c r="H33462"/>
      <c r="I33462"/>
    </row>
    <row r="33463" spans="6:9" x14ac:dyDescent="0.3">
      <c r="F33463"/>
      <c r="G33463"/>
      <c r="H33463"/>
      <c r="I33463"/>
    </row>
    <row r="33464" spans="6:9" x14ac:dyDescent="0.3">
      <c r="F33464"/>
      <c r="G33464"/>
      <c r="H33464"/>
      <c r="I33464"/>
    </row>
    <row r="33465" spans="6:9" x14ac:dyDescent="0.3">
      <c r="F33465"/>
      <c r="G33465"/>
      <c r="H33465"/>
      <c r="I33465"/>
    </row>
    <row r="33466" spans="6:9" x14ac:dyDescent="0.3">
      <c r="F33466"/>
      <c r="G33466"/>
      <c r="H33466"/>
      <c r="I33466"/>
    </row>
    <row r="33467" spans="6:9" x14ac:dyDescent="0.3">
      <c r="F33467"/>
      <c r="G33467"/>
      <c r="H33467"/>
      <c r="I33467"/>
    </row>
    <row r="33468" spans="6:9" x14ac:dyDescent="0.3">
      <c r="F33468"/>
      <c r="G33468"/>
      <c r="H33468"/>
      <c r="I33468"/>
    </row>
    <row r="33469" spans="6:9" x14ac:dyDescent="0.3">
      <c r="F33469"/>
      <c r="G33469"/>
      <c r="H33469"/>
      <c r="I33469"/>
    </row>
    <row r="33470" spans="6:9" x14ac:dyDescent="0.3">
      <c r="F33470"/>
      <c r="G33470"/>
      <c r="H33470"/>
      <c r="I33470"/>
    </row>
    <row r="33471" spans="6:9" x14ac:dyDescent="0.3">
      <c r="F33471"/>
      <c r="G33471"/>
      <c r="H33471"/>
      <c r="I33471"/>
    </row>
    <row r="33472" spans="6:9" x14ac:dyDescent="0.3">
      <c r="F33472"/>
      <c r="G33472"/>
      <c r="H33472"/>
      <c r="I33472"/>
    </row>
    <row r="33473" spans="6:9" x14ac:dyDescent="0.3">
      <c r="F33473"/>
      <c r="G33473"/>
      <c r="H33473"/>
      <c r="I33473"/>
    </row>
    <row r="33474" spans="6:9" x14ac:dyDescent="0.3">
      <c r="F33474"/>
      <c r="G33474"/>
      <c r="H33474"/>
      <c r="I33474"/>
    </row>
    <row r="33475" spans="6:9" x14ac:dyDescent="0.3">
      <c r="F33475"/>
      <c r="G33475"/>
      <c r="H33475"/>
      <c r="I33475"/>
    </row>
    <row r="33476" spans="6:9" x14ac:dyDescent="0.3">
      <c r="F33476"/>
      <c r="G33476"/>
      <c r="H33476"/>
      <c r="I33476"/>
    </row>
    <row r="33477" spans="6:9" x14ac:dyDescent="0.3">
      <c r="F33477"/>
      <c r="G33477"/>
      <c r="H33477"/>
      <c r="I33477"/>
    </row>
    <row r="33478" spans="6:9" x14ac:dyDescent="0.3">
      <c r="F33478"/>
      <c r="G33478"/>
      <c r="H33478"/>
      <c r="I33478"/>
    </row>
    <row r="33479" spans="6:9" x14ac:dyDescent="0.3">
      <c r="F33479"/>
      <c r="G33479"/>
      <c r="H33479"/>
      <c r="I33479"/>
    </row>
    <row r="33480" spans="6:9" x14ac:dyDescent="0.3">
      <c r="F33480"/>
      <c r="G33480"/>
      <c r="H33480"/>
      <c r="I33480"/>
    </row>
    <row r="33481" spans="6:9" x14ac:dyDescent="0.3">
      <c r="F33481"/>
      <c r="G33481"/>
      <c r="H33481"/>
      <c r="I33481"/>
    </row>
    <row r="33482" spans="6:9" x14ac:dyDescent="0.3">
      <c r="F33482"/>
      <c r="G33482"/>
      <c r="H33482"/>
      <c r="I33482"/>
    </row>
    <row r="33483" spans="6:9" x14ac:dyDescent="0.3">
      <c r="F33483"/>
      <c r="G33483"/>
      <c r="H33483"/>
      <c r="I33483"/>
    </row>
    <row r="33484" spans="6:9" x14ac:dyDescent="0.3">
      <c r="F33484"/>
      <c r="G33484"/>
      <c r="H33484"/>
      <c r="I33484"/>
    </row>
    <row r="33485" spans="6:9" x14ac:dyDescent="0.3">
      <c r="F33485"/>
      <c r="G33485"/>
      <c r="H33485"/>
      <c r="I33485"/>
    </row>
    <row r="33486" spans="6:9" x14ac:dyDescent="0.3">
      <c r="F33486"/>
      <c r="G33486"/>
      <c r="H33486"/>
      <c r="I33486"/>
    </row>
    <row r="33487" spans="6:9" x14ac:dyDescent="0.3">
      <c r="F33487"/>
      <c r="G33487"/>
      <c r="H33487"/>
      <c r="I33487"/>
    </row>
    <row r="33488" spans="6:9" x14ac:dyDescent="0.3">
      <c r="F33488"/>
      <c r="G33488"/>
      <c r="H33488"/>
      <c r="I33488"/>
    </row>
    <row r="33489" spans="6:9" x14ac:dyDescent="0.3">
      <c r="F33489"/>
      <c r="G33489"/>
      <c r="H33489"/>
      <c r="I33489"/>
    </row>
    <row r="33490" spans="6:9" x14ac:dyDescent="0.3">
      <c r="F33490"/>
      <c r="G33490"/>
      <c r="H33490"/>
      <c r="I33490"/>
    </row>
    <row r="33491" spans="6:9" x14ac:dyDescent="0.3">
      <c r="F33491"/>
      <c r="G33491"/>
      <c r="H33491"/>
      <c r="I33491"/>
    </row>
    <row r="33492" spans="6:9" x14ac:dyDescent="0.3">
      <c r="F33492"/>
      <c r="G33492"/>
      <c r="H33492"/>
      <c r="I33492"/>
    </row>
    <row r="33493" spans="6:9" x14ac:dyDescent="0.3">
      <c r="F33493"/>
      <c r="G33493"/>
      <c r="H33493"/>
      <c r="I33493"/>
    </row>
    <row r="33494" spans="6:9" x14ac:dyDescent="0.3">
      <c r="F33494"/>
      <c r="G33494"/>
      <c r="H33494"/>
      <c r="I33494"/>
    </row>
    <row r="33495" spans="6:9" x14ac:dyDescent="0.3">
      <c r="F33495"/>
      <c r="G33495"/>
      <c r="H33495"/>
      <c r="I33495"/>
    </row>
    <row r="33496" spans="6:9" x14ac:dyDescent="0.3">
      <c r="F33496"/>
      <c r="G33496"/>
      <c r="H33496"/>
      <c r="I33496"/>
    </row>
    <row r="33497" spans="6:9" x14ac:dyDescent="0.3">
      <c r="F33497"/>
      <c r="G33497"/>
      <c r="H33497"/>
      <c r="I33497"/>
    </row>
    <row r="33498" spans="6:9" x14ac:dyDescent="0.3">
      <c r="F33498"/>
      <c r="G33498"/>
      <c r="H33498"/>
      <c r="I33498"/>
    </row>
    <row r="33499" spans="6:9" x14ac:dyDescent="0.3">
      <c r="F33499"/>
      <c r="G33499"/>
      <c r="H33499"/>
      <c r="I33499"/>
    </row>
    <row r="33500" spans="6:9" x14ac:dyDescent="0.3">
      <c r="F33500"/>
      <c r="G33500"/>
      <c r="H33500"/>
      <c r="I33500"/>
    </row>
    <row r="33501" spans="6:9" x14ac:dyDescent="0.3">
      <c r="F33501"/>
      <c r="G33501"/>
      <c r="H33501"/>
      <c r="I33501"/>
    </row>
    <row r="33502" spans="6:9" x14ac:dyDescent="0.3">
      <c r="F33502"/>
      <c r="G33502"/>
      <c r="H33502"/>
      <c r="I33502"/>
    </row>
    <row r="33503" spans="6:9" x14ac:dyDescent="0.3">
      <c r="F33503"/>
      <c r="G33503"/>
      <c r="H33503"/>
      <c r="I33503"/>
    </row>
    <row r="33504" spans="6:9" x14ac:dyDescent="0.3">
      <c r="F33504"/>
      <c r="G33504"/>
      <c r="H33504"/>
      <c r="I33504"/>
    </row>
    <row r="33505" spans="6:9" x14ac:dyDescent="0.3">
      <c r="F33505"/>
      <c r="G33505"/>
      <c r="H33505"/>
      <c r="I33505"/>
    </row>
    <row r="33506" spans="6:9" x14ac:dyDescent="0.3">
      <c r="F33506"/>
      <c r="G33506"/>
      <c r="H33506"/>
      <c r="I33506"/>
    </row>
    <row r="33507" spans="6:9" x14ac:dyDescent="0.3">
      <c r="F33507"/>
      <c r="G33507"/>
      <c r="H33507"/>
      <c r="I33507"/>
    </row>
    <row r="33508" spans="6:9" x14ac:dyDescent="0.3">
      <c r="F33508"/>
      <c r="G33508"/>
      <c r="H33508"/>
      <c r="I33508"/>
    </row>
    <row r="33509" spans="6:9" x14ac:dyDescent="0.3">
      <c r="F33509"/>
      <c r="G33509"/>
      <c r="H33509"/>
      <c r="I33509"/>
    </row>
    <row r="33510" spans="6:9" x14ac:dyDescent="0.3">
      <c r="F33510"/>
      <c r="G33510"/>
      <c r="H33510"/>
      <c r="I33510"/>
    </row>
    <row r="33511" spans="6:9" x14ac:dyDescent="0.3">
      <c r="F33511"/>
      <c r="G33511"/>
      <c r="H33511"/>
      <c r="I33511"/>
    </row>
    <row r="33512" spans="6:9" x14ac:dyDescent="0.3">
      <c r="F33512"/>
      <c r="G33512"/>
      <c r="H33512"/>
      <c r="I33512"/>
    </row>
    <row r="33513" spans="6:9" x14ac:dyDescent="0.3">
      <c r="F33513"/>
      <c r="G33513"/>
      <c r="H33513"/>
      <c r="I33513"/>
    </row>
    <row r="33514" spans="6:9" x14ac:dyDescent="0.3">
      <c r="F33514"/>
      <c r="G33514"/>
      <c r="H33514"/>
      <c r="I33514"/>
    </row>
    <row r="33515" spans="6:9" x14ac:dyDescent="0.3">
      <c r="F33515"/>
      <c r="G33515"/>
      <c r="H33515"/>
      <c r="I33515"/>
    </row>
    <row r="33516" spans="6:9" x14ac:dyDescent="0.3">
      <c r="F33516"/>
      <c r="G33516"/>
      <c r="H33516"/>
      <c r="I33516"/>
    </row>
    <row r="33517" spans="6:9" x14ac:dyDescent="0.3">
      <c r="F33517"/>
      <c r="G33517"/>
      <c r="H33517"/>
      <c r="I33517"/>
    </row>
    <row r="33518" spans="6:9" x14ac:dyDescent="0.3">
      <c r="F33518"/>
      <c r="G33518"/>
      <c r="H33518"/>
      <c r="I33518"/>
    </row>
    <row r="33519" spans="6:9" x14ac:dyDescent="0.3">
      <c r="F33519"/>
      <c r="G33519"/>
      <c r="H33519"/>
      <c r="I33519"/>
    </row>
    <row r="33520" spans="6:9" x14ac:dyDescent="0.3">
      <c r="F33520"/>
      <c r="G33520"/>
      <c r="H33520"/>
      <c r="I33520"/>
    </row>
    <row r="33521" spans="6:9" x14ac:dyDescent="0.3">
      <c r="F33521"/>
      <c r="G33521"/>
      <c r="H33521"/>
      <c r="I33521"/>
    </row>
    <row r="33522" spans="6:9" x14ac:dyDescent="0.3">
      <c r="F33522"/>
      <c r="G33522"/>
      <c r="H33522"/>
      <c r="I33522"/>
    </row>
    <row r="33523" spans="6:9" x14ac:dyDescent="0.3">
      <c r="F33523"/>
      <c r="G33523"/>
      <c r="H33523"/>
      <c r="I33523"/>
    </row>
    <row r="33524" spans="6:9" x14ac:dyDescent="0.3">
      <c r="F33524"/>
      <c r="G33524"/>
      <c r="H33524"/>
      <c r="I33524"/>
    </row>
    <row r="33525" spans="6:9" x14ac:dyDescent="0.3">
      <c r="F33525"/>
      <c r="G33525"/>
      <c r="H33525"/>
      <c r="I33525"/>
    </row>
    <row r="33526" spans="6:9" x14ac:dyDescent="0.3">
      <c r="F33526"/>
      <c r="G33526"/>
      <c r="H33526"/>
      <c r="I33526"/>
    </row>
    <row r="33527" spans="6:9" x14ac:dyDescent="0.3">
      <c r="F33527"/>
      <c r="G33527"/>
      <c r="H33527"/>
      <c r="I33527"/>
    </row>
    <row r="33528" spans="6:9" x14ac:dyDescent="0.3">
      <c r="F33528"/>
      <c r="G33528"/>
      <c r="H33528"/>
      <c r="I33528"/>
    </row>
    <row r="33529" spans="6:9" x14ac:dyDescent="0.3">
      <c r="F33529"/>
      <c r="G33529"/>
      <c r="H33529"/>
      <c r="I33529"/>
    </row>
    <row r="33530" spans="6:9" x14ac:dyDescent="0.3">
      <c r="F33530"/>
      <c r="G33530"/>
      <c r="H33530"/>
      <c r="I33530"/>
    </row>
    <row r="33531" spans="6:9" x14ac:dyDescent="0.3">
      <c r="F33531"/>
      <c r="G33531"/>
      <c r="H33531"/>
      <c r="I33531"/>
    </row>
    <row r="33532" spans="6:9" x14ac:dyDescent="0.3">
      <c r="F33532"/>
      <c r="G33532"/>
      <c r="H33532"/>
      <c r="I33532"/>
    </row>
    <row r="33533" spans="6:9" x14ac:dyDescent="0.3">
      <c r="F33533"/>
      <c r="G33533"/>
      <c r="H33533"/>
      <c r="I33533"/>
    </row>
    <row r="33534" spans="6:9" x14ac:dyDescent="0.3">
      <c r="F33534"/>
      <c r="G33534"/>
      <c r="H33534"/>
      <c r="I33534"/>
    </row>
    <row r="33535" spans="6:9" x14ac:dyDescent="0.3">
      <c r="F33535"/>
      <c r="G33535"/>
      <c r="H33535"/>
      <c r="I33535"/>
    </row>
    <row r="33536" spans="6:9" x14ac:dyDescent="0.3">
      <c r="F33536"/>
      <c r="G33536"/>
      <c r="H33536"/>
      <c r="I33536"/>
    </row>
    <row r="33537" spans="6:9" x14ac:dyDescent="0.3">
      <c r="F33537"/>
      <c r="G33537"/>
      <c r="H33537"/>
      <c r="I33537"/>
    </row>
    <row r="33538" spans="6:9" x14ac:dyDescent="0.3">
      <c r="F33538"/>
      <c r="G33538"/>
      <c r="H33538"/>
      <c r="I33538"/>
    </row>
    <row r="33539" spans="6:9" x14ac:dyDescent="0.3">
      <c r="F33539"/>
      <c r="G33539"/>
      <c r="H33539"/>
      <c r="I33539"/>
    </row>
    <row r="33540" spans="6:9" x14ac:dyDescent="0.3">
      <c r="F33540"/>
      <c r="G33540"/>
      <c r="H33540"/>
      <c r="I33540"/>
    </row>
    <row r="33541" spans="6:9" x14ac:dyDescent="0.3">
      <c r="F33541"/>
      <c r="G33541"/>
      <c r="H33541"/>
      <c r="I33541"/>
    </row>
    <row r="33542" spans="6:9" x14ac:dyDescent="0.3">
      <c r="F33542"/>
      <c r="G33542"/>
      <c r="H33542"/>
      <c r="I33542"/>
    </row>
    <row r="33543" spans="6:9" x14ac:dyDescent="0.3">
      <c r="F33543"/>
      <c r="G33543"/>
      <c r="H33543"/>
      <c r="I33543"/>
    </row>
    <row r="33544" spans="6:9" x14ac:dyDescent="0.3">
      <c r="F33544"/>
      <c r="G33544"/>
      <c r="H33544"/>
      <c r="I33544"/>
    </row>
    <row r="33545" spans="6:9" x14ac:dyDescent="0.3">
      <c r="F33545"/>
      <c r="G33545"/>
      <c r="H33545"/>
      <c r="I33545"/>
    </row>
    <row r="33546" spans="6:9" x14ac:dyDescent="0.3">
      <c r="F33546"/>
      <c r="G33546"/>
      <c r="H33546"/>
      <c r="I33546"/>
    </row>
    <row r="33547" spans="6:9" x14ac:dyDescent="0.3">
      <c r="F33547"/>
      <c r="G33547"/>
      <c r="H33547"/>
      <c r="I33547"/>
    </row>
    <row r="33548" spans="6:9" x14ac:dyDescent="0.3">
      <c r="F33548"/>
      <c r="G33548"/>
      <c r="H33548"/>
      <c r="I33548"/>
    </row>
    <row r="33549" spans="6:9" x14ac:dyDescent="0.3">
      <c r="F33549"/>
      <c r="G33549"/>
      <c r="H33549"/>
      <c r="I33549"/>
    </row>
    <row r="33550" spans="6:9" x14ac:dyDescent="0.3">
      <c r="F33550"/>
      <c r="G33550"/>
      <c r="H33550"/>
      <c r="I33550"/>
    </row>
    <row r="33551" spans="6:9" x14ac:dyDescent="0.3">
      <c r="F33551"/>
      <c r="G33551"/>
      <c r="H33551"/>
      <c r="I33551"/>
    </row>
    <row r="33552" spans="6:9" x14ac:dyDescent="0.3">
      <c r="F33552"/>
      <c r="G33552"/>
      <c r="H33552"/>
      <c r="I33552"/>
    </row>
    <row r="33553" spans="6:9" x14ac:dyDescent="0.3">
      <c r="F33553"/>
      <c r="G33553"/>
      <c r="H33553"/>
      <c r="I33553"/>
    </row>
    <row r="33554" spans="6:9" x14ac:dyDescent="0.3">
      <c r="F33554"/>
      <c r="G33554"/>
      <c r="H33554"/>
      <c r="I33554"/>
    </row>
    <row r="33555" spans="6:9" x14ac:dyDescent="0.3">
      <c r="F33555"/>
      <c r="G33555"/>
      <c r="H33555"/>
      <c r="I33555"/>
    </row>
    <row r="33556" spans="6:9" x14ac:dyDescent="0.3">
      <c r="F33556"/>
      <c r="G33556"/>
      <c r="H33556"/>
      <c r="I33556"/>
    </row>
    <row r="33557" spans="6:9" x14ac:dyDescent="0.3">
      <c r="F33557"/>
      <c r="G33557"/>
      <c r="H33557"/>
      <c r="I33557"/>
    </row>
    <row r="33558" spans="6:9" x14ac:dyDescent="0.3">
      <c r="F33558"/>
      <c r="G33558"/>
      <c r="H33558"/>
      <c r="I33558"/>
    </row>
    <row r="33559" spans="6:9" x14ac:dyDescent="0.3">
      <c r="F33559"/>
      <c r="G33559"/>
      <c r="H33559"/>
      <c r="I33559"/>
    </row>
    <row r="33560" spans="6:9" x14ac:dyDescent="0.3">
      <c r="F33560"/>
      <c r="G33560"/>
      <c r="H33560"/>
      <c r="I33560"/>
    </row>
    <row r="33561" spans="6:9" x14ac:dyDescent="0.3">
      <c r="F33561"/>
      <c r="G33561"/>
      <c r="H33561"/>
      <c r="I33561"/>
    </row>
    <row r="33562" spans="6:9" x14ac:dyDescent="0.3">
      <c r="F33562"/>
      <c r="G33562"/>
      <c r="H33562"/>
      <c r="I33562"/>
    </row>
    <row r="33563" spans="6:9" x14ac:dyDescent="0.3">
      <c r="F33563"/>
      <c r="G33563"/>
      <c r="H33563"/>
      <c r="I33563"/>
    </row>
    <row r="33564" spans="6:9" x14ac:dyDescent="0.3">
      <c r="F33564"/>
      <c r="G33564"/>
      <c r="H33564"/>
      <c r="I33564"/>
    </row>
    <row r="33565" spans="6:9" x14ac:dyDescent="0.3">
      <c r="F33565"/>
      <c r="G33565"/>
      <c r="H33565"/>
      <c r="I33565"/>
    </row>
    <row r="33566" spans="6:9" x14ac:dyDescent="0.3">
      <c r="F33566"/>
      <c r="G33566"/>
      <c r="H33566"/>
      <c r="I33566"/>
    </row>
    <row r="33567" spans="6:9" x14ac:dyDescent="0.3">
      <c r="F33567"/>
      <c r="G33567"/>
      <c r="H33567"/>
      <c r="I33567"/>
    </row>
    <row r="33568" spans="6:9" x14ac:dyDescent="0.3">
      <c r="F33568"/>
      <c r="G33568"/>
      <c r="H33568"/>
      <c r="I33568"/>
    </row>
    <row r="33569" spans="6:9" x14ac:dyDescent="0.3">
      <c r="F33569"/>
      <c r="G33569"/>
      <c r="H33569"/>
      <c r="I33569"/>
    </row>
    <row r="33570" spans="6:9" x14ac:dyDescent="0.3">
      <c r="F33570"/>
      <c r="G33570"/>
      <c r="H33570"/>
      <c r="I33570"/>
    </row>
    <row r="33571" spans="6:9" x14ac:dyDescent="0.3">
      <c r="F33571"/>
      <c r="G33571"/>
      <c r="H33571"/>
      <c r="I33571"/>
    </row>
    <row r="33572" spans="6:9" x14ac:dyDescent="0.3">
      <c r="F33572"/>
      <c r="G33572"/>
      <c r="H33572"/>
      <c r="I33572"/>
    </row>
    <row r="33573" spans="6:9" x14ac:dyDescent="0.3">
      <c r="F33573"/>
      <c r="G33573"/>
      <c r="H33573"/>
      <c r="I33573"/>
    </row>
    <row r="33574" spans="6:9" x14ac:dyDescent="0.3">
      <c r="F33574"/>
      <c r="G33574"/>
      <c r="H33574"/>
      <c r="I33574"/>
    </row>
    <row r="33575" spans="6:9" x14ac:dyDescent="0.3">
      <c r="F33575"/>
      <c r="G33575"/>
      <c r="H33575"/>
      <c r="I33575"/>
    </row>
    <row r="33576" spans="6:9" x14ac:dyDescent="0.3">
      <c r="F33576"/>
      <c r="G33576"/>
      <c r="H33576"/>
      <c r="I33576"/>
    </row>
    <row r="33577" spans="6:9" x14ac:dyDescent="0.3">
      <c r="F33577"/>
      <c r="G33577"/>
      <c r="H33577"/>
      <c r="I33577"/>
    </row>
    <row r="33578" spans="6:9" x14ac:dyDescent="0.3">
      <c r="F33578"/>
      <c r="G33578"/>
      <c r="H33578"/>
      <c r="I33578"/>
    </row>
    <row r="33579" spans="6:9" x14ac:dyDescent="0.3">
      <c r="F33579"/>
      <c r="G33579"/>
      <c r="H33579"/>
      <c r="I33579"/>
    </row>
    <row r="33580" spans="6:9" x14ac:dyDescent="0.3">
      <c r="F33580"/>
      <c r="G33580"/>
      <c r="H33580"/>
      <c r="I33580"/>
    </row>
    <row r="33581" spans="6:9" x14ac:dyDescent="0.3">
      <c r="F33581"/>
      <c r="G33581"/>
      <c r="H33581"/>
      <c r="I33581"/>
    </row>
    <row r="33582" spans="6:9" x14ac:dyDescent="0.3">
      <c r="F33582"/>
      <c r="G33582"/>
      <c r="H33582"/>
      <c r="I33582"/>
    </row>
    <row r="33583" spans="6:9" x14ac:dyDescent="0.3">
      <c r="F33583"/>
      <c r="G33583"/>
      <c r="H33583"/>
      <c r="I33583"/>
    </row>
    <row r="33584" spans="6:9" x14ac:dyDescent="0.3">
      <c r="F33584"/>
      <c r="G33584"/>
      <c r="H33584"/>
      <c r="I33584"/>
    </row>
    <row r="33585" spans="6:9" x14ac:dyDescent="0.3">
      <c r="F33585"/>
      <c r="G33585"/>
      <c r="H33585"/>
      <c r="I33585"/>
    </row>
    <row r="33586" spans="6:9" x14ac:dyDescent="0.3">
      <c r="F33586"/>
      <c r="G33586"/>
      <c r="H33586"/>
      <c r="I33586"/>
    </row>
    <row r="33587" spans="6:9" x14ac:dyDescent="0.3">
      <c r="F33587"/>
      <c r="G33587"/>
      <c r="H33587"/>
      <c r="I33587"/>
    </row>
    <row r="33588" spans="6:9" x14ac:dyDescent="0.3">
      <c r="F33588"/>
      <c r="G33588"/>
      <c r="H33588"/>
      <c r="I33588"/>
    </row>
    <row r="33589" spans="6:9" x14ac:dyDescent="0.3">
      <c r="F33589"/>
      <c r="G33589"/>
      <c r="H33589"/>
      <c r="I33589"/>
    </row>
    <row r="33590" spans="6:9" x14ac:dyDescent="0.3">
      <c r="F33590"/>
      <c r="G33590"/>
      <c r="H33590"/>
      <c r="I33590"/>
    </row>
    <row r="33591" spans="6:9" x14ac:dyDescent="0.3">
      <c r="F33591"/>
      <c r="G33591"/>
      <c r="H33591"/>
      <c r="I33591"/>
    </row>
    <row r="33592" spans="6:9" x14ac:dyDescent="0.3">
      <c r="F33592"/>
      <c r="G33592"/>
      <c r="H33592"/>
      <c r="I33592"/>
    </row>
    <row r="33593" spans="6:9" x14ac:dyDescent="0.3">
      <c r="F33593"/>
      <c r="G33593"/>
      <c r="H33593"/>
      <c r="I33593"/>
    </row>
    <row r="33594" spans="6:9" x14ac:dyDescent="0.3">
      <c r="F33594"/>
      <c r="G33594"/>
      <c r="H33594"/>
      <c r="I33594"/>
    </row>
    <row r="33595" spans="6:9" x14ac:dyDescent="0.3">
      <c r="F33595"/>
      <c r="G33595"/>
      <c r="H33595"/>
      <c r="I33595"/>
    </row>
    <row r="33596" spans="6:9" x14ac:dyDescent="0.3">
      <c r="F33596"/>
      <c r="G33596"/>
      <c r="H33596"/>
      <c r="I33596"/>
    </row>
    <row r="33597" spans="6:9" x14ac:dyDescent="0.3">
      <c r="F33597"/>
      <c r="G33597"/>
      <c r="H33597"/>
      <c r="I33597"/>
    </row>
    <row r="33598" spans="6:9" x14ac:dyDescent="0.3">
      <c r="F33598"/>
      <c r="G33598"/>
      <c r="H33598"/>
      <c r="I33598"/>
    </row>
    <row r="33599" spans="6:9" x14ac:dyDescent="0.3">
      <c r="F33599"/>
      <c r="G33599"/>
      <c r="H33599"/>
      <c r="I33599"/>
    </row>
    <row r="33600" spans="6:9" x14ac:dyDescent="0.3">
      <c r="F33600"/>
      <c r="G33600"/>
      <c r="H33600"/>
      <c r="I33600"/>
    </row>
    <row r="33601" spans="6:9" x14ac:dyDescent="0.3">
      <c r="F33601"/>
      <c r="G33601"/>
      <c r="H33601"/>
      <c r="I33601"/>
    </row>
    <row r="33602" spans="6:9" x14ac:dyDescent="0.3">
      <c r="F33602"/>
      <c r="G33602"/>
      <c r="H33602"/>
      <c r="I33602"/>
    </row>
    <row r="33603" spans="6:9" x14ac:dyDescent="0.3">
      <c r="F33603"/>
      <c r="G33603"/>
      <c r="H33603"/>
      <c r="I33603"/>
    </row>
    <row r="33604" spans="6:9" x14ac:dyDescent="0.3">
      <c r="F33604"/>
      <c r="G33604"/>
      <c r="H33604"/>
      <c r="I33604"/>
    </row>
    <row r="33605" spans="6:9" x14ac:dyDescent="0.3">
      <c r="F33605"/>
      <c r="G33605"/>
      <c r="H33605"/>
      <c r="I33605"/>
    </row>
    <row r="33606" spans="6:9" x14ac:dyDescent="0.3">
      <c r="F33606"/>
      <c r="G33606"/>
      <c r="H33606"/>
      <c r="I33606"/>
    </row>
    <row r="33607" spans="6:9" x14ac:dyDescent="0.3">
      <c r="F33607"/>
      <c r="G33607"/>
      <c r="H33607"/>
      <c r="I33607"/>
    </row>
    <row r="33608" spans="6:9" x14ac:dyDescent="0.3">
      <c r="F33608"/>
      <c r="G33608"/>
      <c r="H33608"/>
      <c r="I33608"/>
    </row>
    <row r="33609" spans="6:9" x14ac:dyDescent="0.3">
      <c r="F33609"/>
      <c r="G33609"/>
      <c r="H33609"/>
      <c r="I33609"/>
    </row>
    <row r="33610" spans="6:9" x14ac:dyDescent="0.3">
      <c r="F33610"/>
      <c r="G33610"/>
      <c r="H33610"/>
      <c r="I33610"/>
    </row>
    <row r="33611" spans="6:9" x14ac:dyDescent="0.3">
      <c r="F33611"/>
      <c r="G33611"/>
      <c r="H33611"/>
      <c r="I33611"/>
    </row>
    <row r="33612" spans="6:9" x14ac:dyDescent="0.3">
      <c r="F33612"/>
      <c r="G33612"/>
      <c r="H33612"/>
      <c r="I33612"/>
    </row>
    <row r="33613" spans="6:9" x14ac:dyDescent="0.3">
      <c r="F33613"/>
      <c r="G33613"/>
      <c r="H33613"/>
      <c r="I33613"/>
    </row>
    <row r="33614" spans="6:9" x14ac:dyDescent="0.3">
      <c r="F33614"/>
      <c r="G33614"/>
      <c r="H33614"/>
      <c r="I33614"/>
    </row>
    <row r="33615" spans="6:9" x14ac:dyDescent="0.3">
      <c r="F33615"/>
      <c r="G33615"/>
      <c r="H33615"/>
      <c r="I33615"/>
    </row>
    <row r="33616" spans="6:9" x14ac:dyDescent="0.3">
      <c r="F33616"/>
      <c r="G33616"/>
      <c r="H33616"/>
      <c r="I33616"/>
    </row>
    <row r="33617" spans="6:9" x14ac:dyDescent="0.3">
      <c r="F33617"/>
      <c r="G33617"/>
      <c r="H33617"/>
      <c r="I33617"/>
    </row>
    <row r="33618" spans="6:9" x14ac:dyDescent="0.3">
      <c r="F33618"/>
      <c r="G33618"/>
      <c r="H33618"/>
      <c r="I33618"/>
    </row>
    <row r="33619" spans="6:9" x14ac:dyDescent="0.3">
      <c r="F33619"/>
      <c r="G33619"/>
      <c r="H33619"/>
      <c r="I33619"/>
    </row>
    <row r="33620" spans="6:9" x14ac:dyDescent="0.3">
      <c r="F33620"/>
      <c r="G33620"/>
      <c r="H33620"/>
      <c r="I33620"/>
    </row>
    <row r="33621" spans="6:9" x14ac:dyDescent="0.3">
      <c r="F33621"/>
      <c r="G33621"/>
      <c r="H33621"/>
      <c r="I33621"/>
    </row>
    <row r="33622" spans="6:9" x14ac:dyDescent="0.3">
      <c r="F33622"/>
      <c r="G33622"/>
      <c r="H33622"/>
      <c r="I33622"/>
    </row>
    <row r="33623" spans="6:9" x14ac:dyDescent="0.3">
      <c r="F33623"/>
      <c r="G33623"/>
      <c r="H33623"/>
      <c r="I33623"/>
    </row>
    <row r="33624" spans="6:9" x14ac:dyDescent="0.3">
      <c r="F33624"/>
      <c r="G33624"/>
      <c r="H33624"/>
      <c r="I33624"/>
    </row>
    <row r="33625" spans="6:9" x14ac:dyDescent="0.3">
      <c r="F33625"/>
      <c r="G33625"/>
      <c r="H33625"/>
      <c r="I33625"/>
    </row>
    <row r="33626" spans="6:9" x14ac:dyDescent="0.3">
      <c r="F33626"/>
      <c r="G33626"/>
      <c r="H33626"/>
      <c r="I33626"/>
    </row>
    <row r="33627" spans="6:9" x14ac:dyDescent="0.3">
      <c r="F33627"/>
      <c r="G33627"/>
      <c r="H33627"/>
      <c r="I33627"/>
    </row>
    <row r="33628" spans="6:9" x14ac:dyDescent="0.3">
      <c r="F33628"/>
      <c r="G33628"/>
      <c r="H33628"/>
      <c r="I33628"/>
    </row>
    <row r="33629" spans="6:9" x14ac:dyDescent="0.3">
      <c r="F33629"/>
      <c r="G33629"/>
      <c r="H33629"/>
      <c r="I33629"/>
    </row>
    <row r="33630" spans="6:9" x14ac:dyDescent="0.3">
      <c r="F33630"/>
      <c r="G33630"/>
      <c r="H33630"/>
      <c r="I33630"/>
    </row>
    <row r="33631" spans="6:9" x14ac:dyDescent="0.3">
      <c r="F33631"/>
      <c r="G33631"/>
      <c r="H33631"/>
      <c r="I33631"/>
    </row>
    <row r="33632" spans="6:9" x14ac:dyDescent="0.3">
      <c r="F33632"/>
      <c r="G33632"/>
      <c r="H33632"/>
      <c r="I33632"/>
    </row>
    <row r="33633" spans="6:9" x14ac:dyDescent="0.3">
      <c r="F33633"/>
      <c r="G33633"/>
      <c r="H33633"/>
      <c r="I33633"/>
    </row>
    <row r="33634" spans="6:9" x14ac:dyDescent="0.3">
      <c r="F33634"/>
      <c r="G33634"/>
      <c r="H33634"/>
      <c r="I33634"/>
    </row>
    <row r="33635" spans="6:9" x14ac:dyDescent="0.3">
      <c r="F33635"/>
      <c r="G33635"/>
      <c r="H33635"/>
      <c r="I33635"/>
    </row>
    <row r="33636" spans="6:9" x14ac:dyDescent="0.3">
      <c r="F33636"/>
      <c r="G33636"/>
      <c r="H33636"/>
      <c r="I33636"/>
    </row>
    <row r="33637" spans="6:9" x14ac:dyDescent="0.3">
      <c r="F33637"/>
      <c r="G33637"/>
      <c r="H33637"/>
      <c r="I33637"/>
    </row>
    <row r="33638" spans="6:9" x14ac:dyDescent="0.3">
      <c r="F33638"/>
      <c r="G33638"/>
      <c r="H33638"/>
      <c r="I33638"/>
    </row>
    <row r="33639" spans="6:9" x14ac:dyDescent="0.3">
      <c r="F33639"/>
      <c r="G33639"/>
      <c r="H33639"/>
      <c r="I33639"/>
    </row>
    <row r="33640" spans="6:9" x14ac:dyDescent="0.3">
      <c r="F33640"/>
      <c r="G33640"/>
      <c r="H33640"/>
      <c r="I33640"/>
    </row>
    <row r="33641" spans="6:9" x14ac:dyDescent="0.3">
      <c r="F33641"/>
      <c r="G33641"/>
      <c r="H33641"/>
      <c r="I33641"/>
    </row>
    <row r="33642" spans="6:9" x14ac:dyDescent="0.3">
      <c r="F33642"/>
      <c r="G33642"/>
      <c r="H33642"/>
      <c r="I33642"/>
    </row>
    <row r="33643" spans="6:9" x14ac:dyDescent="0.3">
      <c r="F33643"/>
      <c r="G33643"/>
      <c r="H33643"/>
      <c r="I33643"/>
    </row>
    <row r="33644" spans="6:9" x14ac:dyDescent="0.3">
      <c r="F33644"/>
      <c r="G33644"/>
      <c r="H33644"/>
      <c r="I33644"/>
    </row>
    <row r="33645" spans="6:9" x14ac:dyDescent="0.3">
      <c r="F33645"/>
      <c r="G33645"/>
      <c r="H33645"/>
      <c r="I33645"/>
    </row>
    <row r="33646" spans="6:9" x14ac:dyDescent="0.3">
      <c r="F33646"/>
      <c r="G33646"/>
      <c r="H33646"/>
      <c r="I33646"/>
    </row>
    <row r="33647" spans="6:9" x14ac:dyDescent="0.3">
      <c r="F33647"/>
      <c r="G33647"/>
      <c r="H33647"/>
      <c r="I33647"/>
    </row>
    <row r="33648" spans="6:9" x14ac:dyDescent="0.3">
      <c r="F33648"/>
      <c r="G33648"/>
      <c r="H33648"/>
      <c r="I33648"/>
    </row>
    <row r="33649" spans="6:9" x14ac:dyDescent="0.3">
      <c r="F33649"/>
      <c r="G33649"/>
      <c r="H33649"/>
      <c r="I33649"/>
    </row>
    <row r="33650" spans="6:9" x14ac:dyDescent="0.3">
      <c r="F33650"/>
      <c r="G33650"/>
      <c r="H33650"/>
      <c r="I33650"/>
    </row>
    <row r="33651" spans="6:9" x14ac:dyDescent="0.3">
      <c r="F33651"/>
      <c r="G33651"/>
      <c r="H33651"/>
      <c r="I33651"/>
    </row>
    <row r="33652" spans="6:9" x14ac:dyDescent="0.3">
      <c r="F33652"/>
      <c r="G33652"/>
      <c r="H33652"/>
      <c r="I33652"/>
    </row>
    <row r="33653" spans="6:9" x14ac:dyDescent="0.3">
      <c r="F33653"/>
      <c r="G33653"/>
      <c r="H33653"/>
      <c r="I33653"/>
    </row>
    <row r="33654" spans="6:9" x14ac:dyDescent="0.3">
      <c r="F33654"/>
      <c r="G33654"/>
      <c r="H33654"/>
      <c r="I33654"/>
    </row>
    <row r="33655" spans="6:9" x14ac:dyDescent="0.3">
      <c r="F33655"/>
      <c r="G33655"/>
      <c r="H33655"/>
      <c r="I33655"/>
    </row>
    <row r="33656" spans="6:9" x14ac:dyDescent="0.3">
      <c r="F33656"/>
      <c r="G33656"/>
      <c r="H33656"/>
      <c r="I33656"/>
    </row>
    <row r="33657" spans="6:9" x14ac:dyDescent="0.3">
      <c r="F33657"/>
      <c r="G33657"/>
      <c r="H33657"/>
      <c r="I33657"/>
    </row>
    <row r="33658" spans="6:9" x14ac:dyDescent="0.3">
      <c r="F33658"/>
      <c r="G33658"/>
      <c r="H33658"/>
      <c r="I33658"/>
    </row>
    <row r="33659" spans="6:9" x14ac:dyDescent="0.3">
      <c r="F33659"/>
      <c r="G33659"/>
      <c r="H33659"/>
      <c r="I33659"/>
    </row>
    <row r="33660" spans="6:9" x14ac:dyDescent="0.3">
      <c r="F33660"/>
      <c r="G33660"/>
      <c r="H33660"/>
      <c r="I33660"/>
    </row>
    <row r="33661" spans="6:9" x14ac:dyDescent="0.3">
      <c r="F33661"/>
      <c r="G33661"/>
      <c r="H33661"/>
      <c r="I33661"/>
    </row>
    <row r="33662" spans="6:9" x14ac:dyDescent="0.3">
      <c r="F33662"/>
      <c r="G33662"/>
      <c r="H33662"/>
      <c r="I33662"/>
    </row>
    <row r="33663" spans="6:9" x14ac:dyDescent="0.3">
      <c r="F33663"/>
      <c r="G33663"/>
      <c r="H33663"/>
      <c r="I33663"/>
    </row>
    <row r="33664" spans="6:9" x14ac:dyDescent="0.3">
      <c r="F33664"/>
      <c r="G33664"/>
      <c r="H33664"/>
      <c r="I33664"/>
    </row>
    <row r="33665" spans="6:9" x14ac:dyDescent="0.3">
      <c r="F33665"/>
      <c r="G33665"/>
      <c r="H33665"/>
      <c r="I33665"/>
    </row>
    <row r="33666" spans="6:9" x14ac:dyDescent="0.3">
      <c r="F33666"/>
      <c r="G33666"/>
      <c r="H33666"/>
      <c r="I33666"/>
    </row>
    <row r="33667" spans="6:9" x14ac:dyDescent="0.3">
      <c r="F33667"/>
      <c r="G33667"/>
      <c r="H33667"/>
      <c r="I33667"/>
    </row>
    <row r="33668" spans="6:9" x14ac:dyDescent="0.3">
      <c r="F33668"/>
      <c r="G33668"/>
      <c r="H33668"/>
      <c r="I33668"/>
    </row>
    <row r="33669" spans="6:9" x14ac:dyDescent="0.3">
      <c r="F33669"/>
      <c r="G33669"/>
      <c r="H33669"/>
      <c r="I33669"/>
    </row>
    <row r="33670" spans="6:9" x14ac:dyDescent="0.3">
      <c r="F33670"/>
      <c r="G33670"/>
      <c r="H33670"/>
      <c r="I33670"/>
    </row>
    <row r="33671" spans="6:9" x14ac:dyDescent="0.3">
      <c r="F33671"/>
      <c r="G33671"/>
      <c r="H33671"/>
      <c r="I33671"/>
    </row>
    <row r="33672" spans="6:9" x14ac:dyDescent="0.3">
      <c r="F33672"/>
      <c r="G33672"/>
      <c r="H33672"/>
      <c r="I33672"/>
    </row>
    <row r="33673" spans="6:9" x14ac:dyDescent="0.3">
      <c r="F33673"/>
      <c r="G33673"/>
      <c r="H33673"/>
      <c r="I33673"/>
    </row>
    <row r="33674" spans="6:9" x14ac:dyDescent="0.3">
      <c r="F33674"/>
      <c r="G33674"/>
      <c r="H33674"/>
      <c r="I33674"/>
    </row>
    <row r="33675" spans="6:9" x14ac:dyDescent="0.3">
      <c r="F33675"/>
      <c r="G33675"/>
      <c r="H33675"/>
      <c r="I33675"/>
    </row>
    <row r="33676" spans="6:9" x14ac:dyDescent="0.3">
      <c r="F33676"/>
      <c r="G33676"/>
      <c r="H33676"/>
      <c r="I33676"/>
    </row>
    <row r="33677" spans="6:9" x14ac:dyDescent="0.3">
      <c r="F33677"/>
      <c r="G33677"/>
      <c r="H33677"/>
      <c r="I33677"/>
    </row>
    <row r="33678" spans="6:9" x14ac:dyDescent="0.3">
      <c r="F33678"/>
      <c r="G33678"/>
      <c r="H33678"/>
      <c r="I33678"/>
    </row>
    <row r="33679" spans="6:9" x14ac:dyDescent="0.3">
      <c r="F33679"/>
      <c r="G33679"/>
      <c r="H33679"/>
      <c r="I33679"/>
    </row>
    <row r="33680" spans="6:9" x14ac:dyDescent="0.3">
      <c r="F33680"/>
      <c r="G33680"/>
      <c r="H33680"/>
      <c r="I33680"/>
    </row>
    <row r="33681" spans="6:9" x14ac:dyDescent="0.3">
      <c r="F33681"/>
      <c r="G33681"/>
      <c r="H33681"/>
      <c r="I33681"/>
    </row>
    <row r="33682" spans="6:9" x14ac:dyDescent="0.3">
      <c r="F33682"/>
      <c r="G33682"/>
      <c r="H33682"/>
      <c r="I33682"/>
    </row>
    <row r="33683" spans="6:9" x14ac:dyDescent="0.3">
      <c r="F33683"/>
      <c r="G33683"/>
      <c r="H33683"/>
      <c r="I33683"/>
    </row>
    <row r="33684" spans="6:9" x14ac:dyDescent="0.3">
      <c r="F33684"/>
      <c r="G33684"/>
      <c r="H33684"/>
      <c r="I33684"/>
    </row>
    <row r="33685" spans="6:9" x14ac:dyDescent="0.3">
      <c r="F33685"/>
      <c r="G33685"/>
      <c r="H33685"/>
      <c r="I33685"/>
    </row>
    <row r="33686" spans="6:9" x14ac:dyDescent="0.3">
      <c r="F33686"/>
      <c r="G33686"/>
      <c r="H33686"/>
      <c r="I33686"/>
    </row>
    <row r="33687" spans="6:9" x14ac:dyDescent="0.3">
      <c r="F33687"/>
      <c r="G33687"/>
      <c r="H33687"/>
      <c r="I33687"/>
    </row>
    <row r="33688" spans="6:9" x14ac:dyDescent="0.3">
      <c r="F33688"/>
      <c r="G33688"/>
      <c r="H33688"/>
      <c r="I33688"/>
    </row>
    <row r="33689" spans="6:9" x14ac:dyDescent="0.3">
      <c r="F33689"/>
      <c r="G33689"/>
      <c r="H33689"/>
      <c r="I33689"/>
    </row>
    <row r="33690" spans="6:9" x14ac:dyDescent="0.3">
      <c r="F33690"/>
      <c r="G33690"/>
      <c r="H33690"/>
      <c r="I33690"/>
    </row>
    <row r="33691" spans="6:9" x14ac:dyDescent="0.3">
      <c r="F33691"/>
      <c r="G33691"/>
      <c r="H33691"/>
      <c r="I33691"/>
    </row>
    <row r="33692" spans="6:9" x14ac:dyDescent="0.3">
      <c r="F33692"/>
      <c r="G33692"/>
      <c r="H33692"/>
      <c r="I33692"/>
    </row>
    <row r="33693" spans="6:9" x14ac:dyDescent="0.3">
      <c r="F33693"/>
      <c r="G33693"/>
      <c r="H33693"/>
      <c r="I33693"/>
    </row>
    <row r="33694" spans="6:9" x14ac:dyDescent="0.3">
      <c r="F33694"/>
      <c r="G33694"/>
      <c r="H33694"/>
      <c r="I33694"/>
    </row>
    <row r="33695" spans="6:9" x14ac:dyDescent="0.3">
      <c r="F33695"/>
      <c r="G33695"/>
      <c r="H33695"/>
      <c r="I33695"/>
    </row>
    <row r="33696" spans="6:9" x14ac:dyDescent="0.3">
      <c r="F33696"/>
      <c r="G33696"/>
      <c r="H33696"/>
      <c r="I33696"/>
    </row>
    <row r="33697" spans="6:9" x14ac:dyDescent="0.3">
      <c r="F33697"/>
      <c r="G33697"/>
      <c r="H33697"/>
      <c r="I33697"/>
    </row>
    <row r="33698" spans="6:9" x14ac:dyDescent="0.3">
      <c r="F33698"/>
      <c r="G33698"/>
      <c r="H33698"/>
      <c r="I33698"/>
    </row>
    <row r="33699" spans="6:9" x14ac:dyDescent="0.3">
      <c r="F33699"/>
      <c r="G33699"/>
      <c r="H33699"/>
      <c r="I33699"/>
    </row>
    <row r="33700" spans="6:9" x14ac:dyDescent="0.3">
      <c r="F33700"/>
      <c r="G33700"/>
      <c r="H33700"/>
      <c r="I33700"/>
    </row>
    <row r="33701" spans="6:9" x14ac:dyDescent="0.3">
      <c r="F33701"/>
      <c r="G33701"/>
      <c r="H33701"/>
      <c r="I33701"/>
    </row>
    <row r="33702" spans="6:9" x14ac:dyDescent="0.3">
      <c r="F33702"/>
      <c r="G33702"/>
      <c r="H33702"/>
      <c r="I33702"/>
    </row>
    <row r="33703" spans="6:9" x14ac:dyDescent="0.3">
      <c r="F33703"/>
      <c r="G33703"/>
      <c r="H33703"/>
      <c r="I33703"/>
    </row>
    <row r="33704" spans="6:9" x14ac:dyDescent="0.3">
      <c r="F33704"/>
      <c r="G33704"/>
      <c r="H33704"/>
      <c r="I33704"/>
    </row>
    <row r="33705" spans="6:9" x14ac:dyDescent="0.3">
      <c r="F33705"/>
      <c r="G33705"/>
      <c r="H33705"/>
      <c r="I33705"/>
    </row>
    <row r="33706" spans="6:9" x14ac:dyDescent="0.3">
      <c r="F33706"/>
      <c r="G33706"/>
      <c r="H33706"/>
      <c r="I33706"/>
    </row>
    <row r="33707" spans="6:9" x14ac:dyDescent="0.3">
      <c r="F33707"/>
      <c r="G33707"/>
      <c r="H33707"/>
      <c r="I33707"/>
    </row>
    <row r="33708" spans="6:9" x14ac:dyDescent="0.3">
      <c r="F33708"/>
      <c r="G33708"/>
      <c r="H33708"/>
      <c r="I33708"/>
    </row>
    <row r="33709" spans="6:9" x14ac:dyDescent="0.3">
      <c r="F33709"/>
      <c r="G33709"/>
      <c r="H33709"/>
      <c r="I33709"/>
    </row>
    <row r="33710" spans="6:9" x14ac:dyDescent="0.3">
      <c r="F33710"/>
      <c r="G33710"/>
      <c r="H33710"/>
      <c r="I33710"/>
    </row>
    <row r="33711" spans="6:9" x14ac:dyDescent="0.3">
      <c r="F33711"/>
      <c r="G33711"/>
      <c r="H33711"/>
      <c r="I33711"/>
    </row>
    <row r="33712" spans="6:9" x14ac:dyDescent="0.3">
      <c r="F33712"/>
      <c r="G33712"/>
      <c r="H33712"/>
      <c r="I33712"/>
    </row>
    <row r="33713" spans="6:9" x14ac:dyDescent="0.3">
      <c r="F33713"/>
      <c r="G33713"/>
      <c r="H33713"/>
      <c r="I33713"/>
    </row>
    <row r="33714" spans="6:9" x14ac:dyDescent="0.3">
      <c r="F33714"/>
      <c r="G33714"/>
      <c r="H33714"/>
      <c r="I33714"/>
    </row>
    <row r="33715" spans="6:9" x14ac:dyDescent="0.3">
      <c r="F33715"/>
      <c r="G33715"/>
      <c r="H33715"/>
      <c r="I33715"/>
    </row>
    <row r="33716" spans="6:9" x14ac:dyDescent="0.3">
      <c r="F33716"/>
      <c r="G33716"/>
      <c r="H33716"/>
      <c r="I33716"/>
    </row>
    <row r="33717" spans="6:9" x14ac:dyDescent="0.3">
      <c r="F33717"/>
      <c r="G33717"/>
      <c r="H33717"/>
      <c r="I33717"/>
    </row>
    <row r="33718" spans="6:9" x14ac:dyDescent="0.3">
      <c r="F33718"/>
      <c r="G33718"/>
      <c r="H33718"/>
      <c r="I33718"/>
    </row>
    <row r="33719" spans="6:9" x14ac:dyDescent="0.3">
      <c r="F33719"/>
      <c r="G33719"/>
      <c r="H33719"/>
      <c r="I33719"/>
    </row>
    <row r="33720" spans="6:9" x14ac:dyDescent="0.3">
      <c r="F33720"/>
      <c r="G33720"/>
      <c r="H33720"/>
      <c r="I33720"/>
    </row>
    <row r="33721" spans="6:9" x14ac:dyDescent="0.3">
      <c r="F33721"/>
      <c r="G33721"/>
      <c r="H33721"/>
      <c r="I33721"/>
    </row>
    <row r="33722" spans="6:9" x14ac:dyDescent="0.3">
      <c r="F33722"/>
      <c r="G33722"/>
      <c r="H33722"/>
      <c r="I33722"/>
    </row>
    <row r="33723" spans="6:9" x14ac:dyDescent="0.3">
      <c r="F33723"/>
      <c r="G33723"/>
      <c r="H33723"/>
      <c r="I33723"/>
    </row>
    <row r="33724" spans="6:9" x14ac:dyDescent="0.3">
      <c r="F33724"/>
      <c r="G33724"/>
      <c r="H33724"/>
      <c r="I33724"/>
    </row>
    <row r="33725" spans="6:9" x14ac:dyDescent="0.3">
      <c r="F33725"/>
      <c r="G33725"/>
      <c r="H33725"/>
      <c r="I33725"/>
    </row>
    <row r="33726" spans="6:9" x14ac:dyDescent="0.3">
      <c r="F33726"/>
      <c r="G33726"/>
      <c r="H33726"/>
      <c r="I33726"/>
    </row>
    <row r="33727" spans="6:9" x14ac:dyDescent="0.3">
      <c r="F33727"/>
      <c r="G33727"/>
      <c r="H33727"/>
      <c r="I33727"/>
    </row>
    <row r="33728" spans="6:9" x14ac:dyDescent="0.3">
      <c r="F33728"/>
      <c r="G33728"/>
      <c r="H33728"/>
      <c r="I33728"/>
    </row>
    <row r="33729" spans="6:9" x14ac:dyDescent="0.3">
      <c r="F33729"/>
      <c r="G33729"/>
      <c r="H33729"/>
      <c r="I33729"/>
    </row>
    <row r="33730" spans="6:9" x14ac:dyDescent="0.3">
      <c r="F33730"/>
      <c r="G33730"/>
      <c r="H33730"/>
      <c r="I33730"/>
    </row>
    <row r="33731" spans="6:9" x14ac:dyDescent="0.3">
      <c r="F33731"/>
      <c r="G33731"/>
      <c r="H33731"/>
      <c r="I33731"/>
    </row>
    <row r="33732" spans="6:9" x14ac:dyDescent="0.3">
      <c r="F33732"/>
      <c r="G33732"/>
      <c r="H33732"/>
      <c r="I33732"/>
    </row>
    <row r="33733" spans="6:9" x14ac:dyDescent="0.3">
      <c r="F33733"/>
      <c r="G33733"/>
      <c r="H33733"/>
      <c r="I33733"/>
    </row>
    <row r="33734" spans="6:9" x14ac:dyDescent="0.3">
      <c r="F33734"/>
      <c r="G33734"/>
      <c r="H33734"/>
      <c r="I33734"/>
    </row>
    <row r="33735" spans="6:9" x14ac:dyDescent="0.3">
      <c r="F33735"/>
      <c r="G33735"/>
      <c r="H33735"/>
      <c r="I33735"/>
    </row>
    <row r="33736" spans="6:9" x14ac:dyDescent="0.3">
      <c r="F33736"/>
      <c r="G33736"/>
      <c r="H33736"/>
      <c r="I33736"/>
    </row>
    <row r="33737" spans="6:9" x14ac:dyDescent="0.3">
      <c r="F33737"/>
      <c r="G33737"/>
      <c r="H33737"/>
      <c r="I33737"/>
    </row>
    <row r="33738" spans="6:9" x14ac:dyDescent="0.3">
      <c r="F33738"/>
      <c r="G33738"/>
      <c r="H33738"/>
      <c r="I33738"/>
    </row>
    <row r="33739" spans="6:9" x14ac:dyDescent="0.3">
      <c r="F33739"/>
      <c r="G33739"/>
      <c r="H33739"/>
      <c r="I33739"/>
    </row>
    <row r="33740" spans="6:9" x14ac:dyDescent="0.3">
      <c r="F33740"/>
      <c r="G33740"/>
      <c r="H33740"/>
      <c r="I33740"/>
    </row>
    <row r="33741" spans="6:9" x14ac:dyDescent="0.3">
      <c r="F33741"/>
      <c r="G33741"/>
      <c r="H33741"/>
      <c r="I33741"/>
    </row>
    <row r="33742" spans="6:9" x14ac:dyDescent="0.3">
      <c r="F33742"/>
      <c r="G33742"/>
      <c r="H33742"/>
      <c r="I33742"/>
    </row>
    <row r="33743" spans="6:9" x14ac:dyDescent="0.3">
      <c r="F33743"/>
      <c r="G33743"/>
      <c r="H33743"/>
      <c r="I33743"/>
    </row>
    <row r="33744" spans="6:9" x14ac:dyDescent="0.3">
      <c r="F33744"/>
      <c r="G33744"/>
      <c r="H33744"/>
      <c r="I33744"/>
    </row>
    <row r="33745" spans="6:9" x14ac:dyDescent="0.3">
      <c r="F33745"/>
      <c r="G33745"/>
      <c r="H33745"/>
      <c r="I33745"/>
    </row>
    <row r="33746" spans="6:9" x14ac:dyDescent="0.3">
      <c r="F33746"/>
      <c r="G33746"/>
      <c r="H33746"/>
      <c r="I33746"/>
    </row>
    <row r="33747" spans="6:9" x14ac:dyDescent="0.3">
      <c r="F33747"/>
      <c r="G33747"/>
      <c r="H33747"/>
      <c r="I33747"/>
    </row>
    <row r="33748" spans="6:9" x14ac:dyDescent="0.3">
      <c r="F33748"/>
      <c r="G33748"/>
      <c r="H33748"/>
      <c r="I33748"/>
    </row>
    <row r="33749" spans="6:9" x14ac:dyDescent="0.3">
      <c r="F33749"/>
      <c r="G33749"/>
      <c r="H33749"/>
      <c r="I33749"/>
    </row>
    <row r="33750" spans="6:9" x14ac:dyDescent="0.3">
      <c r="F33750"/>
      <c r="G33750"/>
      <c r="H33750"/>
      <c r="I33750"/>
    </row>
    <row r="33751" spans="6:9" x14ac:dyDescent="0.3">
      <c r="F33751"/>
      <c r="G33751"/>
      <c r="H33751"/>
      <c r="I33751"/>
    </row>
    <row r="33752" spans="6:9" x14ac:dyDescent="0.3">
      <c r="F33752"/>
      <c r="G33752"/>
      <c r="H33752"/>
      <c r="I33752"/>
    </row>
    <row r="33753" spans="6:9" x14ac:dyDescent="0.3">
      <c r="F33753"/>
      <c r="G33753"/>
      <c r="H33753"/>
      <c r="I33753"/>
    </row>
    <row r="33754" spans="6:9" x14ac:dyDescent="0.3">
      <c r="F33754"/>
      <c r="G33754"/>
      <c r="H33754"/>
      <c r="I33754"/>
    </row>
    <row r="33755" spans="6:9" x14ac:dyDescent="0.3">
      <c r="F33755"/>
      <c r="G33755"/>
      <c r="H33755"/>
      <c r="I33755"/>
    </row>
    <row r="33756" spans="6:9" x14ac:dyDescent="0.3">
      <c r="F33756"/>
      <c r="G33756"/>
      <c r="H33756"/>
      <c r="I33756"/>
    </row>
    <row r="33757" spans="6:9" x14ac:dyDescent="0.3">
      <c r="F33757"/>
      <c r="G33757"/>
      <c r="H33757"/>
      <c r="I33757"/>
    </row>
    <row r="33758" spans="6:9" x14ac:dyDescent="0.3">
      <c r="F33758"/>
      <c r="G33758"/>
      <c r="H33758"/>
      <c r="I33758"/>
    </row>
    <row r="33759" spans="6:9" x14ac:dyDescent="0.3">
      <c r="F33759"/>
      <c r="G33759"/>
      <c r="H33759"/>
      <c r="I33759"/>
    </row>
    <row r="33760" spans="6:9" x14ac:dyDescent="0.3">
      <c r="F33760"/>
      <c r="G33760"/>
      <c r="H33760"/>
      <c r="I33760"/>
    </row>
    <row r="33761" spans="6:9" x14ac:dyDescent="0.3">
      <c r="F33761"/>
      <c r="G33761"/>
      <c r="H33761"/>
      <c r="I33761"/>
    </row>
    <row r="33762" spans="6:9" x14ac:dyDescent="0.3">
      <c r="F33762"/>
      <c r="G33762"/>
      <c r="H33762"/>
      <c r="I33762"/>
    </row>
    <row r="33763" spans="6:9" x14ac:dyDescent="0.3">
      <c r="F33763"/>
      <c r="G33763"/>
      <c r="H33763"/>
      <c r="I33763"/>
    </row>
    <row r="33764" spans="6:9" x14ac:dyDescent="0.3">
      <c r="F33764"/>
      <c r="G33764"/>
      <c r="H33764"/>
      <c r="I33764"/>
    </row>
    <row r="33765" spans="6:9" x14ac:dyDescent="0.3">
      <c r="F33765"/>
      <c r="G33765"/>
      <c r="H33765"/>
      <c r="I33765"/>
    </row>
    <row r="33766" spans="6:9" x14ac:dyDescent="0.3">
      <c r="F33766"/>
      <c r="G33766"/>
      <c r="H33766"/>
      <c r="I33766"/>
    </row>
    <row r="33767" spans="6:9" x14ac:dyDescent="0.3">
      <c r="F33767"/>
      <c r="G33767"/>
      <c r="H33767"/>
      <c r="I33767"/>
    </row>
    <row r="33768" spans="6:9" x14ac:dyDescent="0.3">
      <c r="F33768"/>
      <c r="G33768"/>
      <c r="H33768"/>
      <c r="I33768"/>
    </row>
    <row r="33769" spans="6:9" x14ac:dyDescent="0.3">
      <c r="F33769"/>
      <c r="G33769"/>
      <c r="H33769"/>
      <c r="I33769"/>
    </row>
    <row r="33770" spans="6:9" x14ac:dyDescent="0.3">
      <c r="F33770"/>
      <c r="G33770"/>
      <c r="H33770"/>
      <c r="I33770"/>
    </row>
    <row r="33771" spans="6:9" x14ac:dyDescent="0.3">
      <c r="F33771"/>
      <c r="G33771"/>
      <c r="H33771"/>
      <c r="I33771"/>
    </row>
    <row r="33772" spans="6:9" x14ac:dyDescent="0.3">
      <c r="F33772"/>
      <c r="G33772"/>
      <c r="H33772"/>
      <c r="I33772"/>
    </row>
    <row r="33773" spans="6:9" x14ac:dyDescent="0.3">
      <c r="F33773"/>
      <c r="G33773"/>
      <c r="H33773"/>
      <c r="I33773"/>
    </row>
    <row r="33774" spans="6:9" x14ac:dyDescent="0.3">
      <c r="F33774"/>
      <c r="G33774"/>
      <c r="H33774"/>
      <c r="I33774"/>
    </row>
    <row r="33775" spans="6:9" x14ac:dyDescent="0.3">
      <c r="F33775"/>
      <c r="G33775"/>
      <c r="H33775"/>
      <c r="I33775"/>
    </row>
    <row r="33776" spans="6:9" x14ac:dyDescent="0.3">
      <c r="F33776"/>
      <c r="G33776"/>
      <c r="H33776"/>
      <c r="I33776"/>
    </row>
    <row r="33777" spans="6:9" x14ac:dyDescent="0.3">
      <c r="F33777"/>
      <c r="G33777"/>
      <c r="H33777"/>
      <c r="I33777"/>
    </row>
    <row r="33778" spans="6:9" x14ac:dyDescent="0.3">
      <c r="F33778"/>
      <c r="G33778"/>
      <c r="H33778"/>
      <c r="I33778"/>
    </row>
    <row r="33779" spans="6:9" x14ac:dyDescent="0.3">
      <c r="F33779"/>
      <c r="G33779"/>
      <c r="H33779"/>
      <c r="I33779"/>
    </row>
    <row r="33780" spans="6:9" x14ac:dyDescent="0.3">
      <c r="F33780"/>
      <c r="G33780"/>
      <c r="H33780"/>
      <c r="I33780"/>
    </row>
    <row r="33781" spans="6:9" x14ac:dyDescent="0.3">
      <c r="F33781"/>
      <c r="G33781"/>
      <c r="H33781"/>
      <c r="I33781"/>
    </row>
    <row r="33782" spans="6:9" x14ac:dyDescent="0.3">
      <c r="F33782"/>
      <c r="G33782"/>
      <c r="H33782"/>
      <c r="I33782"/>
    </row>
    <row r="33783" spans="6:9" x14ac:dyDescent="0.3">
      <c r="F33783"/>
      <c r="G33783"/>
      <c r="H33783"/>
      <c r="I33783"/>
    </row>
    <row r="33784" spans="6:9" x14ac:dyDescent="0.3">
      <c r="F33784"/>
      <c r="G33784"/>
      <c r="H33784"/>
      <c r="I33784"/>
    </row>
    <row r="33785" spans="6:9" x14ac:dyDescent="0.3">
      <c r="F33785"/>
      <c r="G33785"/>
      <c r="H33785"/>
      <c r="I33785"/>
    </row>
    <row r="33786" spans="6:9" x14ac:dyDescent="0.3">
      <c r="F33786"/>
      <c r="G33786"/>
      <c r="H33786"/>
      <c r="I33786"/>
    </row>
    <row r="33787" spans="6:9" x14ac:dyDescent="0.3">
      <c r="F33787"/>
      <c r="G33787"/>
      <c r="H33787"/>
      <c r="I33787"/>
    </row>
    <row r="33788" spans="6:9" x14ac:dyDescent="0.3">
      <c r="F33788"/>
      <c r="G33788"/>
      <c r="H33788"/>
      <c r="I33788"/>
    </row>
    <row r="33789" spans="6:9" x14ac:dyDescent="0.3">
      <c r="F33789"/>
      <c r="G33789"/>
      <c r="H33789"/>
      <c r="I33789"/>
    </row>
    <row r="33790" spans="6:9" x14ac:dyDescent="0.3">
      <c r="F33790"/>
      <c r="G33790"/>
      <c r="H33790"/>
      <c r="I33790"/>
    </row>
    <row r="33791" spans="6:9" x14ac:dyDescent="0.3">
      <c r="F33791"/>
      <c r="G33791"/>
      <c r="H33791"/>
      <c r="I33791"/>
    </row>
    <row r="33792" spans="6:9" x14ac:dyDescent="0.3">
      <c r="F33792"/>
      <c r="G33792"/>
      <c r="H33792"/>
      <c r="I33792"/>
    </row>
    <row r="33793" spans="6:9" x14ac:dyDescent="0.3">
      <c r="F33793"/>
      <c r="G33793"/>
      <c r="H33793"/>
      <c r="I33793"/>
    </row>
    <row r="33794" spans="6:9" x14ac:dyDescent="0.3">
      <c r="F33794"/>
      <c r="G33794"/>
      <c r="H33794"/>
      <c r="I33794"/>
    </row>
    <row r="33795" spans="6:9" x14ac:dyDescent="0.3">
      <c r="F33795"/>
      <c r="G33795"/>
      <c r="H33795"/>
      <c r="I33795"/>
    </row>
    <row r="33796" spans="6:9" x14ac:dyDescent="0.3">
      <c r="F33796"/>
      <c r="G33796"/>
      <c r="H33796"/>
      <c r="I33796"/>
    </row>
    <row r="33797" spans="6:9" x14ac:dyDescent="0.3">
      <c r="F33797"/>
      <c r="G33797"/>
      <c r="H33797"/>
      <c r="I33797"/>
    </row>
    <row r="33798" spans="6:9" x14ac:dyDescent="0.3">
      <c r="F33798"/>
      <c r="G33798"/>
      <c r="H33798"/>
      <c r="I33798"/>
    </row>
    <row r="33799" spans="6:9" x14ac:dyDescent="0.3">
      <c r="F33799"/>
      <c r="G33799"/>
      <c r="H33799"/>
      <c r="I33799"/>
    </row>
    <row r="33800" spans="6:9" x14ac:dyDescent="0.3">
      <c r="F33800"/>
      <c r="G33800"/>
      <c r="H33800"/>
      <c r="I33800"/>
    </row>
    <row r="33801" spans="6:9" x14ac:dyDescent="0.3">
      <c r="F33801"/>
      <c r="G33801"/>
      <c r="H33801"/>
      <c r="I33801"/>
    </row>
    <row r="33802" spans="6:9" x14ac:dyDescent="0.3">
      <c r="F33802"/>
      <c r="G33802"/>
      <c r="H33802"/>
      <c r="I33802"/>
    </row>
    <row r="33803" spans="6:9" x14ac:dyDescent="0.3">
      <c r="F33803"/>
      <c r="G33803"/>
      <c r="H33803"/>
      <c r="I33803"/>
    </row>
    <row r="33804" spans="6:9" x14ac:dyDescent="0.3">
      <c r="F33804"/>
      <c r="G33804"/>
      <c r="H33804"/>
      <c r="I33804"/>
    </row>
    <row r="33805" spans="6:9" x14ac:dyDescent="0.3">
      <c r="F33805"/>
      <c r="G33805"/>
      <c r="H33805"/>
      <c r="I33805"/>
    </row>
    <row r="33806" spans="6:9" x14ac:dyDescent="0.3">
      <c r="F33806"/>
      <c r="G33806"/>
      <c r="H33806"/>
      <c r="I33806"/>
    </row>
    <row r="33807" spans="6:9" x14ac:dyDescent="0.3">
      <c r="F33807"/>
      <c r="G33807"/>
      <c r="H33807"/>
      <c r="I33807"/>
    </row>
    <row r="33808" spans="6:9" x14ac:dyDescent="0.3">
      <c r="F33808"/>
      <c r="G33808"/>
      <c r="H33808"/>
      <c r="I33808"/>
    </row>
    <row r="33809" spans="6:9" x14ac:dyDescent="0.3">
      <c r="F33809"/>
      <c r="G33809"/>
      <c r="H33809"/>
      <c r="I33809"/>
    </row>
    <row r="33810" spans="6:9" x14ac:dyDescent="0.3">
      <c r="F33810"/>
      <c r="G33810"/>
      <c r="H33810"/>
      <c r="I33810"/>
    </row>
    <row r="33811" spans="6:9" x14ac:dyDescent="0.3">
      <c r="F33811"/>
      <c r="G33811"/>
      <c r="H33811"/>
      <c r="I33811"/>
    </row>
    <row r="33812" spans="6:9" x14ac:dyDescent="0.3">
      <c r="F33812"/>
      <c r="G33812"/>
      <c r="H33812"/>
      <c r="I33812"/>
    </row>
    <row r="33813" spans="6:9" x14ac:dyDescent="0.3">
      <c r="F33813"/>
      <c r="G33813"/>
      <c r="H33813"/>
      <c r="I33813"/>
    </row>
    <row r="33814" spans="6:9" x14ac:dyDescent="0.3">
      <c r="F33814"/>
      <c r="G33814"/>
      <c r="H33814"/>
      <c r="I33814"/>
    </row>
    <row r="33815" spans="6:9" x14ac:dyDescent="0.3">
      <c r="F33815"/>
      <c r="G33815"/>
      <c r="H33815"/>
      <c r="I33815"/>
    </row>
    <row r="33816" spans="6:9" x14ac:dyDescent="0.3">
      <c r="F33816"/>
      <c r="G33816"/>
      <c r="H33816"/>
      <c r="I33816"/>
    </row>
    <row r="33817" spans="6:9" x14ac:dyDescent="0.3">
      <c r="F33817"/>
      <c r="G33817"/>
      <c r="H33817"/>
      <c r="I33817"/>
    </row>
    <row r="33818" spans="6:9" x14ac:dyDescent="0.3">
      <c r="F33818"/>
      <c r="G33818"/>
      <c r="H33818"/>
      <c r="I33818"/>
    </row>
    <row r="33819" spans="6:9" x14ac:dyDescent="0.3">
      <c r="F33819"/>
      <c r="G33819"/>
      <c r="H33819"/>
      <c r="I33819"/>
    </row>
    <row r="33820" spans="6:9" x14ac:dyDescent="0.3">
      <c r="F33820"/>
      <c r="G33820"/>
      <c r="H33820"/>
      <c r="I33820"/>
    </row>
    <row r="33821" spans="6:9" x14ac:dyDescent="0.3">
      <c r="F33821"/>
      <c r="G33821"/>
      <c r="H33821"/>
      <c r="I33821"/>
    </row>
    <row r="33822" spans="6:9" x14ac:dyDescent="0.3">
      <c r="F33822"/>
      <c r="G33822"/>
      <c r="H33822"/>
      <c r="I33822"/>
    </row>
    <row r="33823" spans="6:9" x14ac:dyDescent="0.3">
      <c r="F33823"/>
      <c r="G33823"/>
      <c r="H33823"/>
      <c r="I33823"/>
    </row>
    <row r="33824" spans="6:9" x14ac:dyDescent="0.3">
      <c r="F33824"/>
      <c r="G33824"/>
      <c r="H33824"/>
      <c r="I33824"/>
    </row>
    <row r="33825" spans="6:9" x14ac:dyDescent="0.3">
      <c r="F33825"/>
      <c r="G33825"/>
      <c r="H33825"/>
      <c r="I33825"/>
    </row>
    <row r="33826" spans="6:9" x14ac:dyDescent="0.3">
      <c r="F33826"/>
      <c r="G33826"/>
      <c r="H33826"/>
      <c r="I33826"/>
    </row>
    <row r="33827" spans="6:9" x14ac:dyDescent="0.3">
      <c r="F33827"/>
      <c r="G33827"/>
      <c r="H33827"/>
      <c r="I33827"/>
    </row>
    <row r="33828" spans="6:9" x14ac:dyDescent="0.3">
      <c r="F33828"/>
      <c r="G33828"/>
      <c r="H33828"/>
      <c r="I33828"/>
    </row>
    <row r="33829" spans="6:9" x14ac:dyDescent="0.3">
      <c r="F33829"/>
      <c r="G33829"/>
      <c r="H33829"/>
      <c r="I33829"/>
    </row>
    <row r="33830" spans="6:9" x14ac:dyDescent="0.3">
      <c r="F33830"/>
      <c r="G33830"/>
      <c r="H33830"/>
      <c r="I33830"/>
    </row>
    <row r="33831" spans="6:9" x14ac:dyDescent="0.3">
      <c r="F33831"/>
      <c r="G33831"/>
      <c r="H33831"/>
      <c r="I33831"/>
    </row>
    <row r="33832" spans="6:9" x14ac:dyDescent="0.3">
      <c r="F33832"/>
      <c r="G33832"/>
      <c r="H33832"/>
      <c r="I33832"/>
    </row>
    <row r="33833" spans="6:9" x14ac:dyDescent="0.3">
      <c r="F33833"/>
      <c r="G33833"/>
      <c r="H33833"/>
      <c r="I33833"/>
    </row>
    <row r="33834" spans="6:9" x14ac:dyDescent="0.3">
      <c r="F33834"/>
      <c r="G33834"/>
      <c r="H33834"/>
      <c r="I33834"/>
    </row>
    <row r="33835" spans="6:9" x14ac:dyDescent="0.3">
      <c r="F33835"/>
      <c r="G33835"/>
      <c r="H33835"/>
      <c r="I33835"/>
    </row>
    <row r="33836" spans="6:9" x14ac:dyDescent="0.3">
      <c r="F33836"/>
      <c r="G33836"/>
      <c r="H33836"/>
      <c r="I33836"/>
    </row>
    <row r="33837" spans="6:9" x14ac:dyDescent="0.3">
      <c r="F33837"/>
      <c r="G33837"/>
      <c r="H33837"/>
      <c r="I33837"/>
    </row>
    <row r="33838" spans="6:9" x14ac:dyDescent="0.3">
      <c r="F33838"/>
      <c r="G33838"/>
      <c r="H33838"/>
      <c r="I33838"/>
    </row>
    <row r="33839" spans="6:9" x14ac:dyDescent="0.3">
      <c r="F33839"/>
      <c r="G33839"/>
      <c r="H33839"/>
      <c r="I33839"/>
    </row>
    <row r="33840" spans="6:9" x14ac:dyDescent="0.3">
      <c r="F33840"/>
      <c r="G33840"/>
      <c r="H33840"/>
      <c r="I33840"/>
    </row>
    <row r="33841" spans="6:9" x14ac:dyDescent="0.3">
      <c r="F33841"/>
      <c r="G33841"/>
      <c r="H33841"/>
      <c r="I33841"/>
    </row>
    <row r="33842" spans="6:9" x14ac:dyDescent="0.3">
      <c r="F33842"/>
      <c r="G33842"/>
      <c r="H33842"/>
      <c r="I33842"/>
    </row>
    <row r="33843" spans="6:9" x14ac:dyDescent="0.3">
      <c r="F33843"/>
      <c r="G33843"/>
      <c r="H33843"/>
      <c r="I33843"/>
    </row>
    <row r="33844" spans="6:9" x14ac:dyDescent="0.3">
      <c r="F33844"/>
      <c r="G33844"/>
      <c r="H33844"/>
      <c r="I33844"/>
    </row>
    <row r="33845" spans="6:9" x14ac:dyDescent="0.3">
      <c r="F33845"/>
      <c r="G33845"/>
      <c r="H33845"/>
      <c r="I33845"/>
    </row>
    <row r="33846" spans="6:9" x14ac:dyDescent="0.3">
      <c r="F33846"/>
      <c r="G33846"/>
      <c r="H33846"/>
      <c r="I33846"/>
    </row>
    <row r="33847" spans="6:9" x14ac:dyDescent="0.3">
      <c r="F33847"/>
      <c r="G33847"/>
      <c r="H33847"/>
      <c r="I33847"/>
    </row>
    <row r="33848" spans="6:9" x14ac:dyDescent="0.3">
      <c r="F33848"/>
      <c r="G33848"/>
      <c r="H33848"/>
      <c r="I33848"/>
    </row>
    <row r="33849" spans="6:9" x14ac:dyDescent="0.3">
      <c r="F33849"/>
      <c r="G33849"/>
      <c r="H33849"/>
      <c r="I33849"/>
    </row>
    <row r="33850" spans="6:9" x14ac:dyDescent="0.3">
      <c r="F33850"/>
      <c r="G33850"/>
      <c r="H33850"/>
      <c r="I33850"/>
    </row>
    <row r="33851" spans="6:9" x14ac:dyDescent="0.3">
      <c r="F33851"/>
      <c r="G33851"/>
      <c r="H33851"/>
      <c r="I33851"/>
    </row>
    <row r="33852" spans="6:9" x14ac:dyDescent="0.3">
      <c r="F33852"/>
      <c r="G33852"/>
      <c r="H33852"/>
      <c r="I33852"/>
    </row>
    <row r="33853" spans="6:9" x14ac:dyDescent="0.3">
      <c r="F33853"/>
      <c r="G33853"/>
      <c r="H33853"/>
      <c r="I33853"/>
    </row>
    <row r="33854" spans="6:9" x14ac:dyDescent="0.3">
      <c r="F33854"/>
      <c r="G33854"/>
      <c r="H33854"/>
      <c r="I33854"/>
    </row>
    <row r="33855" spans="6:9" x14ac:dyDescent="0.3">
      <c r="F33855"/>
      <c r="G33855"/>
      <c r="H33855"/>
      <c r="I33855"/>
    </row>
    <row r="33856" spans="6:9" x14ac:dyDescent="0.3">
      <c r="F33856"/>
      <c r="G33856"/>
      <c r="H33856"/>
      <c r="I33856"/>
    </row>
    <row r="33857" spans="6:9" x14ac:dyDescent="0.3">
      <c r="F33857"/>
      <c r="G33857"/>
      <c r="H33857"/>
      <c r="I33857"/>
    </row>
    <row r="33858" spans="6:9" x14ac:dyDescent="0.3">
      <c r="F33858"/>
      <c r="G33858"/>
      <c r="H33858"/>
      <c r="I33858"/>
    </row>
    <row r="33859" spans="6:9" x14ac:dyDescent="0.3">
      <c r="F33859"/>
      <c r="G33859"/>
      <c r="H33859"/>
      <c r="I33859"/>
    </row>
    <row r="33860" spans="6:9" x14ac:dyDescent="0.3">
      <c r="F33860"/>
      <c r="G33860"/>
      <c r="H33860"/>
      <c r="I33860"/>
    </row>
    <row r="33861" spans="6:9" x14ac:dyDescent="0.3">
      <c r="F33861"/>
      <c r="G33861"/>
      <c r="H33861"/>
      <c r="I33861"/>
    </row>
    <row r="33862" spans="6:9" x14ac:dyDescent="0.3">
      <c r="F33862"/>
      <c r="G33862"/>
      <c r="H33862"/>
      <c r="I33862"/>
    </row>
    <row r="33863" spans="6:9" x14ac:dyDescent="0.3">
      <c r="F33863"/>
      <c r="G33863"/>
      <c r="H33863"/>
      <c r="I33863"/>
    </row>
    <row r="33864" spans="6:9" x14ac:dyDescent="0.3">
      <c r="F33864"/>
      <c r="G33864"/>
      <c r="H33864"/>
      <c r="I33864"/>
    </row>
    <row r="33865" spans="6:9" x14ac:dyDescent="0.3">
      <c r="F33865"/>
      <c r="G33865"/>
      <c r="H33865"/>
      <c r="I33865"/>
    </row>
    <row r="33866" spans="6:9" x14ac:dyDescent="0.3">
      <c r="F33866"/>
      <c r="G33866"/>
      <c r="H33866"/>
      <c r="I33866"/>
    </row>
    <row r="33867" spans="6:9" x14ac:dyDescent="0.3">
      <c r="F33867"/>
      <c r="G33867"/>
      <c r="H33867"/>
      <c r="I33867"/>
    </row>
    <row r="33868" spans="6:9" x14ac:dyDescent="0.3">
      <c r="F33868"/>
      <c r="G33868"/>
      <c r="H33868"/>
      <c r="I33868"/>
    </row>
    <row r="33869" spans="6:9" x14ac:dyDescent="0.3">
      <c r="F33869"/>
      <c r="G33869"/>
      <c r="H33869"/>
      <c r="I33869"/>
    </row>
    <row r="33870" spans="6:9" x14ac:dyDescent="0.3">
      <c r="F33870"/>
      <c r="G33870"/>
      <c r="H33870"/>
      <c r="I33870"/>
    </row>
    <row r="33871" spans="6:9" x14ac:dyDescent="0.3">
      <c r="F33871"/>
      <c r="G33871"/>
      <c r="H33871"/>
      <c r="I33871"/>
    </row>
    <row r="33872" spans="6:9" x14ac:dyDescent="0.3">
      <c r="F33872"/>
      <c r="G33872"/>
      <c r="H33872"/>
      <c r="I33872"/>
    </row>
    <row r="33873" spans="6:9" x14ac:dyDescent="0.3">
      <c r="F33873"/>
      <c r="G33873"/>
      <c r="H33873"/>
      <c r="I33873"/>
    </row>
    <row r="33874" spans="6:9" x14ac:dyDescent="0.3">
      <c r="F33874"/>
      <c r="G33874"/>
      <c r="H33874"/>
      <c r="I33874"/>
    </row>
    <row r="33875" spans="6:9" x14ac:dyDescent="0.3">
      <c r="F33875"/>
      <c r="G33875"/>
      <c r="H33875"/>
      <c r="I33875"/>
    </row>
    <row r="33876" spans="6:9" x14ac:dyDescent="0.3">
      <c r="F33876"/>
      <c r="G33876"/>
      <c r="H33876"/>
      <c r="I33876"/>
    </row>
    <row r="33877" spans="6:9" x14ac:dyDescent="0.3">
      <c r="F33877"/>
      <c r="G33877"/>
      <c r="H33877"/>
      <c r="I33877"/>
    </row>
    <row r="33878" spans="6:9" x14ac:dyDescent="0.3">
      <c r="F33878"/>
      <c r="G33878"/>
      <c r="H33878"/>
      <c r="I33878"/>
    </row>
    <row r="33879" spans="6:9" x14ac:dyDescent="0.3">
      <c r="F33879"/>
      <c r="G33879"/>
      <c r="H33879"/>
      <c r="I33879"/>
    </row>
    <row r="33880" spans="6:9" x14ac:dyDescent="0.3">
      <c r="F33880"/>
      <c r="G33880"/>
      <c r="H33880"/>
      <c r="I33880"/>
    </row>
    <row r="33881" spans="6:9" x14ac:dyDescent="0.3">
      <c r="F33881"/>
      <c r="G33881"/>
      <c r="H33881"/>
      <c r="I33881"/>
    </row>
    <row r="33882" spans="6:9" x14ac:dyDescent="0.3">
      <c r="F33882"/>
      <c r="G33882"/>
      <c r="H33882"/>
      <c r="I33882"/>
    </row>
    <row r="33883" spans="6:9" x14ac:dyDescent="0.3">
      <c r="F33883"/>
      <c r="G33883"/>
      <c r="H33883"/>
      <c r="I33883"/>
    </row>
    <row r="33884" spans="6:9" x14ac:dyDescent="0.3">
      <c r="F33884"/>
      <c r="G33884"/>
      <c r="H33884"/>
      <c r="I33884"/>
    </row>
    <row r="33885" spans="6:9" x14ac:dyDescent="0.3">
      <c r="F33885"/>
      <c r="G33885"/>
      <c r="H33885"/>
      <c r="I33885"/>
    </row>
    <row r="33886" spans="6:9" x14ac:dyDescent="0.3">
      <c r="F33886"/>
      <c r="G33886"/>
      <c r="H33886"/>
      <c r="I33886"/>
    </row>
    <row r="33887" spans="6:9" x14ac:dyDescent="0.3">
      <c r="F33887"/>
      <c r="G33887"/>
      <c r="H33887"/>
      <c r="I33887"/>
    </row>
    <row r="33888" spans="6:9" x14ac:dyDescent="0.3">
      <c r="F33888"/>
      <c r="G33888"/>
      <c r="H33888"/>
      <c r="I33888"/>
    </row>
    <row r="33889" spans="6:9" x14ac:dyDescent="0.3">
      <c r="F33889"/>
      <c r="G33889"/>
      <c r="H33889"/>
      <c r="I33889"/>
    </row>
    <row r="33890" spans="6:9" x14ac:dyDescent="0.3">
      <c r="F33890"/>
      <c r="G33890"/>
      <c r="H33890"/>
      <c r="I33890"/>
    </row>
    <row r="33891" spans="6:9" x14ac:dyDescent="0.3">
      <c r="F33891"/>
      <c r="G33891"/>
      <c r="H33891"/>
      <c r="I33891"/>
    </row>
    <row r="33892" spans="6:9" x14ac:dyDescent="0.3">
      <c r="F33892"/>
      <c r="G33892"/>
      <c r="H33892"/>
      <c r="I33892"/>
    </row>
    <row r="33893" spans="6:9" x14ac:dyDescent="0.3">
      <c r="F33893"/>
      <c r="G33893"/>
      <c r="H33893"/>
      <c r="I33893"/>
    </row>
    <row r="33894" spans="6:9" x14ac:dyDescent="0.3">
      <c r="F33894"/>
      <c r="G33894"/>
      <c r="H33894"/>
      <c r="I33894"/>
    </row>
    <row r="33895" spans="6:9" x14ac:dyDescent="0.3">
      <c r="F33895"/>
      <c r="G33895"/>
      <c r="H33895"/>
      <c r="I33895"/>
    </row>
    <row r="33896" spans="6:9" x14ac:dyDescent="0.3">
      <c r="F33896"/>
      <c r="G33896"/>
      <c r="H33896"/>
      <c r="I33896"/>
    </row>
    <row r="33897" spans="6:9" x14ac:dyDescent="0.3">
      <c r="F33897"/>
      <c r="G33897"/>
      <c r="H33897"/>
      <c r="I33897"/>
    </row>
    <row r="33898" spans="6:9" x14ac:dyDescent="0.3">
      <c r="F33898"/>
      <c r="G33898"/>
      <c r="H33898"/>
      <c r="I33898"/>
    </row>
    <row r="33899" spans="6:9" x14ac:dyDescent="0.3">
      <c r="F33899"/>
      <c r="G33899"/>
      <c r="H33899"/>
      <c r="I33899"/>
    </row>
    <row r="33900" spans="6:9" x14ac:dyDescent="0.3">
      <c r="F33900"/>
      <c r="G33900"/>
      <c r="H33900"/>
      <c r="I33900"/>
    </row>
    <row r="33901" spans="6:9" x14ac:dyDescent="0.3">
      <c r="F33901"/>
      <c r="G33901"/>
      <c r="H33901"/>
      <c r="I33901"/>
    </row>
    <row r="33902" spans="6:9" x14ac:dyDescent="0.3">
      <c r="F33902"/>
      <c r="G33902"/>
      <c r="H33902"/>
      <c r="I33902"/>
    </row>
    <row r="33903" spans="6:9" x14ac:dyDescent="0.3">
      <c r="F33903"/>
      <c r="G33903"/>
      <c r="H33903"/>
      <c r="I33903"/>
    </row>
    <row r="33904" spans="6:9" x14ac:dyDescent="0.3">
      <c r="F33904"/>
      <c r="G33904"/>
      <c r="H33904"/>
      <c r="I33904"/>
    </row>
    <row r="33905" spans="6:9" x14ac:dyDescent="0.3">
      <c r="F33905"/>
      <c r="G33905"/>
      <c r="H33905"/>
      <c r="I33905"/>
    </row>
    <row r="33906" spans="6:9" x14ac:dyDescent="0.3">
      <c r="F33906"/>
      <c r="G33906"/>
      <c r="H33906"/>
      <c r="I33906"/>
    </row>
    <row r="33907" spans="6:9" x14ac:dyDescent="0.3">
      <c r="F33907"/>
      <c r="G33907"/>
      <c r="H33907"/>
      <c r="I33907"/>
    </row>
    <row r="33908" spans="6:9" x14ac:dyDescent="0.3">
      <c r="F33908"/>
      <c r="G33908"/>
      <c r="H33908"/>
      <c r="I33908"/>
    </row>
    <row r="33909" spans="6:9" x14ac:dyDescent="0.3">
      <c r="F33909"/>
      <c r="G33909"/>
      <c r="H33909"/>
      <c r="I33909"/>
    </row>
    <row r="33910" spans="6:9" x14ac:dyDescent="0.3">
      <c r="F33910"/>
      <c r="G33910"/>
      <c r="H33910"/>
      <c r="I33910"/>
    </row>
    <row r="33911" spans="6:9" x14ac:dyDescent="0.3">
      <c r="F33911"/>
      <c r="G33911"/>
      <c r="H33911"/>
      <c r="I33911"/>
    </row>
    <row r="33912" spans="6:9" x14ac:dyDescent="0.3">
      <c r="F33912"/>
      <c r="G33912"/>
      <c r="H33912"/>
      <c r="I33912"/>
    </row>
    <row r="33913" spans="6:9" x14ac:dyDescent="0.3">
      <c r="F33913"/>
      <c r="G33913"/>
      <c r="H33913"/>
      <c r="I33913"/>
    </row>
    <row r="33914" spans="6:9" x14ac:dyDescent="0.3">
      <c r="F33914"/>
      <c r="G33914"/>
      <c r="H33914"/>
      <c r="I33914"/>
    </row>
    <row r="33915" spans="6:9" x14ac:dyDescent="0.3">
      <c r="F33915"/>
      <c r="G33915"/>
      <c r="H33915"/>
      <c r="I33915"/>
    </row>
    <row r="33916" spans="6:9" x14ac:dyDescent="0.3">
      <c r="F33916"/>
      <c r="G33916"/>
      <c r="H33916"/>
      <c r="I33916"/>
    </row>
    <row r="33917" spans="6:9" x14ac:dyDescent="0.3">
      <c r="F33917"/>
      <c r="G33917"/>
      <c r="H33917"/>
      <c r="I33917"/>
    </row>
    <row r="33918" spans="6:9" x14ac:dyDescent="0.3">
      <c r="F33918"/>
      <c r="G33918"/>
      <c r="H33918"/>
      <c r="I33918"/>
    </row>
    <row r="33919" spans="6:9" x14ac:dyDescent="0.3">
      <c r="F33919"/>
      <c r="G33919"/>
      <c r="H33919"/>
      <c r="I33919"/>
    </row>
    <row r="33920" spans="6:9" x14ac:dyDescent="0.3">
      <c r="F33920"/>
      <c r="G33920"/>
      <c r="H33920"/>
      <c r="I33920"/>
    </row>
    <row r="33921" spans="6:9" x14ac:dyDescent="0.3">
      <c r="F33921"/>
      <c r="G33921"/>
      <c r="H33921"/>
      <c r="I33921"/>
    </row>
    <row r="33922" spans="6:9" x14ac:dyDescent="0.3">
      <c r="F33922"/>
      <c r="G33922"/>
      <c r="H33922"/>
      <c r="I33922"/>
    </row>
    <row r="33923" spans="6:9" x14ac:dyDescent="0.3">
      <c r="F33923"/>
      <c r="G33923"/>
      <c r="H33923"/>
      <c r="I33923"/>
    </row>
    <row r="33924" spans="6:9" x14ac:dyDescent="0.3">
      <c r="F33924"/>
      <c r="G33924"/>
      <c r="H33924"/>
      <c r="I33924"/>
    </row>
    <row r="33925" spans="6:9" x14ac:dyDescent="0.3">
      <c r="F33925"/>
      <c r="G33925"/>
      <c r="H33925"/>
      <c r="I33925"/>
    </row>
    <row r="33926" spans="6:9" x14ac:dyDescent="0.3">
      <c r="F33926"/>
      <c r="G33926"/>
      <c r="H33926"/>
      <c r="I33926"/>
    </row>
    <row r="33927" spans="6:9" x14ac:dyDescent="0.3">
      <c r="F33927"/>
      <c r="G33927"/>
      <c r="H33927"/>
      <c r="I33927"/>
    </row>
    <row r="33928" spans="6:9" x14ac:dyDescent="0.3">
      <c r="F33928"/>
      <c r="G33928"/>
      <c r="H33928"/>
      <c r="I33928"/>
    </row>
    <row r="33929" spans="6:9" x14ac:dyDescent="0.3">
      <c r="F33929"/>
      <c r="G33929"/>
      <c r="H33929"/>
      <c r="I33929"/>
    </row>
    <row r="33930" spans="6:9" x14ac:dyDescent="0.3">
      <c r="F33930"/>
      <c r="G33930"/>
      <c r="H33930"/>
      <c r="I33930"/>
    </row>
    <row r="33931" spans="6:9" x14ac:dyDescent="0.3">
      <c r="F33931"/>
      <c r="G33931"/>
      <c r="H33931"/>
      <c r="I33931"/>
    </row>
    <row r="33932" spans="6:9" x14ac:dyDescent="0.3">
      <c r="F33932"/>
      <c r="G33932"/>
      <c r="H33932"/>
      <c r="I33932"/>
    </row>
    <row r="33933" spans="6:9" x14ac:dyDescent="0.3">
      <c r="F33933"/>
      <c r="G33933"/>
      <c r="H33933"/>
      <c r="I33933"/>
    </row>
    <row r="33934" spans="6:9" x14ac:dyDescent="0.3">
      <c r="F33934"/>
      <c r="G33934"/>
      <c r="H33934"/>
      <c r="I33934"/>
    </row>
    <row r="33935" spans="6:9" x14ac:dyDescent="0.3">
      <c r="F33935"/>
      <c r="G33935"/>
      <c r="H33935"/>
      <c r="I33935"/>
    </row>
    <row r="33936" spans="6:9" x14ac:dyDescent="0.3">
      <c r="F33936"/>
      <c r="G33936"/>
      <c r="H33936"/>
      <c r="I33936"/>
    </row>
    <row r="33937" spans="6:9" x14ac:dyDescent="0.3">
      <c r="F33937"/>
      <c r="G33937"/>
      <c r="H33937"/>
      <c r="I33937"/>
    </row>
    <row r="33938" spans="6:9" x14ac:dyDescent="0.3">
      <c r="F33938"/>
      <c r="G33938"/>
      <c r="H33938"/>
      <c r="I33938"/>
    </row>
    <row r="33939" spans="6:9" x14ac:dyDescent="0.3">
      <c r="F33939"/>
      <c r="G33939"/>
      <c r="H33939"/>
      <c r="I33939"/>
    </row>
    <row r="33940" spans="6:9" x14ac:dyDescent="0.3">
      <c r="F33940"/>
      <c r="G33940"/>
      <c r="H33940"/>
      <c r="I33940"/>
    </row>
    <row r="33941" spans="6:9" x14ac:dyDescent="0.3">
      <c r="F33941"/>
      <c r="G33941"/>
      <c r="H33941"/>
      <c r="I33941"/>
    </row>
    <row r="33942" spans="6:9" x14ac:dyDescent="0.3">
      <c r="F33942"/>
      <c r="G33942"/>
      <c r="H33942"/>
      <c r="I33942"/>
    </row>
    <row r="33943" spans="6:9" x14ac:dyDescent="0.3">
      <c r="F33943"/>
      <c r="G33943"/>
      <c r="H33943"/>
      <c r="I33943"/>
    </row>
    <row r="33944" spans="6:9" x14ac:dyDescent="0.3">
      <c r="F33944"/>
      <c r="G33944"/>
      <c r="H33944"/>
      <c r="I33944"/>
    </row>
    <row r="33945" spans="6:9" x14ac:dyDescent="0.3">
      <c r="F33945"/>
      <c r="G33945"/>
      <c r="H33945"/>
      <c r="I33945"/>
    </row>
    <row r="33946" spans="6:9" x14ac:dyDescent="0.3">
      <c r="F33946"/>
      <c r="G33946"/>
      <c r="H33946"/>
      <c r="I33946"/>
    </row>
    <row r="33947" spans="6:9" x14ac:dyDescent="0.3">
      <c r="F33947"/>
      <c r="G33947"/>
      <c r="H33947"/>
      <c r="I33947"/>
    </row>
    <row r="33948" spans="6:9" x14ac:dyDescent="0.3">
      <c r="F33948"/>
      <c r="G33948"/>
      <c r="H33948"/>
      <c r="I33948"/>
    </row>
    <row r="33949" spans="6:9" x14ac:dyDescent="0.3">
      <c r="F33949"/>
      <c r="G33949"/>
      <c r="H33949"/>
      <c r="I33949"/>
    </row>
    <row r="33950" spans="6:9" x14ac:dyDescent="0.3">
      <c r="F33950"/>
      <c r="G33950"/>
      <c r="H33950"/>
      <c r="I33950"/>
    </row>
    <row r="33951" spans="6:9" x14ac:dyDescent="0.3">
      <c r="F33951"/>
      <c r="G33951"/>
      <c r="H33951"/>
      <c r="I33951"/>
    </row>
    <row r="33952" spans="6:9" x14ac:dyDescent="0.3">
      <c r="F33952"/>
      <c r="G33952"/>
      <c r="H33952"/>
      <c r="I33952"/>
    </row>
    <row r="33953" spans="6:9" x14ac:dyDescent="0.3">
      <c r="F33953"/>
      <c r="G33953"/>
      <c r="H33953"/>
      <c r="I33953"/>
    </row>
    <row r="33954" spans="6:9" x14ac:dyDescent="0.3">
      <c r="F33954"/>
      <c r="G33954"/>
      <c r="H33954"/>
      <c r="I33954"/>
    </row>
    <row r="33955" spans="6:9" x14ac:dyDescent="0.3">
      <c r="F33955"/>
      <c r="G33955"/>
      <c r="H33955"/>
      <c r="I33955"/>
    </row>
    <row r="33956" spans="6:9" x14ac:dyDescent="0.3">
      <c r="F33956"/>
      <c r="G33956"/>
      <c r="H33956"/>
      <c r="I33956"/>
    </row>
    <row r="33957" spans="6:9" x14ac:dyDescent="0.3">
      <c r="F33957"/>
      <c r="G33957"/>
      <c r="H33957"/>
      <c r="I33957"/>
    </row>
    <row r="33958" spans="6:9" x14ac:dyDescent="0.3">
      <c r="F33958"/>
      <c r="G33958"/>
      <c r="H33958"/>
      <c r="I33958"/>
    </row>
    <row r="33959" spans="6:9" x14ac:dyDescent="0.3">
      <c r="F33959"/>
      <c r="G33959"/>
      <c r="H33959"/>
      <c r="I33959"/>
    </row>
    <row r="33960" spans="6:9" x14ac:dyDescent="0.3">
      <c r="F33960"/>
      <c r="G33960"/>
      <c r="H33960"/>
      <c r="I33960"/>
    </row>
    <row r="33961" spans="6:9" x14ac:dyDescent="0.3">
      <c r="F33961"/>
      <c r="G33961"/>
      <c r="H33961"/>
      <c r="I33961"/>
    </row>
    <row r="33962" spans="6:9" x14ac:dyDescent="0.3">
      <c r="F33962"/>
      <c r="G33962"/>
      <c r="H33962"/>
      <c r="I33962"/>
    </row>
    <row r="33963" spans="6:9" x14ac:dyDescent="0.3">
      <c r="F33963"/>
      <c r="G33963"/>
      <c r="H33963"/>
      <c r="I33963"/>
    </row>
    <row r="33964" spans="6:9" x14ac:dyDescent="0.3">
      <c r="F33964"/>
      <c r="G33964"/>
      <c r="H33964"/>
      <c r="I33964"/>
    </row>
    <row r="33965" spans="6:9" x14ac:dyDescent="0.3">
      <c r="F33965"/>
      <c r="G33965"/>
      <c r="H33965"/>
      <c r="I33965"/>
    </row>
    <row r="33966" spans="6:9" x14ac:dyDescent="0.3">
      <c r="F33966"/>
      <c r="G33966"/>
      <c r="H33966"/>
      <c r="I33966"/>
    </row>
    <row r="33967" spans="6:9" x14ac:dyDescent="0.3">
      <c r="F33967"/>
      <c r="G33967"/>
      <c r="H33967"/>
      <c r="I33967"/>
    </row>
    <row r="33968" spans="6:9" x14ac:dyDescent="0.3">
      <c r="F33968"/>
      <c r="G33968"/>
      <c r="H33968"/>
      <c r="I33968"/>
    </row>
    <row r="33969" spans="6:9" x14ac:dyDescent="0.3">
      <c r="F33969"/>
      <c r="G33969"/>
      <c r="H33969"/>
      <c r="I33969"/>
    </row>
    <row r="33970" spans="6:9" x14ac:dyDescent="0.3">
      <c r="F33970"/>
      <c r="G33970"/>
      <c r="H33970"/>
      <c r="I33970"/>
    </row>
    <row r="33971" spans="6:9" x14ac:dyDescent="0.3">
      <c r="F33971"/>
      <c r="G33971"/>
      <c r="H33971"/>
      <c r="I33971"/>
    </row>
    <row r="33972" spans="6:9" x14ac:dyDescent="0.3">
      <c r="F33972"/>
      <c r="G33972"/>
      <c r="H33972"/>
      <c r="I33972"/>
    </row>
    <row r="33973" spans="6:9" x14ac:dyDescent="0.3">
      <c r="F33973"/>
      <c r="G33973"/>
      <c r="H33973"/>
      <c r="I33973"/>
    </row>
    <row r="33974" spans="6:9" x14ac:dyDescent="0.3">
      <c r="F33974"/>
      <c r="G33974"/>
      <c r="H33974"/>
      <c r="I33974"/>
    </row>
    <row r="33975" spans="6:9" x14ac:dyDescent="0.3">
      <c r="F33975"/>
      <c r="G33975"/>
      <c r="H33975"/>
      <c r="I33975"/>
    </row>
    <row r="33976" spans="6:9" x14ac:dyDescent="0.3">
      <c r="F33976"/>
      <c r="G33976"/>
      <c r="H33976"/>
      <c r="I33976"/>
    </row>
    <row r="33977" spans="6:9" x14ac:dyDescent="0.3">
      <c r="F33977"/>
      <c r="G33977"/>
      <c r="H33977"/>
      <c r="I33977"/>
    </row>
    <row r="33978" spans="6:9" x14ac:dyDescent="0.3">
      <c r="F33978"/>
      <c r="G33978"/>
      <c r="H33978"/>
      <c r="I33978"/>
    </row>
    <row r="33979" spans="6:9" x14ac:dyDescent="0.3">
      <c r="F33979"/>
      <c r="G33979"/>
      <c r="H33979"/>
      <c r="I33979"/>
    </row>
    <row r="33980" spans="6:9" x14ac:dyDescent="0.3">
      <c r="F33980"/>
      <c r="G33980"/>
      <c r="H33980"/>
      <c r="I33980"/>
    </row>
    <row r="33981" spans="6:9" x14ac:dyDescent="0.3">
      <c r="F33981"/>
      <c r="G33981"/>
      <c r="H33981"/>
      <c r="I33981"/>
    </row>
    <row r="33982" spans="6:9" x14ac:dyDescent="0.3">
      <c r="F33982"/>
      <c r="G33982"/>
      <c r="H33982"/>
      <c r="I33982"/>
    </row>
    <row r="33983" spans="6:9" x14ac:dyDescent="0.3">
      <c r="F33983"/>
      <c r="G33983"/>
      <c r="H33983"/>
      <c r="I33983"/>
    </row>
    <row r="33984" spans="6:9" x14ac:dyDescent="0.3">
      <c r="F33984"/>
      <c r="G33984"/>
      <c r="H33984"/>
      <c r="I33984"/>
    </row>
    <row r="33985" spans="6:9" x14ac:dyDescent="0.3">
      <c r="F33985"/>
      <c r="G33985"/>
      <c r="H33985"/>
      <c r="I33985"/>
    </row>
    <row r="33986" spans="6:9" x14ac:dyDescent="0.3">
      <c r="F33986"/>
      <c r="G33986"/>
      <c r="H33986"/>
      <c r="I33986"/>
    </row>
    <row r="33987" spans="6:9" x14ac:dyDescent="0.3">
      <c r="F33987"/>
      <c r="G33987"/>
      <c r="H33987"/>
      <c r="I33987"/>
    </row>
    <row r="33988" spans="6:9" x14ac:dyDescent="0.3">
      <c r="F33988"/>
      <c r="G33988"/>
      <c r="H33988"/>
      <c r="I33988"/>
    </row>
    <row r="33989" spans="6:9" x14ac:dyDescent="0.3">
      <c r="F33989"/>
      <c r="G33989"/>
      <c r="H33989"/>
      <c r="I33989"/>
    </row>
    <row r="33990" spans="6:9" x14ac:dyDescent="0.3">
      <c r="F33990"/>
      <c r="G33990"/>
      <c r="H33990"/>
      <c r="I33990"/>
    </row>
    <row r="33991" spans="6:9" x14ac:dyDescent="0.3">
      <c r="F33991"/>
      <c r="G33991"/>
      <c r="H33991"/>
      <c r="I33991"/>
    </row>
    <row r="33992" spans="6:9" x14ac:dyDescent="0.3">
      <c r="F33992"/>
      <c r="G33992"/>
      <c r="H33992"/>
      <c r="I33992"/>
    </row>
    <row r="33993" spans="6:9" x14ac:dyDescent="0.3">
      <c r="F33993"/>
      <c r="G33993"/>
      <c r="H33993"/>
      <c r="I33993"/>
    </row>
    <row r="33994" spans="6:9" x14ac:dyDescent="0.3">
      <c r="F33994"/>
      <c r="G33994"/>
      <c r="H33994"/>
      <c r="I33994"/>
    </row>
    <row r="33995" spans="6:9" x14ac:dyDescent="0.3">
      <c r="F33995"/>
      <c r="G33995"/>
      <c r="H33995"/>
      <c r="I33995"/>
    </row>
    <row r="33996" spans="6:9" x14ac:dyDescent="0.3">
      <c r="F33996"/>
      <c r="G33996"/>
      <c r="H33996"/>
      <c r="I33996"/>
    </row>
    <row r="33997" spans="6:9" x14ac:dyDescent="0.3">
      <c r="F33997"/>
      <c r="G33997"/>
      <c r="H33997"/>
      <c r="I33997"/>
    </row>
    <row r="33998" spans="6:9" x14ac:dyDescent="0.3">
      <c r="F33998"/>
      <c r="G33998"/>
      <c r="H33998"/>
      <c r="I33998"/>
    </row>
    <row r="33999" spans="6:9" x14ac:dyDescent="0.3">
      <c r="F33999"/>
      <c r="G33999"/>
      <c r="H33999"/>
      <c r="I33999"/>
    </row>
    <row r="34000" spans="6:9" x14ac:dyDescent="0.3">
      <c r="F34000"/>
      <c r="G34000"/>
      <c r="H34000"/>
      <c r="I34000"/>
    </row>
    <row r="34001" spans="6:9" x14ac:dyDescent="0.3">
      <c r="F34001"/>
      <c r="G34001"/>
      <c r="H34001"/>
      <c r="I34001"/>
    </row>
    <row r="34002" spans="6:9" x14ac:dyDescent="0.3">
      <c r="F34002"/>
      <c r="G34002"/>
      <c r="H34002"/>
      <c r="I34002"/>
    </row>
    <row r="34003" spans="6:9" x14ac:dyDescent="0.3">
      <c r="F34003"/>
      <c r="G34003"/>
      <c r="H34003"/>
      <c r="I34003"/>
    </row>
    <row r="34004" spans="6:9" x14ac:dyDescent="0.3">
      <c r="F34004"/>
      <c r="G34004"/>
      <c r="H34004"/>
      <c r="I34004"/>
    </row>
    <row r="34005" spans="6:9" x14ac:dyDescent="0.3">
      <c r="F34005"/>
      <c r="G34005"/>
      <c r="H34005"/>
      <c r="I34005"/>
    </row>
    <row r="34006" spans="6:9" x14ac:dyDescent="0.3">
      <c r="F34006"/>
      <c r="G34006"/>
      <c r="H34006"/>
      <c r="I34006"/>
    </row>
    <row r="34007" spans="6:9" x14ac:dyDescent="0.3">
      <c r="F34007"/>
      <c r="G34007"/>
      <c r="H34007"/>
      <c r="I34007"/>
    </row>
    <row r="34008" spans="6:9" x14ac:dyDescent="0.3">
      <c r="F34008"/>
      <c r="G34008"/>
      <c r="H34008"/>
      <c r="I34008"/>
    </row>
    <row r="34009" spans="6:9" x14ac:dyDescent="0.3">
      <c r="F34009"/>
      <c r="G34009"/>
      <c r="H34009"/>
      <c r="I34009"/>
    </row>
    <row r="34010" spans="6:9" x14ac:dyDescent="0.3">
      <c r="F34010"/>
      <c r="G34010"/>
      <c r="H34010"/>
      <c r="I34010"/>
    </row>
    <row r="34011" spans="6:9" x14ac:dyDescent="0.3">
      <c r="F34011"/>
      <c r="G34011"/>
      <c r="H34011"/>
      <c r="I34011"/>
    </row>
    <row r="34012" spans="6:9" x14ac:dyDescent="0.3">
      <c r="F34012"/>
      <c r="G34012"/>
      <c r="H34012"/>
      <c r="I34012"/>
    </row>
    <row r="34013" spans="6:9" x14ac:dyDescent="0.3">
      <c r="F34013"/>
      <c r="G34013"/>
      <c r="H34013"/>
      <c r="I34013"/>
    </row>
    <row r="34014" spans="6:9" x14ac:dyDescent="0.3">
      <c r="F34014"/>
      <c r="G34014"/>
      <c r="H34014"/>
      <c r="I34014"/>
    </row>
    <row r="34015" spans="6:9" x14ac:dyDescent="0.3">
      <c r="F34015"/>
      <c r="G34015"/>
      <c r="H34015"/>
      <c r="I34015"/>
    </row>
    <row r="34016" spans="6:9" x14ac:dyDescent="0.3">
      <c r="F34016"/>
      <c r="G34016"/>
      <c r="H34016"/>
      <c r="I34016"/>
    </row>
    <row r="34017" spans="6:9" x14ac:dyDescent="0.3">
      <c r="F34017"/>
      <c r="G34017"/>
      <c r="H34017"/>
      <c r="I34017"/>
    </row>
    <row r="34018" spans="6:9" x14ac:dyDescent="0.3">
      <c r="F34018"/>
      <c r="G34018"/>
      <c r="H34018"/>
      <c r="I34018"/>
    </row>
    <row r="34019" spans="6:9" x14ac:dyDescent="0.3">
      <c r="F34019"/>
      <c r="G34019"/>
      <c r="H34019"/>
      <c r="I34019"/>
    </row>
    <row r="34020" spans="6:9" x14ac:dyDescent="0.3">
      <c r="F34020"/>
      <c r="G34020"/>
      <c r="H34020"/>
      <c r="I34020"/>
    </row>
    <row r="34021" spans="6:9" x14ac:dyDescent="0.3">
      <c r="F34021"/>
      <c r="G34021"/>
      <c r="H34021"/>
      <c r="I34021"/>
    </row>
    <row r="34022" spans="6:9" x14ac:dyDescent="0.3">
      <c r="F34022"/>
      <c r="G34022"/>
      <c r="H34022"/>
      <c r="I34022"/>
    </row>
    <row r="34023" spans="6:9" x14ac:dyDescent="0.3">
      <c r="F34023"/>
      <c r="G34023"/>
      <c r="H34023"/>
      <c r="I34023"/>
    </row>
    <row r="34024" spans="6:9" x14ac:dyDescent="0.3">
      <c r="F34024"/>
      <c r="G34024"/>
      <c r="H34024"/>
      <c r="I34024"/>
    </row>
    <row r="34025" spans="6:9" x14ac:dyDescent="0.3">
      <c r="F34025"/>
      <c r="G34025"/>
      <c r="H34025"/>
      <c r="I34025"/>
    </row>
    <row r="34026" spans="6:9" x14ac:dyDescent="0.3">
      <c r="F34026"/>
      <c r="G34026"/>
      <c r="H34026"/>
      <c r="I34026"/>
    </row>
    <row r="34027" spans="6:9" x14ac:dyDescent="0.3">
      <c r="F34027"/>
      <c r="G34027"/>
      <c r="H34027"/>
      <c r="I34027"/>
    </row>
    <row r="34028" spans="6:9" x14ac:dyDescent="0.3">
      <c r="F34028"/>
      <c r="G34028"/>
      <c r="H34028"/>
      <c r="I34028"/>
    </row>
    <row r="34029" spans="6:9" x14ac:dyDescent="0.3">
      <c r="F34029"/>
      <c r="G34029"/>
      <c r="H34029"/>
      <c r="I34029"/>
    </row>
    <row r="34030" spans="6:9" x14ac:dyDescent="0.3">
      <c r="F34030"/>
      <c r="G34030"/>
      <c r="H34030"/>
      <c r="I34030"/>
    </row>
    <row r="34031" spans="6:9" x14ac:dyDescent="0.3">
      <c r="F34031"/>
      <c r="G34031"/>
      <c r="H34031"/>
      <c r="I34031"/>
    </row>
    <row r="34032" spans="6:9" x14ac:dyDescent="0.3">
      <c r="F34032"/>
      <c r="G34032"/>
      <c r="H34032"/>
      <c r="I34032"/>
    </row>
    <row r="34033" spans="6:9" x14ac:dyDescent="0.3">
      <c r="F34033"/>
      <c r="G34033"/>
      <c r="H34033"/>
      <c r="I34033"/>
    </row>
    <row r="34034" spans="6:9" x14ac:dyDescent="0.3">
      <c r="F34034"/>
      <c r="G34034"/>
      <c r="H34034"/>
      <c r="I34034"/>
    </row>
    <row r="34035" spans="6:9" x14ac:dyDescent="0.3">
      <c r="F34035"/>
      <c r="G34035"/>
      <c r="H34035"/>
      <c r="I34035"/>
    </row>
    <row r="34036" spans="6:9" x14ac:dyDescent="0.3">
      <c r="F34036"/>
      <c r="G34036"/>
      <c r="H34036"/>
      <c r="I34036"/>
    </row>
    <row r="34037" spans="6:9" x14ac:dyDescent="0.3">
      <c r="F34037"/>
      <c r="G34037"/>
      <c r="H34037"/>
      <c r="I34037"/>
    </row>
    <row r="34038" spans="6:9" x14ac:dyDescent="0.3">
      <c r="F34038"/>
      <c r="G34038"/>
      <c r="H34038"/>
      <c r="I34038"/>
    </row>
    <row r="34039" spans="6:9" x14ac:dyDescent="0.3">
      <c r="F34039"/>
      <c r="G34039"/>
      <c r="H34039"/>
      <c r="I34039"/>
    </row>
    <row r="34040" spans="6:9" x14ac:dyDescent="0.3">
      <c r="F34040"/>
      <c r="G34040"/>
      <c r="H34040"/>
      <c r="I34040"/>
    </row>
    <row r="34041" spans="6:9" x14ac:dyDescent="0.3">
      <c r="F34041"/>
      <c r="G34041"/>
      <c r="H34041"/>
      <c r="I34041"/>
    </row>
    <row r="34042" spans="6:9" x14ac:dyDescent="0.3">
      <c r="F34042"/>
      <c r="G34042"/>
      <c r="H34042"/>
      <c r="I34042"/>
    </row>
    <row r="34043" spans="6:9" x14ac:dyDescent="0.3">
      <c r="F34043"/>
      <c r="G34043"/>
      <c r="H34043"/>
      <c r="I34043"/>
    </row>
    <row r="34044" spans="6:9" x14ac:dyDescent="0.3">
      <c r="F34044"/>
      <c r="G34044"/>
      <c r="H34044"/>
      <c r="I34044"/>
    </row>
    <row r="34045" spans="6:9" x14ac:dyDescent="0.3">
      <c r="F34045"/>
      <c r="G34045"/>
      <c r="H34045"/>
      <c r="I34045"/>
    </row>
    <row r="34046" spans="6:9" x14ac:dyDescent="0.3">
      <c r="F34046"/>
      <c r="G34046"/>
      <c r="H34046"/>
      <c r="I34046"/>
    </row>
    <row r="34047" spans="6:9" x14ac:dyDescent="0.3">
      <c r="F34047"/>
      <c r="G34047"/>
      <c r="H34047"/>
      <c r="I34047"/>
    </row>
    <row r="34048" spans="6:9" x14ac:dyDescent="0.3">
      <c r="F34048"/>
      <c r="G34048"/>
      <c r="H34048"/>
      <c r="I34048"/>
    </row>
    <row r="34049" spans="6:9" x14ac:dyDescent="0.3">
      <c r="F34049"/>
      <c r="G34049"/>
      <c r="H34049"/>
      <c r="I34049"/>
    </row>
    <row r="34050" spans="6:9" x14ac:dyDescent="0.3">
      <c r="F34050"/>
      <c r="G34050"/>
      <c r="H34050"/>
      <c r="I34050"/>
    </row>
    <row r="34051" spans="6:9" x14ac:dyDescent="0.3">
      <c r="F34051"/>
      <c r="G34051"/>
      <c r="H34051"/>
      <c r="I34051"/>
    </row>
    <row r="34052" spans="6:9" x14ac:dyDescent="0.3">
      <c r="F34052"/>
      <c r="G34052"/>
      <c r="H34052"/>
      <c r="I34052"/>
    </row>
    <row r="34053" spans="6:9" x14ac:dyDescent="0.3">
      <c r="F34053"/>
      <c r="G34053"/>
      <c r="H34053"/>
      <c r="I34053"/>
    </row>
    <row r="34054" spans="6:9" x14ac:dyDescent="0.3">
      <c r="F34054"/>
      <c r="G34054"/>
      <c r="H34054"/>
      <c r="I34054"/>
    </row>
    <row r="34055" spans="6:9" x14ac:dyDescent="0.3">
      <c r="F34055"/>
      <c r="G34055"/>
      <c r="H34055"/>
      <c r="I34055"/>
    </row>
    <row r="34056" spans="6:9" x14ac:dyDescent="0.3">
      <c r="F34056"/>
      <c r="G34056"/>
      <c r="H34056"/>
      <c r="I34056"/>
    </row>
    <row r="34057" spans="6:9" x14ac:dyDescent="0.3">
      <c r="F34057"/>
      <c r="G34057"/>
      <c r="H34057"/>
      <c r="I34057"/>
    </row>
    <row r="34058" spans="6:9" x14ac:dyDescent="0.3">
      <c r="F34058"/>
      <c r="G34058"/>
      <c r="H34058"/>
      <c r="I34058"/>
    </row>
    <row r="34059" spans="6:9" x14ac:dyDescent="0.3">
      <c r="F34059"/>
      <c r="G34059"/>
      <c r="H34059"/>
      <c r="I34059"/>
    </row>
    <row r="34060" spans="6:9" x14ac:dyDescent="0.3">
      <c r="F34060"/>
      <c r="G34060"/>
      <c r="H34060"/>
      <c r="I34060"/>
    </row>
    <row r="34061" spans="6:9" x14ac:dyDescent="0.3">
      <c r="F34061"/>
      <c r="G34061"/>
      <c r="H34061"/>
      <c r="I34061"/>
    </row>
    <row r="34062" spans="6:9" x14ac:dyDescent="0.3">
      <c r="F34062"/>
      <c r="G34062"/>
      <c r="H34062"/>
      <c r="I34062"/>
    </row>
    <row r="34063" spans="6:9" x14ac:dyDescent="0.3">
      <c r="F34063"/>
      <c r="G34063"/>
      <c r="H34063"/>
      <c r="I34063"/>
    </row>
    <row r="34064" spans="6:9" x14ac:dyDescent="0.3">
      <c r="F34064"/>
      <c r="G34064"/>
      <c r="H34064"/>
      <c r="I34064"/>
    </row>
    <row r="34065" spans="6:9" x14ac:dyDescent="0.3">
      <c r="F34065"/>
      <c r="G34065"/>
      <c r="H34065"/>
      <c r="I34065"/>
    </row>
    <row r="34066" spans="6:9" x14ac:dyDescent="0.3">
      <c r="F34066"/>
      <c r="G34066"/>
      <c r="H34066"/>
      <c r="I34066"/>
    </row>
    <row r="34067" spans="6:9" x14ac:dyDescent="0.3">
      <c r="F34067"/>
      <c r="G34067"/>
      <c r="H34067"/>
      <c r="I34067"/>
    </row>
    <row r="34068" spans="6:9" x14ac:dyDescent="0.3">
      <c r="F34068"/>
      <c r="G34068"/>
      <c r="H34068"/>
      <c r="I34068"/>
    </row>
    <row r="34069" spans="6:9" x14ac:dyDescent="0.3">
      <c r="F34069"/>
      <c r="G34069"/>
      <c r="H34069"/>
      <c r="I34069"/>
    </row>
    <row r="34070" spans="6:9" x14ac:dyDescent="0.3">
      <c r="F34070"/>
      <c r="G34070"/>
      <c r="H34070"/>
      <c r="I34070"/>
    </row>
    <row r="34071" spans="6:9" x14ac:dyDescent="0.3">
      <c r="F34071"/>
      <c r="G34071"/>
      <c r="H34071"/>
      <c r="I34071"/>
    </row>
    <row r="34072" spans="6:9" x14ac:dyDescent="0.3">
      <c r="F34072"/>
      <c r="G34072"/>
      <c r="H34072"/>
      <c r="I34072"/>
    </row>
    <row r="34073" spans="6:9" x14ac:dyDescent="0.3">
      <c r="F34073"/>
      <c r="G34073"/>
      <c r="H34073"/>
      <c r="I34073"/>
    </row>
    <row r="34074" spans="6:9" x14ac:dyDescent="0.3">
      <c r="F34074"/>
      <c r="G34074"/>
      <c r="H34074"/>
      <c r="I34074"/>
    </row>
    <row r="34075" spans="6:9" x14ac:dyDescent="0.3">
      <c r="F34075"/>
      <c r="G34075"/>
      <c r="H34075"/>
      <c r="I34075"/>
    </row>
    <row r="34076" spans="6:9" x14ac:dyDescent="0.3">
      <c r="F34076"/>
      <c r="G34076"/>
      <c r="H34076"/>
      <c r="I34076"/>
    </row>
    <row r="34077" spans="6:9" x14ac:dyDescent="0.3">
      <c r="F34077"/>
      <c r="G34077"/>
      <c r="H34077"/>
      <c r="I34077"/>
    </row>
    <row r="34078" spans="6:9" x14ac:dyDescent="0.3">
      <c r="F34078"/>
      <c r="G34078"/>
      <c r="H34078"/>
      <c r="I34078"/>
    </row>
    <row r="34079" spans="6:9" x14ac:dyDescent="0.3">
      <c r="F34079"/>
      <c r="G34079"/>
      <c r="H34079"/>
      <c r="I34079"/>
    </row>
    <row r="34080" spans="6:9" x14ac:dyDescent="0.3">
      <c r="F34080"/>
      <c r="G34080"/>
      <c r="H34080"/>
      <c r="I34080"/>
    </row>
    <row r="34081" spans="6:9" x14ac:dyDescent="0.3">
      <c r="F34081"/>
      <c r="G34081"/>
      <c r="H34081"/>
      <c r="I34081"/>
    </row>
    <row r="34082" spans="6:9" x14ac:dyDescent="0.3">
      <c r="F34082"/>
      <c r="G34082"/>
      <c r="H34082"/>
      <c r="I34082"/>
    </row>
    <row r="34083" spans="6:9" x14ac:dyDescent="0.3">
      <c r="F34083"/>
      <c r="G34083"/>
      <c r="H34083"/>
      <c r="I34083"/>
    </row>
    <row r="34084" spans="6:9" x14ac:dyDescent="0.3">
      <c r="F34084"/>
      <c r="G34084"/>
      <c r="H34084"/>
      <c r="I34084"/>
    </row>
    <row r="34085" spans="6:9" x14ac:dyDescent="0.3">
      <c r="F34085"/>
      <c r="G34085"/>
      <c r="H34085"/>
      <c r="I34085"/>
    </row>
    <row r="34086" spans="6:9" x14ac:dyDescent="0.3">
      <c r="F34086"/>
      <c r="G34086"/>
      <c r="H34086"/>
      <c r="I34086"/>
    </row>
    <row r="34087" spans="6:9" x14ac:dyDescent="0.3">
      <c r="F34087"/>
      <c r="G34087"/>
      <c r="H34087"/>
      <c r="I34087"/>
    </row>
    <row r="34088" spans="6:9" x14ac:dyDescent="0.3">
      <c r="F34088"/>
      <c r="G34088"/>
      <c r="H34088"/>
      <c r="I34088"/>
    </row>
    <row r="34089" spans="6:9" x14ac:dyDescent="0.3">
      <c r="F34089"/>
      <c r="G34089"/>
      <c r="H34089"/>
      <c r="I34089"/>
    </row>
    <row r="34090" spans="6:9" x14ac:dyDescent="0.3">
      <c r="F34090"/>
      <c r="G34090"/>
      <c r="H34090"/>
      <c r="I34090"/>
    </row>
    <row r="34091" spans="6:9" x14ac:dyDescent="0.3">
      <c r="F34091"/>
      <c r="G34091"/>
      <c r="H34091"/>
      <c r="I34091"/>
    </row>
    <row r="34092" spans="6:9" x14ac:dyDescent="0.3">
      <c r="F34092"/>
      <c r="G34092"/>
      <c r="H34092"/>
      <c r="I34092"/>
    </row>
    <row r="34093" spans="6:9" x14ac:dyDescent="0.3">
      <c r="F34093"/>
      <c r="G34093"/>
      <c r="H34093"/>
      <c r="I34093"/>
    </row>
    <row r="34094" spans="6:9" x14ac:dyDescent="0.3">
      <c r="F34094"/>
      <c r="G34094"/>
      <c r="H34094"/>
      <c r="I34094"/>
    </row>
    <row r="34095" spans="6:9" x14ac:dyDescent="0.3">
      <c r="F34095"/>
      <c r="G34095"/>
      <c r="H34095"/>
      <c r="I34095"/>
    </row>
    <row r="34096" spans="6:9" x14ac:dyDescent="0.3">
      <c r="F34096"/>
      <c r="G34096"/>
      <c r="H34096"/>
      <c r="I34096"/>
    </row>
    <row r="34097" spans="6:9" x14ac:dyDescent="0.3">
      <c r="F34097"/>
      <c r="G34097"/>
      <c r="H34097"/>
      <c r="I34097"/>
    </row>
    <row r="34098" spans="6:9" x14ac:dyDescent="0.3">
      <c r="F34098"/>
      <c r="G34098"/>
      <c r="H34098"/>
      <c r="I34098"/>
    </row>
    <row r="34099" spans="6:9" x14ac:dyDescent="0.3">
      <c r="F34099"/>
      <c r="G34099"/>
      <c r="H34099"/>
      <c r="I34099"/>
    </row>
    <row r="34100" spans="6:9" x14ac:dyDescent="0.3">
      <c r="F34100"/>
      <c r="G34100"/>
      <c r="H34100"/>
      <c r="I34100"/>
    </row>
    <row r="34101" spans="6:9" x14ac:dyDescent="0.3">
      <c r="F34101"/>
      <c r="G34101"/>
      <c r="H34101"/>
      <c r="I34101"/>
    </row>
    <row r="34102" spans="6:9" x14ac:dyDescent="0.3">
      <c r="F34102"/>
      <c r="G34102"/>
      <c r="H34102"/>
      <c r="I34102"/>
    </row>
    <row r="34103" spans="6:9" x14ac:dyDescent="0.3">
      <c r="F34103"/>
      <c r="G34103"/>
      <c r="H34103"/>
      <c r="I34103"/>
    </row>
    <row r="34104" spans="6:9" x14ac:dyDescent="0.3">
      <c r="F34104"/>
      <c r="G34104"/>
      <c r="H34104"/>
      <c r="I34104"/>
    </row>
    <row r="34105" spans="6:9" x14ac:dyDescent="0.3">
      <c r="F34105"/>
      <c r="G34105"/>
      <c r="H34105"/>
      <c r="I34105"/>
    </row>
    <row r="34106" spans="6:9" x14ac:dyDescent="0.3">
      <c r="F34106"/>
      <c r="G34106"/>
      <c r="H34106"/>
      <c r="I34106"/>
    </row>
    <row r="34107" spans="6:9" x14ac:dyDescent="0.3">
      <c r="F34107"/>
      <c r="G34107"/>
      <c r="H34107"/>
      <c r="I34107"/>
    </row>
    <row r="34108" spans="6:9" x14ac:dyDescent="0.3">
      <c r="F34108"/>
      <c r="G34108"/>
      <c r="H34108"/>
      <c r="I34108"/>
    </row>
    <row r="34109" spans="6:9" x14ac:dyDescent="0.3">
      <c r="F34109"/>
      <c r="G34109"/>
      <c r="H34109"/>
      <c r="I34109"/>
    </row>
    <row r="34110" spans="6:9" x14ac:dyDescent="0.3">
      <c r="F34110"/>
      <c r="G34110"/>
      <c r="H34110"/>
      <c r="I34110"/>
    </row>
    <row r="34111" spans="6:9" x14ac:dyDescent="0.3">
      <c r="F34111"/>
      <c r="G34111"/>
      <c r="H34111"/>
      <c r="I34111"/>
    </row>
    <row r="34112" spans="6:9" x14ac:dyDescent="0.3">
      <c r="F34112"/>
      <c r="G34112"/>
      <c r="H34112"/>
      <c r="I34112"/>
    </row>
    <row r="34113" spans="6:9" x14ac:dyDescent="0.3">
      <c r="F34113"/>
      <c r="G34113"/>
      <c r="H34113"/>
      <c r="I34113"/>
    </row>
    <row r="34114" spans="6:9" x14ac:dyDescent="0.3">
      <c r="F34114"/>
      <c r="G34114"/>
      <c r="H34114"/>
      <c r="I34114"/>
    </row>
    <row r="34115" spans="6:9" x14ac:dyDescent="0.3">
      <c r="F34115"/>
      <c r="G34115"/>
      <c r="H34115"/>
      <c r="I34115"/>
    </row>
    <row r="34116" spans="6:9" x14ac:dyDescent="0.3">
      <c r="F34116"/>
      <c r="G34116"/>
      <c r="H34116"/>
      <c r="I34116"/>
    </row>
    <row r="34117" spans="6:9" x14ac:dyDescent="0.3">
      <c r="F34117"/>
      <c r="G34117"/>
      <c r="H34117"/>
      <c r="I34117"/>
    </row>
    <row r="34118" spans="6:9" x14ac:dyDescent="0.3">
      <c r="F34118"/>
      <c r="G34118"/>
      <c r="H34118"/>
      <c r="I34118"/>
    </row>
    <row r="34119" spans="6:9" x14ac:dyDescent="0.3">
      <c r="F34119"/>
      <c r="G34119"/>
      <c r="H34119"/>
      <c r="I34119"/>
    </row>
    <row r="34120" spans="6:9" x14ac:dyDescent="0.3">
      <c r="F34120"/>
      <c r="G34120"/>
      <c r="H34120"/>
      <c r="I34120"/>
    </row>
    <row r="34121" spans="6:9" x14ac:dyDescent="0.3">
      <c r="F34121"/>
      <c r="G34121"/>
      <c r="H34121"/>
      <c r="I34121"/>
    </row>
    <row r="34122" spans="6:9" x14ac:dyDescent="0.3">
      <c r="F34122"/>
      <c r="G34122"/>
      <c r="H34122"/>
      <c r="I34122"/>
    </row>
    <row r="34123" spans="6:9" x14ac:dyDescent="0.3">
      <c r="F34123"/>
      <c r="G34123"/>
      <c r="H34123"/>
      <c r="I34123"/>
    </row>
    <row r="34124" spans="6:9" x14ac:dyDescent="0.3">
      <c r="F34124"/>
      <c r="G34124"/>
      <c r="H34124"/>
      <c r="I34124"/>
    </row>
    <row r="34125" spans="6:9" x14ac:dyDescent="0.3">
      <c r="F34125"/>
      <c r="G34125"/>
      <c r="H34125"/>
      <c r="I34125"/>
    </row>
    <row r="34126" spans="6:9" x14ac:dyDescent="0.3">
      <c r="F34126"/>
      <c r="G34126"/>
      <c r="H34126"/>
      <c r="I34126"/>
    </row>
    <row r="34127" spans="6:9" x14ac:dyDescent="0.3">
      <c r="F34127"/>
      <c r="G34127"/>
      <c r="H34127"/>
      <c r="I34127"/>
    </row>
    <row r="34128" spans="6:9" x14ac:dyDescent="0.3">
      <c r="F34128"/>
      <c r="G34128"/>
      <c r="H34128"/>
      <c r="I34128"/>
    </row>
    <row r="34129" spans="6:9" x14ac:dyDescent="0.3">
      <c r="F34129"/>
      <c r="G34129"/>
      <c r="H34129"/>
      <c r="I34129"/>
    </row>
    <row r="34130" spans="6:9" x14ac:dyDescent="0.3">
      <c r="F34130"/>
      <c r="G34130"/>
      <c r="H34130"/>
      <c r="I34130"/>
    </row>
    <row r="34131" spans="6:9" x14ac:dyDescent="0.3">
      <c r="F34131"/>
      <c r="G34131"/>
      <c r="H34131"/>
      <c r="I34131"/>
    </row>
    <row r="34132" spans="6:9" x14ac:dyDescent="0.3">
      <c r="F34132"/>
      <c r="G34132"/>
      <c r="H34132"/>
      <c r="I34132"/>
    </row>
    <row r="34133" spans="6:9" x14ac:dyDescent="0.3">
      <c r="F34133"/>
      <c r="G34133"/>
      <c r="H34133"/>
      <c r="I34133"/>
    </row>
    <row r="34134" spans="6:9" x14ac:dyDescent="0.3">
      <c r="F34134"/>
      <c r="G34134"/>
      <c r="H34134"/>
      <c r="I34134"/>
    </row>
    <row r="34135" spans="6:9" x14ac:dyDescent="0.3">
      <c r="F34135"/>
      <c r="G34135"/>
      <c r="H34135"/>
      <c r="I34135"/>
    </row>
    <row r="34136" spans="6:9" x14ac:dyDescent="0.3">
      <c r="F34136"/>
      <c r="G34136"/>
      <c r="H34136"/>
      <c r="I34136"/>
    </row>
    <row r="34137" spans="6:9" x14ac:dyDescent="0.3">
      <c r="F34137"/>
      <c r="G34137"/>
      <c r="H34137"/>
      <c r="I34137"/>
    </row>
    <row r="34138" spans="6:9" x14ac:dyDescent="0.3">
      <c r="F34138"/>
      <c r="G34138"/>
      <c r="H34138"/>
      <c r="I34138"/>
    </row>
    <row r="34139" spans="6:9" x14ac:dyDescent="0.3">
      <c r="F34139"/>
      <c r="G34139"/>
      <c r="H34139"/>
      <c r="I34139"/>
    </row>
    <row r="34140" spans="6:9" x14ac:dyDescent="0.3">
      <c r="F34140"/>
      <c r="G34140"/>
      <c r="H34140"/>
      <c r="I34140"/>
    </row>
    <row r="34141" spans="6:9" x14ac:dyDescent="0.3">
      <c r="F34141"/>
      <c r="G34141"/>
      <c r="H34141"/>
      <c r="I34141"/>
    </row>
    <row r="34142" spans="6:9" x14ac:dyDescent="0.3">
      <c r="F34142"/>
      <c r="G34142"/>
      <c r="H34142"/>
      <c r="I34142"/>
    </row>
    <row r="34143" spans="6:9" x14ac:dyDescent="0.3">
      <c r="F34143"/>
      <c r="G34143"/>
      <c r="H34143"/>
      <c r="I34143"/>
    </row>
    <row r="34144" spans="6:9" x14ac:dyDescent="0.3">
      <c r="F34144"/>
      <c r="G34144"/>
      <c r="H34144"/>
      <c r="I34144"/>
    </row>
    <row r="34145" spans="6:9" x14ac:dyDescent="0.3">
      <c r="F34145"/>
      <c r="G34145"/>
      <c r="H34145"/>
      <c r="I34145"/>
    </row>
    <row r="34146" spans="6:9" x14ac:dyDescent="0.3">
      <c r="F34146"/>
      <c r="G34146"/>
      <c r="H34146"/>
      <c r="I34146"/>
    </row>
    <row r="34147" spans="6:9" x14ac:dyDescent="0.3">
      <c r="F34147"/>
      <c r="G34147"/>
      <c r="H34147"/>
      <c r="I34147"/>
    </row>
    <row r="34148" spans="6:9" x14ac:dyDescent="0.3">
      <c r="F34148"/>
      <c r="G34148"/>
      <c r="H34148"/>
      <c r="I34148"/>
    </row>
    <row r="34149" spans="6:9" x14ac:dyDescent="0.3">
      <c r="F34149"/>
      <c r="G34149"/>
      <c r="H34149"/>
      <c r="I34149"/>
    </row>
    <row r="34150" spans="6:9" x14ac:dyDescent="0.3">
      <c r="F34150"/>
      <c r="G34150"/>
      <c r="H34150"/>
      <c r="I34150"/>
    </row>
    <row r="34151" spans="6:9" x14ac:dyDescent="0.3">
      <c r="F34151"/>
      <c r="G34151"/>
      <c r="H34151"/>
      <c r="I34151"/>
    </row>
    <row r="34152" spans="6:9" x14ac:dyDescent="0.3">
      <c r="F34152"/>
      <c r="G34152"/>
      <c r="H34152"/>
      <c r="I34152"/>
    </row>
    <row r="34153" spans="6:9" x14ac:dyDescent="0.3">
      <c r="F34153"/>
      <c r="G34153"/>
      <c r="H34153"/>
      <c r="I34153"/>
    </row>
    <row r="34154" spans="6:9" x14ac:dyDescent="0.3">
      <c r="F34154"/>
      <c r="G34154"/>
      <c r="H34154"/>
      <c r="I34154"/>
    </row>
    <row r="34155" spans="6:9" x14ac:dyDescent="0.3">
      <c r="F34155"/>
      <c r="G34155"/>
      <c r="H34155"/>
      <c r="I34155"/>
    </row>
    <row r="34156" spans="6:9" x14ac:dyDescent="0.3">
      <c r="F34156"/>
      <c r="G34156"/>
      <c r="H34156"/>
      <c r="I34156"/>
    </row>
    <row r="34157" spans="6:9" x14ac:dyDescent="0.3">
      <c r="F34157"/>
      <c r="G34157"/>
      <c r="H34157"/>
      <c r="I34157"/>
    </row>
    <row r="34158" spans="6:9" x14ac:dyDescent="0.3">
      <c r="F34158"/>
      <c r="G34158"/>
      <c r="H34158"/>
      <c r="I34158"/>
    </row>
    <row r="34159" spans="6:9" x14ac:dyDescent="0.3">
      <c r="F34159"/>
      <c r="G34159"/>
      <c r="H34159"/>
      <c r="I34159"/>
    </row>
    <row r="34160" spans="6:9" x14ac:dyDescent="0.3">
      <c r="F34160"/>
      <c r="G34160"/>
      <c r="H34160"/>
      <c r="I34160"/>
    </row>
    <row r="34161" spans="6:9" x14ac:dyDescent="0.3">
      <c r="F34161"/>
      <c r="G34161"/>
      <c r="H34161"/>
      <c r="I34161"/>
    </row>
    <row r="34162" spans="6:9" x14ac:dyDescent="0.3">
      <c r="F34162"/>
      <c r="G34162"/>
      <c r="H34162"/>
      <c r="I34162"/>
    </row>
    <row r="34163" spans="6:9" x14ac:dyDescent="0.3">
      <c r="F34163"/>
      <c r="G34163"/>
      <c r="H34163"/>
      <c r="I34163"/>
    </row>
    <row r="34164" spans="6:9" x14ac:dyDescent="0.3">
      <c r="F34164"/>
      <c r="G34164"/>
      <c r="H34164"/>
      <c r="I34164"/>
    </row>
    <row r="34165" spans="6:9" x14ac:dyDescent="0.3">
      <c r="F34165"/>
      <c r="G34165"/>
      <c r="H34165"/>
      <c r="I34165"/>
    </row>
    <row r="34166" spans="6:9" x14ac:dyDescent="0.3">
      <c r="F34166"/>
      <c r="G34166"/>
      <c r="H34166"/>
      <c r="I34166"/>
    </row>
    <row r="34167" spans="6:9" x14ac:dyDescent="0.3">
      <c r="F34167"/>
      <c r="G34167"/>
      <c r="H34167"/>
      <c r="I34167"/>
    </row>
    <row r="34168" spans="6:9" x14ac:dyDescent="0.3">
      <c r="F34168"/>
      <c r="G34168"/>
      <c r="H34168"/>
      <c r="I34168"/>
    </row>
    <row r="34169" spans="6:9" x14ac:dyDescent="0.3">
      <c r="F34169"/>
      <c r="G34169"/>
      <c r="H34169"/>
      <c r="I34169"/>
    </row>
    <row r="34170" spans="6:9" x14ac:dyDescent="0.3">
      <c r="F34170"/>
      <c r="G34170"/>
      <c r="H34170"/>
      <c r="I34170"/>
    </row>
    <row r="34171" spans="6:9" x14ac:dyDescent="0.3">
      <c r="F34171"/>
      <c r="G34171"/>
      <c r="H34171"/>
      <c r="I34171"/>
    </row>
    <row r="34172" spans="6:9" x14ac:dyDescent="0.3">
      <c r="F34172"/>
      <c r="G34172"/>
      <c r="H34172"/>
      <c r="I34172"/>
    </row>
    <row r="34173" spans="6:9" x14ac:dyDescent="0.3">
      <c r="F34173"/>
      <c r="G34173"/>
      <c r="H34173"/>
      <c r="I34173"/>
    </row>
    <row r="34174" spans="6:9" x14ac:dyDescent="0.3">
      <c r="F34174"/>
      <c r="G34174"/>
      <c r="H34174"/>
      <c r="I34174"/>
    </row>
    <row r="34175" spans="6:9" x14ac:dyDescent="0.3">
      <c r="F34175"/>
      <c r="G34175"/>
      <c r="H34175"/>
      <c r="I34175"/>
    </row>
    <row r="34176" spans="6:9" x14ac:dyDescent="0.3">
      <c r="F34176"/>
      <c r="G34176"/>
      <c r="H34176"/>
      <c r="I34176"/>
    </row>
    <row r="34177" spans="6:9" x14ac:dyDescent="0.3">
      <c r="F34177"/>
      <c r="G34177"/>
      <c r="H34177"/>
      <c r="I34177"/>
    </row>
    <row r="34178" spans="6:9" x14ac:dyDescent="0.3">
      <c r="F34178"/>
      <c r="G34178"/>
      <c r="H34178"/>
      <c r="I34178"/>
    </row>
    <row r="34179" spans="6:9" x14ac:dyDescent="0.3">
      <c r="F34179"/>
      <c r="G34179"/>
      <c r="H34179"/>
      <c r="I34179"/>
    </row>
    <row r="34180" spans="6:9" x14ac:dyDescent="0.3">
      <c r="F34180"/>
      <c r="G34180"/>
      <c r="H34180"/>
      <c r="I34180"/>
    </row>
    <row r="34181" spans="6:9" x14ac:dyDescent="0.3">
      <c r="F34181"/>
      <c r="G34181"/>
      <c r="H34181"/>
      <c r="I34181"/>
    </row>
    <row r="34182" spans="6:9" x14ac:dyDescent="0.3">
      <c r="F34182"/>
      <c r="G34182"/>
      <c r="H34182"/>
      <c r="I34182"/>
    </row>
    <row r="34183" spans="6:9" x14ac:dyDescent="0.3">
      <c r="F34183"/>
      <c r="G34183"/>
      <c r="H34183"/>
      <c r="I34183"/>
    </row>
    <row r="34184" spans="6:9" x14ac:dyDescent="0.3">
      <c r="F34184"/>
      <c r="G34184"/>
      <c r="H34184"/>
      <c r="I34184"/>
    </row>
    <row r="34185" spans="6:9" x14ac:dyDescent="0.3">
      <c r="F34185"/>
      <c r="G34185"/>
      <c r="H34185"/>
      <c r="I34185"/>
    </row>
    <row r="34186" spans="6:9" x14ac:dyDescent="0.3">
      <c r="F34186"/>
      <c r="G34186"/>
      <c r="H34186"/>
      <c r="I34186"/>
    </row>
    <row r="34187" spans="6:9" x14ac:dyDescent="0.3">
      <c r="F34187"/>
      <c r="G34187"/>
      <c r="H34187"/>
      <c r="I34187"/>
    </row>
    <row r="34188" spans="6:9" x14ac:dyDescent="0.3">
      <c r="F34188"/>
      <c r="G34188"/>
      <c r="H34188"/>
      <c r="I34188"/>
    </row>
    <row r="34189" spans="6:9" x14ac:dyDescent="0.3">
      <c r="F34189"/>
      <c r="G34189"/>
      <c r="H34189"/>
      <c r="I34189"/>
    </row>
    <row r="34190" spans="6:9" x14ac:dyDescent="0.3">
      <c r="F34190"/>
      <c r="G34190"/>
      <c r="H34190"/>
      <c r="I34190"/>
    </row>
    <row r="34191" spans="6:9" x14ac:dyDescent="0.3">
      <c r="F34191"/>
      <c r="G34191"/>
      <c r="H34191"/>
      <c r="I34191"/>
    </row>
    <row r="34192" spans="6:9" x14ac:dyDescent="0.3">
      <c r="F34192"/>
      <c r="G34192"/>
      <c r="H34192"/>
      <c r="I34192"/>
    </row>
    <row r="34193" spans="6:9" x14ac:dyDescent="0.3">
      <c r="F34193"/>
      <c r="G34193"/>
      <c r="H34193"/>
      <c r="I34193"/>
    </row>
    <row r="34194" spans="6:9" x14ac:dyDescent="0.3">
      <c r="F34194"/>
      <c r="G34194"/>
      <c r="H34194"/>
      <c r="I34194"/>
    </row>
    <row r="34195" spans="6:9" x14ac:dyDescent="0.3">
      <c r="F34195"/>
      <c r="G34195"/>
      <c r="H34195"/>
      <c r="I34195"/>
    </row>
    <row r="34196" spans="6:9" x14ac:dyDescent="0.3">
      <c r="F34196"/>
      <c r="G34196"/>
      <c r="H34196"/>
      <c r="I34196"/>
    </row>
    <row r="34197" spans="6:9" x14ac:dyDescent="0.3">
      <c r="F34197"/>
      <c r="G34197"/>
      <c r="H34197"/>
      <c r="I34197"/>
    </row>
    <row r="34198" spans="6:9" x14ac:dyDescent="0.3">
      <c r="F34198"/>
      <c r="G34198"/>
      <c r="H34198"/>
      <c r="I34198"/>
    </row>
    <row r="34199" spans="6:9" x14ac:dyDescent="0.3">
      <c r="F34199"/>
      <c r="G34199"/>
      <c r="H34199"/>
      <c r="I34199"/>
    </row>
    <row r="34200" spans="6:9" x14ac:dyDescent="0.3">
      <c r="F34200"/>
      <c r="G34200"/>
      <c r="H34200"/>
      <c r="I34200"/>
    </row>
    <row r="34201" spans="6:9" x14ac:dyDescent="0.3">
      <c r="F34201"/>
      <c r="G34201"/>
      <c r="H34201"/>
      <c r="I34201"/>
    </row>
    <row r="34202" spans="6:9" x14ac:dyDescent="0.3">
      <c r="F34202"/>
      <c r="G34202"/>
      <c r="H34202"/>
      <c r="I34202"/>
    </row>
    <row r="34203" spans="6:9" x14ac:dyDescent="0.3">
      <c r="F34203"/>
      <c r="G34203"/>
      <c r="H34203"/>
      <c r="I34203"/>
    </row>
    <row r="34204" spans="6:9" x14ac:dyDescent="0.3">
      <c r="F34204"/>
      <c r="G34204"/>
      <c r="H34204"/>
      <c r="I34204"/>
    </row>
    <row r="34205" spans="6:9" x14ac:dyDescent="0.3">
      <c r="F34205"/>
      <c r="G34205"/>
      <c r="H34205"/>
      <c r="I34205"/>
    </row>
    <row r="34206" spans="6:9" x14ac:dyDescent="0.3">
      <c r="F34206"/>
      <c r="G34206"/>
      <c r="H34206"/>
      <c r="I34206"/>
    </row>
    <row r="34207" spans="6:9" x14ac:dyDescent="0.3">
      <c r="F34207"/>
      <c r="G34207"/>
      <c r="H34207"/>
      <c r="I34207"/>
    </row>
    <row r="34208" spans="6:9" x14ac:dyDescent="0.3">
      <c r="F34208"/>
      <c r="G34208"/>
      <c r="H34208"/>
      <c r="I34208"/>
    </row>
    <row r="34209" spans="6:9" x14ac:dyDescent="0.3">
      <c r="F34209"/>
      <c r="G34209"/>
      <c r="H34209"/>
      <c r="I34209"/>
    </row>
    <row r="34210" spans="6:9" x14ac:dyDescent="0.3">
      <c r="F34210"/>
      <c r="G34210"/>
      <c r="H34210"/>
      <c r="I34210"/>
    </row>
    <row r="34211" spans="6:9" x14ac:dyDescent="0.3">
      <c r="F34211"/>
      <c r="G34211"/>
      <c r="H34211"/>
      <c r="I34211"/>
    </row>
    <row r="34212" spans="6:9" x14ac:dyDescent="0.3">
      <c r="F34212"/>
      <c r="G34212"/>
      <c r="H34212"/>
      <c r="I34212"/>
    </row>
    <row r="34213" spans="6:9" x14ac:dyDescent="0.3">
      <c r="F34213"/>
      <c r="G34213"/>
      <c r="H34213"/>
      <c r="I34213"/>
    </row>
    <row r="34214" spans="6:9" x14ac:dyDescent="0.3">
      <c r="F34214"/>
      <c r="G34214"/>
      <c r="H34214"/>
      <c r="I34214"/>
    </row>
    <row r="34215" spans="6:9" x14ac:dyDescent="0.3">
      <c r="F34215"/>
      <c r="G34215"/>
      <c r="H34215"/>
      <c r="I34215"/>
    </row>
    <row r="34216" spans="6:9" x14ac:dyDescent="0.3">
      <c r="F34216"/>
      <c r="G34216"/>
      <c r="H34216"/>
      <c r="I34216"/>
    </row>
    <row r="34217" spans="6:9" x14ac:dyDescent="0.3">
      <c r="F34217"/>
      <c r="G34217"/>
      <c r="H34217"/>
      <c r="I34217"/>
    </row>
    <row r="34218" spans="6:9" x14ac:dyDescent="0.3">
      <c r="F34218"/>
      <c r="G34218"/>
      <c r="H34218"/>
      <c r="I34218"/>
    </row>
    <row r="34219" spans="6:9" x14ac:dyDescent="0.3">
      <c r="F34219"/>
      <c r="G34219"/>
      <c r="H34219"/>
      <c r="I34219"/>
    </row>
    <row r="34220" spans="6:9" x14ac:dyDescent="0.3">
      <c r="F34220"/>
      <c r="G34220"/>
      <c r="H34220"/>
      <c r="I34220"/>
    </row>
    <row r="34221" spans="6:9" x14ac:dyDescent="0.3">
      <c r="F34221"/>
      <c r="G34221"/>
      <c r="H34221"/>
      <c r="I34221"/>
    </row>
    <row r="34222" spans="6:9" x14ac:dyDescent="0.3">
      <c r="F34222"/>
      <c r="G34222"/>
      <c r="H34222"/>
      <c r="I34222"/>
    </row>
    <row r="34223" spans="6:9" x14ac:dyDescent="0.3">
      <c r="F34223"/>
      <c r="G34223"/>
      <c r="H34223"/>
      <c r="I34223"/>
    </row>
    <row r="34224" spans="6:9" x14ac:dyDescent="0.3">
      <c r="F34224"/>
      <c r="G34224"/>
      <c r="H34224"/>
      <c r="I34224"/>
    </row>
    <row r="34225" spans="6:9" x14ac:dyDescent="0.3">
      <c r="F34225"/>
      <c r="G34225"/>
      <c r="H34225"/>
      <c r="I34225"/>
    </row>
    <row r="34226" spans="6:9" x14ac:dyDescent="0.3">
      <c r="F34226"/>
      <c r="G34226"/>
      <c r="H34226"/>
      <c r="I34226"/>
    </row>
    <row r="34227" spans="6:9" x14ac:dyDescent="0.3">
      <c r="F34227"/>
      <c r="G34227"/>
      <c r="H34227"/>
      <c r="I34227"/>
    </row>
    <row r="34228" spans="6:9" x14ac:dyDescent="0.3">
      <c r="F34228"/>
      <c r="G34228"/>
      <c r="H34228"/>
      <c r="I34228"/>
    </row>
    <row r="34229" spans="6:9" x14ac:dyDescent="0.3">
      <c r="F34229"/>
      <c r="G34229"/>
      <c r="H34229"/>
      <c r="I34229"/>
    </row>
    <row r="34230" spans="6:9" x14ac:dyDescent="0.3">
      <c r="F34230"/>
      <c r="G34230"/>
      <c r="H34230"/>
      <c r="I34230"/>
    </row>
    <row r="34231" spans="6:9" x14ac:dyDescent="0.3">
      <c r="F34231"/>
      <c r="G34231"/>
      <c r="H34231"/>
      <c r="I34231"/>
    </row>
    <row r="34232" spans="6:9" x14ac:dyDescent="0.3">
      <c r="F34232"/>
      <c r="G34232"/>
      <c r="H34232"/>
      <c r="I34232"/>
    </row>
    <row r="34233" spans="6:9" x14ac:dyDescent="0.3">
      <c r="F34233"/>
      <c r="G34233"/>
      <c r="H34233"/>
      <c r="I34233"/>
    </row>
    <row r="34234" spans="6:9" x14ac:dyDescent="0.3">
      <c r="F34234"/>
      <c r="G34234"/>
      <c r="H34234"/>
      <c r="I34234"/>
    </row>
    <row r="34235" spans="6:9" x14ac:dyDescent="0.3">
      <c r="F34235"/>
      <c r="G34235"/>
      <c r="H34235"/>
      <c r="I34235"/>
    </row>
    <row r="34236" spans="6:9" x14ac:dyDescent="0.3">
      <c r="F34236"/>
      <c r="G34236"/>
      <c r="H34236"/>
      <c r="I34236"/>
    </row>
    <row r="34237" spans="6:9" x14ac:dyDescent="0.3">
      <c r="F34237"/>
      <c r="G34237"/>
      <c r="H34237"/>
      <c r="I34237"/>
    </row>
    <row r="34238" spans="6:9" x14ac:dyDescent="0.3">
      <c r="F34238"/>
      <c r="G34238"/>
      <c r="H34238"/>
      <c r="I34238"/>
    </row>
    <row r="34239" spans="6:9" x14ac:dyDescent="0.3">
      <c r="F34239"/>
      <c r="G34239"/>
      <c r="H34239"/>
      <c r="I34239"/>
    </row>
    <row r="34240" spans="6:9" x14ac:dyDescent="0.3">
      <c r="F34240"/>
      <c r="G34240"/>
      <c r="H34240"/>
      <c r="I34240"/>
    </row>
    <row r="34241" spans="6:9" x14ac:dyDescent="0.3">
      <c r="F34241"/>
      <c r="G34241"/>
      <c r="H34241"/>
      <c r="I34241"/>
    </row>
    <row r="34242" spans="6:9" x14ac:dyDescent="0.3">
      <c r="F34242"/>
      <c r="G34242"/>
      <c r="H34242"/>
      <c r="I34242"/>
    </row>
    <row r="34243" spans="6:9" x14ac:dyDescent="0.3">
      <c r="F34243"/>
      <c r="G34243"/>
      <c r="H34243"/>
      <c r="I34243"/>
    </row>
    <row r="34244" spans="6:9" x14ac:dyDescent="0.3">
      <c r="F34244"/>
      <c r="G34244"/>
      <c r="H34244"/>
      <c r="I34244"/>
    </row>
    <row r="34245" spans="6:9" x14ac:dyDescent="0.3">
      <c r="F34245"/>
      <c r="G34245"/>
      <c r="H34245"/>
      <c r="I34245"/>
    </row>
    <row r="34246" spans="6:9" x14ac:dyDescent="0.3">
      <c r="F34246"/>
      <c r="G34246"/>
      <c r="H34246"/>
      <c r="I34246"/>
    </row>
    <row r="34247" spans="6:9" x14ac:dyDescent="0.3">
      <c r="F34247"/>
      <c r="G34247"/>
      <c r="H34247"/>
      <c r="I34247"/>
    </row>
    <row r="34248" spans="6:9" x14ac:dyDescent="0.3">
      <c r="F34248"/>
      <c r="G34248"/>
      <c r="H34248"/>
      <c r="I34248"/>
    </row>
    <row r="34249" spans="6:9" x14ac:dyDescent="0.3">
      <c r="F34249"/>
      <c r="G34249"/>
      <c r="H34249"/>
      <c r="I34249"/>
    </row>
    <row r="34250" spans="6:9" x14ac:dyDescent="0.3">
      <c r="F34250"/>
      <c r="G34250"/>
      <c r="H34250"/>
      <c r="I34250"/>
    </row>
    <row r="34251" spans="6:9" x14ac:dyDescent="0.3">
      <c r="F34251"/>
      <c r="G34251"/>
      <c r="H34251"/>
      <c r="I34251"/>
    </row>
    <row r="34252" spans="6:9" x14ac:dyDescent="0.3">
      <c r="F34252"/>
      <c r="G34252"/>
      <c r="H34252"/>
      <c r="I34252"/>
    </row>
    <row r="34253" spans="6:9" x14ac:dyDescent="0.3">
      <c r="F34253"/>
      <c r="G34253"/>
      <c r="H34253"/>
      <c r="I34253"/>
    </row>
    <row r="34254" spans="6:9" x14ac:dyDescent="0.3">
      <c r="F34254"/>
      <c r="G34254"/>
      <c r="H34254"/>
      <c r="I34254"/>
    </row>
    <row r="34255" spans="6:9" x14ac:dyDescent="0.3">
      <c r="F34255"/>
      <c r="G34255"/>
      <c r="H34255"/>
      <c r="I34255"/>
    </row>
    <row r="34256" spans="6:9" x14ac:dyDescent="0.3">
      <c r="F34256"/>
      <c r="G34256"/>
      <c r="H34256"/>
      <c r="I34256"/>
    </row>
    <row r="34257" spans="6:9" x14ac:dyDescent="0.3">
      <c r="F34257"/>
      <c r="G34257"/>
      <c r="H34257"/>
      <c r="I34257"/>
    </row>
    <row r="34258" spans="6:9" x14ac:dyDescent="0.3">
      <c r="F34258"/>
      <c r="G34258"/>
      <c r="H34258"/>
      <c r="I34258"/>
    </row>
    <row r="34259" spans="6:9" x14ac:dyDescent="0.3">
      <c r="F34259"/>
      <c r="G34259"/>
      <c r="H34259"/>
      <c r="I34259"/>
    </row>
    <row r="34260" spans="6:9" x14ac:dyDescent="0.3">
      <c r="F34260"/>
      <c r="G34260"/>
      <c r="H34260"/>
      <c r="I34260"/>
    </row>
    <row r="34261" spans="6:9" x14ac:dyDescent="0.3">
      <c r="F34261"/>
      <c r="G34261"/>
      <c r="H34261"/>
      <c r="I34261"/>
    </row>
    <row r="34262" spans="6:9" x14ac:dyDescent="0.3">
      <c r="F34262"/>
      <c r="G34262"/>
      <c r="H34262"/>
      <c r="I34262"/>
    </row>
    <row r="34263" spans="6:9" x14ac:dyDescent="0.3">
      <c r="F34263"/>
      <c r="G34263"/>
      <c r="H34263"/>
      <c r="I34263"/>
    </row>
    <row r="34264" spans="6:9" x14ac:dyDescent="0.3">
      <c r="F34264"/>
      <c r="G34264"/>
      <c r="H34264"/>
      <c r="I34264"/>
    </row>
    <row r="34265" spans="6:9" x14ac:dyDescent="0.3">
      <c r="F34265"/>
      <c r="G34265"/>
      <c r="H34265"/>
      <c r="I34265"/>
    </row>
    <row r="34266" spans="6:9" x14ac:dyDescent="0.3">
      <c r="F34266"/>
      <c r="G34266"/>
      <c r="H34266"/>
      <c r="I34266"/>
    </row>
    <row r="34267" spans="6:9" x14ac:dyDescent="0.3">
      <c r="F34267"/>
      <c r="G34267"/>
      <c r="H34267"/>
      <c r="I34267"/>
    </row>
    <row r="34268" spans="6:9" x14ac:dyDescent="0.3">
      <c r="F34268"/>
      <c r="G34268"/>
      <c r="H34268"/>
      <c r="I34268"/>
    </row>
    <row r="34269" spans="6:9" x14ac:dyDescent="0.3">
      <c r="F34269"/>
      <c r="G34269"/>
      <c r="H34269"/>
      <c r="I34269"/>
    </row>
    <row r="34270" spans="6:9" x14ac:dyDescent="0.3">
      <c r="F34270"/>
      <c r="G34270"/>
      <c r="H34270"/>
      <c r="I34270"/>
    </row>
    <row r="34271" spans="6:9" x14ac:dyDescent="0.3">
      <c r="F34271"/>
      <c r="G34271"/>
      <c r="H34271"/>
      <c r="I34271"/>
    </row>
    <row r="34272" spans="6:9" x14ac:dyDescent="0.3">
      <c r="F34272"/>
      <c r="G34272"/>
      <c r="H34272"/>
      <c r="I34272"/>
    </row>
    <row r="34273" spans="6:9" x14ac:dyDescent="0.3">
      <c r="F34273"/>
      <c r="G34273"/>
      <c r="H34273"/>
      <c r="I34273"/>
    </row>
    <row r="34274" spans="6:9" x14ac:dyDescent="0.3">
      <c r="F34274"/>
      <c r="G34274"/>
      <c r="H34274"/>
      <c r="I34274"/>
    </row>
    <row r="34275" spans="6:9" x14ac:dyDescent="0.3">
      <c r="F34275"/>
      <c r="G34275"/>
      <c r="H34275"/>
      <c r="I34275"/>
    </row>
    <row r="34276" spans="6:9" x14ac:dyDescent="0.3">
      <c r="F34276"/>
      <c r="G34276"/>
      <c r="H34276"/>
      <c r="I34276"/>
    </row>
    <row r="34277" spans="6:9" x14ac:dyDescent="0.3">
      <c r="F34277"/>
      <c r="G34277"/>
      <c r="H34277"/>
      <c r="I34277"/>
    </row>
    <row r="34278" spans="6:9" x14ac:dyDescent="0.3">
      <c r="F34278"/>
      <c r="G34278"/>
      <c r="H34278"/>
      <c r="I34278"/>
    </row>
    <row r="34279" spans="6:9" x14ac:dyDescent="0.3">
      <c r="F34279"/>
      <c r="G34279"/>
      <c r="H34279"/>
      <c r="I34279"/>
    </row>
    <row r="34280" spans="6:9" x14ac:dyDescent="0.3">
      <c r="F34280"/>
      <c r="G34280"/>
      <c r="H34280"/>
      <c r="I34280"/>
    </row>
    <row r="34281" spans="6:9" x14ac:dyDescent="0.3">
      <c r="F34281"/>
      <c r="G34281"/>
      <c r="H34281"/>
      <c r="I34281"/>
    </row>
    <row r="34282" spans="6:9" x14ac:dyDescent="0.3">
      <c r="F34282"/>
      <c r="G34282"/>
      <c r="H34282"/>
      <c r="I34282"/>
    </row>
    <row r="34283" spans="6:9" x14ac:dyDescent="0.3">
      <c r="F34283"/>
      <c r="G34283"/>
      <c r="H34283"/>
      <c r="I34283"/>
    </row>
    <row r="34284" spans="6:9" x14ac:dyDescent="0.3">
      <c r="F34284"/>
      <c r="G34284"/>
      <c r="H34284"/>
      <c r="I34284"/>
    </row>
    <row r="34285" spans="6:9" x14ac:dyDescent="0.3">
      <c r="F34285"/>
      <c r="G34285"/>
      <c r="H34285"/>
      <c r="I34285"/>
    </row>
    <row r="34286" spans="6:9" x14ac:dyDescent="0.3">
      <c r="F34286"/>
      <c r="G34286"/>
      <c r="H34286"/>
      <c r="I34286"/>
    </row>
    <row r="34287" spans="6:9" x14ac:dyDescent="0.3">
      <c r="F34287"/>
      <c r="G34287"/>
      <c r="H34287"/>
      <c r="I34287"/>
    </row>
    <row r="34288" spans="6:9" x14ac:dyDescent="0.3">
      <c r="F34288"/>
      <c r="G34288"/>
      <c r="H34288"/>
      <c r="I34288"/>
    </row>
    <row r="34289" spans="6:9" x14ac:dyDescent="0.3">
      <c r="F34289"/>
      <c r="G34289"/>
      <c r="H34289"/>
      <c r="I34289"/>
    </row>
    <row r="34290" spans="6:9" x14ac:dyDescent="0.3">
      <c r="F34290"/>
      <c r="G34290"/>
      <c r="H34290"/>
      <c r="I34290"/>
    </row>
    <row r="34291" spans="6:9" x14ac:dyDescent="0.3">
      <c r="F34291"/>
      <c r="G34291"/>
      <c r="H34291"/>
      <c r="I34291"/>
    </row>
    <row r="34292" spans="6:9" x14ac:dyDescent="0.3">
      <c r="F34292"/>
      <c r="G34292"/>
      <c r="H34292"/>
      <c r="I34292"/>
    </row>
    <row r="34293" spans="6:9" x14ac:dyDescent="0.3">
      <c r="F34293"/>
      <c r="G34293"/>
      <c r="H34293"/>
      <c r="I34293"/>
    </row>
    <row r="34294" spans="6:9" x14ac:dyDescent="0.3">
      <c r="F34294"/>
      <c r="G34294"/>
      <c r="H34294"/>
      <c r="I34294"/>
    </row>
    <row r="34295" spans="6:9" x14ac:dyDescent="0.3">
      <c r="F34295"/>
      <c r="G34295"/>
      <c r="H34295"/>
      <c r="I34295"/>
    </row>
    <row r="34296" spans="6:9" x14ac:dyDescent="0.3">
      <c r="F34296"/>
      <c r="G34296"/>
      <c r="H34296"/>
      <c r="I34296"/>
    </row>
    <row r="34297" spans="6:9" x14ac:dyDescent="0.3">
      <c r="F34297"/>
      <c r="G34297"/>
      <c r="H34297"/>
      <c r="I34297"/>
    </row>
    <row r="34298" spans="6:9" x14ac:dyDescent="0.3">
      <c r="F34298"/>
      <c r="G34298"/>
      <c r="H34298"/>
      <c r="I34298"/>
    </row>
    <row r="34299" spans="6:9" x14ac:dyDescent="0.3">
      <c r="F34299"/>
      <c r="G34299"/>
      <c r="H34299"/>
      <c r="I34299"/>
    </row>
    <row r="34300" spans="6:9" x14ac:dyDescent="0.3">
      <c r="F34300"/>
      <c r="G34300"/>
      <c r="H34300"/>
      <c r="I34300"/>
    </row>
    <row r="34301" spans="6:9" x14ac:dyDescent="0.3">
      <c r="F34301"/>
      <c r="G34301"/>
      <c r="H34301"/>
      <c r="I34301"/>
    </row>
    <row r="34302" spans="6:9" x14ac:dyDescent="0.3">
      <c r="F34302"/>
      <c r="G34302"/>
      <c r="H34302"/>
      <c r="I34302"/>
    </row>
    <row r="34303" spans="6:9" x14ac:dyDescent="0.3">
      <c r="F34303"/>
      <c r="G34303"/>
      <c r="H34303"/>
      <c r="I34303"/>
    </row>
    <row r="34304" spans="6:9" x14ac:dyDescent="0.3">
      <c r="F34304"/>
      <c r="G34304"/>
      <c r="H34304"/>
      <c r="I34304"/>
    </row>
    <row r="34305" spans="6:9" x14ac:dyDescent="0.3">
      <c r="F34305"/>
      <c r="G34305"/>
      <c r="H34305"/>
      <c r="I34305"/>
    </row>
    <row r="34306" spans="6:9" x14ac:dyDescent="0.3">
      <c r="F34306"/>
      <c r="G34306"/>
      <c r="H34306"/>
      <c r="I34306"/>
    </row>
    <row r="34307" spans="6:9" x14ac:dyDescent="0.3">
      <c r="F34307"/>
      <c r="G34307"/>
      <c r="H34307"/>
      <c r="I34307"/>
    </row>
    <row r="34308" spans="6:9" x14ac:dyDescent="0.3">
      <c r="F34308"/>
      <c r="G34308"/>
      <c r="H34308"/>
      <c r="I34308"/>
    </row>
    <row r="34309" spans="6:9" x14ac:dyDescent="0.3">
      <c r="F34309"/>
      <c r="G34309"/>
      <c r="H34309"/>
      <c r="I34309"/>
    </row>
    <row r="34310" spans="6:9" x14ac:dyDescent="0.3">
      <c r="F34310"/>
      <c r="G34310"/>
      <c r="H34310"/>
      <c r="I34310"/>
    </row>
    <row r="34311" spans="6:9" x14ac:dyDescent="0.3">
      <c r="F34311"/>
      <c r="G34311"/>
      <c r="H34311"/>
      <c r="I34311"/>
    </row>
    <row r="34312" spans="6:9" x14ac:dyDescent="0.3">
      <c r="F34312"/>
      <c r="G34312"/>
      <c r="H34312"/>
      <c r="I34312"/>
    </row>
    <row r="34313" spans="6:9" x14ac:dyDescent="0.3">
      <c r="F34313"/>
      <c r="G34313"/>
      <c r="H34313"/>
      <c r="I34313"/>
    </row>
    <row r="34314" spans="6:9" x14ac:dyDescent="0.3">
      <c r="F34314"/>
      <c r="G34314"/>
      <c r="H34314"/>
      <c r="I34314"/>
    </row>
    <row r="34315" spans="6:9" x14ac:dyDescent="0.3">
      <c r="F34315"/>
      <c r="G34315"/>
      <c r="H34315"/>
      <c r="I34315"/>
    </row>
    <row r="34316" spans="6:9" x14ac:dyDescent="0.3">
      <c r="F34316"/>
      <c r="G34316"/>
      <c r="H34316"/>
      <c r="I34316"/>
    </row>
    <row r="34317" spans="6:9" x14ac:dyDescent="0.3">
      <c r="F34317"/>
      <c r="G34317"/>
      <c r="H34317"/>
      <c r="I34317"/>
    </row>
    <row r="34318" spans="6:9" x14ac:dyDescent="0.3">
      <c r="F34318"/>
      <c r="G34318"/>
      <c r="H34318"/>
      <c r="I34318"/>
    </row>
    <row r="34319" spans="6:9" x14ac:dyDescent="0.3">
      <c r="F34319"/>
      <c r="G34319"/>
      <c r="H34319"/>
      <c r="I34319"/>
    </row>
    <row r="34320" spans="6:9" x14ac:dyDescent="0.3">
      <c r="F34320"/>
      <c r="G34320"/>
      <c r="H34320"/>
      <c r="I34320"/>
    </row>
    <row r="34321" spans="6:9" x14ac:dyDescent="0.3">
      <c r="F34321"/>
      <c r="G34321"/>
      <c r="H34321"/>
      <c r="I34321"/>
    </row>
    <row r="34322" spans="6:9" x14ac:dyDescent="0.3">
      <c r="F34322"/>
      <c r="G34322"/>
      <c r="H34322"/>
      <c r="I34322"/>
    </row>
    <row r="34323" spans="6:9" x14ac:dyDescent="0.3">
      <c r="F34323"/>
      <c r="G34323"/>
      <c r="H34323"/>
      <c r="I34323"/>
    </row>
    <row r="34324" spans="6:9" x14ac:dyDescent="0.3">
      <c r="F34324"/>
      <c r="G34324"/>
      <c r="H34324"/>
      <c r="I34324"/>
    </row>
    <row r="34325" spans="6:9" x14ac:dyDescent="0.3">
      <c r="F34325"/>
      <c r="G34325"/>
      <c r="H34325"/>
      <c r="I34325"/>
    </row>
    <row r="34326" spans="6:9" x14ac:dyDescent="0.3">
      <c r="F34326"/>
      <c r="G34326"/>
      <c r="H34326"/>
      <c r="I34326"/>
    </row>
    <row r="34327" spans="6:9" x14ac:dyDescent="0.3">
      <c r="F34327"/>
      <c r="G34327"/>
      <c r="H34327"/>
      <c r="I34327"/>
    </row>
    <row r="34328" spans="6:9" x14ac:dyDescent="0.3">
      <c r="F34328"/>
      <c r="G34328"/>
      <c r="H34328"/>
      <c r="I34328"/>
    </row>
    <row r="34329" spans="6:9" x14ac:dyDescent="0.3">
      <c r="F34329"/>
      <c r="G34329"/>
      <c r="H34329"/>
      <c r="I34329"/>
    </row>
    <row r="34330" spans="6:9" x14ac:dyDescent="0.3">
      <c r="F34330"/>
      <c r="G34330"/>
      <c r="H34330"/>
      <c r="I34330"/>
    </row>
    <row r="34331" spans="6:9" x14ac:dyDescent="0.3">
      <c r="F34331"/>
      <c r="G34331"/>
      <c r="H34331"/>
      <c r="I34331"/>
    </row>
    <row r="34332" spans="6:9" x14ac:dyDescent="0.3">
      <c r="F34332"/>
      <c r="G34332"/>
      <c r="H34332"/>
      <c r="I34332"/>
    </row>
    <row r="34333" spans="6:9" x14ac:dyDescent="0.3">
      <c r="F34333"/>
      <c r="G34333"/>
      <c r="H34333"/>
      <c r="I34333"/>
    </row>
    <row r="34334" spans="6:9" x14ac:dyDescent="0.3">
      <c r="F34334"/>
      <c r="G34334"/>
      <c r="H34334"/>
      <c r="I34334"/>
    </row>
    <row r="34335" spans="6:9" x14ac:dyDescent="0.3">
      <c r="F34335"/>
      <c r="G34335"/>
      <c r="H34335"/>
      <c r="I34335"/>
    </row>
    <row r="34336" spans="6:9" x14ac:dyDescent="0.3">
      <c r="F34336"/>
      <c r="G34336"/>
      <c r="H34336"/>
      <c r="I34336"/>
    </row>
    <row r="34337" spans="6:9" x14ac:dyDescent="0.3">
      <c r="F34337"/>
      <c r="G34337"/>
      <c r="H34337"/>
      <c r="I34337"/>
    </row>
    <row r="34338" spans="6:9" x14ac:dyDescent="0.3">
      <c r="F34338"/>
      <c r="G34338"/>
      <c r="H34338"/>
      <c r="I34338"/>
    </row>
    <row r="34339" spans="6:9" x14ac:dyDescent="0.3">
      <c r="F34339"/>
      <c r="G34339"/>
      <c r="H34339"/>
      <c r="I34339"/>
    </row>
    <row r="34340" spans="6:9" x14ac:dyDescent="0.3">
      <c r="F34340"/>
      <c r="G34340"/>
      <c r="H34340"/>
      <c r="I34340"/>
    </row>
    <row r="34341" spans="6:9" x14ac:dyDescent="0.3">
      <c r="F34341"/>
      <c r="G34341"/>
      <c r="H34341"/>
      <c r="I34341"/>
    </row>
    <row r="34342" spans="6:9" x14ac:dyDescent="0.3">
      <c r="F34342"/>
      <c r="G34342"/>
      <c r="H34342"/>
      <c r="I34342"/>
    </row>
    <row r="34343" spans="6:9" x14ac:dyDescent="0.3">
      <c r="F34343"/>
      <c r="G34343"/>
      <c r="H34343"/>
      <c r="I34343"/>
    </row>
    <row r="34344" spans="6:9" x14ac:dyDescent="0.3">
      <c r="F34344"/>
      <c r="G34344"/>
      <c r="H34344"/>
      <c r="I34344"/>
    </row>
    <row r="34345" spans="6:9" x14ac:dyDescent="0.3">
      <c r="F34345"/>
      <c r="G34345"/>
      <c r="H34345"/>
      <c r="I34345"/>
    </row>
    <row r="34346" spans="6:9" x14ac:dyDescent="0.3">
      <c r="F34346"/>
      <c r="G34346"/>
      <c r="H34346"/>
      <c r="I34346"/>
    </row>
    <row r="34347" spans="6:9" x14ac:dyDescent="0.3">
      <c r="F34347"/>
      <c r="G34347"/>
      <c r="H34347"/>
      <c r="I34347"/>
    </row>
    <row r="34348" spans="6:9" x14ac:dyDescent="0.3">
      <c r="F34348"/>
      <c r="G34348"/>
      <c r="H34348"/>
      <c r="I34348"/>
    </row>
    <row r="34349" spans="6:9" x14ac:dyDescent="0.3">
      <c r="F34349"/>
      <c r="G34349"/>
      <c r="H34349"/>
      <c r="I34349"/>
    </row>
    <row r="34350" spans="6:9" x14ac:dyDescent="0.3">
      <c r="F34350"/>
      <c r="G34350"/>
      <c r="H34350"/>
      <c r="I34350"/>
    </row>
    <row r="34351" spans="6:9" x14ac:dyDescent="0.3">
      <c r="F34351"/>
      <c r="G34351"/>
      <c r="H34351"/>
      <c r="I34351"/>
    </row>
    <row r="34352" spans="6:9" x14ac:dyDescent="0.3">
      <c r="F34352"/>
      <c r="G34352"/>
      <c r="H34352"/>
      <c r="I34352"/>
    </row>
    <row r="34353" spans="6:9" x14ac:dyDescent="0.3">
      <c r="F34353"/>
      <c r="G34353"/>
      <c r="H34353"/>
      <c r="I34353"/>
    </row>
    <row r="34354" spans="6:9" x14ac:dyDescent="0.3">
      <c r="F34354"/>
      <c r="G34354"/>
      <c r="H34354"/>
      <c r="I34354"/>
    </row>
    <row r="34355" spans="6:9" x14ac:dyDescent="0.3">
      <c r="F34355"/>
      <c r="G34355"/>
      <c r="H34355"/>
      <c r="I34355"/>
    </row>
    <row r="34356" spans="6:9" x14ac:dyDescent="0.3">
      <c r="F34356"/>
      <c r="G34356"/>
      <c r="H34356"/>
      <c r="I34356"/>
    </row>
    <row r="34357" spans="6:9" x14ac:dyDescent="0.3">
      <c r="F34357"/>
      <c r="G34357"/>
      <c r="H34357"/>
      <c r="I34357"/>
    </row>
    <row r="34358" spans="6:9" x14ac:dyDescent="0.3">
      <c r="F34358"/>
      <c r="G34358"/>
      <c r="H34358"/>
      <c r="I34358"/>
    </row>
    <row r="34359" spans="6:9" x14ac:dyDescent="0.3">
      <c r="F34359"/>
      <c r="G34359"/>
      <c r="H34359"/>
      <c r="I34359"/>
    </row>
    <row r="34360" spans="6:9" x14ac:dyDescent="0.3">
      <c r="F34360"/>
      <c r="G34360"/>
      <c r="H34360"/>
      <c r="I34360"/>
    </row>
    <row r="34361" spans="6:9" x14ac:dyDescent="0.3">
      <c r="F34361"/>
      <c r="G34361"/>
      <c r="H34361"/>
      <c r="I34361"/>
    </row>
    <row r="34362" spans="6:9" x14ac:dyDescent="0.3">
      <c r="F34362"/>
      <c r="G34362"/>
      <c r="H34362"/>
      <c r="I34362"/>
    </row>
    <row r="34363" spans="6:9" x14ac:dyDescent="0.3">
      <c r="F34363"/>
      <c r="G34363"/>
      <c r="H34363"/>
      <c r="I34363"/>
    </row>
    <row r="34364" spans="6:9" x14ac:dyDescent="0.3">
      <c r="F34364"/>
      <c r="G34364"/>
      <c r="H34364"/>
      <c r="I34364"/>
    </row>
    <row r="34365" spans="6:9" x14ac:dyDescent="0.3">
      <c r="F34365"/>
      <c r="G34365"/>
      <c r="H34365"/>
      <c r="I34365"/>
    </row>
    <row r="34366" spans="6:9" x14ac:dyDescent="0.3">
      <c r="F34366"/>
      <c r="G34366"/>
      <c r="H34366"/>
      <c r="I34366"/>
    </row>
    <row r="34367" spans="6:9" x14ac:dyDescent="0.3">
      <c r="F34367"/>
      <c r="G34367"/>
      <c r="H34367"/>
      <c r="I34367"/>
    </row>
    <row r="34368" spans="6:9" x14ac:dyDescent="0.3">
      <c r="F34368"/>
      <c r="G34368"/>
      <c r="H34368"/>
      <c r="I34368"/>
    </row>
    <row r="34369" spans="6:9" x14ac:dyDescent="0.3">
      <c r="F34369"/>
      <c r="G34369"/>
      <c r="H34369"/>
      <c r="I34369"/>
    </row>
    <row r="34370" spans="6:9" x14ac:dyDescent="0.3">
      <c r="F34370"/>
      <c r="G34370"/>
      <c r="H34370"/>
      <c r="I34370"/>
    </row>
    <row r="34371" spans="6:9" x14ac:dyDescent="0.3">
      <c r="F34371"/>
      <c r="G34371"/>
      <c r="H34371"/>
      <c r="I34371"/>
    </row>
    <row r="34372" spans="6:9" x14ac:dyDescent="0.3">
      <c r="F34372"/>
      <c r="G34372"/>
      <c r="H34372"/>
      <c r="I34372"/>
    </row>
    <row r="34373" spans="6:9" x14ac:dyDescent="0.3">
      <c r="F34373"/>
      <c r="G34373"/>
      <c r="H34373"/>
      <c r="I34373"/>
    </row>
    <row r="34374" spans="6:9" x14ac:dyDescent="0.3">
      <c r="F34374"/>
      <c r="G34374"/>
      <c r="H34374"/>
      <c r="I34374"/>
    </row>
    <row r="34375" spans="6:9" x14ac:dyDescent="0.3">
      <c r="F34375"/>
      <c r="G34375"/>
      <c r="H34375"/>
      <c r="I34375"/>
    </row>
    <row r="34376" spans="6:9" x14ac:dyDescent="0.3">
      <c r="F34376"/>
      <c r="G34376"/>
      <c r="H34376"/>
      <c r="I34376"/>
    </row>
    <row r="34377" spans="6:9" x14ac:dyDescent="0.3">
      <c r="F34377"/>
      <c r="G34377"/>
      <c r="H34377"/>
      <c r="I34377"/>
    </row>
    <row r="34378" spans="6:9" x14ac:dyDescent="0.3">
      <c r="F34378"/>
      <c r="G34378"/>
      <c r="H34378"/>
      <c r="I34378"/>
    </row>
    <row r="34379" spans="6:9" x14ac:dyDescent="0.3">
      <c r="F34379"/>
      <c r="G34379"/>
      <c r="H34379"/>
      <c r="I34379"/>
    </row>
    <row r="34380" spans="6:9" x14ac:dyDescent="0.3">
      <c r="F34380"/>
      <c r="G34380"/>
      <c r="H34380"/>
      <c r="I34380"/>
    </row>
    <row r="34381" spans="6:9" x14ac:dyDescent="0.3">
      <c r="F34381"/>
      <c r="G34381"/>
      <c r="H34381"/>
      <c r="I34381"/>
    </row>
    <row r="34382" spans="6:9" x14ac:dyDescent="0.3">
      <c r="F34382"/>
      <c r="G34382"/>
      <c r="H34382"/>
      <c r="I34382"/>
    </row>
    <row r="34383" spans="6:9" x14ac:dyDescent="0.3">
      <c r="F34383"/>
      <c r="G34383"/>
      <c r="H34383"/>
      <c r="I34383"/>
    </row>
    <row r="34384" spans="6:9" x14ac:dyDescent="0.3">
      <c r="F34384"/>
      <c r="G34384"/>
      <c r="H34384"/>
      <c r="I34384"/>
    </row>
    <row r="34385" spans="6:9" x14ac:dyDescent="0.3">
      <c r="F34385"/>
      <c r="G34385"/>
      <c r="H34385"/>
      <c r="I34385"/>
    </row>
    <row r="34386" spans="6:9" x14ac:dyDescent="0.3">
      <c r="F34386"/>
      <c r="G34386"/>
      <c r="H34386"/>
      <c r="I34386"/>
    </row>
    <row r="34387" spans="6:9" x14ac:dyDescent="0.3">
      <c r="F34387"/>
      <c r="G34387"/>
      <c r="H34387"/>
      <c r="I34387"/>
    </row>
    <row r="34388" spans="6:9" x14ac:dyDescent="0.3">
      <c r="F34388"/>
      <c r="G34388"/>
      <c r="H34388"/>
      <c r="I34388"/>
    </row>
    <row r="34389" spans="6:9" x14ac:dyDescent="0.3">
      <c r="F34389"/>
      <c r="G34389"/>
      <c r="H34389"/>
      <c r="I34389"/>
    </row>
    <row r="34390" spans="6:9" x14ac:dyDescent="0.3">
      <c r="F34390"/>
      <c r="G34390"/>
      <c r="H34390"/>
      <c r="I34390"/>
    </row>
    <row r="34391" spans="6:9" x14ac:dyDescent="0.3">
      <c r="F34391"/>
      <c r="G34391"/>
      <c r="H34391"/>
      <c r="I34391"/>
    </row>
    <row r="34392" spans="6:9" x14ac:dyDescent="0.3">
      <c r="F34392"/>
      <c r="G34392"/>
      <c r="H34392"/>
      <c r="I34392"/>
    </row>
    <row r="34393" spans="6:9" x14ac:dyDescent="0.3">
      <c r="F34393"/>
      <c r="G34393"/>
      <c r="H34393"/>
      <c r="I34393"/>
    </row>
    <row r="34394" spans="6:9" x14ac:dyDescent="0.3">
      <c r="F34394"/>
      <c r="G34394"/>
      <c r="H34394"/>
      <c r="I34394"/>
    </row>
    <row r="34395" spans="6:9" x14ac:dyDescent="0.3">
      <c r="F34395"/>
      <c r="G34395"/>
      <c r="H34395"/>
      <c r="I34395"/>
    </row>
    <row r="34396" spans="6:9" x14ac:dyDescent="0.3">
      <c r="F34396"/>
      <c r="G34396"/>
      <c r="H34396"/>
      <c r="I34396"/>
    </row>
    <row r="34397" spans="6:9" x14ac:dyDescent="0.3">
      <c r="F34397"/>
      <c r="G34397"/>
      <c r="H34397"/>
      <c r="I34397"/>
    </row>
    <row r="34398" spans="6:9" x14ac:dyDescent="0.3">
      <c r="F34398"/>
      <c r="G34398"/>
      <c r="H34398"/>
      <c r="I34398"/>
    </row>
    <row r="34399" spans="6:9" x14ac:dyDescent="0.3">
      <c r="F34399"/>
      <c r="G34399"/>
      <c r="H34399"/>
      <c r="I34399"/>
    </row>
    <row r="34400" spans="6:9" x14ac:dyDescent="0.3">
      <c r="F34400"/>
      <c r="G34400"/>
      <c r="H34400"/>
      <c r="I34400"/>
    </row>
    <row r="34401" spans="6:9" x14ac:dyDescent="0.3">
      <c r="F34401"/>
      <c r="G34401"/>
      <c r="H34401"/>
      <c r="I34401"/>
    </row>
    <row r="34402" spans="6:9" x14ac:dyDescent="0.3">
      <c r="F34402"/>
      <c r="G34402"/>
      <c r="H34402"/>
      <c r="I34402"/>
    </row>
    <row r="34403" spans="6:9" x14ac:dyDescent="0.3">
      <c r="F34403"/>
      <c r="G34403"/>
      <c r="H34403"/>
      <c r="I34403"/>
    </row>
    <row r="34404" spans="6:9" x14ac:dyDescent="0.3">
      <c r="F34404"/>
      <c r="G34404"/>
      <c r="H34404"/>
      <c r="I34404"/>
    </row>
    <row r="34405" spans="6:9" x14ac:dyDescent="0.3">
      <c r="F34405"/>
      <c r="G34405"/>
      <c r="H34405"/>
      <c r="I34405"/>
    </row>
    <row r="34406" spans="6:9" x14ac:dyDescent="0.3">
      <c r="F34406"/>
      <c r="G34406"/>
      <c r="H34406"/>
      <c r="I34406"/>
    </row>
    <row r="34407" spans="6:9" x14ac:dyDescent="0.3">
      <c r="F34407"/>
      <c r="G34407"/>
      <c r="H34407"/>
      <c r="I34407"/>
    </row>
    <row r="34408" spans="6:9" x14ac:dyDescent="0.3">
      <c r="F34408"/>
      <c r="G34408"/>
      <c r="H34408"/>
      <c r="I34408"/>
    </row>
    <row r="34409" spans="6:9" x14ac:dyDescent="0.3">
      <c r="F34409"/>
      <c r="G34409"/>
      <c r="H34409"/>
      <c r="I34409"/>
    </row>
    <row r="34410" spans="6:9" x14ac:dyDescent="0.3">
      <c r="F34410"/>
      <c r="G34410"/>
      <c r="H34410"/>
      <c r="I34410"/>
    </row>
    <row r="34411" spans="6:9" x14ac:dyDescent="0.3">
      <c r="F34411"/>
      <c r="G34411"/>
      <c r="H34411"/>
      <c r="I34411"/>
    </row>
    <row r="34412" spans="6:9" x14ac:dyDescent="0.3">
      <c r="F34412"/>
      <c r="G34412"/>
      <c r="H34412"/>
      <c r="I34412"/>
    </row>
    <row r="34413" spans="6:9" x14ac:dyDescent="0.3">
      <c r="F34413"/>
      <c r="G34413"/>
      <c r="H34413"/>
      <c r="I34413"/>
    </row>
    <row r="34414" spans="6:9" x14ac:dyDescent="0.3">
      <c r="F34414"/>
      <c r="G34414"/>
      <c r="H34414"/>
      <c r="I34414"/>
    </row>
    <row r="34415" spans="6:9" x14ac:dyDescent="0.3">
      <c r="F34415"/>
      <c r="G34415"/>
      <c r="H34415"/>
      <c r="I34415"/>
    </row>
    <row r="34416" spans="6:9" x14ac:dyDescent="0.3">
      <c r="F34416"/>
      <c r="G34416"/>
      <c r="H34416"/>
      <c r="I34416"/>
    </row>
    <row r="34417" spans="6:9" x14ac:dyDescent="0.3">
      <c r="F34417"/>
      <c r="G34417"/>
      <c r="H34417"/>
      <c r="I34417"/>
    </row>
    <row r="34418" spans="6:9" x14ac:dyDescent="0.3">
      <c r="F34418"/>
      <c r="G34418"/>
      <c r="H34418"/>
      <c r="I34418"/>
    </row>
    <row r="34419" spans="6:9" x14ac:dyDescent="0.3">
      <c r="F34419"/>
      <c r="G34419"/>
      <c r="H34419"/>
      <c r="I34419"/>
    </row>
    <row r="34420" spans="6:9" x14ac:dyDescent="0.3">
      <c r="F34420"/>
      <c r="G34420"/>
      <c r="H34420"/>
      <c r="I34420"/>
    </row>
    <row r="34421" spans="6:9" x14ac:dyDescent="0.3">
      <c r="F34421"/>
      <c r="G34421"/>
      <c r="H34421"/>
      <c r="I34421"/>
    </row>
    <row r="34422" spans="6:9" x14ac:dyDescent="0.3">
      <c r="F34422"/>
      <c r="G34422"/>
      <c r="H34422"/>
      <c r="I34422"/>
    </row>
    <row r="34423" spans="6:9" x14ac:dyDescent="0.3">
      <c r="F34423"/>
      <c r="G34423"/>
      <c r="H34423"/>
      <c r="I34423"/>
    </row>
    <row r="34424" spans="6:9" x14ac:dyDescent="0.3">
      <c r="F34424"/>
      <c r="G34424"/>
      <c r="H34424"/>
      <c r="I34424"/>
    </row>
    <row r="34425" spans="6:9" x14ac:dyDescent="0.3">
      <c r="F34425"/>
      <c r="G34425"/>
      <c r="H34425"/>
      <c r="I34425"/>
    </row>
    <row r="34426" spans="6:9" x14ac:dyDescent="0.3">
      <c r="F34426"/>
      <c r="G34426"/>
      <c r="H34426"/>
      <c r="I34426"/>
    </row>
    <row r="34427" spans="6:9" x14ac:dyDescent="0.3">
      <c r="F34427"/>
      <c r="G34427"/>
      <c r="H34427"/>
      <c r="I34427"/>
    </row>
    <row r="34428" spans="6:9" x14ac:dyDescent="0.3">
      <c r="F34428"/>
      <c r="G34428"/>
      <c r="H34428"/>
      <c r="I34428"/>
    </row>
    <row r="34429" spans="6:9" x14ac:dyDescent="0.3">
      <c r="F34429"/>
      <c r="G34429"/>
      <c r="H34429"/>
      <c r="I34429"/>
    </row>
    <row r="34430" spans="6:9" x14ac:dyDescent="0.3">
      <c r="F34430"/>
      <c r="G34430"/>
      <c r="H34430"/>
      <c r="I34430"/>
    </row>
    <row r="34431" spans="6:9" x14ac:dyDescent="0.3">
      <c r="F34431"/>
      <c r="G34431"/>
      <c r="H34431"/>
      <c r="I34431"/>
    </row>
    <row r="34432" spans="6:9" x14ac:dyDescent="0.3">
      <c r="F34432"/>
      <c r="G34432"/>
      <c r="H34432"/>
      <c r="I34432"/>
    </row>
    <row r="34433" spans="6:9" x14ac:dyDescent="0.3">
      <c r="F34433"/>
      <c r="G34433"/>
      <c r="H34433"/>
      <c r="I34433"/>
    </row>
    <row r="34434" spans="6:9" x14ac:dyDescent="0.3">
      <c r="F34434"/>
      <c r="G34434"/>
      <c r="H34434"/>
      <c r="I34434"/>
    </row>
    <row r="34435" spans="6:9" x14ac:dyDescent="0.3">
      <c r="F34435"/>
      <c r="G34435"/>
      <c r="H34435"/>
      <c r="I34435"/>
    </row>
    <row r="34436" spans="6:9" x14ac:dyDescent="0.3">
      <c r="F34436"/>
      <c r="G34436"/>
      <c r="H34436"/>
      <c r="I34436"/>
    </row>
    <row r="34437" spans="6:9" x14ac:dyDescent="0.3">
      <c r="F34437"/>
      <c r="G34437"/>
      <c r="H34437"/>
      <c r="I34437"/>
    </row>
    <row r="34438" spans="6:9" x14ac:dyDescent="0.3">
      <c r="F34438"/>
      <c r="G34438"/>
      <c r="H34438"/>
      <c r="I34438"/>
    </row>
    <row r="34439" spans="6:9" x14ac:dyDescent="0.3">
      <c r="F34439"/>
      <c r="G34439"/>
      <c r="H34439"/>
      <c r="I34439"/>
    </row>
    <row r="34440" spans="6:9" x14ac:dyDescent="0.3">
      <c r="F34440"/>
      <c r="G34440"/>
      <c r="H34440"/>
      <c r="I34440"/>
    </row>
    <row r="34441" spans="6:9" x14ac:dyDescent="0.3">
      <c r="F34441"/>
      <c r="G34441"/>
      <c r="H34441"/>
      <c r="I34441"/>
    </row>
    <row r="34442" spans="6:9" x14ac:dyDescent="0.3">
      <c r="F34442"/>
      <c r="G34442"/>
      <c r="H34442"/>
      <c r="I34442"/>
    </row>
    <row r="34443" spans="6:9" x14ac:dyDescent="0.3">
      <c r="F34443"/>
      <c r="G34443"/>
      <c r="H34443"/>
      <c r="I34443"/>
    </row>
    <row r="34444" spans="6:9" x14ac:dyDescent="0.3">
      <c r="F34444"/>
      <c r="G34444"/>
      <c r="H34444"/>
      <c r="I34444"/>
    </row>
    <row r="34445" spans="6:9" x14ac:dyDescent="0.3">
      <c r="F34445"/>
      <c r="G34445"/>
      <c r="H34445"/>
      <c r="I34445"/>
    </row>
    <row r="34446" spans="6:9" x14ac:dyDescent="0.3">
      <c r="F34446"/>
      <c r="G34446"/>
      <c r="H34446"/>
      <c r="I34446"/>
    </row>
    <row r="34447" spans="6:9" x14ac:dyDescent="0.3">
      <c r="F34447"/>
      <c r="G34447"/>
      <c r="H34447"/>
      <c r="I34447"/>
    </row>
    <row r="34448" spans="6:9" x14ac:dyDescent="0.3">
      <c r="F34448"/>
      <c r="G34448"/>
      <c r="H34448"/>
      <c r="I34448"/>
    </row>
    <row r="34449" spans="6:9" x14ac:dyDescent="0.3">
      <c r="F34449"/>
      <c r="G34449"/>
      <c r="H34449"/>
      <c r="I34449"/>
    </row>
    <row r="34450" spans="6:9" x14ac:dyDescent="0.3">
      <c r="F34450"/>
      <c r="G34450"/>
      <c r="H34450"/>
      <c r="I34450"/>
    </row>
    <row r="34451" spans="6:9" x14ac:dyDescent="0.3">
      <c r="F34451"/>
      <c r="G34451"/>
      <c r="H34451"/>
      <c r="I34451"/>
    </row>
    <row r="34452" spans="6:9" x14ac:dyDescent="0.3">
      <c r="F34452"/>
      <c r="G34452"/>
      <c r="H34452"/>
      <c r="I34452"/>
    </row>
    <row r="34453" spans="6:9" x14ac:dyDescent="0.3">
      <c r="F34453"/>
      <c r="G34453"/>
      <c r="H34453"/>
      <c r="I34453"/>
    </row>
    <row r="34454" spans="6:9" x14ac:dyDescent="0.3">
      <c r="F34454"/>
      <c r="G34454"/>
      <c r="H34454"/>
      <c r="I34454"/>
    </row>
    <row r="34455" spans="6:9" x14ac:dyDescent="0.3">
      <c r="F34455"/>
      <c r="G34455"/>
      <c r="H34455"/>
      <c r="I34455"/>
    </row>
    <row r="34456" spans="6:9" x14ac:dyDescent="0.3">
      <c r="F34456"/>
      <c r="G34456"/>
      <c r="H34456"/>
      <c r="I34456"/>
    </row>
    <row r="34457" spans="6:9" x14ac:dyDescent="0.3">
      <c r="F34457"/>
      <c r="G34457"/>
      <c r="H34457"/>
      <c r="I34457"/>
    </row>
    <row r="34458" spans="6:9" x14ac:dyDescent="0.3">
      <c r="F34458"/>
      <c r="G34458"/>
      <c r="H34458"/>
      <c r="I34458"/>
    </row>
    <row r="34459" spans="6:9" x14ac:dyDescent="0.3">
      <c r="F34459"/>
      <c r="G34459"/>
      <c r="H34459"/>
      <c r="I34459"/>
    </row>
    <row r="34460" spans="6:9" x14ac:dyDescent="0.3">
      <c r="F34460"/>
      <c r="G34460"/>
      <c r="H34460"/>
      <c r="I34460"/>
    </row>
    <row r="34461" spans="6:9" x14ac:dyDescent="0.3">
      <c r="F34461"/>
      <c r="G34461"/>
      <c r="H34461"/>
      <c r="I34461"/>
    </row>
    <row r="34462" spans="6:9" x14ac:dyDescent="0.3">
      <c r="F34462"/>
      <c r="G34462"/>
      <c r="H34462"/>
      <c r="I34462"/>
    </row>
    <row r="34463" spans="6:9" x14ac:dyDescent="0.3">
      <c r="F34463"/>
      <c r="G34463"/>
      <c r="H34463"/>
      <c r="I34463"/>
    </row>
    <row r="34464" spans="6:9" x14ac:dyDescent="0.3">
      <c r="F34464"/>
      <c r="G34464"/>
      <c r="H34464"/>
      <c r="I34464"/>
    </row>
    <row r="34465" spans="6:9" x14ac:dyDescent="0.3">
      <c r="F34465"/>
      <c r="G34465"/>
      <c r="H34465"/>
      <c r="I34465"/>
    </row>
    <row r="34466" spans="6:9" x14ac:dyDescent="0.3">
      <c r="F34466"/>
      <c r="G34466"/>
      <c r="H34466"/>
      <c r="I34466"/>
    </row>
    <row r="34467" spans="6:9" x14ac:dyDescent="0.3">
      <c r="F34467"/>
      <c r="G34467"/>
      <c r="H34467"/>
      <c r="I34467"/>
    </row>
    <row r="34468" spans="6:9" x14ac:dyDescent="0.3">
      <c r="F34468"/>
      <c r="G34468"/>
      <c r="H34468"/>
      <c r="I34468"/>
    </row>
    <row r="34469" spans="6:9" x14ac:dyDescent="0.3">
      <c r="F34469"/>
      <c r="G34469"/>
      <c r="H34469"/>
      <c r="I34469"/>
    </row>
    <row r="34470" spans="6:9" x14ac:dyDescent="0.3">
      <c r="F34470"/>
      <c r="G34470"/>
      <c r="H34470"/>
      <c r="I34470"/>
    </row>
    <row r="34471" spans="6:9" x14ac:dyDescent="0.3">
      <c r="F34471"/>
      <c r="G34471"/>
      <c r="H34471"/>
      <c r="I34471"/>
    </row>
    <row r="34472" spans="6:9" x14ac:dyDescent="0.3">
      <c r="F34472"/>
      <c r="G34472"/>
      <c r="H34472"/>
      <c r="I34472"/>
    </row>
    <row r="34473" spans="6:9" x14ac:dyDescent="0.3">
      <c r="F34473"/>
      <c r="G34473"/>
      <c r="H34473"/>
      <c r="I34473"/>
    </row>
    <row r="34474" spans="6:9" x14ac:dyDescent="0.3">
      <c r="F34474"/>
      <c r="G34474"/>
      <c r="H34474"/>
      <c r="I34474"/>
    </row>
    <row r="34475" spans="6:9" x14ac:dyDescent="0.3">
      <c r="F34475"/>
      <c r="G34475"/>
      <c r="H34475"/>
      <c r="I34475"/>
    </row>
    <row r="34476" spans="6:9" x14ac:dyDescent="0.3">
      <c r="F34476"/>
      <c r="G34476"/>
      <c r="H34476"/>
      <c r="I34476"/>
    </row>
    <row r="34477" spans="6:9" x14ac:dyDescent="0.3">
      <c r="F34477"/>
      <c r="G34477"/>
      <c r="H34477"/>
      <c r="I34477"/>
    </row>
    <row r="34478" spans="6:9" x14ac:dyDescent="0.3">
      <c r="F34478"/>
      <c r="G34478"/>
      <c r="H34478"/>
      <c r="I34478"/>
    </row>
    <row r="34479" spans="6:9" x14ac:dyDescent="0.3">
      <c r="F34479"/>
      <c r="G34479"/>
      <c r="H34479"/>
      <c r="I34479"/>
    </row>
    <row r="34480" spans="6:9" x14ac:dyDescent="0.3">
      <c r="F34480"/>
      <c r="G34480"/>
      <c r="H34480"/>
      <c r="I34480"/>
    </row>
    <row r="34481" spans="6:9" x14ac:dyDescent="0.3">
      <c r="F34481"/>
      <c r="G34481"/>
      <c r="H34481"/>
      <c r="I34481"/>
    </row>
    <row r="34482" spans="6:9" x14ac:dyDescent="0.3">
      <c r="F34482"/>
      <c r="G34482"/>
      <c r="H34482"/>
      <c r="I34482"/>
    </row>
    <row r="34483" spans="6:9" x14ac:dyDescent="0.3">
      <c r="F34483"/>
      <c r="G34483"/>
      <c r="H34483"/>
      <c r="I34483"/>
    </row>
    <row r="34484" spans="6:9" x14ac:dyDescent="0.3">
      <c r="F34484"/>
      <c r="G34484"/>
      <c r="H34484"/>
      <c r="I34484"/>
    </row>
    <row r="34485" spans="6:9" x14ac:dyDescent="0.3">
      <c r="F34485"/>
      <c r="G34485"/>
      <c r="H34485"/>
      <c r="I34485"/>
    </row>
    <row r="34486" spans="6:9" x14ac:dyDescent="0.3">
      <c r="F34486"/>
      <c r="G34486"/>
      <c r="H34486"/>
      <c r="I34486"/>
    </row>
    <row r="34487" spans="6:9" x14ac:dyDescent="0.3">
      <c r="F34487"/>
      <c r="G34487"/>
      <c r="H34487"/>
      <c r="I34487"/>
    </row>
    <row r="34488" spans="6:9" x14ac:dyDescent="0.3">
      <c r="F34488"/>
      <c r="G34488"/>
      <c r="H34488"/>
      <c r="I34488"/>
    </row>
    <row r="34489" spans="6:9" x14ac:dyDescent="0.3">
      <c r="F34489"/>
      <c r="G34489"/>
      <c r="H34489"/>
      <c r="I34489"/>
    </row>
    <row r="34490" spans="6:9" x14ac:dyDescent="0.3">
      <c r="F34490"/>
      <c r="G34490"/>
      <c r="H34490"/>
      <c r="I34490"/>
    </row>
    <row r="34491" spans="6:9" x14ac:dyDescent="0.3">
      <c r="F34491"/>
      <c r="G34491"/>
      <c r="H34491"/>
      <c r="I34491"/>
    </row>
    <row r="34492" spans="6:9" x14ac:dyDescent="0.3">
      <c r="F34492"/>
      <c r="G34492"/>
      <c r="H34492"/>
      <c r="I34492"/>
    </row>
    <row r="34493" spans="6:9" x14ac:dyDescent="0.3">
      <c r="F34493"/>
      <c r="G34493"/>
      <c r="H34493"/>
      <c r="I34493"/>
    </row>
    <row r="34494" spans="6:9" x14ac:dyDescent="0.3">
      <c r="F34494"/>
      <c r="G34494"/>
      <c r="H34494"/>
      <c r="I34494"/>
    </row>
    <row r="34495" spans="6:9" x14ac:dyDescent="0.3">
      <c r="F34495"/>
      <c r="G34495"/>
      <c r="H34495"/>
      <c r="I34495"/>
    </row>
    <row r="34496" spans="6:9" x14ac:dyDescent="0.3">
      <c r="F34496"/>
      <c r="G34496"/>
      <c r="H34496"/>
      <c r="I34496"/>
    </row>
    <row r="34497" spans="6:9" x14ac:dyDescent="0.3">
      <c r="F34497"/>
      <c r="G34497"/>
      <c r="H34497"/>
      <c r="I34497"/>
    </row>
    <row r="34498" spans="6:9" x14ac:dyDescent="0.3">
      <c r="F34498"/>
      <c r="G34498"/>
      <c r="H34498"/>
      <c r="I34498"/>
    </row>
    <row r="34499" spans="6:9" x14ac:dyDescent="0.3">
      <c r="F34499"/>
      <c r="G34499"/>
      <c r="H34499"/>
      <c r="I34499"/>
    </row>
    <row r="34500" spans="6:9" x14ac:dyDescent="0.3">
      <c r="F34500"/>
      <c r="G34500"/>
      <c r="H34500"/>
      <c r="I34500"/>
    </row>
    <row r="34501" spans="6:9" x14ac:dyDescent="0.3">
      <c r="F34501"/>
      <c r="G34501"/>
      <c r="H34501"/>
      <c r="I34501"/>
    </row>
    <row r="34502" spans="6:9" x14ac:dyDescent="0.3">
      <c r="F34502"/>
      <c r="G34502"/>
      <c r="H34502"/>
      <c r="I34502"/>
    </row>
    <row r="34503" spans="6:9" x14ac:dyDescent="0.3">
      <c r="F34503"/>
      <c r="G34503"/>
      <c r="H34503"/>
      <c r="I34503"/>
    </row>
    <row r="34504" spans="6:9" x14ac:dyDescent="0.3">
      <c r="F34504"/>
      <c r="G34504"/>
      <c r="H34504"/>
      <c r="I34504"/>
    </row>
    <row r="34505" spans="6:9" x14ac:dyDescent="0.3">
      <c r="F34505"/>
      <c r="G34505"/>
      <c r="H34505"/>
      <c r="I34505"/>
    </row>
    <row r="34506" spans="6:9" x14ac:dyDescent="0.3">
      <c r="F34506"/>
      <c r="G34506"/>
      <c r="H34506"/>
      <c r="I34506"/>
    </row>
    <row r="34507" spans="6:9" x14ac:dyDescent="0.3">
      <c r="F34507"/>
      <c r="G34507"/>
      <c r="H34507"/>
      <c r="I34507"/>
    </row>
    <row r="34508" spans="6:9" x14ac:dyDescent="0.3">
      <c r="F34508"/>
      <c r="G34508"/>
      <c r="H34508"/>
      <c r="I34508"/>
    </row>
    <row r="34509" spans="6:9" x14ac:dyDescent="0.3">
      <c r="F34509"/>
      <c r="G34509"/>
      <c r="H34509"/>
      <c r="I34509"/>
    </row>
    <row r="34510" spans="6:9" x14ac:dyDescent="0.3">
      <c r="F34510"/>
      <c r="G34510"/>
      <c r="H34510"/>
      <c r="I34510"/>
    </row>
    <row r="34511" spans="6:9" x14ac:dyDescent="0.3">
      <c r="F34511"/>
      <c r="G34511"/>
      <c r="H34511"/>
      <c r="I34511"/>
    </row>
    <row r="34512" spans="6:9" x14ac:dyDescent="0.3">
      <c r="F34512"/>
      <c r="G34512"/>
      <c r="H34512"/>
      <c r="I34512"/>
    </row>
    <row r="34513" spans="6:9" x14ac:dyDescent="0.3">
      <c r="F34513"/>
      <c r="G34513"/>
      <c r="H34513"/>
      <c r="I34513"/>
    </row>
    <row r="34514" spans="6:9" x14ac:dyDescent="0.3">
      <c r="F34514"/>
      <c r="G34514"/>
      <c r="H34514"/>
      <c r="I34514"/>
    </row>
    <row r="34515" spans="6:9" x14ac:dyDescent="0.3">
      <c r="F34515"/>
      <c r="G34515"/>
      <c r="H34515"/>
      <c r="I34515"/>
    </row>
    <row r="34516" spans="6:9" x14ac:dyDescent="0.3">
      <c r="F34516"/>
      <c r="G34516"/>
      <c r="H34516"/>
      <c r="I34516"/>
    </row>
    <row r="34517" spans="6:9" x14ac:dyDescent="0.3">
      <c r="F34517"/>
      <c r="G34517"/>
      <c r="H34517"/>
      <c r="I34517"/>
    </row>
    <row r="34518" spans="6:9" x14ac:dyDescent="0.3">
      <c r="F34518"/>
      <c r="G34518"/>
      <c r="H34518"/>
      <c r="I34518"/>
    </row>
    <row r="34519" spans="6:9" x14ac:dyDescent="0.3">
      <c r="F34519"/>
      <c r="G34519"/>
      <c r="H34519"/>
      <c r="I34519"/>
    </row>
    <row r="34520" spans="6:9" x14ac:dyDescent="0.3">
      <c r="F34520"/>
      <c r="G34520"/>
      <c r="H34520"/>
      <c r="I34520"/>
    </row>
    <row r="34521" spans="6:9" x14ac:dyDescent="0.3">
      <c r="F34521"/>
      <c r="G34521"/>
      <c r="H34521"/>
      <c r="I34521"/>
    </row>
    <row r="34522" spans="6:9" x14ac:dyDescent="0.3">
      <c r="F34522"/>
      <c r="G34522"/>
      <c r="H34522"/>
      <c r="I34522"/>
    </row>
    <row r="34523" spans="6:9" x14ac:dyDescent="0.3">
      <c r="F34523"/>
      <c r="G34523"/>
      <c r="H34523"/>
      <c r="I34523"/>
    </row>
    <row r="34524" spans="6:9" x14ac:dyDescent="0.3">
      <c r="F34524"/>
      <c r="G34524"/>
      <c r="H34524"/>
      <c r="I34524"/>
    </row>
    <row r="34525" spans="6:9" x14ac:dyDescent="0.3">
      <c r="F34525"/>
      <c r="G34525"/>
      <c r="H34525"/>
      <c r="I34525"/>
    </row>
    <row r="34526" spans="6:9" x14ac:dyDescent="0.3">
      <c r="F34526"/>
      <c r="G34526"/>
      <c r="H34526"/>
      <c r="I34526"/>
    </row>
    <row r="34527" spans="6:9" x14ac:dyDescent="0.3">
      <c r="F34527"/>
      <c r="G34527"/>
      <c r="H34527"/>
      <c r="I34527"/>
    </row>
    <row r="34528" spans="6:9" x14ac:dyDescent="0.3">
      <c r="F34528"/>
      <c r="G34528"/>
      <c r="H34528"/>
      <c r="I34528"/>
    </row>
    <row r="34529" spans="6:9" x14ac:dyDescent="0.3">
      <c r="F34529"/>
      <c r="G34529"/>
      <c r="H34529"/>
      <c r="I34529"/>
    </row>
    <row r="34530" spans="6:9" x14ac:dyDescent="0.3">
      <c r="F34530"/>
      <c r="G34530"/>
      <c r="H34530"/>
      <c r="I34530"/>
    </row>
    <row r="34531" spans="6:9" x14ac:dyDescent="0.3">
      <c r="F34531"/>
      <c r="G34531"/>
      <c r="H34531"/>
      <c r="I34531"/>
    </row>
    <row r="34532" spans="6:9" x14ac:dyDescent="0.3">
      <c r="F34532"/>
      <c r="G34532"/>
      <c r="H34532"/>
      <c r="I34532"/>
    </row>
    <row r="34533" spans="6:9" x14ac:dyDescent="0.3">
      <c r="F34533"/>
      <c r="G34533"/>
      <c r="H34533"/>
      <c r="I34533"/>
    </row>
    <row r="34534" spans="6:9" x14ac:dyDescent="0.3">
      <c r="F34534"/>
      <c r="G34534"/>
      <c r="H34534"/>
      <c r="I34534"/>
    </row>
    <row r="34535" spans="6:9" x14ac:dyDescent="0.3">
      <c r="F34535"/>
      <c r="G34535"/>
      <c r="H34535"/>
      <c r="I34535"/>
    </row>
    <row r="34536" spans="6:9" x14ac:dyDescent="0.3">
      <c r="F34536"/>
      <c r="G34536"/>
      <c r="H34536"/>
      <c r="I34536"/>
    </row>
    <row r="34537" spans="6:9" x14ac:dyDescent="0.3">
      <c r="F34537"/>
      <c r="G34537"/>
      <c r="H34537"/>
      <c r="I34537"/>
    </row>
    <row r="34538" spans="6:9" x14ac:dyDescent="0.3">
      <c r="F34538"/>
      <c r="G34538"/>
      <c r="H34538"/>
      <c r="I34538"/>
    </row>
    <row r="34539" spans="6:9" x14ac:dyDescent="0.3">
      <c r="F34539"/>
      <c r="G34539"/>
      <c r="H34539"/>
      <c r="I34539"/>
    </row>
    <row r="34540" spans="6:9" x14ac:dyDescent="0.3">
      <c r="F34540"/>
      <c r="G34540"/>
      <c r="H34540"/>
      <c r="I34540"/>
    </row>
    <row r="34541" spans="6:9" x14ac:dyDescent="0.3">
      <c r="F34541"/>
      <c r="G34541"/>
      <c r="H34541"/>
      <c r="I34541"/>
    </row>
    <row r="34542" spans="6:9" x14ac:dyDescent="0.3">
      <c r="F34542"/>
      <c r="G34542"/>
      <c r="H34542"/>
      <c r="I34542"/>
    </row>
    <row r="34543" spans="6:9" x14ac:dyDescent="0.3">
      <c r="F34543"/>
      <c r="G34543"/>
      <c r="H34543"/>
      <c r="I34543"/>
    </row>
    <row r="34544" spans="6:9" x14ac:dyDescent="0.3">
      <c r="F34544"/>
      <c r="G34544"/>
      <c r="H34544"/>
      <c r="I34544"/>
    </row>
    <row r="34545" spans="6:9" x14ac:dyDescent="0.3">
      <c r="F34545"/>
      <c r="G34545"/>
      <c r="H34545"/>
      <c r="I34545"/>
    </row>
    <row r="34546" spans="6:9" x14ac:dyDescent="0.3">
      <c r="F34546"/>
      <c r="G34546"/>
      <c r="H34546"/>
      <c r="I34546"/>
    </row>
    <row r="34547" spans="6:9" x14ac:dyDescent="0.3">
      <c r="F34547"/>
      <c r="G34547"/>
      <c r="H34547"/>
      <c r="I34547"/>
    </row>
    <row r="34548" spans="6:9" x14ac:dyDescent="0.3">
      <c r="F34548"/>
      <c r="G34548"/>
      <c r="H34548"/>
      <c r="I34548"/>
    </row>
    <row r="34549" spans="6:9" x14ac:dyDescent="0.3">
      <c r="F34549"/>
      <c r="G34549"/>
      <c r="H34549"/>
      <c r="I34549"/>
    </row>
    <row r="34550" spans="6:9" x14ac:dyDescent="0.3">
      <c r="F34550"/>
      <c r="G34550"/>
      <c r="H34550"/>
      <c r="I34550"/>
    </row>
    <row r="34551" spans="6:9" x14ac:dyDescent="0.3">
      <c r="F34551"/>
      <c r="G34551"/>
      <c r="H34551"/>
      <c r="I34551"/>
    </row>
    <row r="34552" spans="6:9" x14ac:dyDescent="0.3">
      <c r="F34552"/>
      <c r="G34552"/>
      <c r="H34552"/>
      <c r="I34552"/>
    </row>
    <row r="34553" spans="6:9" x14ac:dyDescent="0.3">
      <c r="F34553"/>
      <c r="G34553"/>
      <c r="H34553"/>
      <c r="I34553"/>
    </row>
    <row r="34554" spans="6:9" x14ac:dyDescent="0.3">
      <c r="F34554"/>
      <c r="G34554"/>
      <c r="H34554"/>
      <c r="I34554"/>
    </row>
    <row r="34555" spans="6:9" x14ac:dyDescent="0.3">
      <c r="F34555"/>
      <c r="G34555"/>
      <c r="H34555"/>
      <c r="I34555"/>
    </row>
    <row r="34556" spans="6:9" x14ac:dyDescent="0.3">
      <c r="F34556"/>
      <c r="G34556"/>
      <c r="H34556"/>
      <c r="I34556"/>
    </row>
    <row r="34557" spans="6:9" x14ac:dyDescent="0.3">
      <c r="F34557"/>
      <c r="G34557"/>
      <c r="H34557"/>
      <c r="I34557"/>
    </row>
    <row r="34558" spans="6:9" x14ac:dyDescent="0.3">
      <c r="F34558"/>
      <c r="G34558"/>
      <c r="H34558"/>
      <c r="I34558"/>
    </row>
    <row r="34559" spans="6:9" x14ac:dyDescent="0.3">
      <c r="F34559"/>
      <c r="G34559"/>
      <c r="H34559"/>
      <c r="I34559"/>
    </row>
    <row r="34560" spans="6:9" x14ac:dyDescent="0.3">
      <c r="F34560"/>
      <c r="G34560"/>
      <c r="H34560"/>
      <c r="I34560"/>
    </row>
    <row r="34561" spans="6:9" x14ac:dyDescent="0.3">
      <c r="F34561"/>
      <c r="G34561"/>
      <c r="H34561"/>
      <c r="I34561"/>
    </row>
    <row r="34562" spans="6:9" x14ac:dyDescent="0.3">
      <c r="F34562"/>
      <c r="G34562"/>
      <c r="H34562"/>
      <c r="I34562"/>
    </row>
    <row r="34563" spans="6:9" x14ac:dyDescent="0.3">
      <c r="F34563"/>
      <c r="G34563"/>
      <c r="H34563"/>
      <c r="I34563"/>
    </row>
    <row r="34564" spans="6:9" x14ac:dyDescent="0.3">
      <c r="F34564"/>
      <c r="G34564"/>
      <c r="H34564"/>
      <c r="I34564"/>
    </row>
    <row r="34565" spans="6:9" x14ac:dyDescent="0.3">
      <c r="F34565"/>
      <c r="G34565"/>
      <c r="H34565"/>
      <c r="I34565"/>
    </row>
    <row r="34566" spans="6:9" x14ac:dyDescent="0.3">
      <c r="F34566"/>
      <c r="G34566"/>
      <c r="H34566"/>
      <c r="I34566"/>
    </row>
    <row r="34567" spans="6:9" x14ac:dyDescent="0.3">
      <c r="F34567"/>
      <c r="G34567"/>
      <c r="H34567"/>
      <c r="I34567"/>
    </row>
    <row r="34568" spans="6:9" x14ac:dyDescent="0.3">
      <c r="F34568"/>
      <c r="G34568"/>
      <c r="H34568"/>
      <c r="I34568"/>
    </row>
    <row r="34569" spans="6:9" x14ac:dyDescent="0.3">
      <c r="F34569"/>
      <c r="G34569"/>
      <c r="H34569"/>
      <c r="I34569"/>
    </row>
    <row r="34570" spans="6:9" x14ac:dyDescent="0.3">
      <c r="F34570"/>
      <c r="G34570"/>
      <c r="H34570"/>
      <c r="I34570"/>
    </row>
    <row r="34571" spans="6:9" x14ac:dyDescent="0.3">
      <c r="F34571"/>
      <c r="G34571"/>
      <c r="H34571"/>
      <c r="I34571"/>
    </row>
    <row r="34572" spans="6:9" x14ac:dyDescent="0.3">
      <c r="F34572"/>
      <c r="G34572"/>
      <c r="H34572"/>
      <c r="I34572"/>
    </row>
    <row r="34573" spans="6:9" x14ac:dyDescent="0.3">
      <c r="F34573"/>
      <c r="G34573"/>
      <c r="H34573"/>
      <c r="I34573"/>
    </row>
    <row r="34574" spans="6:9" x14ac:dyDescent="0.3">
      <c r="F34574"/>
      <c r="G34574"/>
      <c r="H34574"/>
      <c r="I34574"/>
    </row>
    <row r="34575" spans="6:9" x14ac:dyDescent="0.3">
      <c r="F34575"/>
      <c r="G34575"/>
      <c r="H34575"/>
      <c r="I34575"/>
    </row>
    <row r="34576" spans="6:9" x14ac:dyDescent="0.3">
      <c r="F34576"/>
      <c r="G34576"/>
      <c r="H34576"/>
      <c r="I34576"/>
    </row>
    <row r="34577" spans="6:9" x14ac:dyDescent="0.3">
      <c r="F34577"/>
      <c r="G34577"/>
      <c r="H34577"/>
      <c r="I34577"/>
    </row>
    <row r="34578" spans="6:9" x14ac:dyDescent="0.3">
      <c r="F34578"/>
      <c r="G34578"/>
      <c r="H34578"/>
      <c r="I34578"/>
    </row>
    <row r="34579" spans="6:9" x14ac:dyDescent="0.3">
      <c r="F34579"/>
      <c r="G34579"/>
      <c r="H34579"/>
      <c r="I34579"/>
    </row>
    <row r="34580" spans="6:9" x14ac:dyDescent="0.3">
      <c r="F34580"/>
      <c r="G34580"/>
      <c r="H34580"/>
      <c r="I34580"/>
    </row>
    <row r="34581" spans="6:9" x14ac:dyDescent="0.3">
      <c r="F34581"/>
      <c r="G34581"/>
      <c r="H34581"/>
      <c r="I34581"/>
    </row>
    <row r="34582" spans="6:9" x14ac:dyDescent="0.3">
      <c r="F34582"/>
      <c r="G34582"/>
      <c r="H34582"/>
      <c r="I34582"/>
    </row>
    <row r="34583" spans="6:9" x14ac:dyDescent="0.3">
      <c r="F34583"/>
      <c r="G34583"/>
      <c r="H34583"/>
      <c r="I34583"/>
    </row>
    <row r="34584" spans="6:9" x14ac:dyDescent="0.3">
      <c r="F34584"/>
      <c r="G34584"/>
      <c r="H34584"/>
      <c r="I34584"/>
    </row>
    <row r="34585" spans="6:9" x14ac:dyDescent="0.3">
      <c r="F34585"/>
      <c r="G34585"/>
      <c r="H34585"/>
      <c r="I34585"/>
    </row>
    <row r="34586" spans="6:9" x14ac:dyDescent="0.3">
      <c r="F34586"/>
      <c r="G34586"/>
      <c r="H34586"/>
      <c r="I34586"/>
    </row>
    <row r="34587" spans="6:9" x14ac:dyDescent="0.3">
      <c r="F34587"/>
      <c r="G34587"/>
      <c r="H34587"/>
      <c r="I34587"/>
    </row>
    <row r="34588" spans="6:9" x14ac:dyDescent="0.3">
      <c r="F34588"/>
      <c r="G34588"/>
      <c r="H34588"/>
      <c r="I34588"/>
    </row>
    <row r="34589" spans="6:9" x14ac:dyDescent="0.3">
      <c r="F34589"/>
      <c r="G34589"/>
      <c r="H34589"/>
      <c r="I34589"/>
    </row>
    <row r="34590" spans="6:9" x14ac:dyDescent="0.3">
      <c r="F34590"/>
      <c r="G34590"/>
      <c r="H34590"/>
      <c r="I34590"/>
    </row>
    <row r="34591" spans="6:9" x14ac:dyDescent="0.3">
      <c r="F34591"/>
      <c r="G34591"/>
      <c r="H34591"/>
      <c r="I34591"/>
    </row>
    <row r="34592" spans="6:9" x14ac:dyDescent="0.3">
      <c r="F34592"/>
      <c r="G34592"/>
      <c r="H34592"/>
      <c r="I34592"/>
    </row>
    <row r="34593" spans="6:9" x14ac:dyDescent="0.3">
      <c r="F34593"/>
      <c r="G34593"/>
      <c r="H34593"/>
      <c r="I34593"/>
    </row>
    <row r="34594" spans="6:9" x14ac:dyDescent="0.3">
      <c r="F34594"/>
      <c r="G34594"/>
      <c r="H34594"/>
      <c r="I34594"/>
    </row>
    <row r="34595" spans="6:9" x14ac:dyDescent="0.3">
      <c r="F34595"/>
      <c r="G34595"/>
      <c r="H34595"/>
      <c r="I34595"/>
    </row>
    <row r="34596" spans="6:9" x14ac:dyDescent="0.3">
      <c r="F34596"/>
      <c r="G34596"/>
      <c r="H34596"/>
      <c r="I34596"/>
    </row>
    <row r="34597" spans="6:9" x14ac:dyDescent="0.3">
      <c r="F34597"/>
      <c r="G34597"/>
      <c r="H34597"/>
      <c r="I34597"/>
    </row>
    <row r="34598" spans="6:9" x14ac:dyDescent="0.3">
      <c r="F34598"/>
      <c r="G34598"/>
      <c r="H34598"/>
      <c r="I34598"/>
    </row>
    <row r="34599" spans="6:9" x14ac:dyDescent="0.3">
      <c r="F34599"/>
      <c r="G34599"/>
      <c r="H34599"/>
      <c r="I34599"/>
    </row>
    <row r="34600" spans="6:9" x14ac:dyDescent="0.3">
      <c r="F34600"/>
      <c r="G34600"/>
      <c r="H34600"/>
      <c r="I34600"/>
    </row>
    <row r="34601" spans="6:9" x14ac:dyDescent="0.3">
      <c r="F34601"/>
      <c r="G34601"/>
      <c r="H34601"/>
      <c r="I34601"/>
    </row>
    <row r="34602" spans="6:9" x14ac:dyDescent="0.3">
      <c r="F34602"/>
      <c r="G34602"/>
      <c r="H34602"/>
      <c r="I34602"/>
    </row>
    <row r="34603" spans="6:9" x14ac:dyDescent="0.3">
      <c r="F34603"/>
      <c r="G34603"/>
      <c r="H34603"/>
      <c r="I34603"/>
    </row>
    <row r="34604" spans="6:9" x14ac:dyDescent="0.3">
      <c r="F34604"/>
      <c r="G34604"/>
      <c r="H34604"/>
      <c r="I34604"/>
    </row>
    <row r="34605" spans="6:9" x14ac:dyDescent="0.3">
      <c r="F34605"/>
      <c r="G34605"/>
      <c r="H34605"/>
      <c r="I34605"/>
    </row>
    <row r="34606" spans="6:9" x14ac:dyDescent="0.3">
      <c r="F34606"/>
      <c r="G34606"/>
      <c r="H34606"/>
      <c r="I34606"/>
    </row>
    <row r="34607" spans="6:9" x14ac:dyDescent="0.3">
      <c r="F34607"/>
      <c r="G34607"/>
      <c r="H34607"/>
      <c r="I34607"/>
    </row>
    <row r="34608" spans="6:9" x14ac:dyDescent="0.3">
      <c r="F34608"/>
      <c r="G34608"/>
      <c r="H34608"/>
      <c r="I34608"/>
    </row>
    <row r="34609" spans="6:9" x14ac:dyDescent="0.3">
      <c r="F34609"/>
      <c r="G34609"/>
      <c r="H34609"/>
      <c r="I34609"/>
    </row>
    <row r="34610" spans="6:9" x14ac:dyDescent="0.3">
      <c r="F34610"/>
      <c r="G34610"/>
      <c r="H34610"/>
      <c r="I34610"/>
    </row>
    <row r="34611" spans="6:9" x14ac:dyDescent="0.3">
      <c r="F34611"/>
      <c r="G34611"/>
      <c r="H34611"/>
      <c r="I34611"/>
    </row>
    <row r="34612" spans="6:9" x14ac:dyDescent="0.3">
      <c r="F34612"/>
      <c r="G34612"/>
      <c r="H34612"/>
      <c r="I34612"/>
    </row>
    <row r="34613" spans="6:9" x14ac:dyDescent="0.3">
      <c r="F34613"/>
      <c r="G34613"/>
      <c r="H34613"/>
      <c r="I34613"/>
    </row>
    <row r="34614" spans="6:9" x14ac:dyDescent="0.3">
      <c r="F34614"/>
      <c r="G34614"/>
      <c r="H34614"/>
      <c r="I34614"/>
    </row>
    <row r="34615" spans="6:9" x14ac:dyDescent="0.3">
      <c r="F34615"/>
      <c r="G34615"/>
      <c r="H34615"/>
      <c r="I34615"/>
    </row>
    <row r="34616" spans="6:9" x14ac:dyDescent="0.3">
      <c r="F34616"/>
      <c r="G34616"/>
      <c r="H34616"/>
      <c r="I34616"/>
    </row>
    <row r="34617" spans="6:9" x14ac:dyDescent="0.3">
      <c r="F34617"/>
      <c r="G34617"/>
      <c r="H34617"/>
      <c r="I34617"/>
    </row>
    <row r="34618" spans="6:9" x14ac:dyDescent="0.3">
      <c r="F34618"/>
      <c r="G34618"/>
      <c r="H34618"/>
      <c r="I34618"/>
    </row>
    <row r="34619" spans="6:9" x14ac:dyDescent="0.3">
      <c r="F34619"/>
      <c r="G34619"/>
      <c r="H34619"/>
      <c r="I34619"/>
    </row>
    <row r="34620" spans="6:9" x14ac:dyDescent="0.3">
      <c r="F34620"/>
      <c r="G34620"/>
      <c r="H34620"/>
      <c r="I34620"/>
    </row>
    <row r="34621" spans="6:9" x14ac:dyDescent="0.3">
      <c r="F34621"/>
      <c r="G34621"/>
      <c r="H34621"/>
      <c r="I34621"/>
    </row>
    <row r="34622" spans="6:9" x14ac:dyDescent="0.3">
      <c r="F34622"/>
      <c r="G34622"/>
      <c r="H34622"/>
      <c r="I34622"/>
    </row>
    <row r="34623" spans="6:9" x14ac:dyDescent="0.3">
      <c r="F34623"/>
      <c r="G34623"/>
      <c r="H34623"/>
      <c r="I34623"/>
    </row>
    <row r="34624" spans="6:9" x14ac:dyDescent="0.3">
      <c r="F34624"/>
      <c r="G34624"/>
      <c r="H34624"/>
      <c r="I34624"/>
    </row>
    <row r="34625" spans="6:9" x14ac:dyDescent="0.3">
      <c r="F34625"/>
      <c r="G34625"/>
      <c r="H34625"/>
      <c r="I34625"/>
    </row>
    <row r="34626" spans="6:9" x14ac:dyDescent="0.3">
      <c r="F34626"/>
      <c r="G34626"/>
      <c r="H34626"/>
      <c r="I34626"/>
    </row>
    <row r="34627" spans="6:9" x14ac:dyDescent="0.3">
      <c r="F34627"/>
      <c r="G34627"/>
      <c r="H34627"/>
      <c r="I34627"/>
    </row>
    <row r="34628" spans="6:9" x14ac:dyDescent="0.3">
      <c r="F34628"/>
      <c r="G34628"/>
      <c r="H34628"/>
      <c r="I34628"/>
    </row>
    <row r="34629" spans="6:9" x14ac:dyDescent="0.3">
      <c r="F34629"/>
      <c r="G34629"/>
      <c r="H34629"/>
      <c r="I34629"/>
    </row>
    <row r="34630" spans="6:9" x14ac:dyDescent="0.3">
      <c r="F34630"/>
      <c r="G34630"/>
      <c r="H34630"/>
      <c r="I34630"/>
    </row>
    <row r="34631" spans="6:9" x14ac:dyDescent="0.3">
      <c r="F34631"/>
      <c r="G34631"/>
      <c r="H34631"/>
      <c r="I34631"/>
    </row>
    <row r="34632" spans="6:9" x14ac:dyDescent="0.3">
      <c r="F34632"/>
      <c r="G34632"/>
      <c r="H34632"/>
      <c r="I34632"/>
    </row>
    <row r="34633" spans="6:9" x14ac:dyDescent="0.3">
      <c r="F34633"/>
      <c r="G34633"/>
      <c r="H34633"/>
      <c r="I34633"/>
    </row>
    <row r="34634" spans="6:9" x14ac:dyDescent="0.3">
      <c r="F34634"/>
      <c r="G34634"/>
      <c r="H34634"/>
      <c r="I34634"/>
    </row>
    <row r="34635" spans="6:9" x14ac:dyDescent="0.3">
      <c r="F34635"/>
      <c r="G34635"/>
      <c r="H34635"/>
      <c r="I34635"/>
    </row>
    <row r="34636" spans="6:9" x14ac:dyDescent="0.3">
      <c r="F34636"/>
      <c r="G34636"/>
      <c r="H34636"/>
      <c r="I34636"/>
    </row>
    <row r="34637" spans="6:9" x14ac:dyDescent="0.3">
      <c r="F34637"/>
      <c r="G34637"/>
      <c r="H34637"/>
      <c r="I34637"/>
    </row>
    <row r="34638" spans="6:9" x14ac:dyDescent="0.3">
      <c r="F34638"/>
      <c r="G34638"/>
      <c r="H34638"/>
      <c r="I34638"/>
    </row>
    <row r="34639" spans="6:9" x14ac:dyDescent="0.3">
      <c r="F34639"/>
      <c r="G34639"/>
      <c r="H34639"/>
      <c r="I34639"/>
    </row>
    <row r="34640" spans="6:9" x14ac:dyDescent="0.3">
      <c r="F34640"/>
      <c r="G34640"/>
      <c r="H34640"/>
      <c r="I34640"/>
    </row>
    <row r="34641" spans="6:9" x14ac:dyDescent="0.3">
      <c r="F34641"/>
      <c r="G34641"/>
      <c r="H34641"/>
      <c r="I34641"/>
    </row>
    <row r="34642" spans="6:9" x14ac:dyDescent="0.3">
      <c r="F34642"/>
      <c r="G34642"/>
      <c r="H34642"/>
      <c r="I34642"/>
    </row>
    <row r="34643" spans="6:9" x14ac:dyDescent="0.3">
      <c r="F34643"/>
      <c r="G34643"/>
      <c r="H34643"/>
      <c r="I34643"/>
    </row>
    <row r="34644" spans="6:9" x14ac:dyDescent="0.3">
      <c r="F34644"/>
      <c r="G34644"/>
      <c r="H34644"/>
      <c r="I34644"/>
    </row>
    <row r="34645" spans="6:9" x14ac:dyDescent="0.3">
      <c r="F34645"/>
      <c r="G34645"/>
      <c r="H34645"/>
      <c r="I34645"/>
    </row>
    <row r="34646" spans="6:9" x14ac:dyDescent="0.3">
      <c r="I34646"/>
    </row>
    <row r="34647" spans="6:9" x14ac:dyDescent="0.3">
      <c r="I34647"/>
    </row>
    <row r="34648" spans="6:9" x14ac:dyDescent="0.3">
      <c r="I34648"/>
    </row>
    <row r="34649" spans="6:9" x14ac:dyDescent="0.3">
      <c r="I34649"/>
    </row>
    <row r="34650" spans="6:9" x14ac:dyDescent="0.3">
      <c r="I34650"/>
    </row>
    <row r="34651" spans="6:9" x14ac:dyDescent="0.3">
      <c r="I34651"/>
    </row>
    <row r="34652" spans="6:9" x14ac:dyDescent="0.3">
      <c r="I34652"/>
    </row>
    <row r="34653" spans="6:9" x14ac:dyDescent="0.3">
      <c r="I34653"/>
    </row>
    <row r="34654" spans="6:9" x14ac:dyDescent="0.3">
      <c r="I34654"/>
    </row>
    <row r="34655" spans="6:9" x14ac:dyDescent="0.3">
      <c r="I34655"/>
    </row>
    <row r="34656" spans="6:9" x14ac:dyDescent="0.3">
      <c r="I34656"/>
    </row>
    <row r="34657" spans="9:9" x14ac:dyDescent="0.3">
      <c r="I34657"/>
    </row>
    <row r="34658" spans="9:9" x14ac:dyDescent="0.3">
      <c r="I34658"/>
    </row>
    <row r="34659" spans="9:9" x14ac:dyDescent="0.3">
      <c r="I34659"/>
    </row>
    <row r="34660" spans="9:9" x14ac:dyDescent="0.3">
      <c r="I34660"/>
    </row>
    <row r="34661" spans="9:9" x14ac:dyDescent="0.3">
      <c r="I34661"/>
    </row>
    <row r="34662" spans="9:9" x14ac:dyDescent="0.3">
      <c r="I34662"/>
    </row>
    <row r="34663" spans="9:9" x14ac:dyDescent="0.3">
      <c r="I34663"/>
    </row>
    <row r="34664" spans="9:9" x14ac:dyDescent="0.3">
      <c r="I34664"/>
    </row>
    <row r="34665" spans="9:9" x14ac:dyDescent="0.3">
      <c r="I34665"/>
    </row>
    <row r="34666" spans="9:9" x14ac:dyDescent="0.3">
      <c r="I34666"/>
    </row>
    <row r="34667" spans="9:9" x14ac:dyDescent="0.3">
      <c r="I34667"/>
    </row>
    <row r="34668" spans="9:9" x14ac:dyDescent="0.3">
      <c r="I34668"/>
    </row>
    <row r="34669" spans="9:9" x14ac:dyDescent="0.3">
      <c r="I34669"/>
    </row>
    <row r="34670" spans="9:9" x14ac:dyDescent="0.3">
      <c r="I34670"/>
    </row>
    <row r="34671" spans="9:9" x14ac:dyDescent="0.3">
      <c r="I34671"/>
    </row>
    <row r="34672" spans="9:9" x14ac:dyDescent="0.3">
      <c r="I34672"/>
    </row>
    <row r="34673" spans="9:9" x14ac:dyDescent="0.3">
      <c r="I34673"/>
    </row>
    <row r="34674" spans="9:9" x14ac:dyDescent="0.3">
      <c r="I34674"/>
    </row>
    <row r="34675" spans="9:9" x14ac:dyDescent="0.3">
      <c r="I34675"/>
    </row>
    <row r="34676" spans="9:9" x14ac:dyDescent="0.3">
      <c r="I34676"/>
    </row>
    <row r="34677" spans="9:9" x14ac:dyDescent="0.3">
      <c r="I34677"/>
    </row>
    <row r="34678" spans="9:9" x14ac:dyDescent="0.3">
      <c r="I34678"/>
    </row>
    <row r="34679" spans="9:9" x14ac:dyDescent="0.3">
      <c r="I34679"/>
    </row>
    <row r="34680" spans="9:9" x14ac:dyDescent="0.3">
      <c r="I34680"/>
    </row>
    <row r="34681" spans="9:9" x14ac:dyDescent="0.3">
      <c r="I34681"/>
    </row>
    <row r="34682" spans="9:9" x14ac:dyDescent="0.3">
      <c r="I34682"/>
    </row>
    <row r="34683" spans="9:9" x14ac:dyDescent="0.3">
      <c r="I34683"/>
    </row>
    <row r="34684" spans="9:9" x14ac:dyDescent="0.3">
      <c r="I34684"/>
    </row>
    <row r="34685" spans="9:9" x14ac:dyDescent="0.3">
      <c r="I34685"/>
    </row>
    <row r="34686" spans="9:9" x14ac:dyDescent="0.3">
      <c r="I34686"/>
    </row>
    <row r="34687" spans="9:9" x14ac:dyDescent="0.3">
      <c r="I34687"/>
    </row>
    <row r="34688" spans="9:9" x14ac:dyDescent="0.3">
      <c r="I34688"/>
    </row>
    <row r="34689" spans="9:9" x14ac:dyDescent="0.3">
      <c r="I34689"/>
    </row>
    <row r="34690" spans="9:9" x14ac:dyDescent="0.3">
      <c r="I34690"/>
    </row>
    <row r="34691" spans="9:9" x14ac:dyDescent="0.3">
      <c r="I34691"/>
    </row>
    <row r="34692" spans="9:9" x14ac:dyDescent="0.3">
      <c r="I34692"/>
    </row>
    <row r="34693" spans="9:9" x14ac:dyDescent="0.3">
      <c r="I34693"/>
    </row>
    <row r="34694" spans="9:9" x14ac:dyDescent="0.3">
      <c r="I34694"/>
    </row>
    <row r="34695" spans="9:9" x14ac:dyDescent="0.3">
      <c r="I34695"/>
    </row>
    <row r="34696" spans="9:9" x14ac:dyDescent="0.3">
      <c r="I34696"/>
    </row>
    <row r="34697" spans="9:9" x14ac:dyDescent="0.3">
      <c r="I34697"/>
    </row>
    <row r="34698" spans="9:9" x14ac:dyDescent="0.3">
      <c r="I34698"/>
    </row>
    <row r="34699" spans="9:9" x14ac:dyDescent="0.3">
      <c r="I34699"/>
    </row>
    <row r="34700" spans="9:9" x14ac:dyDescent="0.3">
      <c r="I34700"/>
    </row>
    <row r="34701" spans="9:9" x14ac:dyDescent="0.3">
      <c r="I34701"/>
    </row>
    <row r="34702" spans="9:9" x14ac:dyDescent="0.3">
      <c r="I34702"/>
    </row>
  </sheetData>
  <conditionalFormatting sqref="F34646:F1048576">
    <cfRule type="duplicateValues" dxfId="314" priority="4"/>
  </conditionalFormatting>
  <conditionalFormatting sqref="N1:S1">
    <cfRule type="duplicateValues" dxfId="313" priority="3"/>
  </conditionalFormatting>
  <conditionalFormatting sqref="V1:X1">
    <cfRule type="duplicateValues" dxfId="312" priority="2"/>
  </conditionalFormatting>
  <conditionalFormatting sqref="F1:F228">
    <cfRule type="duplicateValues" dxfId="311" priority="1"/>
  </conditionalFormatting>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05C76-DD65-4F98-A73C-A38ADF172F3A}">
  <sheetPr codeName="Sheet2"/>
  <dimension ref="A1:M75"/>
  <sheetViews>
    <sheetView showGridLines="0" zoomScaleNormal="100" workbookViewId="0">
      <pane ySplit="1" topLeftCell="A64" activePane="bottomLeft" state="frozen"/>
      <selection pane="bottomLeft" activeCell="C75" sqref="C75"/>
    </sheetView>
  </sheetViews>
  <sheetFormatPr defaultColWidth="9.09765625" defaultRowHeight="14.4" x14ac:dyDescent="0.3"/>
  <cols>
    <col min="1" max="1" width="9.09765625" style="28"/>
    <col min="2" max="2" width="11.59765625" style="76" customWidth="1"/>
    <col min="3" max="3" width="62.09765625" style="77" customWidth="1"/>
    <col min="4" max="4" width="9.69921875" style="29" customWidth="1"/>
    <col min="5" max="5" width="8.296875" style="29" bestFit="1" customWidth="1"/>
    <col min="6" max="11" width="9.09765625" style="28"/>
    <col min="12" max="12" width="12.59765625" style="28" customWidth="1"/>
    <col min="13" max="16384" width="9.09765625" style="28"/>
  </cols>
  <sheetData>
    <row r="1" spans="1:13" x14ac:dyDescent="0.3">
      <c r="A1" s="55" t="s">
        <v>355</v>
      </c>
      <c r="B1" s="183" t="s">
        <v>64</v>
      </c>
      <c r="C1" s="184" t="s">
        <v>362</v>
      </c>
      <c r="D1" s="185" t="s">
        <v>356</v>
      </c>
      <c r="E1" s="185" t="s">
        <v>357</v>
      </c>
      <c r="G1" s="85" t="s">
        <v>627</v>
      </c>
      <c r="M1" s="85" t="s">
        <v>628</v>
      </c>
    </row>
    <row r="2" spans="1:13" ht="14.95" customHeight="1" x14ac:dyDescent="0.3">
      <c r="B2" s="471">
        <v>45638</v>
      </c>
      <c r="C2" s="472" t="s">
        <v>430</v>
      </c>
      <c r="D2" s="474" t="s">
        <v>432</v>
      </c>
      <c r="E2" s="473" t="s">
        <v>426</v>
      </c>
    </row>
    <row r="3" spans="1:13" ht="14.95" customHeight="1" x14ac:dyDescent="0.3">
      <c r="B3" s="471"/>
      <c r="C3" s="472"/>
      <c r="D3" s="474"/>
      <c r="E3" s="473"/>
    </row>
    <row r="4" spans="1:13" ht="14.95" customHeight="1" x14ac:dyDescent="0.3">
      <c r="B4" s="471">
        <v>45639</v>
      </c>
      <c r="C4" s="472" t="s">
        <v>441</v>
      </c>
      <c r="D4" s="474" t="s">
        <v>425</v>
      </c>
      <c r="E4" s="473" t="s">
        <v>426</v>
      </c>
    </row>
    <row r="5" spans="1:13" x14ac:dyDescent="0.3">
      <c r="B5" s="471"/>
      <c r="C5" s="472"/>
      <c r="D5" s="473"/>
      <c r="E5" s="473"/>
    </row>
    <row r="6" spans="1:13" ht="14.95" customHeight="1" x14ac:dyDescent="0.3">
      <c r="B6" s="471"/>
      <c r="C6" s="472"/>
      <c r="D6" s="473"/>
      <c r="E6" s="473"/>
    </row>
    <row r="7" spans="1:13" ht="14.95" customHeight="1" x14ac:dyDescent="0.3">
      <c r="B7" s="471">
        <v>45642</v>
      </c>
      <c r="C7" s="472" t="s">
        <v>427</v>
      </c>
      <c r="D7" s="473" t="s">
        <v>425</v>
      </c>
      <c r="E7" s="473" t="s">
        <v>426</v>
      </c>
    </row>
    <row r="8" spans="1:13" ht="14.95" customHeight="1" x14ac:dyDescent="0.3">
      <c r="B8" s="471"/>
      <c r="C8" s="472"/>
      <c r="D8" s="473"/>
      <c r="E8" s="473"/>
    </row>
    <row r="9" spans="1:13" x14ac:dyDescent="0.3">
      <c r="B9" s="76">
        <v>45643</v>
      </c>
      <c r="C9" s="38" t="s">
        <v>428</v>
      </c>
      <c r="D9" s="29" t="s">
        <v>425</v>
      </c>
      <c r="E9" s="29" t="s">
        <v>426</v>
      </c>
    </row>
    <row r="10" spans="1:13" ht="14.95" customHeight="1" x14ac:dyDescent="0.3">
      <c r="B10" s="471">
        <v>45643</v>
      </c>
      <c r="C10" s="472" t="s">
        <v>439</v>
      </c>
      <c r="D10" s="473" t="s">
        <v>425</v>
      </c>
      <c r="E10" s="473" t="s">
        <v>426</v>
      </c>
    </row>
    <row r="11" spans="1:13" x14ac:dyDescent="0.3">
      <c r="B11" s="471"/>
      <c r="C11" s="472"/>
      <c r="D11" s="473"/>
      <c r="E11" s="473"/>
    </row>
    <row r="12" spans="1:13" x14ac:dyDescent="0.3">
      <c r="B12" s="471"/>
      <c r="C12" s="472"/>
      <c r="D12" s="473"/>
      <c r="E12" s="473"/>
    </row>
    <row r="13" spans="1:13" x14ac:dyDescent="0.3">
      <c r="B13" s="471"/>
      <c r="C13" s="472"/>
      <c r="D13" s="473"/>
      <c r="E13" s="473"/>
    </row>
    <row r="14" spans="1:13" ht="14.95" customHeight="1" x14ac:dyDescent="0.3">
      <c r="B14" s="471"/>
      <c r="C14" s="472"/>
      <c r="D14" s="473"/>
      <c r="E14" s="473"/>
    </row>
    <row r="15" spans="1:13" x14ac:dyDescent="0.3">
      <c r="B15" s="471">
        <v>45644</v>
      </c>
      <c r="C15" s="472" t="s">
        <v>433</v>
      </c>
      <c r="D15" s="473" t="s">
        <v>425</v>
      </c>
      <c r="E15" s="473" t="s">
        <v>426</v>
      </c>
    </row>
    <row r="16" spans="1:13" ht="14.95" customHeight="1" x14ac:dyDescent="0.3">
      <c r="B16" s="471"/>
      <c r="C16" s="472"/>
      <c r="D16" s="473"/>
      <c r="E16" s="473"/>
    </row>
    <row r="17" spans="2:5" ht="14.95" customHeight="1" x14ac:dyDescent="0.3">
      <c r="B17" s="471">
        <v>45698</v>
      </c>
      <c r="C17" s="472" t="s">
        <v>429</v>
      </c>
      <c r="D17" s="473" t="s">
        <v>425</v>
      </c>
      <c r="E17" s="473" t="s">
        <v>426</v>
      </c>
    </row>
    <row r="18" spans="2:5" ht="14.95" customHeight="1" x14ac:dyDescent="0.3">
      <c r="B18" s="471"/>
      <c r="C18" s="472"/>
      <c r="D18" s="473"/>
      <c r="E18" s="473"/>
    </row>
    <row r="19" spans="2:5" x14ac:dyDescent="0.3">
      <c r="B19" s="76">
        <v>45699</v>
      </c>
      <c r="C19" s="77" t="s">
        <v>436</v>
      </c>
      <c r="D19" s="29" t="s">
        <v>425</v>
      </c>
      <c r="E19" s="29" t="s">
        <v>426</v>
      </c>
    </row>
    <row r="20" spans="2:5" ht="43.2" x14ac:dyDescent="0.3">
      <c r="B20" s="76">
        <v>45702</v>
      </c>
      <c r="C20" s="38" t="s">
        <v>431</v>
      </c>
      <c r="D20" s="29" t="s">
        <v>425</v>
      </c>
      <c r="E20" s="29" t="s">
        <v>426</v>
      </c>
    </row>
    <row r="21" spans="2:5" ht="28.8" x14ac:dyDescent="0.3">
      <c r="B21" s="76">
        <v>45705</v>
      </c>
      <c r="C21" s="38" t="s">
        <v>440</v>
      </c>
      <c r="D21" s="78" t="s">
        <v>432</v>
      </c>
      <c r="E21" s="29" t="s">
        <v>426</v>
      </c>
    </row>
    <row r="22" spans="2:5" ht="115.2" x14ac:dyDescent="0.3">
      <c r="B22" s="76">
        <v>45716</v>
      </c>
      <c r="C22" s="38" t="s">
        <v>435</v>
      </c>
      <c r="D22" s="29" t="s">
        <v>425</v>
      </c>
      <c r="E22" s="80" t="s">
        <v>434</v>
      </c>
    </row>
    <row r="23" spans="2:5" ht="28.8" x14ac:dyDescent="0.3">
      <c r="B23" s="76">
        <v>45727</v>
      </c>
      <c r="C23" s="38" t="s">
        <v>438</v>
      </c>
      <c r="D23" s="29" t="s">
        <v>425</v>
      </c>
      <c r="E23" s="29" t="s">
        <v>426</v>
      </c>
    </row>
    <row r="24" spans="2:5" ht="28.8" x14ac:dyDescent="0.3">
      <c r="B24" s="76">
        <v>45727</v>
      </c>
      <c r="C24" s="38" t="s">
        <v>437</v>
      </c>
      <c r="D24" s="29" t="s">
        <v>425</v>
      </c>
      <c r="E24" s="29" t="s">
        <v>426</v>
      </c>
    </row>
    <row r="25" spans="2:5" ht="86.4" x14ac:dyDescent="0.3">
      <c r="B25" s="76">
        <v>45737</v>
      </c>
      <c r="C25" s="77" t="s">
        <v>476</v>
      </c>
      <c r="D25" s="29" t="s">
        <v>425</v>
      </c>
      <c r="E25" s="29" t="s">
        <v>426</v>
      </c>
    </row>
    <row r="26" spans="2:5" x14ac:dyDescent="0.3">
      <c r="B26" s="76">
        <v>45740</v>
      </c>
      <c r="C26" s="77" t="s">
        <v>527</v>
      </c>
      <c r="D26" s="29" t="s">
        <v>425</v>
      </c>
      <c r="E26" s="29" t="s">
        <v>426</v>
      </c>
    </row>
    <row r="27" spans="2:5" x14ac:dyDescent="0.3">
      <c r="B27" s="76">
        <v>45740</v>
      </c>
      <c r="C27" s="77" t="s">
        <v>528</v>
      </c>
      <c r="D27" s="29" t="s">
        <v>425</v>
      </c>
      <c r="E27" s="29" t="s">
        <v>426</v>
      </c>
    </row>
    <row r="28" spans="2:5" ht="28.8" x14ac:dyDescent="0.3">
      <c r="B28" s="76">
        <v>45744</v>
      </c>
      <c r="C28" s="77" t="s">
        <v>540</v>
      </c>
      <c r="D28" s="29" t="s">
        <v>425</v>
      </c>
      <c r="E28" s="29" t="s">
        <v>426</v>
      </c>
    </row>
    <row r="29" spans="2:5" x14ac:dyDescent="0.3">
      <c r="B29" s="76">
        <v>45792</v>
      </c>
      <c r="C29" s="77" t="s">
        <v>588</v>
      </c>
      <c r="D29" s="29" t="s">
        <v>425</v>
      </c>
      <c r="E29" s="29" t="s">
        <v>426</v>
      </c>
    </row>
    <row r="30" spans="2:5" x14ac:dyDescent="0.3">
      <c r="B30" s="76">
        <v>45792</v>
      </c>
      <c r="C30" s="77" t="s">
        <v>589</v>
      </c>
      <c r="D30" s="29" t="s">
        <v>425</v>
      </c>
      <c r="E30" s="29" t="s">
        <v>426</v>
      </c>
    </row>
    <row r="31" spans="2:5" x14ac:dyDescent="0.3">
      <c r="B31" s="76">
        <v>45796</v>
      </c>
      <c r="C31" s="77" t="s">
        <v>591</v>
      </c>
      <c r="D31" s="29" t="s">
        <v>425</v>
      </c>
      <c r="E31" s="80" t="s">
        <v>434</v>
      </c>
    </row>
    <row r="32" spans="2:5" x14ac:dyDescent="0.3">
      <c r="B32" s="76">
        <v>45798</v>
      </c>
      <c r="C32" s="77" t="s">
        <v>592</v>
      </c>
      <c r="D32" s="29" t="s">
        <v>425</v>
      </c>
      <c r="E32" s="29" t="s">
        <v>426</v>
      </c>
    </row>
    <row r="33" spans="2:5" x14ac:dyDescent="0.3">
      <c r="B33" s="76">
        <v>45813</v>
      </c>
      <c r="C33" s="77" t="s">
        <v>625</v>
      </c>
      <c r="D33" s="29" t="s">
        <v>425</v>
      </c>
      <c r="E33" s="29" t="s">
        <v>426</v>
      </c>
    </row>
    <row r="34" spans="2:5" ht="28.8" x14ac:dyDescent="0.3">
      <c r="B34" s="76">
        <v>45847</v>
      </c>
      <c r="C34" s="77" t="s">
        <v>641</v>
      </c>
      <c r="D34" s="29" t="s">
        <v>425</v>
      </c>
      <c r="E34" s="29" t="s">
        <v>426</v>
      </c>
    </row>
    <row r="35" spans="2:5" x14ac:dyDescent="0.3">
      <c r="B35" s="76">
        <v>45847</v>
      </c>
      <c r="C35" s="77" t="s">
        <v>642</v>
      </c>
      <c r="D35" s="29" t="s">
        <v>425</v>
      </c>
      <c r="E35" s="80" t="s">
        <v>434</v>
      </c>
    </row>
    <row r="36" spans="2:5" ht="28.8" x14ac:dyDescent="0.3">
      <c r="B36" s="76">
        <v>45847</v>
      </c>
      <c r="C36" s="77" t="s">
        <v>644</v>
      </c>
      <c r="D36" s="29" t="s">
        <v>425</v>
      </c>
      <c r="E36" s="29" t="s">
        <v>426</v>
      </c>
    </row>
    <row r="37" spans="2:5" x14ac:dyDescent="0.3">
      <c r="B37" s="76">
        <v>45848</v>
      </c>
      <c r="C37" s="77" t="s">
        <v>645</v>
      </c>
      <c r="D37" s="29" t="s">
        <v>425</v>
      </c>
      <c r="E37" s="29" t="s">
        <v>426</v>
      </c>
    </row>
    <row r="38" spans="2:5" ht="28.8" x14ac:dyDescent="0.3">
      <c r="B38" s="76">
        <v>45848</v>
      </c>
      <c r="C38" s="77" t="s">
        <v>658</v>
      </c>
      <c r="D38" s="29" t="s">
        <v>659</v>
      </c>
      <c r="E38" s="29" t="s">
        <v>426</v>
      </c>
    </row>
    <row r="39" spans="2:5" ht="43.2" x14ac:dyDescent="0.3">
      <c r="B39" s="76">
        <v>45848</v>
      </c>
      <c r="C39" s="77" t="s">
        <v>660</v>
      </c>
      <c r="D39" s="29" t="s">
        <v>659</v>
      </c>
      <c r="E39" s="29" t="s">
        <v>426</v>
      </c>
    </row>
    <row r="40" spans="2:5" ht="43.2" x14ac:dyDescent="0.3">
      <c r="B40" s="76">
        <v>45866</v>
      </c>
      <c r="C40" s="77" t="s">
        <v>663</v>
      </c>
      <c r="D40" s="29" t="s">
        <v>425</v>
      </c>
      <c r="E40" s="80" t="s">
        <v>434</v>
      </c>
    </row>
    <row r="41" spans="2:5" ht="28.8" x14ac:dyDescent="0.3">
      <c r="B41" s="76">
        <v>45873</v>
      </c>
      <c r="C41" s="77" t="s">
        <v>701</v>
      </c>
      <c r="D41" s="29" t="s">
        <v>425</v>
      </c>
      <c r="E41" s="29" t="s">
        <v>426</v>
      </c>
    </row>
    <row r="42" spans="2:5" ht="72" x14ac:dyDescent="0.3">
      <c r="B42" s="76">
        <v>45873</v>
      </c>
      <c r="C42" s="77" t="s">
        <v>702</v>
      </c>
      <c r="D42" s="29" t="s">
        <v>425</v>
      </c>
      <c r="E42" s="29" t="s">
        <v>426</v>
      </c>
    </row>
    <row r="43" spans="2:5" ht="28.8" x14ac:dyDescent="0.3">
      <c r="B43" s="76">
        <v>45873</v>
      </c>
      <c r="C43" s="77" t="s">
        <v>722</v>
      </c>
      <c r="D43" s="29" t="s">
        <v>425</v>
      </c>
      <c r="E43" s="29" t="s">
        <v>426</v>
      </c>
    </row>
    <row r="44" spans="2:5" ht="28.8" x14ac:dyDescent="0.3">
      <c r="B44" s="76">
        <v>45874</v>
      </c>
      <c r="C44" s="77" t="s">
        <v>898</v>
      </c>
      <c r="D44" s="29" t="s">
        <v>425</v>
      </c>
      <c r="E44" s="29" t="s">
        <v>426</v>
      </c>
    </row>
    <row r="45" spans="2:5" ht="28.8" x14ac:dyDescent="0.3">
      <c r="B45" s="76">
        <v>45875</v>
      </c>
      <c r="C45" s="77" t="s">
        <v>940</v>
      </c>
      <c r="D45" s="29" t="s">
        <v>425</v>
      </c>
      <c r="E45" s="29" t="s">
        <v>426</v>
      </c>
    </row>
    <row r="46" spans="2:5" ht="28.8" x14ac:dyDescent="0.3">
      <c r="B46" s="76">
        <v>45936</v>
      </c>
      <c r="C46" s="77" t="s">
        <v>968</v>
      </c>
      <c r="D46" s="29" t="s">
        <v>659</v>
      </c>
      <c r="E46" s="29" t="s">
        <v>426</v>
      </c>
    </row>
    <row r="47" spans="2:5" x14ac:dyDescent="0.3">
      <c r="B47" s="76">
        <v>45947</v>
      </c>
      <c r="C47" s="77" t="s">
        <v>979</v>
      </c>
      <c r="D47" s="29" t="s">
        <v>425</v>
      </c>
      <c r="E47" s="29" t="s">
        <v>426</v>
      </c>
    </row>
    <row r="48" spans="2:5" x14ac:dyDescent="0.3">
      <c r="B48" s="76">
        <v>45953</v>
      </c>
      <c r="C48" s="77" t="s">
        <v>994</v>
      </c>
      <c r="D48" s="29" t="s">
        <v>425</v>
      </c>
      <c r="E48" s="29" t="s">
        <v>426</v>
      </c>
    </row>
    <row r="49" spans="2:7" ht="28.8" x14ac:dyDescent="0.3">
      <c r="B49" s="76">
        <v>45953</v>
      </c>
      <c r="C49" s="77" t="s">
        <v>1127</v>
      </c>
      <c r="D49" s="29" t="s">
        <v>425</v>
      </c>
      <c r="E49" s="29" t="s">
        <v>426</v>
      </c>
      <c r="F49" s="171" t="s">
        <v>999</v>
      </c>
    </row>
    <row r="50" spans="2:7" ht="28.8" x14ac:dyDescent="0.3">
      <c r="B50" s="76">
        <v>45958</v>
      </c>
      <c r="C50" s="77" t="s">
        <v>1007</v>
      </c>
      <c r="D50" s="29" t="s">
        <v>425</v>
      </c>
      <c r="E50" s="29" t="s">
        <v>426</v>
      </c>
    </row>
    <row r="51" spans="2:7" x14ac:dyDescent="0.3">
      <c r="B51" s="76">
        <v>45965</v>
      </c>
      <c r="C51" s="77" t="s">
        <v>1038</v>
      </c>
      <c r="D51" s="29" t="s">
        <v>425</v>
      </c>
      <c r="E51" s="29" t="s">
        <v>426</v>
      </c>
    </row>
    <row r="52" spans="2:7" x14ac:dyDescent="0.3">
      <c r="B52" s="76">
        <v>45978</v>
      </c>
      <c r="C52" s="77" t="s">
        <v>1055</v>
      </c>
      <c r="D52" s="29" t="s">
        <v>425</v>
      </c>
      <c r="E52" s="29" t="s">
        <v>426</v>
      </c>
    </row>
    <row r="53" spans="2:7" x14ac:dyDescent="0.3">
      <c r="B53" s="76">
        <v>45979</v>
      </c>
      <c r="C53" s="77" t="s">
        <v>1062</v>
      </c>
      <c r="D53" s="29" t="s">
        <v>425</v>
      </c>
      <c r="E53" s="29" t="s">
        <v>426</v>
      </c>
    </row>
    <row r="54" spans="2:7" x14ac:dyDescent="0.3">
      <c r="B54" s="76">
        <v>45986</v>
      </c>
      <c r="C54" s="77" t="s">
        <v>1070</v>
      </c>
      <c r="D54" s="29" t="s">
        <v>425</v>
      </c>
      <c r="E54" s="29" t="s">
        <v>426</v>
      </c>
    </row>
    <row r="55" spans="2:7" x14ac:dyDescent="0.3">
      <c r="B55" s="76">
        <v>45988</v>
      </c>
      <c r="C55" s="77" t="s">
        <v>1082</v>
      </c>
      <c r="D55" s="29" t="s">
        <v>425</v>
      </c>
      <c r="E55" s="29" t="s">
        <v>426</v>
      </c>
    </row>
    <row r="56" spans="2:7" x14ac:dyDescent="0.3">
      <c r="B56" s="76">
        <v>45992</v>
      </c>
      <c r="C56" s="77" t="s">
        <v>1093</v>
      </c>
      <c r="D56" s="29" t="s">
        <v>425</v>
      </c>
      <c r="E56" s="29" t="s">
        <v>426</v>
      </c>
    </row>
    <row r="57" spans="2:7" ht="28.8" x14ac:dyDescent="0.3">
      <c r="B57" s="76">
        <v>45996</v>
      </c>
      <c r="C57" s="77" t="s">
        <v>1121</v>
      </c>
      <c r="D57" s="29" t="s">
        <v>425</v>
      </c>
      <c r="E57" s="29" t="s">
        <v>426</v>
      </c>
    </row>
    <row r="58" spans="2:7" ht="43.2" x14ac:dyDescent="0.3">
      <c r="B58" s="76">
        <v>46006</v>
      </c>
      <c r="C58" s="77" t="s">
        <v>1119</v>
      </c>
      <c r="D58" s="29" t="s">
        <v>425</v>
      </c>
      <c r="E58" s="29" t="s">
        <v>426</v>
      </c>
    </row>
    <row r="59" spans="2:7" x14ac:dyDescent="0.3">
      <c r="B59" s="76">
        <v>46006</v>
      </c>
      <c r="C59" s="77" t="s">
        <v>1120</v>
      </c>
      <c r="D59" s="29" t="s">
        <v>425</v>
      </c>
      <c r="E59" s="29" t="s">
        <v>426</v>
      </c>
      <c r="F59" s="77"/>
      <c r="G59" s="77"/>
    </row>
    <row r="60" spans="2:7" x14ac:dyDescent="0.3">
      <c r="B60" s="76">
        <v>46009</v>
      </c>
      <c r="C60" s="77" t="s">
        <v>1126</v>
      </c>
      <c r="D60" s="29" t="s">
        <v>425</v>
      </c>
      <c r="E60" s="29" t="s">
        <v>426</v>
      </c>
    </row>
    <row r="61" spans="2:7" x14ac:dyDescent="0.3">
      <c r="B61" s="76">
        <v>46013</v>
      </c>
      <c r="C61" s="77" t="s">
        <v>1128</v>
      </c>
      <c r="D61" s="29" t="s">
        <v>425</v>
      </c>
      <c r="E61" s="29" t="s">
        <v>426</v>
      </c>
    </row>
    <row r="62" spans="2:7" x14ac:dyDescent="0.3">
      <c r="B62" s="76">
        <v>46022</v>
      </c>
      <c r="C62" s="77" t="s">
        <v>1138</v>
      </c>
      <c r="D62" s="29" t="s">
        <v>1139</v>
      </c>
      <c r="E62" s="29" t="s">
        <v>426</v>
      </c>
    </row>
    <row r="63" spans="2:7" ht="43.2" x14ac:dyDescent="0.3">
      <c r="B63" s="76">
        <v>46037</v>
      </c>
      <c r="C63" s="77" t="s">
        <v>1149</v>
      </c>
      <c r="D63" s="29" t="s">
        <v>425</v>
      </c>
      <c r="E63" s="29" t="s">
        <v>426</v>
      </c>
    </row>
    <row r="64" spans="2:7" ht="43.2" x14ac:dyDescent="0.3">
      <c r="B64" s="76">
        <v>46043</v>
      </c>
      <c r="C64" s="77" t="s">
        <v>1150</v>
      </c>
      <c r="D64" s="29" t="s">
        <v>1139</v>
      </c>
      <c r="E64" s="29" t="s">
        <v>426</v>
      </c>
    </row>
    <row r="65" spans="2:5" ht="28.8" x14ac:dyDescent="0.3">
      <c r="B65" s="76">
        <v>46048</v>
      </c>
      <c r="C65" s="77" t="s">
        <v>1171</v>
      </c>
      <c r="D65" s="29" t="s">
        <v>1139</v>
      </c>
      <c r="E65" s="29" t="s">
        <v>426</v>
      </c>
    </row>
    <row r="66" spans="2:5" ht="57.6" x14ac:dyDescent="0.3">
      <c r="B66" s="76">
        <v>46050</v>
      </c>
      <c r="C66" s="77" t="s">
        <v>1182</v>
      </c>
      <c r="D66" s="29" t="s">
        <v>425</v>
      </c>
      <c r="E66" s="29" t="s">
        <v>426</v>
      </c>
    </row>
    <row r="67" spans="2:5" x14ac:dyDescent="0.3">
      <c r="B67" s="76">
        <v>46051</v>
      </c>
      <c r="C67" s="77" t="s">
        <v>1199</v>
      </c>
      <c r="D67" s="29" t="s">
        <v>425</v>
      </c>
      <c r="E67" s="29" t="s">
        <v>426</v>
      </c>
    </row>
    <row r="68" spans="2:5" ht="48.05" customHeight="1" x14ac:dyDescent="0.3">
      <c r="B68" s="76">
        <v>46051</v>
      </c>
      <c r="C68" s="77" t="s">
        <v>1200</v>
      </c>
      <c r="D68" s="29" t="s">
        <v>425</v>
      </c>
      <c r="E68" s="29" t="s">
        <v>426</v>
      </c>
    </row>
    <row r="69" spans="2:5" x14ac:dyDescent="0.3">
      <c r="B69" s="76">
        <v>46064</v>
      </c>
      <c r="C69" s="77" t="s">
        <v>1216</v>
      </c>
      <c r="D69" s="29" t="s">
        <v>1139</v>
      </c>
      <c r="E69" s="29" t="s">
        <v>426</v>
      </c>
    </row>
    <row r="70" spans="2:5" x14ac:dyDescent="0.3">
      <c r="B70" s="76">
        <v>46090</v>
      </c>
      <c r="C70" s="77" t="s">
        <v>1235</v>
      </c>
      <c r="D70" s="29" t="s">
        <v>425</v>
      </c>
      <c r="E70" s="29" t="s">
        <v>426</v>
      </c>
    </row>
    <row r="71" spans="2:5" x14ac:dyDescent="0.3">
      <c r="B71" s="76">
        <v>46112</v>
      </c>
      <c r="C71" s="77" t="s">
        <v>1252</v>
      </c>
      <c r="D71" s="29" t="s">
        <v>1139</v>
      </c>
      <c r="E71" s="29" t="s">
        <v>426</v>
      </c>
    </row>
    <row r="72" spans="2:5" ht="86.4" x14ac:dyDescent="0.3">
      <c r="B72" s="76">
        <v>46161</v>
      </c>
      <c r="C72" s="77" t="s">
        <v>1277</v>
      </c>
      <c r="D72" s="29" t="s">
        <v>1139</v>
      </c>
      <c r="E72" s="29" t="s">
        <v>426</v>
      </c>
    </row>
    <row r="73" spans="2:5" ht="57.6" x14ac:dyDescent="0.3">
      <c r="B73" s="76">
        <v>46162</v>
      </c>
      <c r="C73" s="77" t="s">
        <v>1291</v>
      </c>
      <c r="D73" s="29" t="s">
        <v>425</v>
      </c>
      <c r="E73" s="80" t="s">
        <v>434</v>
      </c>
    </row>
    <row r="74" spans="2:5" ht="28.8" x14ac:dyDescent="0.3">
      <c r="B74" s="76">
        <v>46167</v>
      </c>
      <c r="C74" s="77" t="s">
        <v>1296</v>
      </c>
      <c r="D74" s="29" t="s">
        <v>425</v>
      </c>
      <c r="E74" s="29" t="s">
        <v>426</v>
      </c>
    </row>
    <row r="75" spans="2:5" x14ac:dyDescent="0.3">
      <c r="B75" s="76">
        <v>46176</v>
      </c>
      <c r="C75" s="28" t="s">
        <v>1303</v>
      </c>
      <c r="D75" s="29" t="s">
        <v>1139</v>
      </c>
      <c r="E75" s="29" t="s">
        <v>426</v>
      </c>
    </row>
  </sheetData>
  <mergeCells count="24">
    <mergeCell ref="D2:D3"/>
    <mergeCell ref="E2:E3"/>
    <mergeCell ref="C17:C18"/>
    <mergeCell ref="C10:C14"/>
    <mergeCell ref="B10:B14"/>
    <mergeCell ref="D10:D14"/>
    <mergeCell ref="E10:E14"/>
    <mergeCell ref="D4:D6"/>
    <mergeCell ref="E4:E6"/>
    <mergeCell ref="D7:D8"/>
    <mergeCell ref="E7:E8"/>
    <mergeCell ref="B2:B3"/>
    <mergeCell ref="C2:C3"/>
    <mergeCell ref="C4:C6"/>
    <mergeCell ref="B4:B6"/>
    <mergeCell ref="C7:C8"/>
    <mergeCell ref="B7:B8"/>
    <mergeCell ref="B17:B18"/>
    <mergeCell ref="C15:C16"/>
    <mergeCell ref="B15:B16"/>
    <mergeCell ref="E17:E18"/>
    <mergeCell ref="D17:D18"/>
    <mergeCell ref="D15:D16"/>
    <mergeCell ref="E15:E16"/>
  </mergeCells>
  <phoneticPr fontId="16" type="noConversion"/>
  <conditionalFormatting sqref="B1:E62 B65:C65 B66:E1048576">
    <cfRule type="notContainsBlanks" dxfId="305" priority="6">
      <formula>LEN(TRIM(B1))&gt;0</formula>
    </cfRule>
  </conditionalFormatting>
  <conditionalFormatting sqref="B63:E63">
    <cfRule type="notContainsBlanks" dxfId="304" priority="4">
      <formula>LEN(TRIM(B63))&gt;0</formula>
    </cfRule>
  </conditionalFormatting>
  <conditionalFormatting sqref="B64:E64">
    <cfRule type="notContainsBlanks" dxfId="303" priority="3">
      <formula>LEN(TRIM(B64))&gt;0</formula>
    </cfRule>
  </conditionalFormatting>
  <conditionalFormatting sqref="D65">
    <cfRule type="notContainsBlanks" dxfId="302" priority="2">
      <formula>LEN(TRIM(D65))&gt;0</formula>
    </cfRule>
  </conditionalFormatting>
  <conditionalFormatting sqref="E65">
    <cfRule type="notContainsBlanks" dxfId="301" priority="1">
      <formula>LEN(TRIM(E65))&gt;0</formula>
    </cfRule>
  </conditionalFormatting>
  <hyperlinks>
    <hyperlink ref="F49" r:id="rId1" xr:uid="{50DBECF0-B75C-4ECE-818E-92E1DB105B53}"/>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D2E6-695C-41B1-8ACE-1BFF9ED2EA1B}">
  <sheetPr codeName="Sheet3">
    <tabColor rgb="FFC00000"/>
  </sheetPr>
  <dimension ref="A1:Y32"/>
  <sheetViews>
    <sheetView showGridLines="0" zoomScaleNormal="100" workbookViewId="0">
      <selection activeCell="H25" sqref="H25"/>
    </sheetView>
  </sheetViews>
  <sheetFormatPr defaultRowHeight="14.4" x14ac:dyDescent="0.3"/>
  <cols>
    <col min="1" max="1" width="4.59765625" style="7" bestFit="1" customWidth="1"/>
    <col min="2" max="2" width="18.59765625" style="7" bestFit="1" customWidth="1"/>
    <col min="3" max="3" width="15.69921875" style="7" customWidth="1"/>
    <col min="6" max="6" width="14" customWidth="1"/>
    <col min="8" max="8" width="13.3984375" bestFit="1" customWidth="1"/>
    <col min="9" max="9" width="4.59765625" style="54" bestFit="1" customWidth="1"/>
    <col min="10" max="10" width="56.8984375" bestFit="1" customWidth="1"/>
    <col min="11" max="11" width="9.09765625" style="54" customWidth="1"/>
    <col min="12" max="12" width="18" style="96" bestFit="1" customWidth="1"/>
    <col min="13" max="13" width="4.296875" bestFit="1" customWidth="1"/>
    <col min="15" max="15" width="13.8984375" bestFit="1" customWidth="1"/>
    <col min="17" max="17" width="13.59765625" bestFit="1" customWidth="1"/>
    <col min="18" max="18" width="12.296875" bestFit="1" customWidth="1"/>
    <col min="20" max="20" width="11.59765625" bestFit="1" customWidth="1"/>
    <col min="23" max="23" width="4.59765625" bestFit="1" customWidth="1"/>
    <col min="25" max="25" width="18.09765625" bestFit="1" customWidth="1"/>
  </cols>
  <sheetData>
    <row r="1" spans="1:25" x14ac:dyDescent="0.3">
      <c r="A1" s="1" t="s">
        <v>0</v>
      </c>
      <c r="B1" s="1" t="s">
        <v>400</v>
      </c>
      <c r="C1" s="2" t="s">
        <v>1</v>
      </c>
      <c r="E1" s="328" t="s">
        <v>1146</v>
      </c>
      <c r="F1" s="328" t="s">
        <v>1591</v>
      </c>
      <c r="H1" s="390" t="s">
        <v>416</v>
      </c>
      <c r="I1" s="51" t="s">
        <v>0</v>
      </c>
      <c r="J1" s="51" t="s">
        <v>394</v>
      </c>
      <c r="K1" s="51" t="s">
        <v>424</v>
      </c>
      <c r="L1" s="51" t="s">
        <v>1058</v>
      </c>
      <c r="M1" s="180" t="s">
        <v>1057</v>
      </c>
      <c r="O1" s="390" t="s">
        <v>1094</v>
      </c>
      <c r="P1" s="205" t="s">
        <v>45</v>
      </c>
      <c r="Q1" s="205" t="s">
        <v>1077</v>
      </c>
      <c r="R1" s="205" t="s">
        <v>1078</v>
      </c>
      <c r="S1" s="205" t="s">
        <v>1079</v>
      </c>
      <c r="T1" s="205" t="s">
        <v>1080</v>
      </c>
      <c r="V1" s="390" t="s">
        <v>995</v>
      </c>
      <c r="W1" s="51" t="s">
        <v>0</v>
      </c>
      <c r="X1" s="51" t="s">
        <v>45</v>
      </c>
      <c r="Y1" s="51" t="s">
        <v>46</v>
      </c>
    </row>
    <row r="2" spans="1:25" x14ac:dyDescent="0.3">
      <c r="A2" s="3">
        <v>1</v>
      </c>
      <c r="B2" s="4" t="s">
        <v>2</v>
      </c>
      <c r="C2" s="5">
        <v>46262</v>
      </c>
      <c r="I2" s="53">
        <v>1</v>
      </c>
      <c r="J2" s="49" t="s">
        <v>533</v>
      </c>
      <c r="K2" s="82" t="str">
        <f>IF(L2=0,"OK","CHECK")</f>
        <v>OK</v>
      </c>
      <c r="L2" s="179">
        <f>Upload53!G2-SUM(Upload53!G3:G14)</f>
        <v>0</v>
      </c>
      <c r="M2" s="83"/>
      <c r="O2" s="81">
        <f>COUNTA(P:P)-1</f>
        <v>8</v>
      </c>
      <c r="P2" s="203" t="s">
        <v>349</v>
      </c>
      <c r="Q2" s="203" t="s">
        <v>624</v>
      </c>
      <c r="R2" s="203" t="s">
        <v>1201</v>
      </c>
      <c r="S2" s="204">
        <f>COUNTA('His53'!AD:AD)</f>
        <v>820</v>
      </c>
      <c r="T2" s="204" t="str">
        <f>R2&amp;":"&amp;LEFT(R2,LEN(R2)-1)&amp;S2</f>
        <v>AG2:AG820</v>
      </c>
      <c r="V2" s="52">
        <f>COUNTA(W:W)-1</f>
        <v>25</v>
      </c>
      <c r="W2" s="16">
        <v>1</v>
      </c>
      <c r="X2" s="17" t="s">
        <v>44</v>
      </c>
      <c r="Y2" s="17" t="s">
        <v>571</v>
      </c>
    </row>
    <row r="3" spans="1:25" x14ac:dyDescent="0.3">
      <c r="A3" s="3">
        <v>2</v>
      </c>
      <c r="B3" s="4" t="s">
        <v>3</v>
      </c>
      <c r="C3" s="6" cm="1">
        <f t="array" ref="C3">INDEX(Ref!J:J,MATCH(RPT,Ref!J:J,0)-1)</f>
        <v>46261</v>
      </c>
      <c r="I3" s="53">
        <v>2</v>
      </c>
      <c r="J3" s="49" t="s">
        <v>534</v>
      </c>
      <c r="K3" s="82" t="str">
        <f>IF(SUM(Upload53!G15:G17)=
   (SUMIFS(FNRP!AN:AN,FNRP!AI:AI,"&gt;0")+SUMIFS(FNRP!BP:BP,FNRP!BL:BL,"&gt;0"))/10^9,"OK","CHECK")</f>
        <v>OK</v>
      </c>
      <c r="L3" s="179">
        <f>SUM(Upload53!G15:G17)-
   (SUMIFS(FNRP!AN:AN,FNRP!AI:AI,"&gt;0")+SUMIFS(FNRP!BP:BP,FNRP!BL:BL,"&gt;0"))/10^9</f>
        <v>0</v>
      </c>
      <c r="M3" s="83"/>
      <c r="O3" s="7"/>
      <c r="P3" s="203" t="s">
        <v>44</v>
      </c>
      <c r="Q3" s="203" t="s">
        <v>571</v>
      </c>
      <c r="R3" s="203" t="s">
        <v>1081</v>
      </c>
      <c r="S3" s="204">
        <f>COUNTA(FNRP!D:D)</f>
        <v>16</v>
      </c>
      <c r="T3" s="204" t="str">
        <f>LEFT(R3,LEN(R3)-1)&amp;S3</f>
        <v>AH2:AL16</v>
      </c>
      <c r="V3" s="7"/>
      <c r="W3" s="16">
        <v>2</v>
      </c>
      <c r="X3" s="17" t="s">
        <v>44</v>
      </c>
      <c r="Y3" s="17" t="s">
        <v>468</v>
      </c>
    </row>
    <row r="4" spans="1:25" x14ac:dyDescent="0.3">
      <c r="A4" s="3">
        <v>3</v>
      </c>
      <c r="B4" s="7" t="s">
        <v>4</v>
      </c>
      <c r="C4" s="8">
        <f>_xlfn.XLOOKUP(EOMONTH(RPT,-1),Ref!J:J,Ref!J:J,_xlfn.XLOOKUP(EOMONTH(RPT,-1),Ref!J:J,Ref!J:J,,-1),0)</f>
        <v>46234</v>
      </c>
      <c r="I4" s="53">
        <v>3</v>
      </c>
      <c r="J4" s="49" t="s">
        <v>535</v>
      </c>
      <c r="K4" s="82" t="str">
        <f>IF(L4=0,"OK","CHECK")</f>
        <v>OK</v>
      </c>
      <c r="L4" s="179">
        <f>Upload53!G29-SUM(Upload53!G30:G41)</f>
        <v>0</v>
      </c>
      <c r="M4" s="83"/>
      <c r="O4" s="7"/>
      <c r="P4" s="203" t="s">
        <v>44</v>
      </c>
      <c r="Q4" s="203" t="s">
        <v>468</v>
      </c>
      <c r="R4" s="203" t="s">
        <v>1086</v>
      </c>
      <c r="S4" s="204">
        <f>COUNTA(FNRP!AS:AS)</f>
        <v>41</v>
      </c>
      <c r="T4" s="204" t="str">
        <f>LEFT(R4,LEN(R4)-1)&amp;S4</f>
        <v>BJ2:BN41</v>
      </c>
      <c r="V4" s="7"/>
      <c r="W4" s="16">
        <v>3</v>
      </c>
      <c r="X4" s="17" t="s">
        <v>44</v>
      </c>
      <c r="Y4" s="17" t="s">
        <v>1001</v>
      </c>
    </row>
    <row r="5" spans="1:25" x14ac:dyDescent="0.3">
      <c r="A5" s="3">
        <v>4</v>
      </c>
      <c r="B5" s="7" t="s">
        <v>5</v>
      </c>
      <c r="C5" s="8">
        <f>WORKDAY(EOMONTH(DATE(YEAR(RPT),1,1),-1),0,0)</f>
        <v>46022</v>
      </c>
      <c r="I5" s="53">
        <v>4</v>
      </c>
      <c r="J5" s="49" t="s">
        <v>536</v>
      </c>
      <c r="K5" s="82" t="str">
        <f>IF(SUM(Upload53!G42:G48)=Upload53!G15,"OK","CHECK")</f>
        <v>OK</v>
      </c>
      <c r="L5" s="179"/>
      <c r="M5" s="181"/>
      <c r="O5" s="7"/>
      <c r="P5" s="203" t="s">
        <v>44</v>
      </c>
      <c r="Q5" s="203" t="s">
        <v>1001</v>
      </c>
      <c r="R5" s="203" t="s">
        <v>1087</v>
      </c>
      <c r="S5" s="204">
        <f>COUNTA(FNRP!CB:CB)</f>
        <v>12</v>
      </c>
      <c r="T5" s="204" t="str">
        <f>LEFT(R5,LEN(R5)-1)&amp;S5</f>
        <v>CS2:CU12</v>
      </c>
      <c r="V5" s="7"/>
      <c r="W5" s="16">
        <v>4</v>
      </c>
      <c r="X5" s="17" t="s">
        <v>301</v>
      </c>
      <c r="Y5" s="17" t="s">
        <v>1180</v>
      </c>
    </row>
    <row r="6" spans="1:25" x14ac:dyDescent="0.3">
      <c r="A6" s="3">
        <v>5</v>
      </c>
      <c r="B6" s="9" t="s">
        <v>1170</v>
      </c>
      <c r="C6" s="8">
        <f>RPT-370</f>
        <v>45892</v>
      </c>
      <c r="I6" s="53">
        <v>5</v>
      </c>
      <c r="J6" s="49" t="s">
        <v>423</v>
      </c>
      <c r="K6" s="82" t="str">
        <f>IF(SUM(GL!G:G)&lt;&gt;0,"CHECK","OK")</f>
        <v>CHECK</v>
      </c>
      <c r="L6" s="182" t="s">
        <v>952</v>
      </c>
      <c r="M6" s="83"/>
      <c r="O6" s="7"/>
      <c r="P6" s="203" t="s">
        <v>350</v>
      </c>
      <c r="Q6" s="203" t="s">
        <v>266</v>
      </c>
      <c r="R6" s="203" t="s">
        <v>1202</v>
      </c>
      <c r="S6" s="204">
        <f>COUNTA(AllDealps!B:B)</f>
        <v>817</v>
      </c>
      <c r="T6" s="204" t="str">
        <f>LEFT(R6,LEN(R6)-1)&amp;S6</f>
        <v>T2:Z817</v>
      </c>
      <c r="V6" s="7"/>
      <c r="W6" s="16">
        <v>5</v>
      </c>
      <c r="X6" s="17" t="s">
        <v>301</v>
      </c>
      <c r="Y6" s="17" t="s">
        <v>348</v>
      </c>
    </row>
    <row r="7" spans="1:25" x14ac:dyDescent="0.3">
      <c r="A7" s="3">
        <v>6</v>
      </c>
      <c r="B7" s="7" t="s">
        <v>8</v>
      </c>
      <c r="C7" s="10">
        <f>RPT-370</f>
        <v>45892</v>
      </c>
      <c r="D7" t="s">
        <v>9</v>
      </c>
      <c r="I7" s="53">
        <v>6</v>
      </c>
      <c r="J7" s="69" t="s">
        <v>553</v>
      </c>
      <c r="K7" s="82" t="str">
        <f>IF(L7=0,"OK","CHECK")</f>
        <v>CHECK</v>
      </c>
      <c r="L7" s="179">
        <f>ROUND((SUM(Rating!B:B)/2-GL!C17-ITB_Amt),1)</f>
        <v>3218</v>
      </c>
      <c r="M7" s="83"/>
      <c r="O7" s="7"/>
      <c r="P7" s="203" t="s">
        <v>350</v>
      </c>
      <c r="Q7" s="203" t="s">
        <v>1002</v>
      </c>
      <c r="R7" s="203" t="s">
        <v>1203</v>
      </c>
      <c r="S7" s="204">
        <f>COUNTA(AllDealps!BD:BD)</f>
        <v>568</v>
      </c>
      <c r="T7" s="204" t="str">
        <f>R7&amp;":"&amp;LEFT(R7,LEN(R7)-1)&amp;S7</f>
        <v>BU2:BU568</v>
      </c>
      <c r="V7" s="7"/>
      <c r="W7" s="16">
        <v>6</v>
      </c>
      <c r="X7" s="17" t="s">
        <v>349</v>
      </c>
      <c r="Y7" s="17" t="s">
        <v>422</v>
      </c>
    </row>
    <row r="8" spans="1:25" x14ac:dyDescent="0.3">
      <c r="A8" s="3">
        <v>7</v>
      </c>
      <c r="B8" s="7" t="s">
        <v>7</v>
      </c>
      <c r="C8" s="12" t="str">
        <f>"01.RptTool_FIBond_"&amp;TEXT(RPT,"yyyy.mm.dd")&amp;".xlsb"</f>
        <v>01.RptTool_FIBond_2026.08.28.xlsb</v>
      </c>
      <c r="D8" t="s">
        <v>9</v>
      </c>
      <c r="I8" s="53">
        <v>7</v>
      </c>
      <c r="J8" s="69" t="s">
        <v>1481</v>
      </c>
      <c r="K8" s="82" t="str">
        <f>IF(L8=0,"OK","CHECK")</f>
        <v>OK</v>
      </c>
      <c r="L8" s="179">
        <f>GL!B27</f>
        <v>0</v>
      </c>
      <c r="M8" s="83"/>
      <c r="O8" s="7"/>
      <c r="P8" s="203" t="s">
        <v>387</v>
      </c>
      <c r="Q8" s="203" t="s">
        <v>390</v>
      </c>
      <c r="R8" s="203" t="s">
        <v>1581</v>
      </c>
      <c r="S8" s="204">
        <f>COUNTA(RPBOD3!A:A)</f>
        <v>92</v>
      </c>
      <c r="T8" s="204" t="str">
        <f>R8&amp;":"&amp;LEFT(R8,LEN(R8)-1)&amp;S8</f>
        <v>X2:X92</v>
      </c>
      <c r="V8" s="7"/>
      <c r="W8" s="16">
        <v>7</v>
      </c>
      <c r="X8" s="17" t="s">
        <v>349</v>
      </c>
      <c r="Y8" s="17" t="s">
        <v>599</v>
      </c>
    </row>
    <row r="9" spans="1:25" x14ac:dyDescent="0.3">
      <c r="A9" s="3">
        <v>8</v>
      </c>
      <c r="B9" s="7" t="s">
        <v>6</v>
      </c>
      <c r="C9" s="27" t="str">
        <f>"\\filesrv01.msb.com.vn\06.Khoi Quan Ly Rui Ro\02.Trung Tam QLRR Thi Truong\02.Phong GSRRTT\05.Report\01.Daily Report\"&amp;TEXT(RPT,"yyyy.mm.dd")&amp;"\00.Input\01.DataFile53\BondFIBS2.BondsSynthetic.csv"</f>
        <v>\\filesrv01.msb.com.vn\06.Khoi Quan Ly Rui Ro\02.Trung Tam QLRR Thi Truong\02.Phong GSRRTT\05.Report\01.Daily Report\2026.08.28\00.Input\01.DataFile53\BondFIBS2.BondsSynthetic.csv</v>
      </c>
      <c r="D9" t="s">
        <v>9</v>
      </c>
      <c r="I9" s="53">
        <v>8</v>
      </c>
      <c r="J9" s="49" t="s">
        <v>1124</v>
      </c>
      <c r="K9" s="82" t="str">
        <f>IF(ABS(L9)&lt;=1, "OK", "CHECK")</f>
        <v>OK</v>
      </c>
      <c r="L9" s="179">
        <f>ROUND(Summary!BI7-((SUMIFS(FNRP!J:J,FNRP!AI:AI,"&gt;0")-SUM(FNRP_FIbond[Đối ứng]))+SUMIFS(FNRP!BP:BP,FNRP!BL:BL,"&gt;0"))/10^9-ITB_Amt,1)</f>
        <v>0</v>
      </c>
      <c r="M9" s="83"/>
      <c r="O9" s="7"/>
      <c r="P9" s="203" t="s">
        <v>351</v>
      </c>
      <c r="Q9" s="203" t="s">
        <v>612</v>
      </c>
      <c r="R9" s="203" t="s">
        <v>1083</v>
      </c>
      <c r="S9" s="204">
        <f>COUNTA(DataTT!A:A)</f>
        <v>147</v>
      </c>
      <c r="T9" s="204" t="str">
        <f>R9&amp;":"&amp;LEFT(R9,LEN(R9)-1)&amp;S9</f>
        <v>M2:M147</v>
      </c>
      <c r="V9" s="7"/>
      <c r="W9" s="16">
        <v>8</v>
      </c>
      <c r="X9" s="17" t="s">
        <v>349</v>
      </c>
      <c r="Y9" s="17" t="s">
        <v>512</v>
      </c>
    </row>
    <row r="10" spans="1:25" x14ac:dyDescent="0.3">
      <c r="A10" s="3">
        <v>9</v>
      </c>
      <c r="B10" s="7" t="s">
        <v>444</v>
      </c>
      <c r="C10" s="27" t="str">
        <f>"\\filesrv01.msb.com.vn\06.Khoi Quan Ly Rui Ro\02.Trung Tam QLRR Thi Truong\02.Phong GSRRTT\05.Report\01.Daily Report\"&amp;TEXT(RPT,"yyyy.mm.dd")&amp;"\00.Input\01.DataFile53\PPCD.FI.BS2.PaperCDSynthetic.csv"</f>
        <v>\\filesrv01.msb.com.vn\06.Khoi Quan Ly Rui Ro\02.Trung Tam QLRR Thi Truong\02.Phong GSRRTT\05.Report\01.Daily Report\2026.08.28\00.Input\01.DataFile53\PPCD.FI.BS2.PaperCDSynthetic.csv</v>
      </c>
      <c r="D10" t="s">
        <v>9</v>
      </c>
      <c r="I10" s="53">
        <v>9</v>
      </c>
      <c r="J10" s="49" t="s">
        <v>555</v>
      </c>
      <c r="K10" s="82" t="str">
        <f>IF(COUNTBLANK(DataTT_ps[[#All],[Phân loại]])&gt;0,"CHECK","OK")</f>
        <v>OK</v>
      </c>
      <c r="L10" s="182" t="s">
        <v>1040</v>
      </c>
      <c r="M10" s="83"/>
      <c r="O10" s="7"/>
      <c r="P10" s="7"/>
      <c r="Q10" s="7"/>
      <c r="R10" s="7"/>
      <c r="S10" s="7"/>
      <c r="T10" s="7"/>
      <c r="V10" s="7"/>
      <c r="W10" s="16">
        <v>9</v>
      </c>
      <c r="X10" s="17" t="s">
        <v>349</v>
      </c>
      <c r="Y10" s="49" t="s">
        <v>624</v>
      </c>
    </row>
    <row r="11" spans="1:25" x14ac:dyDescent="0.3">
      <c r="A11" s="3">
        <v>10</v>
      </c>
      <c r="B11" s="7" t="s">
        <v>603</v>
      </c>
      <c r="C11" s="11" t="str">
        <f>"\\filesrv01.msb.com.vn\06.Khoi Quan Ly Rui Ro\02.Trung Tam QLRR Thi Truong\03.Phong QLRRTK\Daily Report\LR_"&amp;TEXT(C18,"yyyy.mm.dd")&amp;"\MCO Report\Available bond_v5_"&amp;TEXT($C$18,"yyyy.mm.dd")&amp;".xlsm"</f>
        <v>\\filesrv01.msb.com.vn\06.Khoi Quan Ly Rui Ro\02.Trung Tam QLRR Thi Truong\03.Phong QLRRTK\Daily Report\LR_2026.08.30\MCO Report\Available bond_v5_2026.08.30.xlsm</v>
      </c>
      <c r="D11" t="s">
        <v>9</v>
      </c>
      <c r="I11" s="53">
        <v>10</v>
      </c>
      <c r="J11" s="49" t="s">
        <v>596</v>
      </c>
      <c r="K11" s="82" t="str">
        <f>IF(SUM(Upload53!G15:G17)=SUM(Upload53!G19:G27),"OK","CHECK")</f>
        <v>OK</v>
      </c>
      <c r="L11" s="179">
        <f>SUM(Upload53!G15:G18)-SUM(Upload53!G19:G28)</f>
        <v>0</v>
      </c>
      <c r="M11" s="83"/>
      <c r="O11" s="401"/>
      <c r="P11" s="7"/>
      <c r="Q11" s="7"/>
      <c r="R11" s="7"/>
      <c r="S11" s="7"/>
      <c r="T11" s="7"/>
      <c r="V11" s="7"/>
      <c r="W11" s="16">
        <v>10</v>
      </c>
      <c r="X11" s="17" t="s">
        <v>349</v>
      </c>
      <c r="Y11" s="17" t="s">
        <v>1181</v>
      </c>
    </row>
    <row r="12" spans="1:25" x14ac:dyDescent="0.3">
      <c r="A12" s="26">
        <v>11</v>
      </c>
      <c r="B12" s="7" t="s">
        <v>604</v>
      </c>
      <c r="C12" s="27" t="s">
        <v>664</v>
      </c>
      <c r="D12" t="s">
        <v>9</v>
      </c>
      <c r="I12" s="53">
        <v>11</v>
      </c>
      <c r="J12" s="83" t="s">
        <v>611</v>
      </c>
      <c r="K12" s="82" t="str">
        <f>IF(Upload53!G72+Upload53!G73=SUM(DataTT!L:L)/10^9,"OK","CHECK")</f>
        <v>OK</v>
      </c>
      <c r="L12" s="179"/>
      <c r="M12" s="83"/>
      <c r="O12" s="401"/>
      <c r="P12" s="7"/>
      <c r="Q12" s="7"/>
      <c r="R12" s="7"/>
      <c r="S12" s="7"/>
      <c r="T12" s="7"/>
      <c r="V12" s="7"/>
      <c r="W12" s="16">
        <v>11</v>
      </c>
      <c r="X12" s="17" t="s">
        <v>350</v>
      </c>
      <c r="Y12" s="17" t="s">
        <v>266</v>
      </c>
    </row>
    <row r="13" spans="1:25" x14ac:dyDescent="0.3">
      <c r="A13" s="26">
        <v>12</v>
      </c>
      <c r="B13" s="35" t="s">
        <v>390</v>
      </c>
      <c r="C13" s="27" t="str">
        <f>"\\filesrv01.msb.com.vn\06.Khoi Quan Ly Rui Ro\02.Trung Tam QLRR Thi Truong\02.Phong GSRRTT\05.Report\01.Daily Report\"&amp;TEXT(RPT,"yyyy.mm.dd")&amp;"\00.Input\02.Kondor\RPBOD_B003.xlsx"</f>
        <v>\\filesrv01.msb.com.vn\06.Khoi Quan Ly Rui Ro\02.Trung Tam QLRR Thi Truong\02.Phong GSRRTT\05.Report\01.Daily Report\2026.08.28\00.Input\02.Kondor\RPBOD_B003.xlsx</v>
      </c>
      <c r="D13" t="s">
        <v>9</v>
      </c>
      <c r="I13" s="53">
        <v>12</v>
      </c>
      <c r="J13" s="83" t="s">
        <v>643</v>
      </c>
      <c r="K13" s="82" t="str" cm="1">
        <f t="array" ref="K13">IF(ABS(
    SUM(SUMIFS(GL!M:M,GL!J:J,{"130205001","130208001"}))-SUMIFS(GL!N:N,GL!J:J,"130204001")
   -(SUM(RPBOD3!S:S)-SUM(RPBOD3!R:R)))
    &lt;1000,"OK",
      "CHECK")</f>
        <v>CHECK</v>
      </c>
      <c r="L13" s="338" cm="1">
        <f t="array" ref="L13">SUM(SUMIFS(GL!L:L,GL!J:J,{"130205001","130208001","130204001"}))-(SUMIFS(RPBOD3!T:T,RPBOD3!D:D,"&lt;&gt;MFKR")-SUMIFS(RPBOD3!S:S,RPBOD3!D:D,"&lt;&gt;MFKR"))</f>
        <v>3810041510.0106544</v>
      </c>
      <c r="M13" s="83" t="s">
        <v>1060</v>
      </c>
      <c r="O13" s="400"/>
      <c r="P13" s="7"/>
      <c r="Q13" s="7"/>
      <c r="R13" s="7"/>
      <c r="S13" s="7"/>
      <c r="T13" s="7"/>
      <c r="V13" s="7"/>
      <c r="W13" s="16">
        <v>12</v>
      </c>
      <c r="X13" s="17" t="s">
        <v>350</v>
      </c>
      <c r="Y13" s="17" t="s">
        <v>544</v>
      </c>
    </row>
    <row r="14" spans="1:25" x14ac:dyDescent="0.3">
      <c r="A14" s="26">
        <v>13</v>
      </c>
      <c r="B14" s="7" t="s">
        <v>363</v>
      </c>
      <c r="C14" s="11" t="str">
        <f>"\\filesrv01.msb.com.vn\06.Khoi Quan Ly Rui Ro\02.Trung Tam QLRR Thi Truong\03.Phong QLRRTK\Daily Report\LR_"&amp;TEXT(RPT,"yyyy.mm.dd")&amp;"\Input Data\LIQ03.xlsx"</f>
        <v>\\filesrv01.msb.com.vn\06.Khoi Quan Ly Rui Ro\02.Trung Tam QLRR Thi Truong\03.Phong QLRRTK\Daily Report\LR_2026.08.28\Input Data\LIQ03.xlsx</v>
      </c>
      <c r="D14" t="s">
        <v>9</v>
      </c>
      <c r="I14" s="53">
        <v>13</v>
      </c>
      <c r="J14" s="178" t="s">
        <v>1056</v>
      </c>
      <c r="K14" s="82" t="str">
        <f>IF(L14=0,"OK","CHECK")</f>
        <v>OK</v>
      </c>
      <c r="L14" s="179">
        <f>SUMIFS(FNRP!BO:BO,FNRP!BL:BL,"&lt;=0")/10^9</f>
        <v>0</v>
      </c>
      <c r="M14" s="83" t="s">
        <v>1059</v>
      </c>
      <c r="O14" s="7"/>
      <c r="P14" s="7"/>
      <c r="Q14" s="7"/>
      <c r="R14" s="7"/>
      <c r="S14" s="7"/>
      <c r="T14" s="7"/>
      <c r="V14" s="7"/>
      <c r="W14" s="16">
        <v>13</v>
      </c>
      <c r="X14" s="17" t="s">
        <v>350</v>
      </c>
      <c r="Y14" s="17" t="s">
        <v>543</v>
      </c>
    </row>
    <row r="15" spans="1:25" x14ac:dyDescent="0.3">
      <c r="A15" s="26">
        <v>14</v>
      </c>
      <c r="B15" s="35" t="s">
        <v>391</v>
      </c>
      <c r="C15" s="27" t="str">
        <f>"\\filesrv01.msb.com.vn\06.Khoi Quan Ly Rui Ro\02.Trung Tam QLRR Thi Truong\02.Phong GSRRTT\05.Report\01.Daily Report\"&amp;TEXT(RPT,"yyyy.mm.dd")&amp;"\00.Input\00.Raw_Data.xlsm"</f>
        <v>\\filesrv01.msb.com.vn\06.Khoi Quan Ly Rui Ro\02.Trung Tam QLRR Thi Truong\02.Phong GSRRTT\05.Report\01.Daily Report\2026.08.28\00.Input\00.Raw_Data.xlsm</v>
      </c>
      <c r="D15" t="s">
        <v>9</v>
      </c>
      <c r="I15" s="53">
        <v>14</v>
      </c>
      <c r="J15" s="178" t="s">
        <v>1109</v>
      </c>
      <c r="K15" s="82" t="str">
        <f>IF(L15&gt;0,"CHECK","OK")</f>
        <v>OK</v>
      </c>
      <c r="L15" s="179">
        <f>COUNTIF(FNRP!J:J,"&lt;0")+COUNTIF(FNRP!BA:BA,"&lt;0")</f>
        <v>0</v>
      </c>
      <c r="M15" s="83" t="s">
        <v>1110</v>
      </c>
      <c r="O15" s="7"/>
      <c r="P15" s="441"/>
      <c r="Q15" s="7"/>
      <c r="R15" s="7"/>
      <c r="S15" s="7"/>
      <c r="T15" s="7"/>
      <c r="V15" s="7"/>
      <c r="W15" s="16">
        <v>14</v>
      </c>
      <c r="X15" s="17" t="s">
        <v>350</v>
      </c>
      <c r="Y15" s="17" t="s">
        <v>1002</v>
      </c>
    </row>
    <row r="16" spans="1:25" x14ac:dyDescent="0.3">
      <c r="A16" s="26">
        <v>15</v>
      </c>
      <c r="B16" s="7" t="s">
        <v>1162</v>
      </c>
      <c r="C16" s="27" t="str">
        <f>"\\filesrv01.msb.com.vn\06.Khoi Quan Ly Rui Ro\02.Trung Tam QLRR Thi Truong\03.Phong QLRRTK\Daily Report\LR_"&amp;TEXT(RPT,"yyyy.mm.dd")&amp;"\Input Data\GL\Can doi noi bang chi tiet - nguyen te (chitiet).xlsx"</f>
        <v>\\filesrv01.msb.com.vn\06.Khoi Quan Ly Rui Ro\02.Trung Tam QLRR Thi Truong\03.Phong QLRRTK\Daily Report\LR_2026.08.28\Input Data\GL\Can doi noi bang chi tiet - nguyen te (chitiet).xlsx</v>
      </c>
      <c r="D16" t="s">
        <v>9</v>
      </c>
      <c r="I16" s="53">
        <v>15</v>
      </c>
      <c r="J16" s="178" t="s">
        <v>1217</v>
      </c>
      <c r="K16" s="82" t="str">
        <f>IF(L16=0,"OK","CHECK")</f>
        <v>OK</v>
      </c>
      <c r="L16" s="179">
        <f>SUMIFS(AllDealps!V:V,AllDealps!Z:Z,"Yes",AllDealps!F:F,"CD",AllDealps!I:I,RPT)/10^9</f>
        <v>0</v>
      </c>
      <c r="M16" s="83" t="s">
        <v>1059</v>
      </c>
      <c r="O16" s="7"/>
      <c r="P16" s="7"/>
      <c r="Q16" s="7"/>
      <c r="R16" s="7"/>
      <c r="S16" s="7"/>
      <c r="T16" s="7"/>
      <c r="V16" t="s">
        <v>9</v>
      </c>
      <c r="W16" s="16">
        <v>15</v>
      </c>
      <c r="X16" s="17" t="s">
        <v>350</v>
      </c>
      <c r="Y16" s="17" t="s">
        <v>1125</v>
      </c>
    </row>
    <row r="17" spans="1:25" x14ac:dyDescent="0.3">
      <c r="A17" s="26">
        <v>16</v>
      </c>
      <c r="B17" s="7" t="s">
        <v>443</v>
      </c>
      <c r="C17" s="8">
        <f>RPT-WEEKDAY(RPT, 2)-2</f>
        <v>46255</v>
      </c>
      <c r="D17" s="395"/>
      <c r="I17" s="53">
        <v>16</v>
      </c>
      <c r="J17" s="178" t="s">
        <v>1384</v>
      </c>
      <c r="K17" s="82" t="str">
        <f>IF(L17=0,"OK","CHECK")</f>
        <v>OK</v>
      </c>
      <c r="L17" s="179">
        <f>ROUND(Upload53!G2-Upload53!G16-Upload53!G17-Upload53!G18,1)</f>
        <v>0</v>
      </c>
      <c r="M17" s="83" t="s">
        <v>1059</v>
      </c>
      <c r="O17" s="7"/>
      <c r="P17" s="7"/>
      <c r="Q17" s="7"/>
      <c r="R17" s="7"/>
      <c r="S17" s="7"/>
      <c r="T17" s="7"/>
      <c r="W17" s="16">
        <v>16</v>
      </c>
      <c r="X17" s="17" t="s">
        <v>387</v>
      </c>
      <c r="Y17" s="17" t="s">
        <v>390</v>
      </c>
    </row>
    <row r="18" spans="1:25" x14ac:dyDescent="0.3">
      <c r="A18" s="26">
        <v>17</v>
      </c>
      <c r="B18" s="7" t="s">
        <v>632</v>
      </c>
      <c r="C18" s="86">
        <f>IF(WEEKDAY(RPT)=6,RPT+2,RPT)</f>
        <v>46264</v>
      </c>
      <c r="D18" t="s">
        <v>9</v>
      </c>
      <c r="E18" s="327" t="s">
        <v>1147</v>
      </c>
      <c r="F18" s="327"/>
      <c r="G18" s="327" t="s">
        <v>668</v>
      </c>
      <c r="I18" s="53">
        <v>17</v>
      </c>
      <c r="J18" s="178" t="s">
        <v>1179</v>
      </c>
      <c r="K18" s="82" t="str">
        <f>IF(L18=0,"OK","CHECK")</f>
        <v>CHECK</v>
      </c>
      <c r="L18" s="179">
        <f>GL!B23</f>
        <v>2547</v>
      </c>
      <c r="M18" s="83" t="s">
        <v>1059</v>
      </c>
      <c r="O18" s="7"/>
      <c r="P18" s="7"/>
      <c r="Q18" s="7"/>
      <c r="R18" s="7"/>
      <c r="S18" s="7"/>
      <c r="T18" s="7"/>
      <c r="V18" t="s">
        <v>9</v>
      </c>
      <c r="W18" s="16">
        <v>17</v>
      </c>
      <c r="X18" s="17" t="s">
        <v>590</v>
      </c>
      <c r="Y18" s="17" t="s">
        <v>590</v>
      </c>
    </row>
    <row r="19" spans="1:25" x14ac:dyDescent="0.3">
      <c r="A19" s="26">
        <v>18</v>
      </c>
      <c r="B19" s="7" t="s">
        <v>605</v>
      </c>
      <c r="C19" s="11" t="str">
        <f>"\\filesrv01.msb.com.vn\06.Khoi Quan Ly Rui Ro\02.Trung Tam QLRR Thi Truong\02.Phong GSRRTT\05.Report\01.Daily Report\"&amp;TEXT(Yesterday,"yyyy.mm.dd")&amp;"\02.FI Bond\01.RptTool_FIBond_"&amp;TEXT(Yesterday,"yyyy.mm.dd")&amp;".xlsb"</f>
        <v>\\filesrv01.msb.com.vn\06.Khoi Quan Ly Rui Ro\02.Trung Tam QLRR Thi Truong\02.Phong GSRRTT\05.Report\01.Daily Report\2026.08.27\02.FI Bond\01.RptTool_FIBond_2026.08.27.xlsb</v>
      </c>
      <c r="D19" t="s">
        <v>9</v>
      </c>
      <c r="E19" s="325" t="s">
        <v>1148</v>
      </c>
      <c r="F19" s="83"/>
      <c r="G19" s="326">
        <f>Report!K10</f>
        <v>0.89258950660882219</v>
      </c>
      <c r="I19" s="53">
        <v>18</v>
      </c>
      <c r="J19" s="178" t="s">
        <v>1445</v>
      </c>
      <c r="K19" s="82" t="str" cm="1">
        <f t="array" ref="K19">IF(ISNUMBER(Dealps_ITB[BondsDeals_Id]),"CHECK","OK")</f>
        <v>OK</v>
      </c>
      <c r="L19" s="179"/>
      <c r="M19" s="83"/>
      <c r="O19" s="7"/>
      <c r="P19" s="7"/>
      <c r="Q19" s="7"/>
      <c r="R19" s="7"/>
      <c r="S19" s="7"/>
      <c r="T19" s="7"/>
      <c r="W19" s="16">
        <v>18</v>
      </c>
      <c r="X19" s="17" t="s">
        <v>351</v>
      </c>
      <c r="Y19" s="17" t="s">
        <v>612</v>
      </c>
    </row>
    <row r="20" spans="1:25" x14ac:dyDescent="0.3">
      <c r="A20" s="26">
        <v>19</v>
      </c>
      <c r="B20" s="7" t="s">
        <v>606</v>
      </c>
      <c r="C20" s="11" t="str">
        <f>"\\filesrv01.msb.com.vn\06.Khoi Quan Ly Rui Ro\02.Trung Tam QLRR Thi Truong\02.Phong GSRRTT\05.Report\01.Daily Report\"&amp;TEXT(RPT,"yyyy.mm.dd")&amp;"\00.Input\05.Outlook&amp;HNX\Corporate bond trading "&amp;TEXT(RPT,"dd-mm-yyyy")&amp;".xlsx"</f>
        <v>\\filesrv01.msb.com.vn\06.Khoi Quan Ly Rui Ro\02.Trung Tam QLRR Thi Truong\02.Phong GSRRTT\05.Report\01.Daily Report\2026.08.28\00.Input\05.Outlook&amp;HNX\Corporate bond trading 28-08-2026.xlsx</v>
      </c>
      <c r="D20" t="s">
        <v>9</v>
      </c>
      <c r="E20" s="325" t="s">
        <v>993</v>
      </c>
      <c r="F20" s="83"/>
      <c r="G20" s="326">
        <f>Report!K13</f>
        <v>0.48509397623491657</v>
      </c>
      <c r="I20" s="53">
        <v>19</v>
      </c>
      <c r="J20" s="178" t="s">
        <v>1461</v>
      </c>
      <c r="K20" s="82" t="str">
        <f>IF(L20=0,"OK","CHECK")</f>
        <v>OK</v>
      </c>
      <c r="L20" s="182">
        <f>COUNTA(AllDealps!AC:AC)-1</f>
        <v>0</v>
      </c>
      <c r="M20" s="83"/>
      <c r="O20" s="7"/>
      <c r="P20" s="7"/>
      <c r="Q20" s="7"/>
      <c r="R20" s="7"/>
      <c r="S20" s="7"/>
      <c r="T20" s="7"/>
      <c r="W20" s="16">
        <v>19</v>
      </c>
      <c r="X20" s="17" t="s">
        <v>1307</v>
      </c>
      <c r="Y20" s="17" t="s">
        <v>1306</v>
      </c>
    </row>
    <row r="21" spans="1:25" x14ac:dyDescent="0.3">
      <c r="A21" s="26">
        <v>20</v>
      </c>
      <c r="B21" s="7" t="s">
        <v>665</v>
      </c>
      <c r="C21" s="87">
        <v>46112</v>
      </c>
      <c r="I21" s="53">
        <v>20</v>
      </c>
      <c r="J21" s="178" t="s">
        <v>1601</v>
      </c>
      <c r="K21" s="82" t="str">
        <f>IF(COUNTIF(Summary!CL:CL,"#N/A")&gt;0,"CHECK","OK")</f>
        <v>OK</v>
      </c>
      <c r="L21" s="182"/>
      <c r="M21" s="83"/>
      <c r="O21" s="7"/>
      <c r="P21" s="7"/>
      <c r="Q21" s="7"/>
      <c r="R21" s="7"/>
      <c r="S21" s="7"/>
      <c r="T21" s="7"/>
      <c r="W21" s="16">
        <v>20</v>
      </c>
      <c r="X21" s="17" t="s">
        <v>44</v>
      </c>
      <c r="Y21" s="17" t="s">
        <v>1580</v>
      </c>
    </row>
    <row r="22" spans="1:25" x14ac:dyDescent="0.3">
      <c r="A22" s="26">
        <v>21</v>
      </c>
      <c r="B22" s="97" t="s">
        <v>666</v>
      </c>
      <c r="C22" s="87">
        <v>46203</v>
      </c>
      <c r="H22" s="7"/>
      <c r="I22"/>
      <c r="O22" s="7"/>
      <c r="P22" s="7"/>
      <c r="Q22" s="7"/>
      <c r="R22" s="7"/>
      <c r="S22" s="7"/>
      <c r="T22" s="7"/>
      <c r="W22" s="16">
        <v>21</v>
      </c>
      <c r="X22" s="17" t="s">
        <v>1435</v>
      </c>
      <c r="Y22" s="17" t="s">
        <v>1434</v>
      </c>
    </row>
    <row r="23" spans="1:25" x14ac:dyDescent="0.3">
      <c r="A23" s="26">
        <v>22</v>
      </c>
      <c r="B23" s="97" t="s">
        <v>667</v>
      </c>
      <c r="C23" s="87">
        <v>46295</v>
      </c>
      <c r="H23" s="320"/>
      <c r="I23"/>
      <c r="O23" s="7"/>
      <c r="P23" s="7"/>
      <c r="Q23" s="7"/>
      <c r="R23" s="7"/>
      <c r="S23" s="7"/>
      <c r="T23" s="7"/>
      <c r="W23" s="16">
        <v>22</v>
      </c>
      <c r="X23" s="17" t="s">
        <v>350</v>
      </c>
      <c r="Y23" s="17" t="s">
        <v>1444</v>
      </c>
    </row>
    <row r="24" spans="1:25" x14ac:dyDescent="0.3">
      <c r="A24" s="26">
        <v>23</v>
      </c>
      <c r="B24" s="7" t="s">
        <v>978</v>
      </c>
      <c r="C24" s="87">
        <v>46387</v>
      </c>
      <c r="H24" s="7"/>
      <c r="I24"/>
      <c r="J24" s="322"/>
      <c r="W24" s="16">
        <v>23</v>
      </c>
      <c r="X24" s="17" t="s">
        <v>523</v>
      </c>
      <c r="Y24" s="17" t="s">
        <v>1076</v>
      </c>
    </row>
    <row r="25" spans="1:25" x14ac:dyDescent="0.3">
      <c r="A25" s="330">
        <v>24</v>
      </c>
      <c r="B25" s="331" t="s">
        <v>1163</v>
      </c>
      <c r="C25" s="27" t="str">
        <f>"\\filesrv01.msb.com.vn\06.Khoi Quan Ly Rui Ro\02.Trung Tam QLRR Thi Truong\03.Phong QLRRTK\Daily Report\LR_"&amp;TEXT(RPT,"yyyy.mm.dd")&amp;"\Input Data\GL\Can doi ngoai bang chi tiet - nguyen te (chitiet).xlsx"</f>
        <v>\\filesrv01.msb.com.vn\06.Khoi Quan Ly Rui Ro\02.Trung Tam QLRR Thi Truong\03.Phong QLRRTK\Daily Report\LR_2026.08.28\Input Data\GL\Can doi ngoai bang chi tiet - nguyen te (chitiet).xlsx</v>
      </c>
      <c r="D25" t="s">
        <v>9</v>
      </c>
      <c r="H25" s="7"/>
      <c r="I25"/>
      <c r="J25" s="322"/>
      <c r="W25" s="16">
        <v>24</v>
      </c>
      <c r="X25" s="17" t="s">
        <v>301</v>
      </c>
      <c r="Y25" s="17" t="s">
        <v>1505</v>
      </c>
    </row>
    <row r="26" spans="1:25" x14ac:dyDescent="0.3">
      <c r="A26" s="394">
        <v>25</v>
      </c>
      <c r="B26" s="7" t="s">
        <v>1400</v>
      </c>
      <c r="C26" s="27" t="str">
        <f>"\\filesrv01.msb.com.vn\06.Khoi Quan Ly Rui Ro\02.Trung Tam QLRR Thi Truong\02.Phong GSRRTT\05.Report\01.Daily Report\"&amp;TEXT(RPT,"yyyy.mm.dd")&amp;"\00.Input\01.DataFile53\BondAllBS2BK.BondsSynthetic.csv"</f>
        <v>\\filesrv01.msb.com.vn\06.Khoi Quan Ly Rui Ro\02.Trung Tam QLRR Thi Truong\02.Phong GSRRTT\05.Report\01.Daily Report\2026.08.28\00.Input\01.DataFile53\BondAllBS2BK.BondsSynthetic.csv</v>
      </c>
      <c r="D26" t="s">
        <v>9</v>
      </c>
      <c r="H26" s="7"/>
      <c r="I26"/>
      <c r="J26" s="323"/>
      <c r="K26" s="324"/>
      <c r="W26" s="16">
        <v>25</v>
      </c>
      <c r="X26" s="17" t="s">
        <v>301</v>
      </c>
      <c r="Y26" s="17" t="s">
        <v>1506</v>
      </c>
    </row>
    <row r="27" spans="1:25" x14ac:dyDescent="0.3">
      <c r="A27" s="435">
        <v>26</v>
      </c>
      <c r="B27" s="436" t="s">
        <v>1410</v>
      </c>
      <c r="C27" s="27" t="str">
        <f>"\\filesrv01.msb.com.vn\06.Khoi Quan Ly Rui Ro\02.Trung Tam QLRR Thi Truong\02.Phong GSRRTT\05.Report\01.Daily Report\"&amp;TEXT(RPT,"yyyy.mm.dd")&amp;"\00.Input\01.DataFile53\RPBOD_B002.RPBOD_B002_I0.csv"</f>
        <v>\\filesrv01.msb.com.vn\06.Khoi Quan Ly Rui Ro\02.Trung Tam QLRR Thi Truong\02.Phong GSRRTT\05.Report\01.Daily Report\2026.08.28\00.Input\01.DataFile53\RPBOD_B002.RPBOD_B002_I0.csv</v>
      </c>
      <c r="D27" t="s">
        <v>9</v>
      </c>
      <c r="H27" s="7"/>
      <c r="I27"/>
      <c r="J27" s="323"/>
      <c r="K27" s="324"/>
    </row>
    <row r="28" spans="1:25" x14ac:dyDescent="0.3">
      <c r="A28" s="26">
        <v>27</v>
      </c>
      <c r="B28" s="7" t="s">
        <v>1432</v>
      </c>
      <c r="C28" s="27" t="str">
        <f>"\\filesrv01.msb.com.vn\06.Khoi Quan Ly Rui Ro\02.Trung Tam QLRR Thi Truong\02.Phong GSRRTT\05.Report\01.Daily Report\"&amp;YEAR(RPT)&amp;"."&amp;TEXT(MONTH(RPT),"00")&amp;"."&amp;TEXT(DAY(RPT),"00")&amp;"\00.Input\01.DataFile53\RP_CUR_RAT.RP_CUR_RAT_I0.csv"</f>
        <v>\\filesrv01.msb.com.vn\06.Khoi Quan Ly Rui Ro\02.Trung Tam QLRR Thi Truong\02.Phong GSRRTT\05.Report\01.Daily Report\2026.08.28\00.Input\01.DataFile53\RP_CUR_RAT.RP_CUR_RAT_I0.csv</v>
      </c>
      <c r="D28" t="s">
        <v>9</v>
      </c>
      <c r="H28" s="7"/>
      <c r="I28"/>
    </row>
    <row r="29" spans="1:25" x14ac:dyDescent="0.3">
      <c r="D29" t="s">
        <v>9</v>
      </c>
      <c r="I29"/>
    </row>
    <row r="30" spans="1:25" x14ac:dyDescent="0.3">
      <c r="I30"/>
    </row>
    <row r="32" spans="1:25" x14ac:dyDescent="0.3">
      <c r="H32" s="321"/>
    </row>
  </sheetData>
  <conditionalFormatting sqref="K2:K21">
    <cfRule type="containsText" dxfId="300" priority="3" operator="containsText" text="CHECK">
      <formula>NOT(ISERROR(SEARCH("CHECK",K2)))</formula>
    </cfRule>
  </conditionalFormatting>
  <hyperlinks>
    <hyperlink ref="C11" r:id="rId1" display="\\10.1.2.40\06.Khoi Quan Ly Rui Ro\02.Trung Tam QLRR Thi Truong\03.Phong QLRRTK\Daily Report\LR_2025.01.20\MCO Report" xr:uid="{0B95846E-39FE-4607-892B-C5A86223D97E}"/>
    <hyperlink ref="C12" r:id="rId2" display="\\10.1.2.40\06.Khoi Quan Ly Rui Ro\02.Trung Tam QLRR Thi Truong\02.Phong GSRRTT\05.Report\Theo doi\Capital charge\Input_data\MR10 - Reconcile (All).csv" xr:uid="{A90718F5-0626-4004-A53D-F8CD0859634D}"/>
    <hyperlink ref="C15" r:id="rId3" display="\\10.1.2.40\06.Khoi Quan Ly Rui Ro\02.Trung Tam QLRR Thi Truong\02.Phong GSRRTT\05.Report\Theo doi\BOND\11.FI Bond\03. Input_data\Thong ke GD FIBond" xr:uid="{D0F4F0F4-0597-4932-A7D9-2882D5F1CC93}"/>
    <hyperlink ref="L6" location="GL!A1" display="GL!A1" xr:uid="{099EB605-0E09-4927-9475-97CE564E5DF0}"/>
    <hyperlink ref="L10" location="DataTT!A1" display="DataTT!A1" xr:uid="{D3A04496-C947-4B8F-85E3-AF91E4854FDC}"/>
    <hyperlink ref="E20" location="Report!C12" display="Cơ cấu đầu tư từ BBB" xr:uid="{DCC07C1A-8E7B-449A-A8BF-A13A31ED7B50}"/>
    <hyperlink ref="E19" location="Report!C10" display="FIBond&amp;CD (Total FV)" xr:uid="{4A0F4813-7445-4335-861A-32642B9C755D}"/>
    <hyperlink ref="L20" location="AllDealps!AC1" display="AllDealps!AC1" xr:uid="{DABBC269-91DF-4553-97EA-A354D98BBB2F}"/>
  </hyperlinks>
  <pageMargins left="0.7" right="0.7" top="0.75" bottom="0.75" header="0.3" footer="0.3"/>
  <ignoredErrors>
    <ignoredError sqref="K15 K19" formula="1"/>
  </ignoredErrors>
  <drawing r:id="rId4"/>
  <legacyDrawing r:id="rId5"/>
  <tableParts count="1">
    <tablePart r:id="rId6"/>
  </tableParts>
  <extLst>
    <ext xmlns:x14="http://schemas.microsoft.com/office/spreadsheetml/2009/9/main" uri="{78C0D931-6437-407d-A8EE-F0AAD7539E65}">
      <x14:conditionalFormattings>
        <x14:conditionalFormatting xmlns:xm="http://schemas.microsoft.com/office/excel/2006/main">
          <x14:cfRule type="iconSet" priority="2" id="{C31C68DE-6A82-423B-9BEC-BE8DAC224B91}">
            <x14:iconSet custom="1">
              <x14:cfvo type="percent">
                <xm:f>0</xm:f>
              </x14:cfvo>
              <x14:cfvo type="num">
                <xm:f>0.8</xm:f>
              </x14:cfvo>
              <x14:cfvo type="num">
                <xm:f>1</xm:f>
              </x14:cfvo>
              <x14:cfIcon iconSet="3TrafficLights1" iconId="2"/>
              <x14:cfIcon iconSet="3TrafficLights1" iconId="1"/>
              <x14:cfIcon iconSet="3TrafficLights1" iconId="0"/>
            </x14:iconSet>
          </x14:cfRule>
          <xm:sqref>K26:K27</xm:sqref>
        </x14:conditionalFormatting>
        <x14:conditionalFormatting xmlns:xm="http://schemas.microsoft.com/office/excel/2006/main">
          <x14:cfRule type="iconSet" priority="1" id="{B23DF1AF-46AA-444B-9863-C88F06B25FA9}">
            <x14:iconSet custom="1">
              <x14:cfvo type="percent">
                <xm:f>0</xm:f>
              </x14:cfvo>
              <x14:cfvo type="num">
                <xm:f>0.8</xm:f>
              </x14:cfvo>
              <x14:cfvo type="num">
                <xm:f>1</xm:f>
              </x14:cfvo>
              <x14:cfIcon iconSet="3TrafficLights1" iconId="2"/>
              <x14:cfIcon iconSet="3TrafficLights1" iconId="1"/>
              <x14:cfIcon iconSet="3TrafficLights1" iconId="0"/>
            </x14:iconSet>
          </x14:cfRule>
          <xm:sqref>G19:G20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14702-5B9D-4CA0-B152-729EEC11B132}">
  <sheetPr codeName="Sheet6">
    <tabColor theme="9" tint="0.39997558519241921"/>
  </sheetPr>
  <dimension ref="A1:Q204"/>
  <sheetViews>
    <sheetView zoomScaleNormal="100" workbookViewId="0">
      <pane ySplit="1" topLeftCell="A8" activePane="bottomLeft" state="frozen"/>
      <selection activeCell="P22" sqref="P22"/>
      <selection pane="bottomLeft" activeCell="G25" sqref="G25"/>
    </sheetView>
  </sheetViews>
  <sheetFormatPr defaultRowHeight="14.4" x14ac:dyDescent="0.3"/>
  <cols>
    <col min="1" max="1" width="10.69921875" style="64" bestFit="1" customWidth="1"/>
    <col min="2" max="2" width="21.59765625" bestFit="1" customWidth="1"/>
    <col min="3" max="3" width="24" bestFit="1" customWidth="1"/>
    <col min="4" max="4" width="11.69921875" bestFit="1" customWidth="1"/>
    <col min="5" max="5" width="7.3984375" customWidth="1"/>
    <col min="6" max="6" width="8.8984375" customWidth="1"/>
    <col min="7" max="7" width="10.296875" style="25" customWidth="1"/>
    <col min="8" max="8" width="8.8984375" style="54" customWidth="1"/>
    <col min="9" max="9" width="49.3984375" bestFit="1" customWidth="1"/>
    <col min="10" max="10" width="10" bestFit="1" customWidth="1"/>
    <col min="11" max="11" width="28.296875" bestFit="1" customWidth="1"/>
    <col min="12" max="12" width="31.59765625" bestFit="1" customWidth="1"/>
    <col min="13" max="13" width="25.69921875" bestFit="1" customWidth="1"/>
    <col min="14" max="14" width="31.59765625" bestFit="1" customWidth="1"/>
    <col min="15" max="15" width="10.296875" style="15" bestFit="1" customWidth="1"/>
    <col min="16" max="17" width="9.09765625" style="15"/>
  </cols>
  <sheetData>
    <row r="1" spans="1:17" x14ac:dyDescent="0.3">
      <c r="A1" s="91" t="s">
        <v>268</v>
      </c>
      <c r="B1" s="19" t="s">
        <v>421</v>
      </c>
      <c r="C1" s="19" t="s">
        <v>304</v>
      </c>
      <c r="D1" s="19" t="s">
        <v>267</v>
      </c>
      <c r="E1" s="19" t="s">
        <v>269</v>
      </c>
      <c r="F1" s="19" t="s">
        <v>413</v>
      </c>
      <c r="G1" s="44" t="s">
        <v>409</v>
      </c>
      <c r="H1" s="417" t="s">
        <v>410</v>
      </c>
      <c r="I1" s="19" t="s">
        <v>353</v>
      </c>
      <c r="J1" s="48">
        <f>COUNTA(B:B)-1</f>
        <v>196</v>
      </c>
      <c r="K1" s="19"/>
      <c r="N1" t="s">
        <v>489</v>
      </c>
      <c r="O1" s="15" t="s">
        <v>488</v>
      </c>
      <c r="P1" s="65" t="s">
        <v>992</v>
      </c>
    </row>
    <row r="2" spans="1:17" x14ac:dyDescent="0.3">
      <c r="A2" s="64">
        <f t="shared" ref="A2:A110" si="0">RPT</f>
        <v>46262</v>
      </c>
      <c r="B2" t="s">
        <v>399</v>
      </c>
      <c r="C2" t="s">
        <v>479</v>
      </c>
      <c r="G2" s="25">
        <f>Summary!J3+Summary!DB1</f>
        <v>12967.427797397</v>
      </c>
      <c r="H2" s="54" t="s">
        <v>411</v>
      </c>
      <c r="K2" s="20" t="str" cm="1">
        <f t="array" ref="K2:K12">"Face value/FI Bond/" &amp; _xlfn.UNIQUE(_xlfn._xlws.FILTER(FNRP_FIbond[Issuer],FNRP_FIbond[Days]&gt;0))</f>
        <v>Face value/FI Bond/LVBT</v>
      </c>
      <c r="L2" t="str" cm="1">
        <f t="array" ref="L2:L12">"Market value/FI Bond/" &amp; _xlfn.UNIQUE(_xlfn._xlws.FILTER(FNRP_FIbond[Issuer],FNRP_FIbond[Days]&gt;0))</f>
        <v>Market value/FI Bond/LVBT</v>
      </c>
      <c r="M2" t="str" cm="1">
        <f t="array" ref="M2:M20">"Face value/CD/" &amp; _xlfn.UNIQUE(_xlfn._xlws.FILTER(FNRP_PPCD[Issuer],FNRP_PPCD[Issuer]&lt;&gt;""))</f>
        <v>Face value/CD/VIETBANK</v>
      </c>
      <c r="N2" t="str" cm="1">
        <f t="array" ref="N2:N42">_xlfn.FILTERXML("&lt;t&gt;&lt;s&gt;" &amp; _xlfn.TEXTJOIN("&lt;/s&gt;&lt;s&gt;", TRUE,_xlfn.ANCHORARRAY( K2),_xlfn.ANCHORARRAY( L2),_xlfn.ANCHORARRAY( M2)) &amp; "&lt;/s&gt;&lt;/t&gt;", "//s")</f>
        <v>Face value/FI Bond/LVBT</v>
      </c>
      <c r="O2" s="64" t="str">
        <f>TRIM(LEFT(N2,FIND("/",N2&amp;"/")-1))</f>
        <v>Face value</v>
      </c>
      <c r="P2" s="15" t="str">
        <f>TRIM(MID(N2,FIND("/",N2)+1,FIND("/",N2&amp;"/",FIND("/",N2)+1)-FIND("/",N2)-1))</f>
        <v>FI Bond</v>
      </c>
      <c r="Q2" s="15" t="str">
        <f>TRIM(RIGHT(N2,LEN(N2)-FIND("@",SUBSTITUTE(N2,"/","@",LEN(N2)-LEN(SUBSTITUTE(N2,"/",""))))))</f>
        <v>LVBT</v>
      </c>
    </row>
    <row r="3" spans="1:17" x14ac:dyDescent="0.3">
      <c r="A3" s="64">
        <f t="shared" si="0"/>
        <v>46262</v>
      </c>
      <c r="B3" t="s">
        <v>399</v>
      </c>
      <c r="C3" t="s">
        <v>479</v>
      </c>
      <c r="E3" t="s">
        <v>270</v>
      </c>
      <c r="G3" s="25">
        <f>_xlfn.XLOOKUP(E3,Summary!$K$1:$S$1,Summary!$K$3:$S$3)</f>
        <v>1000</v>
      </c>
      <c r="H3" s="54" t="s">
        <v>411</v>
      </c>
      <c r="K3" s="20" t="str">
        <v>Face value/FI Bond/TC_SHINSEI</v>
      </c>
      <c r="L3" t="str">
        <v>Market value/FI Bond/TC_SHINSEI</v>
      </c>
      <c r="M3" t="str">
        <v>Face value/CD/HCVN</v>
      </c>
      <c r="N3" t="str">
        <v>Face value/FI Bond/TC_SHINSEI</v>
      </c>
      <c r="O3" s="64" t="str">
        <f t="shared" ref="O3:O57" si="1">TRIM(LEFT(N3,FIND("/",N3&amp;"/")-1))</f>
        <v>Face value</v>
      </c>
      <c r="P3" s="15" t="str">
        <f t="shared" ref="P3:P74" si="2">TRIM(MID(N3,FIND("/",N3)+1,FIND("/",N3&amp;"/",FIND("/",N3)+1)-FIND("/",N3)-1))</f>
        <v>FI Bond</v>
      </c>
      <c r="Q3" s="15" t="str">
        <f>TRIM(RIGHT(N3,LEN(N3)-FIND("@",SUBSTITUTE(N3,"/","@",LEN(N3)-LEN(SUBSTITUTE(N3,"/",""))))))</f>
        <v>TC_SHINSEI</v>
      </c>
    </row>
    <row r="4" spans="1:17" x14ac:dyDescent="0.3">
      <c r="A4" s="64">
        <f t="shared" si="0"/>
        <v>46262</v>
      </c>
      <c r="B4" t="s">
        <v>399</v>
      </c>
      <c r="C4" t="s">
        <v>479</v>
      </c>
      <c r="E4" t="s">
        <v>271</v>
      </c>
      <c r="G4" s="25">
        <f>_xlfn.XLOOKUP(E4,Summary!$K$1:$S$1,Summary!$K$3:$S$3)</f>
        <v>400</v>
      </c>
      <c r="H4" s="54" t="s">
        <v>411</v>
      </c>
      <c r="K4" s="20" t="str">
        <v>Face value/FI Bond/NABV</v>
      </c>
      <c r="L4" t="str">
        <v>Market value/FI Bond/NABV</v>
      </c>
      <c r="M4" t="str">
        <v>Face value/CD/SGTT</v>
      </c>
      <c r="N4" t="str">
        <v>Face value/FI Bond/NABV</v>
      </c>
      <c r="O4" s="64" t="str">
        <f t="shared" si="1"/>
        <v>Face value</v>
      </c>
      <c r="P4" s="15" t="str">
        <f t="shared" si="2"/>
        <v>FI Bond</v>
      </c>
      <c r="Q4" s="15" t="str">
        <f t="shared" ref="Q4:Q75" si="3">TRIM(RIGHT(N4,LEN(N4)-FIND("@",SUBSTITUTE(N4,"/","@",LEN(N4)-LEN(SUBSTITUTE(N4,"/",""))))))</f>
        <v>NABV</v>
      </c>
    </row>
    <row r="5" spans="1:17" x14ac:dyDescent="0.3">
      <c r="A5" s="64">
        <f t="shared" si="0"/>
        <v>46262</v>
      </c>
      <c r="B5" t="s">
        <v>399</v>
      </c>
      <c r="C5" t="s">
        <v>479</v>
      </c>
      <c r="E5" t="s">
        <v>273</v>
      </c>
      <c r="G5" s="25">
        <f>_xlfn.XLOOKUP(E5,Summary!$K$1:$S$1,Summary!$K$3:$S$3)</f>
        <v>3400</v>
      </c>
      <c r="H5" s="54" t="s">
        <v>411</v>
      </c>
      <c r="K5" s="20" t="str">
        <v>Face value/FI Bond/HCVN</v>
      </c>
      <c r="L5" t="str">
        <v>Market value/FI Bond/HCVN</v>
      </c>
      <c r="M5" t="str">
        <v>Face value/CD/EIBV</v>
      </c>
      <c r="N5" t="str">
        <v>Face value/FI Bond/HCVN</v>
      </c>
      <c r="O5" s="64" t="str">
        <f t="shared" si="1"/>
        <v>Face value</v>
      </c>
      <c r="P5" s="15" t="str">
        <f t="shared" si="2"/>
        <v>FI Bond</v>
      </c>
      <c r="Q5" s="15" t="str">
        <f t="shared" si="3"/>
        <v>HCVN</v>
      </c>
    </row>
    <row r="6" spans="1:17" x14ac:dyDescent="0.3">
      <c r="A6" s="64">
        <f t="shared" si="0"/>
        <v>46262</v>
      </c>
      <c r="B6" t="s">
        <v>399</v>
      </c>
      <c r="C6" t="s">
        <v>479</v>
      </c>
      <c r="E6" t="s">
        <v>277</v>
      </c>
      <c r="G6" s="25">
        <f>_xlfn.XLOOKUP(E6,Summary!$K$1:$S$1,Summary!$K$3:$S$3)</f>
        <v>700</v>
      </c>
      <c r="H6" s="54" t="s">
        <v>411</v>
      </c>
      <c r="K6" s="20" t="str">
        <v>Face value/FI Bond/VBAH</v>
      </c>
      <c r="L6" t="str">
        <v>Market value/FI Bond/VBAH</v>
      </c>
      <c r="M6" t="str">
        <v>Face value/CD/ABBV</v>
      </c>
      <c r="N6" t="str">
        <v>Face value/FI Bond/VBAH</v>
      </c>
      <c r="O6" s="64" t="str">
        <f t="shared" si="1"/>
        <v>Face value</v>
      </c>
      <c r="P6" s="15" t="str">
        <f t="shared" si="2"/>
        <v>FI Bond</v>
      </c>
      <c r="Q6" s="15" t="str">
        <f t="shared" si="3"/>
        <v>VBAH</v>
      </c>
    </row>
    <row r="7" spans="1:17" x14ac:dyDescent="0.3">
      <c r="A7" s="64">
        <f t="shared" si="0"/>
        <v>46262</v>
      </c>
      <c r="B7" t="s">
        <v>399</v>
      </c>
      <c r="C7" t="s">
        <v>479</v>
      </c>
      <c r="E7" t="s">
        <v>281</v>
      </c>
      <c r="G7" s="25">
        <f>_xlfn.XLOOKUP(E7,Summary!$K$1:$S$1,Summary!$K$3:$S$3)</f>
        <v>3000</v>
      </c>
      <c r="H7" s="54" t="s">
        <v>411</v>
      </c>
      <c r="K7" s="20" t="str">
        <v>Face value/FI Bond/HDBV</v>
      </c>
      <c r="L7" t="str">
        <v>Market value/FI Bond/HDBV</v>
      </c>
      <c r="M7" t="str">
        <v>Face value/CD/TCBV-HO</v>
      </c>
      <c r="N7" t="str">
        <v>Face value/FI Bond/HDBV</v>
      </c>
      <c r="O7" s="64" t="str">
        <f t="shared" si="1"/>
        <v>Face value</v>
      </c>
      <c r="P7" s="15" t="str">
        <f t="shared" si="2"/>
        <v>FI Bond</v>
      </c>
      <c r="Q7" s="15" t="str">
        <f t="shared" si="3"/>
        <v>HDBV</v>
      </c>
    </row>
    <row r="8" spans="1:17" x14ac:dyDescent="0.3">
      <c r="A8" s="64">
        <f t="shared" si="0"/>
        <v>46262</v>
      </c>
      <c r="B8" t="s">
        <v>399</v>
      </c>
      <c r="C8" t="s">
        <v>479</v>
      </c>
      <c r="E8" t="s">
        <v>282</v>
      </c>
      <c r="G8" s="25">
        <f>_xlfn.XLOOKUP(E8,Summary!$K$1:$S$1,Summary!$K$3:$S$3)</f>
        <v>0</v>
      </c>
      <c r="H8" s="54" t="s">
        <v>411</v>
      </c>
      <c r="K8" s="20" t="str">
        <v>Face value/FI Bond/SHBV</v>
      </c>
      <c r="L8" t="str">
        <v>Market value/FI Bond/SHBV</v>
      </c>
      <c r="M8" t="str">
        <v>Face value/CD/OCBV</v>
      </c>
      <c r="N8" t="str">
        <v>Face value/FI Bond/SHBV</v>
      </c>
      <c r="O8" s="64" t="str">
        <f t="shared" si="1"/>
        <v>Face value</v>
      </c>
      <c r="P8" s="15" t="str">
        <f t="shared" si="2"/>
        <v>FI Bond</v>
      </c>
      <c r="Q8" s="15" t="str">
        <f t="shared" si="3"/>
        <v>SHBV</v>
      </c>
    </row>
    <row r="9" spans="1:17" x14ac:dyDescent="0.3">
      <c r="A9" s="64">
        <f t="shared" si="0"/>
        <v>46262</v>
      </c>
      <c r="B9" t="s">
        <v>399</v>
      </c>
      <c r="C9" t="s">
        <v>479</v>
      </c>
      <c r="E9" t="s">
        <v>283</v>
      </c>
      <c r="G9" s="25">
        <f>_xlfn.XLOOKUP(E9,Summary!$K$1:$S$1,Summary!$K$3:$S$3)</f>
        <v>0</v>
      </c>
      <c r="H9" s="54" t="s">
        <v>411</v>
      </c>
      <c r="K9" s="20" t="str">
        <v>Face value/FI Bond/MCSB</v>
      </c>
      <c r="L9" t="str">
        <v>Market value/FI Bond/MCSB</v>
      </c>
      <c r="M9" t="str">
        <v>Face value/CD/VCCB</v>
      </c>
      <c r="N9" t="str">
        <v>Face value/FI Bond/MCSB</v>
      </c>
      <c r="O9" s="64" t="str">
        <f t="shared" si="1"/>
        <v>Face value</v>
      </c>
      <c r="P9" s="15" t="str">
        <f t="shared" si="2"/>
        <v>FI Bond</v>
      </c>
      <c r="Q9" s="15" t="str">
        <f t="shared" si="3"/>
        <v>MCSB</v>
      </c>
    </row>
    <row r="10" spans="1:17" x14ac:dyDescent="0.3">
      <c r="A10" s="64">
        <f t="shared" si="0"/>
        <v>46262</v>
      </c>
      <c r="B10" t="s">
        <v>399</v>
      </c>
      <c r="C10" t="s">
        <v>479</v>
      </c>
      <c r="E10" t="s">
        <v>284</v>
      </c>
      <c r="G10" s="25">
        <f>_xlfn.XLOOKUP(E10,Summary!$K$1:$S$1,Summary!$K$3:$S$3)+Summary!DB1</f>
        <v>4467.4277973970002</v>
      </c>
      <c r="H10" s="54" t="s">
        <v>411</v>
      </c>
      <c r="K10" s="20" t="str">
        <v>Face value/FI Bond/TCBV-HO</v>
      </c>
      <c r="L10" t="str">
        <v>Market value/FI Bond/TCBV-HO</v>
      </c>
      <c r="M10" t="str">
        <v>Face value/CD/HDBV</v>
      </c>
      <c r="N10" t="str">
        <v>Face value/FI Bond/TCBV-HO</v>
      </c>
      <c r="O10" s="64" t="str">
        <f t="shared" si="1"/>
        <v>Face value</v>
      </c>
      <c r="P10" s="15" t="str">
        <f t="shared" si="2"/>
        <v>FI Bond</v>
      </c>
      <c r="Q10" s="15" t="str">
        <f t="shared" si="3"/>
        <v>TCBV-HO</v>
      </c>
    </row>
    <row r="11" spans="1:17" x14ac:dyDescent="0.3">
      <c r="A11" s="64">
        <f t="shared" si="0"/>
        <v>46262</v>
      </c>
      <c r="B11" t="s">
        <v>399</v>
      </c>
      <c r="C11" t="s">
        <v>479</v>
      </c>
      <c r="E11" t="s">
        <v>285</v>
      </c>
      <c r="G11" s="25">
        <f>_xlfn.XLOOKUP(E11,Summary!$K$1:$S$1,Summary!$K$2:$S$2)</f>
        <v>0</v>
      </c>
      <c r="H11" s="54" t="s">
        <v>411</v>
      </c>
      <c r="K11" s="20" t="str">
        <v>Face value/FI Bond/PVFC</v>
      </c>
      <c r="L11" t="str">
        <v>Market value/FI Bond/PVFC</v>
      </c>
      <c r="M11" t="str">
        <v>Face value/CD/LVBT</v>
      </c>
      <c r="N11" t="str">
        <v>Face value/FI Bond/PVFC</v>
      </c>
      <c r="O11" s="64" t="str">
        <f t="shared" si="1"/>
        <v>Face value</v>
      </c>
      <c r="P11" s="15" t="str">
        <f t="shared" si="2"/>
        <v>FI Bond</v>
      </c>
      <c r="Q11" s="15" t="str">
        <f t="shared" si="3"/>
        <v>PVFC</v>
      </c>
    </row>
    <row r="12" spans="1:17" x14ac:dyDescent="0.3">
      <c r="A12" s="64">
        <f t="shared" si="0"/>
        <v>46262</v>
      </c>
      <c r="B12" t="s">
        <v>399</v>
      </c>
      <c r="C12" t="s">
        <v>479</v>
      </c>
      <c r="E12" t="s">
        <v>286</v>
      </c>
      <c r="G12" s="25">
        <f>HLOOKUP(Upload53!E12,Summary!$K$1:$V$3,3,0)</f>
        <v>0</v>
      </c>
      <c r="H12" s="54" t="s">
        <v>411</v>
      </c>
      <c r="K12" s="20" t="str">
        <v>Face value/FI Bond/SGTT</v>
      </c>
      <c r="L12" t="str">
        <v>Market value/FI Bond/SGTT</v>
      </c>
      <c r="M12" t="str">
        <v>Face value/CD/SABH</v>
      </c>
      <c r="N12" t="str">
        <v>Face value/FI Bond/SGTT</v>
      </c>
      <c r="O12" s="64" t="str">
        <f t="shared" si="1"/>
        <v>Face value</v>
      </c>
      <c r="P12" s="15" t="str">
        <f t="shared" si="2"/>
        <v>FI Bond</v>
      </c>
      <c r="Q12" s="15" t="str">
        <f t="shared" si="3"/>
        <v>SGTT</v>
      </c>
    </row>
    <row r="13" spans="1:17" x14ac:dyDescent="0.3">
      <c r="A13" s="64">
        <f t="shared" si="0"/>
        <v>46262</v>
      </c>
      <c r="B13" t="s">
        <v>399</v>
      </c>
      <c r="C13" t="s">
        <v>479</v>
      </c>
      <c r="E13" t="s">
        <v>287</v>
      </c>
      <c r="G13" s="25">
        <f>HLOOKUP(Upload53!E13,Summary!$K$1:$V$3,3,0)</f>
        <v>0</v>
      </c>
      <c r="H13" s="54" t="s">
        <v>411</v>
      </c>
      <c r="K13" s="20"/>
      <c r="M13" t="str">
        <v>Face value/CD/BIDV</v>
      </c>
      <c r="N13" t="str">
        <v>Market value/FI Bond/LVBT</v>
      </c>
      <c r="O13" s="64" t="str">
        <f t="shared" si="1"/>
        <v>Market value</v>
      </c>
      <c r="P13" s="15" t="str">
        <f t="shared" si="2"/>
        <v>FI Bond</v>
      </c>
      <c r="Q13" s="15" t="str">
        <f t="shared" si="3"/>
        <v>LVBT</v>
      </c>
    </row>
    <row r="14" spans="1:17" x14ac:dyDescent="0.3">
      <c r="A14" s="64">
        <f t="shared" si="0"/>
        <v>46262</v>
      </c>
      <c r="B14" t="s">
        <v>399</v>
      </c>
      <c r="C14" t="s">
        <v>479</v>
      </c>
      <c r="E14" t="s">
        <v>288</v>
      </c>
      <c r="G14" s="315">
        <f>HLOOKUP(Upload53!E14,Summary!$K$1:$V$3,3,0)</f>
        <v>0</v>
      </c>
      <c r="H14" s="54" t="s">
        <v>411</v>
      </c>
      <c r="K14" s="20"/>
      <c r="M14" t="str">
        <v>Face value/CD/TC_DIENLUC</v>
      </c>
      <c r="N14" t="str">
        <v>Market value/FI Bond/TC_SHINSEI</v>
      </c>
      <c r="O14" s="64" t="str">
        <f t="shared" si="1"/>
        <v>Market value</v>
      </c>
      <c r="P14" s="15" t="str">
        <f t="shared" si="2"/>
        <v>FI Bond</v>
      </c>
      <c r="Q14" s="15" t="str">
        <f t="shared" si="3"/>
        <v>TC_SHINSEI</v>
      </c>
    </row>
    <row r="15" spans="1:17" x14ac:dyDescent="0.3">
      <c r="A15" s="64">
        <f t="shared" si="0"/>
        <v>46262</v>
      </c>
      <c r="B15" t="s">
        <v>399</v>
      </c>
      <c r="C15" t="s">
        <v>364</v>
      </c>
      <c r="G15" s="238">
        <f>Summary!AO3</f>
        <v>27199.1</v>
      </c>
      <c r="H15" s="54" t="s">
        <v>411</v>
      </c>
      <c r="K15" s="20"/>
      <c r="M15" t="str">
        <v>Face value/CD/MCSB</v>
      </c>
      <c r="N15" t="str">
        <v>Market value/FI Bond/NABV</v>
      </c>
      <c r="O15" s="64" t="str">
        <f t="shared" si="1"/>
        <v>Market value</v>
      </c>
      <c r="P15" s="15" t="str">
        <f t="shared" si="2"/>
        <v>FI Bond</v>
      </c>
      <c r="Q15" s="15" t="str">
        <f t="shared" si="3"/>
        <v>NABV</v>
      </c>
    </row>
    <row r="16" spans="1:17" x14ac:dyDescent="0.3">
      <c r="A16" s="64">
        <f t="shared" si="0"/>
        <v>46262</v>
      </c>
      <c r="B16" t="s">
        <v>399</v>
      </c>
      <c r="C16" t="s">
        <v>491</v>
      </c>
      <c r="G16" s="238">
        <f>SUMIFS(FNRP!J:J,FNRP!E:E,"FI_CORP_L",FNRP!AI:AI,"&lt;&gt;0")/10^9</f>
        <v>397.61059999999998</v>
      </c>
      <c r="H16" s="54" t="s">
        <v>411</v>
      </c>
      <c r="I16" s="67"/>
      <c r="K16" s="20"/>
      <c r="M16" t="str">
        <v>Face value/CD/TC_SHINSEI</v>
      </c>
      <c r="N16" t="str">
        <v>Market value/FI Bond/HCVN</v>
      </c>
      <c r="O16" s="64" t="str">
        <f t="shared" si="1"/>
        <v>Market value</v>
      </c>
      <c r="P16" s="15" t="str">
        <f t="shared" si="2"/>
        <v>FI Bond</v>
      </c>
      <c r="Q16" s="15" t="str">
        <f t="shared" si="3"/>
        <v>HCVN</v>
      </c>
    </row>
    <row r="17" spans="1:17" x14ac:dyDescent="0.3">
      <c r="A17" s="64">
        <f t="shared" si="0"/>
        <v>46262</v>
      </c>
      <c r="B17" t="s">
        <v>399</v>
      </c>
      <c r="C17" t="s">
        <v>492</v>
      </c>
      <c r="G17" s="238">
        <f>SUMIFS(AllDealps!$U:$U,AllDealps!$F:$F,"FI_CORP_U")/10^9-SUM(FNRP_FIbond[Đối ứng])/10^9</f>
        <v>12000</v>
      </c>
      <c r="H17" s="54" t="s">
        <v>411</v>
      </c>
      <c r="K17" s="20"/>
      <c r="M17" t="str">
        <v>Face value/CD/VPVN</v>
      </c>
      <c r="N17" t="str">
        <v>Market value/FI Bond/VBAH</v>
      </c>
      <c r="O17" s="64" t="str">
        <f t="shared" si="1"/>
        <v>Market value</v>
      </c>
      <c r="P17" s="15" t="str">
        <f t="shared" si="2"/>
        <v>FI Bond</v>
      </c>
      <c r="Q17" s="15" t="str">
        <f t="shared" si="3"/>
        <v>VBAH</v>
      </c>
    </row>
    <row r="18" spans="1:17" x14ac:dyDescent="0.3">
      <c r="A18" s="64">
        <f t="shared" si="0"/>
        <v>46262</v>
      </c>
      <c r="B18" t="s">
        <v>399</v>
      </c>
      <c r="C18" t="s">
        <v>1438</v>
      </c>
      <c r="G18" s="238">
        <f>Summary!DB1</f>
        <v>569.81719739699986</v>
      </c>
      <c r="H18" s="54" t="s">
        <v>411</v>
      </c>
      <c r="K18" s="20"/>
      <c r="M18" t="str">
        <v>Face value/CD/ACBV</v>
      </c>
      <c r="N18" t="str">
        <v>Market value/FI Bond/HDBV</v>
      </c>
      <c r="O18" s="64"/>
    </row>
    <row r="19" spans="1:17" x14ac:dyDescent="0.3">
      <c r="A19" s="64">
        <f t="shared" si="0"/>
        <v>46262</v>
      </c>
      <c r="B19" t="s">
        <v>399</v>
      </c>
      <c r="C19" t="s">
        <v>496</v>
      </c>
      <c r="G19" s="402">
        <f>Summary!BM7-SUM(FNRP_PPCD[[#All],[Đối ứng]])/10^9</f>
        <v>16861.099999999999</v>
      </c>
      <c r="H19" s="54" t="s">
        <v>411</v>
      </c>
      <c r="K19" s="20"/>
      <c r="M19" t="str">
        <v>Face value/CD/OJBV</v>
      </c>
      <c r="N19" t="str">
        <v>Market value/FI Bond/SHBV</v>
      </c>
      <c r="O19" s="64" t="str">
        <f t="shared" si="1"/>
        <v>Market value</v>
      </c>
      <c r="P19" s="15" t="str">
        <f t="shared" si="2"/>
        <v>FI Bond</v>
      </c>
      <c r="Q19" s="15" t="str">
        <f t="shared" si="3"/>
        <v>SHBV</v>
      </c>
    </row>
    <row r="20" spans="1:17" x14ac:dyDescent="0.3">
      <c r="A20" s="64">
        <f t="shared" si="0"/>
        <v>46262</v>
      </c>
      <c r="B20" t="s">
        <v>399</v>
      </c>
      <c r="C20" t="s">
        <v>497</v>
      </c>
      <c r="G20" s="402">
        <f>Summary!BM6</f>
        <v>397.61059999999998</v>
      </c>
      <c r="H20" s="54" t="s">
        <v>411</v>
      </c>
      <c r="K20" s="20"/>
      <c r="M20" t="str">
        <v>Face value/CD/VABV</v>
      </c>
      <c r="N20" t="str">
        <v>Market value/FI Bond/MCSB</v>
      </c>
      <c r="O20" s="64" t="str">
        <f t="shared" si="1"/>
        <v>Market value</v>
      </c>
      <c r="P20" s="15" t="str">
        <f t="shared" si="2"/>
        <v>FI Bond</v>
      </c>
      <c r="Q20" s="15" t="str">
        <f t="shared" si="3"/>
        <v>MCSB</v>
      </c>
    </row>
    <row r="21" spans="1:17" x14ac:dyDescent="0.3">
      <c r="A21" s="64">
        <f t="shared" si="0"/>
        <v>46262</v>
      </c>
      <c r="B21" t="s">
        <v>399</v>
      </c>
      <c r="C21" t="s">
        <v>498</v>
      </c>
      <c r="G21" s="402">
        <f>Summary!BM5-SUM(FNRP_FIbond[Đối ứng])/10^9</f>
        <v>12000</v>
      </c>
      <c r="H21" s="54" t="s">
        <v>411</v>
      </c>
      <c r="K21" s="20"/>
      <c r="N21" t="str">
        <v>Market value/FI Bond/TCBV-HO</v>
      </c>
      <c r="O21" s="64" t="str">
        <f t="shared" si="1"/>
        <v>Market value</v>
      </c>
      <c r="P21" s="15" t="str">
        <f t="shared" si="2"/>
        <v>FI Bond</v>
      </c>
      <c r="Q21" s="15" t="str">
        <f t="shared" si="3"/>
        <v>TCBV-HO</v>
      </c>
    </row>
    <row r="22" spans="1:17" x14ac:dyDescent="0.3">
      <c r="A22" s="64">
        <f t="shared" si="0"/>
        <v>46262</v>
      </c>
      <c r="B22" t="s">
        <v>399</v>
      </c>
      <c r="C22" t="s">
        <v>494</v>
      </c>
      <c r="G22" s="402">
        <f>Summary!BN7</f>
        <v>0</v>
      </c>
      <c r="H22" s="54" t="s">
        <v>411</v>
      </c>
      <c r="K22" s="20"/>
      <c r="N22" t="str">
        <v>Market value/FI Bond/PVFC</v>
      </c>
      <c r="O22" s="64" t="str">
        <f t="shared" si="1"/>
        <v>Market value</v>
      </c>
      <c r="P22" s="15" t="str">
        <f t="shared" si="2"/>
        <v>FI Bond</v>
      </c>
      <c r="Q22" s="15" t="str">
        <f t="shared" si="3"/>
        <v>PVFC</v>
      </c>
    </row>
    <row r="23" spans="1:17" x14ac:dyDescent="0.3">
      <c r="A23" s="64">
        <f t="shared" si="0"/>
        <v>46262</v>
      </c>
      <c r="B23" t="s">
        <v>399</v>
      </c>
      <c r="C23" t="s">
        <v>495</v>
      </c>
      <c r="G23" s="402">
        <f>Summary!BN6</f>
        <v>0</v>
      </c>
      <c r="H23" s="54" t="s">
        <v>411</v>
      </c>
      <c r="K23" s="20"/>
      <c r="N23" t="str">
        <v>Market value/FI Bond/SGTT</v>
      </c>
      <c r="O23" s="64" t="str">
        <f t="shared" si="1"/>
        <v>Market value</v>
      </c>
      <c r="P23" s="15" t="str">
        <f t="shared" si="2"/>
        <v>FI Bond</v>
      </c>
      <c r="Q23" s="15" t="str">
        <f t="shared" si="3"/>
        <v>SGTT</v>
      </c>
    </row>
    <row r="24" spans="1:17" x14ac:dyDescent="0.3">
      <c r="A24" s="64">
        <f t="shared" si="0"/>
        <v>46262</v>
      </c>
      <c r="B24" t="s">
        <v>399</v>
      </c>
      <c r="C24" t="s">
        <v>493</v>
      </c>
      <c r="G24" s="402">
        <f>Summary!BN5</f>
        <v>0</v>
      </c>
      <c r="H24" s="54" t="s">
        <v>411</v>
      </c>
      <c r="K24" s="20"/>
      <c r="N24" t="str">
        <v>Face value/CD/VIETBANK</v>
      </c>
      <c r="O24" s="64" t="str">
        <f t="shared" si="1"/>
        <v>Face value</v>
      </c>
      <c r="P24" s="15" t="str">
        <f t="shared" si="2"/>
        <v>CD</v>
      </c>
      <c r="Q24" s="15" t="str">
        <f t="shared" si="3"/>
        <v>VIETBANK</v>
      </c>
    </row>
    <row r="25" spans="1:17" x14ac:dyDescent="0.3">
      <c r="A25" s="64">
        <f t="shared" si="0"/>
        <v>46262</v>
      </c>
      <c r="B25" t="s">
        <v>399</v>
      </c>
      <c r="C25" t="s">
        <v>593</v>
      </c>
      <c r="G25" s="402">
        <f>Summary!BO7</f>
        <v>10338</v>
      </c>
      <c r="H25" s="54" t="s">
        <v>411</v>
      </c>
      <c r="K25" s="20"/>
      <c r="N25" t="str">
        <v>Face value/CD/HCVN</v>
      </c>
      <c r="O25" s="64" t="str">
        <f t="shared" si="1"/>
        <v>Face value</v>
      </c>
      <c r="P25" s="15" t="str">
        <f t="shared" si="2"/>
        <v>CD</v>
      </c>
      <c r="Q25" s="15" t="str">
        <f t="shared" si="3"/>
        <v>HCVN</v>
      </c>
    </row>
    <row r="26" spans="1:17" x14ac:dyDescent="0.3">
      <c r="A26" s="64">
        <f t="shared" si="0"/>
        <v>46262</v>
      </c>
      <c r="B26" t="s">
        <v>399</v>
      </c>
      <c r="C26" t="s">
        <v>594</v>
      </c>
      <c r="G26" s="402">
        <f>Summary!BO6</f>
        <v>0</v>
      </c>
      <c r="H26" s="54" t="s">
        <v>411</v>
      </c>
      <c r="K26" s="20"/>
      <c r="N26" t="str">
        <v>Face value/CD/SGTT</v>
      </c>
      <c r="O26" s="64" t="str">
        <f t="shared" si="1"/>
        <v>Face value</v>
      </c>
      <c r="P26" s="15" t="str">
        <f t="shared" si="2"/>
        <v>CD</v>
      </c>
      <c r="Q26" s="15" t="str">
        <f t="shared" si="3"/>
        <v>SGTT</v>
      </c>
    </row>
    <row r="27" spans="1:17" x14ac:dyDescent="0.3">
      <c r="A27" s="64">
        <f t="shared" si="0"/>
        <v>46262</v>
      </c>
      <c r="B27" t="s">
        <v>399</v>
      </c>
      <c r="C27" t="s">
        <v>595</v>
      </c>
      <c r="G27" s="402">
        <f>Summary!BO5</f>
        <v>0</v>
      </c>
      <c r="H27" s="54" t="s">
        <v>411</v>
      </c>
      <c r="K27" s="20"/>
      <c r="N27" t="str">
        <v>Face value/CD/EIBV</v>
      </c>
      <c r="O27" s="64" t="str">
        <f t="shared" si="1"/>
        <v>Face value</v>
      </c>
      <c r="P27" s="15" t="str">
        <f t="shared" si="2"/>
        <v>CD</v>
      </c>
      <c r="Q27" s="15" t="str">
        <f t="shared" si="3"/>
        <v>EIBV</v>
      </c>
    </row>
    <row r="28" spans="1:17" x14ac:dyDescent="0.3">
      <c r="A28" s="64">
        <f t="shared" si="0"/>
        <v>46262</v>
      </c>
      <c r="B28" t="s">
        <v>399</v>
      </c>
      <c r="C28" t="s">
        <v>1439</v>
      </c>
      <c r="G28" s="402">
        <f>Summary!DB1</f>
        <v>569.81719739699986</v>
      </c>
      <c r="H28" s="54" t="s">
        <v>411</v>
      </c>
      <c r="K28" s="20"/>
      <c r="N28" t="str">
        <v>Face value/CD/ABBV</v>
      </c>
      <c r="O28" s="64"/>
    </row>
    <row r="29" spans="1:17" x14ac:dyDescent="0.3">
      <c r="A29" s="64">
        <f t="shared" si="0"/>
        <v>46262</v>
      </c>
      <c r="B29" t="s">
        <v>395</v>
      </c>
      <c r="C29" t="s">
        <v>479</v>
      </c>
      <c r="G29" s="315" cm="1">
        <f t="array" ref="G29">Summary!Y3+SUM(FNRP_ITB_2[MarketValue_VND]/10^9)</f>
        <v>13363.5592026823</v>
      </c>
      <c r="H29" s="54" t="s">
        <v>411</v>
      </c>
      <c r="I29" t="s">
        <v>1145</v>
      </c>
      <c r="K29" s="20"/>
      <c r="N29" t="str">
        <v>Face value/CD/TCBV-HO</v>
      </c>
      <c r="O29" s="64" t="str">
        <f t="shared" si="1"/>
        <v>Face value</v>
      </c>
      <c r="P29" s="15" t="str">
        <f t="shared" si="2"/>
        <v>CD</v>
      </c>
      <c r="Q29" s="15" t="str">
        <f t="shared" si="3"/>
        <v>TCBV-HO</v>
      </c>
    </row>
    <row r="30" spans="1:17" x14ac:dyDescent="0.3">
      <c r="A30" s="64">
        <f t="shared" si="0"/>
        <v>46262</v>
      </c>
      <c r="B30" t="s">
        <v>395</v>
      </c>
      <c r="C30" t="s">
        <v>479</v>
      </c>
      <c r="E30" t="s">
        <v>270</v>
      </c>
      <c r="G30" s="25">
        <f>HLOOKUP(E30,Summary!$Z$1:$AK$3,3,0)</f>
        <v>5.3590432899999998</v>
      </c>
      <c r="H30" s="54" t="s">
        <v>411</v>
      </c>
      <c r="I30" s="43"/>
      <c r="K30" s="20"/>
      <c r="N30" t="str">
        <v>Face value/CD/OCBV</v>
      </c>
      <c r="O30" s="64" t="str">
        <f t="shared" si="1"/>
        <v>Face value</v>
      </c>
      <c r="P30" s="15" t="str">
        <f t="shared" si="2"/>
        <v>CD</v>
      </c>
      <c r="Q30" s="15" t="str">
        <f t="shared" si="3"/>
        <v>OCBV</v>
      </c>
    </row>
    <row r="31" spans="1:17" x14ac:dyDescent="0.3">
      <c r="A31" s="64">
        <f t="shared" si="0"/>
        <v>46262</v>
      </c>
      <c r="B31" t="s">
        <v>395</v>
      </c>
      <c r="C31" t="s">
        <v>479</v>
      </c>
      <c r="E31" t="s">
        <v>271</v>
      </c>
      <c r="G31" s="25">
        <f>HLOOKUP(E31,Summary!$Z$1:$AK$3,3,0)</f>
        <v>404.036967092</v>
      </c>
      <c r="H31" s="54" t="s">
        <v>411</v>
      </c>
      <c r="K31" s="20"/>
      <c r="N31" t="str">
        <v>Face value/CD/VCCB</v>
      </c>
      <c r="O31" s="64" t="str">
        <f t="shared" si="1"/>
        <v>Face value</v>
      </c>
      <c r="P31" s="15" t="str">
        <f t="shared" si="2"/>
        <v>CD</v>
      </c>
      <c r="Q31" s="15" t="str">
        <f t="shared" si="3"/>
        <v>VCCB</v>
      </c>
    </row>
    <row r="32" spans="1:17" x14ac:dyDescent="0.3">
      <c r="A32" s="64">
        <f t="shared" si="0"/>
        <v>46262</v>
      </c>
      <c r="B32" t="s">
        <v>395</v>
      </c>
      <c r="C32" t="s">
        <v>479</v>
      </c>
      <c r="E32" t="s">
        <v>273</v>
      </c>
      <c r="G32" s="25">
        <f>HLOOKUP(E32,Summary!$Z$1:$AK$3,3,0)</f>
        <v>3593.045945976</v>
      </c>
      <c r="H32" s="54" t="s">
        <v>411</v>
      </c>
      <c r="K32" s="20"/>
      <c r="N32" t="str">
        <v>Face value/CD/HDBV</v>
      </c>
      <c r="O32" s="64" t="str">
        <f t="shared" si="1"/>
        <v>Face value</v>
      </c>
      <c r="P32" s="15" t="str">
        <f t="shared" si="2"/>
        <v>CD</v>
      </c>
      <c r="Q32" s="15" t="str">
        <f t="shared" si="3"/>
        <v>HDBV</v>
      </c>
    </row>
    <row r="33" spans="1:17" x14ac:dyDescent="0.3">
      <c r="A33" s="64">
        <f t="shared" si="0"/>
        <v>46262</v>
      </c>
      <c r="B33" t="s">
        <v>395</v>
      </c>
      <c r="C33" t="s">
        <v>479</v>
      </c>
      <c r="E33" t="s">
        <v>277</v>
      </c>
      <c r="G33" s="25">
        <f>HLOOKUP(E33,Summary!$Z$1:$AK$3,3,0)</f>
        <v>743.416028493</v>
      </c>
      <c r="H33" s="54" t="s">
        <v>411</v>
      </c>
      <c r="I33" s="43"/>
      <c r="K33" s="20"/>
      <c r="N33" t="str">
        <v>Face value/CD/LVBT</v>
      </c>
      <c r="O33" s="64" t="str">
        <f t="shared" si="1"/>
        <v>Face value</v>
      </c>
      <c r="P33" s="15" t="str">
        <f t="shared" si="2"/>
        <v>CD</v>
      </c>
      <c r="Q33" s="15" t="str">
        <f t="shared" si="3"/>
        <v>LVBT</v>
      </c>
    </row>
    <row r="34" spans="1:17" x14ac:dyDescent="0.3">
      <c r="A34" s="64">
        <f t="shared" si="0"/>
        <v>46262</v>
      </c>
      <c r="B34" t="s">
        <v>395</v>
      </c>
      <c r="C34" t="s">
        <v>479</v>
      </c>
      <c r="E34" t="s">
        <v>281</v>
      </c>
      <c r="G34" s="25">
        <f>HLOOKUP(E34,Summary!$Z$1:$AK$3,3,0)</f>
        <v>3357.49551471</v>
      </c>
      <c r="H34" s="54" t="s">
        <v>411</v>
      </c>
      <c r="K34" s="20"/>
      <c r="N34" t="str">
        <v>Face value/CD/SABH</v>
      </c>
      <c r="O34" s="64" t="str">
        <f t="shared" si="1"/>
        <v>Face value</v>
      </c>
      <c r="P34" s="15" t="str">
        <f t="shared" si="2"/>
        <v>CD</v>
      </c>
      <c r="Q34" s="15" t="str">
        <f t="shared" si="3"/>
        <v>SABH</v>
      </c>
    </row>
    <row r="35" spans="1:17" x14ac:dyDescent="0.3">
      <c r="A35" s="64">
        <f t="shared" si="0"/>
        <v>46262</v>
      </c>
      <c r="B35" t="s">
        <v>395</v>
      </c>
      <c r="C35" t="s">
        <v>479</v>
      </c>
      <c r="E35" t="s">
        <v>282</v>
      </c>
      <c r="G35" s="25">
        <f>HLOOKUP(E35,Summary!$Z$1:$AK$3,3,0)</f>
        <v>0</v>
      </c>
      <c r="H35" s="54" t="s">
        <v>411</v>
      </c>
      <c r="K35" s="20"/>
      <c r="N35" t="str">
        <v>Face value/CD/BIDV</v>
      </c>
      <c r="O35" s="64" t="str">
        <f t="shared" si="1"/>
        <v>Face value</v>
      </c>
      <c r="P35" s="15" t="str">
        <f t="shared" si="2"/>
        <v>CD</v>
      </c>
      <c r="Q35" s="15" t="str">
        <f t="shared" si="3"/>
        <v>BIDV</v>
      </c>
    </row>
    <row r="36" spans="1:17" x14ac:dyDescent="0.3">
      <c r="A36" s="64">
        <f t="shared" si="0"/>
        <v>46262</v>
      </c>
      <c r="B36" t="s">
        <v>395</v>
      </c>
      <c r="C36" t="s">
        <v>479</v>
      </c>
      <c r="E36" t="s">
        <v>283</v>
      </c>
      <c r="G36" s="25">
        <f>HLOOKUP(E36,Summary!$Z$1:$AK$3,3,0)</f>
        <v>0</v>
      </c>
      <c r="H36" s="54" t="s">
        <v>411</v>
      </c>
      <c r="K36" s="20"/>
      <c r="N36" t="str">
        <v>Face value/CD/TC_DIENLUC</v>
      </c>
      <c r="O36" s="64" t="str">
        <f t="shared" si="1"/>
        <v>Face value</v>
      </c>
      <c r="P36" s="15" t="str">
        <f t="shared" si="2"/>
        <v>CD</v>
      </c>
      <c r="Q36" s="15" t="str">
        <f t="shared" si="3"/>
        <v>TC_DIENLUC</v>
      </c>
    </row>
    <row r="37" spans="1:17" x14ac:dyDescent="0.3">
      <c r="A37" s="64">
        <f t="shared" si="0"/>
        <v>46262</v>
      </c>
      <c r="B37" t="s">
        <v>395</v>
      </c>
      <c r="C37" t="s">
        <v>479</v>
      </c>
      <c r="E37" t="s">
        <v>284</v>
      </c>
      <c r="G37" s="25">
        <f>HLOOKUP(E37,Summary!$Z$1:$AK$3,3,0)+SUM(FNRP_ITB_2[MarketValue_VND])/10^9</f>
        <v>5260.205703121298</v>
      </c>
      <c r="H37" s="54" t="s">
        <v>411</v>
      </c>
      <c r="K37" s="20"/>
      <c r="N37" t="str">
        <v>Face value/CD/MCSB</v>
      </c>
      <c r="O37" s="64" t="str">
        <f t="shared" si="1"/>
        <v>Face value</v>
      </c>
      <c r="P37" s="15" t="str">
        <f t="shared" si="2"/>
        <v>CD</v>
      </c>
      <c r="Q37" s="15" t="str">
        <f t="shared" si="3"/>
        <v>MCSB</v>
      </c>
    </row>
    <row r="38" spans="1:17" x14ac:dyDescent="0.3">
      <c r="A38" s="64">
        <f t="shared" si="0"/>
        <v>46262</v>
      </c>
      <c r="B38" t="s">
        <v>395</v>
      </c>
      <c r="C38" t="s">
        <v>479</v>
      </c>
      <c r="E38" t="s">
        <v>285</v>
      </c>
      <c r="G38" s="25">
        <f>HLOOKUP(E38,Summary!$Z$1:$AK$3,3,0)</f>
        <v>0</v>
      </c>
      <c r="H38" s="54" t="s">
        <v>411</v>
      </c>
      <c r="K38" s="20"/>
      <c r="N38" t="str">
        <v>Face value/CD/TC_SHINSEI</v>
      </c>
      <c r="O38" s="64" t="str">
        <f t="shared" si="1"/>
        <v>Face value</v>
      </c>
      <c r="P38" s="15" t="str">
        <f t="shared" si="2"/>
        <v>CD</v>
      </c>
      <c r="Q38" s="15" t="str">
        <f t="shared" si="3"/>
        <v>TC_SHINSEI</v>
      </c>
    </row>
    <row r="39" spans="1:17" x14ac:dyDescent="0.3">
      <c r="A39" s="64">
        <f t="shared" si="0"/>
        <v>46262</v>
      </c>
      <c r="B39" t="s">
        <v>395</v>
      </c>
      <c r="C39" t="s">
        <v>479</v>
      </c>
      <c r="E39" t="s">
        <v>286</v>
      </c>
      <c r="G39" s="25">
        <f>HLOOKUP(E39,Summary!$Z$1:$AK$3,3,0)</f>
        <v>0</v>
      </c>
      <c r="H39" s="54" t="s">
        <v>411</v>
      </c>
      <c r="K39" s="20"/>
      <c r="N39" t="str">
        <v>Face value/CD/VPVN</v>
      </c>
      <c r="O39" s="64" t="str">
        <f t="shared" si="1"/>
        <v>Face value</v>
      </c>
      <c r="P39" s="15" t="str">
        <f t="shared" si="2"/>
        <v>CD</v>
      </c>
      <c r="Q39" s="15" t="str">
        <f t="shared" si="3"/>
        <v>VPVN</v>
      </c>
    </row>
    <row r="40" spans="1:17" x14ac:dyDescent="0.3">
      <c r="A40" s="64">
        <f t="shared" si="0"/>
        <v>46262</v>
      </c>
      <c r="B40" t="s">
        <v>395</v>
      </c>
      <c r="C40" t="s">
        <v>479</v>
      </c>
      <c r="E40" t="s">
        <v>287</v>
      </c>
      <c r="G40" s="25">
        <f>HLOOKUP(E40,Summary!$Z$1:$AK$3,3,0)</f>
        <v>0</v>
      </c>
      <c r="H40" s="54" t="s">
        <v>411</v>
      </c>
      <c r="K40" s="20"/>
      <c r="N40" t="str">
        <v>Face value/CD/ACBV</v>
      </c>
      <c r="O40" s="64" t="str">
        <f t="shared" si="1"/>
        <v>Face value</v>
      </c>
      <c r="P40" s="15" t="str">
        <f t="shared" si="2"/>
        <v>CD</v>
      </c>
      <c r="Q40" s="15" t="str">
        <f t="shared" si="3"/>
        <v>ACBV</v>
      </c>
    </row>
    <row r="41" spans="1:17" x14ac:dyDescent="0.3">
      <c r="A41" s="64">
        <f t="shared" si="0"/>
        <v>46262</v>
      </c>
      <c r="B41" t="s">
        <v>395</v>
      </c>
      <c r="C41" t="s">
        <v>479</v>
      </c>
      <c r="E41" t="s">
        <v>288</v>
      </c>
      <c r="G41" s="25">
        <f>HLOOKUP(E41,Summary!$Z$1:$AK$3,3,0)</f>
        <v>0</v>
      </c>
      <c r="H41" s="54" t="s">
        <v>411</v>
      </c>
      <c r="K41" s="20"/>
      <c r="N41" t="str">
        <v>Face value/CD/OJBV</v>
      </c>
      <c r="O41" s="64" t="str">
        <f t="shared" si="1"/>
        <v>Face value</v>
      </c>
      <c r="P41" s="15" t="str">
        <f t="shared" si="2"/>
        <v>CD</v>
      </c>
      <c r="Q41" s="15" t="str">
        <f t="shared" si="3"/>
        <v>OJBV</v>
      </c>
    </row>
    <row r="42" spans="1:17" x14ac:dyDescent="0.3">
      <c r="A42" s="64">
        <f t="shared" si="0"/>
        <v>46262</v>
      </c>
      <c r="B42" t="s">
        <v>399</v>
      </c>
      <c r="C42" t="s">
        <v>364</v>
      </c>
      <c r="E42" t="s">
        <v>270</v>
      </c>
      <c r="G42" s="25">
        <f>HLOOKUP(E42,Summary!$AP$1:$AV$3,3,0)</f>
        <v>9400</v>
      </c>
      <c r="H42" s="54" t="s">
        <v>411</v>
      </c>
      <c r="K42" s="20"/>
      <c r="N42" t="str">
        <v>Face value/CD/VABV</v>
      </c>
      <c r="O42" s="64" t="str">
        <f t="shared" si="1"/>
        <v>Face value</v>
      </c>
      <c r="P42" s="15" t="str">
        <f t="shared" si="2"/>
        <v>CD</v>
      </c>
      <c r="Q42" s="15" t="str">
        <f t="shared" si="3"/>
        <v>VABV</v>
      </c>
    </row>
    <row r="43" spans="1:17" x14ac:dyDescent="0.3">
      <c r="A43" s="64">
        <f t="shared" si="0"/>
        <v>46262</v>
      </c>
      <c r="B43" t="s">
        <v>399</v>
      </c>
      <c r="C43" t="s">
        <v>364</v>
      </c>
      <c r="E43" t="s">
        <v>271</v>
      </c>
      <c r="G43" s="25">
        <f>HLOOKUP(E43,Summary!$AP$1:$AV$3,3,0)</f>
        <v>5600</v>
      </c>
      <c r="H43" s="54" t="s">
        <v>411</v>
      </c>
      <c r="K43" s="20"/>
      <c r="O43" s="64" t="str">
        <f t="shared" si="1"/>
        <v/>
      </c>
    </row>
    <row r="44" spans="1:17" x14ac:dyDescent="0.3">
      <c r="A44" s="64">
        <f t="shared" si="0"/>
        <v>46262</v>
      </c>
      <c r="B44" t="s">
        <v>399</v>
      </c>
      <c r="C44" t="s">
        <v>364</v>
      </c>
      <c r="E44" t="s">
        <v>273</v>
      </c>
      <c r="G44" s="25">
        <f>HLOOKUP(E44,Summary!$AP$1:$AV$3,3,0)</f>
        <v>12199.1</v>
      </c>
      <c r="H44" s="54" t="s">
        <v>411</v>
      </c>
      <c r="K44" s="20"/>
      <c r="O44" s="64" t="str">
        <f t="shared" si="1"/>
        <v/>
      </c>
    </row>
    <row r="45" spans="1:17" x14ac:dyDescent="0.3">
      <c r="A45" s="64">
        <f t="shared" si="0"/>
        <v>46262</v>
      </c>
      <c r="B45" t="s">
        <v>399</v>
      </c>
      <c r="C45" t="s">
        <v>364</v>
      </c>
      <c r="E45" t="s">
        <v>277</v>
      </c>
      <c r="G45" s="25">
        <f>HLOOKUP(E45,Summary!$AP$1:$AV$3,3,0)</f>
        <v>0</v>
      </c>
      <c r="H45" s="54" t="s">
        <v>411</v>
      </c>
      <c r="K45" s="20"/>
      <c r="O45" s="64" t="str">
        <f t="shared" si="1"/>
        <v/>
      </c>
    </row>
    <row r="46" spans="1:17" x14ac:dyDescent="0.3">
      <c r="A46" s="64">
        <f t="shared" si="0"/>
        <v>46262</v>
      </c>
      <c r="B46" t="s">
        <v>399</v>
      </c>
      <c r="C46" t="s">
        <v>364</v>
      </c>
      <c r="E46" t="s">
        <v>281</v>
      </c>
      <c r="G46" s="25">
        <f>HLOOKUP(E46,Summary!$AP$1:$AV$3,3,0)</f>
        <v>0</v>
      </c>
      <c r="H46" s="54" t="s">
        <v>411</v>
      </c>
      <c r="K46" s="20"/>
      <c r="O46" s="64" t="str">
        <f t="shared" si="1"/>
        <v/>
      </c>
    </row>
    <row r="47" spans="1:17" x14ac:dyDescent="0.3">
      <c r="A47" s="64">
        <f t="shared" si="0"/>
        <v>46262</v>
      </c>
      <c r="B47" t="s">
        <v>399</v>
      </c>
      <c r="C47" t="s">
        <v>364</v>
      </c>
      <c r="E47" t="s">
        <v>282</v>
      </c>
      <c r="G47" s="25">
        <f>HLOOKUP(E47,Summary!$AP$1:$AV$3,3,0)</f>
        <v>0</v>
      </c>
      <c r="H47" s="54" t="s">
        <v>411</v>
      </c>
      <c r="K47" s="20"/>
      <c r="O47" s="64" t="str">
        <f t="shared" si="1"/>
        <v/>
      </c>
    </row>
    <row r="48" spans="1:17" x14ac:dyDescent="0.3">
      <c r="A48" s="64">
        <f t="shared" si="0"/>
        <v>46262</v>
      </c>
      <c r="B48" t="s">
        <v>399</v>
      </c>
      <c r="C48" t="s">
        <v>364</v>
      </c>
      <c r="E48" t="s">
        <v>283</v>
      </c>
      <c r="G48" s="25">
        <f>HLOOKUP(E48,Summary!$AP$1:$AV$3,3,0)</f>
        <v>0</v>
      </c>
      <c r="H48" s="54" t="s">
        <v>411</v>
      </c>
      <c r="K48" s="20"/>
      <c r="O48" s="64" t="str">
        <f t="shared" si="1"/>
        <v/>
      </c>
    </row>
    <row r="49" spans="1:15" x14ac:dyDescent="0.3">
      <c r="A49" s="64">
        <f t="shared" si="0"/>
        <v>46262</v>
      </c>
      <c r="B49" t="s">
        <v>412</v>
      </c>
      <c r="C49" t="s">
        <v>479</v>
      </c>
      <c r="F49" t="s">
        <v>311</v>
      </c>
      <c r="G49" s="25">
        <f>COUNTIFS(AllDealps!H:H,F49,AllDealps!F:F,"&lt;&gt;CD",AllDealps!I:I,RPT)</f>
        <v>0</v>
      </c>
      <c r="H49" s="54" t="s">
        <v>414</v>
      </c>
      <c r="K49" s="20"/>
      <c r="O49" s="64" t="str">
        <f t="shared" si="1"/>
        <v/>
      </c>
    </row>
    <row r="50" spans="1:15" x14ac:dyDescent="0.3">
      <c r="A50" s="64">
        <f t="shared" si="0"/>
        <v>46262</v>
      </c>
      <c r="B50" t="s">
        <v>412</v>
      </c>
      <c r="C50" t="s">
        <v>479</v>
      </c>
      <c r="F50" t="s">
        <v>300</v>
      </c>
      <c r="G50" s="25">
        <f>COUNTIFS(AllDealps!H:H,F50,AllDealps!F:F,"&lt;&gt;CD",AllDealps!I:I,RPT)</f>
        <v>0</v>
      </c>
      <c r="H50" s="54" t="s">
        <v>414</v>
      </c>
      <c r="K50" s="20"/>
      <c r="O50" s="64" t="str">
        <f t="shared" si="1"/>
        <v/>
      </c>
    </row>
    <row r="51" spans="1:15" x14ac:dyDescent="0.3">
      <c r="A51" s="64">
        <f t="shared" si="0"/>
        <v>46262</v>
      </c>
      <c r="B51" t="s">
        <v>412</v>
      </c>
      <c r="C51" t="s">
        <v>479</v>
      </c>
      <c r="F51" t="s">
        <v>311</v>
      </c>
      <c r="G51" s="25">
        <f>SUMIFS(AllDealps!N:N,AllDealps!H:H,F51,AllDealps!F:F,"&lt;&gt;CD",AllDealps!I:I,RPT)/10^9</f>
        <v>0</v>
      </c>
      <c r="H51" s="54" t="s">
        <v>411</v>
      </c>
      <c r="O51" s="64" t="str">
        <f t="shared" si="1"/>
        <v/>
      </c>
    </row>
    <row r="52" spans="1:15" x14ac:dyDescent="0.3">
      <c r="A52" s="64">
        <f t="shared" si="0"/>
        <v>46262</v>
      </c>
      <c r="B52" t="s">
        <v>412</v>
      </c>
      <c r="C52" t="s">
        <v>479</v>
      </c>
      <c r="F52" t="s">
        <v>300</v>
      </c>
      <c r="G52" s="25">
        <f>SUMIFS(AllDealps!N:N,AllDealps!H:H,F52,AllDealps!F:F,"&lt;&gt;CD",AllDealps!I:I,RPT)/10^9</f>
        <v>0</v>
      </c>
      <c r="H52" s="54" t="s">
        <v>411</v>
      </c>
      <c r="O52" s="64" t="str">
        <f t="shared" si="1"/>
        <v/>
      </c>
    </row>
    <row r="53" spans="1:15" x14ac:dyDescent="0.3">
      <c r="A53" s="64">
        <f t="shared" si="0"/>
        <v>46262</v>
      </c>
      <c r="B53" t="s">
        <v>412</v>
      </c>
      <c r="C53" t="s">
        <v>364</v>
      </c>
      <c r="F53" t="s">
        <v>311</v>
      </c>
      <c r="G53" s="25">
        <f>COUNTIFS(AllDealps!H:H,F53,AllDealps!F:F,"CD",AllDealps!I:I,RPT)</f>
        <v>1</v>
      </c>
      <c r="H53" s="54" t="s">
        <v>414</v>
      </c>
      <c r="O53" s="64" t="str">
        <f t="shared" si="1"/>
        <v/>
      </c>
    </row>
    <row r="54" spans="1:15" x14ac:dyDescent="0.3">
      <c r="A54" s="64">
        <f t="shared" si="0"/>
        <v>46262</v>
      </c>
      <c r="B54" t="s">
        <v>412</v>
      </c>
      <c r="C54" t="s">
        <v>364</v>
      </c>
      <c r="F54" t="s">
        <v>300</v>
      </c>
      <c r="G54" s="25">
        <f>COUNTIFS(AllDealps!H:H,F54,AllDealps!F:F,"CD",AllDealps!I:I,RPT)</f>
        <v>1</v>
      </c>
      <c r="H54" s="54" t="s">
        <v>414</v>
      </c>
      <c r="K54" s="23"/>
      <c r="O54" s="64" t="str">
        <f t="shared" si="1"/>
        <v/>
      </c>
    </row>
    <row r="55" spans="1:15" x14ac:dyDescent="0.3">
      <c r="A55" s="64">
        <f t="shared" si="0"/>
        <v>46262</v>
      </c>
      <c r="B55" t="s">
        <v>412</v>
      </c>
      <c r="C55" t="s">
        <v>364</v>
      </c>
      <c r="F55" t="s">
        <v>311</v>
      </c>
      <c r="G55" s="25">
        <f>SUMIFS(AllDealps!N:N,AllDealps!H:H,F55,AllDealps!F:F,"CD",AllDealps!I:I,RPT)/10^9</f>
        <v>500</v>
      </c>
      <c r="H55" s="54" t="s">
        <v>411</v>
      </c>
      <c r="K55" s="23"/>
      <c r="O55" s="64" t="str">
        <f t="shared" si="1"/>
        <v/>
      </c>
    </row>
    <row r="56" spans="1:15" x14ac:dyDescent="0.3">
      <c r="A56" s="64">
        <f t="shared" si="0"/>
        <v>46262</v>
      </c>
      <c r="B56" t="s">
        <v>412</v>
      </c>
      <c r="C56" t="s">
        <v>364</v>
      </c>
      <c r="F56" t="s">
        <v>300</v>
      </c>
      <c r="G56" s="25">
        <f>SUMIFS(AllDealps!N:N,AllDealps!H:H,F56,AllDealps!F:F,"CD",AllDealps!I:I,RPT)/10^9</f>
        <v>500</v>
      </c>
      <c r="H56" s="54" t="s">
        <v>411</v>
      </c>
      <c r="O56" s="64" t="str">
        <f t="shared" si="1"/>
        <v/>
      </c>
    </row>
    <row r="57" spans="1:15" x14ac:dyDescent="0.3">
      <c r="A57" s="64">
        <f t="shared" si="0"/>
        <v>46262</v>
      </c>
      <c r="B57" t="s">
        <v>415</v>
      </c>
      <c r="C57" t="s">
        <v>479</v>
      </c>
      <c r="G57" s="45">
        <f>Summary!CJ2</f>
        <v>8.060089773928949</v>
      </c>
      <c r="H57" s="54" t="s">
        <v>417</v>
      </c>
      <c r="O57" s="64" t="str">
        <f t="shared" si="1"/>
        <v/>
      </c>
    </row>
    <row r="58" spans="1:15" x14ac:dyDescent="0.3">
      <c r="A58" s="64">
        <f t="shared" si="0"/>
        <v>46262</v>
      </c>
      <c r="B58" t="s">
        <v>415</v>
      </c>
      <c r="C58" t="s">
        <v>364</v>
      </c>
      <c r="G58" s="45">
        <f>Summary!CK2</f>
        <v>7.4007821076187899</v>
      </c>
      <c r="H58" s="54" t="s">
        <v>417</v>
      </c>
    </row>
    <row r="59" spans="1:15" x14ac:dyDescent="0.3">
      <c r="A59" s="64">
        <f t="shared" si="0"/>
        <v>46262</v>
      </c>
      <c r="B59" t="s">
        <v>415</v>
      </c>
      <c r="C59" t="s">
        <v>516</v>
      </c>
      <c r="G59" s="45">
        <f>Summary!CL2</f>
        <v>7.6210095941205838</v>
      </c>
      <c r="H59" s="54" t="s">
        <v>417</v>
      </c>
    </row>
    <row r="60" spans="1:15" x14ac:dyDescent="0.3">
      <c r="A60" s="64">
        <f t="shared" si="0"/>
        <v>46262</v>
      </c>
      <c r="B60" t="s">
        <v>415</v>
      </c>
      <c r="C60" t="s">
        <v>1288</v>
      </c>
      <c r="G60" s="45">
        <f>Summary!CJ3</f>
        <v>7.7723438919104852</v>
      </c>
      <c r="H60" s="54" t="s">
        <v>417</v>
      </c>
    </row>
    <row r="61" spans="1:15" x14ac:dyDescent="0.3">
      <c r="A61" s="64">
        <f t="shared" si="0"/>
        <v>46262</v>
      </c>
      <c r="B61" t="s">
        <v>415</v>
      </c>
      <c r="C61" t="s">
        <v>496</v>
      </c>
      <c r="G61" s="45">
        <f>Summary!CK3</f>
        <v>7.186986459474193</v>
      </c>
      <c r="H61" s="54" t="s">
        <v>417</v>
      </c>
    </row>
    <row r="62" spans="1:15" x14ac:dyDescent="0.3">
      <c r="A62" s="64">
        <f t="shared" si="0"/>
        <v>46262</v>
      </c>
      <c r="B62" t="s">
        <v>415</v>
      </c>
      <c r="C62" t="s">
        <v>1290</v>
      </c>
      <c r="G62" s="45">
        <f>Summary!CL3</f>
        <v>7.4442698783464349</v>
      </c>
      <c r="H62" s="54" t="s">
        <v>417</v>
      </c>
    </row>
    <row r="63" spans="1:15" x14ac:dyDescent="0.3">
      <c r="A63" s="64">
        <f t="shared" si="0"/>
        <v>46262</v>
      </c>
      <c r="B63" t="s">
        <v>1289</v>
      </c>
      <c r="C63" t="s">
        <v>1288</v>
      </c>
      <c r="G63" s="45">
        <f>Summary!CJ5</f>
        <v>7.6532626428803816</v>
      </c>
      <c r="H63" s="54" t="s">
        <v>417</v>
      </c>
    </row>
    <row r="64" spans="1:15" x14ac:dyDescent="0.3">
      <c r="A64" s="64">
        <f t="shared" si="0"/>
        <v>46262</v>
      </c>
      <c r="B64" t="s">
        <v>1289</v>
      </c>
      <c r="C64" t="s">
        <v>496</v>
      </c>
      <c r="G64" s="45">
        <f>Summary!CK5</f>
        <v>7.2168463247270527</v>
      </c>
      <c r="H64" s="54" t="s">
        <v>417</v>
      </c>
    </row>
    <row r="65" spans="1:17" x14ac:dyDescent="0.3">
      <c r="A65" s="64">
        <f t="shared" si="0"/>
        <v>46262</v>
      </c>
      <c r="B65" t="s">
        <v>1289</v>
      </c>
      <c r="C65" t="s">
        <v>1290</v>
      </c>
      <c r="G65" s="45">
        <f>Summary!CL5</f>
        <v>7.5267704106246471</v>
      </c>
      <c r="H65" s="54" t="s">
        <v>417</v>
      </c>
    </row>
    <row r="66" spans="1:17" x14ac:dyDescent="0.3">
      <c r="A66" s="64">
        <f t="shared" si="0"/>
        <v>46262</v>
      </c>
      <c r="B66" t="s">
        <v>419</v>
      </c>
      <c r="C66" t="s">
        <v>498</v>
      </c>
      <c r="G66" s="46">
        <f>SUMIFS(RPBOD3!R:R,RPBOD3!V:V,"FI_CORP_U")/10^9</f>
        <v>0</v>
      </c>
      <c r="H66" s="54" t="s">
        <v>411</v>
      </c>
      <c r="I66" s="88"/>
      <c r="P66" s="15" t="e">
        <f t="shared" si="2"/>
        <v>#VALUE!</v>
      </c>
      <c r="Q66" s="15" t="e">
        <f t="shared" si="3"/>
        <v>#VALUE!</v>
      </c>
    </row>
    <row r="67" spans="1:17" ht="14.95" customHeight="1" x14ac:dyDescent="0.3">
      <c r="A67" s="64">
        <f t="shared" si="0"/>
        <v>46262</v>
      </c>
      <c r="B67" t="s">
        <v>418</v>
      </c>
      <c r="C67" t="s">
        <v>498</v>
      </c>
      <c r="G67" s="46">
        <f>SUMIFS(RPBOD3!S:S,RPBOD3!V:V,"FI_CORP_U")/10^9</f>
        <v>0</v>
      </c>
      <c r="H67" s="54" t="s">
        <v>411</v>
      </c>
      <c r="I67" s="88"/>
      <c r="P67" s="15" t="e">
        <f t="shared" si="2"/>
        <v>#VALUE!</v>
      </c>
      <c r="Q67" s="15" t="e">
        <f t="shared" si="3"/>
        <v>#VALUE!</v>
      </c>
    </row>
    <row r="68" spans="1:17" x14ac:dyDescent="0.3">
      <c r="A68" s="64">
        <f t="shared" si="0"/>
        <v>46262</v>
      </c>
      <c r="B68" t="s">
        <v>419</v>
      </c>
      <c r="C68" t="s">
        <v>497</v>
      </c>
      <c r="G68" s="46">
        <f>SUMIFS(RPBOD3!R:R,RPBOD3!V:V,"FI_CORP_L")/10^9</f>
        <v>0</v>
      </c>
      <c r="H68" s="54" t="s">
        <v>411</v>
      </c>
      <c r="I68" s="88"/>
      <c r="P68" s="15" t="e">
        <f t="shared" si="2"/>
        <v>#VALUE!</v>
      </c>
      <c r="Q68" s="15" t="e">
        <f t="shared" si="3"/>
        <v>#VALUE!</v>
      </c>
    </row>
    <row r="69" spans="1:17" x14ac:dyDescent="0.3">
      <c r="A69" s="64">
        <f t="shared" si="0"/>
        <v>46262</v>
      </c>
      <c r="B69" t="s">
        <v>418</v>
      </c>
      <c r="C69" t="s">
        <v>497</v>
      </c>
      <c r="G69" s="46">
        <f>SUMIFS(RPBOD3!S:S,RPBOD3!V:V,"FI_CORP_L")/10^9</f>
        <v>0</v>
      </c>
      <c r="H69" s="54" t="s">
        <v>411</v>
      </c>
      <c r="P69" s="15" t="e">
        <f t="shared" si="2"/>
        <v>#VALUE!</v>
      </c>
      <c r="Q69" s="15" t="e">
        <f t="shared" si="3"/>
        <v>#VALUE!</v>
      </c>
    </row>
    <row r="70" spans="1:17" x14ac:dyDescent="0.3">
      <c r="A70" s="64">
        <f t="shared" si="0"/>
        <v>46262</v>
      </c>
      <c r="B70" t="s">
        <v>419</v>
      </c>
      <c r="C70" t="s">
        <v>364</v>
      </c>
      <c r="G70" s="46">
        <f>SUMIFS(RPBOD3!R:R,RPBOD3!V:V,"CD")/10^9</f>
        <v>0</v>
      </c>
      <c r="H70" s="54" t="s">
        <v>411</v>
      </c>
      <c r="P70" s="15" t="e">
        <f t="shared" si="2"/>
        <v>#VALUE!</v>
      </c>
      <c r="Q70" s="15" t="e">
        <f t="shared" si="3"/>
        <v>#VALUE!</v>
      </c>
    </row>
    <row r="71" spans="1:17" x14ac:dyDescent="0.3">
      <c r="A71" s="64">
        <f t="shared" si="0"/>
        <v>46262</v>
      </c>
      <c r="B71" t="s">
        <v>418</v>
      </c>
      <c r="C71" t="s">
        <v>364</v>
      </c>
      <c r="G71" s="46">
        <f>SUMIFS(RPBOD3!S:S,RPBOD3!V:V,"CD")/10^9</f>
        <v>0</v>
      </c>
      <c r="H71" s="54" t="s">
        <v>411</v>
      </c>
      <c r="P71" s="15" t="e">
        <f t="shared" si="2"/>
        <v>#VALUE!</v>
      </c>
      <c r="Q71" s="15" t="e">
        <f t="shared" si="3"/>
        <v>#VALUE!</v>
      </c>
    </row>
    <row r="72" spans="1:17" x14ac:dyDescent="0.3">
      <c r="A72" s="64">
        <f t="shared" si="0"/>
        <v>46262</v>
      </c>
      <c r="B72" t="s">
        <v>420</v>
      </c>
      <c r="C72" t="s">
        <v>479</v>
      </c>
      <c r="G72" s="47">
        <f>SUMIFS(DataTT!L:L,DataTT!M:M,C72)/10^9</f>
        <v>2898.5830394300001</v>
      </c>
      <c r="H72" s="54" t="s">
        <v>411</v>
      </c>
      <c r="I72" t="s">
        <v>608</v>
      </c>
      <c r="P72" s="15" t="e">
        <f t="shared" si="2"/>
        <v>#VALUE!</v>
      </c>
      <c r="Q72" s="15" t="e">
        <f t="shared" si="3"/>
        <v>#VALUE!</v>
      </c>
    </row>
    <row r="73" spans="1:17" x14ac:dyDescent="0.3">
      <c r="A73" s="64">
        <f t="shared" si="0"/>
        <v>46262</v>
      </c>
      <c r="B73" t="s">
        <v>420</v>
      </c>
      <c r="C73" t="s">
        <v>557</v>
      </c>
      <c r="G73" s="47">
        <f>SUMIFS(DataTT!L:L,DataTT!M:M,C73)/10^9</f>
        <v>6574.9834855609997</v>
      </c>
      <c r="H73" s="54" t="s">
        <v>411</v>
      </c>
      <c r="I73" t="s">
        <v>610</v>
      </c>
      <c r="P73" s="15" t="e">
        <f t="shared" si="2"/>
        <v>#VALUE!</v>
      </c>
      <c r="Q73" s="15" t="e">
        <f t="shared" si="3"/>
        <v>#VALUE!</v>
      </c>
    </row>
    <row r="74" spans="1:17" x14ac:dyDescent="0.3">
      <c r="A74" s="64">
        <f t="shared" si="0"/>
        <v>46262</v>
      </c>
      <c r="B74" t="s">
        <v>542</v>
      </c>
      <c r="C74" t="s">
        <v>479</v>
      </c>
      <c r="F74" t="s">
        <v>311</v>
      </c>
      <c r="G74" s="25">
        <f>COUNTIFS(AllDealps!AQ:AQ,F74,AllDealps!AP:AP,"&lt;&gt;CD")</f>
        <v>0</v>
      </c>
      <c r="H74" s="54" t="s">
        <v>414</v>
      </c>
      <c r="P74" s="15" t="e">
        <f t="shared" si="2"/>
        <v>#VALUE!</v>
      </c>
      <c r="Q74" s="15" t="e">
        <f t="shared" si="3"/>
        <v>#VALUE!</v>
      </c>
    </row>
    <row r="75" spans="1:17" x14ac:dyDescent="0.3">
      <c r="A75" s="64">
        <f t="shared" si="0"/>
        <v>46262</v>
      </c>
      <c r="B75" t="s">
        <v>542</v>
      </c>
      <c r="C75" t="s">
        <v>479</v>
      </c>
      <c r="F75" t="s">
        <v>300</v>
      </c>
      <c r="G75" s="25">
        <f>COUNTIFS(AllDealps!AQ:AQ,F75,AllDealps!AP:AP,"&lt;&gt;CD")</f>
        <v>0</v>
      </c>
      <c r="H75" s="54" t="s">
        <v>414</v>
      </c>
      <c r="P75" s="15" t="e">
        <f t="shared" ref="P75:P101" si="4">TRIM(MID(N75,FIND("/",N75)+1,FIND("/",N75&amp;"/",FIND("/",N75)+1)-FIND("/",N75)-1))</f>
        <v>#VALUE!</v>
      </c>
      <c r="Q75" s="15" t="e">
        <f t="shared" si="3"/>
        <v>#VALUE!</v>
      </c>
    </row>
    <row r="76" spans="1:17" x14ac:dyDescent="0.3">
      <c r="A76" s="64">
        <f t="shared" si="0"/>
        <v>46262</v>
      </c>
      <c r="B76" t="s">
        <v>542</v>
      </c>
      <c r="C76" t="s">
        <v>479</v>
      </c>
      <c r="F76" t="s">
        <v>311</v>
      </c>
      <c r="G76" s="25">
        <f>SUMIFS(AllDealps!AR:AR,AllDealps!AQ:AQ,F76,AllDealps!AP:AP,"&lt;&gt;CD")/10^9</f>
        <v>0</v>
      </c>
      <c r="H76" s="54" t="s">
        <v>411</v>
      </c>
      <c r="I76" t="s">
        <v>541</v>
      </c>
      <c r="P76" s="15" t="e">
        <f t="shared" si="4"/>
        <v>#VALUE!</v>
      </c>
      <c r="Q76" s="15" t="e">
        <f t="shared" ref="Q76:Q101" si="5">TRIM(RIGHT(N76,LEN(N76)-FIND("@",SUBSTITUTE(N76,"/","@",LEN(N76)-LEN(SUBSTITUTE(N76,"/",""))))))</f>
        <v>#VALUE!</v>
      </c>
    </row>
    <row r="77" spans="1:17" x14ac:dyDescent="0.3">
      <c r="A77" s="64">
        <f t="shared" si="0"/>
        <v>46262</v>
      </c>
      <c r="B77" t="s">
        <v>542</v>
      </c>
      <c r="C77" t="s">
        <v>479</v>
      </c>
      <c r="F77" t="s">
        <v>300</v>
      </c>
      <c r="G77" s="25">
        <f>SUMIFS(AllDealps!AR:AR,AllDealps!AQ:AQ,F77,AllDealps!AP:AP,"&lt;&gt;CD")/10^9</f>
        <v>0</v>
      </c>
      <c r="H77" s="54" t="s">
        <v>411</v>
      </c>
      <c r="I77" t="s">
        <v>541</v>
      </c>
      <c r="P77" s="15" t="e">
        <f t="shared" si="4"/>
        <v>#VALUE!</v>
      </c>
      <c r="Q77" s="15" t="e">
        <f t="shared" si="5"/>
        <v>#VALUE!</v>
      </c>
    </row>
    <row r="78" spans="1:17" x14ac:dyDescent="0.3">
      <c r="A78" s="64">
        <f t="shared" si="0"/>
        <v>46262</v>
      </c>
      <c r="B78" t="s">
        <v>542</v>
      </c>
      <c r="C78" t="s">
        <v>364</v>
      </c>
      <c r="F78" t="s">
        <v>311</v>
      </c>
      <c r="G78" s="25">
        <f>COUNTIFS(AllDealps!AQ:AQ,F78,AllDealps!AP:AP,"CD")</f>
        <v>0</v>
      </c>
      <c r="H78" s="54" t="s">
        <v>414</v>
      </c>
      <c r="P78" s="15" t="e">
        <f t="shared" si="4"/>
        <v>#VALUE!</v>
      </c>
      <c r="Q78" s="15" t="e">
        <f t="shared" si="5"/>
        <v>#VALUE!</v>
      </c>
    </row>
    <row r="79" spans="1:17" x14ac:dyDescent="0.3">
      <c r="A79" s="64">
        <f t="shared" si="0"/>
        <v>46262</v>
      </c>
      <c r="B79" t="s">
        <v>542</v>
      </c>
      <c r="C79" t="s">
        <v>364</v>
      </c>
      <c r="F79" t="s">
        <v>300</v>
      </c>
      <c r="G79" s="25">
        <f>COUNTIFS(AllDealps!AQ:AQ,F79,AllDealps!AP:AP,"CD")</f>
        <v>0</v>
      </c>
      <c r="H79" s="54" t="s">
        <v>414</v>
      </c>
      <c r="P79" s="15" t="e">
        <f t="shared" si="4"/>
        <v>#VALUE!</v>
      </c>
      <c r="Q79" s="15" t="e">
        <f t="shared" si="5"/>
        <v>#VALUE!</v>
      </c>
    </row>
    <row r="80" spans="1:17" x14ac:dyDescent="0.3">
      <c r="A80" s="64">
        <f t="shared" si="0"/>
        <v>46262</v>
      </c>
      <c r="B80" t="s">
        <v>542</v>
      </c>
      <c r="C80" t="s">
        <v>364</v>
      </c>
      <c r="F80" t="s">
        <v>311</v>
      </c>
      <c r="G80" s="25">
        <f>SUMIFS(AllDealps!AR:AR,AllDealps!AQ:AQ,F80,AllDealps!AP:AP,"CD")/10^9</f>
        <v>0</v>
      </c>
      <c r="H80" s="54" t="s">
        <v>411</v>
      </c>
      <c r="I80" t="s">
        <v>541</v>
      </c>
      <c r="P80" s="15" t="e">
        <f t="shared" si="4"/>
        <v>#VALUE!</v>
      </c>
      <c r="Q80" s="15" t="e">
        <f t="shared" si="5"/>
        <v>#VALUE!</v>
      </c>
    </row>
    <row r="81" spans="1:17" x14ac:dyDescent="0.3">
      <c r="A81" s="64">
        <f t="shared" si="0"/>
        <v>46262</v>
      </c>
      <c r="B81" t="s">
        <v>542</v>
      </c>
      <c r="C81" t="s">
        <v>364</v>
      </c>
      <c r="F81" t="s">
        <v>300</v>
      </c>
      <c r="G81" s="25">
        <f>SUMIFS(AllDealps!AR:AR,AllDealps!AQ:AQ,F81,AllDealps!AP:AP,"CD")/10^9</f>
        <v>0</v>
      </c>
      <c r="H81" s="54" t="s">
        <v>411</v>
      </c>
      <c r="I81" t="s">
        <v>541</v>
      </c>
      <c r="P81" s="15" t="e">
        <f t="shared" si="4"/>
        <v>#VALUE!</v>
      </c>
      <c r="Q81" s="15" t="e">
        <f t="shared" si="5"/>
        <v>#VALUE!</v>
      </c>
    </row>
    <row r="82" spans="1:17" x14ac:dyDescent="0.3">
      <c r="A82" s="64">
        <f t="shared" si="0"/>
        <v>46262</v>
      </c>
      <c r="B82" t="s">
        <v>530</v>
      </c>
      <c r="C82" t="s">
        <v>479</v>
      </c>
      <c r="F82" t="s">
        <v>311</v>
      </c>
      <c r="G82" s="25">
        <f>COUNTIFS(AllDealps!AJ:AJ,"&lt;&gt;CD",AllDealps!AG:AG,F82)</f>
        <v>0</v>
      </c>
      <c r="H82" s="54" t="s">
        <v>414</v>
      </c>
      <c r="P82" s="15" t="e">
        <f t="shared" si="4"/>
        <v>#VALUE!</v>
      </c>
      <c r="Q82" s="15" t="e">
        <f t="shared" si="5"/>
        <v>#VALUE!</v>
      </c>
    </row>
    <row r="83" spans="1:17" x14ac:dyDescent="0.3">
      <c r="A83" s="64">
        <f t="shared" si="0"/>
        <v>46262</v>
      </c>
      <c r="B83" t="s">
        <v>530</v>
      </c>
      <c r="C83" t="s">
        <v>479</v>
      </c>
      <c r="F83" t="s">
        <v>300</v>
      </c>
      <c r="G83" s="25">
        <f>COUNTIFS(AllDealps!AJ:AJ,"&lt;&gt;CD",AllDealps!AG:AG,F83)</f>
        <v>0</v>
      </c>
      <c r="H83" s="54" t="s">
        <v>414</v>
      </c>
      <c r="P83" s="15" t="e">
        <f t="shared" si="4"/>
        <v>#VALUE!</v>
      </c>
      <c r="Q83" s="15" t="e">
        <f t="shared" si="5"/>
        <v>#VALUE!</v>
      </c>
    </row>
    <row r="84" spans="1:17" x14ac:dyDescent="0.3">
      <c r="A84" s="64">
        <f t="shared" si="0"/>
        <v>46262</v>
      </c>
      <c r="B84" t="s">
        <v>530</v>
      </c>
      <c r="C84" t="s">
        <v>479</v>
      </c>
      <c r="F84" t="s">
        <v>311</v>
      </c>
      <c r="G84" s="25">
        <f>SUMIFS(AllDealps!AH:AH,AllDealps!AJ:AJ,"&lt;&gt;CD",AllDealps!AG:AG,F84)/10^9</f>
        <v>0</v>
      </c>
      <c r="H84" s="54" t="s">
        <v>411</v>
      </c>
      <c r="P84" s="15" t="e">
        <f t="shared" si="4"/>
        <v>#VALUE!</v>
      </c>
      <c r="Q84" s="15" t="e">
        <f t="shared" si="5"/>
        <v>#VALUE!</v>
      </c>
    </row>
    <row r="85" spans="1:17" x14ac:dyDescent="0.3">
      <c r="A85" s="64">
        <f t="shared" si="0"/>
        <v>46262</v>
      </c>
      <c r="B85" t="s">
        <v>530</v>
      </c>
      <c r="C85" t="s">
        <v>479</v>
      </c>
      <c r="F85" t="s">
        <v>300</v>
      </c>
      <c r="G85" s="25">
        <f>SUMIFS(AllDealps!AH:AH,AllDealps!AJ:AJ,"&lt;&gt;CD",AllDealps!AG:AG,F85)/10^9</f>
        <v>0</v>
      </c>
      <c r="H85" s="54" t="s">
        <v>411</v>
      </c>
      <c r="P85" s="15" t="e">
        <f t="shared" si="4"/>
        <v>#VALUE!</v>
      </c>
      <c r="Q85" s="15" t="e">
        <f t="shared" si="5"/>
        <v>#VALUE!</v>
      </c>
    </row>
    <row r="86" spans="1:17" x14ac:dyDescent="0.3">
      <c r="A86" s="64">
        <f t="shared" si="0"/>
        <v>46262</v>
      </c>
      <c r="B86" t="s">
        <v>530</v>
      </c>
      <c r="C86" t="s">
        <v>364</v>
      </c>
      <c r="F86" t="s">
        <v>311</v>
      </c>
      <c r="G86" s="25">
        <f>COUNTIFS(AllDealps!AJ:AJ,"CD",AllDealps!AG:AG,F86)</f>
        <v>0</v>
      </c>
      <c r="H86" s="54" t="s">
        <v>414</v>
      </c>
      <c r="P86" s="15" t="e">
        <f t="shared" si="4"/>
        <v>#VALUE!</v>
      </c>
      <c r="Q86" s="15" t="e">
        <f t="shared" si="5"/>
        <v>#VALUE!</v>
      </c>
    </row>
    <row r="87" spans="1:17" x14ac:dyDescent="0.3">
      <c r="A87" s="64">
        <f t="shared" si="0"/>
        <v>46262</v>
      </c>
      <c r="B87" t="s">
        <v>530</v>
      </c>
      <c r="C87" t="s">
        <v>364</v>
      </c>
      <c r="F87" t="s">
        <v>300</v>
      </c>
      <c r="G87" s="25">
        <f>COUNTIFS(AllDealps!AJ:AJ,"CD",AllDealps!AG:AG,F87)</f>
        <v>0</v>
      </c>
      <c r="H87" s="54" t="s">
        <v>414</v>
      </c>
      <c r="P87" s="15" t="e">
        <f t="shared" si="4"/>
        <v>#VALUE!</v>
      </c>
      <c r="Q87" s="15" t="e">
        <f t="shared" si="5"/>
        <v>#VALUE!</v>
      </c>
    </row>
    <row r="88" spans="1:17" x14ac:dyDescent="0.3">
      <c r="A88" s="64">
        <f t="shared" si="0"/>
        <v>46262</v>
      </c>
      <c r="B88" t="s">
        <v>530</v>
      </c>
      <c r="C88" t="s">
        <v>364</v>
      </c>
      <c r="F88" t="s">
        <v>311</v>
      </c>
      <c r="G88" s="25">
        <f>SUMIFS(AllDealps!AH:AH,AllDealps!AJ:AJ,"CD",AllDealps!AG:AG,F88)/10^9</f>
        <v>0</v>
      </c>
      <c r="H88" s="54" t="s">
        <v>411</v>
      </c>
      <c r="P88" s="15" t="e">
        <f t="shared" si="4"/>
        <v>#VALUE!</v>
      </c>
      <c r="Q88" s="15" t="e">
        <f t="shared" si="5"/>
        <v>#VALUE!</v>
      </c>
    </row>
    <row r="89" spans="1:17" x14ac:dyDescent="0.3">
      <c r="A89" s="64">
        <f t="shared" si="0"/>
        <v>46262</v>
      </c>
      <c r="B89" t="s">
        <v>530</v>
      </c>
      <c r="C89" t="s">
        <v>364</v>
      </c>
      <c r="F89" t="s">
        <v>300</v>
      </c>
      <c r="G89" s="25">
        <f>SUMIFS(AllDealps!AH:AH,AllDealps!AJ:AJ,"CD",AllDealps!AG:AG,F89)/10^9</f>
        <v>0</v>
      </c>
      <c r="H89" s="54" t="s">
        <v>411</v>
      </c>
      <c r="P89" s="15" t="e">
        <f t="shared" si="4"/>
        <v>#VALUE!</v>
      </c>
      <c r="Q89" s="15" t="e">
        <f t="shared" si="5"/>
        <v>#VALUE!</v>
      </c>
    </row>
    <row r="90" spans="1:17" x14ac:dyDescent="0.3">
      <c r="A90" s="64">
        <f t="shared" si="0"/>
        <v>46262</v>
      </c>
      <c r="B90" t="s">
        <v>600</v>
      </c>
      <c r="C90" t="s">
        <v>364</v>
      </c>
      <c r="G90" s="25">
        <f>-Summary!BG3</f>
        <v>0</v>
      </c>
      <c r="H90" s="54" t="s">
        <v>411</v>
      </c>
      <c r="P90" s="15" t="e">
        <f t="shared" si="4"/>
        <v>#VALUE!</v>
      </c>
      <c r="Q90" s="15" t="e">
        <f t="shared" si="5"/>
        <v>#VALUE!</v>
      </c>
    </row>
    <row r="91" spans="1:17" x14ac:dyDescent="0.3">
      <c r="A91" s="64">
        <f t="shared" si="0"/>
        <v>46262</v>
      </c>
      <c r="B91" t="s">
        <v>600</v>
      </c>
      <c r="C91" t="s">
        <v>498</v>
      </c>
      <c r="G91" s="25">
        <f>-Summary!BG4</f>
        <v>0</v>
      </c>
      <c r="H91" s="54" t="s">
        <v>411</v>
      </c>
      <c r="P91" s="15" t="e">
        <f t="shared" si="4"/>
        <v>#VALUE!</v>
      </c>
      <c r="Q91" s="15" t="e">
        <f t="shared" si="5"/>
        <v>#VALUE!</v>
      </c>
    </row>
    <row r="92" spans="1:17" x14ac:dyDescent="0.3">
      <c r="A92" s="64">
        <f t="shared" si="0"/>
        <v>46262</v>
      </c>
      <c r="B92" t="s">
        <v>600</v>
      </c>
      <c r="C92" t="s">
        <v>497</v>
      </c>
      <c r="G92" s="25">
        <f>-Summary!BG5</f>
        <v>0</v>
      </c>
      <c r="H92" s="54" t="s">
        <v>411</v>
      </c>
      <c r="P92" s="15" t="e">
        <f t="shared" si="4"/>
        <v>#VALUE!</v>
      </c>
      <c r="Q92" s="15" t="e">
        <f t="shared" si="5"/>
        <v>#VALUE!</v>
      </c>
    </row>
    <row r="93" spans="1:17" x14ac:dyDescent="0.3">
      <c r="A93" s="64">
        <f t="shared" si="0"/>
        <v>46262</v>
      </c>
      <c r="B93" t="s">
        <v>598</v>
      </c>
      <c r="F93" t="s">
        <v>590</v>
      </c>
      <c r="G93" s="46">
        <f>IFERROR(SUMPRODUCT('Repo'!L:L,'Repo'!N:N)/SUM('Repo'!L:L),0)</f>
        <v>7.5162614832271446</v>
      </c>
      <c r="H93" s="54" t="s">
        <v>417</v>
      </c>
      <c r="P93" s="15" t="e">
        <f t="shared" si="4"/>
        <v>#VALUE!</v>
      </c>
      <c r="Q93" s="15" t="e">
        <f t="shared" si="5"/>
        <v>#VALUE!</v>
      </c>
    </row>
    <row r="94" spans="1:17" x14ac:dyDescent="0.3">
      <c r="A94" s="64">
        <f t="shared" si="0"/>
        <v>46262</v>
      </c>
      <c r="B94" t="s">
        <v>399</v>
      </c>
      <c r="F94" t="s">
        <v>590</v>
      </c>
      <c r="G94" s="25">
        <f>SUM('Repo'!K:K)/10^9</f>
        <v>3100</v>
      </c>
      <c r="H94" s="54" t="s">
        <v>411</v>
      </c>
      <c r="P94" s="15" t="e">
        <f t="shared" si="4"/>
        <v>#VALUE!</v>
      </c>
      <c r="Q94" s="15" t="e">
        <f t="shared" si="5"/>
        <v>#VALUE!</v>
      </c>
    </row>
    <row r="95" spans="1:17" x14ac:dyDescent="0.3">
      <c r="A95" s="64">
        <f t="shared" si="0"/>
        <v>46262</v>
      </c>
      <c r="B95" t="s">
        <v>597</v>
      </c>
      <c r="F95" t="s">
        <v>590</v>
      </c>
      <c r="G95" s="46">
        <f>SUM('Repo'!L:L)/10^9</f>
        <v>2909.9234042200001</v>
      </c>
      <c r="H95" s="54" t="s">
        <v>411</v>
      </c>
      <c r="P95" s="15" t="e">
        <f t="shared" si="4"/>
        <v>#VALUE!</v>
      </c>
      <c r="Q95" s="15" t="e">
        <f t="shared" si="5"/>
        <v>#VALUE!</v>
      </c>
    </row>
    <row r="96" spans="1:17" x14ac:dyDescent="0.3">
      <c r="A96" s="64">
        <f t="shared" si="0"/>
        <v>46262</v>
      </c>
      <c r="B96" t="s">
        <v>677</v>
      </c>
      <c r="G96" s="46">
        <f>Rating!P2*100</f>
        <v>25.503373138792192</v>
      </c>
      <c r="H96" s="54" t="s">
        <v>417</v>
      </c>
      <c r="P96" s="15" t="e">
        <f t="shared" si="4"/>
        <v>#VALUE!</v>
      </c>
      <c r="Q96" s="15" t="e">
        <f t="shared" si="5"/>
        <v>#VALUE!</v>
      </c>
    </row>
    <row r="97" spans="1:17" x14ac:dyDescent="0.3">
      <c r="A97" s="64">
        <f t="shared" si="0"/>
        <v>46262</v>
      </c>
      <c r="B97" t="s">
        <v>678</v>
      </c>
      <c r="G97" s="46">
        <f>Rating!P3*100</f>
        <v>41.86685099055898</v>
      </c>
      <c r="H97" s="54" t="s">
        <v>417</v>
      </c>
      <c r="P97" s="15" t="e">
        <f t="shared" si="4"/>
        <v>#VALUE!</v>
      </c>
      <c r="Q97" s="15" t="e">
        <f t="shared" si="5"/>
        <v>#VALUE!</v>
      </c>
    </row>
    <row r="98" spans="1:17" x14ac:dyDescent="0.3">
      <c r="A98" s="64">
        <f t="shared" si="0"/>
        <v>46262</v>
      </c>
      <c r="B98" t="s">
        <v>676</v>
      </c>
      <c r="G98" s="46">
        <f>Rating!P4*100</f>
        <v>63.888112200525249</v>
      </c>
      <c r="H98" s="54" t="s">
        <v>417</v>
      </c>
      <c r="P98" s="15" t="e">
        <f t="shared" si="4"/>
        <v>#VALUE!</v>
      </c>
      <c r="Q98" s="15" t="e">
        <f t="shared" si="5"/>
        <v>#VALUE!</v>
      </c>
    </row>
    <row r="99" spans="1:17" x14ac:dyDescent="0.3">
      <c r="A99" s="64">
        <f t="shared" si="0"/>
        <v>46262</v>
      </c>
      <c r="B99" t="s">
        <v>631</v>
      </c>
      <c r="G99" s="46">
        <f>Rating!P5*100</f>
        <v>80.596240950603331</v>
      </c>
      <c r="H99" s="54" t="s">
        <v>417</v>
      </c>
      <c r="P99" s="15" t="e">
        <f t="shared" si="4"/>
        <v>#VALUE!</v>
      </c>
      <c r="Q99" s="15" t="e">
        <f t="shared" si="5"/>
        <v>#VALUE!</v>
      </c>
    </row>
    <row r="100" spans="1:17" x14ac:dyDescent="0.3">
      <c r="A100" s="64">
        <f t="shared" si="0"/>
        <v>46262</v>
      </c>
      <c r="B100" t="s">
        <v>679</v>
      </c>
      <c r="G100" s="46">
        <f>Rating!P6*100</f>
        <v>95.873490915017427</v>
      </c>
      <c r="H100" s="54" t="s">
        <v>417</v>
      </c>
      <c r="P100" s="15" t="e">
        <f t="shared" si="4"/>
        <v>#VALUE!</v>
      </c>
      <c r="Q100" s="15" t="e">
        <f t="shared" si="5"/>
        <v>#VALUE!</v>
      </c>
    </row>
    <row r="101" spans="1:17" x14ac:dyDescent="0.3">
      <c r="A101" s="64">
        <f t="shared" si="0"/>
        <v>46262</v>
      </c>
      <c r="B101" t="s">
        <v>680</v>
      </c>
      <c r="G101" s="46">
        <f>Rating!P7*100</f>
        <v>98.626148566263211</v>
      </c>
      <c r="H101" s="54" t="s">
        <v>417</v>
      </c>
      <c r="P101" s="15" t="e">
        <f t="shared" si="4"/>
        <v>#VALUE!</v>
      </c>
      <c r="Q101" s="15" t="e">
        <f t="shared" si="5"/>
        <v>#VALUE!</v>
      </c>
    </row>
    <row r="102" spans="1:17" x14ac:dyDescent="0.3">
      <c r="A102" s="64">
        <f t="shared" si="0"/>
        <v>46262</v>
      </c>
      <c r="B102" t="s">
        <v>1103</v>
      </c>
      <c r="G102" s="170">
        <f>SUM(Ref!Q:Q)/10^9</f>
        <v>6500</v>
      </c>
      <c r="H102" s="54" t="s">
        <v>411</v>
      </c>
    </row>
    <row r="103" spans="1:17" x14ac:dyDescent="0.3">
      <c r="A103" s="64">
        <f t="shared" si="0"/>
        <v>46262</v>
      </c>
      <c r="B103" t="s">
        <v>1000</v>
      </c>
      <c r="G103" s="170">
        <f>SUM(Ref!Q:Q)/10^9</f>
        <v>6500</v>
      </c>
      <c r="H103" s="54" t="s">
        <v>411</v>
      </c>
    </row>
    <row r="104" spans="1:17" x14ac:dyDescent="0.3">
      <c r="A104" s="64">
        <f t="shared" si="0"/>
        <v>46262</v>
      </c>
      <c r="B104" t="s">
        <v>997</v>
      </c>
      <c r="C104" t="s">
        <v>364</v>
      </c>
      <c r="G104" s="170">
        <f>Summary!AN3</f>
        <v>30699.1</v>
      </c>
      <c r="H104" s="54" t="s">
        <v>411</v>
      </c>
    </row>
    <row r="105" spans="1:17" x14ac:dyDescent="0.3">
      <c r="A105" s="64">
        <f t="shared" si="0"/>
        <v>46262</v>
      </c>
      <c r="B105" t="s">
        <v>997</v>
      </c>
      <c r="C105" s="67" t="s">
        <v>496</v>
      </c>
      <c r="G105" s="170">
        <f>Summary!BM7</f>
        <v>20361.099999999999</v>
      </c>
      <c r="H105" s="54" t="s">
        <v>411</v>
      </c>
    </row>
    <row r="106" spans="1:17" x14ac:dyDescent="0.3">
      <c r="A106" s="64">
        <f t="shared" si="0"/>
        <v>46262</v>
      </c>
      <c r="B106" t="s">
        <v>997</v>
      </c>
      <c r="C106" s="67" t="s">
        <v>1388</v>
      </c>
      <c r="G106" s="170">
        <f>Summary!J2</f>
        <v>15397.6106</v>
      </c>
      <c r="H106" s="54" t="s">
        <v>411</v>
      </c>
    </row>
    <row r="107" spans="1:17" x14ac:dyDescent="0.3">
      <c r="A107" s="64">
        <f t="shared" si="0"/>
        <v>46262</v>
      </c>
      <c r="B107" t="s">
        <v>997</v>
      </c>
      <c r="C107" s="67" t="s">
        <v>1389</v>
      </c>
      <c r="G107" s="170">
        <f>+Summary!BM5</f>
        <v>15000</v>
      </c>
      <c r="H107" s="54" t="s">
        <v>411</v>
      </c>
    </row>
    <row r="108" spans="1:17" x14ac:dyDescent="0.3">
      <c r="A108" s="64">
        <f t="shared" si="0"/>
        <v>46262</v>
      </c>
      <c r="B108" t="s">
        <v>997</v>
      </c>
      <c r="C108" s="67" t="s">
        <v>1390</v>
      </c>
      <c r="G108" s="170">
        <f>Summary!BM6</f>
        <v>397.61059999999998</v>
      </c>
      <c r="H108" s="54" t="s">
        <v>411</v>
      </c>
    </row>
    <row r="109" spans="1:17" x14ac:dyDescent="0.3">
      <c r="A109" s="64">
        <f t="shared" si="0"/>
        <v>46262</v>
      </c>
      <c r="B109" t="s">
        <v>1111</v>
      </c>
      <c r="C109" t="s">
        <v>364</v>
      </c>
      <c r="G109" s="126">
        <f>SUMIFS(FNRP!BA:BA,FNRP!BA:BA,"&lt;0")/10^9</f>
        <v>0</v>
      </c>
      <c r="H109" s="54" t="s">
        <v>411</v>
      </c>
      <c r="I109" t="s">
        <v>1112</v>
      </c>
    </row>
    <row r="110" spans="1:17" x14ac:dyDescent="0.3">
      <c r="A110" s="64">
        <f t="shared" si="0"/>
        <v>46262</v>
      </c>
      <c r="B110" t="s">
        <v>1111</v>
      </c>
      <c r="C110" t="s">
        <v>479</v>
      </c>
      <c r="G110" s="170">
        <f>SUMIFS(FNRP!J:J,FNRP!J:J,"&lt;0")/10^9</f>
        <v>0</v>
      </c>
      <c r="H110" s="54" t="s">
        <v>411</v>
      </c>
      <c r="I110" t="s">
        <v>1113</v>
      </c>
    </row>
    <row r="111" spans="1:17" x14ac:dyDescent="0.3">
      <c r="A111" s="64">
        <f t="shared" ref="A111:A150" si="6">RPT</f>
        <v>46262</v>
      </c>
      <c r="B111" t="s">
        <v>1345</v>
      </c>
      <c r="G111" s="397">
        <f>_xlfn.XLOOKUP(B111,FIBond_Daohan[Indicator 1],FIBond_Daohan[Yield bình quân],0)</f>
        <v>0</v>
      </c>
      <c r="H111" s="54" t="s">
        <v>417</v>
      </c>
      <c r="P111" s="15" t="e">
        <f t="shared" ref="P111:P122" si="7">TRIM(MID(N111,FIND("/",N111)+1,FIND("/",N111&amp;"/",FIND("/",N111)+1)-FIND("/",N111)-1))</f>
        <v>#VALUE!</v>
      </c>
      <c r="Q111" s="15" t="e">
        <f t="shared" ref="Q111:Q122" si="8">TRIM(RIGHT(N111,LEN(N111)-FIND("@",SUBSTITUTE(N111,"/","@",LEN(N111)-LEN(SUBSTITUTE(N111,"/",""))))))</f>
        <v>#VALUE!</v>
      </c>
    </row>
    <row r="112" spans="1:17" x14ac:dyDescent="0.3">
      <c r="A112" s="64">
        <f t="shared" si="6"/>
        <v>46262</v>
      </c>
      <c r="B112" t="s">
        <v>1346</v>
      </c>
      <c r="G112" s="397">
        <f>_xlfn.XLOOKUP(B112,FIBond_Daohan[Indicator 1],FIBond_Daohan[Yield bình quân],0)</f>
        <v>0</v>
      </c>
      <c r="H112" s="54" t="s">
        <v>417</v>
      </c>
      <c r="P112" s="15" t="e">
        <f t="shared" si="7"/>
        <v>#VALUE!</v>
      </c>
      <c r="Q112" s="15" t="e">
        <f t="shared" si="8"/>
        <v>#VALUE!</v>
      </c>
    </row>
    <row r="113" spans="1:17" x14ac:dyDescent="0.3">
      <c r="A113" s="64">
        <f t="shared" si="6"/>
        <v>46262</v>
      </c>
      <c r="B113" t="s">
        <v>1347</v>
      </c>
      <c r="G113" s="397">
        <f>_xlfn.XLOOKUP(B113,FIBond_Daohan[Indicator 1],FIBond_Daohan[Yield bình quân],0)</f>
        <v>0</v>
      </c>
      <c r="H113" s="54" t="s">
        <v>417</v>
      </c>
      <c r="P113" s="15" t="e">
        <f t="shared" si="7"/>
        <v>#VALUE!</v>
      </c>
      <c r="Q113" s="15" t="e">
        <f t="shared" si="8"/>
        <v>#VALUE!</v>
      </c>
    </row>
    <row r="114" spans="1:17" x14ac:dyDescent="0.3">
      <c r="A114" s="64">
        <f t="shared" si="6"/>
        <v>46262</v>
      </c>
      <c r="B114" t="s">
        <v>1348</v>
      </c>
      <c r="G114" s="397">
        <f>_xlfn.XLOOKUP(B114,FIBond_Daohan[Indicator 1],FIBond_Daohan[Yield bình quân],0)</f>
        <v>0</v>
      </c>
      <c r="H114" s="54" t="s">
        <v>417</v>
      </c>
      <c r="P114" s="15" t="e">
        <f t="shared" si="7"/>
        <v>#VALUE!</v>
      </c>
      <c r="Q114" s="15" t="e">
        <f t="shared" si="8"/>
        <v>#VALUE!</v>
      </c>
    </row>
    <row r="115" spans="1:17" x14ac:dyDescent="0.3">
      <c r="A115" s="64">
        <f t="shared" si="6"/>
        <v>46262</v>
      </c>
      <c r="B115" t="s">
        <v>1349</v>
      </c>
      <c r="G115" s="397">
        <f>_xlfn.XLOOKUP(B115,FIBond_Daohan[Indicator 1],FIBond_Daohan[Yield bình quân],0)</f>
        <v>0</v>
      </c>
      <c r="H115" s="54" t="s">
        <v>417</v>
      </c>
      <c r="P115" s="15" t="e">
        <f t="shared" si="7"/>
        <v>#VALUE!</v>
      </c>
      <c r="Q115" s="15" t="e">
        <f t="shared" si="8"/>
        <v>#VALUE!</v>
      </c>
    </row>
    <row r="116" spans="1:17" x14ac:dyDescent="0.3">
      <c r="A116" s="64">
        <f t="shared" si="6"/>
        <v>46262</v>
      </c>
      <c r="B116" t="s">
        <v>1350</v>
      </c>
      <c r="G116" s="397">
        <f>_xlfn.XLOOKUP(B116,FIBond_Daohan[Indicator 1],FIBond_Daohan[Yield bình quân],0)</f>
        <v>0</v>
      </c>
      <c r="H116" s="54" t="s">
        <v>417</v>
      </c>
    </row>
    <row r="117" spans="1:17" x14ac:dyDescent="0.3">
      <c r="A117" s="64">
        <f t="shared" si="6"/>
        <v>46262</v>
      </c>
      <c r="B117" t="s">
        <v>1339</v>
      </c>
      <c r="G117" s="397">
        <f>_xlfn.XLOOKUP(B117,FIBond_Daohan[Indicator 1],FIBond_Daohan[Yield bình quân],0)</f>
        <v>0</v>
      </c>
      <c r="H117" s="54" t="s">
        <v>417</v>
      </c>
      <c r="P117" s="15" t="e">
        <f t="shared" si="7"/>
        <v>#VALUE!</v>
      </c>
      <c r="Q117" s="15" t="e">
        <f t="shared" si="8"/>
        <v>#VALUE!</v>
      </c>
    </row>
    <row r="118" spans="1:17" x14ac:dyDescent="0.3">
      <c r="A118" s="64">
        <f t="shared" si="6"/>
        <v>46262</v>
      </c>
      <c r="B118" t="s">
        <v>1340</v>
      </c>
      <c r="G118" s="397">
        <f>_xlfn.XLOOKUP(B118,FIBond_Daohan[Indicator 1],FIBond_Daohan[Yield bình quân],0)</f>
        <v>7.4086653333604575</v>
      </c>
      <c r="H118" s="54" t="s">
        <v>417</v>
      </c>
      <c r="P118" s="15" t="e">
        <f t="shared" si="7"/>
        <v>#VALUE!</v>
      </c>
      <c r="Q118" s="15" t="e">
        <f t="shared" si="8"/>
        <v>#VALUE!</v>
      </c>
    </row>
    <row r="119" spans="1:17" x14ac:dyDescent="0.3">
      <c r="A119" s="64">
        <f t="shared" si="6"/>
        <v>46262</v>
      </c>
      <c r="B119" t="s">
        <v>1341</v>
      </c>
      <c r="G119" s="397">
        <f>_xlfn.XLOOKUP(B119,FIBond_Daohan[Indicator 1],FIBond_Daohan[Yield bình quân],0)</f>
        <v>7.5466607831665442</v>
      </c>
      <c r="H119" s="54" t="s">
        <v>417</v>
      </c>
      <c r="P119" s="15" t="e">
        <f t="shared" si="7"/>
        <v>#VALUE!</v>
      </c>
      <c r="Q119" s="15" t="e">
        <f t="shared" si="8"/>
        <v>#VALUE!</v>
      </c>
    </row>
    <row r="120" spans="1:17" x14ac:dyDescent="0.3">
      <c r="A120" s="64">
        <f t="shared" si="6"/>
        <v>46262</v>
      </c>
      <c r="B120" t="s">
        <v>1342</v>
      </c>
      <c r="G120" s="397">
        <f>_xlfn.XLOOKUP(B120,FIBond_Daohan[Indicator 1],FIBond_Daohan[Yield bình quân],0)</f>
        <v>7.6233055744363618</v>
      </c>
      <c r="H120" s="54" t="s">
        <v>417</v>
      </c>
      <c r="P120" s="15" t="e">
        <f t="shared" si="7"/>
        <v>#VALUE!</v>
      </c>
      <c r="Q120" s="15" t="e">
        <f t="shared" si="8"/>
        <v>#VALUE!</v>
      </c>
    </row>
    <row r="121" spans="1:17" x14ac:dyDescent="0.3">
      <c r="A121" s="64">
        <f t="shared" si="6"/>
        <v>46262</v>
      </c>
      <c r="B121" t="s">
        <v>1343</v>
      </c>
      <c r="G121" s="397">
        <f>_xlfn.XLOOKUP(B121,FIBond_Daohan[Indicator 1],FIBond_Daohan[Yield bình quân],0)</f>
        <v>7.9324279756730167</v>
      </c>
      <c r="H121" s="54" t="s">
        <v>417</v>
      </c>
      <c r="P121" s="15" t="e">
        <f t="shared" si="7"/>
        <v>#VALUE!</v>
      </c>
      <c r="Q121" s="15" t="e">
        <f t="shared" si="8"/>
        <v>#VALUE!</v>
      </c>
    </row>
    <row r="122" spans="1:17" x14ac:dyDescent="0.3">
      <c r="A122" s="64">
        <f t="shared" si="6"/>
        <v>46262</v>
      </c>
      <c r="B122" t="s">
        <v>1344</v>
      </c>
      <c r="G122" s="397">
        <f>_xlfn.XLOOKUP(B122,FIBond_Daohan[Indicator 1],FIBond_Daohan[Yield bình quân],0)</f>
        <v>8.0577458056790796</v>
      </c>
      <c r="H122" s="54" t="s">
        <v>417</v>
      </c>
      <c r="P122" s="15" t="e">
        <f t="shared" si="7"/>
        <v>#VALUE!</v>
      </c>
      <c r="Q122" s="15" t="e">
        <f t="shared" si="8"/>
        <v>#VALUE!</v>
      </c>
    </row>
    <row r="123" spans="1:17" x14ac:dyDescent="0.3">
      <c r="A123" s="64">
        <f t="shared" si="6"/>
        <v>46262</v>
      </c>
      <c r="B123" t="s">
        <v>1351</v>
      </c>
      <c r="G123" s="397">
        <f>_xlfn.XLOOKUP(B123,FIBond_Daohan[Indicator 1],FIBond_Daohan[Yield bình quân],0)</f>
        <v>8.1300298903480357</v>
      </c>
      <c r="H123" s="54" t="s">
        <v>417</v>
      </c>
    </row>
    <row r="124" spans="1:17" x14ac:dyDescent="0.3">
      <c r="A124" s="64">
        <f t="shared" si="6"/>
        <v>46262</v>
      </c>
      <c r="B124" t="s">
        <v>1352</v>
      </c>
      <c r="G124" s="397">
        <f>_xlfn.XLOOKUP(B124,FIBond_Daohan[Indicator 1],FIBond_Daohan[Yield bình quân],0)</f>
        <v>8.2182541128385207</v>
      </c>
      <c r="H124" s="54" t="s">
        <v>417</v>
      </c>
    </row>
    <row r="125" spans="1:17" x14ac:dyDescent="0.3">
      <c r="A125" s="64">
        <f t="shared" si="6"/>
        <v>46262</v>
      </c>
      <c r="B125" t="s">
        <v>1353</v>
      </c>
      <c r="G125" s="397">
        <f>_xlfn.XLOOKUP(B125,FIBond_Daohan[Indicator 1],FIBond_Daohan[Yield bình quân],0)</f>
        <v>8.2071503742470409</v>
      </c>
      <c r="H125" s="54" t="s">
        <v>417</v>
      </c>
    </row>
    <row r="126" spans="1:17" x14ac:dyDescent="0.3">
      <c r="A126" s="64">
        <f t="shared" si="6"/>
        <v>46262</v>
      </c>
      <c r="B126" t="s">
        <v>1354</v>
      </c>
      <c r="G126" s="397">
        <f>_xlfn.XLOOKUP(B126,FIBond_Daohan[Indicator 1],FIBond_Daohan[Yield bình quân],0)</f>
        <v>8.1860827350967096</v>
      </c>
      <c r="H126" s="54" t="s">
        <v>417</v>
      </c>
    </row>
    <row r="127" spans="1:17" x14ac:dyDescent="0.3">
      <c r="A127" s="64">
        <f t="shared" si="6"/>
        <v>46262</v>
      </c>
      <c r="B127" t="s">
        <v>1355</v>
      </c>
      <c r="G127" s="397">
        <f>_xlfn.XLOOKUP(B127,FIBond_Daohan[Indicator 1],FIBond_Daohan[Yield bình quân],0)</f>
        <v>8.0942979098933048</v>
      </c>
      <c r="H127" s="54" t="s">
        <v>417</v>
      </c>
    </row>
    <row r="128" spans="1:17" x14ac:dyDescent="0.3">
      <c r="A128" s="64">
        <f t="shared" si="6"/>
        <v>46262</v>
      </c>
      <c r="B128" t="s">
        <v>1356</v>
      </c>
      <c r="G128" s="397">
        <f>_xlfn.XLOOKUP(B128,FIBond_Daohan[Indicator 1],FIBond_Daohan[Yield bình quân],0)</f>
        <v>8.0942979098933048</v>
      </c>
      <c r="H128" s="54" t="s">
        <v>417</v>
      </c>
    </row>
    <row r="129" spans="1:8" x14ac:dyDescent="0.3">
      <c r="A129" s="64">
        <f t="shared" si="6"/>
        <v>46262</v>
      </c>
      <c r="B129" t="s">
        <v>1357</v>
      </c>
      <c r="G129" s="397">
        <f>_xlfn.XLOOKUP(B129,FIBond_Daohan[Indicator 1],FIBond_Daohan[Yield bình quân],0)</f>
        <v>8.992519873444845</v>
      </c>
      <c r="H129" s="54" t="s">
        <v>417</v>
      </c>
    </row>
    <row r="130" spans="1:8" x14ac:dyDescent="0.3">
      <c r="A130" s="64">
        <f t="shared" si="6"/>
        <v>46262</v>
      </c>
      <c r="B130" t="s">
        <v>1358</v>
      </c>
      <c r="G130" s="397">
        <f>_xlfn.XLOOKUP(B130,FIBond_Daohan[Indicator 1],FIBond_Daohan[Yield bình quân],0)</f>
        <v>8.4163006712813964</v>
      </c>
      <c r="H130" s="54" t="s">
        <v>417</v>
      </c>
    </row>
    <row r="131" spans="1:8" x14ac:dyDescent="0.3">
      <c r="A131" s="64">
        <f t="shared" si="6"/>
        <v>46262</v>
      </c>
      <c r="B131" t="s">
        <v>1359</v>
      </c>
      <c r="G131" s="397">
        <f>_xlfn.XLOOKUP(B131,FIBond_Daohan[Indicator 1],FIBond_Daohan[Yield bình quân],0)</f>
        <v>0</v>
      </c>
      <c r="H131" s="54" t="s">
        <v>417</v>
      </c>
    </row>
    <row r="132" spans="1:8" x14ac:dyDescent="0.3">
      <c r="A132" s="64">
        <f t="shared" si="6"/>
        <v>46262</v>
      </c>
      <c r="B132" t="s">
        <v>1360</v>
      </c>
      <c r="G132" s="397">
        <f>_xlfn.XLOOKUP(B132,FIBond_Daohan[Indicator 1],FIBond_Daohan[Yield bình quân],0)</f>
        <v>0</v>
      </c>
      <c r="H132" s="54" t="s">
        <v>417</v>
      </c>
    </row>
    <row r="133" spans="1:8" x14ac:dyDescent="0.3">
      <c r="A133" s="64">
        <f t="shared" si="6"/>
        <v>46262</v>
      </c>
      <c r="B133" t="s">
        <v>1361</v>
      </c>
      <c r="G133" s="397">
        <f>_xlfn.XLOOKUP(B133,FIBond_Daohan[Indicator 1],FIBond_Daohan[Yield bình quân],0)</f>
        <v>0</v>
      </c>
      <c r="H133" s="54" t="s">
        <v>417</v>
      </c>
    </row>
    <row r="134" spans="1:8" x14ac:dyDescent="0.3">
      <c r="A134" s="64">
        <f t="shared" si="6"/>
        <v>46262</v>
      </c>
      <c r="B134" t="s">
        <v>1362</v>
      </c>
      <c r="G134" s="397">
        <f>_xlfn.XLOOKUP(B134,FIBond_Daohan[Indicator 1],FIBond_Daohan[Yield bình quân],0)</f>
        <v>0</v>
      </c>
      <c r="H134" s="54" t="s">
        <v>417</v>
      </c>
    </row>
    <row r="135" spans="1:8" x14ac:dyDescent="0.3">
      <c r="A135" s="64">
        <f t="shared" si="6"/>
        <v>46262</v>
      </c>
      <c r="B135" t="s">
        <v>1363</v>
      </c>
      <c r="G135" s="25">
        <f>_xlfn.XLOOKUP(B135,FIBond_Daohan[Indicator 2],FIBond_Daohan[Amount left],0)</f>
        <v>0</v>
      </c>
      <c r="H135" s="54" t="s">
        <v>411</v>
      </c>
    </row>
    <row r="136" spans="1:8" x14ac:dyDescent="0.3">
      <c r="A136" s="64">
        <f t="shared" si="6"/>
        <v>46262</v>
      </c>
      <c r="B136" t="s">
        <v>1377</v>
      </c>
      <c r="G136" s="25">
        <f>_xlfn.XLOOKUP(B136,FIBond_Daohan[Indicator 2],FIBond_Daohan[Amount left],0)</f>
        <v>0</v>
      </c>
      <c r="H136" s="54" t="s">
        <v>411</v>
      </c>
    </row>
    <row r="137" spans="1:8" x14ac:dyDescent="0.3">
      <c r="A137" s="64">
        <f t="shared" si="6"/>
        <v>46262</v>
      </c>
      <c r="B137" t="s">
        <v>1378</v>
      </c>
      <c r="G137" s="25">
        <f>_xlfn.XLOOKUP(B137,FIBond_Daohan[Indicator 2],FIBond_Daohan[Amount left],0)</f>
        <v>0</v>
      </c>
      <c r="H137" s="54" t="s">
        <v>411</v>
      </c>
    </row>
    <row r="138" spans="1:8" x14ac:dyDescent="0.3">
      <c r="A138" s="64">
        <f t="shared" si="6"/>
        <v>46262</v>
      </c>
      <c r="B138" t="s">
        <v>1379</v>
      </c>
      <c r="G138" s="25">
        <f>_xlfn.XLOOKUP(B138,FIBond_Daohan[Indicator 2],FIBond_Daohan[Amount left],0)</f>
        <v>0</v>
      </c>
      <c r="H138" s="54" t="s">
        <v>411</v>
      </c>
    </row>
    <row r="139" spans="1:8" x14ac:dyDescent="0.3">
      <c r="A139" s="64">
        <f t="shared" si="6"/>
        <v>46262</v>
      </c>
      <c r="B139" t="s">
        <v>1380</v>
      </c>
      <c r="G139" s="25">
        <f>_xlfn.XLOOKUP(B139,FIBond_Daohan[Indicator 2],FIBond_Daohan[Amount left],0)</f>
        <v>0</v>
      </c>
      <c r="H139" s="54" t="s">
        <v>411</v>
      </c>
    </row>
    <row r="140" spans="1:8" x14ac:dyDescent="0.3">
      <c r="A140" s="64">
        <f t="shared" si="6"/>
        <v>46262</v>
      </c>
      <c r="B140" t="s">
        <v>1381</v>
      </c>
      <c r="G140" s="25">
        <f>_xlfn.XLOOKUP(B140,FIBond_Daohan[Indicator 2],FIBond_Daohan[Amount left],0)</f>
        <v>0</v>
      </c>
      <c r="H140" s="54" t="s">
        <v>411</v>
      </c>
    </row>
    <row r="141" spans="1:8" x14ac:dyDescent="0.3">
      <c r="A141" s="64">
        <f t="shared" si="6"/>
        <v>46262</v>
      </c>
      <c r="B141" t="s">
        <v>1364</v>
      </c>
      <c r="G141" s="25">
        <f>_xlfn.XLOOKUP(B141,FIBond_Daohan[Indicator 2],FIBond_Daohan[Amount left],0)</f>
        <v>0</v>
      </c>
      <c r="H141" s="54" t="s">
        <v>411</v>
      </c>
    </row>
    <row r="142" spans="1:8" x14ac:dyDescent="0.3">
      <c r="A142" s="64">
        <f t="shared" si="6"/>
        <v>46262</v>
      </c>
      <c r="B142" t="s">
        <v>1365</v>
      </c>
      <c r="G142" s="25">
        <f>_xlfn.XLOOKUP(B142,FIBond_Daohan[Indicator 2],FIBond_Daohan[Amount left],0)</f>
        <v>40166.527797397001</v>
      </c>
      <c r="H142" s="54" t="s">
        <v>411</v>
      </c>
    </row>
    <row r="143" spans="1:8" x14ac:dyDescent="0.3">
      <c r="A143" s="64">
        <f t="shared" si="6"/>
        <v>46262</v>
      </c>
      <c r="B143" t="s">
        <v>1366</v>
      </c>
      <c r="G143" s="25">
        <f>_xlfn.XLOOKUP(B143,FIBond_Daohan[Indicator 2],FIBond_Daohan[Amount left],0)</f>
        <v>36416.527797397001</v>
      </c>
      <c r="H143" s="54" t="s">
        <v>411</v>
      </c>
    </row>
    <row r="144" spans="1:8" x14ac:dyDescent="0.3">
      <c r="A144" s="64">
        <f t="shared" si="6"/>
        <v>46262</v>
      </c>
      <c r="B144" t="s">
        <v>1367</v>
      </c>
      <c r="G144" s="25">
        <f>_xlfn.XLOOKUP(B144,FIBond_Daohan[Indicator 2],FIBond_Daohan[Amount left],0)</f>
        <v>34266.527797397001</v>
      </c>
      <c r="H144" s="54" t="s">
        <v>411</v>
      </c>
    </row>
    <row r="145" spans="1:9" x14ac:dyDescent="0.3">
      <c r="A145" s="64">
        <f t="shared" si="6"/>
        <v>46262</v>
      </c>
      <c r="B145" t="s">
        <v>1368</v>
      </c>
      <c r="G145" s="25">
        <f>_xlfn.XLOOKUP(B145,FIBond_Daohan[Indicator 2],FIBond_Daohan[Amount left],0)</f>
        <v>29366.527797397001</v>
      </c>
      <c r="H145" s="54" t="s">
        <v>411</v>
      </c>
    </row>
    <row r="146" spans="1:9" x14ac:dyDescent="0.3">
      <c r="A146" s="64">
        <f t="shared" si="6"/>
        <v>46262</v>
      </c>
      <c r="B146" t="s">
        <v>1369</v>
      </c>
      <c r="G146" s="25">
        <f>_xlfn.XLOOKUP(B146,FIBond_Daohan[Indicator 2],FIBond_Daohan[Amount left],0)</f>
        <v>27966.527797397001</v>
      </c>
      <c r="H146" s="54" t="s">
        <v>411</v>
      </c>
    </row>
    <row r="147" spans="1:9" x14ac:dyDescent="0.3">
      <c r="A147" s="64">
        <f t="shared" si="6"/>
        <v>46262</v>
      </c>
      <c r="B147" t="s">
        <v>1370</v>
      </c>
      <c r="G147" s="25">
        <f>_xlfn.XLOOKUP(B147,FIBond_Daohan[Indicator 2],FIBond_Daohan[Amount left],0)</f>
        <v>24966.527797397001</v>
      </c>
      <c r="H147" s="54" t="s">
        <v>411</v>
      </c>
    </row>
    <row r="148" spans="1:9" x14ac:dyDescent="0.3">
      <c r="A148" s="64">
        <f t="shared" si="6"/>
        <v>46262</v>
      </c>
      <c r="B148" t="s">
        <v>1371</v>
      </c>
      <c r="G148" s="25">
        <f>_xlfn.XLOOKUP(B148,FIBond_Daohan[Indicator 2],FIBond_Daohan[Amount left],0)</f>
        <v>23766.527797397001</v>
      </c>
      <c r="H148" s="54" t="s">
        <v>411</v>
      </c>
    </row>
    <row r="149" spans="1:9" x14ac:dyDescent="0.3">
      <c r="A149" s="64">
        <f t="shared" si="6"/>
        <v>46262</v>
      </c>
      <c r="B149" t="s">
        <v>1372</v>
      </c>
      <c r="G149" s="25">
        <f>_xlfn.XLOOKUP(B149,FIBond_Daohan[Indicator 2],FIBond_Daohan[Amount left],0)</f>
        <v>23366.527797397001</v>
      </c>
      <c r="H149" s="54" t="s">
        <v>411</v>
      </c>
    </row>
    <row r="150" spans="1:9" x14ac:dyDescent="0.3">
      <c r="A150" s="64">
        <f t="shared" si="6"/>
        <v>46262</v>
      </c>
      <c r="B150" t="s">
        <v>1373</v>
      </c>
      <c r="G150" s="25">
        <f>_xlfn.XLOOKUP(B150,FIBond_Daohan[Indicator 2],FIBond_Daohan[Amount left],0)</f>
        <v>20366.527797397001</v>
      </c>
      <c r="H150" s="54" t="s">
        <v>411</v>
      </c>
    </row>
    <row r="151" spans="1:9" x14ac:dyDescent="0.3">
      <c r="A151" s="64">
        <f t="shared" ref="A151:A204" si="9">RPT</f>
        <v>46262</v>
      </c>
      <c r="B151" t="s">
        <v>1374</v>
      </c>
      <c r="G151" s="25">
        <f>_xlfn.XLOOKUP(B151,FIBond_Daohan[Indicator 2],FIBond_Daohan[Amount left],0)</f>
        <v>15466.527797397001</v>
      </c>
      <c r="H151" s="54" t="s">
        <v>411</v>
      </c>
    </row>
    <row r="152" spans="1:9" x14ac:dyDescent="0.3">
      <c r="A152" s="64">
        <f t="shared" si="9"/>
        <v>46262</v>
      </c>
      <c r="B152" t="s">
        <v>1375</v>
      </c>
      <c r="G152" s="25">
        <f>_xlfn.XLOOKUP(B152,FIBond_Daohan[Indicator 2],FIBond_Daohan[Amount left],0)</f>
        <v>14466.527797397001</v>
      </c>
      <c r="H152" s="54" t="s">
        <v>411</v>
      </c>
    </row>
    <row r="153" spans="1:9" x14ac:dyDescent="0.3">
      <c r="A153" s="64">
        <f t="shared" si="9"/>
        <v>46262</v>
      </c>
      <c r="B153" t="s">
        <v>1376</v>
      </c>
      <c r="G153" s="25">
        <f>_xlfn.XLOOKUP(B153,FIBond_Daohan[Indicator 2],FIBond_Daohan[Amount left],0)</f>
        <v>11466.527797397001</v>
      </c>
      <c r="H153" s="54" t="s">
        <v>411</v>
      </c>
    </row>
    <row r="154" spans="1:9" x14ac:dyDescent="0.3">
      <c r="A154" s="64">
        <f t="shared" si="9"/>
        <v>46262</v>
      </c>
      <c r="B154" t="str" cm="1">
        <f t="array" ref="B154:I197">_xlfn.LET(
  _xlpm.d, _xlfn._xlws.FILTER(Rating!A2:D1001, (Rating!A2:A1001&lt;&gt;"")*(Rating!A2:A1001&lt;&gt;"Total")),
  _xlpm.iss, INDEX(_xlpm.d,0,1),
  _xlpm.rt,  INDEX(_xlpm.d,0,3),
  _xlpm.rd,  IF(INDEX(_xlpm.d,0,4)="","",TEXT(INDEX(_xlpm.d,0,4),"dd/mm/yyyy")),
  _xlpm.u,   _xlfn.SEQUENCE(ROWS(_xlpm.d))^0,
  _xlpm.mv,  IF(_xlpm.iss="MFKR",
          SUM(FNRP!EJ:EJ)/10^9,
          _xlfn.IFNA(_xlfn.XLOOKUP(_xlpm.iss, Summary!$X$4:$X$25, Summary!$Y$4:$Y$25), 0)),
  _xlpm.blk, _xlfn.LAMBDA(_xlpm.lbl,_xlpm.val,
        _xlfn.HSTACK(IF(_xlpm.u,_xlpm.lbl), IF(_xlpm.u,""), _xlpm.iss, IF(_xlpm.u,""), _xlpm.rt, _xlpm.val, IF(_xlpm.u,"Bio VND"), _xlpm.rd)),
  _xlfn.VSTACK(
    _xlpm.blk("Face value",   INDEX(_xlpm.d,0,2)),
    _xlpm.blk("Market value", _xlpm.mv)
  )
)</f>
        <v>Face value</v>
      </c>
      <c r="C154" t="str">
        <v/>
      </c>
      <c r="D154" t="str">
        <v>VBAH</v>
      </c>
      <c r="E154" t="str">
        <v/>
      </c>
      <c r="F154" t="str">
        <v>AAA</v>
      </c>
      <c r="G154" s="25">
        <v>3000</v>
      </c>
      <c r="H154" s="54" t="str">
        <v>Bio VND</v>
      </c>
      <c r="I154" t="str">
        <v>30/06/2026</v>
      </c>
    </row>
    <row r="155" spans="1:9" x14ac:dyDescent="0.3">
      <c r="A155" s="64">
        <f t="shared" si="9"/>
        <v>46262</v>
      </c>
      <c r="B155" t="str">
        <v>Face value</v>
      </c>
      <c r="C155" t="str">
        <v/>
      </c>
      <c r="D155" t="str">
        <v>TCBV-HO</v>
      </c>
      <c r="E155" t="str">
        <v/>
      </c>
      <c r="F155" t="str">
        <v>AAA</v>
      </c>
      <c r="G155" s="25">
        <v>2300</v>
      </c>
      <c r="H155" s="54" t="str">
        <v>Bio VND</v>
      </c>
      <c r="I155" t="str">
        <v>08/07/2026</v>
      </c>
    </row>
    <row r="156" spans="1:9" x14ac:dyDescent="0.3">
      <c r="A156" s="64">
        <f t="shared" si="9"/>
        <v>46262</v>
      </c>
      <c r="B156" t="str">
        <v>Face value</v>
      </c>
      <c r="C156" t="str">
        <v/>
      </c>
      <c r="D156" t="str">
        <v>HCVN</v>
      </c>
      <c r="E156" t="str">
        <v/>
      </c>
      <c r="F156" t="str">
        <v>AAA</v>
      </c>
      <c r="G156" s="25">
        <v>2250</v>
      </c>
      <c r="H156" s="54" t="str">
        <v>Bio VND</v>
      </c>
      <c r="I156" t="str">
        <v>16/04/2026</v>
      </c>
    </row>
    <row r="157" spans="1:9" x14ac:dyDescent="0.3">
      <c r="A157" s="64">
        <f t="shared" si="9"/>
        <v>46262</v>
      </c>
      <c r="B157" t="str">
        <v>Face value</v>
      </c>
      <c r="C157" t="str">
        <v/>
      </c>
      <c r="D157" t="str">
        <v>MCSB</v>
      </c>
      <c r="E157" t="str">
        <v/>
      </c>
      <c r="F157" t="str">
        <v>AAA</v>
      </c>
      <c r="G157" s="25">
        <v>1215</v>
      </c>
      <c r="H157" s="54" t="str">
        <v>Bio VND</v>
      </c>
      <c r="I157" t="str">
        <v>24/04/2026</v>
      </c>
    </row>
    <row r="158" spans="1:9" x14ac:dyDescent="0.3">
      <c r="A158" s="64">
        <f t="shared" si="9"/>
        <v>46262</v>
      </c>
      <c r="B158" t="str">
        <v>Face value</v>
      </c>
      <c r="C158" t="str">
        <v/>
      </c>
      <c r="D158" t="str">
        <v>BIDV</v>
      </c>
      <c r="E158" t="str">
        <v/>
      </c>
      <c r="F158" t="str">
        <v>AAA</v>
      </c>
      <c r="G158" s="25">
        <v>500</v>
      </c>
      <c r="H158" s="54" t="str">
        <v>Bio VND</v>
      </c>
      <c r="I158" t="str">
        <v/>
      </c>
    </row>
    <row r="159" spans="1:9" x14ac:dyDescent="0.3">
      <c r="A159" s="64">
        <f t="shared" si="9"/>
        <v>46262</v>
      </c>
      <c r="B159" t="str">
        <v>Face value</v>
      </c>
      <c r="C159" t="str">
        <v/>
      </c>
      <c r="D159" t="str">
        <v>HDBV</v>
      </c>
      <c r="E159" t="str">
        <v/>
      </c>
      <c r="F159" t="str">
        <v>AA</v>
      </c>
      <c r="G159" s="25">
        <v>2697.6106</v>
      </c>
      <c r="H159" s="54" t="str">
        <v>Bio VND</v>
      </c>
      <c r="I159" t="str">
        <v>31/12/2025</v>
      </c>
    </row>
    <row r="160" spans="1:9" x14ac:dyDescent="0.3">
      <c r="A160" s="64">
        <f t="shared" si="9"/>
        <v>46262</v>
      </c>
      <c r="B160" t="str">
        <v>Face value</v>
      </c>
      <c r="C160" t="str">
        <v/>
      </c>
      <c r="D160" t="str">
        <v>ACBV</v>
      </c>
      <c r="E160" t="str">
        <v/>
      </c>
      <c r="F160" t="str">
        <v>AA</v>
      </c>
      <c r="G160" s="25">
        <v>1400</v>
      </c>
      <c r="H160" s="54" t="str">
        <v>Bio VND</v>
      </c>
      <c r="I160" t="str">
        <v>30/06/2026</v>
      </c>
    </row>
    <row r="161" spans="1:9" x14ac:dyDescent="0.3">
      <c r="A161" s="64">
        <f t="shared" si="9"/>
        <v>46262</v>
      </c>
      <c r="B161" t="str">
        <v>Face value</v>
      </c>
      <c r="C161" t="str">
        <v/>
      </c>
      <c r="D161" t="str">
        <v>LVBT</v>
      </c>
      <c r="E161" t="str">
        <v/>
      </c>
      <c r="F161" t="str">
        <v>AA</v>
      </c>
      <c r="G161" s="25">
        <v>1000</v>
      </c>
      <c r="H161" s="54" t="str">
        <v>Bio VND</v>
      </c>
      <c r="I161" t="str">
        <v>26/06/2026</v>
      </c>
    </row>
    <row r="162" spans="1:9" x14ac:dyDescent="0.3">
      <c r="A162" s="64">
        <f t="shared" si="9"/>
        <v>46262</v>
      </c>
      <c r="B162" t="str">
        <v>Face value</v>
      </c>
      <c r="C162" t="str">
        <v/>
      </c>
      <c r="D162" t="str">
        <v>TC_DIENLUC</v>
      </c>
      <c r="E162" t="str">
        <v/>
      </c>
      <c r="F162" t="str">
        <v>AA</v>
      </c>
      <c r="G162" s="25">
        <v>847</v>
      </c>
      <c r="H162" s="54" t="str">
        <v>Bio VND</v>
      </c>
      <c r="I162" t="str">
        <v>22/05/2026</v>
      </c>
    </row>
    <row r="163" spans="1:9" x14ac:dyDescent="0.3">
      <c r="A163" s="64">
        <f t="shared" si="9"/>
        <v>46262</v>
      </c>
      <c r="B163" t="str">
        <v>Face value</v>
      </c>
      <c r="C163" t="str">
        <v/>
      </c>
      <c r="D163" t="str">
        <v>SGTT</v>
      </c>
      <c r="E163" t="str">
        <v/>
      </c>
      <c r="F163" t="str">
        <v>A</v>
      </c>
      <c r="G163" s="25">
        <v>3500</v>
      </c>
      <c r="H163" s="54" t="str">
        <v>Bio VND</v>
      </c>
      <c r="I163" t="str">
        <v/>
      </c>
    </row>
    <row r="164" spans="1:9" x14ac:dyDescent="0.3">
      <c r="A164" s="64">
        <f t="shared" si="9"/>
        <v>46262</v>
      </c>
      <c r="B164" t="str">
        <v>Face value</v>
      </c>
      <c r="C164" t="str">
        <v/>
      </c>
      <c r="D164" t="str">
        <v>SABH</v>
      </c>
      <c r="E164" t="str">
        <v/>
      </c>
      <c r="F164" t="str">
        <v>A</v>
      </c>
      <c r="G164" s="25">
        <v>3000</v>
      </c>
      <c r="H164" s="54" t="str">
        <v>Bio VND</v>
      </c>
      <c r="I164" t="str">
        <v>29/04/2026</v>
      </c>
    </row>
    <row r="165" spans="1:9" x14ac:dyDescent="0.3">
      <c r="A165" s="64">
        <f t="shared" si="9"/>
        <v>46262</v>
      </c>
      <c r="B165" t="str">
        <v>Face value</v>
      </c>
      <c r="C165" t="str">
        <v/>
      </c>
      <c r="D165" t="str">
        <v>SHBV</v>
      </c>
      <c r="E165" t="str">
        <v/>
      </c>
      <c r="F165" t="str">
        <v>A</v>
      </c>
      <c r="G165" s="25">
        <v>1500</v>
      </c>
      <c r="H165" s="54" t="str">
        <v>Bio VND</v>
      </c>
      <c r="I165" t="str">
        <v>08/07/2026</v>
      </c>
    </row>
    <row r="166" spans="1:9" x14ac:dyDescent="0.3">
      <c r="A166" s="64">
        <f t="shared" si="9"/>
        <v>46262</v>
      </c>
      <c r="B166" t="str">
        <v>Face value</v>
      </c>
      <c r="C166" t="str">
        <v/>
      </c>
      <c r="D166" t="str">
        <v>NABV</v>
      </c>
      <c r="E166" t="str">
        <v/>
      </c>
      <c r="F166" t="str">
        <v>BBB</v>
      </c>
      <c r="G166" s="25">
        <v>3000</v>
      </c>
      <c r="H166" s="54" t="str">
        <v>Bio VND</v>
      </c>
      <c r="I166" t="str">
        <v>04/05/2026</v>
      </c>
    </row>
    <row r="167" spans="1:9" x14ac:dyDescent="0.3">
      <c r="A167" s="64">
        <f t="shared" si="9"/>
        <v>46262</v>
      </c>
      <c r="B167" t="str">
        <v>Face value</v>
      </c>
      <c r="C167" t="str">
        <v/>
      </c>
      <c r="D167" t="str">
        <v>OCBV</v>
      </c>
      <c r="E167" t="str">
        <v/>
      </c>
      <c r="F167" t="str">
        <v>BBB</v>
      </c>
      <c r="G167" s="25">
        <v>2500</v>
      </c>
      <c r="H167" s="54" t="str">
        <v>Bio VND</v>
      </c>
      <c r="I167" t="str">
        <v>03/07/2026</v>
      </c>
    </row>
    <row r="168" spans="1:9" x14ac:dyDescent="0.3">
      <c r="A168" s="64">
        <f t="shared" si="9"/>
        <v>46262</v>
      </c>
      <c r="B168" t="str">
        <v>Face value</v>
      </c>
      <c r="C168" t="str">
        <v/>
      </c>
      <c r="D168" t="str">
        <v>MFKR</v>
      </c>
      <c r="E168" t="str">
        <v/>
      </c>
      <c r="F168" t="str">
        <v>BBB</v>
      </c>
      <c r="G168" s="25">
        <v>569.81719739699997</v>
      </c>
      <c r="H168" s="54" t="str">
        <v>Bio VND</v>
      </c>
      <c r="I168" t="str">
        <v>09/06/2026</v>
      </c>
    </row>
    <row r="169" spans="1:9" x14ac:dyDescent="0.3">
      <c r="A169" s="64">
        <f t="shared" si="9"/>
        <v>46262</v>
      </c>
      <c r="B169" t="str">
        <v>Face value</v>
      </c>
      <c r="C169" t="str">
        <v/>
      </c>
      <c r="D169" t="str">
        <v>VIETBANK</v>
      </c>
      <c r="E169" t="str">
        <v/>
      </c>
      <c r="F169" t="str">
        <v>BB</v>
      </c>
      <c r="G169" s="25">
        <v>2500</v>
      </c>
      <c r="H169" s="54" t="str">
        <v>Bio VND</v>
      </c>
      <c r="I169" t="str">
        <v>16/04/2026</v>
      </c>
    </row>
    <row r="170" spans="1:9" x14ac:dyDescent="0.3">
      <c r="A170" s="64">
        <f t="shared" si="9"/>
        <v>46262</v>
      </c>
      <c r="B170" t="str">
        <v>Face value</v>
      </c>
      <c r="C170" t="str">
        <v/>
      </c>
      <c r="D170" t="str">
        <v>EIBV</v>
      </c>
      <c r="E170" t="str">
        <v/>
      </c>
      <c r="F170" t="str">
        <v>BB</v>
      </c>
      <c r="G170" s="25">
        <v>1500</v>
      </c>
      <c r="H170" s="54" t="str">
        <v>Bio VND</v>
      </c>
      <c r="I170" t="str">
        <v>17/06/2026</v>
      </c>
    </row>
    <row r="171" spans="1:9" x14ac:dyDescent="0.3">
      <c r="A171" s="64">
        <f t="shared" si="9"/>
        <v>46262</v>
      </c>
      <c r="B171" t="str">
        <v>Face value</v>
      </c>
      <c r="C171" t="str">
        <v/>
      </c>
      <c r="D171" t="str">
        <v>TC_SHINSEI</v>
      </c>
      <c r="E171" t="str">
        <v/>
      </c>
      <c r="F171" t="str">
        <v>BB</v>
      </c>
      <c r="G171" s="25">
        <v>1000</v>
      </c>
      <c r="H171" s="54" t="str">
        <v>Bio VND</v>
      </c>
      <c r="I171" t="str">
        <v>31/03/2025</v>
      </c>
    </row>
    <row r="172" spans="1:9" x14ac:dyDescent="0.3">
      <c r="A172" s="64">
        <f t="shared" si="9"/>
        <v>46262</v>
      </c>
      <c r="B172" t="str">
        <v>Face value</v>
      </c>
      <c r="C172" t="str">
        <v/>
      </c>
      <c r="D172" t="str">
        <v>VABV</v>
      </c>
      <c r="E172" t="str">
        <v/>
      </c>
      <c r="F172" t="str">
        <v>BB</v>
      </c>
      <c r="G172" s="25">
        <v>300</v>
      </c>
      <c r="H172" s="54" t="str">
        <v>Bio VND</v>
      </c>
      <c r="I172" t="str">
        <v>15/05/2025</v>
      </c>
    </row>
    <row r="173" spans="1:9" x14ac:dyDescent="0.3">
      <c r="A173" s="64">
        <f t="shared" si="9"/>
        <v>46262</v>
      </c>
      <c r="B173" t="str">
        <v>Face value</v>
      </c>
      <c r="C173" t="str">
        <v/>
      </c>
      <c r="D173" t="str">
        <v>VCCB</v>
      </c>
      <c r="E173" t="str">
        <v/>
      </c>
      <c r="F173" t="str">
        <v>BB</v>
      </c>
      <c r="G173" s="25">
        <v>250</v>
      </c>
      <c r="H173" s="54" t="str">
        <v>Bio VND</v>
      </c>
      <c r="I173" t="str">
        <v>06/07/2026</v>
      </c>
    </row>
    <row r="174" spans="1:9" x14ac:dyDescent="0.3">
      <c r="A174" s="64">
        <f t="shared" si="9"/>
        <v>46262</v>
      </c>
      <c r="B174" t="str">
        <v>Face value</v>
      </c>
      <c r="C174" t="str">
        <v/>
      </c>
      <c r="D174" t="str">
        <v>PVFC</v>
      </c>
      <c r="E174" t="str">
        <v/>
      </c>
      <c r="F174" t="str">
        <v>B</v>
      </c>
      <c r="G174" s="25">
        <v>1000</v>
      </c>
      <c r="H174" s="54" t="str">
        <v>Bio VND</v>
      </c>
      <c r="I174" t="str">
        <v>15/07/2026</v>
      </c>
    </row>
    <row r="175" spans="1:9" x14ac:dyDescent="0.3">
      <c r="A175" s="64">
        <f t="shared" si="9"/>
        <v>46262</v>
      </c>
      <c r="B175" t="str">
        <v>Face value</v>
      </c>
      <c r="C175" t="str">
        <v/>
      </c>
      <c r="D175" t="str">
        <v>OJBV</v>
      </c>
      <c r="E175" t="str">
        <v/>
      </c>
      <c r="F175" t="str">
        <v>D</v>
      </c>
      <c r="G175" s="25">
        <v>499.1</v>
      </c>
      <c r="H175" s="54" t="str">
        <v>Bio VND</v>
      </c>
      <c r="I175" t="str">
        <v/>
      </c>
    </row>
    <row r="176" spans="1:9" x14ac:dyDescent="0.3">
      <c r="A176" s="64">
        <f t="shared" si="9"/>
        <v>46262</v>
      </c>
      <c r="B176" t="str">
        <v>Market value</v>
      </c>
      <c r="C176" t="str">
        <v/>
      </c>
      <c r="D176" t="str">
        <v>VBAH</v>
      </c>
      <c r="E176" t="str">
        <v/>
      </c>
      <c r="F176" t="str">
        <v>AAA</v>
      </c>
      <c r="G176" s="25">
        <v>3025.4584532700001</v>
      </c>
      <c r="H176" s="54" t="str">
        <v>Bio VND</v>
      </c>
      <c r="I176" t="str">
        <v>30/06/2026</v>
      </c>
    </row>
    <row r="177" spans="1:9" x14ac:dyDescent="0.3">
      <c r="A177" s="64">
        <f t="shared" si="9"/>
        <v>46262</v>
      </c>
      <c r="B177" t="str">
        <v>Market value</v>
      </c>
      <c r="C177" t="str">
        <v/>
      </c>
      <c r="D177" t="str">
        <v>TCBV-HO</v>
      </c>
      <c r="E177" t="str">
        <v/>
      </c>
      <c r="F177" t="str">
        <v>AAA</v>
      </c>
      <c r="G177" s="25">
        <v>2216.9980055599999</v>
      </c>
      <c r="H177" s="54" t="str">
        <v>Bio VND</v>
      </c>
      <c r="I177" t="str">
        <v>08/07/2026</v>
      </c>
    </row>
    <row r="178" spans="1:9" x14ac:dyDescent="0.3">
      <c r="A178" s="64">
        <f t="shared" si="9"/>
        <v>46262</v>
      </c>
      <c r="B178" t="str">
        <v>Market value</v>
      </c>
      <c r="C178" t="str">
        <v/>
      </c>
      <c r="D178" t="str">
        <v>HCVN</v>
      </c>
      <c r="E178" t="str">
        <v/>
      </c>
      <c r="F178" t="str">
        <v>AAA</v>
      </c>
      <c r="G178" s="25">
        <v>1768.0157311739999</v>
      </c>
      <c r="H178" s="54" t="str">
        <v>Bio VND</v>
      </c>
      <c r="I178" t="str">
        <v>16/04/2026</v>
      </c>
    </row>
    <row r="179" spans="1:9" x14ac:dyDescent="0.3">
      <c r="A179" s="64">
        <f t="shared" si="9"/>
        <v>46262</v>
      </c>
      <c r="B179" t="str">
        <v>Market value</v>
      </c>
      <c r="C179" t="str">
        <v/>
      </c>
      <c r="D179" t="str">
        <v>MCSB</v>
      </c>
      <c r="E179" t="str">
        <v/>
      </c>
      <c r="F179" t="str">
        <v>AAA</v>
      </c>
      <c r="G179" s="25">
        <v>522.552858345</v>
      </c>
      <c r="H179" s="54" t="str">
        <v>Bio VND</v>
      </c>
      <c r="I179" t="str">
        <v>24/04/2026</v>
      </c>
    </row>
    <row r="180" spans="1:9" x14ac:dyDescent="0.3">
      <c r="A180" s="64">
        <f t="shared" si="9"/>
        <v>46262</v>
      </c>
      <c r="B180" t="str">
        <v>Market value</v>
      </c>
      <c r="C180" t="str">
        <v/>
      </c>
      <c r="D180" t="str">
        <v>BIDV</v>
      </c>
      <c r="E180" t="str">
        <v/>
      </c>
      <c r="F180" t="str">
        <v>AAA</v>
      </c>
      <c r="G180" s="25">
        <v>0</v>
      </c>
      <c r="H180" s="54" t="str">
        <v>Bio VND</v>
      </c>
      <c r="I180" t="str">
        <v/>
      </c>
    </row>
    <row r="181" spans="1:9" x14ac:dyDescent="0.3">
      <c r="A181" s="64">
        <f t="shared" si="9"/>
        <v>46262</v>
      </c>
      <c r="B181" t="str">
        <v>Market value</v>
      </c>
      <c r="C181" t="str">
        <v/>
      </c>
      <c r="D181" t="str">
        <v>HDBV</v>
      </c>
      <c r="E181" t="str">
        <v/>
      </c>
      <c r="F181" t="str">
        <v>AA</v>
      </c>
      <c r="G181" s="25">
        <v>472.42919533960998</v>
      </c>
      <c r="H181" s="54" t="str">
        <v>Bio VND</v>
      </c>
      <c r="I181" t="str">
        <v>31/12/2025</v>
      </c>
    </row>
    <row r="182" spans="1:9" x14ac:dyDescent="0.3">
      <c r="A182" s="64">
        <f t="shared" si="9"/>
        <v>46262</v>
      </c>
      <c r="B182" t="str">
        <v>Market value</v>
      </c>
      <c r="C182" t="str">
        <v/>
      </c>
      <c r="D182" t="str">
        <v>ACBV</v>
      </c>
      <c r="E182" t="str">
        <v/>
      </c>
      <c r="F182" t="str">
        <v>AA</v>
      </c>
      <c r="G182" s="25">
        <v>0</v>
      </c>
      <c r="H182" s="54" t="str">
        <v>Bio VND</v>
      </c>
      <c r="I182" t="str">
        <v>30/06/2026</v>
      </c>
    </row>
    <row r="183" spans="1:9" x14ac:dyDescent="0.3">
      <c r="A183" s="64">
        <f t="shared" si="9"/>
        <v>46262</v>
      </c>
      <c r="B183" t="str">
        <v>Market value</v>
      </c>
      <c r="C183" t="str">
        <v/>
      </c>
      <c r="D183" t="str">
        <v>LVBT</v>
      </c>
      <c r="E183" t="str">
        <v/>
      </c>
      <c r="F183" t="str">
        <v>AA</v>
      </c>
      <c r="G183" s="25">
        <v>5.3590432899999998</v>
      </c>
      <c r="H183" s="54" t="str">
        <v>Bio VND</v>
      </c>
      <c r="I183" t="str">
        <v>26/06/2026</v>
      </c>
    </row>
    <row r="184" spans="1:9" x14ac:dyDescent="0.3">
      <c r="A184" s="64">
        <f t="shared" si="9"/>
        <v>46262</v>
      </c>
      <c r="B184" t="str">
        <v>Market value</v>
      </c>
      <c r="C184" t="str">
        <v/>
      </c>
      <c r="D184" t="str">
        <v>TC_DIENLUC</v>
      </c>
      <c r="E184" t="str">
        <v/>
      </c>
      <c r="F184" t="str">
        <v>AA</v>
      </c>
      <c r="G184" s="25">
        <v>0</v>
      </c>
      <c r="H184" s="54" t="str">
        <v>Bio VND</v>
      </c>
      <c r="I184" t="str">
        <v>22/05/2026</v>
      </c>
    </row>
    <row r="185" spans="1:9" x14ac:dyDescent="0.3">
      <c r="A185" s="64">
        <f t="shared" si="9"/>
        <v>46262</v>
      </c>
      <c r="B185" t="str">
        <v>Market value</v>
      </c>
      <c r="C185" t="str">
        <v/>
      </c>
      <c r="D185" t="str">
        <v>SGTT</v>
      </c>
      <c r="E185" t="str">
        <v/>
      </c>
      <c r="F185" t="str">
        <v>A</v>
      </c>
      <c r="G185" s="25">
        <v>1241.28511742</v>
      </c>
      <c r="H185" s="54" t="str">
        <v>Bio VND</v>
      </c>
      <c r="I185" t="str">
        <v/>
      </c>
    </row>
    <row r="186" spans="1:9" x14ac:dyDescent="0.3">
      <c r="A186" s="64">
        <f t="shared" si="9"/>
        <v>46262</v>
      </c>
      <c r="B186" t="str">
        <v>Market value</v>
      </c>
      <c r="C186" t="str">
        <v/>
      </c>
      <c r="D186" t="str">
        <v>SABH</v>
      </c>
      <c r="E186" t="str">
        <v/>
      </c>
      <c r="F186" t="str">
        <v>A</v>
      </c>
      <c r="G186" s="25">
        <v>0</v>
      </c>
      <c r="H186" s="54" t="str">
        <v>Bio VND</v>
      </c>
      <c r="I186" t="str">
        <v>29/04/2026</v>
      </c>
    </row>
    <row r="187" spans="1:9" x14ac:dyDescent="0.3">
      <c r="A187" s="64">
        <f t="shared" si="9"/>
        <v>46262</v>
      </c>
      <c r="B187" t="str">
        <v>Market value</v>
      </c>
      <c r="C187" t="str">
        <v/>
      </c>
      <c r="D187" t="str">
        <v>SHBV</v>
      </c>
      <c r="E187" t="str">
        <v/>
      </c>
      <c r="F187" t="str">
        <v>A</v>
      </c>
      <c r="G187" s="25">
        <v>1851.7929010299999</v>
      </c>
      <c r="H187" s="54" t="str">
        <v>Bio VND</v>
      </c>
      <c r="I187" t="str">
        <v>08/07/2026</v>
      </c>
    </row>
    <row r="188" spans="1:9" x14ac:dyDescent="0.3">
      <c r="A188" s="64">
        <f t="shared" si="9"/>
        <v>46262</v>
      </c>
      <c r="B188" t="str">
        <v>Market value</v>
      </c>
      <c r="C188" t="str">
        <v/>
      </c>
      <c r="D188" t="str">
        <v>NABV</v>
      </c>
      <c r="E188" t="str">
        <v/>
      </c>
      <c r="F188" t="str">
        <v>BBB</v>
      </c>
      <c r="G188" s="25">
        <v>160.93244082999999</v>
      </c>
      <c r="H188" s="54" t="str">
        <v>Bio VND</v>
      </c>
      <c r="I188" t="str">
        <v>04/05/2026</v>
      </c>
    </row>
    <row r="189" spans="1:9" x14ac:dyDescent="0.3">
      <c r="A189" s="64">
        <f t="shared" si="9"/>
        <v>46262</v>
      </c>
      <c r="B189" t="str">
        <v>Market value</v>
      </c>
      <c r="C189" t="str">
        <v/>
      </c>
      <c r="D189" t="str">
        <v>OCBV</v>
      </c>
      <c r="E189" t="str">
        <v/>
      </c>
      <c r="F189" t="str">
        <v>BBB</v>
      </c>
      <c r="G189" s="25">
        <v>0</v>
      </c>
      <c r="H189" s="54" t="str">
        <v>Bio VND</v>
      </c>
      <c r="I189" t="str">
        <v>03/07/2026</v>
      </c>
    </row>
    <row r="190" spans="1:9" x14ac:dyDescent="0.3">
      <c r="A190" s="64">
        <f t="shared" si="9"/>
        <v>46262</v>
      </c>
      <c r="B190" t="str">
        <v>Market value</v>
      </c>
      <c r="C190" t="str">
        <v/>
      </c>
      <c r="D190" t="str">
        <v>MFKR</v>
      </c>
      <c r="E190" t="str">
        <v/>
      </c>
      <c r="F190" t="str">
        <v>BBB</v>
      </c>
      <c r="G190" s="25">
        <v>404.94820310168785</v>
      </c>
      <c r="H190" s="54" t="str">
        <v>Bio VND</v>
      </c>
      <c r="I190" t="str">
        <v>09/06/2026</v>
      </c>
    </row>
    <row r="191" spans="1:9" x14ac:dyDescent="0.3">
      <c r="A191" s="64">
        <f t="shared" si="9"/>
        <v>46262</v>
      </c>
      <c r="B191" t="str">
        <v>Market value</v>
      </c>
      <c r="C191" t="str">
        <v/>
      </c>
      <c r="D191" t="str">
        <v>VIETBANK</v>
      </c>
      <c r="E191" t="str">
        <v/>
      </c>
      <c r="F191" t="str">
        <v>BB</v>
      </c>
      <c r="G191" s="25">
        <v>0</v>
      </c>
      <c r="H191" s="54" t="str">
        <v>Bio VND</v>
      </c>
      <c r="I191" t="str">
        <v>16/04/2026</v>
      </c>
    </row>
    <row r="192" spans="1:9" x14ac:dyDescent="0.3">
      <c r="A192" s="64">
        <f t="shared" si="9"/>
        <v>46262</v>
      </c>
      <c r="B192" t="str">
        <v>Market value</v>
      </c>
      <c r="C192" t="str">
        <v/>
      </c>
      <c r="D192" t="str">
        <v>EIBV</v>
      </c>
      <c r="E192" t="str">
        <v/>
      </c>
      <c r="F192" t="str">
        <v>BB</v>
      </c>
      <c r="G192" s="25">
        <v>0</v>
      </c>
      <c r="H192" s="54" t="str">
        <v>Bio VND</v>
      </c>
      <c r="I192" t="str">
        <v>17/06/2026</v>
      </c>
    </row>
    <row r="193" spans="1:9" x14ac:dyDescent="0.3">
      <c r="A193" s="64">
        <f t="shared" si="9"/>
        <v>46262</v>
      </c>
      <c r="B193" t="str">
        <v>Market value</v>
      </c>
      <c r="C193" t="str">
        <v/>
      </c>
      <c r="D193" t="str">
        <v>TC_SHINSEI</v>
      </c>
      <c r="E193" t="str">
        <v/>
      </c>
      <c r="F193" t="str">
        <v>BB</v>
      </c>
      <c r="G193" s="25">
        <v>404.036967092</v>
      </c>
      <c r="H193" s="54" t="str">
        <v>Bio VND</v>
      </c>
      <c r="I193" t="str">
        <v>31/03/2025</v>
      </c>
    </row>
    <row r="194" spans="1:9" x14ac:dyDescent="0.3">
      <c r="A194" s="64">
        <f t="shared" si="9"/>
        <v>46262</v>
      </c>
      <c r="B194" t="str">
        <v>Market value</v>
      </c>
      <c r="C194" t="str">
        <v/>
      </c>
      <c r="D194" t="str">
        <v>VABV</v>
      </c>
      <c r="E194" t="str">
        <v/>
      </c>
      <c r="F194" t="str">
        <v>BB</v>
      </c>
      <c r="G194" s="25">
        <v>0</v>
      </c>
      <c r="H194" s="54" t="str">
        <v>Bio VND</v>
      </c>
      <c r="I194" t="str">
        <v>15/05/2025</v>
      </c>
    </row>
    <row r="195" spans="1:9" x14ac:dyDescent="0.3">
      <c r="A195" s="64">
        <f t="shared" si="9"/>
        <v>46262</v>
      </c>
      <c r="B195" t="str">
        <v>Market value</v>
      </c>
      <c r="C195" t="str">
        <v/>
      </c>
      <c r="D195" t="str">
        <v>VCCB</v>
      </c>
      <c r="E195" t="str">
        <v/>
      </c>
      <c r="F195" t="str">
        <v>BB</v>
      </c>
      <c r="G195" s="25">
        <v>0</v>
      </c>
      <c r="H195" s="54" t="str">
        <v>Bio VND</v>
      </c>
      <c r="I195" t="str">
        <v>06/07/2026</v>
      </c>
    </row>
    <row r="196" spans="1:9" x14ac:dyDescent="0.3">
      <c r="A196" s="64">
        <f t="shared" si="9"/>
        <v>46262</v>
      </c>
      <c r="B196" t="str">
        <v>Market value</v>
      </c>
      <c r="C196" t="str">
        <v/>
      </c>
      <c r="D196" t="str">
        <v>PVFC</v>
      </c>
      <c r="E196" t="str">
        <v/>
      </c>
      <c r="F196" t="str">
        <v>B</v>
      </c>
      <c r="G196" s="25">
        <v>1289.75028623</v>
      </c>
      <c r="H196" s="54" t="str">
        <v>Bio VND</v>
      </c>
      <c r="I196" t="str">
        <v>15/07/2026</v>
      </c>
    </row>
    <row r="197" spans="1:9" x14ac:dyDescent="0.3">
      <c r="A197" s="64">
        <f t="shared" si="9"/>
        <v>46262</v>
      </c>
      <c r="B197" t="str">
        <v>Market value</v>
      </c>
      <c r="C197" t="str">
        <v/>
      </c>
      <c r="D197" t="str">
        <v>OJBV</v>
      </c>
      <c r="E197" t="str">
        <v/>
      </c>
      <c r="F197" t="str">
        <v>D</v>
      </c>
      <c r="G197" s="25">
        <v>0</v>
      </c>
      <c r="H197" s="54" t="str">
        <v>Bio VND</v>
      </c>
      <c r="I197" t="str">
        <v/>
      </c>
    </row>
    <row r="198" spans="1:9" x14ac:dyDescent="0.3">
      <c r="A198" s="64">
        <f t="shared" si="9"/>
        <v>46262</v>
      </c>
    </row>
    <row r="199" spans="1:9" x14ac:dyDescent="0.3">
      <c r="A199" s="64">
        <f t="shared" si="9"/>
        <v>46262</v>
      </c>
    </row>
    <row r="200" spans="1:9" x14ac:dyDescent="0.3">
      <c r="A200" s="64">
        <f t="shared" si="9"/>
        <v>46262</v>
      </c>
    </row>
    <row r="201" spans="1:9" x14ac:dyDescent="0.3">
      <c r="A201" s="64">
        <f t="shared" si="9"/>
        <v>46262</v>
      </c>
    </row>
    <row r="202" spans="1:9" x14ac:dyDescent="0.3">
      <c r="A202" s="64">
        <f t="shared" si="9"/>
        <v>46262</v>
      </c>
    </row>
    <row r="203" spans="1:9" x14ac:dyDescent="0.3">
      <c r="A203" s="64">
        <f t="shared" si="9"/>
        <v>46262</v>
      </c>
    </row>
    <row r="204" spans="1:9" x14ac:dyDescent="0.3">
      <c r="A204" s="64">
        <f t="shared" si="9"/>
        <v>46262</v>
      </c>
    </row>
  </sheetData>
  <phoneticPr fontId="16"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5F70-4DF9-45D6-818E-B7B6D5E4C0BF}">
  <sheetPr codeName="Sheet19">
    <tabColor theme="9" tint="0.39997558519241921"/>
  </sheetPr>
  <dimension ref="A1:Y200"/>
  <sheetViews>
    <sheetView topLeftCell="B2" zoomScale="85" zoomScaleNormal="85" workbookViewId="0">
      <selection activeCell="B2" sqref="B2:W95"/>
    </sheetView>
  </sheetViews>
  <sheetFormatPr defaultRowHeight="14.4" x14ac:dyDescent="0.3"/>
  <cols>
    <col min="1" max="1" width="10.09765625" bestFit="1" customWidth="1"/>
    <col min="2" max="2" width="13.3984375" bestFit="1" customWidth="1"/>
    <col min="3" max="3" width="10.69921875" bestFit="1" customWidth="1"/>
    <col min="4" max="4" width="16.69921875" bestFit="1" customWidth="1"/>
    <col min="5" max="5" width="11.19921875" bestFit="1" customWidth="1"/>
    <col min="6" max="6" width="12.69921875" bestFit="1" customWidth="1"/>
    <col min="7" max="7" width="11.59765625" bestFit="1" customWidth="1"/>
    <col min="8" max="8" width="12.69921875" bestFit="1" customWidth="1"/>
    <col min="9" max="9" width="13.5" bestFit="1" customWidth="1"/>
    <col min="10" max="10" width="9.69921875" bestFit="1" customWidth="1"/>
    <col min="11" max="11" width="9.3984375" bestFit="1" customWidth="1"/>
    <col min="12" max="12" width="15.19921875" bestFit="1" customWidth="1"/>
    <col min="13" max="13" width="12.296875" bestFit="1" customWidth="1"/>
    <col min="14" max="14" width="10.19921875" bestFit="1" customWidth="1"/>
    <col min="15" max="15" width="15" bestFit="1" customWidth="1"/>
    <col min="16" max="16" width="14.796875" bestFit="1" customWidth="1"/>
    <col min="17" max="18" width="12.69921875" bestFit="1" customWidth="1"/>
    <col min="19" max="19" width="15.69921875" bestFit="1" customWidth="1"/>
    <col min="20" max="20" width="16.09765625" bestFit="1" customWidth="1"/>
    <col min="21" max="21" width="16.5" bestFit="1" customWidth="1"/>
    <col min="22" max="22" width="12.69921875" bestFit="1" customWidth="1"/>
    <col min="23" max="23" width="21.5" bestFit="1" customWidth="1"/>
    <col min="24" max="24" width="15" bestFit="1" customWidth="1"/>
    <col min="25" max="25" width="17.59765625" bestFit="1" customWidth="1"/>
    <col min="26" max="26" width="13.296875" bestFit="1" customWidth="1"/>
    <col min="27" max="27" width="6.09765625" bestFit="1" customWidth="1"/>
    <col min="28" max="28" width="16.59765625" bestFit="1" customWidth="1"/>
    <col min="29" max="29" width="5.8984375" bestFit="1" customWidth="1"/>
  </cols>
  <sheetData>
    <row r="1" spans="1:25" x14ac:dyDescent="0.3">
      <c r="A1" t="s">
        <v>268</v>
      </c>
      <c r="B1" t="s">
        <v>366</v>
      </c>
      <c r="C1" t="s">
        <v>367</v>
      </c>
      <c r="D1" t="s">
        <v>368</v>
      </c>
      <c r="E1" t="s">
        <v>267</v>
      </c>
      <c r="F1" t="s">
        <v>15</v>
      </c>
      <c r="G1" t="s">
        <v>369</v>
      </c>
      <c r="H1" t="s">
        <v>406</v>
      </c>
      <c r="I1" t="s">
        <v>407</v>
      </c>
      <c r="J1" t="s">
        <v>370</v>
      </c>
      <c r="K1" t="s">
        <v>371</v>
      </c>
      <c r="L1" t="s">
        <v>372</v>
      </c>
      <c r="M1" t="s">
        <v>373</v>
      </c>
      <c r="N1" t="s">
        <v>374</v>
      </c>
      <c r="O1" t="s">
        <v>375</v>
      </c>
      <c r="P1" t="s">
        <v>376</v>
      </c>
      <c r="Q1" t="s">
        <v>377</v>
      </c>
      <c r="R1" t="s">
        <v>378</v>
      </c>
      <c r="S1" t="s">
        <v>379</v>
      </c>
      <c r="T1" t="s">
        <v>380</v>
      </c>
      <c r="U1" t="s">
        <v>381</v>
      </c>
      <c r="V1" t="s">
        <v>382</v>
      </c>
      <c r="W1" t="s">
        <v>383</v>
      </c>
      <c r="Y1" s="79">
        <f>COUNTA(B:B)-1</f>
        <v>91</v>
      </c>
    </row>
    <row r="2" spans="1:25" x14ac:dyDescent="0.3">
      <c r="A2" s="20">
        <f>IF(B2&lt;&gt;"", Runtool!$C$2, "")</f>
        <v>46262</v>
      </c>
      <c r="B2">
        <v>50562</v>
      </c>
      <c r="C2" t="s">
        <v>310</v>
      </c>
      <c r="D2" t="s">
        <v>1582</v>
      </c>
      <c r="E2" t="s">
        <v>343</v>
      </c>
      <c r="F2">
        <v>200</v>
      </c>
      <c r="G2">
        <v>1000000000</v>
      </c>
      <c r="H2">
        <v>200000000000</v>
      </c>
      <c r="I2">
        <v>2000000000</v>
      </c>
      <c r="J2">
        <v>46258</v>
      </c>
      <c r="K2">
        <v>46258</v>
      </c>
      <c r="L2">
        <v>46623</v>
      </c>
      <c r="M2">
        <v>46989</v>
      </c>
      <c r="N2">
        <v>731</v>
      </c>
      <c r="O2">
        <v>9.8000000000000007</v>
      </c>
      <c r="P2">
        <v>9.8000000000000007</v>
      </c>
      <c r="Q2">
        <v>0</v>
      </c>
      <c r="R2">
        <v>0</v>
      </c>
      <c r="S2">
        <v>0</v>
      </c>
      <c r="T2">
        <v>0</v>
      </c>
      <c r="U2">
        <v>0</v>
      </c>
      <c r="V2">
        <v>268493150.68493098</v>
      </c>
      <c r="W2" t="s">
        <v>35</v>
      </c>
    </row>
    <row r="3" spans="1:25" x14ac:dyDescent="0.3">
      <c r="A3" s="20">
        <f>IF(B3&lt;&gt;"", Runtool!$C$2, "")</f>
        <v>46262</v>
      </c>
      <c r="B3">
        <v>44002</v>
      </c>
      <c r="C3" t="s">
        <v>310</v>
      </c>
      <c r="D3" t="s">
        <v>40</v>
      </c>
      <c r="E3" t="s">
        <v>312</v>
      </c>
      <c r="F3">
        <v>500</v>
      </c>
      <c r="G3">
        <v>1000000000</v>
      </c>
      <c r="H3">
        <v>500000000000</v>
      </c>
      <c r="I3">
        <v>5000000000</v>
      </c>
      <c r="J3">
        <v>45559</v>
      </c>
      <c r="K3">
        <v>45559</v>
      </c>
      <c r="L3">
        <v>45924</v>
      </c>
      <c r="M3">
        <v>46289</v>
      </c>
      <c r="N3">
        <v>730</v>
      </c>
      <c r="O3">
        <v>0</v>
      </c>
      <c r="P3">
        <v>7.5750000000000002</v>
      </c>
      <c r="Q3">
        <v>0</v>
      </c>
      <c r="R3">
        <v>0</v>
      </c>
      <c r="S3">
        <v>0</v>
      </c>
      <c r="T3">
        <v>0</v>
      </c>
      <c r="U3">
        <v>0</v>
      </c>
      <c r="V3">
        <v>35177054794.5205</v>
      </c>
      <c r="W3" t="s">
        <v>35</v>
      </c>
    </row>
    <row r="4" spans="1:25" x14ac:dyDescent="0.3">
      <c r="A4" s="20">
        <f>IF(B4&lt;&gt;"", Runtool!$C$2, "")</f>
        <v>46262</v>
      </c>
      <c r="B4">
        <v>46442</v>
      </c>
      <c r="C4" t="s">
        <v>310</v>
      </c>
      <c r="D4" t="s">
        <v>601</v>
      </c>
      <c r="E4" t="s">
        <v>343</v>
      </c>
      <c r="F4">
        <v>400</v>
      </c>
      <c r="G4">
        <v>1000000000</v>
      </c>
      <c r="H4">
        <v>400000000000</v>
      </c>
      <c r="I4">
        <v>4000000000</v>
      </c>
      <c r="J4">
        <v>45803</v>
      </c>
      <c r="K4">
        <v>45803</v>
      </c>
      <c r="L4">
        <v>46168</v>
      </c>
      <c r="M4">
        <v>46533</v>
      </c>
      <c r="N4">
        <v>730</v>
      </c>
      <c r="O4">
        <v>6.8</v>
      </c>
      <c r="P4">
        <v>6.8</v>
      </c>
      <c r="Q4">
        <v>0</v>
      </c>
      <c r="R4">
        <v>0</v>
      </c>
      <c r="S4">
        <v>0</v>
      </c>
      <c r="T4">
        <v>0</v>
      </c>
      <c r="U4">
        <v>0</v>
      </c>
      <c r="V4">
        <v>7079452054.7945204</v>
      </c>
      <c r="W4" t="s">
        <v>35</v>
      </c>
    </row>
    <row r="5" spans="1:25" x14ac:dyDescent="0.3">
      <c r="A5" s="20">
        <f>IF(B5&lt;&gt;"", Runtool!$C$2, "")</f>
        <v>46262</v>
      </c>
      <c r="B5">
        <v>50267</v>
      </c>
      <c r="C5" t="s">
        <v>310</v>
      </c>
      <c r="D5" t="s">
        <v>1479</v>
      </c>
      <c r="E5" t="s">
        <v>345</v>
      </c>
      <c r="F5">
        <v>5000</v>
      </c>
      <c r="G5">
        <v>100000000</v>
      </c>
      <c r="H5">
        <v>500000000000</v>
      </c>
      <c r="I5">
        <v>5000000000</v>
      </c>
      <c r="J5">
        <v>46234</v>
      </c>
      <c r="K5">
        <v>46234</v>
      </c>
      <c r="L5">
        <v>46599</v>
      </c>
      <c r="M5">
        <v>48791</v>
      </c>
      <c r="N5">
        <v>2557</v>
      </c>
      <c r="O5">
        <v>0</v>
      </c>
      <c r="P5">
        <v>9.8000000000000007</v>
      </c>
      <c r="Q5">
        <v>0</v>
      </c>
      <c r="R5">
        <v>0</v>
      </c>
      <c r="S5">
        <v>0</v>
      </c>
      <c r="T5">
        <v>0</v>
      </c>
      <c r="U5">
        <v>0</v>
      </c>
      <c r="V5">
        <v>3893150684.9315</v>
      </c>
      <c r="W5" t="s">
        <v>35</v>
      </c>
    </row>
    <row r="6" spans="1:25" x14ac:dyDescent="0.3">
      <c r="A6" s="20">
        <f>IF(B6&lt;&gt;"", Runtool!$C$2, "")</f>
        <v>46262</v>
      </c>
      <c r="B6">
        <v>50268</v>
      </c>
      <c r="C6" t="s">
        <v>310</v>
      </c>
      <c r="D6" t="s">
        <v>1479</v>
      </c>
      <c r="E6" t="s">
        <v>345</v>
      </c>
      <c r="F6">
        <v>5000</v>
      </c>
      <c r="G6">
        <v>100000000</v>
      </c>
      <c r="H6">
        <v>500000000000</v>
      </c>
      <c r="I6">
        <v>5000000000</v>
      </c>
      <c r="J6">
        <v>46234</v>
      </c>
      <c r="K6">
        <v>46234</v>
      </c>
      <c r="L6">
        <v>46599</v>
      </c>
      <c r="M6">
        <v>48791</v>
      </c>
      <c r="N6">
        <v>2557</v>
      </c>
      <c r="O6">
        <v>0</v>
      </c>
      <c r="P6">
        <v>9.8000000000000007</v>
      </c>
      <c r="Q6">
        <v>0</v>
      </c>
      <c r="R6">
        <v>0</v>
      </c>
      <c r="S6">
        <v>0</v>
      </c>
      <c r="T6">
        <v>0</v>
      </c>
      <c r="U6">
        <v>0</v>
      </c>
      <c r="V6">
        <v>3893150684.9315</v>
      </c>
      <c r="W6" t="s">
        <v>35</v>
      </c>
    </row>
    <row r="7" spans="1:25" x14ac:dyDescent="0.3">
      <c r="A7" s="20">
        <f>IF(B7&lt;&gt;"", Runtool!$C$2, "")</f>
        <v>46262</v>
      </c>
      <c r="B7">
        <v>46787</v>
      </c>
      <c r="C7" t="s">
        <v>310</v>
      </c>
      <c r="D7" t="s">
        <v>640</v>
      </c>
      <c r="E7" t="s">
        <v>339</v>
      </c>
      <c r="F7">
        <v>10000</v>
      </c>
      <c r="G7">
        <v>100000000</v>
      </c>
      <c r="H7">
        <v>1000000000000</v>
      </c>
      <c r="I7">
        <v>1000000000000</v>
      </c>
      <c r="J7">
        <v>45852</v>
      </c>
      <c r="K7">
        <v>45852</v>
      </c>
      <c r="L7">
        <v>46217</v>
      </c>
      <c r="M7">
        <v>46582</v>
      </c>
      <c r="N7">
        <v>730</v>
      </c>
      <c r="O7">
        <v>5.2</v>
      </c>
      <c r="P7">
        <v>5.2</v>
      </c>
      <c r="Q7">
        <v>0</v>
      </c>
      <c r="R7">
        <v>0</v>
      </c>
      <c r="S7">
        <v>0</v>
      </c>
      <c r="T7">
        <v>0</v>
      </c>
      <c r="U7">
        <v>0</v>
      </c>
      <c r="V7">
        <v>6553424657.5342398</v>
      </c>
      <c r="W7" t="s">
        <v>35</v>
      </c>
    </row>
    <row r="8" spans="1:25" x14ac:dyDescent="0.3">
      <c r="A8" s="20">
        <f>IF(B8&lt;&gt;"", Runtool!$C$2, "")</f>
        <v>46262</v>
      </c>
      <c r="B8">
        <v>46835</v>
      </c>
      <c r="C8" t="s">
        <v>310</v>
      </c>
      <c r="D8" t="s">
        <v>640</v>
      </c>
      <c r="E8" t="s">
        <v>339</v>
      </c>
      <c r="F8">
        <v>10000</v>
      </c>
      <c r="G8">
        <v>100000000</v>
      </c>
      <c r="H8">
        <v>1000000000000</v>
      </c>
      <c r="I8">
        <v>1000000000000</v>
      </c>
      <c r="J8">
        <v>45852</v>
      </c>
      <c r="K8">
        <v>45852</v>
      </c>
      <c r="L8">
        <v>46217</v>
      </c>
      <c r="M8">
        <v>46582</v>
      </c>
      <c r="N8">
        <v>730</v>
      </c>
      <c r="O8">
        <v>5.2</v>
      </c>
      <c r="P8">
        <v>5.2</v>
      </c>
      <c r="Q8">
        <v>0</v>
      </c>
      <c r="R8">
        <v>0</v>
      </c>
      <c r="S8">
        <v>0</v>
      </c>
      <c r="T8">
        <v>0</v>
      </c>
      <c r="U8">
        <v>0</v>
      </c>
      <c r="V8">
        <v>6553424657.5342398</v>
      </c>
      <c r="W8" t="s">
        <v>35</v>
      </c>
    </row>
    <row r="9" spans="1:25" x14ac:dyDescent="0.3">
      <c r="A9" s="20">
        <f>IF(B9&lt;&gt;"", Runtool!$C$2, "")</f>
        <v>46262</v>
      </c>
      <c r="B9">
        <v>50613</v>
      </c>
      <c r="C9" t="s">
        <v>310</v>
      </c>
      <c r="D9" t="s">
        <v>1617</v>
      </c>
      <c r="E9" t="s">
        <v>347</v>
      </c>
      <c r="F9">
        <v>1000</v>
      </c>
      <c r="G9">
        <v>1000000000</v>
      </c>
      <c r="H9">
        <v>1000000000000</v>
      </c>
      <c r="I9">
        <v>1000000000000</v>
      </c>
      <c r="J9">
        <v>46262</v>
      </c>
      <c r="K9">
        <v>46262</v>
      </c>
      <c r="L9">
        <v>46627</v>
      </c>
      <c r="M9">
        <v>48454</v>
      </c>
      <c r="N9">
        <v>2192</v>
      </c>
      <c r="O9">
        <v>0</v>
      </c>
      <c r="P9">
        <v>9.5</v>
      </c>
      <c r="Q9">
        <v>0</v>
      </c>
      <c r="R9">
        <v>0</v>
      </c>
      <c r="S9">
        <v>0</v>
      </c>
      <c r="T9">
        <v>0</v>
      </c>
      <c r="U9">
        <v>0</v>
      </c>
      <c r="V9">
        <v>260273972.60273901</v>
      </c>
      <c r="W9" t="s">
        <v>35</v>
      </c>
    </row>
    <row r="10" spans="1:25" x14ac:dyDescent="0.3">
      <c r="A10" s="20">
        <f>IF(B10&lt;&gt;"", Runtool!$C$2, "")</f>
        <v>46262</v>
      </c>
      <c r="B10">
        <v>49880</v>
      </c>
      <c r="C10" t="s">
        <v>310</v>
      </c>
      <c r="D10" t="s">
        <v>1298</v>
      </c>
      <c r="E10" t="s">
        <v>343</v>
      </c>
      <c r="F10">
        <v>1000</v>
      </c>
      <c r="G10">
        <v>1000000000</v>
      </c>
      <c r="H10">
        <v>1000000000000</v>
      </c>
      <c r="I10">
        <v>1000000000000</v>
      </c>
      <c r="J10">
        <v>46169</v>
      </c>
      <c r="K10">
        <v>46169</v>
      </c>
      <c r="L10">
        <v>46534</v>
      </c>
      <c r="M10">
        <v>47265</v>
      </c>
      <c r="N10">
        <v>1096</v>
      </c>
      <c r="O10">
        <v>9.8000000000000007</v>
      </c>
      <c r="P10">
        <v>9.8000000000000007</v>
      </c>
      <c r="Q10">
        <v>0</v>
      </c>
      <c r="R10">
        <v>0</v>
      </c>
      <c r="S10">
        <v>0</v>
      </c>
      <c r="T10">
        <v>0</v>
      </c>
      <c r="U10">
        <v>0</v>
      </c>
      <c r="V10">
        <v>25238356164.383499</v>
      </c>
      <c r="W10" t="s">
        <v>35</v>
      </c>
    </row>
    <row r="11" spans="1:25" x14ac:dyDescent="0.3">
      <c r="A11" s="20">
        <f>IF(B11&lt;&gt;"", Runtool!$C$2, "")</f>
        <v>46262</v>
      </c>
      <c r="B11">
        <v>49547</v>
      </c>
      <c r="C11" t="s">
        <v>310</v>
      </c>
      <c r="D11" t="s">
        <v>1262</v>
      </c>
      <c r="E11" t="s">
        <v>318</v>
      </c>
      <c r="F11">
        <v>600</v>
      </c>
      <c r="G11">
        <v>1000000000</v>
      </c>
      <c r="H11">
        <v>600000000000</v>
      </c>
      <c r="I11">
        <v>6000000000</v>
      </c>
      <c r="J11">
        <v>46133</v>
      </c>
      <c r="K11">
        <v>46133</v>
      </c>
      <c r="L11">
        <v>46498</v>
      </c>
      <c r="M11">
        <v>46498</v>
      </c>
      <c r="N11">
        <v>365</v>
      </c>
      <c r="O11">
        <v>8.4</v>
      </c>
      <c r="P11">
        <v>8.4</v>
      </c>
      <c r="Q11">
        <v>0</v>
      </c>
      <c r="R11">
        <v>0</v>
      </c>
      <c r="S11">
        <v>0</v>
      </c>
      <c r="T11">
        <v>0</v>
      </c>
      <c r="U11">
        <v>0</v>
      </c>
      <c r="V11">
        <v>17950684931.506802</v>
      </c>
      <c r="W11" t="s">
        <v>35</v>
      </c>
    </row>
    <row r="12" spans="1:25" x14ac:dyDescent="0.3">
      <c r="A12" s="20">
        <f>IF(B12&lt;&gt;"", Runtool!$C$2, "")</f>
        <v>46262</v>
      </c>
      <c r="B12">
        <v>49548</v>
      </c>
      <c r="C12" t="s">
        <v>310</v>
      </c>
      <c r="D12" t="s">
        <v>1262</v>
      </c>
      <c r="E12" t="s">
        <v>318</v>
      </c>
      <c r="F12">
        <v>600</v>
      </c>
      <c r="G12">
        <v>1000000000</v>
      </c>
      <c r="H12">
        <v>600000000000</v>
      </c>
      <c r="I12">
        <v>6000000000</v>
      </c>
      <c r="J12">
        <v>46133</v>
      </c>
      <c r="K12">
        <v>46133</v>
      </c>
      <c r="L12">
        <v>46498</v>
      </c>
      <c r="M12">
        <v>46498</v>
      </c>
      <c r="N12">
        <v>365</v>
      </c>
      <c r="O12">
        <v>8.4</v>
      </c>
      <c r="P12">
        <v>8.4</v>
      </c>
      <c r="Q12">
        <v>0</v>
      </c>
      <c r="R12">
        <v>0</v>
      </c>
      <c r="S12">
        <v>0</v>
      </c>
      <c r="T12">
        <v>0</v>
      </c>
      <c r="U12">
        <v>0</v>
      </c>
      <c r="V12">
        <v>17950684931.506802</v>
      </c>
      <c r="W12" t="s">
        <v>35</v>
      </c>
    </row>
    <row r="13" spans="1:25" x14ac:dyDescent="0.3">
      <c r="A13" s="20">
        <f>IF(B13&lt;&gt;"", Runtool!$C$2, "")</f>
        <v>46262</v>
      </c>
      <c r="B13">
        <v>49546</v>
      </c>
      <c r="C13" t="s">
        <v>310</v>
      </c>
      <c r="D13" t="s">
        <v>1262</v>
      </c>
      <c r="E13" t="s">
        <v>318</v>
      </c>
      <c r="F13">
        <v>800</v>
      </c>
      <c r="G13">
        <v>1000000000</v>
      </c>
      <c r="H13">
        <v>800000000000</v>
      </c>
      <c r="I13">
        <v>8000000000</v>
      </c>
      <c r="J13">
        <v>46133</v>
      </c>
      <c r="K13">
        <v>46133</v>
      </c>
      <c r="L13">
        <v>46498</v>
      </c>
      <c r="M13">
        <v>46498</v>
      </c>
      <c r="N13">
        <v>365</v>
      </c>
      <c r="O13">
        <v>8.4</v>
      </c>
      <c r="P13">
        <v>8.4</v>
      </c>
      <c r="Q13">
        <v>0</v>
      </c>
      <c r="R13">
        <v>0</v>
      </c>
      <c r="S13">
        <v>0</v>
      </c>
      <c r="T13">
        <v>0</v>
      </c>
      <c r="U13">
        <v>0</v>
      </c>
      <c r="V13">
        <v>23934246575.3424</v>
      </c>
      <c r="W13" t="s">
        <v>35</v>
      </c>
    </row>
    <row r="14" spans="1:25" x14ac:dyDescent="0.3">
      <c r="A14" s="20">
        <f>IF(B14&lt;&gt;"", Runtool!$C$2, "")</f>
        <v>46262</v>
      </c>
      <c r="B14">
        <v>48502</v>
      </c>
      <c r="C14" t="s">
        <v>310</v>
      </c>
      <c r="D14" t="s">
        <v>43</v>
      </c>
      <c r="E14" t="s">
        <v>315</v>
      </c>
      <c r="F14">
        <v>5000</v>
      </c>
      <c r="G14">
        <v>100000000</v>
      </c>
      <c r="H14">
        <v>500000000000</v>
      </c>
      <c r="I14">
        <v>5145126500</v>
      </c>
      <c r="J14">
        <v>46031</v>
      </c>
      <c r="K14">
        <v>42985</v>
      </c>
      <c r="L14">
        <v>43350</v>
      </c>
      <c r="M14">
        <v>46637</v>
      </c>
      <c r="N14">
        <v>3652</v>
      </c>
      <c r="O14">
        <v>8.4</v>
      </c>
      <c r="P14">
        <v>8.6</v>
      </c>
      <c r="Q14">
        <v>95569178.082193404</v>
      </c>
      <c r="R14">
        <v>0</v>
      </c>
      <c r="S14">
        <v>58981637.958317399</v>
      </c>
      <c r="T14">
        <v>0</v>
      </c>
      <c r="U14">
        <v>14608219178.0821</v>
      </c>
      <c r="V14">
        <v>27331506849.314999</v>
      </c>
      <c r="W14" t="s">
        <v>35</v>
      </c>
    </row>
    <row r="15" spans="1:25" x14ac:dyDescent="0.3">
      <c r="A15" s="20">
        <f>IF(B15&lt;&gt;"", Runtool!$C$2, "")</f>
        <v>46262</v>
      </c>
      <c r="B15">
        <v>50609</v>
      </c>
      <c r="C15" t="s">
        <v>310</v>
      </c>
      <c r="D15" t="s">
        <v>1608</v>
      </c>
      <c r="E15" t="s">
        <v>342</v>
      </c>
      <c r="F15">
        <v>1000</v>
      </c>
      <c r="G15">
        <v>1000000000</v>
      </c>
      <c r="H15">
        <v>1000000000000</v>
      </c>
      <c r="I15">
        <v>1000000000000</v>
      </c>
      <c r="J15">
        <v>46261</v>
      </c>
      <c r="K15">
        <v>46261</v>
      </c>
      <c r="L15">
        <v>46626</v>
      </c>
      <c r="M15">
        <v>48453</v>
      </c>
      <c r="N15">
        <v>2192</v>
      </c>
      <c r="O15">
        <v>9.6999999999999993</v>
      </c>
      <c r="P15">
        <v>9.6999999999999993</v>
      </c>
      <c r="Q15">
        <v>0</v>
      </c>
      <c r="R15">
        <v>0</v>
      </c>
      <c r="S15">
        <v>0</v>
      </c>
      <c r="T15">
        <v>0</v>
      </c>
      <c r="U15">
        <v>0</v>
      </c>
      <c r="V15">
        <v>531506849.31506801</v>
      </c>
      <c r="W15" t="s">
        <v>35</v>
      </c>
    </row>
    <row r="16" spans="1:25" x14ac:dyDescent="0.3">
      <c r="A16" s="20">
        <f>IF(B16&lt;&gt;"", Runtool!$C$2, "")</f>
        <v>46262</v>
      </c>
      <c r="B16">
        <v>47236</v>
      </c>
      <c r="C16" t="s">
        <v>310</v>
      </c>
      <c r="D16" t="s">
        <v>942</v>
      </c>
      <c r="E16" t="s">
        <v>342</v>
      </c>
      <c r="F16">
        <v>500</v>
      </c>
      <c r="G16">
        <v>1000000000</v>
      </c>
      <c r="H16">
        <v>500000000000</v>
      </c>
      <c r="I16">
        <v>5000000000</v>
      </c>
      <c r="J16">
        <v>45884</v>
      </c>
      <c r="K16">
        <v>45884</v>
      </c>
      <c r="L16">
        <v>46249</v>
      </c>
      <c r="M16">
        <v>48441</v>
      </c>
      <c r="N16">
        <v>2557</v>
      </c>
      <c r="O16">
        <v>7.65</v>
      </c>
      <c r="P16">
        <v>8.9</v>
      </c>
      <c r="Q16">
        <v>0</v>
      </c>
      <c r="R16">
        <v>0</v>
      </c>
      <c r="S16">
        <v>0</v>
      </c>
      <c r="T16">
        <v>0</v>
      </c>
      <c r="U16">
        <v>0</v>
      </c>
      <c r="V16">
        <v>1706849315.06849</v>
      </c>
      <c r="W16" t="s">
        <v>35</v>
      </c>
    </row>
    <row r="17" spans="1:23" x14ac:dyDescent="0.3">
      <c r="A17" s="20">
        <f>IF(B17&lt;&gt;"", Runtool!$C$2, "")</f>
        <v>46262</v>
      </c>
      <c r="B17">
        <v>44001</v>
      </c>
      <c r="C17" t="s">
        <v>310</v>
      </c>
      <c r="D17" t="s">
        <v>40</v>
      </c>
      <c r="E17" t="s">
        <v>312</v>
      </c>
      <c r="F17">
        <v>200</v>
      </c>
      <c r="G17">
        <v>1000000000</v>
      </c>
      <c r="H17">
        <v>200000000000</v>
      </c>
      <c r="I17">
        <v>5000000000</v>
      </c>
      <c r="J17">
        <v>45559</v>
      </c>
      <c r="K17">
        <v>45559</v>
      </c>
      <c r="L17">
        <v>45924</v>
      </c>
      <c r="M17">
        <v>46289</v>
      </c>
      <c r="N17">
        <v>730</v>
      </c>
      <c r="O17">
        <v>0</v>
      </c>
      <c r="P17">
        <v>7.5750000000000002</v>
      </c>
      <c r="Q17">
        <v>0</v>
      </c>
      <c r="R17">
        <v>0</v>
      </c>
      <c r="S17">
        <v>0</v>
      </c>
      <c r="T17">
        <v>0</v>
      </c>
      <c r="U17">
        <v>0</v>
      </c>
      <c r="V17">
        <v>14070821917.808201</v>
      </c>
      <c r="W17" t="s">
        <v>35</v>
      </c>
    </row>
    <row r="18" spans="1:23" x14ac:dyDescent="0.3">
      <c r="A18" s="20">
        <f>IF(B18&lt;&gt;"", Runtool!$C$2, "")</f>
        <v>46262</v>
      </c>
      <c r="B18">
        <v>49767</v>
      </c>
      <c r="C18" t="s">
        <v>310</v>
      </c>
      <c r="D18" t="s">
        <v>1274</v>
      </c>
      <c r="E18" t="s">
        <v>318</v>
      </c>
      <c r="F18">
        <v>500</v>
      </c>
      <c r="G18">
        <v>1000000000</v>
      </c>
      <c r="H18">
        <v>500000000000</v>
      </c>
      <c r="I18">
        <v>5000000000</v>
      </c>
      <c r="J18">
        <v>46155</v>
      </c>
      <c r="K18">
        <v>46155</v>
      </c>
      <c r="L18">
        <v>46520</v>
      </c>
      <c r="M18">
        <v>46520</v>
      </c>
      <c r="N18">
        <v>365</v>
      </c>
      <c r="O18">
        <v>8.4</v>
      </c>
      <c r="P18">
        <v>8.4</v>
      </c>
      <c r="Q18">
        <v>0</v>
      </c>
      <c r="R18">
        <v>0</v>
      </c>
      <c r="S18">
        <v>0</v>
      </c>
      <c r="T18">
        <v>0</v>
      </c>
      <c r="U18">
        <v>0</v>
      </c>
      <c r="V18">
        <v>12427397260.273899</v>
      </c>
      <c r="W18" t="s">
        <v>35</v>
      </c>
    </row>
    <row r="19" spans="1:23" x14ac:dyDescent="0.3">
      <c r="A19" s="20">
        <f>IF(B19&lt;&gt;"", Runtool!$C$2, "")</f>
        <v>46262</v>
      </c>
      <c r="B19">
        <v>49635</v>
      </c>
      <c r="C19" t="s">
        <v>310</v>
      </c>
      <c r="D19" t="s">
        <v>1265</v>
      </c>
      <c r="E19" t="s">
        <v>322</v>
      </c>
      <c r="F19">
        <v>1000</v>
      </c>
      <c r="G19">
        <v>1000000000</v>
      </c>
      <c r="H19">
        <v>1000000000000</v>
      </c>
      <c r="I19">
        <v>1000000000000</v>
      </c>
      <c r="J19">
        <v>46136</v>
      </c>
      <c r="K19">
        <v>46136</v>
      </c>
      <c r="L19">
        <v>46501</v>
      </c>
      <c r="M19">
        <v>47232</v>
      </c>
      <c r="N19">
        <v>1096</v>
      </c>
      <c r="O19">
        <v>8.6</v>
      </c>
      <c r="P19">
        <v>8.6</v>
      </c>
      <c r="Q19">
        <v>0</v>
      </c>
      <c r="R19">
        <v>0</v>
      </c>
      <c r="S19">
        <v>0</v>
      </c>
      <c r="T19">
        <v>0</v>
      </c>
      <c r="U19">
        <v>0</v>
      </c>
      <c r="V19">
        <v>29923287671.2328</v>
      </c>
      <c r="W19" t="s">
        <v>35</v>
      </c>
    </row>
    <row r="20" spans="1:23" x14ac:dyDescent="0.3">
      <c r="A20" s="20">
        <f>IF(B20&lt;&gt;"", Runtool!$C$2, "")</f>
        <v>46262</v>
      </c>
      <c r="B20">
        <v>49768</v>
      </c>
      <c r="C20" t="s">
        <v>310</v>
      </c>
      <c r="D20" t="s">
        <v>1274</v>
      </c>
      <c r="E20" t="s">
        <v>318</v>
      </c>
      <c r="F20">
        <v>500</v>
      </c>
      <c r="G20">
        <v>1000000000</v>
      </c>
      <c r="H20">
        <v>500000000000</v>
      </c>
      <c r="I20">
        <v>5000000000</v>
      </c>
      <c r="J20">
        <v>46155</v>
      </c>
      <c r="K20">
        <v>46155</v>
      </c>
      <c r="L20">
        <v>46520</v>
      </c>
      <c r="M20">
        <v>46520</v>
      </c>
      <c r="N20">
        <v>365</v>
      </c>
      <c r="O20">
        <v>8.4</v>
      </c>
      <c r="P20">
        <v>8.4</v>
      </c>
      <c r="Q20">
        <v>0</v>
      </c>
      <c r="R20">
        <v>0</v>
      </c>
      <c r="S20">
        <v>0</v>
      </c>
      <c r="T20">
        <v>0</v>
      </c>
      <c r="U20">
        <v>0</v>
      </c>
      <c r="V20">
        <v>12427397260.273899</v>
      </c>
      <c r="W20" t="s">
        <v>35</v>
      </c>
    </row>
    <row r="21" spans="1:23" x14ac:dyDescent="0.3">
      <c r="A21" s="20">
        <f>IF(B21&lt;&gt;"", Runtool!$C$2, "")</f>
        <v>46262</v>
      </c>
      <c r="B21">
        <v>46786</v>
      </c>
      <c r="C21" t="s">
        <v>310</v>
      </c>
      <c r="D21" t="s">
        <v>640</v>
      </c>
      <c r="E21" t="s">
        <v>339</v>
      </c>
      <c r="F21">
        <v>10000</v>
      </c>
      <c r="G21">
        <v>100000000</v>
      </c>
      <c r="H21">
        <v>1000000000000</v>
      </c>
      <c r="I21">
        <v>1000000000000</v>
      </c>
      <c r="J21">
        <v>45852</v>
      </c>
      <c r="K21">
        <v>45852</v>
      </c>
      <c r="L21">
        <v>46217</v>
      </c>
      <c r="M21">
        <v>46582</v>
      </c>
      <c r="N21">
        <v>730</v>
      </c>
      <c r="O21">
        <v>5.2</v>
      </c>
      <c r="P21">
        <v>5.2</v>
      </c>
      <c r="Q21">
        <v>0</v>
      </c>
      <c r="R21">
        <v>0</v>
      </c>
      <c r="S21">
        <v>0</v>
      </c>
      <c r="T21">
        <v>0</v>
      </c>
      <c r="U21">
        <v>0</v>
      </c>
      <c r="V21">
        <v>6553424657.5342398</v>
      </c>
      <c r="W21" t="s">
        <v>35</v>
      </c>
    </row>
    <row r="22" spans="1:23" x14ac:dyDescent="0.3">
      <c r="A22" s="20">
        <f>IF(B22&lt;&gt;"", Runtool!$C$2, "")</f>
        <v>46262</v>
      </c>
      <c r="B22">
        <v>48345</v>
      </c>
      <c r="C22" t="s">
        <v>310</v>
      </c>
      <c r="D22" t="s">
        <v>392</v>
      </c>
      <c r="E22" t="s">
        <v>313</v>
      </c>
      <c r="F22">
        <v>400</v>
      </c>
      <c r="G22">
        <v>1000000000</v>
      </c>
      <c r="H22">
        <v>400000000000</v>
      </c>
      <c r="I22">
        <v>4003588732</v>
      </c>
      <c r="J22">
        <v>46006</v>
      </c>
      <c r="K22">
        <v>45639</v>
      </c>
      <c r="L22">
        <v>45821</v>
      </c>
      <c r="M22">
        <v>46369</v>
      </c>
      <c r="N22">
        <v>730</v>
      </c>
      <c r="O22">
        <v>6.7</v>
      </c>
      <c r="P22">
        <v>7.9</v>
      </c>
      <c r="Q22">
        <v>0</v>
      </c>
      <c r="R22">
        <v>358873200</v>
      </c>
      <c r="S22">
        <v>0</v>
      </c>
      <c r="T22">
        <v>104794928.92561901</v>
      </c>
      <c r="U22">
        <v>0</v>
      </c>
      <c r="V22">
        <v>6493150684.9315004</v>
      </c>
      <c r="W22" t="s">
        <v>35</v>
      </c>
    </row>
    <row r="23" spans="1:23" x14ac:dyDescent="0.3">
      <c r="A23" s="20">
        <f>IF(B23&lt;&gt;"", Runtool!$C$2, "")</f>
        <v>46262</v>
      </c>
      <c r="B23">
        <v>45881</v>
      </c>
      <c r="C23" t="s">
        <v>310</v>
      </c>
      <c r="D23" t="s">
        <v>40</v>
      </c>
      <c r="E23" t="s">
        <v>312</v>
      </c>
      <c r="F23">
        <v>300</v>
      </c>
      <c r="G23">
        <v>1000000000</v>
      </c>
      <c r="H23">
        <v>300000000000</v>
      </c>
      <c r="I23">
        <v>3115983828</v>
      </c>
      <c r="J23">
        <v>45748</v>
      </c>
      <c r="K23">
        <v>45559</v>
      </c>
      <c r="L23">
        <v>45924</v>
      </c>
      <c r="M23">
        <v>46289</v>
      </c>
      <c r="N23">
        <v>730</v>
      </c>
      <c r="O23">
        <v>0</v>
      </c>
      <c r="P23">
        <v>7.5750000000000002</v>
      </c>
      <c r="Q23">
        <v>168808980.82191801</v>
      </c>
      <c r="R23">
        <v>0</v>
      </c>
      <c r="S23">
        <v>8112816.0838630004</v>
      </c>
      <c r="T23">
        <v>0</v>
      </c>
      <c r="U23">
        <v>11767191780.821899</v>
      </c>
      <c r="V23">
        <v>21106232876.712299</v>
      </c>
      <c r="W23" t="s">
        <v>35</v>
      </c>
    </row>
    <row r="24" spans="1:23" x14ac:dyDescent="0.3">
      <c r="A24" s="20">
        <f>IF(B24&lt;&gt;"", Runtool!$C$2, "")</f>
        <v>46262</v>
      </c>
      <c r="B24">
        <v>49636</v>
      </c>
      <c r="C24" t="s">
        <v>310</v>
      </c>
      <c r="D24" t="s">
        <v>1265</v>
      </c>
      <c r="E24" t="s">
        <v>322</v>
      </c>
      <c r="F24">
        <v>1000</v>
      </c>
      <c r="G24">
        <v>1000000000</v>
      </c>
      <c r="H24">
        <v>1000000000000</v>
      </c>
      <c r="I24">
        <v>1000000000000</v>
      </c>
      <c r="J24">
        <v>46136</v>
      </c>
      <c r="K24">
        <v>46136</v>
      </c>
      <c r="L24">
        <v>46501</v>
      </c>
      <c r="M24">
        <v>47232</v>
      </c>
      <c r="N24">
        <v>1096</v>
      </c>
      <c r="O24">
        <v>8.6</v>
      </c>
      <c r="P24">
        <v>8.6</v>
      </c>
      <c r="Q24">
        <v>0</v>
      </c>
      <c r="R24">
        <v>0</v>
      </c>
      <c r="S24">
        <v>0</v>
      </c>
      <c r="T24">
        <v>0</v>
      </c>
      <c r="U24">
        <v>0</v>
      </c>
      <c r="V24">
        <v>29923287671.2328</v>
      </c>
      <c r="W24" t="s">
        <v>35</v>
      </c>
    </row>
    <row r="25" spans="1:23" x14ac:dyDescent="0.3">
      <c r="A25" s="20">
        <f>IF(B25&lt;&gt;"", Runtool!$C$2, "")</f>
        <v>46262</v>
      </c>
      <c r="B25">
        <v>48468</v>
      </c>
      <c r="C25" t="s">
        <v>310</v>
      </c>
      <c r="D25" t="s">
        <v>638</v>
      </c>
      <c r="E25" t="s">
        <v>328</v>
      </c>
      <c r="F25">
        <v>3976106</v>
      </c>
      <c r="G25">
        <v>100000</v>
      </c>
      <c r="H25">
        <v>397610600000</v>
      </c>
      <c r="I25">
        <v>4213240961</v>
      </c>
      <c r="J25">
        <v>46028</v>
      </c>
      <c r="K25">
        <v>45740</v>
      </c>
      <c r="L25">
        <v>46105</v>
      </c>
      <c r="M25">
        <v>48297</v>
      </c>
      <c r="N25">
        <v>2557</v>
      </c>
      <c r="O25">
        <v>7.375</v>
      </c>
      <c r="P25">
        <v>7.9</v>
      </c>
      <c r="Q25">
        <v>0</v>
      </c>
      <c r="R25">
        <v>575827296.32876503</v>
      </c>
      <c r="S25">
        <v>0</v>
      </c>
      <c r="T25">
        <v>516188946.99546403</v>
      </c>
      <c r="U25">
        <v>23137668887.6712</v>
      </c>
      <c r="V25">
        <v>13597193175.8904</v>
      </c>
      <c r="W25" t="s">
        <v>39</v>
      </c>
    </row>
    <row r="26" spans="1:23" x14ac:dyDescent="0.3">
      <c r="A26" s="20">
        <f>IF(B26&lt;&gt;"", Runtool!$C$2, "")</f>
        <v>46262</v>
      </c>
      <c r="B26">
        <v>50242</v>
      </c>
      <c r="C26" t="s">
        <v>1535</v>
      </c>
      <c r="D26" t="s">
        <v>1462</v>
      </c>
      <c r="E26" t="s">
        <v>1429</v>
      </c>
      <c r="F26">
        <v>10255273</v>
      </c>
      <c r="G26">
        <v>29818</v>
      </c>
      <c r="H26">
        <v>305786653954</v>
      </c>
      <c r="I26">
        <v>209677908434</v>
      </c>
      <c r="J26">
        <v>46230</v>
      </c>
      <c r="K26">
        <v>46230</v>
      </c>
      <c r="L26">
        <v>46414</v>
      </c>
      <c r="M26">
        <v>48056</v>
      </c>
      <c r="N26">
        <v>1826</v>
      </c>
      <c r="O26">
        <v>6</v>
      </c>
      <c r="P26">
        <v>6</v>
      </c>
      <c r="Q26">
        <v>96108745337.699768</v>
      </c>
      <c r="R26">
        <v>0</v>
      </c>
      <c r="S26">
        <v>94371840301.476288</v>
      </c>
      <c r="T26">
        <v>0</v>
      </c>
      <c r="U26">
        <v>0</v>
      </c>
      <c r="V26">
        <v>1645265148.9909093</v>
      </c>
      <c r="W26" t="s">
        <v>1408</v>
      </c>
    </row>
    <row r="27" spans="1:23" x14ac:dyDescent="0.3">
      <c r="A27" s="20">
        <f>IF(B27&lt;&gt;"", Runtool!$C$2, "")</f>
        <v>46262</v>
      </c>
      <c r="B27">
        <v>50188</v>
      </c>
      <c r="C27" t="s">
        <v>1535</v>
      </c>
      <c r="D27" t="s">
        <v>1407</v>
      </c>
      <c r="E27" t="s">
        <v>1429</v>
      </c>
      <c r="F27">
        <v>985492</v>
      </c>
      <c r="G27">
        <v>29818</v>
      </c>
      <c r="H27">
        <v>29384912637</v>
      </c>
      <c r="I27">
        <v>20149234464</v>
      </c>
      <c r="J27">
        <v>46216</v>
      </c>
      <c r="K27">
        <v>46216</v>
      </c>
      <c r="L27">
        <v>46400</v>
      </c>
      <c r="M27">
        <v>48042</v>
      </c>
      <c r="N27">
        <v>1826</v>
      </c>
      <c r="O27">
        <v>6</v>
      </c>
      <c r="P27">
        <v>6</v>
      </c>
      <c r="Q27">
        <v>9235678041.9536781</v>
      </c>
      <c r="R27">
        <v>0</v>
      </c>
      <c r="S27">
        <v>8997957960.9176388</v>
      </c>
      <c r="T27">
        <v>0</v>
      </c>
      <c r="U27">
        <v>0</v>
      </c>
      <c r="V27">
        <v>225177863.14574549</v>
      </c>
      <c r="W27" t="s">
        <v>1408</v>
      </c>
    </row>
    <row r="28" spans="1:23" x14ac:dyDescent="0.3">
      <c r="A28" s="20">
        <f>IF(B28&lt;&gt;"", Runtool!$C$2, "")</f>
        <v>46262</v>
      </c>
      <c r="B28">
        <v>50197</v>
      </c>
      <c r="C28" t="s">
        <v>1535</v>
      </c>
      <c r="D28" t="s">
        <v>1407</v>
      </c>
      <c r="E28" t="s">
        <v>1429</v>
      </c>
      <c r="F28">
        <v>5387362</v>
      </c>
      <c r="G28">
        <v>29818</v>
      </c>
      <c r="H28">
        <v>160637693372</v>
      </c>
      <c r="I28">
        <v>110149266542</v>
      </c>
      <c r="J28">
        <v>46216</v>
      </c>
      <c r="K28">
        <v>46216</v>
      </c>
      <c r="L28">
        <v>46400</v>
      </c>
      <c r="M28">
        <v>48042</v>
      </c>
      <c r="N28">
        <v>1826</v>
      </c>
      <c r="O28">
        <v>6</v>
      </c>
      <c r="P28">
        <v>6</v>
      </c>
      <c r="Q28">
        <v>50488427026.75988</v>
      </c>
      <c r="R28">
        <v>0</v>
      </c>
      <c r="S28">
        <v>49188889200.769897</v>
      </c>
      <c r="T28">
        <v>0</v>
      </c>
      <c r="U28">
        <v>0</v>
      </c>
      <c r="V28">
        <v>1230973628.5557051</v>
      </c>
      <c r="W28" t="s">
        <v>1408</v>
      </c>
    </row>
    <row r="29" spans="1:23" x14ac:dyDescent="0.3">
      <c r="A29" s="20">
        <f>IF(B29&lt;&gt;"", Runtool!$C$2, "")</f>
        <v>46262</v>
      </c>
      <c r="B29">
        <v>50243</v>
      </c>
      <c r="C29" t="s">
        <v>1535</v>
      </c>
      <c r="D29" t="s">
        <v>1462</v>
      </c>
      <c r="E29" t="s">
        <v>1429</v>
      </c>
      <c r="F29">
        <v>2489727</v>
      </c>
      <c r="G29">
        <v>29818</v>
      </c>
      <c r="H29">
        <v>74237447271</v>
      </c>
      <c r="I29">
        <v>50904617776</v>
      </c>
      <c r="J29">
        <v>46230</v>
      </c>
      <c r="K29">
        <v>46230</v>
      </c>
      <c r="L29">
        <v>46414</v>
      </c>
      <c r="M29">
        <v>48056</v>
      </c>
      <c r="N29">
        <v>1826</v>
      </c>
      <c r="O29">
        <v>6</v>
      </c>
      <c r="P29">
        <v>6</v>
      </c>
      <c r="Q29">
        <v>23332829677.31773</v>
      </c>
      <c r="R29">
        <v>0</v>
      </c>
      <c r="S29">
        <v>22911152032.546944</v>
      </c>
      <c r="T29">
        <v>0</v>
      </c>
      <c r="U29">
        <v>0</v>
      </c>
      <c r="V29">
        <v>399429743.46969372</v>
      </c>
      <c r="W29" t="s">
        <v>1408</v>
      </c>
    </row>
    <row r="30" spans="1:23" x14ac:dyDescent="0.3">
      <c r="A30" s="20">
        <f>IF(B30&lt;&gt;"", Runtool!$C$2, "")</f>
        <v>46262</v>
      </c>
      <c r="B30">
        <v>4077</v>
      </c>
      <c r="C30" t="s">
        <v>310</v>
      </c>
      <c r="D30" t="s">
        <v>1041</v>
      </c>
      <c r="E30" t="s">
        <v>703</v>
      </c>
      <c r="F30">
        <v>250000000000</v>
      </c>
      <c r="G30">
        <v>1</v>
      </c>
      <c r="H30">
        <v>250000000000</v>
      </c>
      <c r="I30">
        <v>2573897882</v>
      </c>
      <c r="J30">
        <v>46125</v>
      </c>
      <c r="K30">
        <v>45968</v>
      </c>
      <c r="L30">
        <v>46325</v>
      </c>
      <c r="M30">
        <v>46325</v>
      </c>
      <c r="N30">
        <v>357</v>
      </c>
      <c r="O30">
        <v>0</v>
      </c>
      <c r="P30">
        <v>6.6</v>
      </c>
      <c r="Q30">
        <v>0</v>
      </c>
      <c r="R30">
        <v>292527975</v>
      </c>
      <c r="S30">
        <v>0</v>
      </c>
      <c r="T30">
        <v>90683672.25</v>
      </c>
      <c r="U30">
        <v>7097260275</v>
      </c>
      <c r="V30">
        <v>6238356164.3835602</v>
      </c>
      <c r="W30" t="s">
        <v>364</v>
      </c>
    </row>
    <row r="31" spans="1:23" x14ac:dyDescent="0.3">
      <c r="A31" s="20">
        <f>IF(B31&lt;&gt;"", Runtool!$C$2, "")</f>
        <v>46262</v>
      </c>
      <c r="B31">
        <v>4110</v>
      </c>
      <c r="C31" t="s">
        <v>310</v>
      </c>
      <c r="D31" t="s">
        <v>1260</v>
      </c>
      <c r="E31" t="s">
        <v>384</v>
      </c>
      <c r="F31">
        <v>26000000000</v>
      </c>
      <c r="G31">
        <v>1</v>
      </c>
      <c r="H31">
        <v>26000000000</v>
      </c>
      <c r="I31">
        <v>4032273972</v>
      </c>
      <c r="J31">
        <v>46160</v>
      </c>
      <c r="K31">
        <v>46129</v>
      </c>
      <c r="M31">
        <v>46524</v>
      </c>
      <c r="N31">
        <v>395</v>
      </c>
      <c r="O31">
        <v>0</v>
      </c>
      <c r="P31">
        <v>9.5</v>
      </c>
      <c r="Q31">
        <v>60</v>
      </c>
      <c r="R31">
        <v>0</v>
      </c>
      <c r="S31">
        <v>2.7964286</v>
      </c>
      <c r="T31">
        <v>0</v>
      </c>
      <c r="U31">
        <v>3227397260</v>
      </c>
      <c r="V31">
        <v>697013698.63013697</v>
      </c>
      <c r="W31" t="s">
        <v>364</v>
      </c>
    </row>
    <row r="32" spans="1:23" x14ac:dyDescent="0.3">
      <c r="A32" s="20">
        <f>IF(B32&lt;&gt;"", Runtool!$C$2, "")</f>
        <v>46262</v>
      </c>
      <c r="B32">
        <v>4126</v>
      </c>
      <c r="C32" t="s">
        <v>310</v>
      </c>
      <c r="D32" t="s">
        <v>1261</v>
      </c>
      <c r="E32" t="s">
        <v>343</v>
      </c>
      <c r="F32">
        <v>400000000000</v>
      </c>
      <c r="G32">
        <v>1</v>
      </c>
      <c r="H32">
        <v>400000000000</v>
      </c>
      <c r="I32">
        <v>4000000000</v>
      </c>
      <c r="J32">
        <v>46132</v>
      </c>
      <c r="K32">
        <v>46132</v>
      </c>
      <c r="M32">
        <v>46496</v>
      </c>
      <c r="N32">
        <v>364</v>
      </c>
      <c r="O32">
        <v>0</v>
      </c>
      <c r="P32">
        <v>9.1</v>
      </c>
      <c r="Q32">
        <v>0</v>
      </c>
      <c r="R32">
        <v>0</v>
      </c>
      <c r="S32">
        <v>0</v>
      </c>
      <c r="T32">
        <v>0</v>
      </c>
      <c r="U32">
        <v>0</v>
      </c>
      <c r="V32">
        <v>13064109589.041</v>
      </c>
      <c r="W32" t="s">
        <v>364</v>
      </c>
    </row>
    <row r="33" spans="1:23" x14ac:dyDescent="0.3">
      <c r="A33" s="20">
        <f>IF(B33&lt;&gt;"", Runtool!$C$2, "")</f>
        <v>46262</v>
      </c>
      <c r="B33">
        <v>4252</v>
      </c>
      <c r="C33" t="s">
        <v>310</v>
      </c>
      <c r="D33" t="s">
        <v>1275</v>
      </c>
      <c r="E33" t="s">
        <v>325</v>
      </c>
      <c r="F33">
        <v>200000000000</v>
      </c>
      <c r="G33">
        <v>1</v>
      </c>
      <c r="H33">
        <v>200000000000</v>
      </c>
      <c r="I33">
        <v>4000000000</v>
      </c>
      <c r="J33">
        <v>46156</v>
      </c>
      <c r="K33">
        <v>46156</v>
      </c>
      <c r="L33">
        <v>46520</v>
      </c>
      <c r="M33">
        <v>46520</v>
      </c>
      <c r="N33">
        <v>364</v>
      </c>
      <c r="O33">
        <v>0</v>
      </c>
      <c r="P33">
        <v>8.6999999999999993</v>
      </c>
      <c r="Q33">
        <v>0</v>
      </c>
      <c r="R33">
        <v>0</v>
      </c>
      <c r="S33">
        <v>0</v>
      </c>
      <c r="T33">
        <v>0</v>
      </c>
      <c r="U33">
        <v>0</v>
      </c>
      <c r="V33">
        <v>5100821917.8082104</v>
      </c>
      <c r="W33" t="s">
        <v>364</v>
      </c>
    </row>
    <row r="34" spans="1:23" x14ac:dyDescent="0.3">
      <c r="A34" s="20">
        <f>IF(B34&lt;&gt;"", Runtool!$C$2, "")</f>
        <v>46262</v>
      </c>
      <c r="B34">
        <v>4361</v>
      </c>
      <c r="C34" t="s">
        <v>310</v>
      </c>
      <c r="D34" t="s">
        <v>1260</v>
      </c>
      <c r="E34" t="s">
        <v>384</v>
      </c>
      <c r="F34">
        <v>11000000000</v>
      </c>
      <c r="G34">
        <v>1</v>
      </c>
      <c r="H34">
        <v>11000000000</v>
      </c>
      <c r="I34">
        <v>7074689622</v>
      </c>
      <c r="J34">
        <v>46171</v>
      </c>
      <c r="K34">
        <v>46129</v>
      </c>
      <c r="M34">
        <v>46524</v>
      </c>
      <c r="N34">
        <v>395</v>
      </c>
      <c r="O34">
        <v>0</v>
      </c>
      <c r="P34">
        <v>9.5</v>
      </c>
      <c r="Q34">
        <v>18309259.5</v>
      </c>
      <c r="R34">
        <v>0</v>
      </c>
      <c r="S34">
        <v>2127312.1822946002</v>
      </c>
      <c r="T34">
        <v>0</v>
      </c>
      <c r="U34">
        <v>765205479.5</v>
      </c>
      <c r="V34">
        <v>263397260.273972</v>
      </c>
      <c r="W34" t="s">
        <v>364</v>
      </c>
    </row>
    <row r="35" spans="1:23" x14ac:dyDescent="0.3">
      <c r="A35" s="20">
        <f>IF(B35&lt;&gt;"", Runtool!$C$2, "")</f>
        <v>46262</v>
      </c>
      <c r="B35">
        <v>4073</v>
      </c>
      <c r="C35" t="s">
        <v>310</v>
      </c>
      <c r="D35" t="s">
        <v>953</v>
      </c>
      <c r="E35" t="s">
        <v>325</v>
      </c>
      <c r="F35">
        <v>300000000000</v>
      </c>
      <c r="G35">
        <v>1</v>
      </c>
      <c r="H35">
        <v>300000000000</v>
      </c>
      <c r="I35">
        <v>3110952315</v>
      </c>
      <c r="J35">
        <v>46125</v>
      </c>
      <c r="K35">
        <v>45910</v>
      </c>
      <c r="M35">
        <v>46274</v>
      </c>
      <c r="N35">
        <v>364</v>
      </c>
      <c r="O35">
        <v>0</v>
      </c>
      <c r="P35">
        <v>6</v>
      </c>
      <c r="Q35">
        <v>0</v>
      </c>
      <c r="R35">
        <v>492491775</v>
      </c>
      <c r="S35">
        <v>0</v>
      </c>
      <c r="T35">
        <v>36358453.187919497</v>
      </c>
      <c r="U35">
        <v>10602739725</v>
      </c>
      <c r="V35">
        <v>6805479452.0547895</v>
      </c>
      <c r="W35" t="s">
        <v>364</v>
      </c>
    </row>
    <row r="36" spans="1:23" x14ac:dyDescent="0.3">
      <c r="A36" s="20">
        <f>IF(B36&lt;&gt;"", Runtool!$C$2, "")</f>
        <v>46262</v>
      </c>
      <c r="B36">
        <v>4290</v>
      </c>
      <c r="C36" t="s">
        <v>310</v>
      </c>
      <c r="D36" t="s">
        <v>1104</v>
      </c>
      <c r="E36" t="s">
        <v>334</v>
      </c>
      <c r="F36">
        <v>400000000000</v>
      </c>
      <c r="G36">
        <v>1</v>
      </c>
      <c r="H36">
        <v>400000000000</v>
      </c>
      <c r="I36">
        <v>1043075165000</v>
      </c>
      <c r="J36">
        <v>46162</v>
      </c>
      <c r="K36">
        <v>45996</v>
      </c>
      <c r="M36">
        <v>46360</v>
      </c>
      <c r="N36">
        <v>364</v>
      </c>
      <c r="O36">
        <v>0</v>
      </c>
      <c r="P36">
        <v>6.9</v>
      </c>
      <c r="Q36">
        <v>0</v>
      </c>
      <c r="R36">
        <v>11694343080</v>
      </c>
      <c r="S36">
        <v>0</v>
      </c>
      <c r="T36">
        <v>2291618744.9696894</v>
      </c>
      <c r="U36">
        <v>31380821920</v>
      </c>
      <c r="V36">
        <v>7637260273.9726</v>
      </c>
      <c r="W36" t="s">
        <v>364</v>
      </c>
    </row>
    <row r="37" spans="1:23" x14ac:dyDescent="0.3">
      <c r="A37" s="20">
        <f>IF(B37&lt;&gt;"", Runtool!$C$2, "")</f>
        <v>46262</v>
      </c>
      <c r="B37">
        <v>4380</v>
      </c>
      <c r="C37" t="s">
        <v>310</v>
      </c>
      <c r="D37" t="s">
        <v>1244</v>
      </c>
      <c r="E37" t="s">
        <v>384</v>
      </c>
      <c r="F37">
        <v>100000000000</v>
      </c>
      <c r="G37">
        <v>1</v>
      </c>
      <c r="H37">
        <v>100000000000</v>
      </c>
      <c r="I37">
        <v>1024535222</v>
      </c>
      <c r="J37">
        <v>46175</v>
      </c>
      <c r="K37">
        <v>46105</v>
      </c>
      <c r="M37">
        <v>46503</v>
      </c>
      <c r="N37">
        <v>398</v>
      </c>
      <c r="O37">
        <v>0</v>
      </c>
      <c r="P37">
        <v>9</v>
      </c>
      <c r="Q37">
        <v>0</v>
      </c>
      <c r="R37">
        <v>727494803</v>
      </c>
      <c r="S37">
        <v>0</v>
      </c>
      <c r="T37">
        <v>532313270.487804</v>
      </c>
      <c r="U37">
        <v>1726027397</v>
      </c>
      <c r="V37">
        <v>2169863013.6986198</v>
      </c>
      <c r="W37" t="s">
        <v>364</v>
      </c>
    </row>
    <row r="38" spans="1:23" x14ac:dyDescent="0.3">
      <c r="A38" s="20">
        <f>IF(B38&lt;&gt;"", Runtool!$C$2, "")</f>
        <v>46262</v>
      </c>
      <c r="B38">
        <v>4681</v>
      </c>
      <c r="C38" t="s">
        <v>310</v>
      </c>
      <c r="D38" t="s">
        <v>1239</v>
      </c>
      <c r="E38" t="s">
        <v>384</v>
      </c>
      <c r="F38">
        <v>4000000000</v>
      </c>
      <c r="G38">
        <v>1</v>
      </c>
      <c r="H38">
        <v>4000000000</v>
      </c>
      <c r="I38">
        <v>2068890416</v>
      </c>
      <c r="J38">
        <v>46216</v>
      </c>
      <c r="K38">
        <v>46097</v>
      </c>
      <c r="M38">
        <v>46493</v>
      </c>
      <c r="N38">
        <v>396</v>
      </c>
      <c r="O38">
        <v>0</v>
      </c>
      <c r="P38">
        <v>8.9</v>
      </c>
      <c r="Q38">
        <v>0</v>
      </c>
      <c r="R38">
        <v>1085753928</v>
      </c>
      <c r="S38">
        <v>0</v>
      </c>
      <c r="T38">
        <v>18030570.645487402</v>
      </c>
      <c r="U38">
        <v>5803287671.9999905</v>
      </c>
      <c r="V38">
        <v>45841095.890410997</v>
      </c>
      <c r="W38" t="s">
        <v>364</v>
      </c>
    </row>
    <row r="39" spans="1:23" x14ac:dyDescent="0.3">
      <c r="A39" s="20">
        <f>IF(B39&lt;&gt;"", Runtool!$C$2, "")</f>
        <v>46262</v>
      </c>
      <c r="B39">
        <v>4723</v>
      </c>
      <c r="C39" t="s">
        <v>310</v>
      </c>
      <c r="D39" t="s">
        <v>1239</v>
      </c>
      <c r="E39" t="s">
        <v>384</v>
      </c>
      <c r="F39">
        <v>42000000000</v>
      </c>
      <c r="G39">
        <v>1</v>
      </c>
      <c r="H39">
        <v>42000000000</v>
      </c>
      <c r="I39">
        <v>5147989855</v>
      </c>
      <c r="J39">
        <v>46223</v>
      </c>
      <c r="K39">
        <v>46097</v>
      </c>
      <c r="M39">
        <v>46493</v>
      </c>
      <c r="N39">
        <v>396</v>
      </c>
      <c r="O39">
        <v>0</v>
      </c>
      <c r="P39">
        <v>8.9</v>
      </c>
      <c r="Q39">
        <v>56265833.5</v>
      </c>
      <c r="R39">
        <v>0</v>
      </c>
      <c r="S39">
        <v>40261329.748888902</v>
      </c>
      <c r="T39">
        <v>0</v>
      </c>
      <c r="U39">
        <v>1536164383.5</v>
      </c>
      <c r="V39">
        <v>409643835.61643797</v>
      </c>
      <c r="W39" t="s">
        <v>364</v>
      </c>
    </row>
    <row r="40" spans="1:23" x14ac:dyDescent="0.3">
      <c r="A40" s="20">
        <f>IF(B40&lt;&gt;"", Runtool!$C$2, "")</f>
        <v>46262</v>
      </c>
      <c r="B40">
        <v>4756</v>
      </c>
      <c r="C40" t="s">
        <v>310</v>
      </c>
      <c r="D40" t="s">
        <v>1260</v>
      </c>
      <c r="E40" t="s">
        <v>384</v>
      </c>
      <c r="F40">
        <v>70000000000</v>
      </c>
      <c r="G40">
        <v>1</v>
      </c>
      <c r="H40">
        <v>70000000000</v>
      </c>
      <c r="I40">
        <v>7256329003</v>
      </c>
      <c r="J40">
        <v>46231</v>
      </c>
      <c r="K40">
        <v>46129</v>
      </c>
      <c r="M40">
        <v>46524</v>
      </c>
      <c r="N40">
        <v>395</v>
      </c>
      <c r="O40">
        <v>0</v>
      </c>
      <c r="P40">
        <v>9.5</v>
      </c>
      <c r="Q40">
        <v>0</v>
      </c>
      <c r="R40">
        <v>704933865.29999995</v>
      </c>
      <c r="S40">
        <v>0</v>
      </c>
      <c r="T40">
        <v>627944501.17167199</v>
      </c>
      <c r="U40">
        <v>1858356164.7</v>
      </c>
      <c r="V40">
        <v>583013698.63013697</v>
      </c>
      <c r="W40" t="s">
        <v>364</v>
      </c>
    </row>
    <row r="41" spans="1:23" x14ac:dyDescent="0.3">
      <c r="A41" s="20">
        <f>IF(B41&lt;&gt;"", Runtool!$C$2, "")</f>
        <v>46262</v>
      </c>
      <c r="B41">
        <v>4855</v>
      </c>
      <c r="C41" t="s">
        <v>310</v>
      </c>
      <c r="D41" t="s">
        <v>1256</v>
      </c>
      <c r="E41" t="s">
        <v>316</v>
      </c>
      <c r="F41">
        <v>100000000000</v>
      </c>
      <c r="G41">
        <v>1</v>
      </c>
      <c r="H41">
        <v>100000000000</v>
      </c>
      <c r="I41">
        <v>1045851085</v>
      </c>
      <c r="J41">
        <v>46246</v>
      </c>
      <c r="K41">
        <v>46121</v>
      </c>
      <c r="M41">
        <v>46486</v>
      </c>
      <c r="N41">
        <v>365</v>
      </c>
      <c r="O41">
        <v>0</v>
      </c>
      <c r="P41">
        <v>8.6999999999999993</v>
      </c>
      <c r="Q41">
        <v>0</v>
      </c>
      <c r="R41">
        <v>1605656445</v>
      </c>
      <c r="S41">
        <v>0</v>
      </c>
      <c r="T41">
        <v>1491922446.8125</v>
      </c>
      <c r="U41">
        <v>2979452055</v>
      </c>
      <c r="V41">
        <v>405205479.45205402</v>
      </c>
      <c r="W41" t="s">
        <v>364</v>
      </c>
    </row>
    <row r="42" spans="1:23" x14ac:dyDescent="0.3">
      <c r="A42" s="20">
        <f>IF(B42&lt;&gt;"", Runtool!$C$2, "")</f>
        <v>46262</v>
      </c>
      <c r="B42">
        <v>4881</v>
      </c>
      <c r="C42" t="s">
        <v>310</v>
      </c>
      <c r="D42" t="s">
        <v>1514</v>
      </c>
      <c r="E42" t="s">
        <v>325</v>
      </c>
      <c r="F42">
        <v>400000000000</v>
      </c>
      <c r="G42">
        <v>1</v>
      </c>
      <c r="H42">
        <v>400000000000</v>
      </c>
      <c r="I42">
        <v>4000000000</v>
      </c>
      <c r="J42">
        <v>46252</v>
      </c>
      <c r="K42">
        <v>46252</v>
      </c>
      <c r="L42">
        <v>46301</v>
      </c>
      <c r="M42">
        <v>46525</v>
      </c>
      <c r="N42">
        <v>273</v>
      </c>
      <c r="O42">
        <v>0</v>
      </c>
      <c r="P42">
        <v>9.3000000000000007</v>
      </c>
      <c r="Q42">
        <v>0</v>
      </c>
      <c r="R42">
        <v>0</v>
      </c>
      <c r="S42">
        <v>0</v>
      </c>
      <c r="T42">
        <v>0</v>
      </c>
      <c r="U42">
        <v>0</v>
      </c>
      <c r="V42">
        <v>1121095890.4109499</v>
      </c>
      <c r="W42" t="s">
        <v>364</v>
      </c>
    </row>
    <row r="43" spans="1:23" x14ac:dyDescent="0.3">
      <c r="A43" s="20">
        <f>IF(B43&lt;&gt;"", Runtool!$C$2, "")</f>
        <v>46262</v>
      </c>
      <c r="B43">
        <v>4906</v>
      </c>
      <c r="C43" t="s">
        <v>310</v>
      </c>
      <c r="D43" t="s">
        <v>1525</v>
      </c>
      <c r="E43" t="s">
        <v>954</v>
      </c>
      <c r="F43">
        <v>460000000000</v>
      </c>
      <c r="G43">
        <v>1</v>
      </c>
      <c r="H43">
        <v>460000000000</v>
      </c>
      <c r="I43">
        <v>4210058000</v>
      </c>
      <c r="J43">
        <v>46253</v>
      </c>
      <c r="K43">
        <v>46252</v>
      </c>
      <c r="M43">
        <v>46617</v>
      </c>
      <c r="N43">
        <v>365</v>
      </c>
      <c r="O43">
        <v>0</v>
      </c>
      <c r="P43">
        <v>8.5</v>
      </c>
      <c r="Q43">
        <v>39101323286.599899</v>
      </c>
      <c r="R43">
        <v>0</v>
      </c>
      <c r="S43">
        <v>38027111108.396698</v>
      </c>
      <c r="T43">
        <v>0</v>
      </c>
      <c r="U43">
        <v>107123286.59999999</v>
      </c>
      <c r="V43">
        <v>1071232876.71232</v>
      </c>
      <c r="W43" t="s">
        <v>364</v>
      </c>
    </row>
    <row r="44" spans="1:23" x14ac:dyDescent="0.3">
      <c r="A44" s="20">
        <f>IF(B44&lt;&gt;"", Runtool!$C$2, "")</f>
        <v>46262</v>
      </c>
      <c r="B44">
        <v>4074</v>
      </c>
      <c r="C44" t="s">
        <v>310</v>
      </c>
      <c r="D44" t="s">
        <v>965</v>
      </c>
      <c r="E44" t="s">
        <v>325</v>
      </c>
      <c r="F44">
        <v>500000000000</v>
      </c>
      <c r="G44">
        <v>1</v>
      </c>
      <c r="H44">
        <v>500000000000</v>
      </c>
      <c r="I44">
        <v>5171242620</v>
      </c>
      <c r="J44">
        <v>46125</v>
      </c>
      <c r="K44">
        <v>45937</v>
      </c>
      <c r="L44">
        <v>46301</v>
      </c>
      <c r="M44">
        <v>46301</v>
      </c>
      <c r="N44">
        <v>364</v>
      </c>
      <c r="O44">
        <v>0</v>
      </c>
      <c r="P44">
        <v>6.4</v>
      </c>
      <c r="Q44">
        <v>0</v>
      </c>
      <c r="R44">
        <v>642070220</v>
      </c>
      <c r="S44">
        <v>0</v>
      </c>
      <c r="T44">
        <v>138628797.5</v>
      </c>
      <c r="U44">
        <v>16482191779.999901</v>
      </c>
      <c r="V44">
        <v>12098630136.9862</v>
      </c>
      <c r="W44" t="s">
        <v>364</v>
      </c>
    </row>
    <row r="45" spans="1:23" x14ac:dyDescent="0.3">
      <c r="A45" s="20">
        <f>IF(B45&lt;&gt;"", Runtool!$C$2, "")</f>
        <v>46262</v>
      </c>
      <c r="B45">
        <v>4350</v>
      </c>
      <c r="C45" t="s">
        <v>310</v>
      </c>
      <c r="D45" t="s">
        <v>1260</v>
      </c>
      <c r="E45" t="s">
        <v>384</v>
      </c>
      <c r="F45">
        <v>21000000000</v>
      </c>
      <c r="G45">
        <v>1</v>
      </c>
      <c r="H45">
        <v>21000000000</v>
      </c>
      <c r="I45">
        <v>7072875264</v>
      </c>
      <c r="J45">
        <v>46170</v>
      </c>
      <c r="K45">
        <v>46129</v>
      </c>
      <c r="M45">
        <v>46524</v>
      </c>
      <c r="N45">
        <v>395</v>
      </c>
      <c r="O45">
        <v>0</v>
      </c>
      <c r="P45">
        <v>9.5</v>
      </c>
      <c r="Q45">
        <v>18233661.600000001</v>
      </c>
      <c r="R45">
        <v>0</v>
      </c>
      <c r="S45">
        <v>4033038.7098305002</v>
      </c>
      <c r="T45">
        <v>0</v>
      </c>
      <c r="U45">
        <v>746986301.59999883</v>
      </c>
      <c r="V45">
        <v>508315068.49315</v>
      </c>
      <c r="W45" t="s">
        <v>364</v>
      </c>
    </row>
    <row r="46" spans="1:23" x14ac:dyDescent="0.3">
      <c r="A46" s="20">
        <f>IF(B46&lt;&gt;"", Runtool!$C$2, "")</f>
        <v>46262</v>
      </c>
      <c r="B46">
        <v>4769</v>
      </c>
      <c r="C46" t="s">
        <v>310</v>
      </c>
      <c r="D46" t="s">
        <v>1260</v>
      </c>
      <c r="E46" t="s">
        <v>384</v>
      </c>
      <c r="F46">
        <v>70000000000</v>
      </c>
      <c r="G46">
        <v>1</v>
      </c>
      <c r="H46">
        <v>70000000000</v>
      </c>
      <c r="I46">
        <v>7257928006</v>
      </c>
      <c r="J46">
        <v>46232</v>
      </c>
      <c r="K46">
        <v>46129</v>
      </c>
      <c r="M46">
        <v>46524</v>
      </c>
      <c r="N46">
        <v>395</v>
      </c>
      <c r="O46">
        <v>0</v>
      </c>
      <c r="P46">
        <v>9.5</v>
      </c>
      <c r="Q46">
        <v>0</v>
      </c>
      <c r="R46">
        <v>702704717.39999998</v>
      </c>
      <c r="S46">
        <v>0</v>
      </c>
      <c r="T46">
        <v>628102504.25136995</v>
      </c>
      <c r="U46">
        <v>1876575342.5999899</v>
      </c>
      <c r="V46">
        <v>564794520.54794502</v>
      </c>
      <c r="W46" t="s">
        <v>364</v>
      </c>
    </row>
    <row r="47" spans="1:23" x14ac:dyDescent="0.3">
      <c r="A47" s="20">
        <f>IF(B47&lt;&gt;"", Runtool!$C$2, "")</f>
        <v>46262</v>
      </c>
      <c r="B47">
        <v>4879</v>
      </c>
      <c r="C47" t="s">
        <v>310</v>
      </c>
      <c r="D47" t="s">
        <v>1518</v>
      </c>
      <c r="E47" t="s">
        <v>316</v>
      </c>
      <c r="F47">
        <v>500000000000</v>
      </c>
      <c r="G47">
        <v>1</v>
      </c>
      <c r="H47">
        <v>500000000000</v>
      </c>
      <c r="I47">
        <v>5199812345</v>
      </c>
      <c r="J47">
        <v>46251</v>
      </c>
      <c r="K47">
        <v>45994</v>
      </c>
      <c r="M47">
        <v>46358</v>
      </c>
      <c r="N47">
        <v>364</v>
      </c>
      <c r="O47">
        <v>0</v>
      </c>
      <c r="P47">
        <v>6.3</v>
      </c>
      <c r="Q47">
        <v>2198217555</v>
      </c>
      <c r="R47">
        <v>0</v>
      </c>
      <c r="S47">
        <v>1951688483.4112101</v>
      </c>
      <c r="T47">
        <v>0</v>
      </c>
      <c r="U47">
        <v>22179452055</v>
      </c>
      <c r="V47">
        <v>1035616438.35616</v>
      </c>
      <c r="W47" t="s">
        <v>364</v>
      </c>
    </row>
    <row r="48" spans="1:23" x14ac:dyDescent="0.3">
      <c r="A48" s="20">
        <f>IF(B48&lt;&gt;"", Runtool!$C$2, "")</f>
        <v>46262</v>
      </c>
      <c r="B48">
        <v>4995</v>
      </c>
      <c r="C48" t="s">
        <v>310</v>
      </c>
      <c r="D48" t="s">
        <v>1071</v>
      </c>
      <c r="E48" t="s">
        <v>328</v>
      </c>
      <c r="F48">
        <v>500000000000</v>
      </c>
      <c r="G48">
        <v>1</v>
      </c>
      <c r="H48">
        <v>500000000000</v>
      </c>
      <c r="I48">
        <v>5236725850</v>
      </c>
      <c r="J48">
        <v>46261</v>
      </c>
      <c r="K48">
        <v>45988</v>
      </c>
      <c r="M48">
        <v>46352</v>
      </c>
      <c r="N48">
        <v>364</v>
      </c>
      <c r="O48">
        <v>0</v>
      </c>
      <c r="P48">
        <v>6.6</v>
      </c>
      <c r="Q48">
        <v>1009606780</v>
      </c>
      <c r="R48">
        <v>0</v>
      </c>
      <c r="S48">
        <v>987417620</v>
      </c>
      <c r="T48">
        <v>0</v>
      </c>
      <c r="U48">
        <v>24682191780</v>
      </c>
      <c r="V48">
        <v>180821917.80821899</v>
      </c>
      <c r="W48" t="s">
        <v>364</v>
      </c>
    </row>
    <row r="49" spans="1:23" x14ac:dyDescent="0.3">
      <c r="A49" s="20">
        <f>IF(B49&lt;&gt;"", Runtool!$C$2, "")</f>
        <v>46262</v>
      </c>
      <c r="B49">
        <v>4997</v>
      </c>
      <c r="C49" t="s">
        <v>310</v>
      </c>
      <c r="D49" t="s">
        <v>1239</v>
      </c>
      <c r="E49" t="s">
        <v>384</v>
      </c>
      <c r="F49">
        <v>68000000000</v>
      </c>
      <c r="G49">
        <v>1</v>
      </c>
      <c r="H49">
        <v>68000000000</v>
      </c>
      <c r="I49">
        <v>7101319172</v>
      </c>
      <c r="J49">
        <v>46261</v>
      </c>
      <c r="K49">
        <v>46097</v>
      </c>
      <c r="M49">
        <v>46493</v>
      </c>
      <c r="N49">
        <v>396</v>
      </c>
      <c r="O49">
        <v>0</v>
      </c>
      <c r="P49">
        <v>8.9</v>
      </c>
      <c r="Q49">
        <v>0</v>
      </c>
      <c r="R49">
        <v>293936929.19999897</v>
      </c>
      <c r="S49">
        <v>0</v>
      </c>
      <c r="T49">
        <v>291402990.15517199</v>
      </c>
      <c r="U49">
        <v>2719254794.7999902</v>
      </c>
      <c r="V49">
        <v>33161643.835616399</v>
      </c>
      <c r="W49" t="s">
        <v>364</v>
      </c>
    </row>
    <row r="50" spans="1:23" x14ac:dyDescent="0.3">
      <c r="A50" s="20">
        <f>IF(B50&lt;&gt;"", Runtool!$C$2, "")</f>
        <v>46262</v>
      </c>
      <c r="B50">
        <v>4716</v>
      </c>
      <c r="C50" t="s">
        <v>310</v>
      </c>
      <c r="D50" t="s">
        <v>1239</v>
      </c>
      <c r="E50" t="s">
        <v>384</v>
      </c>
      <c r="F50">
        <v>50000000000</v>
      </c>
      <c r="G50">
        <v>1</v>
      </c>
      <c r="H50">
        <v>50000000000</v>
      </c>
      <c r="I50">
        <v>5146804395</v>
      </c>
      <c r="J50">
        <v>46220</v>
      </c>
      <c r="K50">
        <v>46097</v>
      </c>
      <c r="M50">
        <v>46493</v>
      </c>
      <c r="N50">
        <v>396</v>
      </c>
      <c r="O50">
        <v>0</v>
      </c>
      <c r="P50">
        <v>8.9</v>
      </c>
      <c r="Q50">
        <v>31545091</v>
      </c>
      <c r="R50">
        <v>0</v>
      </c>
      <c r="S50">
        <v>26576450.293040305</v>
      </c>
      <c r="T50">
        <v>0</v>
      </c>
      <c r="U50">
        <v>1499589040.99999</v>
      </c>
      <c r="V50">
        <v>524246575.34246498</v>
      </c>
      <c r="W50" t="s">
        <v>364</v>
      </c>
    </row>
    <row r="51" spans="1:23" x14ac:dyDescent="0.3">
      <c r="A51" s="20">
        <f>IF(B51&lt;&gt;"", Runtool!$C$2, "")</f>
        <v>46262</v>
      </c>
      <c r="B51">
        <v>4842</v>
      </c>
      <c r="C51" t="s">
        <v>310</v>
      </c>
      <c r="D51" t="s">
        <v>1260</v>
      </c>
      <c r="E51" t="s">
        <v>384</v>
      </c>
      <c r="F51">
        <v>49000000000</v>
      </c>
      <c r="G51">
        <v>1</v>
      </c>
      <c r="H51">
        <v>49000000000</v>
      </c>
      <c r="I51">
        <v>5041724321</v>
      </c>
      <c r="J51">
        <v>46244</v>
      </c>
      <c r="K51">
        <v>46129</v>
      </c>
      <c r="M51">
        <v>46524</v>
      </c>
      <c r="N51">
        <v>395</v>
      </c>
      <c r="O51">
        <v>0</v>
      </c>
      <c r="P51">
        <v>9.5</v>
      </c>
      <c r="Q51">
        <v>49400616.650000103</v>
      </c>
      <c r="R51">
        <v>0</v>
      </c>
      <c r="S51">
        <v>46048431.948750101</v>
      </c>
      <c r="T51">
        <v>0</v>
      </c>
      <c r="U51">
        <v>1466643835.6499901</v>
      </c>
      <c r="V51">
        <v>242315068.49315</v>
      </c>
      <c r="W51" t="s">
        <v>364</v>
      </c>
    </row>
    <row r="52" spans="1:23" x14ac:dyDescent="0.3">
      <c r="A52" s="20">
        <f>IF(B52&lt;&gt;"", Runtool!$C$2, "")</f>
        <v>46262</v>
      </c>
      <c r="B52">
        <v>4866</v>
      </c>
      <c r="C52" t="s">
        <v>310</v>
      </c>
      <c r="D52" t="s">
        <v>1508</v>
      </c>
      <c r="E52" t="s">
        <v>313</v>
      </c>
      <c r="F52">
        <v>200000000000</v>
      </c>
      <c r="G52">
        <v>1</v>
      </c>
      <c r="H52">
        <v>200000000000</v>
      </c>
      <c r="I52">
        <v>2000000000</v>
      </c>
      <c r="J52">
        <v>46247</v>
      </c>
      <c r="K52">
        <v>46247</v>
      </c>
      <c r="M52">
        <v>46605</v>
      </c>
      <c r="N52">
        <v>358</v>
      </c>
      <c r="O52">
        <v>0</v>
      </c>
      <c r="P52">
        <v>9.8000000000000007</v>
      </c>
      <c r="Q52">
        <v>0</v>
      </c>
      <c r="R52">
        <v>0</v>
      </c>
      <c r="S52">
        <v>0</v>
      </c>
      <c r="T52">
        <v>0</v>
      </c>
      <c r="U52">
        <v>0</v>
      </c>
      <c r="V52">
        <v>859178082.19177997</v>
      </c>
      <c r="W52" t="s">
        <v>364</v>
      </c>
    </row>
    <row r="53" spans="1:23" x14ac:dyDescent="0.3">
      <c r="A53" s="20">
        <f>IF(B53&lt;&gt;"", Runtool!$C$2, "")</f>
        <v>46262</v>
      </c>
      <c r="B53">
        <v>4884</v>
      </c>
      <c r="C53" t="s">
        <v>310</v>
      </c>
      <c r="D53" t="s">
        <v>1210</v>
      </c>
      <c r="E53" t="s">
        <v>316</v>
      </c>
      <c r="F53">
        <v>400000000000</v>
      </c>
      <c r="G53">
        <v>1</v>
      </c>
      <c r="H53">
        <v>400000000000</v>
      </c>
      <c r="I53">
        <v>4185221724</v>
      </c>
      <c r="J53">
        <v>46252</v>
      </c>
      <c r="K53">
        <v>46041</v>
      </c>
      <c r="M53">
        <v>46406</v>
      </c>
      <c r="N53">
        <v>365</v>
      </c>
      <c r="O53">
        <v>0</v>
      </c>
      <c r="P53">
        <v>7.5</v>
      </c>
      <c r="Q53">
        <v>0</v>
      </c>
      <c r="R53">
        <v>1179706648</v>
      </c>
      <c r="S53">
        <v>0</v>
      </c>
      <c r="T53">
        <v>1095441887.42857</v>
      </c>
      <c r="U53">
        <v>17342465752</v>
      </c>
      <c r="V53">
        <v>904109589.04109502</v>
      </c>
      <c r="W53" t="s">
        <v>364</v>
      </c>
    </row>
    <row r="54" spans="1:23" x14ac:dyDescent="0.3">
      <c r="A54" s="20">
        <f>IF(B54&lt;&gt;"", Runtool!$C$2, "")</f>
        <v>46262</v>
      </c>
      <c r="B54">
        <v>4940</v>
      </c>
      <c r="C54" t="s">
        <v>310</v>
      </c>
      <c r="D54" t="s">
        <v>1008</v>
      </c>
      <c r="E54" t="s">
        <v>473</v>
      </c>
      <c r="F54">
        <v>300000000000</v>
      </c>
      <c r="G54">
        <v>1</v>
      </c>
      <c r="H54">
        <v>300000000000</v>
      </c>
      <c r="I54">
        <v>3156603141</v>
      </c>
      <c r="J54">
        <v>46254</v>
      </c>
      <c r="K54">
        <v>45965</v>
      </c>
      <c r="M54">
        <v>46324</v>
      </c>
      <c r="N54">
        <v>359</v>
      </c>
      <c r="O54">
        <v>0</v>
      </c>
      <c r="P54">
        <v>6.3</v>
      </c>
      <c r="Q54">
        <v>0</v>
      </c>
      <c r="R54">
        <v>695656566.00000095</v>
      </c>
      <c r="S54">
        <v>0</v>
      </c>
      <c r="T54">
        <v>606215007.51428699</v>
      </c>
      <c r="U54">
        <v>14964657533.999901</v>
      </c>
      <c r="V54">
        <v>466027397.26027298</v>
      </c>
      <c r="W54" t="s">
        <v>364</v>
      </c>
    </row>
    <row r="55" spans="1:23" x14ac:dyDescent="0.3">
      <c r="A55" s="20">
        <f>IF(B55&lt;&gt;"", Runtool!$C$2, "")</f>
        <v>46262</v>
      </c>
      <c r="B55">
        <v>4941</v>
      </c>
      <c r="C55" t="s">
        <v>310</v>
      </c>
      <c r="D55" t="s">
        <v>1573</v>
      </c>
      <c r="E55" t="s">
        <v>322</v>
      </c>
      <c r="F55">
        <v>300000000000</v>
      </c>
      <c r="G55">
        <v>1</v>
      </c>
      <c r="H55">
        <v>300000000000</v>
      </c>
      <c r="I55">
        <v>3156838356</v>
      </c>
      <c r="J55">
        <v>46255</v>
      </c>
      <c r="K55">
        <v>45926</v>
      </c>
      <c r="M55">
        <v>46381</v>
      </c>
      <c r="N55">
        <v>455</v>
      </c>
      <c r="O55">
        <v>0</v>
      </c>
      <c r="P55">
        <v>5.8</v>
      </c>
      <c r="Q55">
        <v>0</v>
      </c>
      <c r="R55">
        <v>3</v>
      </c>
      <c r="S55">
        <v>0</v>
      </c>
      <c r="T55">
        <v>2.8095238</v>
      </c>
      <c r="U55">
        <v>15683835615</v>
      </c>
      <c r="V55">
        <v>381369863.01369798</v>
      </c>
      <c r="W55" t="s">
        <v>364</v>
      </c>
    </row>
    <row r="56" spans="1:23" x14ac:dyDescent="0.3">
      <c r="A56" s="20">
        <f>IF(B56&lt;&gt;"", Runtool!$C$2, "")</f>
        <v>46262</v>
      </c>
      <c r="B56">
        <v>4949</v>
      </c>
      <c r="C56" t="s">
        <v>310</v>
      </c>
      <c r="D56" t="s">
        <v>1004</v>
      </c>
      <c r="E56" t="s">
        <v>324</v>
      </c>
      <c r="F56">
        <v>500000000000</v>
      </c>
      <c r="G56">
        <v>1</v>
      </c>
      <c r="H56">
        <v>500000000000</v>
      </c>
      <c r="I56">
        <v>5244703745</v>
      </c>
      <c r="J56">
        <v>46255</v>
      </c>
      <c r="K56">
        <v>45959</v>
      </c>
      <c r="M56">
        <v>46323</v>
      </c>
      <c r="N56">
        <v>364</v>
      </c>
      <c r="O56">
        <v>0</v>
      </c>
      <c r="P56">
        <v>6.3</v>
      </c>
      <c r="Q56">
        <v>1074830895</v>
      </c>
      <c r="R56">
        <v>0</v>
      </c>
      <c r="S56">
        <v>948380201.47058797</v>
      </c>
      <c r="T56">
        <v>0</v>
      </c>
      <c r="U56">
        <v>25545205480</v>
      </c>
      <c r="V56">
        <v>690410958.904109</v>
      </c>
      <c r="W56" t="s">
        <v>364</v>
      </c>
    </row>
    <row r="57" spans="1:23" x14ac:dyDescent="0.3">
      <c r="A57" s="20">
        <f>IF(B57&lt;&gt;"", Runtool!$C$2, "")</f>
        <v>46262</v>
      </c>
      <c r="B57">
        <v>4982</v>
      </c>
      <c r="C57" t="s">
        <v>310</v>
      </c>
      <c r="D57" t="s">
        <v>1071</v>
      </c>
      <c r="E57" t="s">
        <v>328</v>
      </c>
      <c r="F57">
        <v>500000000000</v>
      </c>
      <c r="G57">
        <v>1</v>
      </c>
      <c r="H57">
        <v>500000000000</v>
      </c>
      <c r="I57">
        <v>5235438895</v>
      </c>
      <c r="J57">
        <v>46260</v>
      </c>
      <c r="K57">
        <v>45988</v>
      </c>
      <c r="M57">
        <v>46352</v>
      </c>
      <c r="N57">
        <v>364</v>
      </c>
      <c r="O57">
        <v>0</v>
      </c>
      <c r="P57">
        <v>6.6</v>
      </c>
      <c r="Q57">
        <v>1047891320</v>
      </c>
      <c r="R57">
        <v>0</v>
      </c>
      <c r="S57">
        <v>1013720950.86956</v>
      </c>
      <c r="T57">
        <v>0</v>
      </c>
      <c r="U57">
        <v>24591780820</v>
      </c>
      <c r="V57">
        <v>271232876.71232802</v>
      </c>
      <c r="W57" t="s">
        <v>364</v>
      </c>
    </row>
    <row r="58" spans="1:23" x14ac:dyDescent="0.3">
      <c r="A58" s="20">
        <f>IF(B58&lt;&gt;"", Runtool!$C$2, "")</f>
        <v>46262</v>
      </c>
      <c r="B58">
        <v>1831</v>
      </c>
      <c r="C58" t="s">
        <v>310</v>
      </c>
      <c r="D58" t="s">
        <v>563</v>
      </c>
      <c r="E58" t="s">
        <v>343</v>
      </c>
      <c r="F58">
        <v>200000000000</v>
      </c>
      <c r="G58">
        <v>1</v>
      </c>
      <c r="H58">
        <v>200000000000</v>
      </c>
      <c r="I58">
        <v>2068558904</v>
      </c>
      <c r="J58">
        <v>45954</v>
      </c>
      <c r="K58">
        <v>45770</v>
      </c>
      <c r="L58">
        <v>46135</v>
      </c>
      <c r="M58">
        <v>46318</v>
      </c>
      <c r="N58">
        <v>548</v>
      </c>
      <c r="O58">
        <v>6.8</v>
      </c>
      <c r="P58">
        <v>6.8</v>
      </c>
      <c r="Q58">
        <v>10</v>
      </c>
      <c r="R58">
        <v>0</v>
      </c>
      <c r="S58">
        <v>1.5109889999999999</v>
      </c>
      <c r="T58">
        <v>0</v>
      </c>
      <c r="U58">
        <v>6855890410</v>
      </c>
      <c r="V58">
        <v>4769315068.4931498</v>
      </c>
      <c r="W58" t="s">
        <v>364</v>
      </c>
    </row>
    <row r="59" spans="1:23" x14ac:dyDescent="0.3">
      <c r="A59" s="20">
        <f>IF(B59&lt;&gt;"", Runtool!$C$2, "")</f>
        <v>46262</v>
      </c>
      <c r="B59">
        <v>2675</v>
      </c>
      <c r="C59" t="s">
        <v>310</v>
      </c>
      <c r="D59" t="s">
        <v>960</v>
      </c>
      <c r="E59" t="s">
        <v>347</v>
      </c>
      <c r="F59">
        <v>700000000000</v>
      </c>
      <c r="G59">
        <v>1</v>
      </c>
      <c r="H59">
        <v>700000000000</v>
      </c>
      <c r="I59">
        <v>1000000000000</v>
      </c>
      <c r="J59">
        <v>45929</v>
      </c>
      <c r="K59">
        <v>45929</v>
      </c>
      <c r="M59">
        <v>46288</v>
      </c>
      <c r="N59">
        <v>359</v>
      </c>
      <c r="O59">
        <v>0</v>
      </c>
      <c r="P59">
        <v>5</v>
      </c>
      <c r="Q59">
        <v>0</v>
      </c>
      <c r="R59">
        <v>0</v>
      </c>
      <c r="S59">
        <v>0</v>
      </c>
      <c r="T59">
        <v>0</v>
      </c>
      <c r="U59">
        <v>0</v>
      </c>
      <c r="V59">
        <v>32027397260.273899</v>
      </c>
      <c r="W59" t="s">
        <v>364</v>
      </c>
    </row>
    <row r="60" spans="1:23" x14ac:dyDescent="0.3">
      <c r="A60" s="20">
        <f>IF(B60&lt;&gt;"", Runtool!$C$2, "")</f>
        <v>46262</v>
      </c>
      <c r="B60">
        <v>3004</v>
      </c>
      <c r="C60" t="s">
        <v>310</v>
      </c>
      <c r="D60" t="s">
        <v>1064</v>
      </c>
      <c r="E60" t="s">
        <v>324</v>
      </c>
      <c r="F60">
        <v>1000000000000</v>
      </c>
      <c r="G60">
        <v>1</v>
      </c>
      <c r="H60">
        <v>1000000000000</v>
      </c>
      <c r="I60">
        <v>1000000000000</v>
      </c>
      <c r="J60">
        <v>45986</v>
      </c>
      <c r="K60">
        <v>45986</v>
      </c>
      <c r="M60">
        <v>46350</v>
      </c>
      <c r="N60">
        <v>364</v>
      </c>
      <c r="O60">
        <v>0</v>
      </c>
      <c r="P60">
        <v>6.3</v>
      </c>
      <c r="Q60">
        <v>0</v>
      </c>
      <c r="R60">
        <v>0</v>
      </c>
      <c r="S60">
        <v>0</v>
      </c>
      <c r="T60">
        <v>0</v>
      </c>
      <c r="U60">
        <v>0</v>
      </c>
      <c r="V60">
        <v>47810958904.109497</v>
      </c>
      <c r="W60" t="s">
        <v>364</v>
      </c>
    </row>
    <row r="61" spans="1:23" x14ac:dyDescent="0.3">
      <c r="A61" s="20">
        <f>IF(B61&lt;&gt;"", Runtool!$C$2, "")</f>
        <v>46262</v>
      </c>
      <c r="B61">
        <v>4602</v>
      </c>
      <c r="C61" t="s">
        <v>310</v>
      </c>
      <c r="D61" t="s">
        <v>1207</v>
      </c>
      <c r="E61" t="s">
        <v>384</v>
      </c>
      <c r="F61">
        <v>57000000000</v>
      </c>
      <c r="G61">
        <v>1</v>
      </c>
      <c r="H61">
        <v>57000000000</v>
      </c>
      <c r="I61">
        <v>2061925270</v>
      </c>
      <c r="J61">
        <v>46204</v>
      </c>
      <c r="K61">
        <v>46063</v>
      </c>
      <c r="M61">
        <v>46419</v>
      </c>
      <c r="N61">
        <v>356</v>
      </c>
      <c r="O61">
        <v>0</v>
      </c>
      <c r="P61">
        <v>8</v>
      </c>
      <c r="Q61">
        <v>0</v>
      </c>
      <c r="R61">
        <v>11705082</v>
      </c>
      <c r="S61">
        <v>0</v>
      </c>
      <c r="T61">
        <v>2420502.0731163002</v>
      </c>
      <c r="U61">
        <v>6180821918</v>
      </c>
      <c r="V61">
        <v>737095890.41095805</v>
      </c>
      <c r="W61" t="s">
        <v>364</v>
      </c>
    </row>
    <row r="62" spans="1:23" x14ac:dyDescent="0.3">
      <c r="A62" s="20">
        <f>IF(B62&lt;&gt;"", Runtool!$C$2, "")</f>
        <v>46262</v>
      </c>
      <c r="B62">
        <v>4779</v>
      </c>
      <c r="C62" t="s">
        <v>310</v>
      </c>
      <c r="D62" t="s">
        <v>1260</v>
      </c>
      <c r="E62" t="s">
        <v>384</v>
      </c>
      <c r="F62">
        <v>70000000000</v>
      </c>
      <c r="G62">
        <v>1</v>
      </c>
      <c r="H62">
        <v>70000000000</v>
      </c>
      <c r="I62">
        <v>7250606006</v>
      </c>
      <c r="J62">
        <v>46234</v>
      </c>
      <c r="K62">
        <v>46129</v>
      </c>
      <c r="M62">
        <v>46524</v>
      </c>
      <c r="N62">
        <v>395</v>
      </c>
      <c r="O62">
        <v>0</v>
      </c>
      <c r="P62">
        <v>9.5</v>
      </c>
      <c r="Q62">
        <v>0</v>
      </c>
      <c r="R62">
        <v>593046361.59999895</v>
      </c>
      <c r="S62">
        <v>0</v>
      </c>
      <c r="T62">
        <v>533741725.43999898</v>
      </c>
      <c r="U62">
        <v>1913013698.4000001</v>
      </c>
      <c r="V62">
        <v>528356164.38356102</v>
      </c>
      <c r="W62" t="s">
        <v>364</v>
      </c>
    </row>
    <row r="63" spans="1:23" x14ac:dyDescent="0.3">
      <c r="A63" s="20">
        <f>IF(B63&lt;&gt;"", Runtool!$C$2, "")</f>
        <v>46262</v>
      </c>
      <c r="B63">
        <v>4903</v>
      </c>
      <c r="C63" t="s">
        <v>310</v>
      </c>
      <c r="D63" t="s">
        <v>1526</v>
      </c>
      <c r="E63" t="s">
        <v>954</v>
      </c>
      <c r="F63">
        <v>39100000000</v>
      </c>
      <c r="G63">
        <v>1</v>
      </c>
      <c r="H63">
        <v>39100000000</v>
      </c>
      <c r="I63">
        <v>3910899300</v>
      </c>
      <c r="J63">
        <v>46253</v>
      </c>
      <c r="K63">
        <v>46252</v>
      </c>
      <c r="L63">
        <v>46617</v>
      </c>
      <c r="M63">
        <v>46617</v>
      </c>
      <c r="N63">
        <v>365</v>
      </c>
      <c r="O63">
        <v>0</v>
      </c>
      <c r="P63">
        <v>8.5</v>
      </c>
      <c r="Q63">
        <v>112479.361</v>
      </c>
      <c r="R63">
        <v>0</v>
      </c>
      <c r="S63">
        <v>109389.26866479999</v>
      </c>
      <c r="T63">
        <v>0</v>
      </c>
      <c r="U63">
        <v>9105479.3609999996</v>
      </c>
      <c r="V63">
        <v>91054794.520547897</v>
      </c>
      <c r="W63" t="s">
        <v>364</v>
      </c>
    </row>
    <row r="64" spans="1:23" x14ac:dyDescent="0.3">
      <c r="A64" s="20">
        <f>IF(B64&lt;&gt;"", Runtool!$C$2, "")</f>
        <v>46262</v>
      </c>
      <c r="B64">
        <v>4946</v>
      </c>
      <c r="C64" t="s">
        <v>310</v>
      </c>
      <c r="D64" t="s">
        <v>1292</v>
      </c>
      <c r="E64" t="s">
        <v>334</v>
      </c>
      <c r="F64">
        <v>1000000000000</v>
      </c>
      <c r="G64">
        <v>1</v>
      </c>
      <c r="H64">
        <v>1000000000000</v>
      </c>
      <c r="I64">
        <v>1023285427000</v>
      </c>
      <c r="J64">
        <v>46255</v>
      </c>
      <c r="K64">
        <v>46163</v>
      </c>
      <c r="M64">
        <v>46527</v>
      </c>
      <c r="N64">
        <v>364</v>
      </c>
      <c r="O64">
        <v>0</v>
      </c>
      <c r="P64">
        <v>8.5</v>
      </c>
      <c r="Q64">
        <v>0</v>
      </c>
      <c r="R64">
        <v>1860769469.99999</v>
      </c>
      <c r="S64">
        <v>0</v>
      </c>
      <c r="T64">
        <v>1806040956.17646</v>
      </c>
      <c r="U64">
        <v>21424657530</v>
      </c>
      <c r="V64">
        <v>1863013698.6301301</v>
      </c>
      <c r="W64" t="s">
        <v>364</v>
      </c>
    </row>
    <row r="65" spans="1:23" x14ac:dyDescent="0.3">
      <c r="A65" s="20">
        <f>IF(B65&lt;&gt;"", Runtool!$C$2, "")</f>
        <v>46262</v>
      </c>
      <c r="B65">
        <v>4971</v>
      </c>
      <c r="C65" t="s">
        <v>310</v>
      </c>
      <c r="D65" t="s">
        <v>1602</v>
      </c>
      <c r="E65" t="s">
        <v>405</v>
      </c>
      <c r="F65">
        <v>300000000000</v>
      </c>
      <c r="G65">
        <v>1</v>
      </c>
      <c r="H65">
        <v>300000000000</v>
      </c>
      <c r="I65">
        <v>6000000000</v>
      </c>
      <c r="J65">
        <v>46259</v>
      </c>
      <c r="K65">
        <v>46259</v>
      </c>
      <c r="M65">
        <v>46618</v>
      </c>
      <c r="N65">
        <v>359</v>
      </c>
      <c r="O65">
        <v>0</v>
      </c>
      <c r="P65">
        <v>9.1999999999999993</v>
      </c>
      <c r="Q65">
        <v>0</v>
      </c>
      <c r="R65">
        <v>0</v>
      </c>
      <c r="S65">
        <v>0</v>
      </c>
      <c r="T65">
        <v>0</v>
      </c>
      <c r="U65">
        <v>0</v>
      </c>
      <c r="V65">
        <v>302465753.42465699</v>
      </c>
      <c r="W65" t="s">
        <v>364</v>
      </c>
    </row>
    <row r="66" spans="1:23" x14ac:dyDescent="0.3">
      <c r="A66" s="20">
        <f>IF(B66&lt;&gt;"", Runtool!$C$2, "")</f>
        <v>46262</v>
      </c>
      <c r="B66">
        <v>4979</v>
      </c>
      <c r="C66" t="s">
        <v>310</v>
      </c>
      <c r="D66" t="s">
        <v>1071</v>
      </c>
      <c r="E66" t="s">
        <v>328</v>
      </c>
      <c r="F66">
        <v>500000000000</v>
      </c>
      <c r="G66">
        <v>1</v>
      </c>
      <c r="H66">
        <v>500000000000</v>
      </c>
      <c r="I66">
        <v>5264087255</v>
      </c>
      <c r="J66">
        <v>46260</v>
      </c>
      <c r="K66">
        <v>45988</v>
      </c>
      <c r="M66">
        <v>46352</v>
      </c>
      <c r="N66">
        <v>364</v>
      </c>
      <c r="O66">
        <v>0</v>
      </c>
      <c r="P66">
        <v>6.6</v>
      </c>
      <c r="Q66">
        <v>0</v>
      </c>
      <c r="R66">
        <v>1816944680</v>
      </c>
      <c r="S66">
        <v>0</v>
      </c>
      <c r="T66">
        <v>1757696483.9130399</v>
      </c>
      <c r="U66">
        <v>24591780820</v>
      </c>
      <c r="V66">
        <v>271232876.71232802</v>
      </c>
      <c r="W66" t="s">
        <v>364</v>
      </c>
    </row>
    <row r="67" spans="1:23" x14ac:dyDescent="0.3">
      <c r="A67" s="20">
        <f>IF(B67&lt;&gt;"", Runtool!$C$2, "")</f>
        <v>46262</v>
      </c>
      <c r="B67">
        <v>4994</v>
      </c>
      <c r="C67" t="s">
        <v>310</v>
      </c>
      <c r="D67" t="s">
        <v>1507</v>
      </c>
      <c r="E67" t="s">
        <v>347</v>
      </c>
      <c r="F67">
        <v>500000000000</v>
      </c>
      <c r="G67">
        <v>1</v>
      </c>
      <c r="H67">
        <v>500000000000</v>
      </c>
      <c r="I67">
        <v>5013596270</v>
      </c>
      <c r="J67">
        <v>46261</v>
      </c>
      <c r="K67">
        <v>46247</v>
      </c>
      <c r="M67">
        <v>46604</v>
      </c>
      <c r="N67">
        <v>357</v>
      </c>
      <c r="O67">
        <v>0</v>
      </c>
      <c r="P67">
        <v>9.1</v>
      </c>
      <c r="Q67">
        <v>385578480</v>
      </c>
      <c r="R67">
        <v>0</v>
      </c>
      <c r="S67">
        <v>383330208.97959101</v>
      </c>
      <c r="T67">
        <v>0</v>
      </c>
      <c r="U67">
        <v>1745205480</v>
      </c>
      <c r="V67">
        <v>249315068.49315</v>
      </c>
      <c r="W67" t="s">
        <v>364</v>
      </c>
    </row>
    <row r="68" spans="1:23" x14ac:dyDescent="0.3">
      <c r="A68" s="20">
        <f>IF(B68&lt;&gt;"", Runtool!$C$2, "")</f>
        <v>46262</v>
      </c>
      <c r="B68">
        <v>4996</v>
      </c>
      <c r="C68" t="s">
        <v>310</v>
      </c>
      <c r="D68" t="s">
        <v>1158</v>
      </c>
      <c r="E68" t="s">
        <v>327</v>
      </c>
      <c r="F68">
        <v>500000000000</v>
      </c>
      <c r="G68">
        <v>1</v>
      </c>
      <c r="H68">
        <v>500000000000</v>
      </c>
      <c r="I68">
        <v>5210293023</v>
      </c>
      <c r="J68">
        <v>46261</v>
      </c>
      <c r="K68">
        <v>46045</v>
      </c>
      <c r="M68">
        <v>46409</v>
      </c>
      <c r="N68">
        <v>364</v>
      </c>
      <c r="O68">
        <v>0</v>
      </c>
      <c r="P68">
        <v>7.2</v>
      </c>
      <c r="Q68">
        <v>274807290.00000298</v>
      </c>
      <c r="R68">
        <v>0</v>
      </c>
      <c r="S68">
        <v>271093677.97297603</v>
      </c>
      <c r="T68">
        <v>0</v>
      </c>
      <c r="U68">
        <v>21304109590</v>
      </c>
      <c r="V68">
        <v>197260273.97260201</v>
      </c>
      <c r="W68" t="s">
        <v>364</v>
      </c>
    </row>
    <row r="69" spans="1:23" x14ac:dyDescent="0.3">
      <c r="A69" s="20">
        <f>IF(B69&lt;&gt;"", Runtool!$C$2, "")</f>
        <v>46262</v>
      </c>
      <c r="B69">
        <v>5003</v>
      </c>
      <c r="C69" t="s">
        <v>310</v>
      </c>
      <c r="D69" t="s">
        <v>1292</v>
      </c>
      <c r="E69" t="s">
        <v>334</v>
      </c>
      <c r="F69">
        <v>400000000000</v>
      </c>
      <c r="G69">
        <v>1</v>
      </c>
      <c r="H69">
        <v>400000000000</v>
      </c>
      <c r="I69">
        <v>4083724108</v>
      </c>
      <c r="J69">
        <v>46262</v>
      </c>
      <c r="K69">
        <v>46163</v>
      </c>
      <c r="M69">
        <v>46527</v>
      </c>
      <c r="N69">
        <v>364</v>
      </c>
      <c r="O69">
        <v>0</v>
      </c>
      <c r="P69">
        <v>8.5</v>
      </c>
      <c r="Q69">
        <v>849507008</v>
      </c>
      <c r="R69">
        <v>0</v>
      </c>
      <c r="S69">
        <v>846301321.17735803</v>
      </c>
      <c r="T69">
        <v>0</v>
      </c>
      <c r="U69">
        <v>9221917808</v>
      </c>
      <c r="V69">
        <v>93150684.931506798</v>
      </c>
      <c r="W69" t="s">
        <v>364</v>
      </c>
    </row>
    <row r="70" spans="1:23" x14ac:dyDescent="0.3">
      <c r="A70" s="20" t="e">
        <f>IF(#REF!&lt;&gt;"", Runtool!$C$2, "")</f>
        <v>#REF!</v>
      </c>
      <c r="B70">
        <v>5004</v>
      </c>
      <c r="C70" t="s">
        <v>310</v>
      </c>
      <c r="D70" t="s">
        <v>1104</v>
      </c>
      <c r="E70" t="s">
        <v>334</v>
      </c>
      <c r="F70">
        <v>600000000000</v>
      </c>
      <c r="G70">
        <v>1</v>
      </c>
      <c r="H70">
        <v>600000000000</v>
      </c>
      <c r="I70">
        <v>6283028406</v>
      </c>
      <c r="J70">
        <v>46262</v>
      </c>
      <c r="K70">
        <v>45996</v>
      </c>
      <c r="M70">
        <v>46360</v>
      </c>
      <c r="N70">
        <v>364</v>
      </c>
      <c r="O70">
        <v>0</v>
      </c>
      <c r="P70">
        <v>6.9</v>
      </c>
      <c r="Q70">
        <v>1868118306</v>
      </c>
      <c r="R70">
        <v>0</v>
      </c>
      <c r="S70">
        <v>1849055874.3061199</v>
      </c>
      <c r="T70">
        <v>0</v>
      </c>
      <c r="U70">
        <v>30170958906</v>
      </c>
      <c r="V70">
        <v>113424657.534246</v>
      </c>
      <c r="W70" t="s">
        <v>364</v>
      </c>
    </row>
    <row r="71" spans="1:23" x14ac:dyDescent="0.3">
      <c r="A71" s="20" t="e">
        <f>IF(#REF!&lt;&gt;"", Runtool!$C$2, "")</f>
        <v>#REF!</v>
      </c>
      <c r="B71">
        <v>5020</v>
      </c>
      <c r="C71" t="s">
        <v>310</v>
      </c>
      <c r="D71" t="s">
        <v>1239</v>
      </c>
      <c r="E71" t="s">
        <v>384</v>
      </c>
      <c r="F71">
        <v>68000000000</v>
      </c>
      <c r="G71">
        <v>1</v>
      </c>
      <c r="H71">
        <v>68000000000</v>
      </c>
      <c r="I71">
        <v>7099080218</v>
      </c>
      <c r="J71">
        <v>46262</v>
      </c>
      <c r="K71">
        <v>46097</v>
      </c>
      <c r="M71">
        <v>46493</v>
      </c>
      <c r="N71">
        <v>396</v>
      </c>
      <c r="O71">
        <v>0</v>
      </c>
      <c r="P71">
        <v>8.9</v>
      </c>
      <c r="Q71">
        <v>0</v>
      </c>
      <c r="R71">
        <v>254966563.71999899</v>
      </c>
      <c r="S71">
        <v>0</v>
      </c>
      <c r="T71">
        <v>253862812.361904</v>
      </c>
      <c r="U71">
        <v>2735835616.2800002</v>
      </c>
      <c r="V71">
        <v>16580821.917808199</v>
      </c>
      <c r="W71" t="s">
        <v>364</v>
      </c>
    </row>
    <row r="72" spans="1:23" x14ac:dyDescent="0.3">
      <c r="A72" s="20" t="e">
        <f>IF(#REF!&lt;&gt;"", Runtool!$C$2, "")</f>
        <v>#REF!</v>
      </c>
      <c r="B72">
        <v>3005</v>
      </c>
      <c r="C72" t="s">
        <v>310</v>
      </c>
      <c r="D72" t="s">
        <v>1064</v>
      </c>
      <c r="E72" t="s">
        <v>324</v>
      </c>
      <c r="F72">
        <v>1000000000000</v>
      </c>
      <c r="G72">
        <v>1</v>
      </c>
      <c r="H72">
        <v>1000000000000</v>
      </c>
      <c r="I72">
        <v>1000000000000</v>
      </c>
      <c r="J72">
        <v>45986</v>
      </c>
      <c r="K72">
        <v>45986</v>
      </c>
      <c r="M72">
        <v>46350</v>
      </c>
      <c r="N72">
        <v>364</v>
      </c>
      <c r="O72">
        <v>0</v>
      </c>
      <c r="P72">
        <v>6.3</v>
      </c>
      <c r="Q72">
        <v>0</v>
      </c>
      <c r="R72">
        <v>0</v>
      </c>
      <c r="S72">
        <v>0</v>
      </c>
      <c r="T72">
        <v>0</v>
      </c>
      <c r="U72">
        <v>0</v>
      </c>
      <c r="V72">
        <v>47810958904.109497</v>
      </c>
      <c r="W72" t="s">
        <v>364</v>
      </c>
    </row>
    <row r="73" spans="1:23" x14ac:dyDescent="0.3">
      <c r="A73" s="20" t="e">
        <f>IF(#REF!&lt;&gt;"", Runtool!$C$2, "")</f>
        <v>#REF!</v>
      </c>
      <c r="B73">
        <v>3290</v>
      </c>
      <c r="C73" t="s">
        <v>310</v>
      </c>
      <c r="D73" t="s">
        <v>1140</v>
      </c>
      <c r="E73" t="s">
        <v>343</v>
      </c>
      <c r="F73">
        <v>50000000000</v>
      </c>
      <c r="G73">
        <v>1</v>
      </c>
      <c r="H73">
        <v>50000000000</v>
      </c>
      <c r="I73">
        <v>4973511590</v>
      </c>
      <c r="J73">
        <v>46027</v>
      </c>
      <c r="K73">
        <v>46010</v>
      </c>
      <c r="M73">
        <v>46283</v>
      </c>
      <c r="N73">
        <v>273</v>
      </c>
      <c r="O73">
        <v>0</v>
      </c>
      <c r="P73">
        <v>7.5</v>
      </c>
      <c r="Q73">
        <v>439541634</v>
      </c>
      <c r="R73">
        <v>0</v>
      </c>
      <c r="S73">
        <v>34339190.15625</v>
      </c>
      <c r="T73">
        <v>0</v>
      </c>
      <c r="U73">
        <v>174657534</v>
      </c>
      <c r="V73">
        <v>2424657534.2465701</v>
      </c>
      <c r="W73" t="s">
        <v>364</v>
      </c>
    </row>
    <row r="74" spans="1:23" x14ac:dyDescent="0.3">
      <c r="A74" s="20" t="e">
        <f>IF(#REF!&lt;&gt;"", Runtool!$C$2, "")</f>
        <v>#REF!</v>
      </c>
      <c r="B74">
        <v>4805</v>
      </c>
      <c r="C74" t="s">
        <v>310</v>
      </c>
      <c r="D74" t="s">
        <v>1260</v>
      </c>
      <c r="E74" t="s">
        <v>384</v>
      </c>
      <c r="F74">
        <v>24000000000</v>
      </c>
      <c r="G74">
        <v>1</v>
      </c>
      <c r="H74">
        <v>24000000000</v>
      </c>
      <c r="I74">
        <v>2466397425</v>
      </c>
      <c r="J74">
        <v>46239</v>
      </c>
      <c r="K74">
        <v>46129</v>
      </c>
      <c r="M74">
        <v>46524</v>
      </c>
      <c r="N74">
        <v>395</v>
      </c>
      <c r="O74">
        <v>0</v>
      </c>
      <c r="P74">
        <v>9.5</v>
      </c>
      <c r="Q74">
        <v>23149031.760000002</v>
      </c>
      <c r="R74">
        <v>0</v>
      </c>
      <c r="S74">
        <v>21199639.611789495</v>
      </c>
      <c r="T74">
        <v>0</v>
      </c>
      <c r="U74">
        <v>687123287.75999999</v>
      </c>
      <c r="V74">
        <v>149917808.21917799</v>
      </c>
      <c r="W74" t="s">
        <v>364</v>
      </c>
    </row>
    <row r="75" spans="1:23" x14ac:dyDescent="0.3">
      <c r="A75" s="20" t="e">
        <f>IF(#REF!&lt;&gt;"", Runtool!$C$2, "")</f>
        <v>#REF!</v>
      </c>
      <c r="B75">
        <v>4831</v>
      </c>
      <c r="C75" t="s">
        <v>310</v>
      </c>
      <c r="D75" t="s">
        <v>1260</v>
      </c>
      <c r="E75" t="s">
        <v>384</v>
      </c>
      <c r="F75">
        <v>49000000000</v>
      </c>
      <c r="G75">
        <v>1</v>
      </c>
      <c r="H75">
        <v>49000000000</v>
      </c>
      <c r="I75">
        <v>5038284869</v>
      </c>
      <c r="J75">
        <v>46241</v>
      </c>
      <c r="K75">
        <v>46129</v>
      </c>
      <c r="M75">
        <v>46524</v>
      </c>
      <c r="N75">
        <v>395</v>
      </c>
      <c r="O75">
        <v>0</v>
      </c>
      <c r="P75">
        <v>9.5</v>
      </c>
      <c r="Q75">
        <v>45534863.569999903</v>
      </c>
      <c r="R75">
        <v>0</v>
      </c>
      <c r="S75">
        <v>41995050.8543109</v>
      </c>
      <c r="T75">
        <v>0</v>
      </c>
      <c r="U75">
        <v>1428383561.5699899</v>
      </c>
      <c r="V75">
        <v>280575342.46575302</v>
      </c>
      <c r="W75" t="s">
        <v>364</v>
      </c>
    </row>
    <row r="76" spans="1:23" x14ac:dyDescent="0.3">
      <c r="A76" s="20" t="e">
        <f>IF(#REF!&lt;&gt;"", Runtool!$C$2, "")</f>
        <v>#REF!</v>
      </c>
      <c r="B76">
        <v>4856</v>
      </c>
      <c r="C76" t="s">
        <v>310</v>
      </c>
      <c r="D76" t="s">
        <v>1008</v>
      </c>
      <c r="E76" t="s">
        <v>473</v>
      </c>
      <c r="F76">
        <v>200000000000</v>
      </c>
      <c r="G76">
        <v>1</v>
      </c>
      <c r="H76">
        <v>200000000000</v>
      </c>
      <c r="I76">
        <v>2091349362</v>
      </c>
      <c r="J76">
        <v>46246</v>
      </c>
      <c r="K76">
        <v>45965</v>
      </c>
      <c r="M76">
        <v>46324</v>
      </c>
      <c r="N76">
        <v>359</v>
      </c>
      <c r="O76">
        <v>0</v>
      </c>
      <c r="P76">
        <v>6.3</v>
      </c>
      <c r="Q76">
        <v>565337772</v>
      </c>
      <c r="R76">
        <v>0</v>
      </c>
      <c r="S76">
        <v>442123129.384615</v>
      </c>
      <c r="T76">
        <v>0</v>
      </c>
      <c r="U76">
        <v>9700273972</v>
      </c>
      <c r="V76">
        <v>586849315.06849301</v>
      </c>
      <c r="W76" t="s">
        <v>364</v>
      </c>
    </row>
    <row r="77" spans="1:23" x14ac:dyDescent="0.3">
      <c r="A77" s="20" t="e">
        <f>IF(#REF!&lt;&gt;"", Runtool!$C$2, "")</f>
        <v>#REF!</v>
      </c>
      <c r="B77">
        <v>4972</v>
      </c>
      <c r="C77" t="s">
        <v>310</v>
      </c>
      <c r="D77" t="s">
        <v>1204</v>
      </c>
      <c r="E77" t="s">
        <v>315</v>
      </c>
      <c r="F77">
        <v>410000000000</v>
      </c>
      <c r="G77">
        <v>1</v>
      </c>
      <c r="H77">
        <v>410000000000</v>
      </c>
      <c r="I77">
        <v>4813639143</v>
      </c>
      <c r="J77">
        <v>46259</v>
      </c>
      <c r="K77">
        <v>46057</v>
      </c>
      <c r="L77">
        <v>46422</v>
      </c>
      <c r="M77">
        <v>46422</v>
      </c>
      <c r="N77">
        <v>365</v>
      </c>
      <c r="O77">
        <v>0</v>
      </c>
      <c r="P77">
        <v>7.24</v>
      </c>
      <c r="Q77">
        <v>0</v>
      </c>
      <c r="R77">
        <v>2932659523.4000001</v>
      </c>
      <c r="S77">
        <v>0</v>
      </c>
      <c r="T77">
        <v>2549747590.4300599</v>
      </c>
      <c r="U77">
        <v>18431254796.599899</v>
      </c>
      <c r="V77">
        <v>325304109.58904099</v>
      </c>
      <c r="W77" t="s">
        <v>364</v>
      </c>
    </row>
    <row r="78" spans="1:23" x14ac:dyDescent="0.3">
      <c r="A78" s="20" t="e">
        <f>IF(#REF!&lt;&gt;"", Runtool!$C$2, "")</f>
        <v>#REF!</v>
      </c>
      <c r="B78">
        <v>2926</v>
      </c>
      <c r="C78" t="s">
        <v>310</v>
      </c>
      <c r="D78" t="s">
        <v>961</v>
      </c>
      <c r="E78" t="s">
        <v>473</v>
      </c>
      <c r="F78">
        <v>400000000000</v>
      </c>
      <c r="G78">
        <v>1</v>
      </c>
      <c r="H78">
        <v>400000000000</v>
      </c>
      <c r="I78">
        <v>4028234968</v>
      </c>
      <c r="J78">
        <v>45974</v>
      </c>
      <c r="K78">
        <v>45930</v>
      </c>
      <c r="M78">
        <v>46289</v>
      </c>
      <c r="N78">
        <v>359</v>
      </c>
      <c r="O78">
        <v>0</v>
      </c>
      <c r="P78">
        <v>6</v>
      </c>
      <c r="Q78">
        <v>69653884</v>
      </c>
      <c r="R78">
        <v>0</v>
      </c>
      <c r="S78">
        <v>5749209.4730158998</v>
      </c>
      <c r="T78">
        <v>0</v>
      </c>
      <c r="U78">
        <v>2893150684</v>
      </c>
      <c r="V78">
        <v>19002739726.027306</v>
      </c>
      <c r="W78" t="s">
        <v>364</v>
      </c>
    </row>
    <row r="79" spans="1:23" x14ac:dyDescent="0.3">
      <c r="A79" s="20" t="e">
        <f>IF(#REF!&lt;&gt;"", Runtool!$C$2, "")</f>
        <v>#REF!</v>
      </c>
      <c r="B79">
        <v>4914</v>
      </c>
      <c r="C79" t="s">
        <v>310</v>
      </c>
      <c r="D79" t="s">
        <v>1010</v>
      </c>
      <c r="E79" t="s">
        <v>328</v>
      </c>
      <c r="F79">
        <v>300000000000</v>
      </c>
      <c r="G79">
        <v>1</v>
      </c>
      <c r="H79">
        <v>300000000000</v>
      </c>
      <c r="I79">
        <v>5237394720</v>
      </c>
      <c r="J79">
        <v>46253</v>
      </c>
      <c r="K79">
        <v>45965</v>
      </c>
      <c r="L79">
        <v>46329</v>
      </c>
      <c r="M79">
        <v>46329</v>
      </c>
      <c r="N79">
        <v>364</v>
      </c>
      <c r="O79">
        <v>0</v>
      </c>
      <c r="P79">
        <v>6.3</v>
      </c>
      <c r="Q79">
        <v>1115322520</v>
      </c>
      <c r="R79">
        <v>0</v>
      </c>
      <c r="S79">
        <v>581141734.10526299</v>
      </c>
      <c r="T79">
        <v>0</v>
      </c>
      <c r="U79">
        <v>24854794519.999901</v>
      </c>
      <c r="V79">
        <v>517808219.17808199</v>
      </c>
      <c r="W79" t="s">
        <v>364</v>
      </c>
    </row>
    <row r="80" spans="1:23" x14ac:dyDescent="0.3">
      <c r="A80" s="20" t="e">
        <f>IF(#REF!&lt;&gt;"", Runtool!$C$2, "")</f>
        <v>#REF!</v>
      </c>
      <c r="B80">
        <v>4948</v>
      </c>
      <c r="C80" t="s">
        <v>310</v>
      </c>
      <c r="D80" t="s">
        <v>1010</v>
      </c>
      <c r="E80" t="s">
        <v>328</v>
      </c>
      <c r="F80">
        <v>500000000000</v>
      </c>
      <c r="G80">
        <v>1</v>
      </c>
      <c r="H80">
        <v>500000000000</v>
      </c>
      <c r="I80">
        <v>5238768905</v>
      </c>
      <c r="J80">
        <v>46255</v>
      </c>
      <c r="K80">
        <v>45965</v>
      </c>
      <c r="L80">
        <v>46329</v>
      </c>
      <c r="M80">
        <v>46329</v>
      </c>
      <c r="N80">
        <v>364</v>
      </c>
      <c r="O80">
        <v>0</v>
      </c>
      <c r="P80">
        <v>6.3</v>
      </c>
      <c r="Q80">
        <v>1150506760</v>
      </c>
      <c r="R80">
        <v>0</v>
      </c>
      <c r="S80">
        <v>1026127650.81081</v>
      </c>
      <c r="T80">
        <v>0</v>
      </c>
      <c r="U80">
        <v>25027397260</v>
      </c>
      <c r="V80">
        <v>690410958.904109</v>
      </c>
      <c r="W80" t="s">
        <v>364</v>
      </c>
    </row>
    <row r="81" spans="1:23" x14ac:dyDescent="0.3">
      <c r="A81" s="20" t="e">
        <f>IF(#REF!&lt;&gt;"", Runtool!$C$2, "")</f>
        <v>#REF!</v>
      </c>
      <c r="B81">
        <v>4635</v>
      </c>
      <c r="C81" t="s">
        <v>310</v>
      </c>
      <c r="D81" t="s">
        <v>1073</v>
      </c>
      <c r="E81" t="s">
        <v>325</v>
      </c>
      <c r="F81">
        <v>200000000000</v>
      </c>
      <c r="G81">
        <v>1</v>
      </c>
      <c r="H81">
        <v>200000000000</v>
      </c>
      <c r="I81">
        <v>2078608208</v>
      </c>
      <c r="J81">
        <v>46206</v>
      </c>
      <c r="K81">
        <v>45992</v>
      </c>
      <c r="L81">
        <v>45992</v>
      </c>
      <c r="M81">
        <v>46356</v>
      </c>
      <c r="N81">
        <v>364</v>
      </c>
      <c r="O81">
        <v>0</v>
      </c>
      <c r="P81">
        <v>6.6</v>
      </c>
      <c r="Q81">
        <v>0</v>
      </c>
      <c r="R81">
        <v>121642718</v>
      </c>
      <c r="S81">
        <v>0</v>
      </c>
      <c r="T81">
        <v>75418485.159999996</v>
      </c>
      <c r="U81">
        <v>7739178081.9999905</v>
      </c>
      <c r="V81">
        <v>2061369863.01369</v>
      </c>
      <c r="W81" t="s">
        <v>364</v>
      </c>
    </row>
    <row r="82" spans="1:23" x14ac:dyDescent="0.3">
      <c r="A82" s="20" t="e">
        <f>IF(#REF!&lt;&gt;"", Runtool!$C$2, "")</f>
        <v>#REF!</v>
      </c>
      <c r="B82">
        <v>4886</v>
      </c>
      <c r="C82" t="s">
        <v>310</v>
      </c>
      <c r="D82" t="s">
        <v>1209</v>
      </c>
      <c r="E82" t="s">
        <v>316</v>
      </c>
      <c r="F82">
        <v>300000000000</v>
      </c>
      <c r="G82">
        <v>1</v>
      </c>
      <c r="H82">
        <v>300000000000</v>
      </c>
      <c r="I82">
        <v>3141638979</v>
      </c>
      <c r="J82">
        <v>46252</v>
      </c>
      <c r="K82">
        <v>46036</v>
      </c>
      <c r="M82">
        <v>46401</v>
      </c>
      <c r="N82">
        <v>365</v>
      </c>
      <c r="O82">
        <v>0</v>
      </c>
      <c r="P82">
        <v>7.5</v>
      </c>
      <c r="Q82">
        <v>0</v>
      </c>
      <c r="R82">
        <v>848829408</v>
      </c>
      <c r="S82">
        <v>0</v>
      </c>
      <c r="T82">
        <v>786164149.691275</v>
      </c>
      <c r="U82">
        <v>13315068492</v>
      </c>
      <c r="V82">
        <v>678082191.78082097</v>
      </c>
      <c r="W82" t="s">
        <v>364</v>
      </c>
    </row>
    <row r="83" spans="1:23" x14ac:dyDescent="0.3">
      <c r="A83" s="20" t="e">
        <f>IF(#REF!&lt;&gt;"", Runtool!$C$2, "")</f>
        <v>#REF!</v>
      </c>
      <c r="B83">
        <v>4902</v>
      </c>
      <c r="C83" t="s">
        <v>310</v>
      </c>
      <c r="D83" t="s">
        <v>1517</v>
      </c>
      <c r="E83" t="s">
        <v>325</v>
      </c>
      <c r="F83">
        <v>900000000000</v>
      </c>
      <c r="G83">
        <v>1</v>
      </c>
      <c r="H83">
        <v>900000000000</v>
      </c>
      <c r="I83">
        <v>9000000000</v>
      </c>
      <c r="J83">
        <v>46252</v>
      </c>
      <c r="K83">
        <v>46252</v>
      </c>
      <c r="L83">
        <v>46301</v>
      </c>
      <c r="M83">
        <v>46525</v>
      </c>
      <c r="N83">
        <v>273</v>
      </c>
      <c r="O83">
        <v>0</v>
      </c>
      <c r="P83">
        <v>9.3000000000000007</v>
      </c>
      <c r="Q83">
        <v>0</v>
      </c>
      <c r="R83">
        <v>0</v>
      </c>
      <c r="S83">
        <v>0</v>
      </c>
      <c r="T83">
        <v>0</v>
      </c>
      <c r="U83">
        <v>0</v>
      </c>
      <c r="V83">
        <v>2522465753.4246502</v>
      </c>
      <c r="W83" t="s">
        <v>364</v>
      </c>
    </row>
    <row r="84" spans="1:23" x14ac:dyDescent="0.3">
      <c r="A84" s="20" t="e">
        <f>IF(#REF!&lt;&gt;"", Runtool!$C$2, "")</f>
        <v>#REF!</v>
      </c>
      <c r="B84">
        <v>4938</v>
      </c>
      <c r="C84" t="s">
        <v>310</v>
      </c>
      <c r="D84" t="s">
        <v>1292</v>
      </c>
      <c r="E84" t="s">
        <v>334</v>
      </c>
      <c r="F84">
        <v>200000000000</v>
      </c>
      <c r="G84">
        <v>1</v>
      </c>
      <c r="H84">
        <v>200000000000</v>
      </c>
      <c r="I84">
        <v>2061367676</v>
      </c>
      <c r="J84">
        <v>46254</v>
      </c>
      <c r="K84">
        <v>46163</v>
      </c>
      <c r="M84">
        <v>46527</v>
      </c>
      <c r="N84">
        <v>364</v>
      </c>
      <c r="O84">
        <v>0</v>
      </c>
      <c r="P84">
        <v>8.5</v>
      </c>
      <c r="Q84">
        <v>0</v>
      </c>
      <c r="R84">
        <v>1898411436</v>
      </c>
      <c r="S84">
        <v>0</v>
      </c>
      <c r="T84">
        <v>1835826443.6043899</v>
      </c>
      <c r="U84">
        <v>4238356163.99999</v>
      </c>
      <c r="V84">
        <v>419178082.19177997</v>
      </c>
      <c r="W84" t="s">
        <v>364</v>
      </c>
    </row>
    <row r="85" spans="1:23" x14ac:dyDescent="0.3">
      <c r="A85" s="20" t="e">
        <f>IF(#REF!&lt;&gt;"", Runtool!$C$2, "")</f>
        <v>#REF!</v>
      </c>
      <c r="B85">
        <v>4943</v>
      </c>
      <c r="C85" t="s">
        <v>310</v>
      </c>
      <c r="D85" t="s">
        <v>1204</v>
      </c>
      <c r="E85" t="s">
        <v>315</v>
      </c>
      <c r="F85">
        <v>305000000000</v>
      </c>
      <c r="G85">
        <v>1</v>
      </c>
      <c r="H85">
        <v>305000000000</v>
      </c>
      <c r="I85">
        <v>5229948450</v>
      </c>
      <c r="J85">
        <v>46254</v>
      </c>
      <c r="K85">
        <v>46057</v>
      </c>
      <c r="L85">
        <v>46422</v>
      </c>
      <c r="M85">
        <v>46422</v>
      </c>
      <c r="N85">
        <v>365</v>
      </c>
      <c r="O85">
        <v>0</v>
      </c>
      <c r="P85">
        <v>7.24</v>
      </c>
      <c r="Q85">
        <v>0</v>
      </c>
      <c r="R85">
        <v>3456762810</v>
      </c>
      <c r="S85">
        <v>0</v>
      </c>
      <c r="T85">
        <v>1995663243.7017801</v>
      </c>
      <c r="U85">
        <v>19538082190</v>
      </c>
      <c r="V85">
        <v>544487671.23287594</v>
      </c>
      <c r="W85" t="s">
        <v>364</v>
      </c>
    </row>
    <row r="86" spans="1:23" x14ac:dyDescent="0.3">
      <c r="A86" s="20" t="e">
        <f>IF(#REF!&lt;&gt;"", Runtool!$C$2, "")</f>
        <v>#REF!</v>
      </c>
      <c r="B86">
        <v>4969</v>
      </c>
      <c r="C86" t="s">
        <v>310</v>
      </c>
      <c r="D86" t="s">
        <v>1256</v>
      </c>
      <c r="E86" t="s">
        <v>316</v>
      </c>
      <c r="F86">
        <v>100000000000</v>
      </c>
      <c r="G86">
        <v>1</v>
      </c>
      <c r="H86">
        <v>100000000000</v>
      </c>
      <c r="I86">
        <v>1040793163</v>
      </c>
      <c r="J86">
        <v>46259</v>
      </c>
      <c r="K86">
        <v>46121</v>
      </c>
      <c r="M86">
        <v>46486</v>
      </c>
      <c r="N86">
        <v>365</v>
      </c>
      <c r="O86">
        <v>0</v>
      </c>
      <c r="P86">
        <v>8.6999999999999993</v>
      </c>
      <c r="Q86">
        <v>0</v>
      </c>
      <c r="R86">
        <v>790001232</v>
      </c>
      <c r="S86">
        <v>0</v>
      </c>
      <c r="T86">
        <v>776080505.44493413</v>
      </c>
      <c r="U86">
        <v>3289315068</v>
      </c>
      <c r="V86">
        <v>95342465.7534246</v>
      </c>
      <c r="W86" t="s">
        <v>364</v>
      </c>
    </row>
    <row r="87" spans="1:23" x14ac:dyDescent="0.3">
      <c r="A87" s="20" t="e">
        <f>IF(#REF!&lt;&gt;"", Runtool!$C$2, "")</f>
        <v>#REF!</v>
      </c>
      <c r="B87">
        <v>4970</v>
      </c>
      <c r="C87" t="s">
        <v>310</v>
      </c>
      <c r="D87" t="s">
        <v>1292</v>
      </c>
      <c r="E87" t="s">
        <v>334</v>
      </c>
      <c r="F87">
        <v>400000000000</v>
      </c>
      <c r="G87">
        <v>1</v>
      </c>
      <c r="H87">
        <v>400000000000</v>
      </c>
      <c r="I87">
        <v>4095888576</v>
      </c>
      <c r="J87">
        <v>46259</v>
      </c>
      <c r="K87">
        <v>46163</v>
      </c>
      <c r="M87">
        <v>46527</v>
      </c>
      <c r="N87">
        <v>364</v>
      </c>
      <c r="O87">
        <v>0</v>
      </c>
      <c r="P87">
        <v>8.5</v>
      </c>
      <c r="Q87">
        <v>0</v>
      </c>
      <c r="R87">
        <v>646391848</v>
      </c>
      <c r="S87">
        <v>0</v>
      </c>
      <c r="T87">
        <v>636744208.47761095</v>
      </c>
      <c r="U87">
        <v>8942465752</v>
      </c>
      <c r="V87">
        <v>372602739.72602701</v>
      </c>
      <c r="W87" t="s">
        <v>364</v>
      </c>
    </row>
    <row r="88" spans="1:23" x14ac:dyDescent="0.3">
      <c r="A88" s="20">
        <f>IF(B92&lt;&gt;"", Runtool!$C$2, "")</f>
        <v>46262</v>
      </c>
      <c r="B88">
        <v>4978</v>
      </c>
      <c r="C88" t="s">
        <v>310</v>
      </c>
      <c r="D88" t="s">
        <v>1239</v>
      </c>
      <c r="E88" t="s">
        <v>384</v>
      </c>
      <c r="F88">
        <v>68000000000</v>
      </c>
      <c r="G88">
        <v>1</v>
      </c>
      <c r="H88">
        <v>68000000000</v>
      </c>
      <c r="I88">
        <v>7099794360</v>
      </c>
      <c r="J88">
        <v>46260</v>
      </c>
      <c r="K88">
        <v>46097</v>
      </c>
      <c r="M88">
        <v>46493</v>
      </c>
      <c r="N88">
        <v>396</v>
      </c>
      <c r="O88">
        <v>0</v>
      </c>
      <c r="P88">
        <v>8.9</v>
      </c>
      <c r="Q88">
        <v>0</v>
      </c>
      <c r="R88">
        <v>295269635.36000001</v>
      </c>
      <c r="S88">
        <v>0</v>
      </c>
      <c r="T88">
        <v>291467880.398283</v>
      </c>
      <c r="U88">
        <v>2702673972.6399999</v>
      </c>
      <c r="V88">
        <v>49742465.753424697</v>
      </c>
      <c r="W88" t="s">
        <v>364</v>
      </c>
    </row>
    <row r="89" spans="1:23" x14ac:dyDescent="0.3">
      <c r="A89" s="20" t="str">
        <f>IF(B93&lt;&gt;"", Runtool!$C$2, "")</f>
        <v/>
      </c>
      <c r="B89">
        <v>2922</v>
      </c>
      <c r="C89" t="s">
        <v>310</v>
      </c>
      <c r="D89" t="s">
        <v>1050</v>
      </c>
      <c r="E89" t="s">
        <v>347</v>
      </c>
      <c r="F89">
        <v>1000000000000</v>
      </c>
      <c r="G89">
        <v>1</v>
      </c>
      <c r="H89">
        <v>1000000000000</v>
      </c>
      <c r="I89">
        <v>1000000000000</v>
      </c>
      <c r="J89">
        <v>45973</v>
      </c>
      <c r="K89">
        <v>45973</v>
      </c>
      <c r="M89">
        <v>46332</v>
      </c>
      <c r="N89">
        <v>359</v>
      </c>
      <c r="O89">
        <v>0</v>
      </c>
      <c r="P89">
        <v>5</v>
      </c>
      <c r="Q89">
        <v>0</v>
      </c>
      <c r="R89">
        <v>0</v>
      </c>
      <c r="S89">
        <v>0</v>
      </c>
      <c r="T89">
        <v>0</v>
      </c>
      <c r="U89">
        <v>0</v>
      </c>
      <c r="V89">
        <v>39726027397.260201</v>
      </c>
      <c r="W89" t="s">
        <v>364</v>
      </c>
    </row>
    <row r="90" spans="1:23" x14ac:dyDescent="0.3">
      <c r="A90" s="20" t="str">
        <f>IF(B94&lt;&gt;"", Runtool!$C$2, "")</f>
        <v/>
      </c>
      <c r="B90">
        <v>3063</v>
      </c>
      <c r="C90" t="s">
        <v>310</v>
      </c>
      <c r="D90" t="s">
        <v>960</v>
      </c>
      <c r="E90" t="s">
        <v>347</v>
      </c>
      <c r="F90">
        <v>300000000000</v>
      </c>
      <c r="G90">
        <v>1</v>
      </c>
      <c r="H90">
        <v>300000000000</v>
      </c>
      <c r="I90">
        <v>3029166417</v>
      </c>
      <c r="J90">
        <v>45995</v>
      </c>
      <c r="K90">
        <v>45929</v>
      </c>
      <c r="M90">
        <v>46288</v>
      </c>
      <c r="N90">
        <v>359</v>
      </c>
      <c r="O90">
        <v>0</v>
      </c>
      <c r="P90">
        <v>5</v>
      </c>
      <c r="Q90">
        <v>0</v>
      </c>
      <c r="R90">
        <v>204312933</v>
      </c>
      <c r="S90">
        <v>0</v>
      </c>
      <c r="T90">
        <v>17432844.112628002</v>
      </c>
      <c r="U90">
        <v>2712328767</v>
      </c>
      <c r="V90">
        <v>11013698630.1369</v>
      </c>
      <c r="W90" t="s">
        <v>364</v>
      </c>
    </row>
    <row r="91" spans="1:23" x14ac:dyDescent="0.3">
      <c r="A91" s="20" t="str">
        <f>IF(B95&lt;&gt;"", Runtool!$C$2, "")</f>
        <v/>
      </c>
      <c r="B91">
        <v>2680</v>
      </c>
      <c r="C91" t="s">
        <v>310</v>
      </c>
      <c r="D91" t="s">
        <v>961</v>
      </c>
      <c r="E91" t="s">
        <v>473</v>
      </c>
      <c r="F91">
        <v>600000000000</v>
      </c>
      <c r="G91">
        <v>1</v>
      </c>
      <c r="H91">
        <v>600000000000</v>
      </c>
      <c r="I91">
        <v>1000000000000</v>
      </c>
      <c r="J91">
        <v>45930</v>
      </c>
      <c r="K91">
        <v>45930</v>
      </c>
      <c r="M91">
        <v>46289</v>
      </c>
      <c r="N91">
        <v>359</v>
      </c>
      <c r="O91">
        <v>0</v>
      </c>
      <c r="P91">
        <v>6</v>
      </c>
      <c r="Q91">
        <v>0</v>
      </c>
      <c r="R91">
        <v>0</v>
      </c>
      <c r="S91">
        <v>0</v>
      </c>
      <c r="T91">
        <v>0</v>
      </c>
      <c r="U91">
        <v>0</v>
      </c>
      <c r="V91">
        <v>32843835616.438301</v>
      </c>
      <c r="W91" t="s">
        <v>364</v>
      </c>
    </row>
    <row r="92" spans="1:23" x14ac:dyDescent="0.3">
      <c r="A92" s="20" t="str">
        <f>IF(B96&lt;&gt;"", Runtool!$C$2, "")</f>
        <v/>
      </c>
      <c r="B92">
        <v>3921</v>
      </c>
      <c r="C92" t="s">
        <v>310</v>
      </c>
      <c r="D92" t="s">
        <v>1245</v>
      </c>
      <c r="E92" t="s">
        <v>313</v>
      </c>
      <c r="F92">
        <v>400000000000</v>
      </c>
      <c r="G92">
        <v>1</v>
      </c>
      <c r="H92">
        <v>400000000000</v>
      </c>
      <c r="I92">
        <v>4000000000</v>
      </c>
      <c r="J92">
        <v>46111</v>
      </c>
      <c r="K92">
        <v>46111</v>
      </c>
      <c r="M92">
        <v>46470</v>
      </c>
      <c r="N92">
        <v>359</v>
      </c>
      <c r="O92">
        <v>0</v>
      </c>
      <c r="P92">
        <v>8.8000000000000007</v>
      </c>
      <c r="Q92">
        <v>0</v>
      </c>
      <c r="R92">
        <v>0</v>
      </c>
      <c r="S92">
        <v>0</v>
      </c>
      <c r="T92">
        <v>0</v>
      </c>
      <c r="U92">
        <v>0</v>
      </c>
      <c r="V92">
        <v>14658630136.9863</v>
      </c>
      <c r="W92" t="s">
        <v>364</v>
      </c>
    </row>
    <row r="93" spans="1:23" x14ac:dyDescent="0.3">
      <c r="A93" s="20" t="str">
        <f>IF(B97&lt;&gt;"", Runtool!$C$2, "")</f>
        <v/>
      </c>
    </row>
    <row r="94" spans="1:23" x14ac:dyDescent="0.3">
      <c r="A94" s="20" t="str">
        <f>IF(B98&lt;&gt;"", Runtool!$C$2, "")</f>
        <v/>
      </c>
    </row>
    <row r="95" spans="1:23" x14ac:dyDescent="0.3">
      <c r="A95" s="20" t="str">
        <f>IF(B99&lt;&gt;"", Runtool!$C$2, "")</f>
        <v/>
      </c>
    </row>
    <row r="96" spans="1:23" x14ac:dyDescent="0.3">
      <c r="A96" s="20" t="str">
        <f>IF(B100&lt;&gt;"", Runtool!$C$2, "")</f>
        <v/>
      </c>
    </row>
    <row r="97" spans="1:1" x14ac:dyDescent="0.3">
      <c r="A97" s="20" t="str">
        <f>IF(B101&lt;&gt;"", Runtool!$C$2, "")</f>
        <v/>
      </c>
    </row>
    <row r="98" spans="1:1" x14ac:dyDescent="0.3">
      <c r="A98" s="20" t="str">
        <f>IF(B102&lt;&gt;"", Runtool!$C$2, "")</f>
        <v/>
      </c>
    </row>
    <row r="99" spans="1:1" x14ac:dyDescent="0.3">
      <c r="A99" s="20" t="str">
        <f>IF(B103&lt;&gt;"", Runtool!$C$2, "")</f>
        <v/>
      </c>
    </row>
    <row r="100" spans="1:1" x14ac:dyDescent="0.3">
      <c r="A100" s="20" t="str">
        <f>IF(B104&lt;&gt;"", Runtool!$C$2, "")</f>
        <v/>
      </c>
    </row>
    <row r="101" spans="1:1" x14ac:dyDescent="0.3">
      <c r="A101" s="20" t="str">
        <f>IF(B105&lt;&gt;"", Runtool!$C$2, "")</f>
        <v/>
      </c>
    </row>
    <row r="102" spans="1:1" x14ac:dyDescent="0.3">
      <c r="A102" s="20" t="str">
        <f>IF(B106&lt;&gt;"", Runtool!$C$2, "")</f>
        <v/>
      </c>
    </row>
    <row r="103" spans="1:1" x14ac:dyDescent="0.3">
      <c r="A103" s="20" t="str">
        <f>IF(B107&lt;&gt;"", Runtool!$C$2, "")</f>
        <v/>
      </c>
    </row>
    <row r="104" spans="1:1" x14ac:dyDescent="0.3">
      <c r="A104" s="20" t="str">
        <f>IF(B108&lt;&gt;"", Runtool!$C$2, "")</f>
        <v/>
      </c>
    </row>
    <row r="105" spans="1:1" x14ac:dyDescent="0.3">
      <c r="A105" s="20" t="str">
        <f>IF(B109&lt;&gt;"", Runtool!$C$2, "")</f>
        <v/>
      </c>
    </row>
    <row r="106" spans="1:1" x14ac:dyDescent="0.3">
      <c r="A106" s="20" t="str">
        <f>IF(B110&lt;&gt;"", Runtool!$C$2, "")</f>
        <v/>
      </c>
    </row>
    <row r="107" spans="1:1" x14ac:dyDescent="0.3">
      <c r="A107" s="20" t="str">
        <f>IF(B111&lt;&gt;"", Runtool!$C$2, "")</f>
        <v/>
      </c>
    </row>
    <row r="108" spans="1:1" x14ac:dyDescent="0.3">
      <c r="A108" s="20" t="str">
        <f>IF(B112&lt;&gt;"", Runtool!$C$2, "")</f>
        <v/>
      </c>
    </row>
    <row r="109" spans="1:1" x14ac:dyDescent="0.3">
      <c r="A109" s="20" t="str">
        <f>IF(B113&lt;&gt;"", Runtool!$C$2, "")</f>
        <v/>
      </c>
    </row>
    <row r="110" spans="1:1" x14ac:dyDescent="0.3">
      <c r="A110" s="20" t="str">
        <f>IF(B114&lt;&gt;"", Runtool!$C$2, "")</f>
        <v/>
      </c>
    </row>
    <row r="111" spans="1:1" x14ac:dyDescent="0.3">
      <c r="A111" s="20" t="str">
        <f>IF(B115&lt;&gt;"", Runtool!$C$2, "")</f>
        <v/>
      </c>
    </row>
    <row r="112" spans="1:1" x14ac:dyDescent="0.3">
      <c r="A112" s="20" t="str">
        <f>IF(B116&lt;&gt;"", Runtool!$C$2, "")</f>
        <v/>
      </c>
    </row>
    <row r="113" spans="1:1" x14ac:dyDescent="0.3">
      <c r="A113" s="20" t="str">
        <f>IF(B117&lt;&gt;"", Runtool!$C$2, "")</f>
        <v/>
      </c>
    </row>
    <row r="114" spans="1:1" x14ac:dyDescent="0.3">
      <c r="A114" s="20" t="str">
        <f>IF(B118&lt;&gt;"", Runtool!$C$2, "")</f>
        <v/>
      </c>
    </row>
    <row r="115" spans="1:1" x14ac:dyDescent="0.3">
      <c r="A115" s="20" t="str">
        <f>IF(B119&lt;&gt;"", Runtool!$C$2, "")</f>
        <v/>
      </c>
    </row>
    <row r="116" spans="1:1" x14ac:dyDescent="0.3">
      <c r="A116" s="20" t="str">
        <f>IF(B120&lt;&gt;"", Runtool!$C$2, "")</f>
        <v/>
      </c>
    </row>
    <row r="117" spans="1:1" x14ac:dyDescent="0.3">
      <c r="A117" s="20" t="str">
        <f>IF(B121&lt;&gt;"", Runtool!$C$2, "")</f>
        <v/>
      </c>
    </row>
    <row r="118" spans="1:1" x14ac:dyDescent="0.3">
      <c r="A118" s="20" t="str">
        <f>IF(B122&lt;&gt;"", Runtool!$C$2, "")</f>
        <v/>
      </c>
    </row>
    <row r="119" spans="1:1" x14ac:dyDescent="0.3">
      <c r="A119" s="20" t="str">
        <f>IF(B123&lt;&gt;"", Runtool!$C$2, "")</f>
        <v/>
      </c>
    </row>
    <row r="120" spans="1:1" x14ac:dyDescent="0.3">
      <c r="A120" s="20" t="str">
        <f>IF(B124&lt;&gt;"", Runtool!$C$2, "")</f>
        <v/>
      </c>
    </row>
    <row r="121" spans="1:1" x14ac:dyDescent="0.3">
      <c r="A121" s="20" t="str">
        <f>IF(B125&lt;&gt;"", Runtool!$C$2, "")</f>
        <v/>
      </c>
    </row>
    <row r="122" spans="1:1" x14ac:dyDescent="0.3">
      <c r="A122" s="20" t="str">
        <f>IF(B126&lt;&gt;"", Runtool!$C$2, "")</f>
        <v/>
      </c>
    </row>
    <row r="123" spans="1:1" x14ac:dyDescent="0.3">
      <c r="A123" s="20" t="str">
        <f>IF(B127&lt;&gt;"", Runtool!$C$2, "")</f>
        <v/>
      </c>
    </row>
    <row r="124" spans="1:1" x14ac:dyDescent="0.3">
      <c r="A124" s="20" t="str">
        <f>IF(B128&lt;&gt;"", Runtool!$C$2, "")</f>
        <v/>
      </c>
    </row>
    <row r="125" spans="1:1" x14ac:dyDescent="0.3">
      <c r="A125" s="20" t="str">
        <f>IF(B129&lt;&gt;"", Runtool!$C$2, "")</f>
        <v/>
      </c>
    </row>
    <row r="126" spans="1:1" x14ac:dyDescent="0.3">
      <c r="A126" s="20" t="str">
        <f>IF(B130&lt;&gt;"", Runtool!$C$2, "")</f>
        <v/>
      </c>
    </row>
    <row r="127" spans="1:1" x14ac:dyDescent="0.3">
      <c r="A127" s="20" t="str">
        <f>IF(B131&lt;&gt;"", Runtool!$C$2, "")</f>
        <v/>
      </c>
    </row>
    <row r="128" spans="1:1" x14ac:dyDescent="0.3">
      <c r="A128" s="20" t="str">
        <f>IF(B132&lt;&gt;"", Runtool!$C$2, "")</f>
        <v/>
      </c>
    </row>
    <row r="129" spans="1:1" x14ac:dyDescent="0.3">
      <c r="A129" s="20" t="str">
        <f>IF(B133&lt;&gt;"", Runtool!$C$2, "")</f>
        <v/>
      </c>
    </row>
    <row r="130" spans="1:1" x14ac:dyDescent="0.3">
      <c r="A130" s="20" t="str">
        <f>IF(B134&lt;&gt;"", Runtool!$C$2, "")</f>
        <v/>
      </c>
    </row>
    <row r="131" spans="1:1" x14ac:dyDescent="0.3">
      <c r="A131" s="20" t="str">
        <f>IF(B135&lt;&gt;"", Runtool!$C$2, "")</f>
        <v/>
      </c>
    </row>
    <row r="132" spans="1:1" x14ac:dyDescent="0.3">
      <c r="A132" s="20" t="str">
        <f>IF(B136&lt;&gt;"", Runtool!$C$2, "")</f>
        <v/>
      </c>
    </row>
    <row r="133" spans="1:1" x14ac:dyDescent="0.3">
      <c r="A133" s="20" t="str">
        <f>IF(B137&lt;&gt;"", Runtool!$C$2, "")</f>
        <v/>
      </c>
    </row>
    <row r="134" spans="1:1" x14ac:dyDescent="0.3">
      <c r="A134" s="20" t="str">
        <f>IF(B138&lt;&gt;"", Runtool!$C$2, "")</f>
        <v/>
      </c>
    </row>
    <row r="135" spans="1:1" x14ac:dyDescent="0.3">
      <c r="A135" s="20" t="str">
        <f>IF(B139&lt;&gt;"", Runtool!$C$2, "")</f>
        <v/>
      </c>
    </row>
    <row r="136" spans="1:1" x14ac:dyDescent="0.3">
      <c r="A136" s="20" t="str">
        <f>IF(B140&lt;&gt;"", Runtool!$C$2, "")</f>
        <v/>
      </c>
    </row>
    <row r="137" spans="1:1" x14ac:dyDescent="0.3">
      <c r="A137" s="20" t="str">
        <f>IF(B141&lt;&gt;"", Runtool!$C$2, "")</f>
        <v/>
      </c>
    </row>
    <row r="138" spans="1:1" x14ac:dyDescent="0.3">
      <c r="A138" s="20" t="str">
        <f>IF(B142&lt;&gt;"", Runtool!$C$2, "")</f>
        <v/>
      </c>
    </row>
    <row r="139" spans="1:1" x14ac:dyDescent="0.3">
      <c r="A139" s="20" t="str">
        <f>IF(B143&lt;&gt;"", Runtool!$C$2, "")</f>
        <v/>
      </c>
    </row>
    <row r="140" spans="1:1" x14ac:dyDescent="0.3">
      <c r="A140" s="20" t="str">
        <f>IF(B144&lt;&gt;"", Runtool!$C$2, "")</f>
        <v/>
      </c>
    </row>
    <row r="141" spans="1:1" x14ac:dyDescent="0.3">
      <c r="A141" s="20" t="str">
        <f>IF(B145&lt;&gt;"", Runtool!$C$2, "")</f>
        <v/>
      </c>
    </row>
    <row r="142" spans="1:1" x14ac:dyDescent="0.3">
      <c r="A142" s="20" t="str">
        <f>IF(B146&lt;&gt;"", Runtool!$C$2, "")</f>
        <v/>
      </c>
    </row>
    <row r="143" spans="1:1" x14ac:dyDescent="0.3">
      <c r="A143" s="20" t="str">
        <f>IF(B147&lt;&gt;"", Runtool!$C$2, "")</f>
        <v/>
      </c>
    </row>
    <row r="144" spans="1:1" x14ac:dyDescent="0.3">
      <c r="A144" s="20" t="str">
        <f>IF(B148&lt;&gt;"", Runtool!$C$2, "")</f>
        <v/>
      </c>
    </row>
    <row r="145" spans="1:1" x14ac:dyDescent="0.3">
      <c r="A145" s="20" t="str">
        <f>IF(B149&lt;&gt;"", Runtool!$C$2, "")</f>
        <v/>
      </c>
    </row>
    <row r="146" spans="1:1" x14ac:dyDescent="0.3">
      <c r="A146" s="20" t="str">
        <f>IF(B150&lt;&gt;"", Runtool!$C$2, "")</f>
        <v/>
      </c>
    </row>
    <row r="147" spans="1:1" x14ac:dyDescent="0.3">
      <c r="A147" s="20" t="str">
        <f>IF(B151&lt;&gt;"", Runtool!$C$2, "")</f>
        <v/>
      </c>
    </row>
    <row r="148" spans="1:1" x14ac:dyDescent="0.3">
      <c r="A148" s="20" t="str">
        <f>IF(B152&lt;&gt;"", Runtool!$C$2, "")</f>
        <v/>
      </c>
    </row>
    <row r="149" spans="1:1" x14ac:dyDescent="0.3">
      <c r="A149" s="20" t="str">
        <f>IF(B153&lt;&gt;"", Runtool!$C$2, "")</f>
        <v/>
      </c>
    </row>
    <row r="150" spans="1:1" x14ac:dyDescent="0.3">
      <c r="A150" s="20" t="str">
        <f>IF(B154&lt;&gt;"", Runtool!$C$2, "")</f>
        <v/>
      </c>
    </row>
    <row r="151" spans="1:1" x14ac:dyDescent="0.3">
      <c r="A151" s="20" t="str">
        <f>IF(B155&lt;&gt;"", Runtool!$C$2, "")</f>
        <v/>
      </c>
    </row>
    <row r="152" spans="1:1" x14ac:dyDescent="0.3">
      <c r="A152" s="20" t="str">
        <f>IF(B156&lt;&gt;"", Runtool!$C$2, "")</f>
        <v/>
      </c>
    </row>
    <row r="153" spans="1:1" x14ac:dyDescent="0.3">
      <c r="A153" s="20" t="str">
        <f>IF(B157&lt;&gt;"", Runtool!$C$2, "")</f>
        <v/>
      </c>
    </row>
    <row r="154" spans="1:1" x14ac:dyDescent="0.3">
      <c r="A154" s="20" t="str">
        <f>IF(B158&lt;&gt;"", Runtool!$C$2, "")</f>
        <v/>
      </c>
    </row>
    <row r="155" spans="1:1" x14ac:dyDescent="0.3">
      <c r="A155" s="20" t="str">
        <f>IF(B159&lt;&gt;"", Runtool!$C$2, "")</f>
        <v/>
      </c>
    </row>
    <row r="156" spans="1:1" x14ac:dyDescent="0.3">
      <c r="A156" s="20" t="str">
        <f>IF(B160&lt;&gt;"", Runtool!$C$2, "")</f>
        <v/>
      </c>
    </row>
    <row r="157" spans="1:1" x14ac:dyDescent="0.3">
      <c r="A157" s="20" t="str">
        <f>IF(B161&lt;&gt;"", Runtool!$C$2, "")</f>
        <v/>
      </c>
    </row>
    <row r="158" spans="1:1" x14ac:dyDescent="0.3">
      <c r="A158" s="20" t="str">
        <f>IF(B162&lt;&gt;"", Runtool!$C$2, "")</f>
        <v/>
      </c>
    </row>
    <row r="159" spans="1:1" x14ac:dyDescent="0.3">
      <c r="A159" s="20" t="str">
        <f>IF(B163&lt;&gt;"", Runtool!$C$2, "")</f>
        <v/>
      </c>
    </row>
    <row r="160" spans="1:1" x14ac:dyDescent="0.3">
      <c r="A160" s="20" t="str">
        <f>IF(B164&lt;&gt;"", Runtool!$C$2, "")</f>
        <v/>
      </c>
    </row>
    <row r="161" spans="1:1" x14ac:dyDescent="0.3">
      <c r="A161" s="20" t="str">
        <f>IF(B165&lt;&gt;"", Runtool!$C$2, "")</f>
        <v/>
      </c>
    </row>
    <row r="162" spans="1:1" x14ac:dyDescent="0.3">
      <c r="A162" s="20" t="str">
        <f>IF(B166&lt;&gt;"", Runtool!$C$2, "")</f>
        <v/>
      </c>
    </row>
    <row r="163" spans="1:1" x14ac:dyDescent="0.3">
      <c r="A163" s="20" t="str">
        <f>IF(B167&lt;&gt;"", Runtool!$C$2, "")</f>
        <v/>
      </c>
    </row>
    <row r="164" spans="1:1" x14ac:dyDescent="0.3">
      <c r="A164" s="20" t="str">
        <f>IF(B168&lt;&gt;"", Runtool!$C$2, "")</f>
        <v/>
      </c>
    </row>
    <row r="165" spans="1:1" x14ac:dyDescent="0.3">
      <c r="A165" s="20" t="str">
        <f>IF(B169&lt;&gt;"", Runtool!$C$2, "")</f>
        <v/>
      </c>
    </row>
    <row r="166" spans="1:1" x14ac:dyDescent="0.3">
      <c r="A166" s="20" t="str">
        <f>IF(B170&lt;&gt;"", Runtool!$C$2, "")</f>
        <v/>
      </c>
    </row>
    <row r="167" spans="1:1" x14ac:dyDescent="0.3">
      <c r="A167" s="20" t="str">
        <f>IF(B171&lt;&gt;"", Runtool!$C$2, "")</f>
        <v/>
      </c>
    </row>
    <row r="168" spans="1:1" x14ac:dyDescent="0.3">
      <c r="A168" s="20" t="str">
        <f>IF(B172&lt;&gt;"", Runtool!$C$2, "")</f>
        <v/>
      </c>
    </row>
    <row r="169" spans="1:1" x14ac:dyDescent="0.3">
      <c r="A169" s="20" t="str">
        <f>IF(B173&lt;&gt;"", Runtool!$C$2, "")</f>
        <v/>
      </c>
    </row>
    <row r="170" spans="1:1" x14ac:dyDescent="0.3">
      <c r="A170" s="20" t="str">
        <f>IF(B174&lt;&gt;"", Runtool!$C$2, "")</f>
        <v/>
      </c>
    </row>
    <row r="171" spans="1:1" x14ac:dyDescent="0.3">
      <c r="A171" s="20" t="str">
        <f>IF(B175&lt;&gt;"", Runtool!$C$2, "")</f>
        <v/>
      </c>
    </row>
    <row r="172" spans="1:1" x14ac:dyDescent="0.3">
      <c r="A172" s="20" t="str">
        <f>IF(B176&lt;&gt;"", Runtool!$C$2, "")</f>
        <v/>
      </c>
    </row>
    <row r="173" spans="1:1" x14ac:dyDescent="0.3">
      <c r="A173" s="20" t="str">
        <f>IF(B177&lt;&gt;"", Runtool!$C$2, "")</f>
        <v/>
      </c>
    </row>
    <row r="174" spans="1:1" x14ac:dyDescent="0.3">
      <c r="A174" s="20" t="str">
        <f>IF(B178&lt;&gt;"", Runtool!$C$2, "")</f>
        <v/>
      </c>
    </row>
    <row r="175" spans="1:1" x14ac:dyDescent="0.3">
      <c r="A175" s="20" t="str">
        <f>IF(B179&lt;&gt;"", Runtool!$C$2, "")</f>
        <v/>
      </c>
    </row>
    <row r="176" spans="1:1" x14ac:dyDescent="0.3">
      <c r="A176" s="20" t="str">
        <f>IF(B180&lt;&gt;"", Runtool!$C$2, "")</f>
        <v/>
      </c>
    </row>
    <row r="177" spans="1:1" x14ac:dyDescent="0.3">
      <c r="A177" s="20" t="str">
        <f>IF(B181&lt;&gt;"", Runtool!$C$2, "")</f>
        <v/>
      </c>
    </row>
    <row r="178" spans="1:1" x14ac:dyDescent="0.3">
      <c r="A178" s="20" t="str">
        <f>IF(B182&lt;&gt;"", Runtool!$C$2, "")</f>
        <v/>
      </c>
    </row>
    <row r="179" spans="1:1" x14ac:dyDescent="0.3">
      <c r="A179" s="20" t="str">
        <f>IF(B183&lt;&gt;"", Runtool!$C$2, "")</f>
        <v/>
      </c>
    </row>
    <row r="180" spans="1:1" x14ac:dyDescent="0.3">
      <c r="A180" s="20" t="str">
        <f>IF(B184&lt;&gt;"", Runtool!$C$2, "")</f>
        <v/>
      </c>
    </row>
    <row r="181" spans="1:1" x14ac:dyDescent="0.3">
      <c r="A181" s="20" t="str">
        <f>IF(B185&lt;&gt;"", Runtool!$C$2, "")</f>
        <v/>
      </c>
    </row>
    <row r="182" spans="1:1" x14ac:dyDescent="0.3">
      <c r="A182" s="20" t="str">
        <f>IF(B186&lt;&gt;"", Runtool!$C$2, "")</f>
        <v/>
      </c>
    </row>
    <row r="183" spans="1:1" x14ac:dyDescent="0.3">
      <c r="A183" s="20" t="str">
        <f>IF(B187&lt;&gt;"", Runtool!$C$2, "")</f>
        <v/>
      </c>
    </row>
    <row r="184" spans="1:1" x14ac:dyDescent="0.3">
      <c r="A184" s="20" t="str">
        <f>IF(B188&lt;&gt;"", Runtool!$C$2, "")</f>
        <v/>
      </c>
    </row>
    <row r="185" spans="1:1" x14ac:dyDescent="0.3">
      <c r="A185" s="20" t="str">
        <f>IF(B189&lt;&gt;"", Runtool!$C$2, "")</f>
        <v/>
      </c>
    </row>
    <row r="186" spans="1:1" x14ac:dyDescent="0.3">
      <c r="A186" s="20" t="str">
        <f>IF(B190&lt;&gt;"", Runtool!$C$2, "")</f>
        <v/>
      </c>
    </row>
    <row r="187" spans="1:1" x14ac:dyDescent="0.3">
      <c r="A187" s="20" t="str">
        <f>IF(B191&lt;&gt;"", Runtool!$C$2, "")</f>
        <v/>
      </c>
    </row>
    <row r="188" spans="1:1" x14ac:dyDescent="0.3">
      <c r="A188" s="20" t="str">
        <f>IF(B192&lt;&gt;"", Runtool!$C$2, "")</f>
        <v/>
      </c>
    </row>
    <row r="189" spans="1:1" x14ac:dyDescent="0.3">
      <c r="A189" s="20" t="str">
        <f>IF(B193&lt;&gt;"", Runtool!$C$2, "")</f>
        <v/>
      </c>
    </row>
    <row r="190" spans="1:1" x14ac:dyDescent="0.3">
      <c r="A190" s="20" t="str">
        <f>IF(B194&lt;&gt;"", Runtool!$C$2, "")</f>
        <v/>
      </c>
    </row>
    <row r="191" spans="1:1" x14ac:dyDescent="0.3">
      <c r="A191" s="20" t="str">
        <f>IF(B195&lt;&gt;"", Runtool!$C$2, "")</f>
        <v/>
      </c>
    </row>
    <row r="192" spans="1:1" x14ac:dyDescent="0.3">
      <c r="A192" s="20" t="str">
        <f>IF(B196&lt;&gt;"", Runtool!$C$2, "")</f>
        <v/>
      </c>
    </row>
    <row r="193" spans="1:1" x14ac:dyDescent="0.3">
      <c r="A193" s="20" t="str">
        <f>IF(B197&lt;&gt;"", Runtool!$C$2, "")</f>
        <v/>
      </c>
    </row>
    <row r="194" spans="1:1" x14ac:dyDescent="0.3">
      <c r="A194" s="20" t="str">
        <f>IF(B198&lt;&gt;"", Runtool!$C$2, "")</f>
        <v/>
      </c>
    </row>
    <row r="195" spans="1:1" x14ac:dyDescent="0.3">
      <c r="A195" s="20" t="str">
        <f>IF(B199&lt;&gt;"", Runtool!$C$2, "")</f>
        <v/>
      </c>
    </row>
    <row r="196" spans="1:1" x14ac:dyDescent="0.3">
      <c r="A196" s="20" t="str">
        <f>IF(B200&lt;&gt;"", Runtool!$C$2, "")</f>
        <v/>
      </c>
    </row>
    <row r="197" spans="1:1" x14ac:dyDescent="0.3">
      <c r="A197" s="20" t="str">
        <f>IF(B201&lt;&gt;"", Runtool!$C$2, "")</f>
        <v/>
      </c>
    </row>
    <row r="198" spans="1:1" x14ac:dyDescent="0.3">
      <c r="A198" s="20" t="str">
        <f>IF(B202&lt;&gt;"", Runtool!$C$2, "")</f>
        <v/>
      </c>
    </row>
    <row r="199" spans="1:1" x14ac:dyDescent="0.3">
      <c r="A199" s="20" t="str">
        <f>IF(B203&lt;&gt;"", Runtool!$C$2, "")</f>
        <v/>
      </c>
    </row>
    <row r="200" spans="1:1" x14ac:dyDescent="0.3">
      <c r="A200" s="20" t="str">
        <f>IF(B204&lt;&gt;"", Runtool!$C$2, "")</f>
        <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B1669-2AEC-4815-A2CD-7E706A5D955D}">
  <sheetPr codeName="Sheet12">
    <tabColor rgb="FFC00000"/>
  </sheetPr>
  <dimension ref="A1:O118"/>
  <sheetViews>
    <sheetView showGridLines="0" zoomScaleNormal="100" workbookViewId="0">
      <selection activeCell="H13" sqref="H13"/>
    </sheetView>
  </sheetViews>
  <sheetFormatPr defaultColWidth="9.09765625" defaultRowHeight="14.4" x14ac:dyDescent="0.3"/>
  <cols>
    <col min="1" max="1" width="12.296875" style="18" customWidth="1"/>
    <col min="2" max="2" width="22.69921875" style="18" bestFit="1" customWidth="1"/>
    <col min="3" max="9" width="11.3984375" style="18" customWidth="1"/>
    <col min="10" max="10" width="9.69921875" style="18" customWidth="1"/>
    <col min="11" max="11" width="8.296875" style="18" customWidth="1"/>
    <col min="12" max="13" width="21.69921875" style="18" customWidth="1"/>
    <col min="14" max="16384" width="9.09765625" style="18"/>
  </cols>
  <sheetData>
    <row r="1" spans="1:15" ht="30.05" customHeight="1" x14ac:dyDescent="0.3">
      <c r="A1" s="476" t="str">
        <f>"Báo cáo FI Bond ngày: "&amp;TEXT(RPT,"dd/mm/yyyy")</f>
        <v>Báo cáo FI Bond ngày: 28/08/2026</v>
      </c>
      <c r="B1" s="476"/>
      <c r="C1" s="476"/>
      <c r="D1" s="476"/>
      <c r="E1" s="476"/>
      <c r="F1" s="476"/>
      <c r="G1" s="476"/>
      <c r="H1" s="476"/>
      <c r="I1" s="476"/>
      <c r="J1" s="476"/>
      <c r="K1" s="476"/>
      <c r="L1" s="476"/>
      <c r="M1" s="476"/>
    </row>
    <row r="2" spans="1:15" x14ac:dyDescent="0.3">
      <c r="A2" s="37" t="s">
        <v>396</v>
      </c>
      <c r="B2" s="37"/>
      <c r="C2" s="37"/>
      <c r="D2" s="37"/>
      <c r="E2" s="37"/>
      <c r="F2" s="37"/>
      <c r="G2" s="37"/>
      <c r="H2" s="37"/>
      <c r="I2" s="37"/>
      <c r="J2" s="37"/>
      <c r="K2" s="37"/>
      <c r="L2" s="37"/>
      <c r="M2" s="37"/>
    </row>
    <row r="3" spans="1:15" ht="14.95" customHeight="1" x14ac:dyDescent="0.3">
      <c r="A3" s="477" t="s">
        <v>304</v>
      </c>
      <c r="B3" s="485" t="s">
        <v>394</v>
      </c>
      <c r="C3" s="107" t="s">
        <v>675</v>
      </c>
      <c r="D3" s="107" t="s">
        <v>305</v>
      </c>
      <c r="E3" s="107" t="s">
        <v>3</v>
      </c>
      <c r="F3" s="107" t="s">
        <v>443</v>
      </c>
      <c r="G3" s="107" t="s">
        <v>4</v>
      </c>
      <c r="H3" s="107" t="s">
        <v>5</v>
      </c>
      <c r="I3" s="107"/>
      <c r="J3" s="481" t="s">
        <v>668</v>
      </c>
      <c r="K3" s="483" t="s">
        <v>669</v>
      </c>
      <c r="L3" s="479" t="s">
        <v>996</v>
      </c>
      <c r="M3" s="480" t="s">
        <v>398</v>
      </c>
    </row>
    <row r="4" spans="1:15" ht="14.95" customHeight="1" x14ac:dyDescent="0.3">
      <c r="A4" s="478"/>
      <c r="B4" s="486"/>
      <c r="C4" s="108">
        <f>RPT</f>
        <v>46262</v>
      </c>
      <c r="D4" s="109" t="s">
        <v>1229</v>
      </c>
      <c r="E4" s="108">
        <f>Yesterday</f>
        <v>46261</v>
      </c>
      <c r="F4" s="108">
        <f>lastweek</f>
        <v>46255</v>
      </c>
      <c r="G4" s="108">
        <f>Lastmonth</f>
        <v>46234</v>
      </c>
      <c r="H4" s="108">
        <f>Lastyear</f>
        <v>46022</v>
      </c>
      <c r="I4" s="108"/>
      <c r="J4" s="482"/>
      <c r="K4" s="484"/>
      <c r="L4" s="479"/>
      <c r="M4" s="480"/>
    </row>
    <row r="5" spans="1:15" ht="18" customHeight="1" x14ac:dyDescent="0.3">
      <c r="A5" s="487" t="s">
        <v>479</v>
      </c>
      <c r="B5" s="39" t="s">
        <v>399</v>
      </c>
      <c r="C5" s="100">
        <f>Summary!J3+ITB_Amt</f>
        <v>12967.427797397</v>
      </c>
      <c r="D5" s="100">
        <f t="shared" ref="D5:D13" si="0">C5-F5</f>
        <v>2002.5042476955005</v>
      </c>
      <c r="E5" s="101">
        <f>SUMIFS('His53'!$T:$T,'His53'!$S:$S,"Face value",'His53'!$Q:$Q,Report!E$4,'His53'!$R:$R,"FI Bond")</f>
        <v>12967.6573072343</v>
      </c>
      <c r="F5" s="101">
        <f>SUMIFS('His53'!$T:$T,'His53'!$S:$S,"Face value",'His53'!$Q:$Q,Report!F$4,'His53'!$R:$R,"FI Bond")</f>
        <v>10964.9235497015</v>
      </c>
      <c r="G5" s="101">
        <f>SUMIFS('His53'!$T:$T,'His53'!$S:$S,"Face value",'His53'!$Q:$Q,Report!G$4,'His53'!$R:$R,"FI Bond")</f>
        <v>12772.262129138</v>
      </c>
      <c r="H5" s="101">
        <f>SUMIFS('His53'!$T:$T,'His53'!$S:$S,"Face value",'His53'!$Q:$Q,Report!H$4,'His53'!$R:$R,"FI Bond")</f>
        <v>9000</v>
      </c>
      <c r="I5" s="98"/>
      <c r="J5" s="186"/>
      <c r="K5" s="103"/>
      <c r="L5" s="491" t="s">
        <v>1452</v>
      </c>
      <c r="M5" s="491" t="s">
        <v>1115</v>
      </c>
      <c r="O5" s="38"/>
    </row>
    <row r="6" spans="1:15" ht="18" customHeight="1" x14ac:dyDescent="0.3">
      <c r="A6" s="487"/>
      <c r="B6" s="39" t="s">
        <v>401</v>
      </c>
      <c r="C6" s="100">
        <f>Summary!Y3</f>
        <v>12958.610999580611</v>
      </c>
      <c r="D6" s="102">
        <f t="shared" si="0"/>
        <v>879.90215872161025</v>
      </c>
      <c r="E6" s="98">
        <f>SUMIFS('His53'!$T:$T,'His53'!$S:$S,"Market value",'His53'!$Q:$Q,Report!E$4,'His53'!$R:$R,"FI Bond")</f>
        <v>13368.9436402518</v>
      </c>
      <c r="F6" s="98">
        <f>SUMIFS('His53'!$T:$T,'His53'!$S:$S,"Market value",'His53'!$Q:$Q,Report!F$4,'His53'!$R:$R,"FI Bond")</f>
        <v>12078.708840859001</v>
      </c>
      <c r="G6" s="98">
        <f>SUMIFS('His53'!$T:$T,'His53'!$S:$S,"Market value",'His53'!$Q:$Q,Report!G$4,'His53'!$R:$R,"FI Bond")</f>
        <v>11878.7616088699</v>
      </c>
      <c r="H6" s="98">
        <f>SUMIFS('His53'!$T:$T,'His53'!$S:$S,"Market value",'His53'!$Q:$Q,Report!H$4,'His53'!$R:$R,"FI Bond")</f>
        <v>9673.9225213129994</v>
      </c>
      <c r="I6" s="98"/>
      <c r="J6" s="186"/>
      <c r="K6" s="103"/>
      <c r="L6" s="491"/>
      <c r="M6" s="491"/>
    </row>
    <row r="7" spans="1:15" ht="18" customHeight="1" x14ac:dyDescent="0.3">
      <c r="A7" s="488"/>
      <c r="B7" s="119" t="s">
        <v>499</v>
      </c>
      <c r="C7" s="104">
        <f>SUMPRODUCT(FNRP!J:J,FNRP!R:R)/SUM(FNRP!J:J)/100</f>
        <v>8.0600897739289495E-2</v>
      </c>
      <c r="D7" s="104">
        <f t="shared" si="0"/>
        <v>2.298783375702898E-3</v>
      </c>
      <c r="E7" s="105">
        <f>SUMIFS('His53'!$T:$T,'His53'!$S:$S,"Coupon rate binh quan",'His53'!$Q:$Q,Report!E$4,'His53'!$R:$R,"FI Bond")/100</f>
        <v>8.0600897739289509E-2</v>
      </c>
      <c r="F7" s="105">
        <f>SUMIFS('His53'!$T:$T,'His53'!$S:$S,"Coupon rate binh quan",'His53'!$Q:$Q,Report!F$4,'His53'!$R:$R,"FI Bond")/100</f>
        <v>7.8302114363586597E-2</v>
      </c>
      <c r="G7" s="105">
        <f>SUMIFS('His53'!$T:$T,'His53'!$S:$S,"Coupon rate binh quan",'His53'!$Q:$Q,Report!G$4,'His53'!$R:$R,"FI Bond")/100</f>
        <v>7.4433492683382702E-2</v>
      </c>
      <c r="H7" s="105">
        <f>SUMIFS('His53'!$T:$T,'His53'!$S:$S,"Coupon rate binh quan",'His53'!$Q:$Q,Report!H$4,'His53'!$R:$R,"FI Bond")/100</f>
        <v>5.91E-2</v>
      </c>
      <c r="I7" s="99"/>
      <c r="J7" s="187"/>
      <c r="K7" s="106"/>
      <c r="L7" s="491"/>
      <c r="M7" s="491"/>
    </row>
    <row r="8" spans="1:15" ht="18" customHeight="1" x14ac:dyDescent="0.3">
      <c r="A8" s="487" t="s">
        <v>364</v>
      </c>
      <c r="B8" s="39" t="s">
        <v>399</v>
      </c>
      <c r="C8" s="100">
        <f>Summary!AO3</f>
        <v>27199.1</v>
      </c>
      <c r="D8" s="100">
        <f t="shared" si="0"/>
        <v>250</v>
      </c>
      <c r="E8" s="101">
        <f>SUMIFS('His53'!$T:$T,'His53'!$S:$S,"Face value",'His53'!$R:$R,"CD",'His53'!$Q:$Q,Report!E$4)</f>
        <v>27199.1</v>
      </c>
      <c r="F8" s="101">
        <f>SUMIFS('His53'!$T:$T,'His53'!$S:$S,"Face value",'His53'!$R:$R,"CD",'His53'!$Q:$Q,Report!F$4)</f>
        <v>26949.1</v>
      </c>
      <c r="G8" s="101">
        <f>SUMIFS('His53'!$T:$T,'His53'!$S:$S,"Face value",'His53'!$R:$R,"CD",'His53'!$Q:$Q,Report!G$4)</f>
        <v>26750</v>
      </c>
      <c r="H8" s="101">
        <f>SUMIFS('His53'!$T:$T,'His53'!$S:$S,"Face value",'His53'!$R:$R,"CD",'His53'!$Q:$Q,Report!H$4)</f>
        <v>26185.313300000002</v>
      </c>
      <c r="I8" s="98"/>
      <c r="J8" s="186"/>
      <c r="K8" s="103"/>
      <c r="L8" s="491"/>
      <c r="M8" s="491"/>
      <c r="N8" s="32"/>
      <c r="O8" s="38"/>
    </row>
    <row r="9" spans="1:15" ht="18" customHeight="1" x14ac:dyDescent="0.3">
      <c r="A9" s="488"/>
      <c r="B9" s="119" t="s">
        <v>499</v>
      </c>
      <c r="C9" s="176">
        <f>SUMPRODUCT(FNRP!BA:BA,FNRP!AX:AX)/SUM(FNRP!BA:BA)/100</f>
        <v>7.4007821076187905E-2</v>
      </c>
      <c r="D9" s="104">
        <f t="shared" si="0"/>
        <v>1.2076952510473027E-3</v>
      </c>
      <c r="E9" s="105">
        <f>SUMIFS('His53'!$T:$T,'His53'!$S:$S,"Coupon rate binh quan",'His53'!$R:$R,"CD",'His53'!$Q:$Q,Report!E$4)/100</f>
        <v>7.4007821076187905E-2</v>
      </c>
      <c r="F9" s="105">
        <f>SUMIFS('His53'!$T:$T,'His53'!$S:$S,"Coupon rate binh quan",'His53'!$R:$R,"CD",'His53'!$Q:$Q,Report!F$4)/100</f>
        <v>7.2800125825140602E-2</v>
      </c>
      <c r="G9" s="105">
        <f>SUMIFS('His53'!$T:$T,'His53'!$S:$S,"Coupon rate binh quan",'His53'!$R:$R,"CD",'His53'!$Q:$Q,Report!G$4)/100</f>
        <v>6.8941322314049605E-2</v>
      </c>
      <c r="H9" s="105">
        <f>SUMIFS('His53'!$T:$T,'His53'!$S:$S,"Coupon rate binh quan",'His53'!$R:$R,"CD",'His53'!$Q:$Q,Report!H$4)/100</f>
        <v>5.7191334515508299E-2</v>
      </c>
      <c r="I9" s="99"/>
      <c r="J9" s="187"/>
      <c r="K9" s="106"/>
      <c r="L9" s="491"/>
      <c r="M9" s="491"/>
    </row>
    <row r="10" spans="1:15" ht="18" customHeight="1" x14ac:dyDescent="0.3">
      <c r="A10" s="117" t="s">
        <v>670</v>
      </c>
      <c r="B10" s="39" t="s">
        <v>721</v>
      </c>
      <c r="C10" s="177">
        <f>C5+C8</f>
        <v>40166.527797397001</v>
      </c>
      <c r="D10" s="100">
        <f t="shared" si="0"/>
        <v>2252.5042476955059</v>
      </c>
      <c r="E10" s="110">
        <f>E5+E8</f>
        <v>40166.7573072343</v>
      </c>
      <c r="F10" s="110">
        <f>F5+F8</f>
        <v>37914.023549701495</v>
      </c>
      <c r="G10" s="110">
        <f>G5+G8</f>
        <v>39522.262129137998</v>
      </c>
      <c r="H10" s="110">
        <f>H5+H8</f>
        <v>35185.313300000002</v>
      </c>
      <c r="I10" s="167"/>
      <c r="J10" s="188" t="s">
        <v>1451</v>
      </c>
      <c r="K10" s="118">
        <f>C10/45000</f>
        <v>0.89258950660882219</v>
      </c>
      <c r="L10" s="491"/>
      <c r="M10" s="491"/>
    </row>
    <row r="11" spans="1:15" ht="18" customHeight="1" x14ac:dyDescent="0.3">
      <c r="A11" s="117" t="s">
        <v>670</v>
      </c>
      <c r="B11" s="39" t="s">
        <v>1089</v>
      </c>
      <c r="C11" s="207">
        <f>Summary!I3+Summary!AN3</f>
        <v>46096.710599999999</v>
      </c>
      <c r="D11" s="100">
        <f t="shared" si="0"/>
        <v>2250</v>
      </c>
      <c r="E11" s="110">
        <f>SUMIFS('His53'!$T:$T,'His53'!$S:$S,"Face value_Not adj",'His53'!$R:$R,"FIBond",'His53'!$Q:$Q,E$4)
+SUMIFS('His53'!$T:$T,'His53'!$S:$S,"Face value_Not adj",'His53'!$R:$R,"CD",'His53'!$Q:$Q,E$4)</f>
        <v>46096.710599999999</v>
      </c>
      <c r="F11" s="110">
        <f>SUMIFS('His53'!$T:$T,'His53'!$S:$S,"Face value_Not adj",'His53'!$R:$R,"FIBond",'His53'!$Q:$Q,F$4)
+SUMIFS('His53'!$T:$T,'His53'!$S:$S,"Face value_Not adj",'His53'!$R:$R,"CD",'His53'!$Q:$Q,F$4)</f>
        <v>43846.710599999999</v>
      </c>
      <c r="G11" s="110">
        <f>SUMIFS('His53'!$T:$T,'His53'!$S:$S,"Face value_Not adj",'His53'!$R:$R,"FIBond",'His53'!$Q:$Q,G$4)
+SUMIFS('His53'!$T:$T,'His53'!$S:$S,"Face value_Not adj",'His53'!$R:$R,"CD",'His53'!$Q:$Q,G$4)</f>
        <v>45447.6106</v>
      </c>
      <c r="H11" s="110">
        <f>SUMIFS('His53'!$T:$T,'His53'!$S:$S,"Face value_Not adj",'His53'!$R:$R,"FIBond",'His53'!$Q:$Q,H$4)
+SUMIFS('His53'!$T:$T,'His53'!$S:$S,"Face value_Not adj",'His53'!$R:$R,"CD",'His53'!$Q:$Q,H$4)</f>
        <v>33685.313300000002</v>
      </c>
      <c r="I11" s="167"/>
      <c r="J11" s="188"/>
      <c r="K11" s="118"/>
      <c r="L11" s="491"/>
      <c r="M11" s="491"/>
    </row>
    <row r="12" spans="1:15" ht="18" customHeight="1" x14ac:dyDescent="0.3">
      <c r="A12" s="489" t="s">
        <v>681</v>
      </c>
      <c r="B12" s="112" t="s">
        <v>671</v>
      </c>
      <c r="C12" s="113">
        <f>Rating!P4</f>
        <v>0.63888112200525249</v>
      </c>
      <c r="D12" s="113">
        <f t="shared" si="0"/>
        <v>0.63888112200525249</v>
      </c>
      <c r="E12" s="114">
        <f>SUMIFS('His53'!$T:$T,'His53'!$S:$S,"Co cau dau tu tu A",'His53'!$Q:$Q,E4)/100</f>
        <v>0</v>
      </c>
      <c r="F12" s="114">
        <f>SUMIFS('His53'!$T:$T,'His53'!$S:$S,"Co cau dau tu tu A",'His53'!$Q:$Q,F4)/100</f>
        <v>0</v>
      </c>
      <c r="G12" s="114">
        <f>SUMIFS('His53'!$T:$T,'His53'!$S:$S,"Co cau dau tu tu A",'His53'!$Q:$Q,G4)/100</f>
        <v>0</v>
      </c>
      <c r="H12" s="114">
        <f>SUMIFS('His53'!$T:$T,'His53'!$S:$S,"Co cau dau tu tu A",'His53'!$Q:$Q,H4)/100</f>
        <v>0</v>
      </c>
      <c r="I12" s="166"/>
      <c r="J12" s="189"/>
      <c r="K12" s="111"/>
      <c r="L12" s="491"/>
      <c r="M12" s="491"/>
    </row>
    <row r="13" spans="1:15" ht="18" customHeight="1" x14ac:dyDescent="0.3">
      <c r="A13" s="488"/>
      <c r="B13" s="115" t="s">
        <v>672</v>
      </c>
      <c r="C13" s="104">
        <f>Rating!P5</f>
        <v>0.80596240950603337</v>
      </c>
      <c r="D13" s="104">
        <f t="shared" si="0"/>
        <v>0.80596240950603337</v>
      </c>
      <c r="E13" s="105">
        <f>SUMIFS('His53'!$T:$T,'His53'!$S:$S,"Co cau dau tu tu BBB",'His53'!$Q:$Q,E4)/100</f>
        <v>0</v>
      </c>
      <c r="F13" s="105">
        <f>SUMIFS('His53'!$T:$T,'His53'!$S:$S,"Co cau dau tu tu BBB",'His53'!$Q:$Q,F4)/100</f>
        <v>0</v>
      </c>
      <c r="G13" s="105">
        <f>SUMIFS('His53'!$T:$T,'His53'!$S:$S,"Co cau dau tu tu BBB",'His53'!$Q:$Q,G4)/100</f>
        <v>0</v>
      </c>
      <c r="H13" s="105">
        <f>SUMIFS('His53'!$T:$T,'His53'!$S:$S,"Co cau dau tu tu BBB",'His53'!$Q:$Q,H4)/100</f>
        <v>0</v>
      </c>
      <c r="I13" s="99"/>
      <c r="J13" s="190" t="s">
        <v>945</v>
      </c>
      <c r="K13" s="116">
        <f>(1-C13)/0.4</f>
        <v>0.48509397623491657</v>
      </c>
      <c r="L13" s="491"/>
      <c r="M13" s="491"/>
    </row>
    <row r="14" spans="1:15" ht="18" customHeight="1" x14ac:dyDescent="0.3">
      <c r="A14" s="165" t="s">
        <v>973</v>
      </c>
      <c r="B14" s="161" t="s">
        <v>974</v>
      </c>
      <c r="C14" s="162">
        <v>-196</v>
      </c>
      <c r="D14" s="162">
        <f>C14-E14</f>
        <v>0</v>
      </c>
      <c r="E14" s="163">
        <v>-196</v>
      </c>
      <c r="F14" s="163">
        <v>-196</v>
      </c>
      <c r="G14" s="163">
        <v>-153</v>
      </c>
      <c r="H14" s="163">
        <f>_xlfn.XLOOKUP(H4,Summary!$CC:$CC,Summary!$CF:$CF,,0)</f>
        <v>298.66499999999996</v>
      </c>
      <c r="I14" s="168"/>
      <c r="J14" s="191"/>
      <c r="K14" s="164"/>
      <c r="L14" s="491"/>
      <c r="M14" s="491"/>
    </row>
    <row r="15" spans="1:15" x14ac:dyDescent="0.3">
      <c r="A15" s="39"/>
      <c r="B15" s="39"/>
      <c r="C15" s="175"/>
      <c r="D15" s="39"/>
      <c r="E15" s="39"/>
      <c r="F15" s="175"/>
      <c r="G15" s="39"/>
      <c r="H15" s="39"/>
      <c r="I15" s="39"/>
      <c r="J15" s="39"/>
      <c r="K15" s="39"/>
      <c r="L15" s="39"/>
      <c r="M15" s="39"/>
    </row>
    <row r="16" spans="1:15" x14ac:dyDescent="0.3">
      <c r="A16" s="37" t="s">
        <v>1134</v>
      </c>
      <c r="B16" s="37"/>
      <c r="C16" s="37"/>
      <c r="D16" s="37"/>
      <c r="E16" s="37"/>
      <c r="F16" s="37"/>
      <c r="G16" s="37"/>
      <c r="H16" s="37"/>
      <c r="I16" s="37"/>
      <c r="J16" s="37"/>
      <c r="K16" s="37"/>
      <c r="L16" s="37"/>
      <c r="M16" s="37"/>
    </row>
    <row r="17" spans="1:13" x14ac:dyDescent="0.3">
      <c r="A17" s="40" t="s">
        <v>397</v>
      </c>
      <c r="B17" s="40"/>
      <c r="C17" s="39"/>
      <c r="D17" s="39"/>
      <c r="E17" s="39"/>
      <c r="F17" s="39"/>
      <c r="G17" s="39"/>
      <c r="H17" s="39"/>
      <c r="I17" s="39"/>
      <c r="J17" s="39"/>
      <c r="K17" s="39"/>
      <c r="L17" s="39"/>
      <c r="M17" s="39"/>
    </row>
    <row r="18" spans="1:13" x14ac:dyDescent="0.3">
      <c r="A18" s="40" t="s">
        <v>500</v>
      </c>
      <c r="B18" s="40"/>
      <c r="C18" s="39"/>
      <c r="D18" s="39"/>
      <c r="E18" s="39"/>
      <c r="F18" s="39"/>
      <c r="G18" s="39"/>
      <c r="H18" s="39"/>
      <c r="I18" s="210" t="s">
        <v>501</v>
      </c>
      <c r="J18" s="40"/>
      <c r="K18" s="40"/>
      <c r="L18" s="40"/>
      <c r="M18" s="39"/>
    </row>
    <row r="19" spans="1:13" x14ac:dyDescent="0.3">
      <c r="A19" s="39"/>
      <c r="B19" s="39"/>
      <c r="C19" s="39"/>
      <c r="D19" s="39"/>
      <c r="E19" s="39"/>
      <c r="F19" s="39"/>
      <c r="G19" s="39"/>
      <c r="H19" s="39"/>
      <c r="I19" s="39"/>
      <c r="J19" s="39"/>
      <c r="K19" s="39"/>
      <c r="L19" s="39"/>
      <c r="M19" s="39"/>
    </row>
    <row r="20" spans="1:13" x14ac:dyDescent="0.3">
      <c r="A20" s="39"/>
      <c r="B20" s="39"/>
      <c r="C20" s="39"/>
      <c r="D20" s="39"/>
      <c r="E20" s="39"/>
      <c r="F20" s="39"/>
      <c r="G20" s="39"/>
      <c r="H20" s="39"/>
      <c r="I20" s="39"/>
      <c r="J20" s="39"/>
      <c r="K20" s="39"/>
      <c r="L20" s="39"/>
      <c r="M20" s="39"/>
    </row>
    <row r="21" spans="1:13" x14ac:dyDescent="0.3">
      <c r="A21" s="39"/>
      <c r="B21" s="39"/>
      <c r="C21" s="39"/>
      <c r="D21" s="39"/>
      <c r="E21" s="39"/>
      <c r="F21" s="39"/>
      <c r="G21" s="39"/>
      <c r="H21" s="39"/>
      <c r="I21" s="39"/>
      <c r="J21" s="39"/>
      <c r="K21" s="39"/>
      <c r="L21" s="39"/>
      <c r="M21" s="39"/>
    </row>
    <row r="22" spans="1:13" x14ac:dyDescent="0.3">
      <c r="A22" s="39"/>
      <c r="B22" s="39"/>
      <c r="C22" s="39"/>
      <c r="D22" s="39"/>
      <c r="E22" s="39"/>
      <c r="F22" s="39"/>
      <c r="G22" s="39"/>
      <c r="H22" s="39"/>
      <c r="I22" s="39"/>
      <c r="J22" s="39"/>
      <c r="K22" s="39"/>
      <c r="L22" s="39"/>
      <c r="M22" s="39"/>
    </row>
    <row r="23" spans="1:13" x14ac:dyDescent="0.3">
      <c r="A23" s="39"/>
      <c r="B23" s="39"/>
      <c r="C23" s="39"/>
      <c r="D23" s="39"/>
      <c r="E23" s="39"/>
      <c r="F23" s="39"/>
      <c r="G23" s="39"/>
      <c r="H23" s="39"/>
      <c r="I23" s="39"/>
      <c r="J23" s="39"/>
      <c r="K23" s="39"/>
      <c r="L23" s="39"/>
      <c r="M23" s="39"/>
    </row>
    <row r="24" spans="1:13" x14ac:dyDescent="0.3">
      <c r="A24" s="39"/>
      <c r="B24" s="39"/>
      <c r="C24" s="39"/>
      <c r="D24" s="39"/>
      <c r="E24" s="39"/>
      <c r="F24" s="39"/>
      <c r="G24" s="39"/>
      <c r="H24" s="39"/>
      <c r="I24" s="39"/>
      <c r="J24" s="39"/>
      <c r="K24" s="39"/>
      <c r="L24" s="39"/>
      <c r="M24" s="39"/>
    </row>
    <row r="25" spans="1:13" x14ac:dyDescent="0.3">
      <c r="A25" s="39"/>
      <c r="B25" s="39"/>
      <c r="C25" s="39"/>
      <c r="D25" s="39"/>
      <c r="E25" s="39"/>
      <c r="F25" s="39"/>
      <c r="G25" s="39"/>
      <c r="H25" s="39"/>
      <c r="I25" s="39"/>
      <c r="J25" s="39"/>
      <c r="K25" s="39"/>
      <c r="L25" s="39"/>
      <c r="M25" s="39"/>
    </row>
    <row r="26" spans="1:13" x14ac:dyDescent="0.3">
      <c r="A26" s="39"/>
      <c r="B26" s="39"/>
      <c r="C26" s="39"/>
      <c r="D26" s="39"/>
      <c r="E26" s="39"/>
      <c r="F26" s="39"/>
      <c r="G26" s="39"/>
      <c r="H26" s="39"/>
      <c r="I26" s="39"/>
      <c r="J26" s="39"/>
      <c r="K26" s="39"/>
      <c r="L26" s="39"/>
      <c r="M26" s="39"/>
    </row>
    <row r="27" spans="1:13" x14ac:dyDescent="0.3">
      <c r="A27" s="39"/>
      <c r="B27" s="39"/>
      <c r="C27" s="39"/>
      <c r="D27" s="39"/>
      <c r="E27" s="39"/>
      <c r="F27" s="39"/>
      <c r="G27" s="39"/>
      <c r="H27" s="39"/>
      <c r="I27" s="39"/>
      <c r="J27" s="39"/>
      <c r="K27" s="39"/>
      <c r="L27" s="39"/>
      <c r="M27" s="39"/>
    </row>
    <row r="28" spans="1:13" x14ac:dyDescent="0.3">
      <c r="A28" s="39"/>
      <c r="B28" s="39"/>
      <c r="C28" s="39"/>
      <c r="D28" s="39"/>
      <c r="E28" s="39"/>
      <c r="F28" s="39"/>
      <c r="G28" s="39"/>
      <c r="H28" s="39"/>
      <c r="I28" s="39"/>
      <c r="J28" s="39"/>
      <c r="K28" s="39"/>
      <c r="L28" s="39"/>
      <c r="M28" s="39"/>
    </row>
    <row r="29" spans="1:13" x14ac:dyDescent="0.3">
      <c r="A29" s="39"/>
      <c r="B29" s="39"/>
      <c r="C29" s="39"/>
      <c r="D29" s="39"/>
      <c r="E29" s="39"/>
      <c r="F29" s="39"/>
      <c r="G29" s="39"/>
      <c r="H29" s="39"/>
      <c r="I29" s="39"/>
      <c r="J29" s="39"/>
      <c r="K29" s="39"/>
      <c r="L29" s="39"/>
      <c r="M29" s="39"/>
    </row>
    <row r="30" spans="1:13" x14ac:dyDescent="0.3">
      <c r="A30" s="40"/>
      <c r="B30" s="39"/>
      <c r="C30" s="39"/>
      <c r="D30" s="39"/>
      <c r="E30" s="39"/>
      <c r="F30" s="39"/>
      <c r="G30" s="39"/>
      <c r="H30" s="39"/>
      <c r="I30" s="39"/>
      <c r="J30" s="39"/>
      <c r="K30" s="39"/>
      <c r="L30" s="39"/>
      <c r="M30" s="39"/>
    </row>
    <row r="31" spans="1:13" ht="14.95" customHeight="1" x14ac:dyDescent="0.3">
      <c r="A31" s="39"/>
      <c r="B31" s="39"/>
      <c r="C31" s="39"/>
      <c r="D31" s="39"/>
      <c r="E31" s="39"/>
      <c r="F31" s="39"/>
      <c r="G31" s="39"/>
      <c r="H31" s="39"/>
      <c r="I31" s="39"/>
      <c r="J31" s="39"/>
      <c r="K31" s="39"/>
      <c r="L31" s="39"/>
      <c r="M31" s="39"/>
    </row>
    <row r="32" spans="1:13" x14ac:dyDescent="0.3">
      <c r="A32" s="39"/>
      <c r="B32" s="39"/>
      <c r="C32" s="39"/>
      <c r="D32" s="39"/>
      <c r="E32" s="39"/>
      <c r="F32" s="39"/>
      <c r="G32" s="39"/>
      <c r="H32" s="39"/>
      <c r="I32" s="39"/>
      <c r="J32" s="39"/>
      <c r="K32" s="39"/>
      <c r="L32" s="39"/>
      <c r="M32" s="39"/>
    </row>
    <row r="33" spans="1:13" x14ac:dyDescent="0.3">
      <c r="A33" s="39"/>
      <c r="B33" s="39"/>
      <c r="C33" s="39"/>
      <c r="D33" s="39"/>
      <c r="E33" s="39"/>
      <c r="F33" s="39"/>
      <c r="G33" s="39"/>
      <c r="H33" s="39"/>
      <c r="I33" s="39"/>
      <c r="J33" s="39"/>
      <c r="K33" s="39"/>
      <c r="L33" s="39"/>
      <c r="M33" s="39"/>
    </row>
    <row r="34" spans="1:13" x14ac:dyDescent="0.3">
      <c r="A34" s="39"/>
      <c r="B34" s="39"/>
      <c r="C34" s="39"/>
      <c r="D34" s="39"/>
      <c r="E34" s="39"/>
      <c r="F34" s="39"/>
      <c r="G34" s="39"/>
      <c r="H34" s="39"/>
      <c r="I34" s="39"/>
      <c r="J34" s="39"/>
      <c r="K34" s="39"/>
      <c r="L34" s="39"/>
      <c r="M34" s="39"/>
    </row>
    <row r="35" spans="1:13" x14ac:dyDescent="0.3">
      <c r="A35" s="39"/>
      <c r="B35" s="39"/>
      <c r="C35" s="39"/>
      <c r="D35" s="39"/>
      <c r="E35" s="39"/>
      <c r="F35" s="39"/>
      <c r="G35" s="39"/>
      <c r="H35" s="39"/>
      <c r="I35" s="39"/>
      <c r="J35" s="39"/>
      <c r="K35" s="39"/>
      <c r="L35" s="39"/>
      <c r="M35" s="39"/>
    </row>
    <row r="36" spans="1:13" x14ac:dyDescent="0.3">
      <c r="A36" s="39"/>
      <c r="B36" s="39"/>
      <c r="C36" s="39"/>
      <c r="D36" s="39"/>
      <c r="E36" s="39"/>
      <c r="F36" s="39"/>
      <c r="G36" s="39"/>
      <c r="H36" s="39"/>
      <c r="I36" s="39"/>
      <c r="J36" s="39"/>
      <c r="K36" s="39"/>
      <c r="L36" s="490"/>
      <c r="M36" s="490"/>
    </row>
    <row r="37" spans="1:13" x14ac:dyDescent="0.3">
      <c r="A37" s="39"/>
      <c r="B37" s="39"/>
      <c r="C37" s="39"/>
      <c r="D37" s="39"/>
      <c r="E37" s="39"/>
      <c r="F37" s="39"/>
      <c r="G37" s="39"/>
      <c r="H37" s="39"/>
      <c r="I37" s="39"/>
      <c r="J37" s="39"/>
      <c r="K37" s="39"/>
      <c r="L37" s="490"/>
      <c r="M37" s="490"/>
    </row>
    <row r="38" spans="1:13" x14ac:dyDescent="0.3">
      <c r="A38" s="39"/>
      <c r="B38" s="39"/>
      <c r="C38" s="39"/>
      <c r="D38" s="39"/>
      <c r="E38" s="39"/>
      <c r="F38" s="39"/>
      <c r="G38" s="39"/>
      <c r="H38" s="39"/>
      <c r="I38" s="39"/>
      <c r="J38" s="39"/>
      <c r="K38" s="39"/>
      <c r="L38" s="41"/>
      <c r="M38" s="92"/>
    </row>
    <row r="39" spans="1:13" ht="14.95" customHeight="1" x14ac:dyDescent="0.3">
      <c r="A39" s="39"/>
      <c r="B39" s="39"/>
      <c r="C39" s="39"/>
      <c r="D39" s="39"/>
      <c r="E39" s="39"/>
      <c r="F39" s="39"/>
      <c r="G39" s="39"/>
      <c r="H39" s="39"/>
      <c r="I39" s="39"/>
      <c r="J39" s="41"/>
      <c r="K39" s="41"/>
      <c r="L39" s="41"/>
      <c r="M39" s="41"/>
    </row>
    <row r="40" spans="1:13" x14ac:dyDescent="0.3">
      <c r="A40" s="39"/>
      <c r="B40" s="39"/>
      <c r="C40" s="39"/>
      <c r="D40" s="39"/>
      <c r="E40" s="39"/>
      <c r="F40" s="39"/>
      <c r="G40" s="39"/>
      <c r="H40" s="39"/>
      <c r="I40" s="39"/>
      <c r="J40" s="490"/>
      <c r="K40" s="490"/>
      <c r="L40" s="490"/>
      <c r="M40" s="490"/>
    </row>
    <row r="41" spans="1:13" x14ac:dyDescent="0.3">
      <c r="A41" s="39"/>
      <c r="B41" s="39"/>
      <c r="C41" s="39"/>
      <c r="D41" s="39"/>
      <c r="E41" s="39"/>
      <c r="F41" s="39"/>
      <c r="G41" s="39"/>
      <c r="H41" s="39"/>
      <c r="I41" s="39"/>
      <c r="J41" s="490"/>
      <c r="K41" s="490"/>
      <c r="L41" s="490"/>
      <c r="M41" s="490"/>
    </row>
    <row r="42" spans="1:13" x14ac:dyDescent="0.3">
      <c r="A42" s="39"/>
      <c r="B42" s="39"/>
      <c r="C42" s="39"/>
      <c r="D42" s="39"/>
      <c r="E42" s="39"/>
      <c r="F42" s="39"/>
      <c r="G42" s="39"/>
      <c r="H42" s="39"/>
      <c r="I42" s="39"/>
      <c r="J42" s="41"/>
      <c r="K42" s="41"/>
      <c r="L42" s="41"/>
      <c r="M42" s="41"/>
    </row>
    <row r="43" spans="1:13" ht="18.7" customHeight="1" x14ac:dyDescent="0.3">
      <c r="A43" s="40"/>
      <c r="B43" s="40"/>
      <c r="C43" s="39"/>
      <c r="D43" s="39"/>
      <c r="E43" s="39"/>
      <c r="F43" s="39"/>
      <c r="G43" s="494"/>
      <c r="H43" s="494"/>
      <c r="I43" s="494"/>
      <c r="J43" s="494"/>
      <c r="K43" s="41"/>
      <c r="L43" s="41"/>
      <c r="M43" s="41"/>
    </row>
    <row r="44" spans="1:13" ht="14.4" customHeight="1" x14ac:dyDescent="0.3">
      <c r="A44" s="40"/>
      <c r="B44" s="40"/>
      <c r="C44" s="39"/>
      <c r="D44" s="39"/>
      <c r="E44" s="39"/>
      <c r="F44" s="39"/>
      <c r="G44" s="329"/>
      <c r="H44" s="329"/>
      <c r="I44" s="329"/>
      <c r="J44" s="329"/>
      <c r="K44" s="41"/>
      <c r="L44" s="41"/>
      <c r="M44" s="41"/>
    </row>
    <row r="45" spans="1:13" ht="14.4" customHeight="1" x14ac:dyDescent="0.3">
      <c r="A45" s="40"/>
      <c r="B45" s="40"/>
      <c r="C45" s="39"/>
      <c r="D45" s="39"/>
      <c r="E45" s="39"/>
      <c r="F45" s="39"/>
      <c r="G45" s="329"/>
      <c r="H45" s="329"/>
      <c r="I45" s="329"/>
      <c r="J45" s="329"/>
      <c r="K45" s="41"/>
      <c r="L45" s="41"/>
      <c r="M45" s="41"/>
    </row>
    <row r="46" spans="1:13" ht="14.4" customHeight="1" x14ac:dyDescent="0.3">
      <c r="A46" s="40"/>
      <c r="B46" s="40"/>
      <c r="C46" s="39"/>
      <c r="D46" s="39"/>
      <c r="E46" s="39"/>
      <c r="F46" s="39"/>
      <c r="G46" s="329"/>
      <c r="H46" s="329"/>
      <c r="I46" s="329"/>
      <c r="J46" s="329"/>
      <c r="K46" s="41"/>
      <c r="L46" s="41"/>
      <c r="M46" s="41"/>
    </row>
    <row r="47" spans="1:13" ht="14.4" customHeight="1" x14ac:dyDescent="0.3">
      <c r="A47" s="40"/>
      <c r="B47" s="40"/>
      <c r="C47" s="39"/>
      <c r="D47" s="39"/>
      <c r="E47" s="39"/>
      <c r="F47" s="39"/>
      <c r="G47" s="329"/>
      <c r="H47" s="329"/>
      <c r="I47" s="329"/>
      <c r="J47" s="329"/>
      <c r="K47" s="41"/>
      <c r="L47" s="41"/>
      <c r="M47" s="41"/>
    </row>
    <row r="48" spans="1:13" ht="14.4" customHeight="1" x14ac:dyDescent="0.3">
      <c r="A48" s="40"/>
      <c r="B48" s="40"/>
      <c r="C48" s="39"/>
      <c r="D48" s="39"/>
      <c r="E48" s="39"/>
      <c r="F48" s="39"/>
      <c r="G48" s="329"/>
      <c r="H48" s="329"/>
      <c r="I48" s="329"/>
      <c r="J48" s="329"/>
      <c r="K48" s="41"/>
      <c r="L48" s="41"/>
      <c r="M48" s="41"/>
    </row>
    <row r="49" spans="1:13" ht="14.4" customHeight="1" x14ac:dyDescent="0.3">
      <c r="A49" s="40" t="s">
        <v>1099</v>
      </c>
      <c r="B49" s="40"/>
      <c r="C49" s="39"/>
      <c r="D49" s="39"/>
      <c r="E49" s="39"/>
      <c r="F49" s="39"/>
      <c r="G49" s="494" t="s">
        <v>1198</v>
      </c>
      <c r="H49" s="494"/>
      <c r="I49" s="494"/>
      <c r="J49" s="494"/>
      <c r="K49" s="41"/>
      <c r="L49" s="41"/>
      <c r="M49" s="41"/>
    </row>
    <row r="50" spans="1:13" ht="14.95" customHeight="1" x14ac:dyDescent="0.3">
      <c r="A50" s="40"/>
      <c r="B50" s="40"/>
      <c r="C50" s="39"/>
      <c r="D50" s="39"/>
      <c r="E50" s="39"/>
      <c r="F50" s="39"/>
      <c r="G50" s="39"/>
      <c r="H50" s="90"/>
      <c r="I50" s="41"/>
      <c r="J50" s="41"/>
      <c r="K50" s="41"/>
      <c r="L50" s="41"/>
      <c r="M50" s="41"/>
    </row>
    <row r="51" spans="1:13" x14ac:dyDescent="0.3">
      <c r="A51" s="40"/>
      <c r="B51" s="40"/>
      <c r="C51" s="39"/>
      <c r="D51" s="39"/>
      <c r="E51" s="39"/>
      <c r="F51" s="39"/>
      <c r="G51" s="39"/>
      <c r="H51" s="90"/>
      <c r="I51" s="41"/>
      <c r="J51" s="41"/>
      <c r="K51" s="41"/>
      <c r="L51" s="41"/>
      <c r="M51" s="41"/>
    </row>
    <row r="52" spans="1:13" x14ac:dyDescent="0.3">
      <c r="A52" s="40"/>
      <c r="B52" s="40"/>
      <c r="C52" s="39"/>
      <c r="D52" s="39"/>
      <c r="E52" s="39"/>
      <c r="F52" s="39"/>
      <c r="G52" s="39"/>
      <c r="H52" s="90"/>
      <c r="I52" s="41"/>
      <c r="J52" s="41"/>
      <c r="K52" s="41"/>
      <c r="L52" s="41"/>
      <c r="M52" s="41"/>
    </row>
    <row r="53" spans="1:13" ht="14.95" customHeight="1" x14ac:dyDescent="0.3">
      <c r="A53" s="40"/>
      <c r="B53" s="40"/>
      <c r="C53" s="39"/>
      <c r="D53" s="39"/>
      <c r="E53" s="39"/>
      <c r="F53" s="39"/>
      <c r="G53" s="39"/>
      <c r="H53" s="41"/>
      <c r="I53" s="41"/>
      <c r="J53" s="41"/>
      <c r="K53" s="41"/>
      <c r="L53" s="41"/>
      <c r="M53" s="41"/>
    </row>
    <row r="54" spans="1:13" x14ac:dyDescent="0.3">
      <c r="A54" s="40"/>
      <c r="B54" s="40"/>
      <c r="C54" s="39"/>
      <c r="D54" s="39"/>
      <c r="E54" s="39"/>
      <c r="F54" s="39"/>
      <c r="G54" s="39"/>
      <c r="H54" s="41"/>
      <c r="I54" s="41"/>
      <c r="J54" s="41"/>
      <c r="K54" s="41"/>
      <c r="L54" s="41"/>
      <c r="M54" s="41"/>
    </row>
    <row r="55" spans="1:13" ht="14.95" customHeight="1" x14ac:dyDescent="0.3">
      <c r="A55" s="39"/>
      <c r="B55" s="39"/>
      <c r="C55" s="39"/>
      <c r="D55" s="39"/>
      <c r="E55" s="39"/>
      <c r="F55" s="39"/>
      <c r="G55" s="39"/>
      <c r="H55" s="41"/>
      <c r="I55" s="41"/>
      <c r="J55" s="41"/>
      <c r="K55" s="41"/>
      <c r="L55" s="41"/>
      <c r="M55" s="41"/>
    </row>
    <row r="56" spans="1:13" x14ac:dyDescent="0.3">
      <c r="A56" s="39"/>
      <c r="B56" s="39"/>
      <c r="C56" s="39"/>
      <c r="D56" s="39"/>
      <c r="E56" s="39"/>
      <c r="F56" s="39"/>
      <c r="G56" s="39"/>
      <c r="H56" s="41"/>
      <c r="I56" s="41"/>
      <c r="J56" s="41"/>
      <c r="K56" s="41"/>
      <c r="L56" s="41"/>
      <c r="M56" s="41"/>
    </row>
    <row r="57" spans="1:13" ht="14.95" customHeight="1" x14ac:dyDescent="0.3">
      <c r="A57" s="39"/>
      <c r="B57" s="39"/>
      <c r="C57" s="39"/>
      <c r="D57" s="39"/>
      <c r="E57" s="39"/>
      <c r="F57" s="39"/>
      <c r="G57" s="39"/>
      <c r="H57" s="41"/>
      <c r="I57" s="41"/>
      <c r="J57" s="41"/>
      <c r="K57" s="41"/>
      <c r="L57" s="41"/>
      <c r="M57" s="41"/>
    </row>
    <row r="58" spans="1:13" x14ac:dyDescent="0.3">
      <c r="A58" s="39"/>
      <c r="B58" s="39"/>
      <c r="C58" s="39"/>
      <c r="D58" s="39"/>
      <c r="E58" s="39"/>
      <c r="F58" s="39"/>
      <c r="G58" s="39"/>
      <c r="H58" s="41"/>
      <c r="I58" s="41"/>
      <c r="J58" s="41"/>
      <c r="K58" s="41"/>
      <c r="L58" s="41"/>
      <c r="M58" s="41"/>
    </row>
    <row r="59" spans="1:13" ht="14.95" customHeight="1" x14ac:dyDescent="0.3">
      <c r="A59" s="39"/>
      <c r="B59" s="39"/>
      <c r="C59" s="39"/>
      <c r="D59" s="39"/>
      <c r="E59" s="39"/>
      <c r="F59" s="39"/>
      <c r="G59" s="39"/>
      <c r="H59" s="41"/>
      <c r="I59" s="41"/>
      <c r="J59" s="41"/>
      <c r="K59" s="41"/>
      <c r="L59" s="41"/>
      <c r="M59" s="41"/>
    </row>
    <row r="60" spans="1:13" x14ac:dyDescent="0.3">
      <c r="A60" s="39"/>
      <c r="B60" s="39"/>
      <c r="C60" s="39"/>
      <c r="D60" s="39"/>
      <c r="E60" s="39"/>
      <c r="F60" s="39"/>
      <c r="G60" s="39"/>
      <c r="H60" s="41"/>
      <c r="I60" s="41"/>
      <c r="J60" s="41"/>
      <c r="K60" s="41"/>
      <c r="L60" s="41"/>
      <c r="M60" s="41"/>
    </row>
    <row r="61" spans="1:13" x14ac:dyDescent="0.3">
      <c r="A61" s="39"/>
      <c r="B61" s="39"/>
      <c r="C61" s="39"/>
      <c r="D61" s="39"/>
      <c r="E61" s="39"/>
      <c r="F61" s="39"/>
      <c r="G61" s="39"/>
      <c r="H61" s="41"/>
      <c r="I61" s="41"/>
      <c r="J61" s="41"/>
      <c r="K61" s="41"/>
      <c r="L61" s="41"/>
      <c r="M61" s="41"/>
    </row>
    <row r="62" spans="1:13" x14ac:dyDescent="0.3">
      <c r="A62" s="39"/>
      <c r="B62" s="39"/>
      <c r="C62" s="39"/>
      <c r="D62" s="39"/>
      <c r="E62" s="39"/>
      <c r="F62" s="39"/>
      <c r="G62" s="39"/>
      <c r="H62" s="41"/>
      <c r="I62" s="41"/>
      <c r="J62" s="41"/>
      <c r="K62" s="41"/>
      <c r="L62" s="41"/>
      <c r="M62" s="41"/>
    </row>
    <row r="63" spans="1:13" x14ac:dyDescent="0.3">
      <c r="A63" s="39"/>
      <c r="B63" s="39"/>
      <c r="C63" s="39"/>
      <c r="D63" s="39"/>
      <c r="E63" s="39"/>
      <c r="F63" s="39"/>
      <c r="G63" s="39"/>
      <c r="H63" s="41"/>
      <c r="I63" s="41"/>
      <c r="J63" s="41"/>
      <c r="K63" s="41"/>
      <c r="L63" s="41"/>
      <c r="M63" s="41"/>
    </row>
    <row r="64" spans="1:13" x14ac:dyDescent="0.3">
      <c r="A64" s="40"/>
      <c r="B64" s="39"/>
      <c r="C64" s="39"/>
      <c r="D64" s="39"/>
      <c r="E64" s="39"/>
      <c r="F64" s="39"/>
      <c r="G64" s="39"/>
      <c r="H64" s="41"/>
      <c r="I64" s="41"/>
      <c r="J64" s="41"/>
      <c r="K64" s="41"/>
      <c r="L64" s="41"/>
      <c r="M64" s="41"/>
    </row>
    <row r="65" spans="1:13" x14ac:dyDescent="0.3">
      <c r="A65" s="39"/>
      <c r="B65" s="39"/>
      <c r="C65" s="39"/>
      <c r="D65" s="39"/>
      <c r="E65" s="39"/>
      <c r="F65" s="39"/>
      <c r="G65" s="39"/>
      <c r="H65" s="41"/>
      <c r="I65" s="41"/>
      <c r="J65" s="41"/>
      <c r="K65" s="41"/>
      <c r="L65" s="41"/>
      <c r="M65" s="41"/>
    </row>
    <row r="66" spans="1:13" x14ac:dyDescent="0.3">
      <c r="A66" s="39"/>
      <c r="B66" s="39"/>
      <c r="C66" s="39"/>
      <c r="D66" s="39"/>
      <c r="E66" s="39"/>
      <c r="F66" s="39"/>
      <c r="G66" s="39"/>
      <c r="H66" s="41"/>
      <c r="I66" s="41"/>
      <c r="J66" s="41"/>
      <c r="K66" s="41"/>
      <c r="L66" s="41"/>
      <c r="M66" s="41"/>
    </row>
    <row r="67" spans="1:13" x14ac:dyDescent="0.3">
      <c r="A67" s="40" t="s">
        <v>1100</v>
      </c>
      <c r="B67" s="39"/>
      <c r="C67" s="39"/>
      <c r="D67" s="39"/>
      <c r="E67" s="39"/>
      <c r="F67" s="39"/>
      <c r="G67" s="39"/>
      <c r="H67" s="41"/>
      <c r="I67" s="41"/>
      <c r="J67" s="41"/>
      <c r="K67" s="41"/>
      <c r="L67" s="41"/>
      <c r="M67" s="41"/>
    </row>
    <row r="68" spans="1:13" x14ac:dyDescent="0.3">
      <c r="A68" s="39"/>
      <c r="B68" s="39"/>
      <c r="C68" s="39"/>
      <c r="D68" s="39"/>
      <c r="E68" s="39"/>
      <c r="F68" s="39"/>
      <c r="G68" s="39"/>
      <c r="H68" s="41"/>
      <c r="I68" s="41"/>
      <c r="J68" s="41"/>
      <c r="K68" s="41"/>
      <c r="L68" s="41"/>
      <c r="M68" s="41"/>
    </row>
    <row r="69" spans="1:13" x14ac:dyDescent="0.3">
      <c r="A69" s="39"/>
      <c r="B69" s="39"/>
      <c r="C69" s="39"/>
      <c r="D69" s="39"/>
      <c r="E69" s="39"/>
      <c r="F69" s="39"/>
      <c r="G69" s="39"/>
      <c r="H69" s="41"/>
      <c r="I69" s="41"/>
      <c r="J69" s="41"/>
      <c r="K69" s="41"/>
      <c r="L69" s="41"/>
      <c r="M69" s="41"/>
    </row>
    <row r="70" spans="1:13" x14ac:dyDescent="0.3">
      <c r="A70" s="39"/>
      <c r="B70" s="39"/>
      <c r="C70" s="39"/>
      <c r="D70" s="39"/>
      <c r="E70" s="39"/>
      <c r="F70" s="39"/>
      <c r="G70" s="39"/>
      <c r="H70" s="41"/>
      <c r="I70" s="41"/>
      <c r="J70" s="41"/>
      <c r="K70" s="41"/>
      <c r="L70" s="41"/>
      <c r="M70" s="41"/>
    </row>
    <row r="71" spans="1:13" x14ac:dyDescent="0.3">
      <c r="A71" s="39"/>
      <c r="B71" s="39"/>
      <c r="C71" s="39"/>
      <c r="D71" s="39"/>
      <c r="E71" s="39"/>
      <c r="F71" s="39"/>
      <c r="G71" s="39"/>
      <c r="H71" s="41"/>
      <c r="I71" s="41"/>
      <c r="J71" s="41"/>
      <c r="K71" s="41"/>
      <c r="L71" s="41"/>
      <c r="M71" s="41"/>
    </row>
    <row r="72" spans="1:13" x14ac:dyDescent="0.3">
      <c r="A72" s="39"/>
      <c r="B72" s="39"/>
      <c r="C72" s="39"/>
      <c r="D72" s="39"/>
      <c r="E72" s="39"/>
      <c r="F72" s="39"/>
      <c r="G72" s="39"/>
      <c r="H72" s="41"/>
      <c r="I72" s="41"/>
      <c r="J72" s="41"/>
      <c r="K72" s="41"/>
      <c r="L72" s="41"/>
      <c r="M72" s="41"/>
    </row>
    <row r="73" spans="1:13" x14ac:dyDescent="0.3">
      <c r="A73" s="39"/>
      <c r="B73" s="39"/>
      <c r="C73" s="39"/>
      <c r="D73" s="39"/>
      <c r="E73" s="39"/>
      <c r="F73" s="39"/>
      <c r="G73" s="39"/>
      <c r="H73" s="41"/>
      <c r="I73" s="41"/>
      <c r="J73" s="41"/>
      <c r="K73" s="41"/>
      <c r="L73" s="41"/>
      <c r="M73" s="41"/>
    </row>
    <row r="74" spans="1:13" ht="21.6" customHeight="1" x14ac:dyDescent="0.3">
      <c r="A74" s="39"/>
      <c r="B74" s="39"/>
      <c r="C74" s="39"/>
      <c r="D74" s="39"/>
      <c r="E74" s="39"/>
      <c r="F74" s="39"/>
      <c r="G74" s="39"/>
      <c r="H74" s="41"/>
      <c r="I74" s="41"/>
      <c r="J74" s="41"/>
      <c r="K74" s="41"/>
      <c r="L74" s="41"/>
      <c r="M74" s="41"/>
    </row>
    <row r="75" spans="1:13" x14ac:dyDescent="0.3">
      <c r="A75" s="37" t="s">
        <v>1135</v>
      </c>
      <c r="B75" s="37"/>
      <c r="C75" s="37"/>
      <c r="D75" s="37"/>
      <c r="E75" s="37"/>
      <c r="F75" s="37"/>
      <c r="G75" s="37"/>
      <c r="H75" s="37"/>
      <c r="I75" s="37"/>
      <c r="J75" s="37"/>
      <c r="K75" s="37"/>
      <c r="L75" s="37"/>
      <c r="M75" s="37"/>
    </row>
    <row r="76" spans="1:13" s="28" customFormat="1" ht="14.95" customHeight="1" x14ac:dyDescent="0.3">
      <c r="A76" s="123"/>
      <c r="B76" s="122"/>
      <c r="C76" s="122"/>
      <c r="D76" s="122"/>
      <c r="E76" s="122"/>
      <c r="F76" s="122"/>
      <c r="G76" s="122"/>
      <c r="H76" s="123"/>
      <c r="I76" s="490"/>
      <c r="J76" s="490"/>
      <c r="K76" s="490"/>
      <c r="L76" s="490"/>
      <c r="M76" s="490"/>
    </row>
    <row r="77" spans="1:13" ht="14.95" customHeight="1" x14ac:dyDescent="0.3">
      <c r="A77" s="39"/>
      <c r="B77" s="39"/>
      <c r="C77" s="39"/>
      <c r="D77" s="39"/>
      <c r="E77" s="39"/>
      <c r="F77" s="39"/>
      <c r="G77" s="39"/>
      <c r="H77" s="42"/>
      <c r="I77" s="490"/>
      <c r="J77" s="490"/>
      <c r="K77" s="490"/>
      <c r="L77" s="490"/>
      <c r="M77" s="490"/>
    </row>
    <row r="78" spans="1:13" x14ac:dyDescent="0.3">
      <c r="A78" s="39"/>
      <c r="B78" s="39"/>
      <c r="C78" s="39"/>
      <c r="D78" s="39"/>
      <c r="E78" s="39"/>
      <c r="F78" s="39"/>
      <c r="G78" s="39"/>
      <c r="H78" s="42"/>
      <c r="I78" s="493"/>
      <c r="J78" s="493"/>
      <c r="K78" s="493"/>
      <c r="L78" s="493"/>
      <c r="M78" s="493"/>
    </row>
    <row r="79" spans="1:13" x14ac:dyDescent="0.3">
      <c r="A79" s="39"/>
      <c r="B79" s="39"/>
      <c r="C79" s="39"/>
      <c r="D79" s="39"/>
      <c r="E79" s="39"/>
      <c r="F79" s="39"/>
      <c r="G79" s="39"/>
      <c r="H79" s="42"/>
      <c r="I79" s="493"/>
      <c r="J79" s="493"/>
      <c r="K79" s="493"/>
      <c r="L79" s="493"/>
      <c r="M79" s="493"/>
    </row>
    <row r="80" spans="1:13" x14ac:dyDescent="0.3">
      <c r="A80" s="39"/>
      <c r="B80" s="39"/>
      <c r="C80" s="39"/>
      <c r="D80" s="39"/>
      <c r="E80" s="39"/>
      <c r="F80" s="39"/>
      <c r="G80" s="39"/>
      <c r="H80" s="42"/>
      <c r="I80" s="492"/>
      <c r="J80" s="492"/>
      <c r="K80" s="492"/>
      <c r="L80" s="492"/>
      <c r="M80" s="492"/>
    </row>
    <row r="81" spans="1:13" x14ac:dyDescent="0.3">
      <c r="A81" s="39"/>
      <c r="B81" s="39"/>
      <c r="C81" s="39"/>
      <c r="D81" s="39"/>
      <c r="E81" s="39"/>
      <c r="F81" s="39"/>
      <c r="G81" s="39"/>
      <c r="H81" s="42"/>
      <c r="I81" s="68"/>
      <c r="J81" s="68"/>
      <c r="K81" s="68"/>
      <c r="L81" s="68"/>
      <c r="M81" s="68"/>
    </row>
    <row r="82" spans="1:13" x14ac:dyDescent="0.3">
      <c r="A82" s="39"/>
      <c r="B82" s="39"/>
      <c r="C82" s="39"/>
      <c r="D82" s="39"/>
      <c r="E82" s="39"/>
      <c r="F82" s="39"/>
      <c r="G82" s="39"/>
      <c r="H82" s="42"/>
      <c r="I82" s="41"/>
      <c r="J82" s="41"/>
      <c r="K82" s="41"/>
      <c r="L82" s="41"/>
      <c r="M82" s="41"/>
    </row>
    <row r="83" spans="1:13" x14ac:dyDescent="0.3">
      <c r="A83" s="39"/>
      <c r="B83" s="39"/>
      <c r="C83" s="39"/>
      <c r="D83" s="39"/>
      <c r="E83" s="39"/>
      <c r="F83" s="39"/>
      <c r="G83" s="39"/>
      <c r="H83" s="42"/>
      <c r="I83" s="41"/>
      <c r="J83" s="41"/>
      <c r="K83" s="41"/>
      <c r="L83" s="41"/>
      <c r="M83" s="41"/>
    </row>
    <row r="84" spans="1:13" x14ac:dyDescent="0.3">
      <c r="A84" s="39"/>
      <c r="B84" s="39"/>
      <c r="C84" s="39"/>
      <c r="D84" s="39"/>
      <c r="E84" s="39"/>
      <c r="F84" s="39"/>
      <c r="G84" s="39"/>
      <c r="H84" s="42"/>
      <c r="I84" s="68"/>
      <c r="J84" s="68"/>
      <c r="K84" s="68"/>
      <c r="L84" s="68"/>
      <c r="M84" s="68"/>
    </row>
    <row r="85" spans="1:13" x14ac:dyDescent="0.3">
      <c r="A85" s="39"/>
      <c r="B85" s="39"/>
      <c r="C85" s="39"/>
      <c r="D85" s="39"/>
      <c r="E85" s="39"/>
      <c r="F85" s="39"/>
      <c r="G85" s="39"/>
      <c r="H85" s="42"/>
      <c r="I85" s="68"/>
      <c r="J85" s="68"/>
      <c r="K85" s="68"/>
      <c r="L85" s="68"/>
      <c r="M85" s="68"/>
    </row>
    <row r="86" spans="1:13" x14ac:dyDescent="0.3">
      <c r="A86" s="39"/>
      <c r="B86" s="39"/>
      <c r="C86" s="39"/>
      <c r="D86" s="39"/>
      <c r="E86" s="39"/>
      <c r="F86" s="39"/>
      <c r="G86" s="39"/>
      <c r="H86" s="42"/>
      <c r="I86" s="68"/>
      <c r="J86" s="68"/>
      <c r="K86" s="68"/>
      <c r="L86" s="68"/>
      <c r="M86" s="68"/>
    </row>
    <row r="87" spans="1:13" x14ac:dyDescent="0.3">
      <c r="A87" s="39"/>
      <c r="B87" s="39"/>
      <c r="C87" s="39"/>
      <c r="D87" s="39"/>
      <c r="E87" s="39"/>
      <c r="F87" s="39"/>
      <c r="G87" s="39"/>
      <c r="H87" s="42"/>
      <c r="I87" s="68"/>
      <c r="J87" s="68"/>
      <c r="K87" s="68"/>
      <c r="L87" s="68"/>
      <c r="M87" s="68"/>
    </row>
    <row r="88" spans="1:13" x14ac:dyDescent="0.3">
      <c r="A88" s="39"/>
      <c r="B88" s="39"/>
      <c r="C88" s="39"/>
      <c r="D88" s="39"/>
      <c r="E88" s="39"/>
      <c r="F88" s="39"/>
      <c r="G88" s="39"/>
      <c r="H88" s="42"/>
      <c r="I88" s="68"/>
      <c r="J88" s="68"/>
      <c r="K88" s="68"/>
      <c r="L88" s="68"/>
      <c r="M88" s="68"/>
    </row>
    <row r="89" spans="1:13" x14ac:dyDescent="0.3">
      <c r="A89" s="39"/>
      <c r="B89" s="39"/>
      <c r="C89" s="39"/>
      <c r="D89" s="39"/>
      <c r="E89" s="39"/>
      <c r="F89" s="39"/>
      <c r="G89" s="39"/>
      <c r="H89" s="42"/>
      <c r="I89" s="68"/>
      <c r="J89" s="68"/>
      <c r="K89" s="68"/>
      <c r="L89" s="68"/>
      <c r="M89" s="68"/>
    </row>
    <row r="90" spans="1:13" x14ac:dyDescent="0.3">
      <c r="A90" s="39"/>
      <c r="B90" s="39"/>
      <c r="C90" s="39"/>
      <c r="D90" s="39"/>
      <c r="E90" s="39"/>
      <c r="F90" s="39"/>
      <c r="G90" s="39"/>
      <c r="H90" s="42"/>
      <c r="I90" s="68"/>
      <c r="J90" s="68"/>
      <c r="K90" s="68"/>
      <c r="L90" s="68"/>
      <c r="M90" s="68"/>
    </row>
    <row r="91" spans="1:13" x14ac:dyDescent="0.3">
      <c r="A91" s="39"/>
      <c r="B91" s="39"/>
      <c r="C91" s="39"/>
      <c r="D91" s="39"/>
      <c r="E91" s="39"/>
      <c r="F91" s="39"/>
      <c r="G91" s="39"/>
      <c r="H91" s="42"/>
      <c r="I91" s="68"/>
      <c r="J91" s="68"/>
      <c r="K91" s="68"/>
      <c r="L91" s="68"/>
      <c r="M91" s="68"/>
    </row>
    <row r="92" spans="1:13" x14ac:dyDescent="0.3">
      <c r="A92" s="39"/>
      <c r="B92" s="39"/>
      <c r="C92" s="39"/>
      <c r="D92" s="39"/>
      <c r="E92" s="39"/>
      <c r="F92" s="39"/>
      <c r="G92" s="39"/>
      <c r="H92" s="42"/>
      <c r="I92" s="68"/>
      <c r="J92" s="68"/>
      <c r="K92" s="68"/>
      <c r="L92" s="68"/>
      <c r="M92" s="68"/>
    </row>
    <row r="93" spans="1:13" x14ac:dyDescent="0.3">
      <c r="A93" s="39"/>
      <c r="B93" s="39"/>
      <c r="C93" s="39"/>
      <c r="D93" s="39"/>
      <c r="E93" s="39"/>
      <c r="F93" s="39"/>
      <c r="G93" s="39"/>
      <c r="H93" s="42"/>
      <c r="I93" s="68"/>
      <c r="J93" s="68"/>
      <c r="K93" s="68"/>
      <c r="L93" s="68"/>
      <c r="M93" s="68"/>
    </row>
    <row r="94" spans="1:13" x14ac:dyDescent="0.3">
      <c r="A94" s="39"/>
      <c r="B94" s="39"/>
      <c r="C94" s="39"/>
      <c r="D94" s="39"/>
      <c r="E94" s="39"/>
      <c r="F94" s="39"/>
      <c r="G94" s="39"/>
      <c r="H94" s="42"/>
      <c r="I94" s="68"/>
      <c r="J94" s="68"/>
      <c r="K94" s="68"/>
      <c r="L94" s="68"/>
      <c r="M94" s="68"/>
    </row>
    <row r="95" spans="1:13" x14ac:dyDescent="0.3">
      <c r="A95" s="39"/>
      <c r="B95" s="39"/>
      <c r="C95" s="39"/>
      <c r="D95" s="39"/>
      <c r="E95" s="39"/>
      <c r="F95" s="39"/>
      <c r="G95" s="39"/>
      <c r="H95" s="42"/>
      <c r="I95" s="68"/>
      <c r="J95" s="68"/>
      <c r="K95" s="68"/>
      <c r="L95" s="68"/>
      <c r="M95" s="68"/>
    </row>
    <row r="96" spans="1:13" x14ac:dyDescent="0.3">
      <c r="A96" s="39"/>
      <c r="B96" s="39"/>
      <c r="C96" s="39"/>
      <c r="D96" s="39"/>
      <c r="E96" s="39"/>
      <c r="F96" s="39"/>
      <c r="G96" s="39"/>
      <c r="H96" s="42"/>
      <c r="I96" s="68"/>
      <c r="J96" s="68"/>
      <c r="K96" s="68"/>
      <c r="L96" s="68"/>
      <c r="M96" s="68"/>
    </row>
    <row r="97" spans="1:13" x14ac:dyDescent="0.3">
      <c r="A97" s="39"/>
      <c r="B97" s="39"/>
      <c r="C97" s="39"/>
      <c r="D97" s="39"/>
      <c r="E97" s="39"/>
      <c r="F97" s="39"/>
      <c r="G97" s="39"/>
      <c r="H97" s="42"/>
      <c r="I97" s="68"/>
      <c r="J97" s="68"/>
      <c r="K97" s="68"/>
      <c r="L97" s="68"/>
      <c r="M97" s="68"/>
    </row>
    <row r="98" spans="1:13" x14ac:dyDescent="0.3">
      <c r="A98" s="39"/>
      <c r="B98" s="39"/>
      <c r="C98" s="39"/>
      <c r="D98" s="39"/>
      <c r="E98" s="39"/>
      <c r="F98" s="39"/>
      <c r="G98" s="39"/>
      <c r="H98" s="42"/>
      <c r="I98" s="68"/>
      <c r="J98" s="68"/>
      <c r="K98" s="68"/>
      <c r="L98" s="68"/>
      <c r="M98" s="68"/>
    </row>
    <row r="99" spans="1:13" ht="47.65" customHeight="1" x14ac:dyDescent="0.3">
      <c r="A99" s="39"/>
      <c r="B99" s="39"/>
      <c r="C99" s="39"/>
      <c r="D99" s="39"/>
      <c r="E99" s="39"/>
      <c r="F99" s="39"/>
      <c r="G99" s="39"/>
      <c r="H99" s="42"/>
      <c r="I99" s="68"/>
      <c r="J99" s="68"/>
      <c r="K99" s="68"/>
      <c r="L99" s="68"/>
      <c r="M99" s="68"/>
    </row>
    <row r="100" spans="1:13" x14ac:dyDescent="0.3">
      <c r="A100" s="37" t="s">
        <v>1136</v>
      </c>
      <c r="B100" s="37"/>
      <c r="C100" s="37"/>
      <c r="D100" s="37"/>
      <c r="E100" s="37"/>
      <c r="F100" s="37"/>
      <c r="G100" s="37"/>
      <c r="H100" s="37"/>
      <c r="I100" s="37"/>
      <c r="J100" s="37"/>
      <c r="K100" s="37"/>
      <c r="L100" s="37"/>
      <c r="M100" s="37"/>
    </row>
    <row r="101" spans="1:13" x14ac:dyDescent="0.3">
      <c r="A101" s="40" t="s">
        <v>514</v>
      </c>
      <c r="B101" s="39"/>
      <c r="C101" s="39"/>
      <c r="D101" s="39"/>
      <c r="E101" s="40" t="s">
        <v>515</v>
      </c>
      <c r="F101" s="40"/>
      <c r="G101" s="40"/>
      <c r="H101" s="39"/>
      <c r="I101" s="39"/>
      <c r="J101" s="39"/>
      <c r="K101" s="39"/>
      <c r="L101" s="39"/>
      <c r="M101" s="39"/>
    </row>
    <row r="102" spans="1:13" x14ac:dyDescent="0.3">
      <c r="A102" s="39"/>
      <c r="B102" s="39"/>
      <c r="C102" s="39"/>
      <c r="D102" s="39"/>
      <c r="E102" s="39"/>
      <c r="F102" s="39"/>
      <c r="G102" s="39"/>
      <c r="H102" s="39"/>
      <c r="I102" s="39"/>
      <c r="J102" s="39"/>
      <c r="K102" s="39"/>
      <c r="L102" s="39"/>
      <c r="M102" s="39"/>
    </row>
    <row r="103" spans="1:13" x14ac:dyDescent="0.3">
      <c r="A103" s="39"/>
      <c r="B103" s="39"/>
      <c r="C103" s="39"/>
      <c r="D103" s="39"/>
      <c r="E103" s="39"/>
      <c r="F103" s="39"/>
      <c r="G103" s="39"/>
      <c r="H103" s="39"/>
      <c r="I103" s="39"/>
      <c r="J103" s="39"/>
      <c r="K103" s="39"/>
      <c r="L103" s="39"/>
      <c r="M103" s="39"/>
    </row>
    <row r="104" spans="1:13" x14ac:dyDescent="0.3">
      <c r="A104" s="39"/>
      <c r="B104" s="39"/>
      <c r="C104" s="39"/>
      <c r="D104" s="39"/>
      <c r="E104" s="39"/>
      <c r="F104" s="39"/>
      <c r="G104" s="39"/>
      <c r="H104" s="39"/>
      <c r="I104" s="39"/>
      <c r="J104" s="39"/>
      <c r="K104" s="39"/>
      <c r="L104" s="39"/>
      <c r="M104" s="39"/>
    </row>
    <row r="105" spans="1:13" x14ac:dyDescent="0.3">
      <c r="A105" s="39"/>
      <c r="B105" s="39"/>
      <c r="C105" s="39"/>
      <c r="D105" s="39"/>
      <c r="E105" s="39"/>
      <c r="F105" s="39"/>
      <c r="G105" s="39"/>
      <c r="H105" s="39"/>
      <c r="I105" s="39"/>
      <c r="J105" s="39"/>
      <c r="K105" s="39"/>
      <c r="L105" s="39"/>
      <c r="M105" s="39"/>
    </row>
    <row r="106" spans="1:13" x14ac:dyDescent="0.3">
      <c r="A106" s="39"/>
      <c r="B106" s="39"/>
      <c r="C106" s="39"/>
      <c r="D106" s="39"/>
      <c r="E106" s="39"/>
      <c r="F106" s="39"/>
      <c r="G106" s="39"/>
      <c r="H106" s="39"/>
      <c r="I106" s="39"/>
      <c r="J106" s="39"/>
      <c r="K106" s="39"/>
      <c r="L106" s="39"/>
      <c r="M106" s="39"/>
    </row>
    <row r="107" spans="1:13" x14ac:dyDescent="0.3">
      <c r="A107" s="39"/>
      <c r="B107" s="39"/>
      <c r="C107" s="39"/>
      <c r="D107" s="39"/>
      <c r="E107" s="39"/>
      <c r="F107" s="39"/>
      <c r="G107" s="39"/>
      <c r="H107" s="39"/>
      <c r="I107" s="39"/>
      <c r="J107" s="39"/>
      <c r="K107" s="39"/>
      <c r="L107" s="39"/>
      <c r="M107" s="39"/>
    </row>
    <row r="108" spans="1:13" x14ac:dyDescent="0.3">
      <c r="A108" s="39"/>
      <c r="B108" s="39"/>
      <c r="C108" s="39"/>
      <c r="D108" s="39"/>
      <c r="E108" s="39"/>
      <c r="F108" s="39"/>
      <c r="G108" s="39"/>
      <c r="H108" s="39"/>
      <c r="I108" s="39"/>
      <c r="J108" s="39"/>
      <c r="K108" s="39"/>
      <c r="L108" s="39"/>
      <c r="M108" s="39"/>
    </row>
    <row r="109" spans="1:13" x14ac:dyDescent="0.3">
      <c r="A109" s="39"/>
      <c r="B109" s="39"/>
      <c r="C109" s="39"/>
      <c r="D109" s="39"/>
      <c r="E109" s="39"/>
      <c r="F109" s="39"/>
      <c r="G109" s="39"/>
      <c r="H109" s="39"/>
      <c r="I109" s="39"/>
      <c r="J109" s="39"/>
      <c r="K109" s="39"/>
      <c r="L109" s="39"/>
      <c r="M109" s="39"/>
    </row>
    <row r="110" spans="1:13" x14ac:dyDescent="0.3">
      <c r="A110" s="39"/>
      <c r="B110" s="39"/>
      <c r="C110" s="39"/>
      <c r="D110" s="39"/>
      <c r="E110" s="39"/>
      <c r="F110" s="39"/>
      <c r="G110" s="39"/>
      <c r="H110" s="39"/>
      <c r="I110" s="39"/>
      <c r="J110" s="39"/>
      <c r="K110" s="39"/>
      <c r="L110" s="39"/>
      <c r="M110" s="39"/>
    </row>
    <row r="111" spans="1:13" x14ac:dyDescent="0.3">
      <c r="A111" s="39"/>
      <c r="B111" s="39"/>
      <c r="C111" s="39"/>
      <c r="D111" s="39"/>
      <c r="E111" s="39"/>
      <c r="F111" s="39"/>
      <c r="G111" s="39"/>
      <c r="H111" s="39"/>
      <c r="I111" s="39"/>
      <c r="J111" s="39"/>
      <c r="K111" s="39"/>
      <c r="L111" s="39"/>
      <c r="M111" s="39"/>
    </row>
    <row r="112" spans="1:13" x14ac:dyDescent="0.3">
      <c r="A112" s="39"/>
      <c r="B112" s="39"/>
      <c r="C112" s="39"/>
      <c r="D112" s="39"/>
      <c r="E112" s="39"/>
      <c r="F112" s="39"/>
      <c r="G112" s="39"/>
      <c r="H112" s="39"/>
      <c r="I112" s="39"/>
      <c r="J112" s="39"/>
      <c r="K112" s="39"/>
      <c r="L112" s="39"/>
      <c r="M112" s="39"/>
    </row>
    <row r="113" spans="1:13" x14ac:dyDescent="0.3">
      <c r="A113" s="39"/>
      <c r="B113" s="39"/>
      <c r="C113" s="39"/>
      <c r="D113" s="39"/>
      <c r="E113" s="39"/>
      <c r="F113" s="39"/>
      <c r="G113" s="39"/>
      <c r="H113" s="39"/>
      <c r="I113" s="39"/>
      <c r="J113" s="39"/>
      <c r="K113" s="39"/>
      <c r="L113" s="39"/>
      <c r="M113" s="39"/>
    </row>
    <row r="114" spans="1:13" x14ac:dyDescent="0.3">
      <c r="A114" s="39"/>
      <c r="B114" s="39"/>
      <c r="C114" s="39"/>
      <c r="D114" s="39"/>
      <c r="E114" s="39"/>
      <c r="F114" s="39"/>
      <c r="G114" s="39"/>
      <c r="H114" s="39"/>
      <c r="I114" s="39"/>
      <c r="J114" s="39"/>
      <c r="K114" s="39"/>
      <c r="L114" s="39"/>
      <c r="M114" s="39"/>
    </row>
    <row r="115" spans="1:13" x14ac:dyDescent="0.3">
      <c r="A115" s="39"/>
      <c r="B115" s="39"/>
      <c r="C115" s="39"/>
      <c r="D115" s="39"/>
      <c r="E115" s="39"/>
      <c r="F115" s="39"/>
      <c r="G115" s="39"/>
      <c r="H115" s="39"/>
      <c r="I115" s="39"/>
      <c r="J115" s="39"/>
      <c r="K115" s="39"/>
      <c r="L115" s="39"/>
      <c r="M115" s="39"/>
    </row>
    <row r="116" spans="1:13" x14ac:dyDescent="0.3">
      <c r="A116" s="39"/>
      <c r="B116" s="39"/>
      <c r="C116" s="39"/>
      <c r="D116" s="39"/>
      <c r="E116" s="39"/>
      <c r="F116" s="39"/>
      <c r="G116" s="39"/>
      <c r="H116" s="39"/>
      <c r="I116" s="39"/>
      <c r="J116" s="39"/>
      <c r="K116" s="39"/>
      <c r="L116" s="39"/>
      <c r="M116" s="39"/>
    </row>
    <row r="117" spans="1:13" x14ac:dyDescent="0.3">
      <c r="A117" s="39"/>
      <c r="B117" s="39"/>
      <c r="C117" s="39"/>
      <c r="D117" s="39"/>
      <c r="E117" s="39"/>
      <c r="F117" s="39"/>
      <c r="G117" s="39"/>
      <c r="H117" s="39"/>
      <c r="I117" s="39"/>
      <c r="J117" s="39"/>
      <c r="K117" s="39"/>
      <c r="L117" s="39"/>
      <c r="M117" s="39"/>
    </row>
    <row r="118" spans="1:13" x14ac:dyDescent="0.3">
      <c r="A118" s="475" t="s">
        <v>402</v>
      </c>
      <c r="B118" s="475"/>
      <c r="C118" s="475"/>
      <c r="D118" s="42"/>
      <c r="E118" s="475" t="s">
        <v>403</v>
      </c>
      <c r="F118" s="475"/>
      <c r="G118" s="475"/>
      <c r="H118" s="475"/>
      <c r="I118" s="475"/>
      <c r="J118" s="475"/>
      <c r="K118" s="475"/>
      <c r="L118" s="475"/>
      <c r="M118" s="475"/>
    </row>
  </sheetData>
  <mergeCells count="22">
    <mergeCell ref="I77:M77"/>
    <mergeCell ref="I78:M79"/>
    <mergeCell ref="L36:M37"/>
    <mergeCell ref="I76:M76"/>
    <mergeCell ref="G43:J43"/>
    <mergeCell ref="G49:J49"/>
    <mergeCell ref="A118:C118"/>
    <mergeCell ref="E118:M118"/>
    <mergeCell ref="A1:M1"/>
    <mergeCell ref="A3:A4"/>
    <mergeCell ref="L3:L4"/>
    <mergeCell ref="M3:M4"/>
    <mergeCell ref="J3:J4"/>
    <mergeCell ref="K3:K4"/>
    <mergeCell ref="B3:B4"/>
    <mergeCell ref="A5:A7"/>
    <mergeCell ref="A12:A13"/>
    <mergeCell ref="J40:M41"/>
    <mergeCell ref="L5:L14"/>
    <mergeCell ref="M5:M14"/>
    <mergeCell ref="A8:A9"/>
    <mergeCell ref="I80:M80"/>
  </mergeCells>
  <conditionalFormatting sqref="D5:D11">
    <cfRule type="cellIs" dxfId="271" priority="2" operator="lessThan">
      <formula>0</formula>
    </cfRule>
    <cfRule type="cellIs" dxfId="270" priority="3" operator="greaterThan">
      <formula>0</formula>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iconSet" priority="71" id="{7026BACC-A331-4E13-845C-FBE894E7D8AD}">
            <x14:iconSet custom="1">
              <x14:cfvo type="percent">
                <xm:f>0</xm:f>
              </x14:cfvo>
              <x14:cfvo type="num">
                <xm:f>0.8</xm:f>
              </x14:cfvo>
              <x14:cfvo type="num">
                <xm:f>1</xm:f>
              </x14:cfvo>
              <x14:cfIcon iconSet="3TrafficLights1" iconId="2"/>
              <x14:cfIcon iconSet="3TrafficLights1" iconId="1"/>
              <x14:cfIcon iconSet="3TrafficLights1" iconId="0"/>
            </x14:iconSet>
          </x14:cfRule>
          <xm:sqref>K5:K14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F043C-6464-4643-8C58-F385833A05D6}">
  <sheetPr codeName="Sheet4">
    <tabColor rgb="FFC00000"/>
  </sheetPr>
  <dimension ref="A1:DB33"/>
  <sheetViews>
    <sheetView showGridLines="0" tabSelected="1" zoomScale="85" zoomScaleNormal="85" workbookViewId="0">
      <pane ySplit="1" topLeftCell="A2" activePane="bottomLeft" state="frozen"/>
      <selection activeCell="CL5" sqref="CL5"/>
      <selection pane="bottomLeft" activeCell="G31" sqref="G31"/>
    </sheetView>
  </sheetViews>
  <sheetFormatPr defaultColWidth="9.09765625" defaultRowHeight="14.4" x14ac:dyDescent="0.3"/>
  <cols>
    <col min="1" max="1" width="9.8984375" style="18" bestFit="1" customWidth="1"/>
    <col min="2" max="2" width="9.3984375" style="18" bestFit="1" customWidth="1"/>
    <col min="3" max="5" width="9.296875" style="18" bestFit="1" customWidth="1"/>
    <col min="6" max="6" width="9.296875" style="18" customWidth="1"/>
    <col min="7" max="7" width="8.69921875" style="18"/>
    <col min="8" max="8" width="15" style="28" bestFit="1" customWidth="1"/>
    <col min="9" max="9" width="9.69921875" style="28" bestFit="1" customWidth="1"/>
    <col min="10" max="10" width="8.69921875" style="18" customWidth="1"/>
    <col min="11" max="19" width="8.59765625" style="18" customWidth="1"/>
    <col min="20" max="22" width="8.59765625" style="18" hidden="1" customWidth="1"/>
    <col min="23" max="23" width="9.09765625" style="18"/>
    <col min="24" max="24" width="15" style="28" bestFit="1" customWidth="1"/>
    <col min="25" max="25" width="8.69921875" style="18" customWidth="1"/>
    <col min="26" max="34" width="8.59765625" style="18" customWidth="1"/>
    <col min="35" max="37" width="8.59765625" style="18" hidden="1" customWidth="1"/>
    <col min="38" max="38" width="9.09765625" style="18"/>
    <col min="39" max="39" width="11.69921875" style="28" bestFit="1" customWidth="1"/>
    <col min="40" max="40" width="11.69921875" style="28" customWidth="1"/>
    <col min="41" max="45" width="9.3984375" style="18" bestFit="1" customWidth="1"/>
    <col min="46" max="48" width="9.296875" style="18" hidden="1" customWidth="1"/>
    <col min="49" max="50" width="11.8984375" style="299" customWidth="1"/>
    <col min="51" max="51" width="12.296875" style="299" bestFit="1" customWidth="1"/>
    <col min="52" max="52" width="12.296875" style="299" customWidth="1"/>
    <col min="53" max="57" width="10" style="299" customWidth="1"/>
    <col min="58" max="59" width="10" style="30" customWidth="1"/>
    <col min="60" max="60" width="12.09765625" style="30" customWidth="1"/>
    <col min="61" max="61" width="22.09765625" style="30" customWidth="1"/>
    <col min="62" max="62" width="9.09765625" style="18"/>
    <col min="63" max="63" width="14.296875" style="18" bestFit="1" customWidth="1"/>
    <col min="64" max="64" width="32.09765625" style="18" bestFit="1" customWidth="1"/>
    <col min="65" max="65" width="11.09765625" style="18" bestFit="1" customWidth="1"/>
    <col min="66" max="66" width="12.3984375" style="18" bestFit="1" customWidth="1"/>
    <col min="67" max="67" width="19.09765625" style="18" bestFit="1" customWidth="1"/>
    <col min="68" max="68" width="11.09765625" style="18" bestFit="1" customWidth="1"/>
    <col min="69" max="70" width="9.09765625" style="18"/>
    <col min="71" max="71" width="6.3984375" style="18" customWidth="1"/>
    <col min="72" max="75" width="8" style="18" customWidth="1"/>
    <col min="76" max="78" width="8.3984375" style="18" customWidth="1"/>
    <col min="79" max="80" width="9.09765625" style="18"/>
    <col min="81" max="81" width="9.3984375" style="18" bestFit="1" customWidth="1"/>
    <col min="82" max="82" width="10.69921875" style="349" bestFit="1" customWidth="1"/>
    <col min="83" max="83" width="5.59765625" style="18" bestFit="1" customWidth="1"/>
    <col min="84" max="84" width="6.59765625" style="18" bestFit="1" customWidth="1"/>
    <col min="85" max="86" width="9.09765625" style="18"/>
    <col min="87" max="87" width="21" style="18" bestFit="1" customWidth="1"/>
    <col min="88" max="88" width="7.69921875" style="18" bestFit="1" customWidth="1"/>
    <col min="89" max="90" width="5.8984375" style="18" bestFit="1" customWidth="1"/>
    <col min="91" max="91" width="9.09765625" style="18"/>
    <col min="92" max="92" width="14.3984375" style="18" bestFit="1" customWidth="1"/>
    <col min="93" max="93" width="13.59765625" style="18" bestFit="1" customWidth="1"/>
    <col min="94" max="94" width="11.19921875" style="18" bestFit="1" customWidth="1"/>
    <col min="95" max="95" width="14.296875" style="349" bestFit="1" customWidth="1"/>
    <col min="96" max="96" width="15" style="349" bestFit="1" customWidth="1"/>
    <col min="97" max="97" width="16.5" style="349" bestFit="1" customWidth="1"/>
    <col min="98" max="98" width="20.5" style="349" bestFit="1" customWidth="1"/>
    <col min="99" max="99" width="8.5" style="349" bestFit="1" customWidth="1"/>
    <col min="100" max="100" width="11.796875" style="349" bestFit="1" customWidth="1"/>
    <col min="101" max="101" width="15.69921875" style="18" bestFit="1" customWidth="1"/>
    <col min="102" max="102" width="16" style="18" bestFit="1" customWidth="1"/>
    <col min="103" max="103" width="20.69921875" style="18" bestFit="1" customWidth="1"/>
    <col min="104" max="104" width="9.09765625" style="18"/>
    <col min="105" max="105" width="17.59765625" style="18" bestFit="1" customWidth="1"/>
    <col min="106" max="16384" width="9.09765625" style="18"/>
  </cols>
  <sheetData>
    <row r="1" spans="1:106" ht="14.95" customHeight="1" x14ac:dyDescent="0.3">
      <c r="A1" s="21" t="s">
        <v>1279</v>
      </c>
      <c r="B1" s="241" t="s">
        <v>76</v>
      </c>
      <c r="C1" s="242" t="s">
        <v>558</v>
      </c>
      <c r="D1" s="243" t="s">
        <v>557</v>
      </c>
      <c r="E1" s="244" t="s">
        <v>516</v>
      </c>
      <c r="F1" s="438"/>
      <c r="H1" s="245" t="s">
        <v>399</v>
      </c>
      <c r="I1" s="245"/>
      <c r="J1" s="246" t="s">
        <v>267</v>
      </c>
      <c r="K1" s="355" t="s">
        <v>270</v>
      </c>
      <c r="L1" s="355" t="s">
        <v>271</v>
      </c>
      <c r="M1" s="355" t="s">
        <v>273</v>
      </c>
      <c r="N1" s="355" t="s">
        <v>277</v>
      </c>
      <c r="O1" s="355" t="s">
        <v>281</v>
      </c>
      <c r="P1" s="355" t="s">
        <v>282</v>
      </c>
      <c r="Q1" s="355" t="s">
        <v>283</v>
      </c>
      <c r="R1" s="355" t="s">
        <v>284</v>
      </c>
      <c r="S1" s="355" t="s">
        <v>285</v>
      </c>
      <c r="T1" s="355" t="s">
        <v>286</v>
      </c>
      <c r="U1" s="355" t="s">
        <v>287</v>
      </c>
      <c r="V1" s="355" t="s">
        <v>288</v>
      </c>
      <c r="X1" s="245" t="s">
        <v>395</v>
      </c>
      <c r="Y1" s="246" t="s">
        <v>267</v>
      </c>
      <c r="Z1" s="355" t="s">
        <v>270</v>
      </c>
      <c r="AA1" s="355" t="s">
        <v>271</v>
      </c>
      <c r="AB1" s="355" t="s">
        <v>273</v>
      </c>
      <c r="AC1" s="355" t="s">
        <v>277</v>
      </c>
      <c r="AD1" s="355" t="s">
        <v>281</v>
      </c>
      <c r="AE1" s="355" t="s">
        <v>282</v>
      </c>
      <c r="AF1" s="355" t="s">
        <v>283</v>
      </c>
      <c r="AG1" s="355" t="s">
        <v>284</v>
      </c>
      <c r="AH1" s="355" t="s">
        <v>285</v>
      </c>
      <c r="AI1" s="355" t="s">
        <v>286</v>
      </c>
      <c r="AJ1" s="355" t="s">
        <v>287</v>
      </c>
      <c r="AK1" s="355" t="s">
        <v>288</v>
      </c>
      <c r="AL1" s="356" t="s">
        <v>364</v>
      </c>
      <c r="AM1" s="247" t="s">
        <v>399</v>
      </c>
      <c r="AN1" s="455" t="s">
        <v>267</v>
      </c>
      <c r="AO1" s="456"/>
      <c r="AP1" s="355" t="s">
        <v>270</v>
      </c>
      <c r="AQ1" s="355" t="s">
        <v>271</v>
      </c>
      <c r="AR1" s="355" t="s">
        <v>273</v>
      </c>
      <c r="AS1" s="355" t="s">
        <v>277</v>
      </c>
      <c r="AT1" s="355" t="s">
        <v>281</v>
      </c>
      <c r="AU1" s="355" t="s">
        <v>282</v>
      </c>
      <c r="AV1" s="355" t="s">
        <v>283</v>
      </c>
      <c r="AW1" s="357"/>
      <c r="AX1" s="247" t="s">
        <v>545</v>
      </c>
      <c r="AY1" s="457" t="s">
        <v>657</v>
      </c>
      <c r="AZ1" s="450" t="s">
        <v>546</v>
      </c>
      <c r="BA1" s="458" t="s">
        <v>547</v>
      </c>
      <c r="BB1" s="458"/>
      <c r="BC1" s="448" t="s">
        <v>548</v>
      </c>
      <c r="BD1" s="448"/>
      <c r="BE1" s="448" t="s">
        <v>549</v>
      </c>
      <c r="BF1" s="448"/>
      <c r="BG1" s="451" t="s">
        <v>1133</v>
      </c>
      <c r="BH1" s="451" t="s">
        <v>1097</v>
      </c>
      <c r="BI1" s="449" t="s">
        <v>1098</v>
      </c>
      <c r="BK1" s="300" t="s">
        <v>656</v>
      </c>
      <c r="BL1" s="463" t="s">
        <v>1310</v>
      </c>
      <c r="BM1" s="249" t="s">
        <v>1105</v>
      </c>
      <c r="BN1" s="249" t="s">
        <v>1106</v>
      </c>
      <c r="BO1" s="249" t="s">
        <v>1107</v>
      </c>
      <c r="BP1" s="465" t="s">
        <v>1108</v>
      </c>
      <c r="BR1" s="250" t="s">
        <v>503</v>
      </c>
      <c r="BS1" s="461" t="str">
        <f>"Ngày "&amp; TEXT(RPT,"dd/mm/yyyy")</f>
        <v>Ngày 28/08/2026</v>
      </c>
      <c r="BT1" s="459"/>
      <c r="BU1" s="459"/>
      <c r="BV1" s="459"/>
      <c r="BW1" s="459"/>
      <c r="BX1" s="459" t="s">
        <v>526</v>
      </c>
      <c r="BY1" s="459"/>
      <c r="BZ1" s="460"/>
      <c r="CB1" s="251" t="s">
        <v>975</v>
      </c>
      <c r="CC1" s="339" t="s">
        <v>76</v>
      </c>
      <c r="CD1" s="340" t="s">
        <v>977</v>
      </c>
      <c r="CE1" s="341" t="s">
        <v>973</v>
      </c>
      <c r="CF1" s="252" t="s">
        <v>976</v>
      </c>
      <c r="CH1" s="251" t="s">
        <v>1280</v>
      </c>
      <c r="CI1" s="398" t="s">
        <v>400</v>
      </c>
      <c r="CJ1" s="398" t="s">
        <v>1281</v>
      </c>
      <c r="CK1" s="398" t="s">
        <v>364</v>
      </c>
      <c r="CL1" s="398" t="s">
        <v>516</v>
      </c>
      <c r="CN1" s="21" t="s">
        <v>1334</v>
      </c>
      <c r="CO1" s="428" t="s">
        <v>1327</v>
      </c>
      <c r="CP1" s="429" t="s">
        <v>1328</v>
      </c>
      <c r="CQ1" s="429" t="s">
        <v>1329</v>
      </c>
      <c r="CR1" s="429" t="s">
        <v>1330</v>
      </c>
      <c r="CS1" s="429" t="s">
        <v>1332</v>
      </c>
      <c r="CT1" s="429" t="s">
        <v>1333</v>
      </c>
      <c r="CU1" s="429" t="s">
        <v>1084</v>
      </c>
      <c r="CV1" s="429" t="s">
        <v>1331</v>
      </c>
      <c r="CW1" s="429" t="s">
        <v>1335</v>
      </c>
      <c r="CX1" s="429" t="s">
        <v>1337</v>
      </c>
      <c r="CY1" s="430" t="s">
        <v>1338</v>
      </c>
      <c r="DA1" s="21" t="s">
        <v>1431</v>
      </c>
      <c r="DB1" s="440">
        <f>SUM(FNRP_ITB_2[Nominal_VND])/10^9</f>
        <v>569.81719739699986</v>
      </c>
    </row>
    <row r="2" spans="1:106" ht="14.95" customHeight="1" x14ac:dyDescent="0.3">
      <c r="B2" s="253">
        <v>45658</v>
      </c>
      <c r="C2" s="254">
        <f>SUMIFS('His53'!$AF:$AF,'His53'!$AG:$AG,$B2,'His53'!$AE:$AE,C$1)</f>
        <v>25162.353049664998</v>
      </c>
      <c r="D2" s="255">
        <f>SUMIFS('His53'!$AF:$AF,'His53'!$AG:$AG,$B2,'His53'!$AE:$AE,D$1)</f>
        <v>54965.960597628</v>
      </c>
      <c r="E2" s="256">
        <f>C2+D2</f>
        <v>80128.313647292991</v>
      </c>
      <c r="F2" s="439"/>
      <c r="H2" s="257" t="s">
        <v>655</v>
      </c>
      <c r="I2" s="415" t="s">
        <v>998</v>
      </c>
      <c r="J2" s="258">
        <f>SUM(K2:V2)</f>
        <v>15397.6106</v>
      </c>
      <c r="K2" s="259">
        <f>SUMIFS(FNRP!$J:$J,FNRP!$AH:$AH,Summary!K$1,FNRP!$AI:$AI,"&gt;0")/10^9</f>
        <v>1000</v>
      </c>
      <c r="L2" s="259">
        <f>SUMIFS(FNRP!$J:$J,FNRP!$AH:$AH,Summary!L$1,FNRP!$AI:$AI,"&gt;0")/10^9</f>
        <v>400</v>
      </c>
      <c r="M2" s="259">
        <f>SUMIFS(FNRP!$J:$J,FNRP!$AH:$AH,Summary!M$1,FNRP!$AI:$AI,"&gt;0")/10^9</f>
        <v>7297.6106</v>
      </c>
      <c r="N2" s="259">
        <f>SUMIFS(FNRP!$J:$J,FNRP!$AH:$AH,Summary!N$1,FNRP!$AI:$AI,"&gt;0")/10^9</f>
        <v>3700</v>
      </c>
      <c r="O2" s="259">
        <f>SUMIFS(FNRP!$J:$J,FNRP!$AH:$AH,Summary!O$1,FNRP!$AI:$AI,"&gt;0")/10^9</f>
        <v>1000</v>
      </c>
      <c r="P2" s="259">
        <f>SUMIFS(FNRP!$J:$J,FNRP!$AH:$AH,Summary!P$1,FNRP!$AI:$AI,"&gt;0")/10^9</f>
        <v>0</v>
      </c>
      <c r="Q2" s="259">
        <f>SUMIFS(FNRP!$J:$J,FNRP!$AH:$AH,Summary!Q$1,FNRP!$AI:$AI,"&gt;0")/10^9</f>
        <v>0</v>
      </c>
      <c r="R2" s="259">
        <f>SUMIFS(FNRP!$J:$J,FNRP!$AH:$AH,Summary!R$1,FNRP!$AI:$AI,"&gt;0")/10^9</f>
        <v>2000</v>
      </c>
      <c r="S2" s="259">
        <f>SUMIFS(FNRP!$J:$J,FNRP!$AH:$AH,Summary!S$1,FNRP!$AI:$AI,"&gt;0")/10^9</f>
        <v>0</v>
      </c>
      <c r="T2" s="260">
        <f>SUMIFS(FNRP!$J:$J,FNRP!$AH:$AH,Summary!T$1)/10^9</f>
        <v>0</v>
      </c>
      <c r="U2" s="260">
        <f>SUMIFS(FNRP!$J:$J,FNRP!$AH:$AH,Summary!U$1)/10^9</f>
        <v>0</v>
      </c>
      <c r="V2" s="260">
        <f>SUMIFS(FNRP!$J:$J,FNRP!$AH:$AH,Summary!V$1)/10^9</f>
        <v>0</v>
      </c>
      <c r="X2" s="257" t="s">
        <v>655</v>
      </c>
      <c r="Y2" s="258">
        <f>SUM(Z2:AK2)</f>
        <v>12958.610999580611</v>
      </c>
      <c r="Z2" s="259">
        <f>SUMIFS(FNRP!$Q:$Q,FNRP!$AH:$AH,Summary!Z$1)/10^9</f>
        <v>5.3590432899999998</v>
      </c>
      <c r="AA2" s="259">
        <f>SUMIFS(FNRP!$Q:$Q,FNRP!$AH:$AH,Summary!AA$1)/10^9</f>
        <v>404.036967092</v>
      </c>
      <c r="AB2" s="259">
        <f>SUMIFS(FNRP!$Q:$Q,FNRP!$AH:$AH,Summary!AB$1)/10^9</f>
        <v>4675.5188104356093</v>
      </c>
      <c r="AC2" s="259">
        <f>SUMIFS(FNRP!$Q:$Q,FNRP!$AH:$AH,Summary!AC$1)/10^9</f>
        <v>4250.1643202830001</v>
      </c>
      <c r="AD2" s="259">
        <f>SUMIFS(FNRP!$Q:$Q,FNRP!$AH:$AH,Summary!AD$1)/10^9</f>
        <v>1140.49750915</v>
      </c>
      <c r="AE2" s="259">
        <f>SUMIFS(FNRP!$Q:$Q,FNRP!$AH:$AH,Summary!AE$1)/10^9</f>
        <v>0</v>
      </c>
      <c r="AF2" s="259">
        <f>SUMIFS(FNRP!$Q:$Q,FNRP!$AH:$AH,Summary!AF$1)/10^9</f>
        <v>0</v>
      </c>
      <c r="AG2" s="259">
        <f>SUMIFS(FNRP!$Q:$Q,FNRP!$AH:$AH,Summary!AG$1)/10^9</f>
        <v>2483.0343493300002</v>
      </c>
      <c r="AH2" s="259">
        <f>SUMIFS(FNRP!$Q:$Q,FNRP!$AH:$AH,Summary!AH$1)/10^9</f>
        <v>0</v>
      </c>
      <c r="AI2" s="260">
        <f>SUMIFS(FNRP!$Q:$Q,FNRP!$AH:$AH,Summary!AI$1)/10^9</f>
        <v>0</v>
      </c>
      <c r="AJ2" s="260">
        <f>SUMIFS(FNRP!$Q:$Q,FNRP!$AH:$AH,Summary!AJ$1)/10^9</f>
        <v>0</v>
      </c>
      <c r="AK2" s="260">
        <f>SUMIFS(FNRP!$Q:$Q,FNRP!$AH:$AH,Summary!AK$1)/10^9</f>
        <v>0</v>
      </c>
      <c r="AM2" s="453" t="s">
        <v>269</v>
      </c>
      <c r="AN2" s="261" t="s">
        <v>998</v>
      </c>
      <c r="AO2" s="258">
        <f>SUM(AP2:AV2)</f>
        <v>30699.1</v>
      </c>
      <c r="AP2" s="262">
        <f>SUMIFS(FNRP!$BA:$BA,FNRP!$BM:$BM,AP$1)/10^9</f>
        <v>12900</v>
      </c>
      <c r="AQ2" s="259">
        <f>SUMIFS(FNRP!$BA:$BA,FNRP!$BM:$BM,AQ$1)/10^9</f>
        <v>5600</v>
      </c>
      <c r="AR2" s="259">
        <f>SUMIFS(FNRP!$BA:$BA,FNRP!$BM:$BM,AR$1)/10^9</f>
        <v>12199.1</v>
      </c>
      <c r="AS2" s="259">
        <f>SUMIFS(FNRP!$BA:$BA,FNRP!$BM:$BM,AS$1)/10^9</f>
        <v>0</v>
      </c>
      <c r="AT2" s="259">
        <f>SUMIFS(FNRP!$BA:$BA,FNRP!$BM:$BM,AT$1)/10^9</f>
        <v>0</v>
      </c>
      <c r="AU2" s="259">
        <f>SUMIFS(FNRP!$BA:$BA,FNRP!$BM:$BM,AU$1)/10^9</f>
        <v>0</v>
      </c>
      <c r="AV2" s="259">
        <f>SUMIFS(FNRP!$BA:$BA,FNRP!$BM:$BM,AV$1)/10^9</f>
        <v>0</v>
      </c>
      <c r="AW2" s="263"/>
      <c r="AX2" s="264"/>
      <c r="AY2" s="457"/>
      <c r="AZ2" s="450"/>
      <c r="BA2" s="265" t="s">
        <v>550</v>
      </c>
      <c r="BB2" s="265" t="s">
        <v>551</v>
      </c>
      <c r="BC2" s="265" t="s">
        <v>550</v>
      </c>
      <c r="BD2" s="265" t="s">
        <v>551</v>
      </c>
      <c r="BE2" s="265" t="s">
        <v>550</v>
      </c>
      <c r="BF2" s="265" t="s">
        <v>551</v>
      </c>
      <c r="BG2" s="452"/>
      <c r="BH2" s="462"/>
      <c r="BI2" s="449"/>
      <c r="BK2" s="301"/>
      <c r="BL2" s="464"/>
      <c r="BM2" s="468" t="s">
        <v>1131</v>
      </c>
      <c r="BN2" s="468" t="s">
        <v>1130</v>
      </c>
      <c r="BO2" s="468" t="s">
        <v>1129</v>
      </c>
      <c r="BP2" s="466"/>
      <c r="BS2" s="248" t="s">
        <v>513</v>
      </c>
      <c r="BT2" s="266" t="s">
        <v>504</v>
      </c>
      <c r="BU2" s="267" t="s">
        <v>505</v>
      </c>
      <c r="BV2" s="267" t="s">
        <v>506</v>
      </c>
      <c r="BW2" s="267" t="s">
        <v>507</v>
      </c>
      <c r="BX2" s="268" t="s">
        <v>508</v>
      </c>
      <c r="BY2" s="267" t="s">
        <v>509</v>
      </c>
      <c r="BZ2" s="269" t="s">
        <v>510</v>
      </c>
      <c r="CA2" s="358"/>
      <c r="CC2" s="342">
        <v>45808</v>
      </c>
      <c r="CD2" s="343"/>
      <c r="CE2" s="286">
        <v>29.591000000000001</v>
      </c>
      <c r="CF2" s="344">
        <v>127.827</v>
      </c>
      <c r="CG2" s="359"/>
      <c r="CI2" s="399" t="s">
        <v>1282</v>
      </c>
      <c r="CJ2" s="446">
        <f>SUMPRODUCT(FNRP!J:J,FNRP!R:R)/SUM(FNRP!J:J)</f>
        <v>8.060089773928949</v>
      </c>
      <c r="CK2" s="446">
        <f>SUMPRODUCT(FNRP!BA:BA,FNRP!AX:AX)/SUM(FNRP!BA:BA)</f>
        <v>7.4007821076187899</v>
      </c>
      <c r="CL2" s="446">
        <f>(SUMPRODUCT(FNRP!J:J,FNRP!R:R)+SUMPRODUCT(FNRP!BA:BA,FNRP!AX:AX))/(SUM(FNRP!J:J)+SUM(FNRP!BA:BA))</f>
        <v>7.6210095941205838</v>
      </c>
      <c r="CO2" s="426">
        <v>0</v>
      </c>
      <c r="CP2" s="418">
        <f t="shared" ref="CP2:CP14" si="0">EOMONTH(RPT,CO2)</f>
        <v>46265</v>
      </c>
      <c r="CQ2" s="418">
        <f>EOMONTH($CP2,-1)+1</f>
        <v>46235</v>
      </c>
      <c r="CR2" s="418">
        <f>EOMONTH($CP2,0)</f>
        <v>46265</v>
      </c>
      <c r="CS2" s="419" cm="1">
        <f t="array" ref="CS2">SUMPRODUCT((FNRP_PPCD[Mat. Date]&gt;=CQ2)*(FNRP_PPCD[Mat. Date]&lt;=CR2)*FNRP_PPCD[Nominal])/10^9</f>
        <v>0</v>
      </c>
      <c r="CT2" s="419" cm="1">
        <f t="array" ref="CT2">SUMPRODUCT((FNRP_FIbond[Mat. Date]&gt;=CQ2)*(FNRP_FIbond[Mat. Date]&lt;=CR2)*FNRP_FIbond[Nominal])/10^9</f>
        <v>0</v>
      </c>
      <c r="CU2" s="419">
        <f>SUMIFS(Ref!Q:Q,Ref!S:S,"&gt;"&amp;CR2)/10^9</f>
        <v>6500</v>
      </c>
      <c r="CV2" s="419">
        <f>$BP$9-CS2-CT2-CU2</f>
        <v>40166.527797397001</v>
      </c>
      <c r="CW2" s="420" cm="1">
        <f t="array" ref="CW2">SUMPRODUCT((RPBOD_B003[MaturityDate]&gt;CR2)*RPBOD_B003[Yield*Amount])/SUMPRODUCT((RPBOD_B003[MaturityDate]&gt;CR2)*RPBOD_B003[Face_Amount])</f>
        <v>7.4086653333604575</v>
      </c>
      <c r="CX2" s="425" t="str">
        <f>"Est YTM T"&amp;MONTH(FIBond_Daohan[[#This Row],[Date]])&amp;" "&amp;YEAR(FIBond_Daohan[[#This Row],[Date]])</f>
        <v>Est YTM T8 2026</v>
      </c>
      <c r="CY2" s="427" t="str">
        <f>"Est Posi OnBS T"&amp;MONTH(FIBond_Daohan[[#This Row],[Date]])&amp;" "&amp;YEAR(FIBond_Daohan[[#This Row],[Date]])</f>
        <v>Est Posi OnBS T8 2026</v>
      </c>
    </row>
    <row r="3" spans="1:106" x14ac:dyDescent="0.3">
      <c r="B3" s="253">
        <v>45689</v>
      </c>
      <c r="C3" s="254">
        <f>SUMIFS('His53'!$AF:$AF,'His53'!$AG:$AG,$B3,'His53'!$AE:$AE,C$1)</f>
        <v>34584.690612847</v>
      </c>
      <c r="D3" s="255">
        <f>SUMIFS('His53'!$AF:$AF,'His53'!$AG:$AG,$B3,'His53'!$AE:$AE,D$1)</f>
        <v>38906.26524057801</v>
      </c>
      <c r="E3" s="256">
        <f t="shared" ref="E3:E19" si="1">C3+D3</f>
        <v>73490.95585342501</v>
      </c>
      <c r="F3" s="439"/>
      <c r="H3" s="270" t="s">
        <v>269</v>
      </c>
      <c r="I3" s="271">
        <f>SUM(I4:I25)</f>
        <v>15397.6106</v>
      </c>
      <c r="J3" s="271">
        <f>SUM(K3:V3)</f>
        <v>12397.6106</v>
      </c>
      <c r="K3" s="271">
        <f t="shared" ref="K3:S3" si="2">SUM(K4:K97)</f>
        <v>1000</v>
      </c>
      <c r="L3" s="271">
        <f t="shared" si="2"/>
        <v>400</v>
      </c>
      <c r="M3" s="271">
        <f t="shared" si="2"/>
        <v>3400</v>
      </c>
      <c r="N3" s="271">
        <f t="shared" si="2"/>
        <v>700</v>
      </c>
      <c r="O3" s="271">
        <f t="shared" si="2"/>
        <v>3000</v>
      </c>
      <c r="P3" s="271">
        <f t="shared" si="2"/>
        <v>0</v>
      </c>
      <c r="Q3" s="271">
        <f t="shared" si="2"/>
        <v>0</v>
      </c>
      <c r="R3" s="271">
        <f t="shared" si="2"/>
        <v>3897.6106</v>
      </c>
      <c r="S3" s="271">
        <f t="shared" si="2"/>
        <v>0</v>
      </c>
      <c r="T3" s="272">
        <f>SUM(T4:T100)</f>
        <v>0</v>
      </c>
      <c r="U3" s="272">
        <f>SUM(U4:U100)</f>
        <v>0</v>
      </c>
      <c r="V3" s="272">
        <f>SUM(V4:V100)</f>
        <v>0</v>
      </c>
      <c r="X3" s="270" t="s">
        <v>269</v>
      </c>
      <c r="Y3" s="271">
        <f>SUM(Z3:AK3)</f>
        <v>12958.610999580611</v>
      </c>
      <c r="Z3" s="271">
        <f t="shared" ref="Z3:AH3" si="3">SUM(Z4:Z97)</f>
        <v>5.3590432899999998</v>
      </c>
      <c r="AA3" s="271">
        <f t="shared" si="3"/>
        <v>404.036967092</v>
      </c>
      <c r="AB3" s="271">
        <f t="shared" si="3"/>
        <v>3593.045945976</v>
      </c>
      <c r="AC3" s="271">
        <f t="shared" si="3"/>
        <v>743.416028493</v>
      </c>
      <c r="AD3" s="271">
        <f t="shared" si="3"/>
        <v>3357.49551471</v>
      </c>
      <c r="AE3" s="271">
        <f t="shared" si="3"/>
        <v>0</v>
      </c>
      <c r="AF3" s="271">
        <f t="shared" si="3"/>
        <v>0</v>
      </c>
      <c r="AG3" s="271">
        <f t="shared" si="3"/>
        <v>4855.2575000196102</v>
      </c>
      <c r="AH3" s="271">
        <f t="shared" si="3"/>
        <v>0</v>
      </c>
      <c r="AI3" s="272">
        <f>SUM(AI4:AI100)</f>
        <v>0</v>
      </c>
      <c r="AJ3" s="272">
        <f>SUM(AJ4:AJ100)</f>
        <v>0</v>
      </c>
      <c r="AK3" s="272">
        <f>SUM(AK4:AK100)</f>
        <v>0</v>
      </c>
      <c r="AM3" s="454"/>
      <c r="AN3" s="258">
        <f>SUM(AN4:AN100)</f>
        <v>30699.1</v>
      </c>
      <c r="AO3" s="271">
        <f>SUM(AP3:AV3)</f>
        <v>27199.1</v>
      </c>
      <c r="AP3" s="273">
        <f>SUM(AP4:AP95)</f>
        <v>9400</v>
      </c>
      <c r="AQ3" s="271">
        <f>SUM(AQ4:AQ95)</f>
        <v>5600</v>
      </c>
      <c r="AR3" s="271">
        <f>SUM(AR4:AR95)</f>
        <v>12199.1</v>
      </c>
      <c r="AS3" s="271">
        <f>SUM(AS4:AS95)</f>
        <v>0</v>
      </c>
      <c r="AT3" s="271">
        <f>SUM(AT4:AT100)</f>
        <v>0</v>
      </c>
      <c r="AU3" s="271">
        <f>SUM(AU4:AU100)</f>
        <v>0</v>
      </c>
      <c r="AV3" s="271">
        <f>SUM(AV4:AV100)</f>
        <v>0</v>
      </c>
      <c r="AW3" s="274"/>
      <c r="AX3" s="274"/>
      <c r="AY3" s="275" t="s">
        <v>364</v>
      </c>
      <c r="AZ3" s="276">
        <f>SUMIFS('His53'!T:T,'His53'!S:S,"Face value_Not adj",'His53'!R:R,"CD",'His53'!Q:Q,Yesterday)</f>
        <v>30699.1</v>
      </c>
      <c r="BA3" s="276">
        <f>SUMIFS(AllDealps!$U:$U,AllDealps!$H:$H,"B",AllDealps!$F:$F,"CD",AllDealps!$I:$I,RPT)/10^9</f>
        <v>500</v>
      </c>
      <c r="BB3" s="276">
        <f>SUMIFS(AllDealps!$U:$U,AllDealps!$H:$H,"S",AllDealps!$F:$F,"CD",AllDealps!$I:$I,RPT)/10^9</f>
        <v>-500</v>
      </c>
      <c r="BC3" s="277">
        <f>-SUMIFS(AllDealps!$AG:$AG,AllDealps!$AI:$AI,"CD",AllDealps!$AF:$AF,"B")/10^9</f>
        <v>0</v>
      </c>
      <c r="BD3" s="277">
        <f>SUMIFS(AllDealps!$AG:$AG,AllDealps!$AI:$AI,"CD",AllDealps!$AF:$AF,"S")/10^9</f>
        <v>0</v>
      </c>
      <c r="BE3" s="277">
        <f>-SUMIFS(AllDealps!$AS:$AS,AllDealps!$AP:$AP,"B",AllDealps!$AO:$AO,"CD")/10^9</f>
        <v>0</v>
      </c>
      <c r="BF3" s="277">
        <f>-SUMIFS(AllDealps!$AS:$AS,AllDealps!$AP:$AP,"S",AllDealps!$AO:$AO,"CD")/10^9</f>
        <v>0</v>
      </c>
      <c r="BG3" s="278">
        <f>-SUMIFS(AllDealps!$AY:$AY,AllDealps!$AX:$AX,"CD")/10^9</f>
        <v>0</v>
      </c>
      <c r="BH3" s="278">
        <f>-SUM(FNRP!BO:BO)/10^9</f>
        <v>-3500</v>
      </c>
      <c r="BI3" s="277">
        <f>SUM(AZ3:BH3)</f>
        <v>27199.1</v>
      </c>
      <c r="BJ3" s="279"/>
      <c r="BK3" s="301"/>
      <c r="BL3" s="464"/>
      <c r="BM3" s="469"/>
      <c r="BN3" s="469"/>
      <c r="BO3" s="469"/>
      <c r="BP3" s="466"/>
      <c r="BS3" s="280" t="s">
        <v>270</v>
      </c>
      <c r="BT3" s="281">
        <f>VLOOKUP(BS3,'His53'!X:Y,2,0)/100</f>
        <v>5.49375E-2</v>
      </c>
      <c r="BU3" s="281">
        <f>VLOOKUP(BS3,'His53'!X:Z,3,0)/100</f>
        <v>5.0999999999999997E-2</v>
      </c>
      <c r="BV3" s="282">
        <f>VLOOKUP(BS3,'His53'!X:AA,4,0)/100</f>
        <v>5.2968750000000002E-2</v>
      </c>
      <c r="BW3" s="283">
        <f>BT3-BU3</f>
        <v>3.9375000000000035E-3</v>
      </c>
      <c r="BX3" s="284">
        <f>100*$BV3-INDEX(Yield_VBMA[#All],MATCH(Yesterday,Yield_VBMA[[#All],[RptDate]],0),MATCH($BS3,Yield_VBMA[#Headers],0))</f>
        <v>-2.3816964285714297</v>
      </c>
      <c r="BY3" s="284">
        <f>100*$BV3-INDEX(Yield_VBMA[#All],MATCH(Lastmonth,Yield_VBMA[[#All],[RptDate]],0),MATCH($BS3,Yield_VBMA[#Headers],0))</f>
        <v>-2.4093749999999998</v>
      </c>
      <c r="BZ3" s="285">
        <f>100*$BV3-INDEX(Yield_VBMA[#All],MATCH(Lastyear,Yield_VBMA[[#All],[RptDate]],0),MATCH($BS3,Yield_VBMA[#Headers],0))</f>
        <v>-1.8531250000000004</v>
      </c>
      <c r="CC3" s="345">
        <v>45838</v>
      </c>
      <c r="CD3" s="346"/>
      <c r="CE3" s="347">
        <v>78.849999999999994</v>
      </c>
      <c r="CF3" s="348">
        <v>206.67699999999999</v>
      </c>
      <c r="CG3" s="359"/>
      <c r="CI3" s="399" t="s">
        <v>1284</v>
      </c>
      <c r="CJ3" s="446">
        <f>SUMIFS(RPBOD3!Y:Y,RPBOD3!W:W,"&lt;&gt;CD")/SUMIFS(RPBOD3!G:G,RPBOD3!W:W,"&lt;&gt;CD")</f>
        <v>7.7723438919104852</v>
      </c>
      <c r="CK3" s="446">
        <f>SUMIFS(RPBOD3!Y:Y,RPBOD3!W:W,"CD")/SUMIFS(RPBOD3!G:G,RPBOD3!W:W,"CD")</f>
        <v>7.186986459474193</v>
      </c>
      <c r="CL3" s="446">
        <f>SUM(RPBOD3!Y:Y)/SUM(RPBOD3!G:G)</f>
        <v>7.4442698783464349</v>
      </c>
      <c r="CO3" s="426">
        <v>1</v>
      </c>
      <c r="CP3" s="418">
        <f t="shared" si="0"/>
        <v>46295</v>
      </c>
      <c r="CQ3" s="418">
        <f t="shared" ref="CQ3:CQ14" si="4">EOMONTH($CP3,-1)+1</f>
        <v>46266</v>
      </c>
      <c r="CR3" s="418">
        <f t="shared" ref="CR3:CR14" si="5">EOMONTH($CP3,0)</f>
        <v>46295</v>
      </c>
      <c r="CS3" s="419" cm="1">
        <f t="array" ref="CS3">SUMPRODUCT((FNRP_PPCD[Mat. Date]&gt;=CQ3)*(FNRP_PPCD[Mat. Date]&lt;=CR3)*FNRP_PPCD[Nominal])/10^9</f>
        <v>2750</v>
      </c>
      <c r="CT3" s="419" cm="1">
        <f t="array" ref="CT3">SUMPRODUCT((FNRP_FIbond[Mat. Date]&gt;=CQ3)*(FNRP_FIbond[Mat. Date]&lt;=CR3)*FNRP_FIbond[Nominal])/10^9</f>
        <v>1000</v>
      </c>
      <c r="CU3" s="419">
        <f>SUMIFS(Ref!Q:Q,Ref!S:S,"&gt;"&amp;CR3)/10^9</f>
        <v>6500</v>
      </c>
      <c r="CV3" s="419">
        <f>CV2-CT3-CS3+CU2-CU3</f>
        <v>36416.527797397001</v>
      </c>
      <c r="CW3" s="420" cm="1">
        <f t="array" ref="CW3">SUMPRODUCT((RPBOD_B003[MaturityDate]&gt;CR3)*RPBOD_B003[Yield*Amount])/SUMPRODUCT((RPBOD_B003[MaturityDate]&gt;CR3)*RPBOD_B003[Face_Amount])</f>
        <v>7.5466607831665442</v>
      </c>
      <c r="CX3" s="425" t="str">
        <f>"Est YTM T"&amp;MONTH(FIBond_Daohan[[#This Row],[Date]])&amp;" "&amp;YEAR(FIBond_Daohan[[#This Row],[Date]])</f>
        <v>Est YTM T9 2026</v>
      </c>
      <c r="CY3" s="427" t="str">
        <f>"Est Posi OnBS T"&amp;MONTH(FIBond_Daohan[[#This Row],[Date]])&amp;" "&amp;YEAR(FIBond_Daohan[[#This Row],[Date]])</f>
        <v>Est Posi OnBS T9 2026</v>
      </c>
    </row>
    <row r="4" spans="1:106" x14ac:dyDescent="0.3">
      <c r="B4" s="253">
        <v>45717</v>
      </c>
      <c r="C4" s="254">
        <f>SUMIFS('His53'!$AF:$AF,'His53'!$AG:$AG,$B4,'His53'!$AE:$AE,C$1)</f>
        <v>71279.139341173999</v>
      </c>
      <c r="D4" s="255">
        <f>SUMIFS('His53'!$AF:$AF,'His53'!$AG:$AG,$B4,'His53'!$AE:$AE,D$1)</f>
        <v>45418.085732062005</v>
      </c>
      <c r="E4" s="256">
        <f t="shared" si="1"/>
        <v>116697.22507323601</v>
      </c>
      <c r="F4" s="439"/>
      <c r="H4" s="360" t="str" cm="1">
        <f t="array" ref="H4:H14">_xlfn.UNIQUE(_xlfn._xlws.FILTER(FNRP_FIbond[Issuer],FNRP_FIbond[Days]&gt;0))</f>
        <v>LVBT</v>
      </c>
      <c r="I4" s="286">
        <f>SUMIFS(FNRP_FIbond[Nominal],FNRP_FIbond[Issuer],Summary!H4)/10^9</f>
        <v>1000</v>
      </c>
      <c r="J4" s="271">
        <f t="shared" ref="J4:J10" si="6">SUM(K4:V4)</f>
        <v>1000</v>
      </c>
      <c r="K4" s="286">
        <f>SUMIFS(FNRP!$AN:$AN,FNRP!$AJ:$AJ,Summary!K$1,FNRP!$AK:$AK,Summary!$H4)/10^9</f>
        <v>1000</v>
      </c>
      <c r="L4" s="286">
        <f>SUMIFS(FNRP!$AN:$AN,FNRP!$AJ:$AJ,Summary!L$1,FNRP!$AK:$AK,Summary!$H4)/10^9</f>
        <v>0</v>
      </c>
      <c r="M4" s="286">
        <f>SUMIFS(FNRP!$AN:$AN,FNRP!$AJ:$AJ,Summary!M$1,FNRP!$AK:$AK,Summary!$H4)/10^9</f>
        <v>0</v>
      </c>
      <c r="N4" s="286">
        <f>SUMIFS(FNRP!$AN:$AN,FNRP!$AJ:$AJ,Summary!N$1,FNRP!$AK:$AK,Summary!$H4)/10^9</f>
        <v>0</v>
      </c>
      <c r="O4" s="286">
        <f>SUMIFS(FNRP!$AN:$AN,FNRP!$AJ:$AJ,Summary!O$1,FNRP!$AK:$AK,Summary!$H4)/10^9</f>
        <v>0</v>
      </c>
      <c r="P4" s="286">
        <f>SUMIFS(FNRP!$AN:$AN,FNRP!$AJ:$AJ,Summary!P$1,FNRP!$AK:$AK,Summary!$H4)/10^9</f>
        <v>0</v>
      </c>
      <c r="Q4" s="286">
        <f>SUMIFS(FNRP!$AN:$AN,FNRP!$AJ:$AJ,Summary!Q$1,FNRP!$AK:$AK,Summary!$H4)/10^9</f>
        <v>0</v>
      </c>
      <c r="R4" s="286">
        <f>SUMIFS(FNRP!$AN:$AN,FNRP!$AJ:$AJ,Summary!R$1,FNRP!$AK:$AK,Summary!$H4)/10^9</f>
        <v>0</v>
      </c>
      <c r="S4" s="286">
        <f>SUMIFS(FNRP!$AN:$AN,FNRP!$AJ:$AJ,Summary!S$1,FNRP!$AK:$AK,Summary!$H4)/10^9</f>
        <v>0</v>
      </c>
      <c r="T4" s="286">
        <f>SUMIFS(FNRP!$J:$J,FNRP!$AJ:$AJ,Summary!T$1,FNRP!$AK:$AK,Summary!$H4)/10^9</f>
        <v>0</v>
      </c>
      <c r="U4" s="286">
        <f>SUMIFS(FNRP!$J:$J,FNRP!$AJ:$AJ,Summary!U$1,FNRP!$AK:$AK,Summary!$H4)/10^9</f>
        <v>0</v>
      </c>
      <c r="V4" s="286">
        <f>SUMIFS(FNRP!$J:$J,FNRP!$AJ:$AJ,Summary!V$1,FNRP!$AK:$AK,Summary!$H4)/10^9</f>
        <v>0</v>
      </c>
      <c r="X4" s="360" t="str" cm="1">
        <f t="array" ref="X4:X14">_xlfn.UNIQUE(_xlfn._xlws.FILTER(FNRP_FIbond[Issuer],FNRP_FIbond[Days]&gt;0))</f>
        <v>LVBT</v>
      </c>
      <c r="Y4" s="271">
        <f t="shared" ref="Y4:Y25" si="7">SUM(Z4:AK4)</f>
        <v>5.3590432899999998</v>
      </c>
      <c r="Z4" s="286">
        <f>SUMIFS(FNRP!$Q:$Q,FNRP!$AK:$AK,Summary!$X4,FNRP!$AJ:$AJ,Summary!Z$1)/10^9</f>
        <v>5.3590432899999998</v>
      </c>
      <c r="AA4" s="286">
        <f>SUMIFS(FNRP!$Q:$Q,FNRP!$AK:$AK,Summary!$X4,FNRP!$AJ:$AJ,Summary!AA$1)/10^9</f>
        <v>0</v>
      </c>
      <c r="AB4" s="286">
        <f>SUMIFS(FNRP!$Q:$Q,FNRP!$AK:$AK,Summary!$X4,FNRP!$AJ:$AJ,Summary!AB$1)/10^9</f>
        <v>0</v>
      </c>
      <c r="AC4" s="286">
        <f>SUMIFS(FNRP!$Q:$Q,FNRP!$AK:$AK,Summary!$X4,FNRP!$AJ:$AJ,Summary!AC$1)/10^9</f>
        <v>0</v>
      </c>
      <c r="AD4" s="286">
        <f>SUMIFS(FNRP!$Q:$Q,FNRP!$AK:$AK,Summary!$X4,FNRP!$AJ:$AJ,Summary!AD$1)/10^9</f>
        <v>0</v>
      </c>
      <c r="AE4" s="286">
        <f>SUMIFS(FNRP!$Q:$Q,FNRP!$AK:$AK,Summary!$X4,FNRP!$AJ:$AJ,Summary!AE$1)/10^9</f>
        <v>0</v>
      </c>
      <c r="AF4" s="286">
        <f>SUMIFS(FNRP!$Q:$Q,FNRP!$AK:$AK,Summary!$X4,FNRP!$AJ:$AJ,Summary!AF$1)/10^9</f>
        <v>0</v>
      </c>
      <c r="AG4" s="286">
        <f>SUMIFS(FNRP!$Q:$Q,FNRP!$AK:$AK,Summary!$X4,FNRP!$AJ:$AJ,Summary!AG$1)/10^9</f>
        <v>0</v>
      </c>
      <c r="AH4" s="286">
        <f>SUMIFS(FNRP!$Q:$Q,FNRP!$AK:$AK,Summary!$X4,FNRP!$AJ:$AJ,Summary!AH$1)/10^9</f>
        <v>0</v>
      </c>
      <c r="AI4" s="286">
        <f>SUMIFS(FNRP!$Q:$Q,FNRP!$AK:$AK,Summary!$X4,FNRP!$AJ:$AJ,Summary!AI$1)/10^9</f>
        <v>0</v>
      </c>
      <c r="AJ4" s="286">
        <f>SUMIFS(FNRP!$Q:$Q,FNRP!$AK:$AK,Summary!$X4,FNRP!$AJ:$AJ,Summary!AJ$1)/10^9</f>
        <v>0</v>
      </c>
      <c r="AK4" s="286">
        <f>SUMIFS(FNRP!$Q:$Q,FNRP!$AK:$AK,Summary!$X4,FNRP!$AJ:$AJ,Summary!AK$1)/10^9</f>
        <v>0</v>
      </c>
      <c r="AM4" s="361" t="str" cm="1">
        <f t="array" ref="AM4:AM22">_xlfn.UNIQUE(_xlfn._xlws.FILTER(FNRP_PPCD[Issuer],FNRP_PPCD[Days]&gt;0))</f>
        <v>VIETBANK</v>
      </c>
      <c r="AN4" s="258">
        <f>SUMIFS(FNRP!$BA:$BA,FNRP!$BN:$BN,$AM4)/10^9</f>
        <v>3300</v>
      </c>
      <c r="AO4" s="271">
        <f t="shared" ref="AO4:AO24" si="8">SUM(AP4:AV4)</f>
        <v>3300</v>
      </c>
      <c r="AP4" s="287">
        <f>SUMIFS(FNRP!$BP:$BP,FNRP!$BN:$BN,$AM4,FNRP!$BM:$BM,AP$1)/10^9</f>
        <v>800</v>
      </c>
      <c r="AQ4" s="286">
        <f>SUMIFS(FNRP!$BP:$BP,FNRP!$BN:$BN,$AM4,FNRP!$BM:$BM,AQ$1)/10^9</f>
        <v>400</v>
      </c>
      <c r="AR4" s="286">
        <f>SUMIFS(FNRP!$BP:$BP,FNRP!$BN:$BN,$AM4,FNRP!$BM:$BM,AR$1)/10^9</f>
        <v>2100</v>
      </c>
      <c r="AS4" s="286">
        <f>SUMIFS(FNRP!$BP:$BP,FNRP!$BN:$BN,$AM4,FNRP!$BM:$BM,AS$1)/10^9</f>
        <v>0</v>
      </c>
      <c r="AT4" s="286">
        <f>SUMIFS(FNRP!$BP:$BP,FNRP!$BN:$BN,$AM4,FNRP!$BM:$BM,AT$1)/10^9</f>
        <v>0</v>
      </c>
      <c r="AU4" s="286">
        <f>SUMIFS(FNRP!$BP:$BP,FNRP!$BN:$BN,$AM4,FNRP!$BM:$BM,AU$1)/10^9</f>
        <v>0</v>
      </c>
      <c r="AV4" s="286">
        <f>SUMIFS(FNRP!$BP:$BP,FNRP!$BN:$BN,$AM4,FNRP!$BM:$BM,AV$1)/10^9</f>
        <v>0</v>
      </c>
      <c r="AW4" s="274"/>
      <c r="AX4" s="274"/>
      <c r="AY4" s="288" t="s">
        <v>385</v>
      </c>
      <c r="AZ4" s="276">
        <f>SUMIFS('His53'!T:T,'His53'!R:R,"FIBond Unlisted On BS",'His53'!Q:Q,Yesterday,'His53'!S:S,"Face value_Not adj")+SUMIFS('His53'!T:T,'His53'!R:R,"FI Bond Unlisted Ngoai BS",'His53'!Q:Q,Yesterday,'His53'!S:S,"Face value")</f>
        <v>15000</v>
      </c>
      <c r="BA4" s="276">
        <f>SUMIFS(AllDealps!$U:$U,AllDealps!$H:$H,"B",AllDealps!$F:$F,"FI_CORP_U",AllDealps!$I:$I,RPT)/10^9</f>
        <v>0</v>
      </c>
      <c r="BB4" s="276">
        <f>SUMIFS(AllDealps!$U:$U,AllDealps!$H:$H,"S",AllDealps!$F:$F,"FI_CORP_U",AllDealps!$I:$I,RPT)/10^9</f>
        <v>0</v>
      </c>
      <c r="BC4" s="277">
        <f>-SUMIFS(AllDealps!$AG:$AG,AllDealps!$AI:$AI,"FI_CORP_U",AllDealps!$AF:$AF,"B")/10^9</f>
        <v>0</v>
      </c>
      <c r="BD4" s="277">
        <f>SUMIFS(AllDealps!$AG:$AG,AllDealps!$AI:$AI,"FI_CORP_U",AllDealps!$AF:$AF,"S")/10^9</f>
        <v>0</v>
      </c>
      <c r="BE4" s="277">
        <f>-SUMIFS(AllDealps!$AS:$AS,AllDealps!$AP:$AP,"B",AllDealps!$AO:$AO,"FI_CORP_U")/10^9</f>
        <v>0</v>
      </c>
      <c r="BF4" s="277">
        <f>-SUMIFS(AllDealps!$AS:$AS,AllDealps!$AP:$AP,"S",AllDealps!$AO:$AO,"FI_CORP_U")/10^9</f>
        <v>0</v>
      </c>
      <c r="BG4" s="278">
        <f>-SUMIFS(AllDealps!$AY:$AY,AllDealps!$AX:$AX,"FI_CORP_U")/10^9</f>
        <v>0</v>
      </c>
      <c r="BH4" s="278">
        <f>-SUM(FNRP!AM:AM)/10^9</f>
        <v>-3000</v>
      </c>
      <c r="BI4" s="277">
        <f>SUM(AZ4:BH4)</f>
        <v>12000</v>
      </c>
      <c r="BJ4" s="279"/>
      <c r="BK4" s="362"/>
      <c r="BL4" s="464"/>
      <c r="BM4" s="470"/>
      <c r="BN4" s="470"/>
      <c r="BO4" s="470"/>
      <c r="BP4" s="467"/>
      <c r="BS4" s="280" t="s">
        <v>271</v>
      </c>
      <c r="BT4" s="281">
        <f>VLOOKUP(BS4,'His53'!X:Y,2,0)/100</f>
        <v>5.43076923076923E-2</v>
      </c>
      <c r="BU4" s="281">
        <f>VLOOKUP(BS4,'His53'!X:Z,3,0)/100</f>
        <v>4.9961538461538495E-2</v>
      </c>
      <c r="BV4" s="282">
        <f>VLOOKUP(BS4,'His53'!X:AA,4,0)/100</f>
        <v>5.2134615384615397E-2</v>
      </c>
      <c r="BW4" s="283">
        <f t="shared" ref="BW4:BW14" si="9">BT4-BU4</f>
        <v>4.3461538461538052E-3</v>
      </c>
      <c r="BX4" s="284">
        <f>100*$BV4-INDEX(Yield_VBMA[#All],MATCH(Yesterday,Yield_VBMA[[#All],[RptDate]],0),MATCH($BS4,Yield_VBMA[#Headers],0))</f>
        <v>-2.8115384615384604</v>
      </c>
      <c r="BY4" s="284">
        <f>100*$BV4-INDEX(Yield_VBMA[#All],MATCH(Lastmonth,Yield_VBMA[[#All],[RptDate]],0),MATCH($BS4,Yield_VBMA[#Headers],0))</f>
        <v>-3.1865384615384604</v>
      </c>
      <c r="BZ4" s="285">
        <f>100*$BV4-INDEX(Yield_VBMA[#All],MATCH(Lastyear,Yield_VBMA[[#All],[RptDate]],0),MATCH($BS4,Yield_VBMA[#Headers],0))</f>
        <v>-1.5826923076923105</v>
      </c>
      <c r="CC4" s="342">
        <v>45869</v>
      </c>
      <c r="CD4" s="343"/>
      <c r="CE4" s="286">
        <v>33.362000000000002</v>
      </c>
      <c r="CF4" s="344">
        <v>240.03899999999999</v>
      </c>
      <c r="CG4" s="359"/>
      <c r="CI4" s="399" t="s">
        <v>1283</v>
      </c>
      <c r="CJ4" s="447"/>
      <c r="CK4" s="446"/>
      <c r="CL4" s="446"/>
      <c r="CO4" s="426">
        <v>2</v>
      </c>
      <c r="CP4" s="418">
        <f t="shared" si="0"/>
        <v>46326</v>
      </c>
      <c r="CQ4" s="418">
        <f t="shared" si="4"/>
        <v>46296</v>
      </c>
      <c r="CR4" s="418">
        <f t="shared" si="5"/>
        <v>46326</v>
      </c>
      <c r="CS4" s="419" cm="1">
        <f t="array" ref="CS4">SUMPRODUCT((FNRP_PPCD[Mat. Date]&gt;=CQ4)*(FNRP_PPCD[Mat. Date]&lt;=CR4)*FNRP_PPCD[Nominal])/10^9</f>
        <v>2150</v>
      </c>
      <c r="CT4" s="419" cm="1">
        <f t="array" ref="CT4">SUMPRODUCT((FNRP_FIbond[Mat. Date]&gt;=CQ4)*(FNRP_FIbond[Mat. Date]&lt;=CR4)*FNRP_FIbond[Nominal])/10^9</f>
        <v>0</v>
      </c>
      <c r="CU4" s="419">
        <f>SUMIFS(Ref!Q:Q,Ref!S:S,"&gt;"&amp;CR4)/10^9</f>
        <v>6500</v>
      </c>
      <c r="CV4" s="419">
        <f t="shared" ref="CV4:CV14" si="10">CV3-CT4-CS4+CU3-CU4</f>
        <v>34266.527797397001</v>
      </c>
      <c r="CW4" s="420" cm="1">
        <f t="array" ref="CW4">SUMPRODUCT((RPBOD_B003[MaturityDate]&gt;CR4)*RPBOD_B003[Yield*Amount])/SUMPRODUCT((RPBOD_B003[MaturityDate]&gt;CR4)*RPBOD_B003[Face_Amount])</f>
        <v>7.6233055744363618</v>
      </c>
      <c r="CX4" s="425" t="str">
        <f>"Est YTM T"&amp;MONTH(FIBond_Daohan[[#This Row],[Date]])&amp;" "&amp;YEAR(FIBond_Daohan[[#This Row],[Date]])</f>
        <v>Est YTM T10 2026</v>
      </c>
      <c r="CY4" s="427" t="str">
        <f>"Est Posi OnBS T"&amp;MONTH(FIBond_Daohan[[#This Row],[Date]])&amp;" "&amp;YEAR(FIBond_Daohan[[#This Row],[Date]])</f>
        <v>Est Posi OnBS T10 2026</v>
      </c>
    </row>
    <row r="5" spans="1:106" x14ac:dyDescent="0.3">
      <c r="B5" s="253">
        <v>45748</v>
      </c>
      <c r="C5" s="254">
        <f>SUMIFS('His53'!$AF:$AF,'His53'!$AG:$AG,$B5,'His53'!$AE:$AE,C$1)</f>
        <v>45756.672480602007</v>
      </c>
      <c r="D5" s="255">
        <f>SUMIFS('His53'!$AF:$AF,'His53'!$AG:$AG,$B5,'His53'!$AE:$AE,D$1)</f>
        <v>54712.825953730993</v>
      </c>
      <c r="E5" s="256">
        <f t="shared" si="1"/>
        <v>100469.498434333</v>
      </c>
      <c r="F5" s="439"/>
      <c r="H5" s="360" t="str">
        <v>TC_SHINSEI</v>
      </c>
      <c r="I5" s="286">
        <f>SUMIFS(FNRP_FIbond[Nominal],FNRP_FIbond[Issuer],Summary!H5)/10^9</f>
        <v>400</v>
      </c>
      <c r="J5" s="271">
        <f t="shared" si="6"/>
        <v>400</v>
      </c>
      <c r="K5" s="286">
        <f>SUMIFS(FNRP!$AN:$AN,FNRP!$AJ:$AJ,Summary!K$1,FNRP!$AK:$AK,Summary!$H5)/10^9</f>
        <v>0</v>
      </c>
      <c r="L5" s="286">
        <f>SUMIFS(FNRP!$AN:$AN,FNRP!$AJ:$AJ,Summary!L$1,FNRP!$AK:$AK,Summary!$H5)/10^9</f>
        <v>400</v>
      </c>
      <c r="M5" s="286">
        <f>SUMIFS(FNRP!$AN:$AN,FNRP!$AJ:$AJ,Summary!M$1,FNRP!$AK:$AK,Summary!$H5)/10^9</f>
        <v>0</v>
      </c>
      <c r="N5" s="286">
        <f>SUMIFS(FNRP!$AN:$AN,FNRP!$AJ:$AJ,Summary!N$1,FNRP!$AK:$AK,Summary!$H5)/10^9</f>
        <v>0</v>
      </c>
      <c r="O5" s="286">
        <f>SUMIFS(FNRP!$AN:$AN,FNRP!$AJ:$AJ,Summary!O$1,FNRP!$AK:$AK,Summary!$H5)/10^9</f>
        <v>0</v>
      </c>
      <c r="P5" s="286">
        <f>SUMIFS(FNRP!$AN:$AN,FNRP!$AJ:$AJ,Summary!P$1,FNRP!$AK:$AK,Summary!$H5)/10^9</f>
        <v>0</v>
      </c>
      <c r="Q5" s="286">
        <f>SUMIFS(FNRP!$AN:$AN,FNRP!$AJ:$AJ,Summary!Q$1,FNRP!$AK:$AK,Summary!$H5)/10^9</f>
        <v>0</v>
      </c>
      <c r="R5" s="286">
        <f>SUMIFS(FNRP!$AN:$AN,FNRP!$AJ:$AJ,Summary!R$1,FNRP!$AK:$AK,Summary!$H5)/10^9</f>
        <v>0</v>
      </c>
      <c r="S5" s="286">
        <f>SUMIFS(FNRP!$AN:$AN,FNRP!$AJ:$AJ,Summary!S$1,FNRP!$AK:$AK,Summary!$H5)/10^9</f>
        <v>0</v>
      </c>
      <c r="T5" s="286">
        <f>SUMIFS(FNRP!$J:$J,FNRP!$AJ:$AJ,Summary!T$1,FNRP!$AK:$AK,Summary!$H5)/10^9</f>
        <v>0</v>
      </c>
      <c r="U5" s="286">
        <f>SUMIFS(FNRP!$J:$J,FNRP!$AJ:$AJ,Summary!U$1,FNRP!$AK:$AK,Summary!$H5)/10^9</f>
        <v>0</v>
      </c>
      <c r="V5" s="286">
        <f>SUMIFS(FNRP!$J:$J,FNRP!$AJ:$AJ,Summary!V$1,FNRP!$AK:$AK,Summary!$H5)/10^9</f>
        <v>0</v>
      </c>
      <c r="X5" s="360" t="str">
        <v>TC_SHINSEI</v>
      </c>
      <c r="Y5" s="271">
        <f t="shared" si="7"/>
        <v>404.036967092</v>
      </c>
      <c r="Z5" s="286">
        <f>SUMIFS(FNRP!$Q:$Q,FNRP!$AK:$AK,Summary!$X5,FNRP!$AJ:$AJ,Summary!Z$1)/10^9</f>
        <v>0</v>
      </c>
      <c r="AA5" s="286">
        <f>SUMIFS(FNRP!$Q:$Q,FNRP!$AK:$AK,Summary!$X5,FNRP!$AJ:$AJ,Summary!AA$1)/10^9</f>
        <v>404.036967092</v>
      </c>
      <c r="AB5" s="286">
        <f>SUMIFS(FNRP!$Q:$Q,FNRP!$AK:$AK,Summary!$X5,FNRP!$AJ:$AJ,Summary!AB$1)/10^9</f>
        <v>0</v>
      </c>
      <c r="AC5" s="286">
        <f>SUMIFS(FNRP!$Q:$Q,FNRP!$AK:$AK,Summary!$X5,FNRP!$AJ:$AJ,Summary!AC$1)/10^9</f>
        <v>0</v>
      </c>
      <c r="AD5" s="286">
        <f>SUMIFS(FNRP!$Q:$Q,FNRP!$AK:$AK,Summary!$X5,FNRP!$AJ:$AJ,Summary!AD$1)/10^9</f>
        <v>0</v>
      </c>
      <c r="AE5" s="286">
        <f>SUMIFS(FNRP!$Q:$Q,FNRP!$AK:$AK,Summary!$X5,FNRP!$AJ:$AJ,Summary!AE$1)/10^9</f>
        <v>0</v>
      </c>
      <c r="AF5" s="286">
        <f>SUMIFS(FNRP!$Q:$Q,FNRP!$AK:$AK,Summary!$X5,FNRP!$AJ:$AJ,Summary!AF$1)/10^9</f>
        <v>0</v>
      </c>
      <c r="AG5" s="286">
        <f>SUMIFS(FNRP!$Q:$Q,FNRP!$AK:$AK,Summary!$X5,FNRP!$AJ:$AJ,Summary!AG$1)/10^9</f>
        <v>0</v>
      </c>
      <c r="AH5" s="286">
        <f>SUMIFS(FNRP!$Q:$Q,FNRP!$AK:$AK,Summary!$X5,FNRP!$AJ:$AJ,Summary!AH$1)/10^9</f>
        <v>0</v>
      </c>
      <c r="AI5" s="286">
        <f>SUMIFS(FNRP!$Q:$Q,FNRP!$AK:$AK,Summary!$X5,FNRP!$AJ:$AJ,Summary!AI$1)/10^9</f>
        <v>0</v>
      </c>
      <c r="AJ5" s="286">
        <f>SUMIFS(FNRP!$Q:$Q,FNRP!$AK:$AK,Summary!$X5,FNRP!$AJ:$AJ,Summary!AJ$1)/10^9</f>
        <v>0</v>
      </c>
      <c r="AK5" s="286">
        <f>SUMIFS(FNRP!$Q:$Q,FNRP!$AK:$AK,Summary!$X5,FNRP!$AJ:$AJ,Summary!AK$1)/10^9</f>
        <v>0</v>
      </c>
      <c r="AM5" s="361" t="str">
        <v>HCVN</v>
      </c>
      <c r="AN5" s="258">
        <f>SUMIFS(FNRP!$BA:$BA,FNRP!$BN:$BN,$AM5)/10^9</f>
        <v>650</v>
      </c>
      <c r="AO5" s="271">
        <f t="shared" si="8"/>
        <v>650</v>
      </c>
      <c r="AP5" s="287">
        <f>SUMIFS(FNRP!$BP:$BP,FNRP!$BN:$BN,$AM5,FNRP!$BM:$BM,AP$1)/10^9</f>
        <v>250</v>
      </c>
      <c r="AQ5" s="286">
        <f>SUMIFS(FNRP!$BP:$BP,FNRP!$BN:$BN,$AM5,FNRP!$BM:$BM,AQ$1)/10^9</f>
        <v>0</v>
      </c>
      <c r="AR5" s="286">
        <f>SUMIFS(FNRP!$BP:$BP,FNRP!$BN:$BN,$AM5,FNRP!$BM:$BM,AR$1)/10^9</f>
        <v>400</v>
      </c>
      <c r="AS5" s="286">
        <f>SUMIFS(FNRP!$BP:$BP,FNRP!$BN:$BN,$AM5,FNRP!$BM:$BM,AS$1)/10^9</f>
        <v>0</v>
      </c>
      <c r="AT5" s="286">
        <f>SUMIFS(FNRP!$BP:$BP,FNRP!$BN:$BN,$AM5,FNRP!$BM:$BM,AT$1)/10^9</f>
        <v>0</v>
      </c>
      <c r="AU5" s="286">
        <f>SUMIFS(FNRP!$BP:$BP,FNRP!$BN:$BN,$AM5,FNRP!$BM:$BM,AU$1)/10^9</f>
        <v>0</v>
      </c>
      <c r="AV5" s="286">
        <f>SUMIFS(FNRP!$BP:$BP,FNRP!$BN:$BN,$AM5,FNRP!$BM:$BM,AV$1)/10^9</f>
        <v>0</v>
      </c>
      <c r="AW5" s="274"/>
      <c r="AX5" s="274"/>
      <c r="AY5" s="288" t="s">
        <v>386</v>
      </c>
      <c r="AZ5" s="276">
        <f>SUMIFS('His53'!T:T,'His53'!R:R,"FIBond Listed On BS",'His53'!Q:Q,Yesterday,'His53'!S:S,"Face value_Not adj")</f>
        <v>397.61059999999998</v>
      </c>
      <c r="BA5" s="276">
        <f>SUMIFS(AllDealps!$U:$U,AllDealps!$H:$H,"B",AllDealps!$F:$F,"FI_CORP_L",AllDealps!$I:$I,RPT)/10^9</f>
        <v>0</v>
      </c>
      <c r="BB5" s="276">
        <f>SUMIFS(AllDealps!$U:$U,AllDealps!$H:$H,"S",AllDealps!$F:$F,"FI_CORP_L",AllDealps!$I:$I,RPT)/10^9</f>
        <v>0</v>
      </c>
      <c r="BC5" s="277">
        <f>-SUMIFS(AllDealps!$AG:$AG,AllDealps!$AI:$AI,"FI_CORP_L",AllDealps!$AF:$AF,"B")/10^9</f>
        <v>0</v>
      </c>
      <c r="BD5" s="277">
        <f>SUMIFS(AllDealps!$AG:$AG,AllDealps!$AI:$AI,"FI_CORP_L",AllDealps!$AF:$AF,"S")/10^9</f>
        <v>0</v>
      </c>
      <c r="BE5" s="277">
        <f>-SUMIFS(AllDealps!$AS:$AS,AllDealps!$AP:$AP,"B",AllDealps!$AO:$AO,"FI_CORP_L")/10^9</f>
        <v>0</v>
      </c>
      <c r="BF5" s="277">
        <f>-SUMIFS(AllDealps!$AS:$AS,AllDealps!$AP:$AP,"S",AllDealps!$AO:$AO,"FI_CORP_L")/10^9</f>
        <v>0</v>
      </c>
      <c r="BG5" s="278">
        <f>-SUMIFS(AllDealps!$AY:$AY,AllDealps!$AX:$AX,"FI_CORP_L")/10^9</f>
        <v>0</v>
      </c>
      <c r="BH5" s="278">
        <v>0</v>
      </c>
      <c r="BI5" s="277">
        <f>SUM(AZ5:BH5)</f>
        <v>397.61059999999998</v>
      </c>
      <c r="BJ5" s="279"/>
      <c r="BL5" s="403" t="s">
        <v>1095</v>
      </c>
      <c r="BM5" s="406">
        <f>SUMIFS(AllDealps!$U:$U,AllDealps!$W:$W,"On BS",AllDealps!$F:$F,"FI_CORP_U")/10^9</f>
        <v>15000</v>
      </c>
      <c r="BN5" s="406">
        <f>SUMIFS(AllDealps!$U:$U,AllDealps!$W:$W,"Off BS",AllDealps!$F:$F,"FI_CORP_U")/10^9</f>
        <v>0</v>
      </c>
      <c r="BO5" s="406">
        <f>SUMIFS(AllDealps!$U:$U,AllDealps!$W:$W,"Ngoai BS",AllDealps!$F:$F,"FI_CORP_U")/10^9</f>
        <v>0</v>
      </c>
      <c r="BP5" s="406">
        <f>SUM(BM5:BO5)</f>
        <v>15000</v>
      </c>
      <c r="BS5" s="280" t="s">
        <v>272</v>
      </c>
      <c r="BT5" s="281">
        <f>VLOOKUP(BS5,'His53'!X:Y,2,0)/100</f>
        <v>5.55769230769231E-2</v>
      </c>
      <c r="BU5" s="281">
        <f>VLOOKUP(BS5,'His53'!X:Z,3,0)/100</f>
        <v>5.1230769230769198E-2</v>
      </c>
      <c r="BV5" s="282">
        <f>VLOOKUP(BS5,'His53'!X:AA,4,0)/100</f>
        <v>5.34038461538461E-2</v>
      </c>
      <c r="BW5" s="283">
        <f t="shared" si="9"/>
        <v>4.3461538461539023E-3</v>
      </c>
      <c r="BX5" s="284">
        <f>100*$BV5-INDEX(Yield_VBMA[#All],MATCH(Yesterday,Yield_VBMA[[#All],[RptDate]],0),MATCH($BS5,Yield_VBMA[#Headers],0))</f>
        <v>-3.0158653846153891</v>
      </c>
      <c r="BY5" s="284">
        <f>100*$BV5-INDEX(Yield_VBMA[#All],MATCH(Lastmonth,Yield_VBMA[[#All],[RptDate]],0),MATCH($BS5,Yield_VBMA[#Headers],0))</f>
        <v>-2.8076923076923093</v>
      </c>
      <c r="BZ5" s="285">
        <f>100*$BV5-INDEX(Yield_VBMA[#All],MATCH(Lastyear,Yield_VBMA[[#All],[RptDate]],0),MATCH($BS5,Yield_VBMA[#Headers],0))</f>
        <v>-1.5346153846153898</v>
      </c>
      <c r="CC5" s="342">
        <v>45900</v>
      </c>
      <c r="CD5" s="343"/>
      <c r="CE5" s="286">
        <v>31.1</v>
      </c>
      <c r="CF5" s="344">
        <v>271.13900000000001</v>
      </c>
      <c r="CG5" s="359"/>
      <c r="CI5" s="399" t="s">
        <v>1285</v>
      </c>
      <c r="CJ5" s="447">
        <f>SUMIFS(RPBOD3!X:X,RPBOD3!W:W,"&lt;&gt;CD")/SUMIFS(RPBOD3!G:G,RPBOD3!W:W,"&lt;&gt;CD")</f>
        <v>7.6532626428803816</v>
      </c>
      <c r="CK5" s="447">
        <f>SUMIFS(RPBOD3!X:X,RPBOD3!W:W,"CD")/SUMIFS(RPBOD3!G:G,RPBOD3!W:W,"CD")</f>
        <v>7.2168463247270527</v>
      </c>
      <c r="CL5" s="446">
        <f>SUM(RPBOD3!X:X)/SUMIFS(RPBOD3!G:G,RPBOD3!B:B,"&lt;&gt;AFS-ITB")</f>
        <v>7.5267704106246471</v>
      </c>
      <c r="CO5" s="426">
        <v>3</v>
      </c>
      <c r="CP5" s="418">
        <f t="shared" si="0"/>
        <v>46356</v>
      </c>
      <c r="CQ5" s="418">
        <f t="shared" si="4"/>
        <v>46327</v>
      </c>
      <c r="CR5" s="418">
        <f t="shared" si="5"/>
        <v>46356</v>
      </c>
      <c r="CS5" s="419" cm="1">
        <f t="array" ref="CS5">SUMPRODUCT((FNRP_PPCD[Mat. Date]&gt;=CQ5)*(FNRP_PPCD[Mat. Date]&lt;=CR5)*FNRP_PPCD[Nominal])/10^9</f>
        <v>8400</v>
      </c>
      <c r="CT5" s="419" cm="1">
        <f t="array" ref="CT5">SUMPRODUCT((FNRP_FIbond[Mat. Date]&gt;=CQ5)*(FNRP_FIbond[Mat. Date]&lt;=CR5)*FNRP_FIbond[Nominal])/10^9</f>
        <v>0</v>
      </c>
      <c r="CU5" s="419">
        <f>SUMIFS(Ref!Q:Q,Ref!S:S,"&gt;"&amp;CR5)/10^9</f>
        <v>3000</v>
      </c>
      <c r="CV5" s="419">
        <f t="shared" si="10"/>
        <v>29366.527797397001</v>
      </c>
      <c r="CW5" s="420" cm="1">
        <f t="array" ref="CW5">SUMPRODUCT((RPBOD_B003[MaturityDate]&gt;CR5)*RPBOD_B003[Yield*Amount])/SUMPRODUCT((RPBOD_B003[MaturityDate]&gt;CR5)*RPBOD_B003[Face_Amount])</f>
        <v>7.9324279756730167</v>
      </c>
      <c r="CX5" s="425" t="str">
        <f>"Est YTM T"&amp;MONTH(FIBond_Daohan[[#This Row],[Date]])&amp;" "&amp;YEAR(FIBond_Daohan[[#This Row],[Date]])</f>
        <v>Est YTM T11 2026</v>
      </c>
      <c r="CY5" s="427" t="str">
        <f>"Est Posi OnBS T"&amp;MONTH(FIBond_Daohan[[#This Row],[Date]])&amp;" "&amp;YEAR(FIBond_Daohan[[#This Row],[Date]])</f>
        <v>Est Posi OnBS T11 2026</v>
      </c>
    </row>
    <row r="6" spans="1:106" x14ac:dyDescent="0.3">
      <c r="B6" s="253">
        <v>45778</v>
      </c>
      <c r="C6" s="254">
        <f>SUMIFS('His53'!$AF:$AF,'His53'!$AG:$AG,$B6,'His53'!$AE:$AE,C$1)</f>
        <v>63661.383927217008</v>
      </c>
      <c r="D6" s="255">
        <f>SUMIFS('His53'!$AF:$AF,'His53'!$AG:$AG,$B6,'His53'!$AE:$AE,D$1)</f>
        <v>47765.883638152991</v>
      </c>
      <c r="E6" s="256">
        <f t="shared" si="1"/>
        <v>111427.26756537</v>
      </c>
      <c r="F6" s="439"/>
      <c r="H6" s="360" t="str">
        <v>NABV</v>
      </c>
      <c r="I6" s="286">
        <f>SUMIFS(FNRP_FIbond[Nominal],FNRP_FIbond[Issuer],Summary!H6)/10^9</f>
        <v>3000</v>
      </c>
      <c r="J6" s="271">
        <f t="shared" si="6"/>
        <v>0</v>
      </c>
      <c r="K6" s="286">
        <f>SUMIFS(FNRP!$AN:$AN,FNRP!$AJ:$AJ,Summary!K$1,FNRP!$AK:$AK,Summary!$H6)/10^9</f>
        <v>0</v>
      </c>
      <c r="L6" s="286">
        <f>SUMIFS(FNRP!$AN:$AN,FNRP!$AJ:$AJ,Summary!L$1,FNRP!$AK:$AK,Summary!$H6)/10^9</f>
        <v>0</v>
      </c>
      <c r="M6" s="286">
        <f>SUMIFS(FNRP!$AN:$AN,FNRP!$AJ:$AJ,Summary!M$1,FNRP!$AK:$AK,Summary!$H6)/10^9</f>
        <v>0</v>
      </c>
      <c r="N6" s="286">
        <f>SUMIFS(FNRP!$AN:$AN,FNRP!$AJ:$AJ,Summary!N$1,FNRP!$AK:$AK,Summary!$H6)/10^9</f>
        <v>0</v>
      </c>
      <c r="O6" s="286">
        <f>SUMIFS(FNRP!$AN:$AN,FNRP!$AJ:$AJ,Summary!O$1,FNRP!$AK:$AK,Summary!$H6)/10^9</f>
        <v>0</v>
      </c>
      <c r="P6" s="286">
        <f>SUMIFS(FNRP!$AN:$AN,FNRP!$AJ:$AJ,Summary!P$1,FNRP!$AK:$AK,Summary!$H6)/10^9</f>
        <v>0</v>
      </c>
      <c r="Q6" s="286">
        <f>SUMIFS(FNRP!$AN:$AN,FNRP!$AJ:$AJ,Summary!Q$1,FNRP!$AK:$AK,Summary!$H6)/10^9</f>
        <v>0</v>
      </c>
      <c r="R6" s="286">
        <f>SUMIFS(FNRP!$AN:$AN,FNRP!$AJ:$AJ,Summary!R$1,FNRP!$AK:$AK,Summary!$H6)/10^9</f>
        <v>0</v>
      </c>
      <c r="S6" s="286">
        <f>SUMIFS(FNRP!$AN:$AN,FNRP!$AJ:$AJ,Summary!S$1,FNRP!$AK:$AK,Summary!$H6)/10^9</f>
        <v>0</v>
      </c>
      <c r="T6" s="286">
        <f>SUMIFS(FNRP!$J:$J,FNRP!$AJ:$AJ,Summary!T$1,FNRP!$AK:$AK,Summary!$H6)/10^9</f>
        <v>0</v>
      </c>
      <c r="U6" s="286">
        <f>SUMIFS(FNRP!$J:$J,FNRP!$AJ:$AJ,Summary!U$1,FNRP!$AK:$AK,Summary!$H6)/10^9</f>
        <v>0</v>
      </c>
      <c r="V6" s="286">
        <f>SUMIFS(FNRP!$J:$J,FNRP!$AJ:$AJ,Summary!V$1,FNRP!$AK:$AK,Summary!$H6)/10^9</f>
        <v>0</v>
      </c>
      <c r="X6" s="360" t="str">
        <v>NABV</v>
      </c>
      <c r="Y6" s="271">
        <f t="shared" si="7"/>
        <v>160.93244082999999</v>
      </c>
      <c r="Z6" s="286">
        <f>SUMIFS(FNRP!$Q:$Q,FNRP!$AK:$AK,Summary!$X6,FNRP!$AJ:$AJ,Summary!Z$1)/10^9</f>
        <v>0</v>
      </c>
      <c r="AA6" s="286">
        <f>SUMIFS(FNRP!$Q:$Q,FNRP!$AK:$AK,Summary!$X6,FNRP!$AJ:$AJ,Summary!AA$1)/10^9</f>
        <v>0</v>
      </c>
      <c r="AB6" s="286">
        <f>SUMIFS(FNRP!$Q:$Q,FNRP!$AK:$AK,Summary!$X6,FNRP!$AJ:$AJ,Summary!AB$1)/10^9</f>
        <v>160.93244082999999</v>
      </c>
      <c r="AC6" s="286">
        <f>SUMIFS(FNRP!$Q:$Q,FNRP!$AK:$AK,Summary!$X6,FNRP!$AJ:$AJ,Summary!AC$1)/10^9</f>
        <v>0</v>
      </c>
      <c r="AD6" s="286">
        <f>SUMIFS(FNRP!$Q:$Q,FNRP!$AK:$AK,Summary!$X6,FNRP!$AJ:$AJ,Summary!AD$1)/10^9</f>
        <v>0</v>
      </c>
      <c r="AE6" s="286">
        <f>SUMIFS(FNRP!$Q:$Q,FNRP!$AK:$AK,Summary!$X6,FNRP!$AJ:$AJ,Summary!AE$1)/10^9</f>
        <v>0</v>
      </c>
      <c r="AF6" s="286">
        <f>SUMIFS(FNRP!$Q:$Q,FNRP!$AK:$AK,Summary!$X6,FNRP!$AJ:$AJ,Summary!AF$1)/10^9</f>
        <v>0</v>
      </c>
      <c r="AG6" s="286">
        <f>SUMIFS(FNRP!$Q:$Q,FNRP!$AK:$AK,Summary!$X6,FNRP!$AJ:$AJ,Summary!AG$1)/10^9</f>
        <v>0</v>
      </c>
      <c r="AH6" s="286">
        <f>SUMIFS(FNRP!$Q:$Q,FNRP!$AK:$AK,Summary!$X6,FNRP!$AJ:$AJ,Summary!AH$1)/10^9</f>
        <v>0</v>
      </c>
      <c r="AI6" s="286">
        <f>SUMIFS(FNRP!$Q:$Q,FNRP!$AK:$AK,Summary!$X6,FNRP!$AJ:$AJ,Summary!AI$1)/10^9</f>
        <v>0</v>
      </c>
      <c r="AJ6" s="286">
        <f>SUMIFS(FNRP!$Q:$Q,FNRP!$AK:$AK,Summary!$X6,FNRP!$AJ:$AJ,Summary!AJ$1)/10^9</f>
        <v>0</v>
      </c>
      <c r="AK6" s="286">
        <f>SUMIFS(FNRP!$Q:$Q,FNRP!$AK:$AK,Summary!$X6,FNRP!$AJ:$AJ,Summary!AK$1)/10^9</f>
        <v>0</v>
      </c>
      <c r="AM6" s="361" t="str">
        <v>SGTT</v>
      </c>
      <c r="AN6" s="258">
        <f>SUMIFS(FNRP!$BA:$BA,FNRP!$BN:$BN,$AM6)/10^9</f>
        <v>3000</v>
      </c>
      <c r="AO6" s="271">
        <f t="shared" si="8"/>
        <v>3000</v>
      </c>
      <c r="AP6" s="287">
        <f>SUMIFS(FNRP!$BP:$BP,FNRP!$BN:$BN,$AM6,FNRP!$BM:$BM,AP$1)/10^9</f>
        <v>2000</v>
      </c>
      <c r="AQ6" s="286">
        <f>SUMIFS(FNRP!$BP:$BP,FNRP!$BN:$BN,$AM6,FNRP!$BM:$BM,AQ$1)/10^9</f>
        <v>0</v>
      </c>
      <c r="AR6" s="286">
        <f>SUMIFS(FNRP!$BP:$BP,FNRP!$BN:$BN,$AM6,FNRP!$BM:$BM,AR$1)/10^9</f>
        <v>1000</v>
      </c>
      <c r="AS6" s="286">
        <f>SUMIFS(FNRP!$BP:$BP,FNRP!$BN:$BN,$AM6,FNRP!$BM:$BM,AS$1)/10^9</f>
        <v>0</v>
      </c>
      <c r="AT6" s="286">
        <f>SUMIFS(FNRP!$BP:$BP,FNRP!$BN:$BN,$AM6,FNRP!$BM:$BM,AT$1)/10^9</f>
        <v>0</v>
      </c>
      <c r="AU6" s="286">
        <f>SUMIFS(FNRP!$BP:$BP,FNRP!$BN:$BN,$AM6,FNRP!$BM:$BM,AU$1)/10^9</f>
        <v>0</v>
      </c>
      <c r="AV6" s="286">
        <f>SUMIFS(FNRP!$BP:$BP,FNRP!$BN:$BN,$AM6,FNRP!$BM:$BM,AV$1)/10^9</f>
        <v>0</v>
      </c>
      <c r="AW6" s="274"/>
      <c r="AX6" s="274"/>
      <c r="AY6" s="288" t="s">
        <v>1450</v>
      </c>
      <c r="AZ6" s="276">
        <f>SUMIFS(His53_[Actual],His53_[Product],"TPCP KGS",His53_[RptDate],Yesterday)</f>
        <v>570.04670723427</v>
      </c>
      <c r="BA6" s="276">
        <f>SUMIFS(Dealps_ITB[Quantity],Dealps_ITB[DealType],"B")/10^5</f>
        <v>0</v>
      </c>
      <c r="BB6" s="276">
        <v>0</v>
      </c>
      <c r="BC6" s="277">
        <v>0</v>
      </c>
      <c r="BD6" s="277">
        <v>0</v>
      </c>
      <c r="BE6" s="277">
        <v>0</v>
      </c>
      <c r="BF6" s="277">
        <v>0</v>
      </c>
      <c r="BG6" s="278">
        <v>0</v>
      </c>
      <c r="BH6" s="278">
        <v>0</v>
      </c>
      <c r="BI6" s="277">
        <f>ITB_Amt</f>
        <v>569.81719739699986</v>
      </c>
      <c r="BJ6" s="279"/>
      <c r="BL6" s="403" t="s">
        <v>1096</v>
      </c>
      <c r="BM6" s="406">
        <f>SUMIFS(AllDealps!$U:$U,AllDealps!$W:$W,"On BS",AllDealps!$F:$F,"FI_CORP_L")/10^9</f>
        <v>397.61059999999998</v>
      </c>
      <c r="BN6" s="406">
        <f>SUMIFS(AllDealps!$U:$U,AllDealps!$W:$W,"Off BS",AllDealps!$F:$F,"FI_CORP_L")/10^9</f>
        <v>0</v>
      </c>
      <c r="BO6" s="406">
        <f>SUMIFS(AllDealps!$U:$U,AllDealps!$W:$W,"Off BS",AllDealps!$F:$F,"FI_CORP_L")/10^9</f>
        <v>0</v>
      </c>
      <c r="BP6" s="406">
        <f>SUM(BM6:BO6)</f>
        <v>397.61059999999998</v>
      </c>
      <c r="BS6" s="291" t="s">
        <v>273</v>
      </c>
      <c r="BT6" s="292">
        <f>VLOOKUP(BS6,'His53'!X:Y,2,0)/100</f>
        <v>5.6230769230769202E-2</v>
      </c>
      <c r="BU6" s="292">
        <f>VLOOKUP(BS6,'His53'!X:Z,3,0)/100</f>
        <v>5.1884615384615397E-2</v>
      </c>
      <c r="BV6" s="293">
        <f>VLOOKUP(BS6,'His53'!X:AA,4,0)/100</f>
        <v>5.40576923076923E-2</v>
      </c>
      <c r="BW6" s="294">
        <f t="shared" si="9"/>
        <v>4.3461538461538052E-3</v>
      </c>
      <c r="BX6" s="295">
        <f>100*$BV6-INDEX(Yield_VBMA[#All],MATCH(Yesterday,Yield_VBMA[[#All],[RptDate]],0),MATCH($BS6,Yield_VBMA[#Headers],0))</f>
        <v>-2.8134615384615396</v>
      </c>
      <c r="BY6" s="295">
        <f>100*$BV6-INDEX(Yield_VBMA[#All],MATCH(Lastmonth,Yield_VBMA[[#All],[RptDate]],0),MATCH($BS6,Yield_VBMA[#Headers],0))</f>
        <v>-2.8173076923076907</v>
      </c>
      <c r="BZ6" s="296">
        <f>100*$BV6-INDEX(Yield_VBMA[#All],MATCH(Lastyear,Yield_VBMA[[#All],[RptDate]],0),MATCH($BS6,Yield_VBMA[#Headers],0))</f>
        <v>-1.5519230769230798</v>
      </c>
      <c r="CC6" s="345">
        <v>45930</v>
      </c>
      <c r="CD6" s="346"/>
      <c r="CE6" s="347">
        <v>25.298999999999999</v>
      </c>
      <c r="CF6" s="348">
        <v>296.43799999999999</v>
      </c>
      <c r="CG6" s="359"/>
      <c r="CO6" s="426">
        <v>4</v>
      </c>
      <c r="CP6" s="418">
        <f t="shared" si="0"/>
        <v>46387</v>
      </c>
      <c r="CQ6" s="418">
        <f t="shared" si="4"/>
        <v>46357</v>
      </c>
      <c r="CR6" s="418">
        <f t="shared" si="5"/>
        <v>46387</v>
      </c>
      <c r="CS6" s="419" cm="1">
        <f t="array" ref="CS6">SUMPRODUCT((FNRP_PPCD[Mat. Date]&gt;=CQ6)*(FNRP_PPCD[Mat. Date]&lt;=CR6)*FNRP_PPCD[Nominal])/10^9</f>
        <v>1000</v>
      </c>
      <c r="CT6" s="419" cm="1">
        <f t="array" ref="CT6">SUMPRODUCT((FNRP_FIbond[Mat. Date]&gt;=CQ6)*(FNRP_FIbond[Mat. Date]&lt;=CR6)*FNRP_FIbond[Nominal])/10^9</f>
        <v>400</v>
      </c>
      <c r="CU6" s="419">
        <f>SUMIFS(Ref!Q:Q,Ref!S:S,"&gt;"&amp;CR6)/10^9</f>
        <v>3000</v>
      </c>
      <c r="CV6" s="419">
        <f t="shared" si="10"/>
        <v>27966.527797397001</v>
      </c>
      <c r="CW6" s="420" cm="1">
        <f t="array" ref="CW6">SUMPRODUCT((RPBOD_B003[MaturityDate]&gt;CR6)*RPBOD_B003[Yield*Amount])/SUMPRODUCT((RPBOD_B003[MaturityDate]&gt;CR6)*RPBOD_B003[Face_Amount])</f>
        <v>8.0577458056790796</v>
      </c>
      <c r="CX6" s="425" t="str">
        <f>"Est YTM T"&amp;MONTH(FIBond_Daohan[[#This Row],[Date]])&amp;" "&amp;YEAR(FIBond_Daohan[[#This Row],[Date]])</f>
        <v>Est YTM T12 2026</v>
      </c>
      <c r="CY6" s="427" t="str">
        <f>"Est Posi OnBS T"&amp;MONTH(FIBond_Daohan[[#This Row],[Date]])&amp;" "&amp;YEAR(FIBond_Daohan[[#This Row],[Date]])</f>
        <v>Est Posi OnBS T12 2026</v>
      </c>
    </row>
    <row r="7" spans="1:106" x14ac:dyDescent="0.3">
      <c r="B7" s="253">
        <v>45809</v>
      </c>
      <c r="C7" s="254">
        <f>SUMIFS('His53'!$AF:$AF,'His53'!$AG:$AG,$B7,'His53'!$AE:$AE,C$1)</f>
        <v>57506.028719374001</v>
      </c>
      <c r="D7" s="255">
        <f>SUMIFS('His53'!$AF:$AF,'His53'!$AG:$AG,$B7,'His53'!$AE:$AE,D$1)</f>
        <v>67792.716107544999</v>
      </c>
      <c r="E7" s="256">
        <f t="shared" si="1"/>
        <v>125298.74482691899</v>
      </c>
      <c r="F7" s="439"/>
      <c r="H7" s="360" t="str">
        <v>HCVN</v>
      </c>
      <c r="I7" s="286">
        <f>SUMIFS(FNRP_FIbond[Nominal],FNRP_FIbond[Issuer],Summary!H7)/10^9</f>
        <v>1600</v>
      </c>
      <c r="J7" s="271">
        <f t="shared" si="6"/>
        <v>1600</v>
      </c>
      <c r="K7" s="286">
        <f>SUMIFS(FNRP!$AN:$AN,FNRP!$AJ:$AJ,Summary!K$1,FNRP!$AK:$AK,Summary!$H7)/10^9</f>
        <v>0</v>
      </c>
      <c r="L7" s="286">
        <f>SUMIFS(FNRP!$AN:$AN,FNRP!$AJ:$AJ,Summary!L$1,FNRP!$AK:$AK,Summary!$H7)/10^9</f>
        <v>0</v>
      </c>
      <c r="M7" s="286">
        <f>SUMIFS(FNRP!$AN:$AN,FNRP!$AJ:$AJ,Summary!M$1,FNRP!$AK:$AK,Summary!$H7)/10^9</f>
        <v>400</v>
      </c>
      <c r="N7" s="286">
        <f>SUMIFS(FNRP!$AN:$AN,FNRP!$AJ:$AJ,Summary!N$1,FNRP!$AK:$AK,Summary!$H7)/10^9</f>
        <v>200</v>
      </c>
      <c r="O7" s="286">
        <f>SUMIFS(FNRP!$AN:$AN,FNRP!$AJ:$AJ,Summary!O$1,FNRP!$AK:$AK,Summary!$H7)/10^9</f>
        <v>1000</v>
      </c>
      <c r="P7" s="286">
        <f>SUMIFS(FNRP!$AN:$AN,FNRP!$AJ:$AJ,Summary!P$1,FNRP!$AK:$AK,Summary!$H7)/10^9</f>
        <v>0</v>
      </c>
      <c r="Q7" s="286">
        <f>SUMIFS(FNRP!$AN:$AN,FNRP!$AJ:$AJ,Summary!Q$1,FNRP!$AK:$AK,Summary!$H7)/10^9</f>
        <v>0</v>
      </c>
      <c r="R7" s="286">
        <f>SUMIFS(FNRP!$AN:$AN,FNRP!$AJ:$AJ,Summary!R$1,FNRP!$AK:$AK,Summary!$H7)/10^9</f>
        <v>0</v>
      </c>
      <c r="S7" s="286">
        <f>SUMIFS(FNRP!$AN:$AN,FNRP!$AJ:$AJ,Summary!S$1,FNRP!$AK:$AK,Summary!$H7)/10^9</f>
        <v>0</v>
      </c>
      <c r="T7" s="286">
        <f>SUMIFS(FNRP!$J:$J,FNRP!$AJ:$AJ,Summary!T$1,FNRP!$AK:$AK,Summary!$H7)/10^9</f>
        <v>0</v>
      </c>
      <c r="U7" s="286">
        <f>SUMIFS(FNRP!$J:$J,FNRP!$AJ:$AJ,Summary!U$1,FNRP!$AK:$AK,Summary!$H7)/10^9</f>
        <v>0</v>
      </c>
      <c r="V7" s="286">
        <f>SUMIFS(FNRP!$J:$J,FNRP!$AJ:$AJ,Summary!V$1,FNRP!$AK:$AK,Summary!$H7)/10^9</f>
        <v>0</v>
      </c>
      <c r="X7" s="360" t="str">
        <v>HCVN</v>
      </c>
      <c r="Y7" s="271">
        <f t="shared" si="7"/>
        <v>1768.0157311739999</v>
      </c>
      <c r="Z7" s="286">
        <f>SUMIFS(FNRP!$Q:$Q,FNRP!$AK:$AK,Summary!$X7,FNRP!$AJ:$AJ,Summary!Z$1)/10^9</f>
        <v>0</v>
      </c>
      <c r="AA7" s="286">
        <f>SUMIFS(FNRP!$Q:$Q,FNRP!$AK:$AK,Summary!$X7,FNRP!$AJ:$AJ,Summary!AA$1)/10^9</f>
        <v>0</v>
      </c>
      <c r="AB7" s="286">
        <f>SUMIFS(FNRP!$Q:$Q,FNRP!$AK:$AK,Summary!$X7,FNRP!$AJ:$AJ,Summary!AB$1)/10^9</f>
        <v>406.65505187600002</v>
      </c>
      <c r="AC7" s="286">
        <f>SUMIFS(FNRP!$Q:$Q,FNRP!$AK:$AK,Summary!$X7,FNRP!$AJ:$AJ,Summary!AC$1)/10^9</f>
        <v>220.86317014799999</v>
      </c>
      <c r="AD7" s="286">
        <f>SUMIFS(FNRP!$Q:$Q,FNRP!$AK:$AK,Summary!$X7,FNRP!$AJ:$AJ,Summary!AD$1)/10^9</f>
        <v>1140.49750915</v>
      </c>
      <c r="AE7" s="286">
        <f>SUMIFS(FNRP!$Q:$Q,FNRP!$AK:$AK,Summary!$X7,FNRP!$AJ:$AJ,Summary!AE$1)/10^9</f>
        <v>0</v>
      </c>
      <c r="AF7" s="286">
        <f>SUMIFS(FNRP!$Q:$Q,FNRP!$AK:$AK,Summary!$X7,FNRP!$AJ:$AJ,Summary!AF$1)/10^9</f>
        <v>0</v>
      </c>
      <c r="AG7" s="286">
        <f>SUMIFS(FNRP!$Q:$Q,FNRP!$AK:$AK,Summary!$X7,FNRP!$AJ:$AJ,Summary!AG$1)/10^9</f>
        <v>0</v>
      </c>
      <c r="AH7" s="286">
        <f>SUMIFS(FNRP!$Q:$Q,FNRP!$AK:$AK,Summary!$X7,FNRP!$AJ:$AJ,Summary!AH$1)/10^9</f>
        <v>0</v>
      </c>
      <c r="AI7" s="286">
        <f>SUMIFS(FNRP!$Q:$Q,FNRP!$AK:$AK,Summary!$X7,FNRP!$AJ:$AJ,Summary!AI$1)/10^9</f>
        <v>0</v>
      </c>
      <c r="AJ7" s="286">
        <f>SUMIFS(FNRP!$Q:$Q,FNRP!$AK:$AK,Summary!$X7,FNRP!$AJ:$AJ,Summary!AJ$1)/10^9</f>
        <v>0</v>
      </c>
      <c r="AK7" s="286">
        <f>SUMIFS(FNRP!$Q:$Q,FNRP!$AK:$AK,Summary!$X7,FNRP!$AJ:$AJ,Summary!AK$1)/10^9</f>
        <v>0</v>
      </c>
      <c r="AM7" s="361" t="str">
        <v>EIBV</v>
      </c>
      <c r="AN7" s="258">
        <f>SUMIFS(FNRP!$BA:$BA,FNRP!$BN:$BN,$AM7)/10^9</f>
        <v>2500</v>
      </c>
      <c r="AO7" s="271">
        <f t="shared" si="8"/>
        <v>2500</v>
      </c>
      <c r="AP7" s="287">
        <f>SUMIFS(FNRP!$BP:$BP,FNRP!$BN:$BN,$AM7,FNRP!$BM:$BM,AP$1)/10^9</f>
        <v>1500</v>
      </c>
      <c r="AQ7" s="286">
        <f>SUMIFS(FNRP!$BP:$BP,FNRP!$BN:$BN,$AM7,FNRP!$BM:$BM,AQ$1)/10^9</f>
        <v>0</v>
      </c>
      <c r="AR7" s="286">
        <f>SUMIFS(FNRP!$BP:$BP,FNRP!$BN:$BN,$AM7,FNRP!$BM:$BM,AR$1)/10^9</f>
        <v>1000</v>
      </c>
      <c r="AS7" s="286">
        <f>SUMIFS(FNRP!$BP:$BP,FNRP!$BN:$BN,$AM7,FNRP!$BM:$BM,AS$1)/10^9</f>
        <v>0</v>
      </c>
      <c r="AT7" s="286">
        <f>SUMIFS(FNRP!$BP:$BP,FNRP!$BN:$BN,$AM7,FNRP!$BM:$BM,AT$1)/10^9</f>
        <v>0</v>
      </c>
      <c r="AU7" s="286">
        <f>SUMIFS(FNRP!$BP:$BP,FNRP!$BN:$BN,$AM7,FNRP!$BM:$BM,AU$1)/10^9</f>
        <v>0</v>
      </c>
      <c r="AV7" s="286">
        <f>SUMIFS(FNRP!$BP:$BP,FNRP!$BN:$BN,$AM7,FNRP!$BM:$BM,AV$1)/10^9</f>
        <v>0</v>
      </c>
      <c r="AW7" s="274"/>
      <c r="AX7" s="274"/>
      <c r="AY7" s="289" t="s">
        <v>525</v>
      </c>
      <c r="AZ7" s="290">
        <f>SUM(AZ3:AZ6)</f>
        <v>46666.757307234271</v>
      </c>
      <c r="BA7" s="290">
        <f t="shared" ref="BA7:BH7" si="11">SUM(BA3:BA6)</f>
        <v>500</v>
      </c>
      <c r="BB7" s="290">
        <f t="shared" si="11"/>
        <v>-500</v>
      </c>
      <c r="BC7" s="290">
        <f t="shared" si="11"/>
        <v>0</v>
      </c>
      <c r="BD7" s="290">
        <f t="shared" si="11"/>
        <v>0</v>
      </c>
      <c r="BE7" s="290">
        <f t="shared" si="11"/>
        <v>0</v>
      </c>
      <c r="BF7" s="290">
        <f t="shared" si="11"/>
        <v>0</v>
      </c>
      <c r="BG7" s="290">
        <f t="shared" si="11"/>
        <v>0</v>
      </c>
      <c r="BH7" s="290">
        <f t="shared" si="11"/>
        <v>-6500</v>
      </c>
      <c r="BI7" s="290">
        <f>SUM(BI3:BI6)</f>
        <v>40166.527797397001</v>
      </c>
      <c r="BJ7" s="274"/>
      <c r="BK7" s="297"/>
      <c r="BL7" s="403" t="s">
        <v>1311</v>
      </c>
      <c r="BM7" s="406">
        <f>SUMIFS(AllDealps!$U:$U,AllDealps!$W:$W,"On BS",AllDealps!$F:$F,"CD")/10^9</f>
        <v>20361.099999999999</v>
      </c>
      <c r="BN7" s="406">
        <f>SUMIFS(AllDealps!$U:$U,AllDealps!$W:$W,"Off BS",AllDealps!$F:$F,"CD")/10^9</f>
        <v>0</v>
      </c>
      <c r="BO7" s="406">
        <f>SUMIFS(AllDealps!$U:$U,AllDealps!$W:$W,"Ngoai BS",AllDealps!$F:$F,"CD")/10^9</f>
        <v>10338</v>
      </c>
      <c r="BP7" s="406">
        <f>SUM(BM7:BO7)</f>
        <v>30699.1</v>
      </c>
      <c r="BS7" s="280" t="s">
        <v>274</v>
      </c>
      <c r="BT7" s="281">
        <f>VLOOKUP(BS7,'His53'!X:Y,2,0)/100</f>
        <v>5.6346153846153907E-2</v>
      </c>
      <c r="BU7" s="281">
        <f>VLOOKUP(BS7,'His53'!X:Z,3,0)/100</f>
        <v>5.2000000000000005E-2</v>
      </c>
      <c r="BV7" s="282">
        <f>VLOOKUP(BS7,'His53'!X:AA,4,0)/100</f>
        <v>5.4173076923076907E-2</v>
      </c>
      <c r="BW7" s="283">
        <f t="shared" si="9"/>
        <v>4.3461538461539023E-3</v>
      </c>
      <c r="BX7" s="284">
        <f>100*$BV7-INDEX(Yield_VBMA[#All],MATCH(Yesterday,Yield_VBMA[[#All],[RptDate]],0),MATCH($BS7,Yield_VBMA[#Headers],0))</f>
        <v>-2.821153846153849</v>
      </c>
      <c r="BY7" s="284">
        <f>100*$BV7-INDEX(Yield_VBMA[#All],MATCH(Lastmonth,Yield_VBMA[[#All],[RptDate]],0),MATCH($BS7,Yield_VBMA[#Headers],0))</f>
        <v>-2.821153846153849</v>
      </c>
      <c r="BZ7" s="285">
        <f>100*$BV7-INDEX(Yield_VBMA[#All],MATCH(Lastyear,Yield_VBMA[[#All],[RptDate]],0),MATCH($BS7,Yield_VBMA[#Headers],0))</f>
        <v>-1.5942307692307693</v>
      </c>
      <c r="CC7" s="342">
        <v>45961</v>
      </c>
      <c r="CD7" s="343"/>
      <c r="CE7" s="286">
        <v>22.407</v>
      </c>
      <c r="CF7" s="344">
        <v>318.84499999999997</v>
      </c>
      <c r="CG7" s="359"/>
      <c r="CO7" s="426">
        <v>5</v>
      </c>
      <c r="CP7" s="418">
        <f t="shared" si="0"/>
        <v>46418</v>
      </c>
      <c r="CQ7" s="418">
        <f t="shared" si="4"/>
        <v>46388</v>
      </c>
      <c r="CR7" s="418">
        <f t="shared" si="5"/>
        <v>46418</v>
      </c>
      <c r="CS7" s="419" cm="1">
        <f t="array" ref="CS7">SUMPRODUCT((FNRP_PPCD[Mat. Date]&gt;=CQ7)*(FNRP_PPCD[Mat. Date]&lt;=CR7)*FNRP_PPCD[Nominal])/10^9</f>
        <v>3000</v>
      </c>
      <c r="CT7" s="419" cm="1">
        <f t="array" ref="CT7">SUMPRODUCT((FNRP_FIbond[Mat. Date]&gt;=CQ7)*(FNRP_FIbond[Mat. Date]&lt;=CR7)*FNRP_FIbond[Nominal])/10^9</f>
        <v>0</v>
      </c>
      <c r="CU7" s="419">
        <f>SUMIFS(Ref!Q:Q,Ref!S:S,"&gt;"&amp;CR7)/10^9</f>
        <v>3000</v>
      </c>
      <c r="CV7" s="419">
        <f t="shared" si="10"/>
        <v>24966.527797397001</v>
      </c>
      <c r="CW7" s="420" cm="1">
        <f t="array" ref="CW7">SUMPRODUCT((RPBOD_B003[MaturityDate]&gt;CR7)*RPBOD_B003[Yield*Amount])/SUMPRODUCT((RPBOD_B003[MaturityDate]&gt;CR7)*RPBOD_B003[Face_Amount])</f>
        <v>8.1300298903480357</v>
      </c>
      <c r="CX7" s="425" t="str">
        <f>"Est YTM T"&amp;MONTH(FIBond_Daohan[[#This Row],[Date]])&amp;" "&amp;YEAR(FIBond_Daohan[[#This Row],[Date]])</f>
        <v>Est YTM T1 2027</v>
      </c>
      <c r="CY7" s="427" t="str">
        <f>"Est Posi OnBS T"&amp;MONTH(FIBond_Daohan[[#This Row],[Date]])&amp;" "&amp;YEAR(FIBond_Daohan[[#This Row],[Date]])</f>
        <v>Est Posi OnBS T1 2027</v>
      </c>
    </row>
    <row r="8" spans="1:106" x14ac:dyDescent="0.3">
      <c r="B8" s="253">
        <v>45839</v>
      </c>
      <c r="C8" s="254">
        <f>SUMIFS('His53'!$AF:$AF,'His53'!$AG:$AG,$B8,'His53'!$AE:$AE,C$1)</f>
        <v>59100.459720806008</v>
      </c>
      <c r="D8" s="255">
        <f>SUMIFS('His53'!$AF:$AF,'His53'!$AG:$AG,$B8,'His53'!$AE:$AE,D$1)</f>
        <v>72927.864423205989</v>
      </c>
      <c r="E8" s="256">
        <f t="shared" si="1"/>
        <v>132028.324144012</v>
      </c>
      <c r="F8" s="439"/>
      <c r="H8" s="360" t="str">
        <v>VBAH</v>
      </c>
      <c r="I8" s="286">
        <f>SUMIFS(FNRP_FIbond[Nominal],FNRP_FIbond[Issuer],Summary!H8)/10^9</f>
        <v>3000</v>
      </c>
      <c r="J8" s="271">
        <f t="shared" si="6"/>
        <v>3000</v>
      </c>
      <c r="K8" s="286">
        <f>SUMIFS(FNRP!$AN:$AN,FNRP!$AJ:$AJ,Summary!K$1,FNRP!$AK:$AK,Summary!$H8)/10^9</f>
        <v>0</v>
      </c>
      <c r="L8" s="286">
        <f>SUMIFS(FNRP!$AN:$AN,FNRP!$AJ:$AJ,Summary!L$1,FNRP!$AK:$AK,Summary!$H8)/10^9</f>
        <v>0</v>
      </c>
      <c r="M8" s="286">
        <f>SUMIFS(FNRP!$AN:$AN,FNRP!$AJ:$AJ,Summary!M$1,FNRP!$AK:$AK,Summary!$H8)/10^9</f>
        <v>3000</v>
      </c>
      <c r="N8" s="286">
        <f>SUMIFS(FNRP!$AN:$AN,FNRP!$AJ:$AJ,Summary!N$1,FNRP!$AK:$AK,Summary!$H8)/10^9</f>
        <v>0</v>
      </c>
      <c r="O8" s="286">
        <f>SUMIFS(FNRP!$AN:$AN,FNRP!$AJ:$AJ,Summary!O$1,FNRP!$AK:$AK,Summary!$H8)/10^9</f>
        <v>0</v>
      </c>
      <c r="P8" s="286">
        <f>SUMIFS(FNRP!$AN:$AN,FNRP!$AJ:$AJ,Summary!P$1,FNRP!$AK:$AK,Summary!$H8)/10^9</f>
        <v>0</v>
      </c>
      <c r="Q8" s="286">
        <f>SUMIFS(FNRP!$AN:$AN,FNRP!$AJ:$AJ,Summary!Q$1,FNRP!$AK:$AK,Summary!$H8)/10^9</f>
        <v>0</v>
      </c>
      <c r="R8" s="286">
        <f>SUMIFS(FNRP!$AN:$AN,FNRP!$AJ:$AJ,Summary!R$1,FNRP!$AK:$AK,Summary!$H8)/10^9</f>
        <v>0</v>
      </c>
      <c r="S8" s="286">
        <f>SUMIFS(FNRP!$AN:$AN,FNRP!$AJ:$AJ,Summary!S$1,FNRP!$AK:$AK,Summary!$H8)/10^9</f>
        <v>0</v>
      </c>
      <c r="T8" s="286">
        <f>SUMIFS(FNRP!$J:$J,FNRP!$AJ:$AJ,Summary!T$1,FNRP!$AK:$AK,Summary!$H8)/10^9</f>
        <v>0</v>
      </c>
      <c r="U8" s="286">
        <f>SUMIFS(FNRP!$J:$J,FNRP!$AJ:$AJ,Summary!U$1,FNRP!$AK:$AK,Summary!$H8)/10^9</f>
        <v>0</v>
      </c>
      <c r="V8" s="286">
        <f>SUMIFS(FNRP!$J:$J,FNRP!$AJ:$AJ,Summary!V$1,FNRP!$AK:$AK,Summary!$H8)/10^9</f>
        <v>0</v>
      </c>
      <c r="X8" s="360" t="str">
        <v>VBAH</v>
      </c>
      <c r="Y8" s="271">
        <f t="shared" si="7"/>
        <v>3025.4584532700001</v>
      </c>
      <c r="Z8" s="286">
        <f>SUMIFS(FNRP!$Q:$Q,FNRP!$AK:$AK,Summary!$X8,FNRP!$AJ:$AJ,Summary!Z$1)/10^9</f>
        <v>0</v>
      </c>
      <c r="AA8" s="286">
        <f>SUMIFS(FNRP!$Q:$Q,FNRP!$AK:$AK,Summary!$X8,FNRP!$AJ:$AJ,Summary!AA$1)/10^9</f>
        <v>0</v>
      </c>
      <c r="AB8" s="286">
        <f>SUMIFS(FNRP!$Q:$Q,FNRP!$AK:$AK,Summary!$X8,FNRP!$AJ:$AJ,Summary!AB$1)/10^9</f>
        <v>3025.4584532700001</v>
      </c>
      <c r="AC8" s="286">
        <f>SUMIFS(FNRP!$Q:$Q,FNRP!$AK:$AK,Summary!$X8,FNRP!$AJ:$AJ,Summary!AC$1)/10^9</f>
        <v>0</v>
      </c>
      <c r="AD8" s="286">
        <f>SUMIFS(FNRP!$Q:$Q,FNRP!$AK:$AK,Summary!$X8,FNRP!$AJ:$AJ,Summary!AD$1)/10^9</f>
        <v>0</v>
      </c>
      <c r="AE8" s="286">
        <f>SUMIFS(FNRP!$Q:$Q,FNRP!$AK:$AK,Summary!$X8,FNRP!$AJ:$AJ,Summary!AE$1)/10^9</f>
        <v>0</v>
      </c>
      <c r="AF8" s="286">
        <f>SUMIFS(FNRP!$Q:$Q,FNRP!$AK:$AK,Summary!$X8,FNRP!$AJ:$AJ,Summary!AF$1)/10^9</f>
        <v>0</v>
      </c>
      <c r="AG8" s="286">
        <f>SUMIFS(FNRP!$Q:$Q,FNRP!$AK:$AK,Summary!$X8,FNRP!$AJ:$AJ,Summary!AG$1)/10^9</f>
        <v>0</v>
      </c>
      <c r="AH8" s="286">
        <f>SUMIFS(FNRP!$Q:$Q,FNRP!$AK:$AK,Summary!$X8,FNRP!$AJ:$AJ,Summary!AH$1)/10^9</f>
        <v>0</v>
      </c>
      <c r="AI8" s="286">
        <f>SUMIFS(FNRP!$Q:$Q,FNRP!$AK:$AK,Summary!$X8,FNRP!$AJ:$AJ,Summary!AI$1)/10^9</f>
        <v>0</v>
      </c>
      <c r="AJ8" s="286">
        <f>SUMIFS(FNRP!$Q:$Q,FNRP!$AK:$AK,Summary!$X8,FNRP!$AJ:$AJ,Summary!AJ$1)/10^9</f>
        <v>0</v>
      </c>
      <c r="AK8" s="286">
        <f>SUMIFS(FNRP!$Q:$Q,FNRP!$AK:$AK,Summary!$X8,FNRP!$AJ:$AJ,Summary!AK$1)/10^9</f>
        <v>0</v>
      </c>
      <c r="AM8" s="361" t="str">
        <v>ABBV</v>
      </c>
      <c r="AN8" s="258">
        <f>SUMIFS(FNRP!$BA:$BA,FNRP!$BN:$BN,$AM8)/10^9</f>
        <v>400</v>
      </c>
      <c r="AO8" s="271">
        <f t="shared" si="8"/>
        <v>400</v>
      </c>
      <c r="AP8" s="287">
        <f>SUMIFS(FNRP!$BP:$BP,FNRP!$BN:$BN,$AM8,FNRP!$BM:$BM,AP$1)/10^9</f>
        <v>400</v>
      </c>
      <c r="AQ8" s="286">
        <f>SUMIFS(FNRP!$BP:$BP,FNRP!$BN:$BN,$AM8,FNRP!$BM:$BM,AQ$1)/10^9</f>
        <v>0</v>
      </c>
      <c r="AR8" s="286">
        <f>SUMIFS(FNRP!$BP:$BP,FNRP!$BN:$BN,$AM8,FNRP!$BM:$BM,AR$1)/10^9</f>
        <v>0</v>
      </c>
      <c r="AS8" s="286">
        <f>SUMIFS(FNRP!$BP:$BP,FNRP!$BN:$BN,$AM8,FNRP!$BM:$BM,AS$1)/10^9</f>
        <v>0</v>
      </c>
      <c r="AT8" s="286">
        <f>SUMIFS(FNRP!$BP:$BP,FNRP!$BN:$BN,$AM8,FNRP!$BM:$BM,AT$1)/10^9</f>
        <v>0</v>
      </c>
      <c r="AU8" s="286">
        <f>SUMIFS(FNRP!$BP:$BP,FNRP!$BN:$BN,$AM8,FNRP!$BM:$BM,AU$1)/10^9</f>
        <v>0</v>
      </c>
      <c r="AV8" s="286">
        <f>SUMIFS(FNRP!$BP:$BP,FNRP!$BN:$BN,$AM8,FNRP!$BM:$BM,AV$1)/10^9</f>
        <v>0</v>
      </c>
      <c r="AW8" s="274"/>
      <c r="AX8" s="274"/>
      <c r="AY8" s="274"/>
      <c r="AZ8" s="274"/>
      <c r="BA8" s="274"/>
      <c r="BB8" s="274"/>
      <c r="BC8" s="274"/>
      <c r="BD8" s="274"/>
      <c r="BE8" s="274"/>
      <c r="BF8" s="274"/>
      <c r="BG8" s="274"/>
      <c r="BH8" s="274"/>
      <c r="BI8" s="274"/>
      <c r="BJ8" s="274"/>
      <c r="BL8" s="437" t="s">
        <v>1440</v>
      </c>
      <c r="BM8" s="406">
        <f>DB1</f>
        <v>569.81719739699986</v>
      </c>
      <c r="BN8" s="406">
        <v>0</v>
      </c>
      <c r="BO8" s="406">
        <v>0</v>
      </c>
      <c r="BP8" s="406">
        <f>SUM(BM8:BO8)</f>
        <v>569.81719739699986</v>
      </c>
      <c r="BS8" s="280" t="s">
        <v>275</v>
      </c>
      <c r="BT8" s="281">
        <f>VLOOKUP(BS8,'His53'!X:Y,2,0)/100</f>
        <v>5.6692307692307702E-2</v>
      </c>
      <c r="BU8" s="281">
        <f>VLOOKUP(BS8,'His53'!X:Z,3,0)/100</f>
        <v>5.2423076923076899E-2</v>
      </c>
      <c r="BV8" s="282">
        <f>VLOOKUP(BS8,'His53'!X:AA,4,0)/100</f>
        <v>5.4557692307692293E-2</v>
      </c>
      <c r="BW8" s="283">
        <f t="shared" si="9"/>
        <v>4.2692307692308029E-3</v>
      </c>
      <c r="BX8" s="284">
        <f>100*$BV8-INDEX(Yield_VBMA[#All],MATCH(Yesterday,Yield_VBMA[[#All],[RptDate]],0),MATCH($BS8,Yield_VBMA[#Headers],0))</f>
        <v>-2.8019230769230798</v>
      </c>
      <c r="BY8" s="284">
        <f>100*$BV8-INDEX(Yield_VBMA[#All],MATCH(Lastmonth,Yield_VBMA[[#All],[RptDate]],0),MATCH($BS8,Yield_VBMA[#Headers],0))</f>
        <v>-2.8019230769230798</v>
      </c>
      <c r="BZ8" s="285">
        <f>100*$BV8-INDEX(Yield_VBMA[#All],MATCH(Lastyear,Yield_VBMA[[#All],[RptDate]],0),MATCH($BS8,Yield_VBMA[#Headers],0))</f>
        <v>-1.5711538461538508</v>
      </c>
      <c r="CC8" s="342">
        <v>45991</v>
      </c>
      <c r="CD8" s="343"/>
      <c r="CE8" s="286">
        <v>12.92</v>
      </c>
      <c r="CF8" s="344">
        <v>331.76499999999999</v>
      </c>
      <c r="CG8" s="359"/>
      <c r="CO8" s="426">
        <v>6</v>
      </c>
      <c r="CP8" s="418">
        <f t="shared" si="0"/>
        <v>46446</v>
      </c>
      <c r="CQ8" s="418">
        <f t="shared" si="4"/>
        <v>46419</v>
      </c>
      <c r="CR8" s="418">
        <f t="shared" si="5"/>
        <v>46446</v>
      </c>
      <c r="CS8" s="419" cm="1">
        <f t="array" ref="CS8">SUMPRODUCT((FNRP_PPCD[Mat. Date]&gt;=CQ8)*(FNRP_PPCD[Mat. Date]&lt;=CR8)*FNRP_PPCD[Nominal])/10^9</f>
        <v>1200</v>
      </c>
      <c r="CT8" s="419" cm="1">
        <f t="array" ref="CT8">SUMPRODUCT((FNRP_FIbond[Mat. Date]&gt;=CQ8)*(FNRP_FIbond[Mat. Date]&lt;=CR8)*FNRP_FIbond[Nominal])/10^9</f>
        <v>0</v>
      </c>
      <c r="CU8" s="419">
        <f>SUMIFS(Ref!Q:Q,Ref!S:S,"&gt;"&amp;CR8)/10^9</f>
        <v>3000</v>
      </c>
      <c r="CV8" s="419">
        <f t="shared" si="10"/>
        <v>23766.527797397001</v>
      </c>
      <c r="CW8" s="420" cm="1">
        <f t="array" ref="CW8">SUMPRODUCT((RPBOD_B003[MaturityDate]&gt;CR8)*RPBOD_B003[Yield*Amount])/SUMPRODUCT((RPBOD_B003[MaturityDate]&gt;CR8)*RPBOD_B003[Face_Amount])</f>
        <v>8.2182541128385207</v>
      </c>
      <c r="CX8" s="425" t="str">
        <f>"Est YTM T"&amp;MONTH(FIBond_Daohan[[#This Row],[Date]])&amp;" "&amp;YEAR(FIBond_Daohan[[#This Row],[Date]])</f>
        <v>Est YTM T2 2027</v>
      </c>
      <c r="CY8" s="427" t="str">
        <f>"Est Posi OnBS T"&amp;MONTH(FIBond_Daohan[[#This Row],[Date]])&amp;" "&amp;YEAR(FIBond_Daohan[[#This Row],[Date]])</f>
        <v>Est Posi OnBS T2 2027</v>
      </c>
    </row>
    <row r="9" spans="1:106" x14ac:dyDescent="0.3">
      <c r="B9" s="253">
        <v>45870</v>
      </c>
      <c r="C9" s="254">
        <f>SUMIFS('His53'!$AF:$AF,'His53'!$AG:$AG,$B9,'His53'!$AE:$AE,C$1)</f>
        <v>60367.769394022005</v>
      </c>
      <c r="D9" s="255">
        <f>SUMIFS('His53'!$AF:$AF,'His53'!$AG:$AG,$B9,'His53'!$AE:$AE,D$1)</f>
        <v>48173.164986373995</v>
      </c>
      <c r="E9" s="256">
        <f t="shared" si="1"/>
        <v>108540.93438039601</v>
      </c>
      <c r="F9" s="439"/>
      <c r="H9" s="360" t="str">
        <v>HDBV</v>
      </c>
      <c r="I9" s="286">
        <f>SUMIFS(FNRP_FIbond[Nominal],FNRP_FIbond[Issuer],Summary!H9)/10^9</f>
        <v>397.61059999999998</v>
      </c>
      <c r="J9" s="271">
        <f t="shared" si="6"/>
        <v>397.61059999999998</v>
      </c>
      <c r="K9" s="286">
        <f>SUMIFS(FNRP!$AN:$AN,FNRP!$AJ:$AJ,Summary!K$1,FNRP!$AK:$AK,Summary!$H9)/10^9</f>
        <v>0</v>
      </c>
      <c r="L9" s="286">
        <f>SUMIFS(FNRP!$AN:$AN,FNRP!$AJ:$AJ,Summary!L$1,FNRP!$AK:$AK,Summary!$H9)/10^9</f>
        <v>0</v>
      </c>
      <c r="M9" s="286">
        <f>SUMIFS(FNRP!$AN:$AN,FNRP!$AJ:$AJ,Summary!M$1,FNRP!$AK:$AK,Summary!$H9)/10^9</f>
        <v>0</v>
      </c>
      <c r="N9" s="286">
        <f>SUMIFS(FNRP!$AN:$AN,FNRP!$AJ:$AJ,Summary!N$1,FNRP!$AK:$AK,Summary!$H9)/10^9</f>
        <v>0</v>
      </c>
      <c r="O9" s="286">
        <f>SUMIFS(FNRP!$AN:$AN,FNRP!$AJ:$AJ,Summary!O$1,FNRP!$AK:$AK,Summary!$H9)/10^9</f>
        <v>0</v>
      </c>
      <c r="P9" s="286">
        <f>SUMIFS(FNRP!$AN:$AN,FNRP!$AJ:$AJ,Summary!P$1,FNRP!$AK:$AK,Summary!$H9)/10^9</f>
        <v>0</v>
      </c>
      <c r="Q9" s="286">
        <f>SUMIFS(FNRP!$AN:$AN,FNRP!$AJ:$AJ,Summary!Q$1,FNRP!$AK:$AK,Summary!$H9)/10^9</f>
        <v>0</v>
      </c>
      <c r="R9" s="286">
        <f>SUMIFS(FNRP!$AN:$AN,FNRP!$AJ:$AJ,Summary!R$1,FNRP!$AK:$AK,Summary!$H9)/10^9</f>
        <v>397.61059999999998</v>
      </c>
      <c r="S9" s="286">
        <f>SUMIFS(FNRP!$AN:$AN,FNRP!$AJ:$AJ,Summary!S$1,FNRP!$AK:$AK,Summary!$H9)/10^9</f>
        <v>0</v>
      </c>
      <c r="T9" s="286">
        <f>SUMIFS(FNRP!$J:$J,FNRP!$AJ:$AJ,Summary!T$1,FNRP!$AK:$AK,Summary!$H9)/10^9</f>
        <v>0</v>
      </c>
      <c r="U9" s="286">
        <f>SUMIFS(FNRP!$J:$J,FNRP!$AJ:$AJ,Summary!U$1,FNRP!$AK:$AK,Summary!$H9)/10^9</f>
        <v>0</v>
      </c>
      <c r="V9" s="286">
        <f>SUMIFS(FNRP!$J:$J,FNRP!$AJ:$AJ,Summary!V$1,FNRP!$AK:$AK,Summary!$H9)/10^9</f>
        <v>0</v>
      </c>
      <c r="X9" s="360" t="str">
        <v>HDBV</v>
      </c>
      <c r="Y9" s="271">
        <f t="shared" si="7"/>
        <v>472.42919533960998</v>
      </c>
      <c r="Z9" s="286">
        <f>SUMIFS(FNRP!$Q:$Q,FNRP!$AK:$AK,Summary!$X9,FNRP!$AJ:$AJ,Summary!Z$1)/10^9</f>
        <v>0</v>
      </c>
      <c r="AA9" s="286">
        <f>SUMIFS(FNRP!$Q:$Q,FNRP!$AK:$AK,Summary!$X9,FNRP!$AJ:$AJ,Summary!AA$1)/10^9</f>
        <v>0</v>
      </c>
      <c r="AB9" s="286">
        <f>SUMIFS(FNRP!$Q:$Q,FNRP!$AK:$AK,Summary!$X9,FNRP!$AJ:$AJ,Summary!AB$1)/10^9</f>
        <v>0</v>
      </c>
      <c r="AC9" s="286">
        <f>SUMIFS(FNRP!$Q:$Q,FNRP!$AK:$AK,Summary!$X9,FNRP!$AJ:$AJ,Summary!AC$1)/10^9</f>
        <v>0</v>
      </c>
      <c r="AD9" s="286">
        <f>SUMIFS(FNRP!$Q:$Q,FNRP!$AK:$AK,Summary!$X9,FNRP!$AJ:$AJ,Summary!AD$1)/10^9</f>
        <v>0</v>
      </c>
      <c r="AE9" s="286">
        <f>SUMIFS(FNRP!$Q:$Q,FNRP!$AK:$AK,Summary!$X9,FNRP!$AJ:$AJ,Summary!AE$1)/10^9</f>
        <v>0</v>
      </c>
      <c r="AF9" s="286">
        <f>SUMIFS(FNRP!$Q:$Q,FNRP!$AK:$AK,Summary!$X9,FNRP!$AJ:$AJ,Summary!AF$1)/10^9</f>
        <v>0</v>
      </c>
      <c r="AG9" s="286">
        <f>SUMIFS(FNRP!$Q:$Q,FNRP!$AK:$AK,Summary!$X9,FNRP!$AJ:$AJ,Summary!AG$1)/10^9</f>
        <v>472.42919533960998</v>
      </c>
      <c r="AH9" s="286">
        <f>SUMIFS(FNRP!$Q:$Q,FNRP!$AK:$AK,Summary!$X9,FNRP!$AJ:$AJ,Summary!AH$1)/10^9</f>
        <v>0</v>
      </c>
      <c r="AI9" s="286">
        <f>SUMIFS(FNRP!$Q:$Q,FNRP!$AK:$AK,Summary!$X9,FNRP!$AJ:$AJ,Summary!AI$1)/10^9</f>
        <v>0</v>
      </c>
      <c r="AJ9" s="286">
        <f>SUMIFS(FNRP!$Q:$Q,FNRP!$AK:$AK,Summary!$X9,FNRP!$AJ:$AJ,Summary!AJ$1)/10^9</f>
        <v>0</v>
      </c>
      <c r="AK9" s="286">
        <f>SUMIFS(FNRP!$Q:$Q,FNRP!$AK:$AK,Summary!$X9,FNRP!$AJ:$AJ,Summary!AK$1)/10^9</f>
        <v>0</v>
      </c>
      <c r="AM9" s="361" t="str">
        <v>TCBV-HO</v>
      </c>
      <c r="AN9" s="258">
        <f>SUMIFS(FNRP!$BA:$BA,FNRP!$BN:$BN,$AM9)/10^9</f>
        <v>200</v>
      </c>
      <c r="AO9" s="271">
        <f t="shared" si="8"/>
        <v>200</v>
      </c>
      <c r="AP9" s="287">
        <f>SUMIFS(FNRP!$BP:$BP,FNRP!$BN:$BN,$AM9,FNRP!$BM:$BM,AP$1)/10^9</f>
        <v>200</v>
      </c>
      <c r="AQ9" s="286">
        <f>SUMIFS(FNRP!$BP:$BP,FNRP!$BN:$BN,$AM9,FNRP!$BM:$BM,AQ$1)/10^9</f>
        <v>0</v>
      </c>
      <c r="AR9" s="286">
        <f>SUMIFS(FNRP!$BP:$BP,FNRP!$BN:$BN,$AM9,FNRP!$BM:$BM,AR$1)/10^9</f>
        <v>0</v>
      </c>
      <c r="AS9" s="286">
        <f>SUMIFS(FNRP!$BP:$BP,FNRP!$BN:$BN,$AM9,FNRP!$BM:$BM,AS$1)/10^9</f>
        <v>0</v>
      </c>
      <c r="AT9" s="286">
        <f>SUMIFS(FNRP!$BP:$BP,FNRP!$BN:$BN,$AM9,FNRP!$BM:$BM,AT$1)/10^9</f>
        <v>0</v>
      </c>
      <c r="AU9" s="286">
        <f>SUMIFS(FNRP!$BP:$BP,FNRP!$BN:$BN,$AM9,FNRP!$BM:$BM,AU$1)/10^9</f>
        <v>0</v>
      </c>
      <c r="AV9" s="286">
        <f>SUMIFS(FNRP!$BP:$BP,FNRP!$BN:$BN,$AM9,FNRP!$BM:$BM,AV$1)/10^9</f>
        <v>0</v>
      </c>
      <c r="AW9" s="274"/>
      <c r="AX9" s="274"/>
      <c r="AY9" s="274"/>
      <c r="AZ9" s="274"/>
      <c r="BA9" s="274"/>
      <c r="BB9" s="274"/>
      <c r="BC9" s="274"/>
      <c r="BD9" s="274"/>
      <c r="BE9" s="274"/>
      <c r="BF9" s="274"/>
      <c r="BG9" s="274"/>
      <c r="BH9" s="274"/>
      <c r="BI9" s="274"/>
      <c r="BJ9" s="274"/>
      <c r="BL9" s="404" t="s">
        <v>1442</v>
      </c>
      <c r="BM9" s="407">
        <f>SUM(BM5:BM8)</f>
        <v>36328.527797397001</v>
      </c>
      <c r="BN9" s="407">
        <f>SUM(BN5:BN8)</f>
        <v>0</v>
      </c>
      <c r="BO9" s="407">
        <f>SUM(BO5:BO7)</f>
        <v>10338</v>
      </c>
      <c r="BP9" s="408">
        <f>SUM(BP5:BP8)</f>
        <v>46666.527797397001</v>
      </c>
      <c r="BS9" s="280" t="s">
        <v>276</v>
      </c>
      <c r="BT9" s="281">
        <f>VLOOKUP(BS9,'His53'!X:Y,2,0)/100</f>
        <v>5.7461538461538494E-2</v>
      </c>
      <c r="BU9" s="281">
        <f>VLOOKUP(BS9,'His53'!X:Z,3,0)/100</f>
        <v>5.3076923076923105E-2</v>
      </c>
      <c r="BV9" s="282">
        <f>VLOOKUP(BS9,'His53'!X:AA,4,0)/100</f>
        <v>5.5269230769230807E-2</v>
      </c>
      <c r="BW9" s="283">
        <f t="shared" si="9"/>
        <v>4.3846153846153896E-3</v>
      </c>
      <c r="BX9" s="284">
        <f>100*$BV9-INDEX(Yield_VBMA[#All],MATCH(Yesterday,Yield_VBMA[[#All],[RptDate]],0),MATCH($BS9,Yield_VBMA[#Headers],0))</f>
        <v>-2.7461538461538391</v>
      </c>
      <c r="BY9" s="284">
        <f>100*$BV9-INDEX(Yield_VBMA[#All],MATCH(Lastmonth,Yield_VBMA[[#All],[RptDate]],0),MATCH($BS9,Yield_VBMA[#Headers],0))</f>
        <v>-2.7461538461538391</v>
      </c>
      <c r="BZ9" s="285">
        <f>100*$BV9-INDEX(Yield_VBMA[#All],MATCH(Lastyear,Yield_VBMA[[#All],[RptDate]],0),MATCH($BS9,Yield_VBMA[#Headers],0))</f>
        <v>-1.5461538461538398</v>
      </c>
      <c r="CC9" s="345">
        <v>46022</v>
      </c>
      <c r="CD9" s="346"/>
      <c r="CE9" s="347">
        <v>-33.1</v>
      </c>
      <c r="CF9" s="348">
        <v>298.66499999999996</v>
      </c>
      <c r="CG9" s="359"/>
      <c r="CO9" s="426">
        <v>7</v>
      </c>
      <c r="CP9" s="418">
        <f t="shared" si="0"/>
        <v>46477</v>
      </c>
      <c r="CQ9" s="418">
        <f t="shared" si="4"/>
        <v>46447</v>
      </c>
      <c r="CR9" s="418">
        <f t="shared" si="5"/>
        <v>46477</v>
      </c>
      <c r="CS9" s="419" cm="1">
        <f t="array" ref="CS9">SUMPRODUCT((FNRP_PPCD[Mat. Date]&gt;=CQ9)*(FNRP_PPCD[Mat. Date]&lt;=CR9)*FNRP_PPCD[Nominal])/10^9</f>
        <v>400</v>
      </c>
      <c r="CT9" s="419" cm="1">
        <f t="array" ref="CT9">SUMPRODUCT((FNRP_FIbond[Mat. Date]&gt;=CQ9)*(FNRP_FIbond[Mat. Date]&lt;=CR9)*FNRP_FIbond[Nominal])/10^9</f>
        <v>0</v>
      </c>
      <c r="CU9" s="419">
        <f>SUMIFS(Ref!Q:Q,Ref!S:S,"&gt;"&amp;CR9)/10^9</f>
        <v>3000</v>
      </c>
      <c r="CV9" s="419">
        <f t="shared" si="10"/>
        <v>23366.527797397001</v>
      </c>
      <c r="CW9" s="420" cm="1">
        <f t="array" ref="CW9">SUMPRODUCT((RPBOD_B003[MaturityDate]&gt;CR9)*RPBOD_B003[Yield*Amount])/SUMPRODUCT((RPBOD_B003[MaturityDate]&gt;CR9)*RPBOD_B003[Face_Amount])</f>
        <v>8.2071503742470409</v>
      </c>
      <c r="CX9" s="425" t="str">
        <f>"Est YTM T"&amp;MONTH(FIBond_Daohan[[#This Row],[Date]])&amp;" "&amp;YEAR(FIBond_Daohan[[#This Row],[Date]])</f>
        <v>Est YTM T3 2027</v>
      </c>
      <c r="CY9" s="427" t="str">
        <f>"Est Posi OnBS T"&amp;MONTH(FIBond_Daohan[[#This Row],[Date]])&amp;" "&amp;YEAR(FIBond_Daohan[[#This Row],[Date]])</f>
        <v>Est Posi OnBS T3 2027</v>
      </c>
    </row>
    <row r="10" spans="1:106" ht="14.95" customHeight="1" x14ac:dyDescent="0.3">
      <c r="B10" s="253">
        <v>45901</v>
      </c>
      <c r="C10" s="254">
        <f>SUMIFS('His53'!$AF:$AF,'His53'!$AG:$AG,$B10,'His53'!$AE:$AE,C$1)</f>
        <v>44827.273619473002</v>
      </c>
      <c r="D10" s="255">
        <f>SUMIFS('His53'!$AF:$AF,'His53'!$AG:$AG,$B10,'His53'!$AE:$AE,D$1)</f>
        <v>106179.817838128</v>
      </c>
      <c r="E10" s="256">
        <f t="shared" si="1"/>
        <v>151007.091457601</v>
      </c>
      <c r="F10" s="439"/>
      <c r="H10" s="360" t="str">
        <v>SHBV</v>
      </c>
      <c r="I10" s="286">
        <f>SUMIFS(FNRP_FIbond[Nominal],FNRP_FIbond[Issuer],Summary!H10)/10^9</f>
        <v>1500</v>
      </c>
      <c r="J10" s="271">
        <f t="shared" si="6"/>
        <v>1500</v>
      </c>
      <c r="K10" s="286">
        <f>SUMIFS(FNRP!$AN:$AN,FNRP!$AJ:$AJ,Summary!K$1,FNRP!$AK:$AK,Summary!$H10)/10^9</f>
        <v>0</v>
      </c>
      <c r="L10" s="286">
        <f>SUMIFS(FNRP!$AN:$AN,FNRP!$AJ:$AJ,Summary!L$1,FNRP!$AK:$AK,Summary!$H10)/10^9</f>
        <v>0</v>
      </c>
      <c r="M10" s="286">
        <f>SUMIFS(FNRP!$AN:$AN,FNRP!$AJ:$AJ,Summary!M$1,FNRP!$AK:$AK,Summary!$H10)/10^9</f>
        <v>0</v>
      </c>
      <c r="N10" s="286">
        <f>SUMIFS(FNRP!$AN:$AN,FNRP!$AJ:$AJ,Summary!N$1,FNRP!$AK:$AK,Summary!$H10)/10^9</f>
        <v>0</v>
      </c>
      <c r="O10" s="286">
        <f>SUMIFS(FNRP!$AN:$AN,FNRP!$AJ:$AJ,Summary!O$1,FNRP!$AK:$AK,Summary!$H10)/10^9</f>
        <v>0</v>
      </c>
      <c r="P10" s="286">
        <f>SUMIFS(FNRP!$AN:$AN,FNRP!$AJ:$AJ,Summary!P$1,FNRP!$AK:$AK,Summary!$H10)/10^9</f>
        <v>0</v>
      </c>
      <c r="Q10" s="286">
        <f>SUMIFS(FNRP!$AN:$AN,FNRP!$AJ:$AJ,Summary!Q$1,FNRP!$AK:$AK,Summary!$H10)/10^9</f>
        <v>0</v>
      </c>
      <c r="R10" s="286">
        <f>SUMIFS(FNRP!$AN:$AN,FNRP!$AJ:$AJ,Summary!R$1,FNRP!$AK:$AK,Summary!$H10)/10^9</f>
        <v>1500</v>
      </c>
      <c r="S10" s="286">
        <f>SUMIFS(FNRP!$AN:$AN,FNRP!$AJ:$AJ,Summary!S$1,FNRP!$AK:$AK,Summary!$H10)/10^9</f>
        <v>0</v>
      </c>
      <c r="T10" s="286">
        <f>SUMIFS(FNRP!$J:$J,FNRP!$AJ:$AJ,Summary!T$1,FNRP!$AK:$AK,Summary!$H10)/10^9</f>
        <v>0</v>
      </c>
      <c r="U10" s="286">
        <f>SUMIFS(FNRP!$J:$J,FNRP!$AJ:$AJ,Summary!U$1,FNRP!$AK:$AK,Summary!$H10)/10^9</f>
        <v>0</v>
      </c>
      <c r="V10" s="286">
        <f>SUMIFS(FNRP!$J:$J,FNRP!$AJ:$AJ,Summary!V$1,FNRP!$AK:$AK,Summary!$H10)/10^9</f>
        <v>0</v>
      </c>
      <c r="X10" s="360" t="str">
        <v>SHBV</v>
      </c>
      <c r="Y10" s="271">
        <f t="shared" si="7"/>
        <v>1851.7929010299999</v>
      </c>
      <c r="Z10" s="286">
        <f>SUMIFS(FNRP!$Q:$Q,FNRP!$AK:$AK,Summary!$X10,FNRP!$AJ:$AJ,Summary!Z$1)/10^9</f>
        <v>0</v>
      </c>
      <c r="AA10" s="286">
        <f>SUMIFS(FNRP!$Q:$Q,FNRP!$AK:$AK,Summary!$X10,FNRP!$AJ:$AJ,Summary!AA$1)/10^9</f>
        <v>0</v>
      </c>
      <c r="AB10" s="286">
        <f>SUMIFS(FNRP!$Q:$Q,FNRP!$AK:$AK,Summary!$X10,FNRP!$AJ:$AJ,Summary!AB$1)/10^9</f>
        <v>0</v>
      </c>
      <c r="AC10" s="286">
        <f>SUMIFS(FNRP!$Q:$Q,FNRP!$AK:$AK,Summary!$X10,FNRP!$AJ:$AJ,Summary!AC$1)/10^9</f>
        <v>0</v>
      </c>
      <c r="AD10" s="286">
        <f>SUMIFS(FNRP!$Q:$Q,FNRP!$AK:$AK,Summary!$X10,FNRP!$AJ:$AJ,Summary!AD$1)/10^9</f>
        <v>0</v>
      </c>
      <c r="AE10" s="286">
        <f>SUMIFS(FNRP!$Q:$Q,FNRP!$AK:$AK,Summary!$X10,FNRP!$AJ:$AJ,Summary!AE$1)/10^9</f>
        <v>0</v>
      </c>
      <c r="AF10" s="286">
        <f>SUMIFS(FNRP!$Q:$Q,FNRP!$AK:$AK,Summary!$X10,FNRP!$AJ:$AJ,Summary!AF$1)/10^9</f>
        <v>0</v>
      </c>
      <c r="AG10" s="286">
        <f>SUMIFS(FNRP!$Q:$Q,FNRP!$AK:$AK,Summary!$X10,FNRP!$AJ:$AJ,Summary!AG$1)/10^9</f>
        <v>1851.7929010299999</v>
      </c>
      <c r="AH10" s="286">
        <f>SUMIFS(FNRP!$Q:$Q,FNRP!$AK:$AK,Summary!$X10,FNRP!$AJ:$AJ,Summary!AH$1)/10^9</f>
        <v>0</v>
      </c>
      <c r="AI10" s="286">
        <f>SUMIFS(FNRP!$Q:$Q,FNRP!$AK:$AK,Summary!$X10,FNRP!$AJ:$AJ,Summary!AI$1)/10^9</f>
        <v>0</v>
      </c>
      <c r="AJ10" s="286">
        <f>SUMIFS(FNRP!$Q:$Q,FNRP!$AK:$AK,Summary!$X10,FNRP!$AJ:$AJ,Summary!AJ$1)/10^9</f>
        <v>0</v>
      </c>
      <c r="AK10" s="286">
        <f>SUMIFS(FNRP!$Q:$Q,FNRP!$AK:$AK,Summary!$X10,FNRP!$AJ:$AJ,Summary!AK$1)/10^9</f>
        <v>0</v>
      </c>
      <c r="AM10" s="361" t="str">
        <v>OCBV</v>
      </c>
      <c r="AN10" s="258">
        <f>SUMIFS(FNRP!$BA:$BA,FNRP!$BN:$BN,$AM10)/10^9</f>
        <v>2500</v>
      </c>
      <c r="AO10" s="271">
        <f t="shared" si="8"/>
        <v>500</v>
      </c>
      <c r="AP10" s="287">
        <f>SUMIFS(FNRP!$BP:$BP,FNRP!$BN:$BN,$AM10,FNRP!$BM:$BM,AP$1)/10^9</f>
        <v>500</v>
      </c>
      <c r="AQ10" s="286">
        <f>SUMIFS(FNRP!$BP:$BP,FNRP!$BN:$BN,$AM10,FNRP!$BM:$BM,AQ$1)/10^9</f>
        <v>0</v>
      </c>
      <c r="AR10" s="286">
        <f>SUMIFS(FNRP!$BP:$BP,FNRP!$BN:$BN,$AM10,FNRP!$BM:$BM,AR$1)/10^9</f>
        <v>0</v>
      </c>
      <c r="AS10" s="286">
        <f>SUMIFS(FNRP!$BP:$BP,FNRP!$BN:$BN,$AM10,FNRP!$BM:$BM,AS$1)/10^9</f>
        <v>0</v>
      </c>
      <c r="AT10" s="286">
        <f>SUMIFS(FNRP!$BP:$BP,FNRP!$BN:$BN,$AM10,FNRP!$BM:$BM,AT$1)/10^9</f>
        <v>0</v>
      </c>
      <c r="AU10" s="286">
        <f>SUMIFS(FNRP!$BP:$BP,FNRP!$BN:$BN,$AM10,FNRP!$BM:$BM,AU$1)/10^9</f>
        <v>0</v>
      </c>
      <c r="AV10" s="286">
        <f>SUMIFS(FNRP!$BP:$BP,FNRP!$BN:$BN,$AM10,FNRP!$BM:$BM,AV$1)/10^9</f>
        <v>0</v>
      </c>
      <c r="AW10" s="274"/>
      <c r="AX10" s="274"/>
      <c r="AY10" s="274"/>
      <c r="AZ10" s="274"/>
      <c r="BA10" s="274"/>
      <c r="BB10" s="274"/>
      <c r="BC10" s="274"/>
      <c r="BD10" s="274"/>
      <c r="BE10" s="274"/>
      <c r="BF10" s="274"/>
      <c r="BG10" s="274"/>
      <c r="BH10" s="274"/>
      <c r="BI10" s="274"/>
      <c r="BJ10" s="274"/>
      <c r="BL10" s="403" t="s">
        <v>1441</v>
      </c>
      <c r="BM10" s="409">
        <f>SUM(Ref!Q:Q)/10^9</f>
        <v>6500</v>
      </c>
      <c r="BN10" s="409">
        <v>0</v>
      </c>
      <c r="BO10" s="409">
        <v>0</v>
      </c>
      <c r="BP10" s="409">
        <f>SUM(BM10:BO10)</f>
        <v>6500</v>
      </c>
      <c r="BQ10" s="30"/>
      <c r="BS10" s="291" t="s">
        <v>277</v>
      </c>
      <c r="BT10" s="292">
        <f>VLOOKUP(BS10,'His53'!X:Y,2,0)/100</f>
        <v>5.8307692307692296E-2</v>
      </c>
      <c r="BU10" s="292">
        <f>VLOOKUP(BS10,'His53'!X:Z,3,0)/100</f>
        <v>5.3846153846153905E-2</v>
      </c>
      <c r="BV10" s="293">
        <f>VLOOKUP(BS10,'His53'!X:AA,4,0)/100</f>
        <v>5.6076923076923101E-2</v>
      </c>
      <c r="BW10" s="294">
        <f t="shared" si="9"/>
        <v>4.4615384615383918E-3</v>
      </c>
      <c r="BX10" s="295">
        <f>100*$BV10-INDEX(Yield_VBMA[#All],MATCH(Yesterday,Yield_VBMA[[#All],[RptDate]],0),MATCH($BS10,Yield_VBMA[#Headers],0))</f>
        <v>-2.7115384615384608</v>
      </c>
      <c r="BY10" s="295">
        <f>100*$BV10-INDEX(Yield_VBMA[#All],MATCH(Lastmonth,Yield_VBMA[[#All],[RptDate]],0),MATCH($BS10,Yield_VBMA[#Headers],0))</f>
        <v>-2.7115384615384608</v>
      </c>
      <c r="BZ10" s="296">
        <f>100*$BV10-INDEX(Yield_VBMA[#All],MATCH(Lastyear,Yield_VBMA[[#All],[RptDate]],0),MATCH($BS10,Yield_VBMA[#Headers],0))</f>
        <v>-1.5076923076922997</v>
      </c>
      <c r="CC10" s="345">
        <v>46052</v>
      </c>
      <c r="CD10" s="346">
        <v>46112</v>
      </c>
      <c r="CE10" s="347">
        <v>-16.945</v>
      </c>
      <c r="CF10" s="348">
        <v>-16.945</v>
      </c>
      <c r="CG10" s="359"/>
      <c r="CO10" s="426">
        <v>8</v>
      </c>
      <c r="CP10" s="418">
        <f t="shared" si="0"/>
        <v>46507</v>
      </c>
      <c r="CQ10" s="418">
        <f t="shared" si="4"/>
        <v>46478</v>
      </c>
      <c r="CR10" s="418">
        <f t="shared" si="5"/>
        <v>46507</v>
      </c>
      <c r="CS10" s="419" cm="1">
        <f t="array" ref="CS10">SUMPRODUCT((FNRP_PPCD[Mat. Date]&gt;=CQ10)*(FNRP_PPCD[Mat. Date]&lt;=CR10)*FNRP_PPCD[Nominal])/10^9</f>
        <v>3000</v>
      </c>
      <c r="CT10" s="419" cm="1">
        <f t="array" ref="CT10">SUMPRODUCT((FNRP_FIbond[Mat. Date]&gt;=CQ10)*(FNRP_FIbond[Mat. Date]&lt;=CR10)*FNRP_FIbond[Nominal])/10^9</f>
        <v>2000</v>
      </c>
      <c r="CU10" s="419">
        <f>SUMIFS(Ref!Q:Q,Ref!S:S,"&gt;"&amp;CR10)/10^9</f>
        <v>1000</v>
      </c>
      <c r="CV10" s="419">
        <f t="shared" si="10"/>
        <v>20366.527797397001</v>
      </c>
      <c r="CW10" s="420" cm="1">
        <f t="array" ref="CW10">SUMPRODUCT((RPBOD_B003[MaturityDate]&gt;CR10)*RPBOD_B003[Yield*Amount])/SUMPRODUCT((RPBOD_B003[MaturityDate]&gt;CR10)*RPBOD_B003[Face_Amount])</f>
        <v>8.1860827350967096</v>
      </c>
      <c r="CX10" s="425" t="str">
        <f>"Est YTM T"&amp;MONTH(FIBond_Daohan[[#This Row],[Date]])&amp;" "&amp;YEAR(FIBond_Daohan[[#This Row],[Date]])</f>
        <v>Est YTM T4 2027</v>
      </c>
      <c r="CY10" s="427" t="str">
        <f>"Est Posi OnBS T"&amp;MONTH(FIBond_Daohan[[#This Row],[Date]])&amp;" "&amp;YEAR(FIBond_Daohan[[#This Row],[Date]])</f>
        <v>Est Posi OnBS T4 2027</v>
      </c>
    </row>
    <row r="11" spans="1:106" ht="15.8" customHeight="1" x14ac:dyDescent="0.3">
      <c r="B11" s="253">
        <v>45931</v>
      </c>
      <c r="C11" s="254">
        <f>SUMIFS('His53'!$AF:$AF,'His53'!$AG:$AG,$B11,'His53'!$AE:$AE,C$1)</f>
        <v>36870.854560329011</v>
      </c>
      <c r="D11" s="255">
        <f>SUMIFS('His53'!$AF:$AF,'His53'!$AG:$AG,$B11,'His53'!$AE:$AE,D$1)</f>
        <v>64892.925241004014</v>
      </c>
      <c r="E11" s="256">
        <f t="shared" si="1"/>
        <v>101763.77980133303</v>
      </c>
      <c r="F11" s="439"/>
      <c r="H11" s="360" t="str">
        <v>MCSB</v>
      </c>
      <c r="I11" s="286">
        <f>SUMIFS(FNRP_FIbond[Nominal],FNRP_FIbond[Issuer],Summary!H11)/10^9</f>
        <v>500</v>
      </c>
      <c r="J11" s="271">
        <f>SUM(K11:V11)</f>
        <v>500</v>
      </c>
      <c r="K11" s="286">
        <f>SUMIFS(FNRP!$AN:$AN,FNRP!$AJ:$AJ,Summary!K$1,FNRP!$AK:$AK,Summary!$H11)/10^9</f>
        <v>0</v>
      </c>
      <c r="L11" s="286">
        <f>SUMIFS(FNRP!$AN:$AN,FNRP!$AJ:$AJ,Summary!L$1,FNRP!$AK:$AK,Summary!$H11)/10^9</f>
        <v>0</v>
      </c>
      <c r="M11" s="286">
        <f>SUMIFS(FNRP!$AN:$AN,FNRP!$AJ:$AJ,Summary!M$1,FNRP!$AK:$AK,Summary!$H11)/10^9</f>
        <v>0</v>
      </c>
      <c r="N11" s="286">
        <f>SUMIFS(FNRP!$AN:$AN,FNRP!$AJ:$AJ,Summary!N$1,FNRP!$AK:$AK,Summary!$H11)/10^9</f>
        <v>500</v>
      </c>
      <c r="O11" s="286">
        <f>SUMIFS(FNRP!$AN:$AN,FNRP!$AJ:$AJ,Summary!O$1,FNRP!$AK:$AK,Summary!$H11)/10^9</f>
        <v>0</v>
      </c>
      <c r="P11" s="286">
        <f>SUMIFS(FNRP!$AN:$AN,FNRP!$AJ:$AJ,Summary!P$1,FNRP!$AK:$AK,Summary!$H11)/10^9</f>
        <v>0</v>
      </c>
      <c r="Q11" s="286">
        <f>SUMIFS(FNRP!$AN:$AN,FNRP!$AJ:$AJ,Summary!Q$1,FNRP!$AK:$AK,Summary!$H11)/10^9</f>
        <v>0</v>
      </c>
      <c r="R11" s="286">
        <f>SUMIFS(FNRP!$AN:$AN,FNRP!$AJ:$AJ,Summary!R$1,FNRP!$AK:$AK,Summary!$H11)/10^9</f>
        <v>0</v>
      </c>
      <c r="S11" s="286">
        <f>SUMIFS(FNRP!$AN:$AN,FNRP!$AJ:$AJ,Summary!S$1,FNRP!$AK:$AK,Summary!$H11)/10^9</f>
        <v>0</v>
      </c>
      <c r="T11" s="286">
        <f>SUMIFS(FNRP!$J:$J,FNRP!$AJ:$AJ,Summary!T$1,FNRP!$AK:$AK,Summary!#REF!)/10^9</f>
        <v>0</v>
      </c>
      <c r="U11" s="286">
        <f>SUMIFS(FNRP!$J:$J,FNRP!$AJ:$AJ,Summary!U$1,FNRP!$AK:$AK,Summary!#REF!)/10^9</f>
        <v>0</v>
      </c>
      <c r="V11" s="286">
        <f>SUMIFS(FNRP!$J:$J,FNRP!$AJ:$AJ,Summary!V$1,FNRP!$AK:$AK,Summary!#REF!)/10^9</f>
        <v>0</v>
      </c>
      <c r="X11" s="360" t="str">
        <v>MCSB</v>
      </c>
      <c r="Y11" s="271">
        <f t="shared" si="7"/>
        <v>522.552858345</v>
      </c>
      <c r="Z11" s="286">
        <f>SUMIFS(FNRP!$Q:$Q,FNRP!$AK:$AK,Summary!$X11,FNRP!$AJ:$AJ,Summary!Z$1)/10^9</f>
        <v>0</v>
      </c>
      <c r="AA11" s="286">
        <f>SUMIFS(FNRP!$Q:$Q,FNRP!$AK:$AK,Summary!$X11,FNRP!$AJ:$AJ,Summary!AA$1)/10^9</f>
        <v>0</v>
      </c>
      <c r="AB11" s="286">
        <f>SUMIFS(FNRP!$Q:$Q,FNRP!$AK:$AK,Summary!$X11,FNRP!$AJ:$AJ,Summary!AB$1)/10^9</f>
        <v>0</v>
      </c>
      <c r="AC11" s="286">
        <f>SUMIFS(FNRP!$Q:$Q,FNRP!$AK:$AK,Summary!$X11,FNRP!$AJ:$AJ,Summary!AC$1)/10^9</f>
        <v>522.552858345</v>
      </c>
      <c r="AD11" s="286">
        <f>SUMIFS(FNRP!$Q:$Q,FNRP!$AK:$AK,Summary!$X11,FNRP!$AJ:$AJ,Summary!AD$1)/10^9</f>
        <v>0</v>
      </c>
      <c r="AE11" s="286">
        <f>SUMIFS(FNRP!$Q:$Q,FNRP!$AK:$AK,Summary!$X11,FNRP!$AJ:$AJ,Summary!AE$1)/10^9</f>
        <v>0</v>
      </c>
      <c r="AF11" s="286">
        <f>SUMIFS(FNRP!$Q:$Q,FNRP!$AK:$AK,Summary!$X11,FNRP!$AJ:$AJ,Summary!AF$1)/10^9</f>
        <v>0</v>
      </c>
      <c r="AG11" s="286">
        <f>SUMIFS(FNRP!$Q:$Q,FNRP!$AK:$AK,Summary!$X11,FNRP!$AJ:$AJ,Summary!AG$1)/10^9</f>
        <v>0</v>
      </c>
      <c r="AH11" s="286">
        <f>SUMIFS(FNRP!$Q:$Q,FNRP!$AK:$AK,Summary!$X11,FNRP!$AJ:$AJ,Summary!AH$1)/10^9</f>
        <v>0</v>
      </c>
      <c r="AI11" s="286">
        <f>SUMIFS(FNRP!$Q:$Q,FNRP!$AK:$AK,Summary!#REF!,FNRP!$AJ:$AJ,Summary!AI$1)/10^9</f>
        <v>0</v>
      </c>
      <c r="AJ11" s="286">
        <f>SUMIFS(FNRP!$Q:$Q,FNRP!$AK:$AK,Summary!#REF!,FNRP!$AJ:$AJ,Summary!AJ$1)/10^9</f>
        <v>0</v>
      </c>
      <c r="AK11" s="286">
        <f>SUMIFS(FNRP!$Q:$Q,FNRP!$AK:$AK,Summary!#REF!,FNRP!$AJ:$AJ,Summary!AK$1)/10^9</f>
        <v>0</v>
      </c>
      <c r="AM11" s="361" t="str">
        <v>VCCB</v>
      </c>
      <c r="AN11" s="258">
        <f>SUMIFS(FNRP!$BA:$BA,FNRP!$BN:$BN,$AM11)/10^9</f>
        <v>250</v>
      </c>
      <c r="AO11" s="271">
        <f t="shared" si="8"/>
        <v>250</v>
      </c>
      <c r="AP11" s="287">
        <f>SUMIFS(FNRP!$BP:$BP,FNRP!$BN:$BN,$AM11,FNRP!$BM:$BM,AP$1)/10^9</f>
        <v>250</v>
      </c>
      <c r="AQ11" s="286">
        <f>SUMIFS(FNRP!$BP:$BP,FNRP!$BN:$BN,$AM11,FNRP!$BM:$BM,AQ$1)/10^9</f>
        <v>0</v>
      </c>
      <c r="AR11" s="286">
        <f>SUMIFS(FNRP!$BP:$BP,FNRP!$BN:$BN,$AM11,FNRP!$BM:$BM,AR$1)/10^9</f>
        <v>0</v>
      </c>
      <c r="AS11" s="286">
        <f>SUMIFS(FNRP!$BP:$BP,FNRP!$BN:$BN,$AM11,FNRP!$BM:$BM,AS$1)/10^9</f>
        <v>0</v>
      </c>
      <c r="AT11" s="286">
        <f>SUMIFS(FNRP!$BP:$BP,FNRP!$BN:$BN,$AM11,FNRP!$BM:$BM,AT$1)/10^9</f>
        <v>0</v>
      </c>
      <c r="AU11" s="286">
        <f>SUMIFS(FNRP!$BP:$BP,FNRP!$BN:$BN,$AM11,FNRP!$BM:$BM,AU$1)/10^9</f>
        <v>0</v>
      </c>
      <c r="AV11" s="286">
        <f>SUMIFS(FNRP!$BP:$BP,FNRP!$BN:$BN,$AM11,FNRP!$BM:$BM,AV$1)/10^9</f>
        <v>0</v>
      </c>
      <c r="AW11" s="274"/>
      <c r="AX11" s="274"/>
      <c r="AY11" s="274"/>
      <c r="AZ11" s="274"/>
      <c r="BA11" s="274"/>
      <c r="BB11" s="274"/>
      <c r="BC11" s="274"/>
      <c r="BD11" s="274"/>
      <c r="BE11" s="274"/>
      <c r="BF11" s="274"/>
      <c r="BG11" s="274"/>
      <c r="BH11" s="274"/>
      <c r="BI11" s="274"/>
      <c r="BJ11" s="274"/>
      <c r="BL11" s="405" t="s">
        <v>1312</v>
      </c>
      <c r="BM11" s="410">
        <f>BM9-BM10</f>
        <v>29828.527797397001</v>
      </c>
      <c r="BN11" s="410">
        <f>BN9-BN10</f>
        <v>0</v>
      </c>
      <c r="BO11" s="410">
        <f>BO9-BO10</f>
        <v>10338</v>
      </c>
      <c r="BP11" s="411">
        <f>SUM(BM11:BO11)</f>
        <v>40166.527797397001</v>
      </c>
      <c r="BQ11" s="30"/>
      <c r="BS11" s="280" t="s">
        <v>278</v>
      </c>
      <c r="BT11" s="281">
        <f>VLOOKUP(BS11,'His53'!X:Y,2,0)/100</f>
        <v>5.9269230769230796E-2</v>
      </c>
      <c r="BU11" s="281">
        <f>VLOOKUP(BS11,'His53'!X:Z,3,0)/100</f>
        <v>5.48076923076923E-2</v>
      </c>
      <c r="BV11" s="282">
        <f>VLOOKUP(BS11,'His53'!X:AA,4,0)/100</f>
        <v>5.7038461538461496E-2</v>
      </c>
      <c r="BW11" s="283">
        <f t="shared" si="9"/>
        <v>4.4615384615384959E-3</v>
      </c>
      <c r="BX11" s="284">
        <f>100*$BV11-INDEX(Yield_VBMA[#All],MATCH(Yesterday,Yield_VBMA[[#All],[RptDate]],0),MATCH($BS11,Yield_VBMA[#Headers],0))</f>
        <v>-2.6384615384615406</v>
      </c>
      <c r="BY11" s="284">
        <f>100*$BV11-INDEX(Yield_VBMA[#All],MATCH(Lastmonth,Yield_VBMA[[#All],[RptDate]],0),MATCH($BS11,Yield_VBMA[#Headers],0))</f>
        <v>-2.6384615384615406</v>
      </c>
      <c r="BZ11" s="285">
        <f>100*$BV11-INDEX(Yield_VBMA[#All],MATCH(Lastyear,Yield_VBMA[[#All],[RptDate]],0),MATCH($BS11,Yield_VBMA[#Headers],0))</f>
        <v>-1.4500000000000002</v>
      </c>
      <c r="CC11" s="342">
        <v>46081</v>
      </c>
      <c r="CD11" s="343">
        <v>46112</v>
      </c>
      <c r="CE11" s="286">
        <v>-53.551000000000002</v>
      </c>
      <c r="CF11" s="344">
        <f>CF10+CE11</f>
        <v>-70.496000000000009</v>
      </c>
      <c r="CO11" s="426">
        <v>9</v>
      </c>
      <c r="CP11" s="418">
        <f t="shared" si="0"/>
        <v>46538</v>
      </c>
      <c r="CQ11" s="418">
        <f t="shared" si="4"/>
        <v>46508</v>
      </c>
      <c r="CR11" s="418">
        <f t="shared" si="5"/>
        <v>46538</v>
      </c>
      <c r="CS11" s="419" cm="1">
        <f t="array" ref="CS11">SUMPRODUCT((FNRP_PPCD[Mat. Date]&gt;=CQ11)*(FNRP_PPCD[Mat. Date]&lt;=CR11)*FNRP_PPCD[Nominal])/10^9</f>
        <v>4500</v>
      </c>
      <c r="CT11" s="419" cm="1">
        <f t="array" ref="CT11">SUMPRODUCT((FNRP_FIbond[Mat. Date]&gt;=CQ11)*(FNRP_FIbond[Mat. Date]&lt;=CR11)*FNRP_FIbond[Nominal])/10^9</f>
        <v>1400</v>
      </c>
      <c r="CU11" s="419">
        <f>SUMIFS(Ref!Q:Q,Ref!S:S,"&gt;"&amp;CR11)/10^9</f>
        <v>0</v>
      </c>
      <c r="CV11" s="419">
        <f t="shared" si="10"/>
        <v>15466.527797397001</v>
      </c>
      <c r="CW11" s="420" cm="1">
        <f t="array" ref="CW11">SUMPRODUCT((RPBOD_B003[MaturityDate]&gt;CR11)*RPBOD_B003[Yield*Amount])/SUMPRODUCT((RPBOD_B003[MaturityDate]&gt;CR11)*RPBOD_B003[Face_Amount])</f>
        <v>8.0942979098933048</v>
      </c>
      <c r="CX11" s="425" t="str">
        <f>"Est YTM T"&amp;MONTH(FIBond_Daohan[[#This Row],[Date]])&amp;" "&amp;YEAR(FIBond_Daohan[[#This Row],[Date]])</f>
        <v>Est YTM T5 2027</v>
      </c>
      <c r="CY11" s="427" t="str">
        <f>"Est Posi OnBS T"&amp;MONTH(FIBond_Daohan[[#This Row],[Date]])&amp;" "&amp;YEAR(FIBond_Daohan[[#This Row],[Date]])</f>
        <v>Est Posi OnBS T5 2027</v>
      </c>
    </row>
    <row r="12" spans="1:106" ht="14.95" customHeight="1" x14ac:dyDescent="0.3">
      <c r="B12" s="253">
        <v>45962</v>
      </c>
      <c r="C12" s="254">
        <f>SUMIFS('His53'!$AF:$AF,'His53'!$AG:$AG,$B12,'His53'!$AE:$AE,C$1)</f>
        <v>55814.105652084996</v>
      </c>
      <c r="D12" s="255">
        <f>SUMIFS('His53'!$AF:$AF,'His53'!$AG:$AG,$B12,'His53'!$AE:$AE,D$1)</f>
        <v>54643.026363778998</v>
      </c>
      <c r="E12" s="256">
        <f t="shared" si="1"/>
        <v>110457.13201586399</v>
      </c>
      <c r="F12" s="439"/>
      <c r="H12" s="360" t="str">
        <v>TCBV-HO</v>
      </c>
      <c r="I12" s="286">
        <f>SUMIFS(FNRP_FIbond[Nominal],FNRP_FIbond[Issuer],Summary!H12)/10^9</f>
        <v>2000</v>
      </c>
      <c r="J12" s="271">
        <f>SUM(K12:V12)</f>
        <v>2000</v>
      </c>
      <c r="K12" s="286">
        <f>SUMIFS(FNRP!$AN:$AN,FNRP!$AJ:$AJ,Summary!K$1,FNRP!$AK:$AK,Summary!$H12)/10^9</f>
        <v>0</v>
      </c>
      <c r="L12" s="286">
        <f>SUMIFS(FNRP!$AN:$AN,FNRP!$AJ:$AJ,Summary!L$1,FNRP!$AK:$AK,Summary!$H12)/10^9</f>
        <v>0</v>
      </c>
      <c r="M12" s="286">
        <f>SUMIFS(FNRP!$AN:$AN,FNRP!$AJ:$AJ,Summary!M$1,FNRP!$AK:$AK,Summary!$H12)/10^9</f>
        <v>0</v>
      </c>
      <c r="N12" s="286">
        <f>SUMIFS(FNRP!$AN:$AN,FNRP!$AJ:$AJ,Summary!N$1,FNRP!$AK:$AK,Summary!$H12)/10^9</f>
        <v>0</v>
      </c>
      <c r="O12" s="286">
        <f>SUMIFS(FNRP!$AN:$AN,FNRP!$AJ:$AJ,Summary!O$1,FNRP!$AK:$AK,Summary!$H12)/10^9</f>
        <v>2000</v>
      </c>
      <c r="P12" s="286">
        <f>SUMIFS(FNRP!$AN:$AN,FNRP!$AJ:$AJ,Summary!P$1,FNRP!$AK:$AK,Summary!$H12)/10^9</f>
        <v>0</v>
      </c>
      <c r="Q12" s="286">
        <f>SUMIFS(FNRP!$AN:$AN,FNRP!$AJ:$AJ,Summary!Q$1,FNRP!$AK:$AK,Summary!$H12)/10^9</f>
        <v>0</v>
      </c>
      <c r="R12" s="286">
        <f>SUMIFS(FNRP!$AN:$AN,FNRP!$AJ:$AJ,Summary!R$1,FNRP!$AK:$AK,Summary!$H12)/10^9</f>
        <v>0</v>
      </c>
      <c r="S12" s="286">
        <f>SUMIFS(FNRP!$AN:$AN,FNRP!$AJ:$AJ,Summary!S$1,FNRP!$AK:$AK,Summary!$H12)/10^9</f>
        <v>0</v>
      </c>
      <c r="T12" s="286">
        <f>SUMIFS(FNRP!$J:$J,FNRP!$AJ:$AJ,Summary!T$1,FNRP!$AK:$AK,Summary!#REF!)/10^9</f>
        <v>0</v>
      </c>
      <c r="U12" s="286">
        <f>SUMIFS(FNRP!$J:$J,FNRP!$AJ:$AJ,Summary!U$1,FNRP!$AK:$AK,Summary!#REF!)/10^9</f>
        <v>0</v>
      </c>
      <c r="V12" s="286">
        <f>SUMIFS(FNRP!$J:$J,FNRP!$AJ:$AJ,Summary!V$1,FNRP!$AK:$AK,Summary!#REF!)/10^9</f>
        <v>0</v>
      </c>
      <c r="X12" s="360" t="str">
        <v>TCBV-HO</v>
      </c>
      <c r="Y12" s="271">
        <f t="shared" si="7"/>
        <v>2216.9980055599999</v>
      </c>
      <c r="Z12" s="286">
        <f>SUMIFS(FNRP!$Q:$Q,FNRP!$AK:$AK,Summary!$X12,FNRP!$AJ:$AJ,Summary!Z$1)/10^9</f>
        <v>0</v>
      </c>
      <c r="AA12" s="286">
        <f>SUMIFS(FNRP!$Q:$Q,FNRP!$AK:$AK,Summary!$X12,FNRP!$AJ:$AJ,Summary!AA$1)/10^9</f>
        <v>0</v>
      </c>
      <c r="AB12" s="286">
        <f>SUMIFS(FNRP!$Q:$Q,FNRP!$AK:$AK,Summary!$X12,FNRP!$AJ:$AJ,Summary!AB$1)/10^9</f>
        <v>0</v>
      </c>
      <c r="AC12" s="286">
        <f>SUMIFS(FNRP!$Q:$Q,FNRP!$AK:$AK,Summary!$X12,FNRP!$AJ:$AJ,Summary!AC$1)/10^9</f>
        <v>0</v>
      </c>
      <c r="AD12" s="286">
        <f>SUMIFS(FNRP!$Q:$Q,FNRP!$AK:$AK,Summary!$X12,FNRP!$AJ:$AJ,Summary!AD$1)/10^9</f>
        <v>2216.9980055599999</v>
      </c>
      <c r="AE12" s="286">
        <f>SUMIFS(FNRP!$Q:$Q,FNRP!$AK:$AK,Summary!$X12,FNRP!$AJ:$AJ,Summary!AE$1)/10^9</f>
        <v>0</v>
      </c>
      <c r="AF12" s="286">
        <f>SUMIFS(FNRP!$Q:$Q,FNRP!$AK:$AK,Summary!$X12,FNRP!$AJ:$AJ,Summary!AF$1)/10^9</f>
        <v>0</v>
      </c>
      <c r="AG12" s="286">
        <f>SUMIFS(FNRP!$Q:$Q,FNRP!$AK:$AK,Summary!$X12,FNRP!$AJ:$AJ,Summary!AG$1)/10^9</f>
        <v>0</v>
      </c>
      <c r="AH12" s="286">
        <f>SUMIFS(FNRP!$Q:$Q,FNRP!$AK:$AK,Summary!$X12,FNRP!$AJ:$AJ,Summary!AH$1)/10^9</f>
        <v>0</v>
      </c>
      <c r="AI12" s="286">
        <f>SUMIFS(FNRP!$Q:$Q,FNRP!$AK:$AK,Summary!#REF!,FNRP!$AJ:$AJ,Summary!AI$1)/10^9</f>
        <v>0</v>
      </c>
      <c r="AJ12" s="286">
        <f>SUMIFS(FNRP!$Q:$Q,FNRP!$AK:$AK,Summary!#REF!,FNRP!$AJ:$AJ,Summary!AJ$1)/10^9</f>
        <v>0</v>
      </c>
      <c r="AK12" s="286">
        <f>SUMIFS(FNRP!$Q:$Q,FNRP!$AK:$AK,Summary!#REF!,FNRP!$AJ:$AJ,Summary!AK$1)/10^9</f>
        <v>0</v>
      </c>
      <c r="AM12" s="361" t="str">
        <v>HDBV</v>
      </c>
      <c r="AN12" s="258">
        <f>SUMIFS(FNRP!$BA:$BA,FNRP!$BN:$BN,$AM12)/10^9</f>
        <v>3500</v>
      </c>
      <c r="AO12" s="271">
        <f t="shared" si="8"/>
        <v>2000</v>
      </c>
      <c r="AP12" s="287">
        <f>SUMIFS(FNRP!$BP:$BP,FNRP!$BN:$BN,$AM12,FNRP!$BM:$BM,AP$1)/10^9</f>
        <v>2000</v>
      </c>
      <c r="AQ12" s="286">
        <f>SUMIFS(FNRP!$BP:$BP,FNRP!$BN:$BN,$AM12,FNRP!$BM:$BM,AQ$1)/10^9</f>
        <v>0</v>
      </c>
      <c r="AR12" s="286">
        <f>SUMIFS(FNRP!$BP:$BP,FNRP!$BN:$BN,$AM12,FNRP!$BM:$BM,AR$1)/10^9</f>
        <v>0</v>
      </c>
      <c r="AS12" s="286">
        <f>SUMIFS(FNRP!$BP:$BP,FNRP!$BN:$BN,$AM12,FNRP!$BM:$BM,AS$1)/10^9</f>
        <v>0</v>
      </c>
      <c r="AT12" s="286">
        <f>SUMIFS(FNRP!$BP:$BP,FNRP!$BN:$BN,$AM12,FNRP!$BM:$BM,AT$1)/10^9</f>
        <v>0</v>
      </c>
      <c r="AU12" s="286">
        <f>SUMIFS(FNRP!$BP:$BP,FNRP!$BN:$BN,$AM12,FNRP!$BM:$BM,AU$1)/10^9</f>
        <v>0</v>
      </c>
      <c r="AV12" s="286">
        <f>SUMIFS(FNRP!$BP:$BP,FNRP!$BN:$BN,$AM12,FNRP!$BM:$BM,AV$1)/10^9</f>
        <v>0</v>
      </c>
      <c r="AW12" s="274"/>
      <c r="AX12" s="274"/>
      <c r="AY12" s="274"/>
      <c r="AZ12" s="274"/>
      <c r="BA12" s="274"/>
      <c r="BB12" s="274"/>
      <c r="BC12" s="274"/>
      <c r="BD12" s="274"/>
      <c r="BE12" s="274"/>
      <c r="BF12" s="274"/>
      <c r="BG12" s="274"/>
      <c r="BH12" s="274"/>
      <c r="BI12" s="274"/>
      <c r="BJ12" s="274"/>
      <c r="BL12" s="30"/>
      <c r="BM12" s="30"/>
      <c r="BN12" s="30"/>
      <c r="BO12" s="30"/>
      <c r="BP12" s="30"/>
      <c r="BQ12" s="30"/>
      <c r="BS12" s="280" t="s">
        <v>279</v>
      </c>
      <c r="BT12" s="281">
        <f>VLOOKUP(BS12,'His53'!X:Y,2,0)/100</f>
        <v>5.9769230769230797E-2</v>
      </c>
      <c r="BU12" s="281">
        <f>VLOOKUP(BS12,'His53'!X:Z,3,0)/100</f>
        <v>5.53846153846154E-2</v>
      </c>
      <c r="BV12" s="282">
        <f>VLOOKUP(BS12,'His53'!X:AA,4,0)/100</f>
        <v>5.7576923076923102E-2</v>
      </c>
      <c r="BW12" s="283">
        <f t="shared" si="9"/>
        <v>4.3846153846153965E-3</v>
      </c>
      <c r="BX12" s="284">
        <f>100*$BV12-INDEX(Yield_VBMA[#All],MATCH(Yesterday,Yield_VBMA[[#All],[RptDate]],0),MATCH($BS12,Yield_VBMA[#Headers],0))</f>
        <v>-2.62307692307692</v>
      </c>
      <c r="BY12" s="284">
        <f>100*$BV12-INDEX(Yield_VBMA[#All],MATCH(Lastmonth,Yield_VBMA[[#All],[RptDate]],0),MATCH($BS12,Yield_VBMA[#Headers],0))</f>
        <v>-2.62307692307692</v>
      </c>
      <c r="BZ12" s="285">
        <f>100*$BV12-INDEX(Yield_VBMA[#All],MATCH(Lastyear,Yield_VBMA[[#All],[RptDate]],0),MATCH($BS12,Yield_VBMA[#Headers],0))</f>
        <v>-1.4346153846153795</v>
      </c>
      <c r="CC12" s="342">
        <v>46112</v>
      </c>
      <c r="CD12" s="343">
        <v>46112</v>
      </c>
      <c r="CE12" s="286">
        <v>-31.509</v>
      </c>
      <c r="CF12" s="344">
        <f>CF11+CE12</f>
        <v>-102.00500000000001</v>
      </c>
      <c r="CO12" s="426">
        <v>10</v>
      </c>
      <c r="CP12" s="418">
        <f t="shared" si="0"/>
        <v>46568</v>
      </c>
      <c r="CQ12" s="418">
        <f t="shared" si="4"/>
        <v>46539</v>
      </c>
      <c r="CR12" s="418">
        <f t="shared" si="5"/>
        <v>46568</v>
      </c>
      <c r="CS12" s="419" cm="1">
        <f t="array" ref="CS12">SUMPRODUCT((FNRP_PPCD[Mat. Date]&gt;=CQ12)*(FNRP_PPCD[Mat. Date]&lt;=CR12)*FNRP_PPCD[Nominal])/10^9</f>
        <v>1000</v>
      </c>
      <c r="CT12" s="419" cm="1">
        <f t="array" ref="CT12">SUMPRODUCT((FNRP_FIbond[Mat. Date]&gt;=CQ12)*(FNRP_FIbond[Mat. Date]&lt;=CR12)*FNRP_FIbond[Nominal])/10^9</f>
        <v>0</v>
      </c>
      <c r="CU12" s="419">
        <f>SUMIFS(Ref!Q:Q,Ref!S:S,"&gt;"&amp;CR12)/10^9</f>
        <v>0</v>
      </c>
      <c r="CV12" s="419">
        <f t="shared" si="10"/>
        <v>14466.527797397001</v>
      </c>
      <c r="CW12" s="420" cm="1">
        <f t="array" ref="CW12">SUMPRODUCT((RPBOD_B003[MaturityDate]&gt;CR12)*RPBOD_B003[Yield*Amount])/SUMPRODUCT((RPBOD_B003[MaturityDate]&gt;CR12)*RPBOD_B003[Face_Amount])</f>
        <v>8.0942979098933048</v>
      </c>
      <c r="CX12" s="425" t="str">
        <f>"Est YTM T"&amp;MONTH(FIBond_Daohan[[#This Row],[Date]])&amp;" "&amp;YEAR(FIBond_Daohan[[#This Row],[Date]])</f>
        <v>Est YTM T6 2027</v>
      </c>
      <c r="CY12" s="427" t="str">
        <f>"Est Posi OnBS T"&amp;MONTH(FIBond_Daohan[[#This Row],[Date]])&amp;" "&amp;YEAR(FIBond_Daohan[[#This Row],[Date]])</f>
        <v>Est Posi OnBS T6 2027</v>
      </c>
    </row>
    <row r="13" spans="1:106" x14ac:dyDescent="0.3">
      <c r="B13" s="253">
        <v>45992</v>
      </c>
      <c r="C13" s="254">
        <f>SUMIFS('His53'!$AF:$AF,'His53'!$AG:$AG,$B13,'His53'!$AE:$AE,C$1)</f>
        <v>77844.563925402006</v>
      </c>
      <c r="D13" s="255">
        <f>SUMIFS('His53'!$AF:$AF,'His53'!$AG:$AG,$B13,'His53'!$AE:$AE,D$1)</f>
        <v>98971.760789253007</v>
      </c>
      <c r="E13" s="256">
        <f t="shared" si="1"/>
        <v>176816.324714655</v>
      </c>
      <c r="F13" s="439"/>
      <c r="H13" s="360" t="str">
        <v>PVFC</v>
      </c>
      <c r="I13" s="286">
        <f>SUMIFS(FNRP_FIbond[Nominal],FNRP_FIbond[Issuer],Summary!H13)/10^9</f>
        <v>1000</v>
      </c>
      <c r="J13" s="271">
        <f>SUM(K13:V13)</f>
        <v>1000</v>
      </c>
      <c r="K13" s="286">
        <f>SUMIFS(FNRP!$AN:$AN,FNRP!$AJ:$AJ,Summary!K$1,FNRP!$AK:$AK,Summary!$H13)/10^9</f>
        <v>0</v>
      </c>
      <c r="L13" s="286">
        <f>SUMIFS(FNRP!$AN:$AN,FNRP!$AJ:$AJ,Summary!L$1,FNRP!$AK:$AK,Summary!$H13)/10^9</f>
        <v>0</v>
      </c>
      <c r="M13" s="286">
        <f>SUMIFS(FNRP!$AN:$AN,FNRP!$AJ:$AJ,Summary!M$1,FNRP!$AK:$AK,Summary!$H13)/10^9</f>
        <v>0</v>
      </c>
      <c r="N13" s="286">
        <f>SUMIFS(FNRP!$AN:$AN,FNRP!$AJ:$AJ,Summary!N$1,FNRP!$AK:$AK,Summary!$H13)/10^9</f>
        <v>0</v>
      </c>
      <c r="O13" s="286">
        <f>SUMIFS(FNRP!$AN:$AN,FNRP!$AJ:$AJ,Summary!O$1,FNRP!$AK:$AK,Summary!$H13)/10^9</f>
        <v>0</v>
      </c>
      <c r="P13" s="286">
        <f>SUMIFS(FNRP!$AN:$AN,FNRP!$AJ:$AJ,Summary!P$1,FNRP!$AK:$AK,Summary!$H13)/10^9</f>
        <v>0</v>
      </c>
      <c r="Q13" s="286">
        <f>SUMIFS(FNRP!$AN:$AN,FNRP!$AJ:$AJ,Summary!Q$1,FNRP!$AK:$AK,Summary!$H13)/10^9</f>
        <v>0</v>
      </c>
      <c r="R13" s="286">
        <f>SUMIFS(FNRP!$AN:$AN,FNRP!$AJ:$AJ,Summary!R$1,FNRP!$AK:$AK,Summary!$H13)/10^9</f>
        <v>1000</v>
      </c>
      <c r="S13" s="286">
        <f>SUMIFS(FNRP!$AN:$AN,FNRP!$AJ:$AJ,Summary!S$1,FNRP!$AK:$AK,Summary!$H13)/10^9</f>
        <v>0</v>
      </c>
      <c r="T13" s="286">
        <f>SUMIFS(FNRP!$J:$J,FNRP!$AJ:$AJ,Summary!T$1,FNRP!$AK:$AK,Summary!#REF!)/10^9</f>
        <v>0</v>
      </c>
      <c r="U13" s="286">
        <f>SUMIFS(FNRP!$J:$J,FNRP!$AJ:$AJ,Summary!U$1,FNRP!$AK:$AK,Summary!#REF!)/10^9</f>
        <v>0</v>
      </c>
      <c r="V13" s="286">
        <f>SUMIFS(FNRP!$J:$J,FNRP!$AJ:$AJ,Summary!V$1,FNRP!$AK:$AK,Summary!#REF!)/10^9</f>
        <v>0</v>
      </c>
      <c r="X13" s="360" t="str">
        <v>PVFC</v>
      </c>
      <c r="Y13" s="271">
        <f t="shared" si="7"/>
        <v>1289.75028623</v>
      </c>
      <c r="Z13" s="286">
        <f>SUMIFS(FNRP!$Q:$Q,FNRP!$AK:$AK,Summary!$X13,FNRP!$AJ:$AJ,Summary!Z$1)/10^9</f>
        <v>0</v>
      </c>
      <c r="AA13" s="286">
        <f>SUMIFS(FNRP!$Q:$Q,FNRP!$AK:$AK,Summary!$X13,FNRP!$AJ:$AJ,Summary!AA$1)/10^9</f>
        <v>0</v>
      </c>
      <c r="AB13" s="286">
        <f>SUMIFS(FNRP!$Q:$Q,FNRP!$AK:$AK,Summary!$X13,FNRP!$AJ:$AJ,Summary!AB$1)/10^9</f>
        <v>0</v>
      </c>
      <c r="AC13" s="286">
        <f>SUMIFS(FNRP!$Q:$Q,FNRP!$AK:$AK,Summary!$X13,FNRP!$AJ:$AJ,Summary!AC$1)/10^9</f>
        <v>0</v>
      </c>
      <c r="AD13" s="286">
        <f>SUMIFS(FNRP!$Q:$Q,FNRP!$AK:$AK,Summary!$X13,FNRP!$AJ:$AJ,Summary!AD$1)/10^9</f>
        <v>0</v>
      </c>
      <c r="AE13" s="286">
        <f>SUMIFS(FNRP!$Q:$Q,FNRP!$AK:$AK,Summary!$X13,FNRP!$AJ:$AJ,Summary!AE$1)/10^9</f>
        <v>0</v>
      </c>
      <c r="AF13" s="286">
        <f>SUMIFS(FNRP!$Q:$Q,FNRP!$AK:$AK,Summary!$X13,FNRP!$AJ:$AJ,Summary!AF$1)/10^9</f>
        <v>0</v>
      </c>
      <c r="AG13" s="286">
        <f>SUMIFS(FNRP!$Q:$Q,FNRP!$AK:$AK,Summary!$X13,FNRP!$AJ:$AJ,Summary!AG$1)/10^9</f>
        <v>1289.75028623</v>
      </c>
      <c r="AH13" s="286">
        <f>SUMIFS(FNRP!$Q:$Q,FNRP!$AK:$AK,Summary!$X13,FNRP!$AJ:$AJ,Summary!AH$1)/10^9</f>
        <v>0</v>
      </c>
      <c r="AI13" s="286">
        <f>SUMIFS(FNRP!$Q:$Q,FNRP!$AK:$AK,Summary!#REF!,FNRP!$AJ:$AJ,Summary!AI$1)/10^9</f>
        <v>0</v>
      </c>
      <c r="AJ13" s="286">
        <f>SUMIFS(FNRP!$Q:$Q,FNRP!$AK:$AK,Summary!#REF!,FNRP!$AJ:$AJ,Summary!AJ$1)/10^9</f>
        <v>0</v>
      </c>
      <c r="AK13" s="286">
        <f>SUMIFS(FNRP!$Q:$Q,FNRP!$AK:$AK,Summary!#REF!,FNRP!$AJ:$AJ,Summary!AK$1)/10^9</f>
        <v>0</v>
      </c>
      <c r="AM13" s="361" t="str">
        <v>LVBT</v>
      </c>
      <c r="AN13" s="258">
        <f>SUMIFS(FNRP!$BA:$BA,FNRP!$BN:$BN,$AM13)/10^9</f>
        <v>2500</v>
      </c>
      <c r="AO13" s="271">
        <f t="shared" si="8"/>
        <v>2500</v>
      </c>
      <c r="AP13" s="287">
        <f>SUMIFS(FNRP!$BP:$BP,FNRP!$BN:$BN,$AM13,FNRP!$BM:$BM,AP$1)/10^9</f>
        <v>1500</v>
      </c>
      <c r="AQ13" s="286">
        <f>SUMIFS(FNRP!$BP:$BP,FNRP!$BN:$BN,$AM13,FNRP!$BM:$BM,AQ$1)/10^9</f>
        <v>0</v>
      </c>
      <c r="AR13" s="286">
        <f>SUMIFS(FNRP!$BP:$BP,FNRP!$BN:$BN,$AM13,FNRP!$BM:$BM,AR$1)/10^9</f>
        <v>1000</v>
      </c>
      <c r="AS13" s="286">
        <f>SUMIFS(FNRP!$BP:$BP,FNRP!$BN:$BN,$AM13,FNRP!$BM:$BM,AS$1)/10^9</f>
        <v>0</v>
      </c>
      <c r="AT13" s="286">
        <f>SUMIFS(FNRP!$BP:$BP,FNRP!$BN:$BN,$AM13,FNRP!$BM:$BM,AT$1)/10^9</f>
        <v>0</v>
      </c>
      <c r="AU13" s="286">
        <f>SUMIFS(FNRP!$BP:$BP,FNRP!$BN:$BN,$AM13,FNRP!$BM:$BM,AU$1)/10^9</f>
        <v>0</v>
      </c>
      <c r="AV13" s="286">
        <f>SUMIFS(FNRP!$BP:$BP,FNRP!$BN:$BN,$AM13,FNRP!$BM:$BM,AV$1)/10^9</f>
        <v>0</v>
      </c>
      <c r="AW13" s="274"/>
      <c r="AX13" s="274"/>
      <c r="AY13" s="274"/>
      <c r="AZ13" s="298"/>
      <c r="BA13" s="274"/>
      <c r="BB13" s="274"/>
      <c r="BC13" s="274"/>
      <c r="BD13" s="274"/>
      <c r="BE13" s="274"/>
      <c r="BF13" s="274"/>
      <c r="BG13" s="274"/>
      <c r="BH13" s="274"/>
      <c r="BI13" s="274"/>
      <c r="BJ13" s="274"/>
      <c r="BL13" s="30"/>
      <c r="BM13" s="30"/>
      <c r="BN13" s="30"/>
      <c r="BO13" s="30"/>
      <c r="BP13" s="30"/>
      <c r="BQ13" s="30"/>
      <c r="BS13" s="280" t="s">
        <v>280</v>
      </c>
      <c r="BT13" s="281">
        <f>VLOOKUP(BS13,'His53'!X:Y,2,0)/100</f>
        <v>6.1076923076923098E-2</v>
      </c>
      <c r="BU13" s="281">
        <f>VLOOKUP(BS13,'His53'!X:Z,3,0)/100</f>
        <v>5.6692307692307702E-2</v>
      </c>
      <c r="BV13" s="282">
        <f>VLOOKUP(BS13,'His53'!X:AA,4,0)/100</f>
        <v>5.8884615384615396E-2</v>
      </c>
      <c r="BW13" s="283">
        <f t="shared" si="9"/>
        <v>4.3846153846153965E-3</v>
      </c>
      <c r="BX13" s="284">
        <f>100*$BV13-INDEX(Yield_VBMA[#All],MATCH(Yesterday,Yield_VBMA[[#All],[RptDate]],0),MATCH($BS13,Yield_VBMA[#Headers],0))</f>
        <v>-2.5076923076923094</v>
      </c>
      <c r="BY13" s="284">
        <f>100*$BV13-INDEX(Yield_VBMA[#All],MATCH(Lastmonth,Yield_VBMA[[#All],[RptDate]],0),MATCH($BS13,Yield_VBMA[#Headers],0))</f>
        <v>-2.5076923076923094</v>
      </c>
      <c r="BZ13" s="285">
        <f>100*$BV13-INDEX(Yield_VBMA[#All],MATCH(Lastyear,Yield_VBMA[[#All],[RptDate]],0),MATCH($BS13,Yield_VBMA[#Headers],0))</f>
        <v>-1.3423076923076902</v>
      </c>
      <c r="CC13" s="342">
        <v>46142</v>
      </c>
      <c r="CD13" s="343">
        <f>Quarter2</f>
        <v>46203</v>
      </c>
      <c r="CE13" s="286">
        <v>-25.542000000000002</v>
      </c>
      <c r="CF13" s="344">
        <f>CF12+CE13</f>
        <v>-127.54700000000001</v>
      </c>
      <c r="CO13" s="426">
        <v>11</v>
      </c>
      <c r="CP13" s="418">
        <f t="shared" si="0"/>
        <v>46599</v>
      </c>
      <c r="CQ13" s="418">
        <f t="shared" si="4"/>
        <v>46569</v>
      </c>
      <c r="CR13" s="418">
        <f t="shared" si="5"/>
        <v>46599</v>
      </c>
      <c r="CS13" s="419" cm="1">
        <f t="array" ref="CS13">SUMPRODUCT((FNRP_PPCD[Mat. Date]&gt;=CQ13)*(FNRP_PPCD[Mat. Date]&lt;=CR13)*FNRP_PPCD[Nominal])/10^9</f>
        <v>0</v>
      </c>
      <c r="CT13" s="419" cm="1">
        <f t="array" ref="CT13">SUMPRODUCT((FNRP_FIbond[Mat. Date]&gt;=CQ13)*(FNRP_FIbond[Mat. Date]&lt;=CR13)*FNRP_FIbond[Nominal])/10^9</f>
        <v>3000</v>
      </c>
      <c r="CU13" s="419">
        <f>SUMIFS(Ref!Q:Q,Ref!S:S,"&gt;"&amp;CR13)/10^9</f>
        <v>0</v>
      </c>
      <c r="CV13" s="419">
        <f t="shared" si="10"/>
        <v>11466.527797397001</v>
      </c>
      <c r="CW13" s="420" cm="1">
        <f t="array" ref="CW13">SUMPRODUCT((RPBOD_B003[MaturityDate]&gt;CR13)*RPBOD_B003[Yield*Amount])/SUMPRODUCT((RPBOD_B003[MaturityDate]&gt;CR13)*RPBOD_B003[Face_Amount])</f>
        <v>8.992519873444845</v>
      </c>
      <c r="CX13" s="425" t="str">
        <f>"Est YTM T"&amp;MONTH(FIBond_Daohan[[#This Row],[Date]])&amp;" "&amp;YEAR(FIBond_Daohan[[#This Row],[Date]])</f>
        <v>Est YTM T7 2027</v>
      </c>
      <c r="CY13" s="427" t="str">
        <f>"Est Posi OnBS T"&amp;MONTH(FIBond_Daohan[[#This Row],[Date]])&amp;" "&amp;YEAR(FIBond_Daohan[[#This Row],[Date]])</f>
        <v>Est Posi OnBS T7 2027</v>
      </c>
    </row>
    <row r="14" spans="1:106" x14ac:dyDescent="0.3">
      <c r="B14" s="253">
        <v>46023</v>
      </c>
      <c r="C14" s="254">
        <f>SUMIFS('His53'!$AF:$AF,'His53'!$AG:$AG,$B14,'His53'!$AE:$AE,C$1)</f>
        <v>48931.032488970006</v>
      </c>
      <c r="D14" s="255">
        <f>SUMIFS('His53'!$AF:$AF,'His53'!$AG:$AG,$B14,'His53'!$AE:$AE,D$1)</f>
        <v>59799.900744547987</v>
      </c>
      <c r="E14" s="256">
        <f t="shared" si="1"/>
        <v>108730.93323351799</v>
      </c>
      <c r="F14" s="439"/>
      <c r="H14" s="360" t="str">
        <v>SGTT</v>
      </c>
      <c r="I14" s="286">
        <f>SUMIFS(FNRP_FIbond[Nominal],FNRP_FIbond[Issuer],Summary!H14)/10^9</f>
        <v>1000</v>
      </c>
      <c r="J14" s="271">
        <f>SUM(K14:V14)</f>
        <v>1000</v>
      </c>
      <c r="K14" s="286">
        <f>SUMIFS(FNRP!$AN:$AN,FNRP!$AJ:$AJ,Summary!K$1,FNRP!$AK:$AK,Summary!$H14)/10^9</f>
        <v>0</v>
      </c>
      <c r="L14" s="286">
        <f>SUMIFS(FNRP!$AN:$AN,FNRP!$AJ:$AJ,Summary!L$1,FNRP!$AK:$AK,Summary!$H14)/10^9</f>
        <v>0</v>
      </c>
      <c r="M14" s="286">
        <f>SUMIFS(FNRP!$AN:$AN,FNRP!$AJ:$AJ,Summary!M$1,FNRP!$AK:$AK,Summary!$H14)/10^9</f>
        <v>0</v>
      </c>
      <c r="N14" s="286">
        <f>SUMIFS(FNRP!$AN:$AN,FNRP!$AJ:$AJ,Summary!N$1,FNRP!$AK:$AK,Summary!$H14)/10^9</f>
        <v>0</v>
      </c>
      <c r="O14" s="286">
        <f>SUMIFS(FNRP!$AN:$AN,FNRP!$AJ:$AJ,Summary!O$1,FNRP!$AK:$AK,Summary!$H14)/10^9</f>
        <v>0</v>
      </c>
      <c r="P14" s="286">
        <f>SUMIFS(FNRP!$AN:$AN,FNRP!$AJ:$AJ,Summary!P$1,FNRP!$AK:$AK,Summary!$H14)/10^9</f>
        <v>0</v>
      </c>
      <c r="Q14" s="286">
        <f>SUMIFS(FNRP!$AN:$AN,FNRP!$AJ:$AJ,Summary!Q$1,FNRP!$AK:$AK,Summary!$H14)/10^9</f>
        <v>0</v>
      </c>
      <c r="R14" s="286">
        <f>SUMIFS(FNRP!$AN:$AN,FNRP!$AJ:$AJ,Summary!R$1,FNRP!$AK:$AK,Summary!$H14)/10^9</f>
        <v>1000</v>
      </c>
      <c r="S14" s="286">
        <f>SUMIFS(FNRP!$AN:$AN,FNRP!$AJ:$AJ,Summary!S$1,FNRP!$AK:$AK,Summary!$H14)/10^9</f>
        <v>0</v>
      </c>
      <c r="X14" s="360" t="str">
        <v>SGTT</v>
      </c>
      <c r="Y14" s="271">
        <f t="shared" si="7"/>
        <v>1241.28511742</v>
      </c>
      <c r="Z14" s="286">
        <f>SUMIFS(FNRP!$Q:$Q,FNRP!$AK:$AK,Summary!$X14,FNRP!$AJ:$AJ,Summary!Z$1)/10^9</f>
        <v>0</v>
      </c>
      <c r="AA14" s="286">
        <f>SUMIFS(FNRP!$Q:$Q,FNRP!$AK:$AK,Summary!$X14,FNRP!$AJ:$AJ,Summary!AA$1)/10^9</f>
        <v>0</v>
      </c>
      <c r="AB14" s="286">
        <f>SUMIFS(FNRP!$Q:$Q,FNRP!$AK:$AK,Summary!$X14,FNRP!$AJ:$AJ,Summary!AB$1)/10^9</f>
        <v>0</v>
      </c>
      <c r="AC14" s="286">
        <f>SUMIFS(FNRP!$Q:$Q,FNRP!$AK:$AK,Summary!$X14,FNRP!$AJ:$AJ,Summary!AC$1)/10^9</f>
        <v>0</v>
      </c>
      <c r="AD14" s="286">
        <f>SUMIFS(FNRP!$Q:$Q,FNRP!$AK:$AK,Summary!$X14,FNRP!$AJ:$AJ,Summary!AD$1)/10^9</f>
        <v>0</v>
      </c>
      <c r="AE14" s="286">
        <f>SUMIFS(FNRP!$Q:$Q,FNRP!$AK:$AK,Summary!$X14,FNRP!$AJ:$AJ,Summary!AE$1)/10^9</f>
        <v>0</v>
      </c>
      <c r="AF14" s="286">
        <f>SUMIFS(FNRP!$Q:$Q,FNRP!$AK:$AK,Summary!$X14,FNRP!$AJ:$AJ,Summary!AF$1)/10^9</f>
        <v>0</v>
      </c>
      <c r="AG14" s="286">
        <f>SUMIFS(FNRP!$Q:$Q,FNRP!$AK:$AK,Summary!$X14,FNRP!$AJ:$AJ,Summary!AG$1)/10^9</f>
        <v>1241.28511742</v>
      </c>
      <c r="AH14" s="286">
        <f>SUMIFS(FNRP!$Q:$Q,FNRP!$AK:$AK,Summary!$X14,FNRP!$AJ:$AJ,Summary!AH$1)/10^9</f>
        <v>0</v>
      </c>
      <c r="AM14" s="361" t="str">
        <v>SABH</v>
      </c>
      <c r="AN14" s="258">
        <f>SUMIFS(FNRP!$BA:$BA,FNRP!$BN:$BN,$AM14)/10^9</f>
        <v>4000</v>
      </c>
      <c r="AO14" s="271">
        <f t="shared" si="8"/>
        <v>4000</v>
      </c>
      <c r="AP14" s="287">
        <f>SUMIFS(FNRP!$BP:$BP,FNRP!$BN:$BN,$AM14,FNRP!$BM:$BM,AP$1)/10^9</f>
        <v>0</v>
      </c>
      <c r="AQ14" s="286">
        <f>SUMIFS(FNRP!$BP:$BP,FNRP!$BN:$BN,$AM14,FNRP!$BM:$BM,AQ$1)/10^9</f>
        <v>2000</v>
      </c>
      <c r="AR14" s="286">
        <f>SUMIFS(FNRP!$BP:$BP,FNRP!$BN:$BN,$AM14,FNRP!$BM:$BM,AR$1)/10^9</f>
        <v>2000</v>
      </c>
      <c r="AS14" s="286">
        <f>SUMIFS(FNRP!$BP:$BP,FNRP!$BN:$BN,$AM14,FNRP!$BM:$BM,AS$1)/10^9</f>
        <v>0</v>
      </c>
      <c r="AT14" s="286">
        <f>SUMIFS(FNRP!$BP:$BP,FNRP!$BN:$BN,$AM14,FNRP!$BM:$BM,AT$1)/10^9</f>
        <v>0</v>
      </c>
      <c r="AU14" s="286">
        <f>SUMIFS(FNRP!$BP:$BP,FNRP!$BN:$BN,$AM14,FNRP!$BM:$BM,AU$1)/10^9</f>
        <v>0</v>
      </c>
      <c r="AV14" s="286">
        <f>SUMIFS(FNRP!$BP:$BP,FNRP!$BN:$BN,$AM14,FNRP!$BM:$BM,AV$1)/10^9</f>
        <v>0</v>
      </c>
      <c r="AX14" s="274"/>
      <c r="AY14" s="274"/>
      <c r="AZ14" s="274"/>
      <c r="BA14" s="274"/>
      <c r="BB14" s="274"/>
      <c r="BC14" s="274"/>
      <c r="BD14" s="274"/>
      <c r="BE14" s="274"/>
      <c r="BF14" s="274"/>
      <c r="BG14" s="274"/>
      <c r="BH14" s="274"/>
      <c r="BI14" s="274"/>
      <c r="BJ14" s="274"/>
      <c r="BL14" s="30"/>
      <c r="BM14" s="30"/>
      <c r="BN14" s="30"/>
      <c r="BO14" s="30"/>
      <c r="BP14" s="30"/>
      <c r="BQ14" s="30"/>
      <c r="BS14" s="291" t="s">
        <v>281</v>
      </c>
      <c r="BT14" s="292">
        <f>VLOOKUP(BS14,'His53'!X:Y,2,0)/100</f>
        <v>6.19230769230769E-2</v>
      </c>
      <c r="BU14" s="292">
        <f>VLOOKUP(BS14,'His53'!X:Z,3,0)/100</f>
        <v>5.7538461538461601E-2</v>
      </c>
      <c r="BV14" s="293">
        <f>VLOOKUP(BS14,'His53'!X:AA,4,0)/100</f>
        <v>5.9730769230769198E-2</v>
      </c>
      <c r="BW14" s="294">
        <f t="shared" si="9"/>
        <v>4.3846153846152994E-3</v>
      </c>
      <c r="BX14" s="295">
        <f>100*$BV14-INDEX(Yield_VBMA[#All],MATCH(Yesterday,Yield_VBMA[[#All],[RptDate]],0),MATCH($BS14,Yield_VBMA[#Headers],0))</f>
        <v>-2.4384615384615396</v>
      </c>
      <c r="BY14" s="295">
        <f>100*$BV14-INDEX(Yield_VBMA[#All],MATCH(Lastmonth,Yield_VBMA[[#All],[RptDate]],0),MATCH($BS14,Yield_VBMA[#Headers],0))</f>
        <v>-2.4384615384615396</v>
      </c>
      <c r="BZ14" s="296">
        <f>100*$BV14-INDEX(Yield_VBMA[#All],MATCH(Lastyear,Yield_VBMA[[#All],[RptDate]],0),MATCH($BS14,Yield_VBMA[#Headers],0))</f>
        <v>-1.2884615384615401</v>
      </c>
      <c r="CO14" s="431">
        <v>12</v>
      </c>
      <c r="CP14" s="432">
        <f t="shared" si="0"/>
        <v>46630</v>
      </c>
      <c r="CQ14" s="432">
        <f t="shared" si="4"/>
        <v>46600</v>
      </c>
      <c r="CR14" s="432">
        <f t="shared" si="5"/>
        <v>46630</v>
      </c>
      <c r="CS14" s="433" cm="1">
        <f t="array" ref="CS14">SUMPRODUCT((FNRP_PPCD[Mat. Date]&gt;=CQ14)*(FNRP_PPCD[Mat. Date]&lt;=CR14)*FNRP_PPCD[Nominal])/10^9</f>
        <v>3299.1</v>
      </c>
      <c r="CT14" s="433" cm="1">
        <f t="array" ref="CT14">SUMPRODUCT((FNRP_FIbond[Mat. Date]&gt;=CQ14)*(FNRP_FIbond[Mat. Date]&lt;=CR14)*FNRP_FIbond[Nominal])/10^9</f>
        <v>0</v>
      </c>
      <c r="CU14" s="433">
        <f>SUMIFS(Ref!Q:Q,Ref!S:S,"&gt;"&amp;CR14)/10^9</f>
        <v>0</v>
      </c>
      <c r="CV14" s="433">
        <f t="shared" si="10"/>
        <v>8167.4277973970002</v>
      </c>
      <c r="CW14" s="434" cm="1">
        <f t="array" ref="CW14">SUMPRODUCT((RPBOD_B003[MaturityDate]&gt;CR14)*RPBOD_B003[Yield*Amount])/SUMPRODUCT((RPBOD_B003[MaturityDate]&gt;CR14)*RPBOD_B003[Face_Amount])</f>
        <v>8.4163006712813964</v>
      </c>
      <c r="CX14" s="425" t="str">
        <f>"Est YTM T"&amp;MONTH(FIBond_Daohan[[#This Row],[Date]])&amp;" "&amp;YEAR(FIBond_Daohan[[#This Row],[Date]])</f>
        <v>Est YTM T8 2027</v>
      </c>
      <c r="CY14" s="427" t="str">
        <f>"Est Posi OnBS T"&amp;MONTH(FIBond_Daohan[[#This Row],[Date]])&amp;" "&amp;YEAR(FIBond_Daohan[[#This Row],[Date]])</f>
        <v>Est Posi OnBS T8 2027</v>
      </c>
    </row>
    <row r="15" spans="1:106" x14ac:dyDescent="0.3">
      <c r="B15" s="253">
        <v>46054</v>
      </c>
      <c r="C15" s="254">
        <f>SUMIFS('His53'!$AF:$AF,'His53'!$AG:$AG,$B15,'His53'!$AE:$AE,C$1)</f>
        <v>23126.700705539999</v>
      </c>
      <c r="D15" s="255">
        <f>SUMIFS('His53'!$AF:$AF,'His53'!$AG:$AG,$B15,'His53'!$AE:$AE,D$1)</f>
        <v>40056.951395126001</v>
      </c>
      <c r="E15" s="256">
        <f t="shared" si="1"/>
        <v>63183.652100666004</v>
      </c>
      <c r="F15" s="439"/>
      <c r="H15" s="360"/>
      <c r="I15" s="286">
        <f>SUMIFS(FNRP_FIbond[Nominal],FNRP_FIbond[Issuer],Summary!H15)/10^9</f>
        <v>0</v>
      </c>
      <c r="J15" s="271">
        <f t="shared" ref="J15:J25" si="12">SUM(K15:V15)</f>
        <v>0</v>
      </c>
      <c r="K15" s="286">
        <f>SUMIFS(FNRP!$AN:$AN,FNRP!$AJ:$AJ,Summary!K$1,FNRP!$AK:$AK,Summary!$H15)/10^9</f>
        <v>0</v>
      </c>
      <c r="L15" s="286">
        <f>SUMIFS(FNRP!$AN:$AN,FNRP!$AJ:$AJ,Summary!L$1,FNRP!$AK:$AK,Summary!$H15)/10^9</f>
        <v>0</v>
      </c>
      <c r="M15" s="286">
        <f>SUMIFS(FNRP!$AN:$AN,FNRP!$AJ:$AJ,Summary!M$1,FNRP!$AK:$AK,Summary!$H15)/10^9</f>
        <v>0</v>
      </c>
      <c r="N15" s="286">
        <f>SUMIFS(FNRP!$AN:$AN,FNRP!$AJ:$AJ,Summary!N$1,FNRP!$AK:$AK,Summary!$H15)/10^9</f>
        <v>0</v>
      </c>
      <c r="O15" s="286">
        <f>SUMIFS(FNRP!$AN:$AN,FNRP!$AJ:$AJ,Summary!O$1,FNRP!$AK:$AK,Summary!$H15)/10^9</f>
        <v>0</v>
      </c>
      <c r="P15" s="286">
        <f>SUMIFS(FNRP!$AN:$AN,FNRP!$AJ:$AJ,Summary!P$1,FNRP!$AK:$AK,Summary!$H15)/10^9</f>
        <v>0</v>
      </c>
      <c r="Q15" s="286">
        <f>SUMIFS(FNRP!$AN:$AN,FNRP!$AJ:$AJ,Summary!Q$1,FNRP!$AK:$AK,Summary!$H15)/10^9</f>
        <v>0</v>
      </c>
      <c r="R15" s="286">
        <f>SUMIFS(FNRP!$AN:$AN,FNRP!$AJ:$AJ,Summary!R$1,FNRP!$AK:$AK,Summary!$H15)/10^9</f>
        <v>0</v>
      </c>
      <c r="S15" s="286">
        <f>SUMIFS(FNRP!$AN:$AN,FNRP!$AJ:$AJ,Summary!S$1,FNRP!$AK:$AK,Summary!$H15)/10^9</f>
        <v>0</v>
      </c>
      <c r="T15" s="28"/>
      <c r="U15" s="28"/>
      <c r="V15" s="28"/>
      <c r="W15" s="28"/>
      <c r="X15" s="360"/>
      <c r="Y15" s="271">
        <f t="shared" si="7"/>
        <v>0</v>
      </c>
      <c r="Z15" s="286">
        <f>SUMIFS(FNRP!$Q:$Q,FNRP!$AK:$AK,Summary!$X15,FNRP!$AJ:$AJ,Summary!Z$1)/10^9</f>
        <v>0</v>
      </c>
      <c r="AA15" s="286">
        <f>SUMIFS(FNRP!$Q:$Q,FNRP!$AK:$AK,Summary!$X15,FNRP!$AJ:$AJ,Summary!AA$1)/10^9</f>
        <v>0</v>
      </c>
      <c r="AB15" s="286">
        <f>SUMIFS(FNRP!$Q:$Q,FNRP!$AK:$AK,Summary!$X15,FNRP!$AJ:$AJ,Summary!AB$1)/10^9</f>
        <v>0</v>
      </c>
      <c r="AC15" s="286">
        <f>SUMIFS(FNRP!$Q:$Q,FNRP!$AK:$AK,Summary!$X15,FNRP!$AJ:$AJ,Summary!AC$1)/10^9</f>
        <v>0</v>
      </c>
      <c r="AD15" s="286">
        <f>SUMIFS(FNRP!$Q:$Q,FNRP!$AK:$AK,Summary!$X15,FNRP!$AJ:$AJ,Summary!AD$1)/10^9</f>
        <v>0</v>
      </c>
      <c r="AE15" s="286">
        <f>SUMIFS(FNRP!$Q:$Q,FNRP!$AK:$AK,Summary!$X15,FNRP!$AJ:$AJ,Summary!AE$1)/10^9</f>
        <v>0</v>
      </c>
      <c r="AF15" s="286">
        <f>SUMIFS(FNRP!$Q:$Q,FNRP!$AK:$AK,Summary!$X15,FNRP!$AJ:$AJ,Summary!AF$1)/10^9</f>
        <v>0</v>
      </c>
      <c r="AG15" s="286">
        <f>SUMIFS(FNRP!$Q:$Q,FNRP!$AK:$AK,Summary!$X15,FNRP!$AJ:$AJ,Summary!AG$1)/10^9</f>
        <v>0</v>
      </c>
      <c r="AH15" s="286">
        <f>SUMIFS(FNRP!$Q:$Q,FNRP!$AK:$AK,Summary!$X15,FNRP!$AJ:$AJ,Summary!AH$1)/10^9</f>
        <v>0</v>
      </c>
      <c r="AI15" s="28"/>
      <c r="AJ15" s="28"/>
      <c r="AK15" s="28"/>
      <c r="AL15" s="28"/>
      <c r="AM15" s="361" t="str">
        <v>BIDV</v>
      </c>
      <c r="AN15" s="258">
        <f>SUMIFS(FNRP!$BA:$BA,FNRP!$BN:$BN,$AM15)/10^9</f>
        <v>2000</v>
      </c>
      <c r="AO15" s="271">
        <f t="shared" si="8"/>
        <v>2000</v>
      </c>
      <c r="AP15" s="287">
        <f>SUMIFS(FNRP!$BP:$BP,FNRP!$BN:$BN,$AM15,FNRP!$BM:$BM,AP$1)/10^9</f>
        <v>0</v>
      </c>
      <c r="AQ15" s="286">
        <f>SUMIFS(FNRP!$BP:$BP,FNRP!$BN:$BN,$AM15,FNRP!$BM:$BM,AQ$1)/10^9</f>
        <v>2000</v>
      </c>
      <c r="AR15" s="286">
        <f>SUMIFS(FNRP!$BP:$BP,FNRP!$BN:$BN,$AM15,FNRP!$BM:$BM,AR$1)/10^9</f>
        <v>0</v>
      </c>
      <c r="AS15" s="286">
        <f>SUMIFS(FNRP!$BP:$BP,FNRP!$BN:$BN,$AM15,FNRP!$BM:$BM,AS$1)/10^9</f>
        <v>0</v>
      </c>
      <c r="AT15" s="286">
        <f>SUMIFS(FNRP!$BP:$BP,FNRP!$BN:$BN,$AM15,FNRP!$BM:$BM,AT$1)/10^9</f>
        <v>0</v>
      </c>
      <c r="AU15" s="286">
        <f>SUMIFS(FNRP!$BP:$BP,FNRP!$BN:$BN,$AM15,FNRP!$BM:$BM,AU$1)/10^9</f>
        <v>0</v>
      </c>
      <c r="AV15" s="286">
        <f>SUMIFS(FNRP!$BP:$BP,FNRP!$BN:$BN,$AM15,FNRP!$BM:$BM,AV$1)/10^9</f>
        <v>0</v>
      </c>
      <c r="AX15" s="274"/>
      <c r="AY15" s="274"/>
      <c r="AZ15" s="274"/>
      <c r="BA15" s="274"/>
      <c r="BB15" s="274"/>
      <c r="BC15" s="274"/>
      <c r="BD15" s="274"/>
      <c r="BE15" s="274"/>
      <c r="BF15" s="274"/>
      <c r="BG15" s="274"/>
      <c r="BH15" s="274"/>
      <c r="BI15" s="274"/>
      <c r="BJ15" s="274"/>
      <c r="BL15" s="30"/>
      <c r="BM15" s="30"/>
      <c r="BN15" s="30"/>
      <c r="BO15" s="30"/>
      <c r="BP15" s="30"/>
      <c r="BQ15" s="30"/>
    </row>
    <row r="16" spans="1:106" x14ac:dyDescent="0.3">
      <c r="B16" s="253">
        <v>46082</v>
      </c>
      <c r="C16" s="254">
        <f>SUMIFS('His53'!$AF:$AF,'His53'!$AG:$AG,$B16,'His53'!$AE:$AE,C$1)</f>
        <v>48428.854794829</v>
      </c>
      <c r="D16" s="255">
        <f>SUMIFS('His53'!$AF:$AF,'His53'!$AG:$AG,$B16,'His53'!$AE:$AE,D$1)</f>
        <v>101364.621870662</v>
      </c>
      <c r="E16" s="256">
        <f t="shared" si="1"/>
        <v>149793.47666549101</v>
      </c>
      <c r="F16" s="439"/>
      <c r="H16" s="360"/>
      <c r="I16" s="286">
        <f>SUMIFS(FNRP_FIbond[Nominal],FNRP_FIbond[Issuer],Summary!H16)/10^9</f>
        <v>0</v>
      </c>
      <c r="J16" s="271">
        <f t="shared" si="12"/>
        <v>0</v>
      </c>
      <c r="K16" s="286">
        <f>SUMIFS(FNRP!$AN:$AN,FNRP!$AJ:$AJ,Summary!K$1,FNRP!$AK:$AK,Summary!$H16)/10^9</f>
        <v>0</v>
      </c>
      <c r="L16" s="286">
        <f>SUMIFS(FNRP!$AN:$AN,FNRP!$AJ:$AJ,Summary!L$1,FNRP!$AK:$AK,Summary!$H16)/10^9</f>
        <v>0</v>
      </c>
      <c r="M16" s="286">
        <f>SUMIFS(FNRP!$AN:$AN,FNRP!$AJ:$AJ,Summary!M$1,FNRP!$AK:$AK,Summary!$H16)/10^9</f>
        <v>0</v>
      </c>
      <c r="N16" s="286">
        <f>SUMIFS(FNRP!$AN:$AN,FNRP!$AJ:$AJ,Summary!N$1,FNRP!$AK:$AK,Summary!$H16)/10^9</f>
        <v>0</v>
      </c>
      <c r="O16" s="286">
        <f>SUMIFS(FNRP!$AN:$AN,FNRP!$AJ:$AJ,Summary!O$1,FNRP!$AK:$AK,Summary!$H16)/10^9</f>
        <v>0</v>
      </c>
      <c r="P16" s="286">
        <f>SUMIFS(FNRP!$AN:$AN,FNRP!$AJ:$AJ,Summary!P$1,FNRP!$AK:$AK,Summary!$H16)/10^9</f>
        <v>0</v>
      </c>
      <c r="Q16" s="286">
        <f>SUMIFS(FNRP!$AN:$AN,FNRP!$AJ:$AJ,Summary!Q$1,FNRP!$AK:$AK,Summary!$H16)/10^9</f>
        <v>0</v>
      </c>
      <c r="R16" s="286">
        <f>SUMIFS(FNRP!$AN:$AN,FNRP!$AJ:$AJ,Summary!R$1,FNRP!$AK:$AK,Summary!$H16)/10^9</f>
        <v>0</v>
      </c>
      <c r="S16" s="286">
        <f>SUMIFS(FNRP!$AN:$AN,FNRP!$AJ:$AJ,Summary!S$1,FNRP!$AK:$AK,Summary!$H16)/10^9</f>
        <v>0</v>
      </c>
      <c r="T16" s="28"/>
      <c r="U16" s="28"/>
      <c r="V16" s="28"/>
      <c r="W16" s="28"/>
      <c r="X16" s="360"/>
      <c r="Y16" s="271">
        <f t="shared" si="7"/>
        <v>0</v>
      </c>
      <c r="Z16" s="286">
        <f>SUMIFS(FNRP!$Q:$Q,FNRP!$AK:$AK,Summary!$X16,FNRP!$AJ:$AJ,Summary!Z$1)/10^9</f>
        <v>0</v>
      </c>
      <c r="AA16" s="286">
        <f>SUMIFS(FNRP!$Q:$Q,FNRP!$AK:$AK,Summary!$X16,FNRP!$AJ:$AJ,Summary!AA$1)/10^9</f>
        <v>0</v>
      </c>
      <c r="AB16" s="286">
        <f>SUMIFS(FNRP!$Q:$Q,FNRP!$AK:$AK,Summary!$X16,FNRP!$AJ:$AJ,Summary!AB$1)/10^9</f>
        <v>0</v>
      </c>
      <c r="AC16" s="286">
        <f>SUMIFS(FNRP!$Q:$Q,FNRP!$AK:$AK,Summary!$X16,FNRP!$AJ:$AJ,Summary!AC$1)/10^9</f>
        <v>0</v>
      </c>
      <c r="AD16" s="286">
        <f>SUMIFS(FNRP!$Q:$Q,FNRP!$AK:$AK,Summary!$X16,FNRP!$AJ:$AJ,Summary!AD$1)/10^9</f>
        <v>0</v>
      </c>
      <c r="AE16" s="286">
        <f>SUMIFS(FNRP!$Q:$Q,FNRP!$AK:$AK,Summary!$X16,FNRP!$AJ:$AJ,Summary!AE$1)/10^9</f>
        <v>0</v>
      </c>
      <c r="AF16" s="286">
        <f>SUMIFS(FNRP!$Q:$Q,FNRP!$AK:$AK,Summary!$X16,FNRP!$AJ:$AJ,Summary!AF$1)/10^9</f>
        <v>0</v>
      </c>
      <c r="AG16" s="286">
        <f>SUMIFS(FNRP!$Q:$Q,FNRP!$AK:$AK,Summary!$X16,FNRP!$AJ:$AJ,Summary!AG$1)/10^9</f>
        <v>0</v>
      </c>
      <c r="AH16" s="286">
        <f>SUMIFS(FNRP!$Q:$Q,FNRP!$AK:$AK,Summary!$X16,FNRP!$AJ:$AJ,Summary!AH$1)/10^9</f>
        <v>0</v>
      </c>
      <c r="AI16" s="28"/>
      <c r="AJ16" s="28"/>
      <c r="AK16" s="28"/>
      <c r="AL16" s="28"/>
      <c r="AM16" s="361" t="str">
        <v>TC_DIENLUC</v>
      </c>
      <c r="AN16" s="258">
        <f>SUMIFS(FNRP!$BA:$BA,FNRP!$BN:$BN,$AM16)/10^9</f>
        <v>1000</v>
      </c>
      <c r="AO16" s="271">
        <f t="shared" si="8"/>
        <v>1000</v>
      </c>
      <c r="AP16" s="287">
        <f>SUMIFS(FNRP!$BP:$BP,FNRP!$BN:$BN,$AM16,FNRP!$BM:$BM,AP$1)/10^9</f>
        <v>0</v>
      </c>
      <c r="AQ16" s="286">
        <f>SUMIFS(FNRP!$BP:$BP,FNRP!$BN:$BN,$AM16,FNRP!$BM:$BM,AQ$1)/10^9</f>
        <v>200</v>
      </c>
      <c r="AR16" s="286">
        <f>SUMIFS(FNRP!$BP:$BP,FNRP!$BN:$BN,$AM16,FNRP!$BM:$BM,AR$1)/10^9</f>
        <v>800</v>
      </c>
      <c r="AS16" s="286">
        <f>SUMIFS(FNRP!$BP:$BP,FNRP!$BN:$BN,$AM16,FNRP!$BM:$BM,AS$1)/10^9</f>
        <v>0</v>
      </c>
      <c r="AT16" s="286">
        <f>SUMIFS(FNRP!$BP:$BP,FNRP!$BN:$BN,$AM16,FNRP!$BM:$BM,AT$1)/10^9</f>
        <v>0</v>
      </c>
      <c r="AU16" s="286">
        <f>SUMIFS(FNRP!$BP:$BP,FNRP!$BN:$BN,$AM16,FNRP!$BM:$BM,AU$1)/10^9</f>
        <v>0</v>
      </c>
      <c r="AV16" s="286">
        <f>SUMIFS(FNRP!$BP:$BP,FNRP!$BN:$BN,$AM16,FNRP!$BM:$BM,AV$1)/10^9</f>
        <v>0</v>
      </c>
      <c r="AX16" s="274"/>
      <c r="AY16" s="274"/>
      <c r="AZ16" s="274"/>
      <c r="BA16" s="274"/>
      <c r="BB16" s="274"/>
      <c r="BC16" s="274"/>
      <c r="BD16" s="274"/>
      <c r="BE16" s="274"/>
      <c r="BF16" s="274"/>
      <c r="BG16" s="274"/>
      <c r="BH16" s="274"/>
      <c r="BI16" s="274"/>
      <c r="BJ16" s="274"/>
      <c r="BL16" s="30"/>
      <c r="BM16" s="30"/>
      <c r="BN16" s="30"/>
      <c r="BO16" s="30"/>
      <c r="BP16" s="30"/>
      <c r="BQ16" s="30"/>
    </row>
    <row r="17" spans="2:69" ht="14.95" customHeight="1" x14ac:dyDescent="0.3">
      <c r="B17" s="253">
        <v>46113</v>
      </c>
      <c r="C17" s="254">
        <f>SUMIFS('His53'!$AF:$AF,'His53'!$AG:$AG,$B17,'His53'!$AE:$AE,C$1)</f>
        <v>50341.107413292004</v>
      </c>
      <c r="D17" s="255">
        <f>SUMIFS('His53'!$AF:$AF,'His53'!$AG:$AG,$B17,'His53'!$AE:$AE,D$1)</f>
        <v>79668.983913566015</v>
      </c>
      <c r="E17" s="256">
        <f t="shared" si="1"/>
        <v>130010.09132685802</v>
      </c>
      <c r="F17" s="439"/>
      <c r="H17" s="360"/>
      <c r="I17" s="286">
        <f>SUMIFS(FNRP_FIbond[Nominal],FNRP_FIbond[Issuer],Summary!H17)/10^9</f>
        <v>0</v>
      </c>
      <c r="J17" s="271">
        <f t="shared" si="12"/>
        <v>0</v>
      </c>
      <c r="K17" s="286">
        <f>SUMIFS(FNRP!$AN:$AN,FNRP!$AJ:$AJ,Summary!K$1,FNRP!$AK:$AK,Summary!$H17)/10^9</f>
        <v>0</v>
      </c>
      <c r="L17" s="286">
        <f>SUMIFS(FNRP!$AN:$AN,FNRP!$AJ:$AJ,Summary!L$1,FNRP!$AK:$AK,Summary!$H17)/10^9</f>
        <v>0</v>
      </c>
      <c r="M17" s="286">
        <f>SUMIFS(FNRP!$AN:$AN,FNRP!$AJ:$AJ,Summary!M$1,FNRP!$AK:$AK,Summary!$H17)/10^9</f>
        <v>0</v>
      </c>
      <c r="N17" s="286">
        <f>SUMIFS(FNRP!$AN:$AN,FNRP!$AJ:$AJ,Summary!N$1,FNRP!$AK:$AK,Summary!$H17)/10^9</f>
        <v>0</v>
      </c>
      <c r="O17" s="286">
        <f>SUMIFS(FNRP!$AN:$AN,FNRP!$AJ:$AJ,Summary!O$1,FNRP!$AK:$AK,Summary!$H17)/10^9</f>
        <v>0</v>
      </c>
      <c r="P17" s="286">
        <f>SUMIFS(FNRP!$AN:$AN,FNRP!$AJ:$AJ,Summary!P$1,FNRP!$AK:$AK,Summary!$H17)/10^9</f>
        <v>0</v>
      </c>
      <c r="Q17" s="286">
        <f>SUMIFS(FNRP!$AN:$AN,FNRP!$AJ:$AJ,Summary!Q$1,FNRP!$AK:$AK,Summary!$H17)/10^9</f>
        <v>0</v>
      </c>
      <c r="R17" s="286">
        <f>SUMIFS(FNRP!$AN:$AN,FNRP!$AJ:$AJ,Summary!R$1,FNRP!$AK:$AK,Summary!$H17)/10^9</f>
        <v>0</v>
      </c>
      <c r="S17" s="286">
        <f>SUMIFS(FNRP!$AN:$AN,FNRP!$AJ:$AJ,Summary!S$1,FNRP!$AK:$AK,Summary!$H17)/10^9</f>
        <v>0</v>
      </c>
      <c r="T17" s="28"/>
      <c r="U17" s="28"/>
      <c r="V17" s="28"/>
      <c r="W17" s="28"/>
      <c r="X17" s="360"/>
      <c r="Y17" s="271">
        <f t="shared" si="7"/>
        <v>0</v>
      </c>
      <c r="Z17" s="286">
        <f>SUMIFS(FNRP!$Q:$Q,FNRP!$AK:$AK,Summary!$X17,FNRP!$AJ:$AJ,Summary!Z$1)/10^9</f>
        <v>0</v>
      </c>
      <c r="AA17" s="286">
        <f>SUMIFS(FNRP!$Q:$Q,FNRP!$AK:$AK,Summary!$X17,FNRP!$AJ:$AJ,Summary!AA$1)/10^9</f>
        <v>0</v>
      </c>
      <c r="AB17" s="286">
        <f>SUMIFS(FNRP!$Q:$Q,FNRP!$AK:$AK,Summary!$X17,FNRP!$AJ:$AJ,Summary!AB$1)/10^9</f>
        <v>0</v>
      </c>
      <c r="AC17" s="286">
        <f>SUMIFS(FNRP!$Q:$Q,FNRP!$AK:$AK,Summary!$X17,FNRP!$AJ:$AJ,Summary!AC$1)/10^9</f>
        <v>0</v>
      </c>
      <c r="AD17" s="286">
        <f>SUMIFS(FNRP!$Q:$Q,FNRP!$AK:$AK,Summary!$X17,FNRP!$AJ:$AJ,Summary!AD$1)/10^9</f>
        <v>0</v>
      </c>
      <c r="AE17" s="286">
        <f>SUMIFS(FNRP!$Q:$Q,FNRP!$AK:$AK,Summary!$X17,FNRP!$AJ:$AJ,Summary!AE$1)/10^9</f>
        <v>0</v>
      </c>
      <c r="AF17" s="286">
        <f>SUMIFS(FNRP!$Q:$Q,FNRP!$AK:$AK,Summary!$X17,FNRP!$AJ:$AJ,Summary!AF$1)/10^9</f>
        <v>0</v>
      </c>
      <c r="AG17" s="286">
        <f>SUMIFS(FNRP!$Q:$Q,FNRP!$AK:$AK,Summary!$X17,FNRP!$AJ:$AJ,Summary!AG$1)/10^9</f>
        <v>0</v>
      </c>
      <c r="AH17" s="286">
        <f>SUMIFS(FNRP!$Q:$Q,FNRP!$AK:$AK,Summary!$X17,FNRP!$AJ:$AJ,Summary!AH$1)/10^9</f>
        <v>0</v>
      </c>
      <c r="AI17" s="28"/>
      <c r="AJ17" s="28"/>
      <c r="AK17" s="28"/>
      <c r="AL17" s="28"/>
      <c r="AM17" s="361" t="str">
        <v>MCSB</v>
      </c>
      <c r="AN17" s="258">
        <f>SUMIFS(FNRP!$BA:$BA,FNRP!$BN:$BN,$AM17)/10^9</f>
        <v>1000</v>
      </c>
      <c r="AO17" s="271">
        <f t="shared" si="8"/>
        <v>1000</v>
      </c>
      <c r="AP17" s="287">
        <f>SUMIFS(FNRP!$BP:$BP,FNRP!$BN:$BN,$AM17,FNRP!$BM:$BM,AP$1)/10^9</f>
        <v>0</v>
      </c>
      <c r="AQ17" s="286">
        <f>SUMIFS(FNRP!$BP:$BP,FNRP!$BN:$BN,$AM17,FNRP!$BM:$BM,AQ$1)/10^9</f>
        <v>1000</v>
      </c>
      <c r="AR17" s="286">
        <f>SUMIFS(FNRP!$BP:$BP,FNRP!$BN:$BN,$AM17,FNRP!$BM:$BM,AR$1)/10^9</f>
        <v>0</v>
      </c>
      <c r="AS17" s="286">
        <f>SUMIFS(FNRP!$BP:$BP,FNRP!$BN:$BN,$AM17,FNRP!$BM:$BM,AS$1)/10^9</f>
        <v>0</v>
      </c>
      <c r="AT17" s="286">
        <f>SUMIFS(FNRP!$BP:$BP,FNRP!$BN:$BN,$AM17,FNRP!$BM:$BM,AT$1)/10^9</f>
        <v>0</v>
      </c>
      <c r="AU17" s="286">
        <f>SUMIFS(FNRP!$BP:$BP,FNRP!$BN:$BN,$AM17,FNRP!$BM:$BM,AU$1)/10^9</f>
        <v>0</v>
      </c>
      <c r="AV17" s="286">
        <f>SUMIFS(FNRP!$BP:$BP,FNRP!$BN:$BN,$AM17,FNRP!$BM:$BM,AV$1)/10^9</f>
        <v>0</v>
      </c>
      <c r="AX17" s="274"/>
      <c r="AY17" s="274"/>
      <c r="AZ17" s="274"/>
      <c r="BA17" s="274"/>
      <c r="BB17" s="274"/>
      <c r="BC17" s="274"/>
      <c r="BD17" s="274"/>
      <c r="BE17" s="274"/>
      <c r="BF17" s="274"/>
      <c r="BG17" s="274"/>
      <c r="BH17" s="274"/>
      <c r="BI17" s="274"/>
      <c r="BJ17" s="274"/>
      <c r="BL17" s="30"/>
      <c r="BM17" s="30"/>
      <c r="BN17" s="30"/>
      <c r="BO17" s="30"/>
      <c r="BP17" s="30"/>
      <c r="BQ17" s="30"/>
    </row>
    <row r="18" spans="2:69" ht="14.95" customHeight="1" x14ac:dyDescent="0.3">
      <c r="B18" s="253">
        <v>46143</v>
      </c>
      <c r="C18" s="254">
        <f>SUMIFS('His53'!$AF:$AF,'His53'!$AG:$AG,$B18,'His53'!$AE:$AE,C$1)</f>
        <v>61029.817060736998</v>
      </c>
      <c r="D18" s="255">
        <f>SUMIFS('His53'!$AF:$AF,'His53'!$AG:$AG,$B18,'His53'!$AE:$AE,D$1)</f>
        <v>56503.378029939006</v>
      </c>
      <c r="E18" s="256">
        <f t="shared" si="1"/>
        <v>117533.195090676</v>
      </c>
      <c r="F18" s="439"/>
      <c r="H18" s="360"/>
      <c r="I18" s="286">
        <f>SUMIFS(FNRP_FIbond[Nominal],FNRP_FIbond[Issuer],Summary!H18)/10^9</f>
        <v>0</v>
      </c>
      <c r="J18" s="271">
        <f t="shared" si="12"/>
        <v>0</v>
      </c>
      <c r="K18" s="286">
        <f>SUMIFS(FNRP!$AN:$AN,FNRP!$AJ:$AJ,Summary!K$1,FNRP!$AK:$AK,Summary!$H18)/10^9</f>
        <v>0</v>
      </c>
      <c r="L18" s="286">
        <f>SUMIFS(FNRP!$AN:$AN,FNRP!$AJ:$AJ,Summary!L$1,FNRP!$AK:$AK,Summary!$H18)/10^9</f>
        <v>0</v>
      </c>
      <c r="M18" s="286">
        <f>SUMIFS(FNRP!$AN:$AN,FNRP!$AJ:$AJ,Summary!M$1,FNRP!$AK:$AK,Summary!$H18)/10^9</f>
        <v>0</v>
      </c>
      <c r="N18" s="286">
        <f>SUMIFS(FNRP!$AN:$AN,FNRP!$AJ:$AJ,Summary!N$1,FNRP!$AK:$AK,Summary!$H18)/10^9</f>
        <v>0</v>
      </c>
      <c r="O18" s="286">
        <f>SUMIFS(FNRP!$AN:$AN,FNRP!$AJ:$AJ,Summary!O$1,FNRP!$AK:$AK,Summary!$H18)/10^9</f>
        <v>0</v>
      </c>
      <c r="P18" s="286">
        <f>SUMIFS(FNRP!$AN:$AN,FNRP!$AJ:$AJ,Summary!P$1,FNRP!$AK:$AK,Summary!$H18)/10^9</f>
        <v>0</v>
      </c>
      <c r="Q18" s="286">
        <f>SUMIFS(FNRP!$AN:$AN,FNRP!$AJ:$AJ,Summary!Q$1,FNRP!$AK:$AK,Summary!$H18)/10^9</f>
        <v>0</v>
      </c>
      <c r="R18" s="286">
        <f>SUMIFS(FNRP!$AN:$AN,FNRP!$AJ:$AJ,Summary!R$1,FNRP!$AK:$AK,Summary!$H18)/10^9</f>
        <v>0</v>
      </c>
      <c r="S18" s="286">
        <f>SUMIFS(FNRP!$AN:$AN,FNRP!$AJ:$AJ,Summary!S$1,FNRP!$AK:$AK,Summary!$H18)/10^9</f>
        <v>0</v>
      </c>
      <c r="T18" s="28"/>
      <c r="U18" s="28"/>
      <c r="V18" s="28"/>
      <c r="W18" s="28"/>
      <c r="X18" s="360"/>
      <c r="Y18" s="271">
        <f t="shared" si="7"/>
        <v>0</v>
      </c>
      <c r="Z18" s="286">
        <f>SUMIFS(FNRP!$Q:$Q,FNRP!$AK:$AK,Summary!$X18,FNRP!$AJ:$AJ,Summary!Z$1)/10^9</f>
        <v>0</v>
      </c>
      <c r="AA18" s="286">
        <f>SUMIFS(FNRP!$Q:$Q,FNRP!$AK:$AK,Summary!$X18,FNRP!$AJ:$AJ,Summary!AA$1)/10^9</f>
        <v>0</v>
      </c>
      <c r="AB18" s="286">
        <f>SUMIFS(FNRP!$Q:$Q,FNRP!$AK:$AK,Summary!$X18,FNRP!$AJ:$AJ,Summary!AB$1)/10^9</f>
        <v>0</v>
      </c>
      <c r="AC18" s="286">
        <f>SUMIFS(FNRP!$Q:$Q,FNRP!$AK:$AK,Summary!$X18,FNRP!$AJ:$AJ,Summary!AC$1)/10^9</f>
        <v>0</v>
      </c>
      <c r="AD18" s="286">
        <f>SUMIFS(FNRP!$Q:$Q,FNRP!$AK:$AK,Summary!$X18,FNRP!$AJ:$AJ,Summary!AD$1)/10^9</f>
        <v>0</v>
      </c>
      <c r="AE18" s="286">
        <f>SUMIFS(FNRP!$Q:$Q,FNRP!$AK:$AK,Summary!$X18,FNRP!$AJ:$AJ,Summary!AE$1)/10^9</f>
        <v>0</v>
      </c>
      <c r="AF18" s="286">
        <f>SUMIFS(FNRP!$Q:$Q,FNRP!$AK:$AK,Summary!$X18,FNRP!$AJ:$AJ,Summary!AF$1)/10^9</f>
        <v>0</v>
      </c>
      <c r="AG18" s="286">
        <f>SUMIFS(FNRP!$Q:$Q,FNRP!$AK:$AK,Summary!$X18,FNRP!$AJ:$AJ,Summary!AG$1)/10^9</f>
        <v>0</v>
      </c>
      <c r="AH18" s="286">
        <f>SUMIFS(FNRP!$Q:$Q,FNRP!$AK:$AK,Summary!$X18,FNRP!$AJ:$AJ,Summary!AH$1)/10^9</f>
        <v>0</v>
      </c>
      <c r="AI18" s="28"/>
      <c r="AJ18" s="28"/>
      <c r="AK18" s="28"/>
      <c r="AL18" s="28"/>
      <c r="AM18" s="361" t="str">
        <v>TC_SHINSEI</v>
      </c>
      <c r="AN18" s="258">
        <f>SUMIFS(FNRP!$BA:$BA,FNRP!$BN:$BN,$AM18)/10^9</f>
        <v>600</v>
      </c>
      <c r="AO18" s="271">
        <f t="shared" si="8"/>
        <v>600</v>
      </c>
      <c r="AP18" s="287">
        <f>SUMIFS(FNRP!$BP:$BP,FNRP!$BN:$BN,$AM18,FNRP!$BM:$BM,AP$1)/10^9</f>
        <v>0</v>
      </c>
      <c r="AQ18" s="286">
        <f>SUMIFS(FNRP!$BP:$BP,FNRP!$BN:$BN,$AM18,FNRP!$BM:$BM,AQ$1)/10^9</f>
        <v>0</v>
      </c>
      <c r="AR18" s="286">
        <f>SUMIFS(FNRP!$BP:$BP,FNRP!$BN:$BN,$AM18,FNRP!$BM:$BM,AR$1)/10^9</f>
        <v>600</v>
      </c>
      <c r="AS18" s="286">
        <f>SUMIFS(FNRP!$BP:$BP,FNRP!$BN:$BN,$AM18,FNRP!$BM:$BM,AS$1)/10^9</f>
        <v>0</v>
      </c>
      <c r="AT18" s="286">
        <f>SUMIFS(FNRP!$BP:$BP,FNRP!$BN:$BN,$AM18,FNRP!$BM:$BM,AT$1)/10^9</f>
        <v>0</v>
      </c>
      <c r="AU18" s="286">
        <f>SUMIFS(FNRP!$BP:$BP,FNRP!$BN:$BN,$AM18,FNRP!$BM:$BM,AU$1)/10^9</f>
        <v>0</v>
      </c>
      <c r="AV18" s="286">
        <f>SUMIFS(FNRP!$BP:$BP,FNRP!$BN:$BN,$AM18,FNRP!$BM:$BM,AV$1)/10^9</f>
        <v>0</v>
      </c>
      <c r="AX18" s="274"/>
      <c r="AY18" s="274"/>
      <c r="AZ18" s="274"/>
      <c r="BA18" s="274"/>
      <c r="BB18" s="274"/>
      <c r="BC18" s="274"/>
      <c r="BD18" s="274"/>
      <c r="BE18" s="274"/>
      <c r="BF18" s="274"/>
      <c r="BG18" s="274"/>
      <c r="BH18" s="274"/>
      <c r="BI18" s="274"/>
      <c r="BJ18" s="274"/>
      <c r="BL18" s="30"/>
      <c r="BM18" s="30"/>
      <c r="BN18" s="30"/>
      <c r="BO18" s="30"/>
      <c r="BP18" s="30"/>
      <c r="BQ18" s="30"/>
    </row>
    <row r="19" spans="2:69" x14ac:dyDescent="0.3">
      <c r="B19" s="253">
        <v>46174</v>
      </c>
      <c r="C19" s="254">
        <f>SUMIFS('His53'!$AF:$AF,'His53'!$AG:$AG,$B19,'His53'!$AE:$AE,C$1)</f>
        <v>45075.640989417006</v>
      </c>
      <c r="D19" s="255">
        <f>SUMIFS('His53'!$AF:$AF,'His53'!$AG:$AG,$B19,'His53'!$AE:$AE,D$1)</f>
        <v>120303.405121845</v>
      </c>
      <c r="E19" s="256">
        <f t="shared" si="1"/>
        <v>165379.046111262</v>
      </c>
      <c r="F19" s="439"/>
      <c r="H19" s="360"/>
      <c r="I19" s="286">
        <f>SUMIFS(FNRP_FIbond[Nominal],FNRP_FIbond[Issuer],Summary!H19)/10^9</f>
        <v>0</v>
      </c>
      <c r="J19" s="271">
        <f t="shared" si="12"/>
        <v>0</v>
      </c>
      <c r="K19" s="286">
        <f>SUMIFS(FNRP!$AN:$AN,FNRP!$AJ:$AJ,Summary!K$1,FNRP!$AK:$AK,Summary!$H19)/10^9</f>
        <v>0</v>
      </c>
      <c r="L19" s="286">
        <f>SUMIFS(FNRP!$AN:$AN,FNRP!$AJ:$AJ,Summary!L$1,FNRP!$AK:$AK,Summary!$H19)/10^9</f>
        <v>0</v>
      </c>
      <c r="M19" s="286">
        <f>SUMIFS(FNRP!$AN:$AN,FNRP!$AJ:$AJ,Summary!M$1,FNRP!$AK:$AK,Summary!$H19)/10^9</f>
        <v>0</v>
      </c>
      <c r="N19" s="286">
        <f>SUMIFS(FNRP!$AN:$AN,FNRP!$AJ:$AJ,Summary!N$1,FNRP!$AK:$AK,Summary!$H19)/10^9</f>
        <v>0</v>
      </c>
      <c r="O19" s="286">
        <f>SUMIFS(FNRP!$AN:$AN,FNRP!$AJ:$AJ,Summary!O$1,FNRP!$AK:$AK,Summary!$H19)/10^9</f>
        <v>0</v>
      </c>
      <c r="P19" s="286">
        <f>SUMIFS(FNRP!$AN:$AN,FNRP!$AJ:$AJ,Summary!P$1,FNRP!$AK:$AK,Summary!$H19)/10^9</f>
        <v>0</v>
      </c>
      <c r="Q19" s="286">
        <f>SUMIFS(FNRP!$AN:$AN,FNRP!$AJ:$AJ,Summary!Q$1,FNRP!$AK:$AK,Summary!$H19)/10^9</f>
        <v>0</v>
      </c>
      <c r="R19" s="286">
        <f>SUMIFS(FNRP!$AN:$AN,FNRP!$AJ:$AJ,Summary!R$1,FNRP!$AK:$AK,Summary!$H19)/10^9</f>
        <v>0</v>
      </c>
      <c r="S19" s="286">
        <f>SUMIFS(FNRP!$AN:$AN,FNRP!$AJ:$AJ,Summary!S$1,FNRP!$AK:$AK,Summary!$H19)/10^9</f>
        <v>0</v>
      </c>
      <c r="T19" s="28"/>
      <c r="U19" s="28"/>
      <c r="V19" s="28"/>
      <c r="W19" s="28"/>
      <c r="X19" s="360"/>
      <c r="Y19" s="271">
        <f t="shared" si="7"/>
        <v>0</v>
      </c>
      <c r="Z19" s="286">
        <f>SUMIFS(FNRP!$Q:$Q,FNRP!$AK:$AK,Summary!$X19,FNRP!$AJ:$AJ,Summary!Z$1)/10^9</f>
        <v>0</v>
      </c>
      <c r="AA19" s="286">
        <f>SUMIFS(FNRP!$Q:$Q,FNRP!$AK:$AK,Summary!$X19,FNRP!$AJ:$AJ,Summary!AA$1)/10^9</f>
        <v>0</v>
      </c>
      <c r="AB19" s="286">
        <f>SUMIFS(FNRP!$Q:$Q,FNRP!$AK:$AK,Summary!$X19,FNRP!$AJ:$AJ,Summary!AB$1)/10^9</f>
        <v>0</v>
      </c>
      <c r="AC19" s="286">
        <f>SUMIFS(FNRP!$Q:$Q,FNRP!$AK:$AK,Summary!$X19,FNRP!$AJ:$AJ,Summary!AC$1)/10^9</f>
        <v>0</v>
      </c>
      <c r="AD19" s="286">
        <f>SUMIFS(FNRP!$Q:$Q,FNRP!$AK:$AK,Summary!$X19,FNRP!$AJ:$AJ,Summary!AD$1)/10^9</f>
        <v>0</v>
      </c>
      <c r="AE19" s="286">
        <f>SUMIFS(FNRP!$Q:$Q,FNRP!$AK:$AK,Summary!$X19,FNRP!$AJ:$AJ,Summary!AE$1)/10^9</f>
        <v>0</v>
      </c>
      <c r="AF19" s="286">
        <f>SUMIFS(FNRP!$Q:$Q,FNRP!$AK:$AK,Summary!$X19,FNRP!$AJ:$AJ,Summary!AF$1)/10^9</f>
        <v>0</v>
      </c>
      <c r="AG19" s="286">
        <f>SUMIFS(FNRP!$Q:$Q,FNRP!$AK:$AK,Summary!$X19,FNRP!$AJ:$AJ,Summary!AG$1)/10^9</f>
        <v>0</v>
      </c>
      <c r="AH19" s="286">
        <f>SUMIFS(FNRP!$Q:$Q,FNRP!$AK:$AK,Summary!$X19,FNRP!$AJ:$AJ,Summary!AH$1)/10^9</f>
        <v>0</v>
      </c>
      <c r="AI19" s="28"/>
      <c r="AJ19" s="28"/>
      <c r="AK19" s="28"/>
      <c r="AL19" s="28"/>
      <c r="AM19" s="361" t="str">
        <v>VPVN</v>
      </c>
      <c r="AN19" s="258">
        <f>SUMIFS(FNRP!$BA:$BA,FNRP!$BN:$BN,$AM19)/10^9</f>
        <v>2000</v>
      </c>
      <c r="AO19" s="271">
        <f t="shared" si="8"/>
        <v>2000</v>
      </c>
      <c r="AP19" s="287">
        <f>SUMIFS(FNRP!$BP:$BP,FNRP!$BN:$BN,$AM19,FNRP!$BM:$BM,AP$1)/10^9</f>
        <v>0</v>
      </c>
      <c r="AQ19" s="286">
        <f>SUMIFS(FNRP!$BP:$BP,FNRP!$BN:$BN,$AM19,FNRP!$BM:$BM,AQ$1)/10^9</f>
        <v>0</v>
      </c>
      <c r="AR19" s="286">
        <f>SUMIFS(FNRP!$BP:$BP,FNRP!$BN:$BN,$AM19,FNRP!$BM:$BM,AR$1)/10^9</f>
        <v>2000</v>
      </c>
      <c r="AS19" s="286">
        <f>SUMIFS(FNRP!$BP:$BP,FNRP!$BN:$BN,$AM19,FNRP!$BM:$BM,AS$1)/10^9</f>
        <v>0</v>
      </c>
      <c r="AT19" s="286">
        <f>SUMIFS(FNRP!$BP:$BP,FNRP!$BN:$BN,$AM19,FNRP!$BM:$BM,AT$1)/10^9</f>
        <v>0</v>
      </c>
      <c r="AU19" s="286">
        <f>SUMIFS(FNRP!$BP:$BP,FNRP!$BN:$BN,$AM19,FNRP!$BM:$BM,AU$1)/10^9</f>
        <v>0</v>
      </c>
      <c r="AV19" s="286">
        <f>SUMIFS(FNRP!$BP:$BP,FNRP!$BN:$BN,$AM19,FNRP!$BM:$BM,AV$1)/10^9</f>
        <v>0</v>
      </c>
      <c r="AX19" s="274"/>
      <c r="AY19" s="274"/>
      <c r="AZ19" s="274"/>
      <c r="BA19" s="274"/>
      <c r="BB19" s="274"/>
      <c r="BC19" s="274"/>
      <c r="BD19" s="274"/>
      <c r="BE19" s="274"/>
      <c r="BF19" s="274"/>
      <c r="BG19" s="274"/>
      <c r="BH19" s="274"/>
      <c r="BI19" s="274"/>
      <c r="BJ19" s="274"/>
      <c r="BL19" s="30"/>
      <c r="BM19" s="30"/>
      <c r="BN19" s="30"/>
      <c r="BO19" s="30"/>
      <c r="BP19" s="30"/>
      <c r="BQ19" s="30"/>
    </row>
    <row r="20" spans="2:69" x14ac:dyDescent="0.3">
      <c r="B20" s="253">
        <v>46204</v>
      </c>
      <c r="C20" s="254">
        <f>SUMIFS('His53'!$AF:$AF,'His53'!$AG:$AG,$B20,'His53'!$AE:$AE,C$1)</f>
        <v>35094.097824452998</v>
      </c>
      <c r="D20" s="255">
        <f>SUMIFS('His53'!$AF:$AF,'His53'!$AG:$AG,$B20,'His53'!$AE:$AE,D$1)</f>
        <v>129363.635986901</v>
      </c>
      <c r="E20" s="256">
        <f t="shared" ref="E20:E25" si="13">C20+D20</f>
        <v>164457.733811354</v>
      </c>
      <c r="F20" s="439"/>
      <c r="H20" s="360"/>
      <c r="I20" s="286">
        <f>SUMIFS(FNRP_FIbond[Nominal],FNRP_FIbond[Issuer],Summary!H20)/10^9</f>
        <v>0</v>
      </c>
      <c r="J20" s="271">
        <f t="shared" si="12"/>
        <v>0</v>
      </c>
      <c r="K20" s="286">
        <f>SUMIFS(FNRP!$AN:$AN,FNRP!$AJ:$AJ,Summary!K$1,FNRP!$AK:$AK,Summary!$H20)/10^9</f>
        <v>0</v>
      </c>
      <c r="L20" s="286">
        <f>SUMIFS(FNRP!$AN:$AN,FNRP!$AJ:$AJ,Summary!L$1,FNRP!$AK:$AK,Summary!$H20)/10^9</f>
        <v>0</v>
      </c>
      <c r="M20" s="286">
        <f>SUMIFS(FNRP!$AN:$AN,FNRP!$AJ:$AJ,Summary!M$1,FNRP!$AK:$AK,Summary!$H20)/10^9</f>
        <v>0</v>
      </c>
      <c r="N20" s="286">
        <f>SUMIFS(FNRP!$AN:$AN,FNRP!$AJ:$AJ,Summary!N$1,FNRP!$AK:$AK,Summary!$H20)/10^9</f>
        <v>0</v>
      </c>
      <c r="O20" s="286">
        <f>SUMIFS(FNRP!$AN:$AN,FNRP!$AJ:$AJ,Summary!O$1,FNRP!$AK:$AK,Summary!$H20)/10^9</f>
        <v>0</v>
      </c>
      <c r="P20" s="286">
        <f>SUMIFS(FNRP!$AN:$AN,FNRP!$AJ:$AJ,Summary!P$1,FNRP!$AK:$AK,Summary!$H20)/10^9</f>
        <v>0</v>
      </c>
      <c r="Q20" s="286">
        <f>SUMIFS(FNRP!$AN:$AN,FNRP!$AJ:$AJ,Summary!Q$1,FNRP!$AK:$AK,Summary!$H20)/10^9</f>
        <v>0</v>
      </c>
      <c r="R20" s="286">
        <f>SUMIFS(FNRP!$AN:$AN,FNRP!$AJ:$AJ,Summary!R$1,FNRP!$AK:$AK,Summary!$H20)/10^9</f>
        <v>0</v>
      </c>
      <c r="S20" s="286">
        <f>SUMIFS(FNRP!$AN:$AN,FNRP!$AJ:$AJ,Summary!S$1,FNRP!$AK:$AK,Summary!$H20)/10^9</f>
        <v>0</v>
      </c>
      <c r="T20" s="28"/>
      <c r="U20" s="28"/>
      <c r="V20" s="28"/>
      <c r="W20" s="28"/>
      <c r="X20" s="360"/>
      <c r="Y20" s="271">
        <f t="shared" si="7"/>
        <v>0</v>
      </c>
      <c r="Z20" s="286">
        <f>SUMIFS(FNRP!$Q:$Q,FNRP!$AK:$AK,Summary!$X20,FNRP!$AJ:$AJ,Summary!Z$1)/10^9</f>
        <v>0</v>
      </c>
      <c r="AA20" s="286">
        <f>SUMIFS(FNRP!$Q:$Q,FNRP!$AK:$AK,Summary!$X20,FNRP!$AJ:$AJ,Summary!AA$1)/10^9</f>
        <v>0</v>
      </c>
      <c r="AB20" s="286">
        <f>SUMIFS(FNRP!$Q:$Q,FNRP!$AK:$AK,Summary!$X20,FNRP!$AJ:$AJ,Summary!AB$1)/10^9</f>
        <v>0</v>
      </c>
      <c r="AC20" s="286">
        <f>SUMIFS(FNRP!$Q:$Q,FNRP!$AK:$AK,Summary!$X20,FNRP!$AJ:$AJ,Summary!AC$1)/10^9</f>
        <v>0</v>
      </c>
      <c r="AD20" s="286">
        <f>SUMIFS(FNRP!$Q:$Q,FNRP!$AK:$AK,Summary!$X20,FNRP!$AJ:$AJ,Summary!AD$1)/10^9</f>
        <v>0</v>
      </c>
      <c r="AE20" s="286">
        <f>SUMIFS(FNRP!$Q:$Q,FNRP!$AK:$AK,Summary!$X20,FNRP!$AJ:$AJ,Summary!AE$1)/10^9</f>
        <v>0</v>
      </c>
      <c r="AF20" s="286">
        <f>SUMIFS(FNRP!$Q:$Q,FNRP!$AK:$AK,Summary!$X20,FNRP!$AJ:$AJ,Summary!AF$1)/10^9</f>
        <v>0</v>
      </c>
      <c r="AG20" s="286">
        <f>SUMIFS(FNRP!$Q:$Q,FNRP!$AK:$AK,Summary!$X20,FNRP!$AJ:$AJ,Summary!AG$1)/10^9</f>
        <v>0</v>
      </c>
      <c r="AH20" s="286">
        <f>SUMIFS(FNRP!$Q:$Q,FNRP!$AK:$AK,Summary!$X20,FNRP!$AJ:$AJ,Summary!AH$1)/10^9</f>
        <v>0</v>
      </c>
      <c r="AI20" s="28"/>
      <c r="AJ20" s="28"/>
      <c r="AK20" s="28"/>
      <c r="AL20" s="28"/>
      <c r="AM20" s="361" t="str">
        <v>ACBV</v>
      </c>
      <c r="AN20" s="258">
        <f>SUMIFS(FNRP!$BA:$BA,FNRP!$BN:$BN,$AM20)/10^9</f>
        <v>200</v>
      </c>
      <c r="AO20" s="271">
        <f t="shared" si="8"/>
        <v>200</v>
      </c>
      <c r="AP20" s="287">
        <f>SUMIFS(FNRP!$BP:$BP,FNRP!$BN:$BN,$AM20,FNRP!$BM:$BM,AP$1)/10^9</f>
        <v>0</v>
      </c>
      <c r="AQ20" s="286">
        <f>SUMIFS(FNRP!$BP:$BP,FNRP!$BN:$BN,$AM20,FNRP!$BM:$BM,AQ$1)/10^9</f>
        <v>0</v>
      </c>
      <c r="AR20" s="286">
        <f>SUMIFS(FNRP!$BP:$BP,FNRP!$BN:$BN,$AM20,FNRP!$BM:$BM,AR$1)/10^9</f>
        <v>200</v>
      </c>
      <c r="AS20" s="286">
        <f>SUMIFS(FNRP!$BP:$BP,FNRP!$BN:$BN,$AM20,FNRP!$BM:$BM,AS$1)/10^9</f>
        <v>0</v>
      </c>
      <c r="AT20" s="286">
        <f>SUMIFS(FNRP!$BP:$BP,FNRP!$BN:$BN,$AM20,FNRP!$BM:$BM,AT$1)/10^9</f>
        <v>0</v>
      </c>
      <c r="AU20" s="286">
        <f>SUMIFS(FNRP!$BP:$BP,FNRP!$BN:$BN,$AM20,FNRP!$BM:$BM,AU$1)/10^9</f>
        <v>0</v>
      </c>
      <c r="AV20" s="286">
        <f>SUMIFS(FNRP!$BP:$BP,FNRP!$BN:$BN,$AM20,FNRP!$BM:$BM,AV$1)/10^9</f>
        <v>0</v>
      </c>
      <c r="AX20" s="274"/>
      <c r="AY20" s="274"/>
      <c r="AZ20" s="274"/>
      <c r="BA20" s="274"/>
      <c r="BB20" s="274"/>
      <c r="BC20" s="274"/>
      <c r="BD20" s="274"/>
      <c r="BE20" s="274"/>
      <c r="BF20" s="274"/>
      <c r="BG20" s="274"/>
      <c r="BH20" s="274"/>
      <c r="BI20" s="274"/>
      <c r="BJ20" s="274"/>
      <c r="BL20" s="30"/>
      <c r="BM20" s="30"/>
      <c r="BN20" s="30"/>
      <c r="BO20" s="30"/>
      <c r="BP20" s="30"/>
      <c r="BQ20" s="30"/>
    </row>
    <row r="21" spans="2:69" x14ac:dyDescent="0.3">
      <c r="B21" s="253">
        <v>46235</v>
      </c>
      <c r="C21" s="254">
        <f>SUMIFS('His53'!$AF:$AF,'His53'!$AG:$AG,$B21,'His53'!$AE:$AE,C$1)</f>
        <v>38506.962284419009</v>
      </c>
      <c r="D21" s="255">
        <f>SUMIFS('His53'!$AF:$AF,'His53'!$AG:$AG,$B21,'His53'!$AE:$AE,D$1)</f>
        <v>90505.698800318991</v>
      </c>
      <c r="E21" s="256">
        <f t="shared" si="13"/>
        <v>129012.66108473801</v>
      </c>
      <c r="F21" s="439"/>
      <c r="H21" s="360"/>
      <c r="I21" s="286">
        <f>SUMIFS(FNRP_FIbond[Nominal],FNRP_FIbond[Issuer],Summary!H21)/10^9</f>
        <v>0</v>
      </c>
      <c r="J21" s="271">
        <f t="shared" si="12"/>
        <v>0</v>
      </c>
      <c r="K21" s="286">
        <f>SUMIFS(FNRP!$AN:$AN,FNRP!$AJ:$AJ,Summary!K$1,FNRP!$AK:$AK,Summary!$H21)/10^9</f>
        <v>0</v>
      </c>
      <c r="L21" s="286">
        <f>SUMIFS(FNRP!$AN:$AN,FNRP!$AJ:$AJ,Summary!L$1,FNRP!$AK:$AK,Summary!$H21)/10^9</f>
        <v>0</v>
      </c>
      <c r="M21" s="286">
        <f>SUMIFS(FNRP!$AN:$AN,FNRP!$AJ:$AJ,Summary!M$1,FNRP!$AK:$AK,Summary!$H21)/10^9</f>
        <v>0</v>
      </c>
      <c r="N21" s="286">
        <f>SUMIFS(FNRP!$AN:$AN,FNRP!$AJ:$AJ,Summary!N$1,FNRP!$AK:$AK,Summary!$H21)/10^9</f>
        <v>0</v>
      </c>
      <c r="O21" s="286">
        <f>SUMIFS(FNRP!$AN:$AN,FNRP!$AJ:$AJ,Summary!O$1,FNRP!$AK:$AK,Summary!$H21)/10^9</f>
        <v>0</v>
      </c>
      <c r="P21" s="286">
        <f>SUMIFS(FNRP!$AN:$AN,FNRP!$AJ:$AJ,Summary!P$1,FNRP!$AK:$AK,Summary!$H21)/10^9</f>
        <v>0</v>
      </c>
      <c r="Q21" s="286">
        <f>SUMIFS(FNRP!$AN:$AN,FNRP!$AJ:$AJ,Summary!Q$1,FNRP!$AK:$AK,Summary!$H21)/10^9</f>
        <v>0</v>
      </c>
      <c r="R21" s="286">
        <f>SUMIFS(FNRP!$AN:$AN,FNRP!$AJ:$AJ,Summary!R$1,FNRP!$AK:$AK,Summary!$H21)/10^9</f>
        <v>0</v>
      </c>
      <c r="S21" s="286">
        <f>SUMIFS(FNRP!$AN:$AN,FNRP!$AJ:$AJ,Summary!S$1,FNRP!$AK:$AK,Summary!$H21)/10^9</f>
        <v>0</v>
      </c>
      <c r="T21" s="28"/>
      <c r="U21" s="28"/>
      <c r="V21" s="28"/>
      <c r="W21" s="28"/>
      <c r="X21" s="360"/>
      <c r="Y21" s="271">
        <f t="shared" si="7"/>
        <v>0</v>
      </c>
      <c r="Z21" s="286">
        <f>SUMIFS(FNRP!$Q:$Q,FNRP!$AK:$AK,Summary!$X21,FNRP!$AJ:$AJ,Summary!Z$1)/10^9</f>
        <v>0</v>
      </c>
      <c r="AA21" s="286">
        <f>SUMIFS(FNRP!$Q:$Q,FNRP!$AK:$AK,Summary!$X21,FNRP!$AJ:$AJ,Summary!AA$1)/10^9</f>
        <v>0</v>
      </c>
      <c r="AB21" s="286">
        <f>SUMIFS(FNRP!$Q:$Q,FNRP!$AK:$AK,Summary!$X21,FNRP!$AJ:$AJ,Summary!AB$1)/10^9</f>
        <v>0</v>
      </c>
      <c r="AC21" s="286">
        <f>SUMIFS(FNRP!$Q:$Q,FNRP!$AK:$AK,Summary!$X21,FNRP!$AJ:$AJ,Summary!AC$1)/10^9</f>
        <v>0</v>
      </c>
      <c r="AD21" s="286">
        <f>SUMIFS(FNRP!$Q:$Q,FNRP!$AK:$AK,Summary!$X21,FNRP!$AJ:$AJ,Summary!AD$1)/10^9</f>
        <v>0</v>
      </c>
      <c r="AE21" s="286">
        <f>SUMIFS(FNRP!$Q:$Q,FNRP!$AK:$AK,Summary!$X21,FNRP!$AJ:$AJ,Summary!AE$1)/10^9</f>
        <v>0</v>
      </c>
      <c r="AF21" s="286">
        <f>SUMIFS(FNRP!$Q:$Q,FNRP!$AK:$AK,Summary!$X21,FNRP!$AJ:$AJ,Summary!AF$1)/10^9</f>
        <v>0</v>
      </c>
      <c r="AG21" s="286">
        <f>SUMIFS(FNRP!$Q:$Q,FNRP!$AK:$AK,Summary!$X21,FNRP!$AJ:$AJ,Summary!AG$1)/10^9</f>
        <v>0</v>
      </c>
      <c r="AH21" s="286">
        <f>SUMIFS(FNRP!$Q:$Q,FNRP!$AK:$AK,Summary!$X21,FNRP!$AJ:$AJ,Summary!AH$1)/10^9</f>
        <v>0</v>
      </c>
      <c r="AI21" s="28"/>
      <c r="AJ21" s="28"/>
      <c r="AK21" s="28"/>
      <c r="AL21" s="28"/>
      <c r="AM21" s="361" t="str">
        <v>OJBV</v>
      </c>
      <c r="AN21" s="258">
        <f>SUMIFS(FNRP!$BA:$BA,FNRP!$BN:$BN,$AM21)/10^9</f>
        <v>499.1</v>
      </c>
      <c r="AO21" s="271">
        <f t="shared" si="8"/>
        <v>499.1</v>
      </c>
      <c r="AP21" s="287">
        <f>SUMIFS(FNRP!$BP:$BP,FNRP!$BN:$BN,$AM21,FNRP!$BM:$BM,AP$1)/10^9</f>
        <v>0</v>
      </c>
      <c r="AQ21" s="286">
        <f>SUMIFS(FNRP!$BP:$BP,FNRP!$BN:$BN,$AM21,FNRP!$BM:$BM,AQ$1)/10^9</f>
        <v>0</v>
      </c>
      <c r="AR21" s="286">
        <f>SUMIFS(FNRP!$BP:$BP,FNRP!$BN:$BN,$AM21,FNRP!$BM:$BM,AR$1)/10^9</f>
        <v>499.1</v>
      </c>
      <c r="AS21" s="286">
        <f>SUMIFS(FNRP!$BP:$BP,FNRP!$BN:$BN,$AM21,FNRP!$BM:$BM,AS$1)/10^9</f>
        <v>0</v>
      </c>
      <c r="AT21" s="286">
        <f>SUMIFS(FNRP!$BP:$BP,FNRP!$BN:$BN,$AM21,FNRP!$BM:$BM,AT$1)/10^9</f>
        <v>0</v>
      </c>
      <c r="AU21" s="286">
        <f>SUMIFS(FNRP!$BP:$BP,FNRP!$BN:$BN,$AM21,FNRP!$BM:$BM,AU$1)/10^9</f>
        <v>0</v>
      </c>
      <c r="AV21" s="286">
        <f>SUMIFS(FNRP!$BP:$BP,FNRP!$BN:$BN,$AM21,FNRP!$BM:$BM,AV$1)/10^9</f>
        <v>0</v>
      </c>
      <c r="AX21" s="274"/>
      <c r="AY21" s="274"/>
      <c r="AZ21" s="274"/>
      <c r="BA21" s="274"/>
      <c r="BB21" s="274"/>
      <c r="BC21" s="274"/>
      <c r="BD21" s="274"/>
      <c r="BE21" s="274"/>
      <c r="BF21" s="274"/>
      <c r="BG21" s="274"/>
      <c r="BH21" s="274"/>
      <c r="BI21" s="274"/>
      <c r="BJ21" s="274"/>
      <c r="BL21" s="30"/>
      <c r="BM21" s="30"/>
      <c r="BN21" s="30"/>
      <c r="BO21" s="30"/>
      <c r="BP21" s="30"/>
    </row>
    <row r="22" spans="2:69" x14ac:dyDescent="0.3">
      <c r="B22" s="253"/>
      <c r="C22" s="254">
        <f>SUMIFS('His53'!$AF:$AF,'His53'!$AG:$AG,$B22,'His53'!$AE:$AE,C$1)</f>
        <v>0</v>
      </c>
      <c r="D22" s="255">
        <f>SUMIFS('His53'!$AF:$AF,'His53'!$AG:$AG,$B22,'His53'!$AE:$AE,D$1)</f>
        <v>0</v>
      </c>
      <c r="E22" s="256">
        <f t="shared" si="13"/>
        <v>0</v>
      </c>
      <c r="F22" s="439"/>
      <c r="H22" s="360"/>
      <c r="I22" s="286">
        <f>SUMIFS(FNRP_FIbond[Nominal],FNRP_FIbond[Issuer],Summary!H22)/10^9</f>
        <v>0</v>
      </c>
      <c r="J22" s="271">
        <f t="shared" si="12"/>
        <v>0</v>
      </c>
      <c r="K22" s="286">
        <f>SUMIFS(FNRP!$AN:$AN,FNRP!$AJ:$AJ,Summary!K$1,FNRP!$AK:$AK,Summary!$H22)/10^9</f>
        <v>0</v>
      </c>
      <c r="L22" s="286">
        <f>SUMIFS(FNRP!$AN:$AN,FNRP!$AJ:$AJ,Summary!L$1,FNRP!$AK:$AK,Summary!$H22)/10^9</f>
        <v>0</v>
      </c>
      <c r="M22" s="286">
        <f>SUMIFS(FNRP!$AN:$AN,FNRP!$AJ:$AJ,Summary!M$1,FNRP!$AK:$AK,Summary!$H22)/10^9</f>
        <v>0</v>
      </c>
      <c r="N22" s="286">
        <f>SUMIFS(FNRP!$AN:$AN,FNRP!$AJ:$AJ,Summary!N$1,FNRP!$AK:$AK,Summary!$H22)/10^9</f>
        <v>0</v>
      </c>
      <c r="O22" s="286">
        <f>SUMIFS(FNRP!$AN:$AN,FNRP!$AJ:$AJ,Summary!O$1,FNRP!$AK:$AK,Summary!$H22)/10^9</f>
        <v>0</v>
      </c>
      <c r="P22" s="286">
        <f>SUMIFS(FNRP!$AN:$AN,FNRP!$AJ:$AJ,Summary!P$1,FNRP!$AK:$AK,Summary!$H22)/10^9</f>
        <v>0</v>
      </c>
      <c r="Q22" s="286">
        <f>SUMIFS(FNRP!$AN:$AN,FNRP!$AJ:$AJ,Summary!Q$1,FNRP!$AK:$AK,Summary!$H22)/10^9</f>
        <v>0</v>
      </c>
      <c r="R22" s="286">
        <f>SUMIFS(FNRP!$AN:$AN,FNRP!$AJ:$AJ,Summary!R$1,FNRP!$AK:$AK,Summary!$H22)/10^9</f>
        <v>0</v>
      </c>
      <c r="S22" s="286">
        <f>SUMIFS(FNRP!$AN:$AN,FNRP!$AJ:$AJ,Summary!S$1,FNRP!$AK:$AK,Summary!$H22)/10^9</f>
        <v>0</v>
      </c>
      <c r="T22" s="28"/>
      <c r="U22" s="28"/>
      <c r="V22" s="28"/>
      <c r="W22" s="28"/>
      <c r="X22" s="360"/>
      <c r="Y22" s="271">
        <f t="shared" si="7"/>
        <v>0</v>
      </c>
      <c r="Z22" s="286">
        <f>SUMIFS(FNRP!$Q:$Q,FNRP!$AK:$AK,Summary!$X22,FNRP!$AJ:$AJ,Summary!Z$1)/10^9</f>
        <v>0</v>
      </c>
      <c r="AA22" s="286">
        <f>SUMIFS(FNRP!$Q:$Q,FNRP!$AK:$AK,Summary!$X22,FNRP!$AJ:$AJ,Summary!AA$1)/10^9</f>
        <v>0</v>
      </c>
      <c r="AB22" s="286">
        <f>SUMIFS(FNRP!$Q:$Q,FNRP!$AK:$AK,Summary!$X22,FNRP!$AJ:$AJ,Summary!AB$1)/10^9</f>
        <v>0</v>
      </c>
      <c r="AC22" s="286">
        <f>SUMIFS(FNRP!$Q:$Q,FNRP!$AK:$AK,Summary!$X22,FNRP!$AJ:$AJ,Summary!AC$1)/10^9</f>
        <v>0</v>
      </c>
      <c r="AD22" s="286">
        <f>SUMIFS(FNRP!$Q:$Q,FNRP!$AK:$AK,Summary!$X22,FNRP!$AJ:$AJ,Summary!AD$1)/10^9</f>
        <v>0</v>
      </c>
      <c r="AE22" s="286">
        <f>SUMIFS(FNRP!$Q:$Q,FNRP!$AK:$AK,Summary!$X22,FNRP!$AJ:$AJ,Summary!AE$1)/10^9</f>
        <v>0</v>
      </c>
      <c r="AF22" s="286">
        <f>SUMIFS(FNRP!$Q:$Q,FNRP!$AK:$AK,Summary!$X22,FNRP!$AJ:$AJ,Summary!AF$1)/10^9</f>
        <v>0</v>
      </c>
      <c r="AG22" s="286">
        <f>SUMIFS(FNRP!$Q:$Q,FNRP!$AK:$AK,Summary!$X22,FNRP!$AJ:$AJ,Summary!AG$1)/10^9</f>
        <v>0</v>
      </c>
      <c r="AH22" s="286">
        <f>SUMIFS(FNRP!$Q:$Q,FNRP!$AK:$AK,Summary!$X22,FNRP!$AJ:$AJ,Summary!AH$1)/10^9</f>
        <v>0</v>
      </c>
      <c r="AI22" s="28"/>
      <c r="AJ22" s="28"/>
      <c r="AK22" s="28"/>
      <c r="AL22" s="28"/>
      <c r="AM22" s="361" t="str">
        <v>VABV</v>
      </c>
      <c r="AN22" s="258">
        <f>SUMIFS(FNRP!$BA:$BA,FNRP!$BN:$BN,$AM22)/10^9</f>
        <v>600</v>
      </c>
      <c r="AO22" s="271">
        <f t="shared" si="8"/>
        <v>600</v>
      </c>
      <c r="AP22" s="287">
        <f>SUMIFS(FNRP!$BP:$BP,FNRP!$BN:$BN,$AM22,FNRP!$BM:$BM,AP$1)/10^9</f>
        <v>0</v>
      </c>
      <c r="AQ22" s="286">
        <f>SUMIFS(FNRP!$BP:$BP,FNRP!$BN:$BN,$AM22,FNRP!$BM:$BM,AQ$1)/10^9</f>
        <v>0</v>
      </c>
      <c r="AR22" s="286">
        <f>SUMIFS(FNRP!$BP:$BP,FNRP!$BN:$BN,$AM22,FNRP!$BM:$BM,AR$1)/10^9</f>
        <v>600</v>
      </c>
      <c r="AS22" s="286">
        <f>SUMIFS(FNRP!$BP:$BP,FNRP!$BN:$BN,$AM22,FNRP!$BM:$BM,AS$1)/10^9</f>
        <v>0</v>
      </c>
      <c r="AT22" s="286">
        <f>SUMIFS(FNRP!$BP:$BP,FNRP!$BN:$BN,#REF!,FNRP!$BM:$BM,AT$1)/10^9</f>
        <v>0</v>
      </c>
      <c r="AU22" s="286">
        <f>SUMIFS(FNRP!$BP:$BP,FNRP!$BN:$BN,#REF!,FNRP!$BM:$BM,AU$1)/10^9</f>
        <v>0</v>
      </c>
      <c r="AV22" s="286">
        <f>SUMIFS(FNRP!$BP:$BP,FNRP!$BN:$BN,#REF!,FNRP!$BM:$BM,AV$1)/10^9</f>
        <v>0</v>
      </c>
      <c r="AY22" s="274"/>
      <c r="AZ22" s="274"/>
      <c r="BA22" s="274"/>
      <c r="BB22" s="274"/>
      <c r="BC22" s="274"/>
      <c r="BD22" s="274"/>
      <c r="BE22" s="274"/>
      <c r="BF22" s="274"/>
      <c r="BG22" s="274"/>
      <c r="BH22" s="274"/>
      <c r="BI22" s="274"/>
    </row>
    <row r="23" spans="2:69" x14ac:dyDescent="0.3">
      <c r="B23" s="253"/>
      <c r="C23" s="254">
        <f>SUMIFS('His53'!$AF:$AF,'His53'!$AG:$AG,$B23,'His53'!$AE:$AE,C$1)</f>
        <v>0</v>
      </c>
      <c r="D23" s="255">
        <f>SUMIFS('His53'!$AF:$AF,'His53'!$AG:$AG,$B23,'His53'!$AE:$AE,D$1)</f>
        <v>0</v>
      </c>
      <c r="E23" s="256">
        <f t="shared" si="13"/>
        <v>0</v>
      </c>
      <c r="F23" s="439"/>
      <c r="H23" s="360"/>
      <c r="I23" s="286">
        <f>SUMIFS(FNRP_FIbond[Nominal],FNRP_FIbond[Issuer],Summary!H23)/10^9</f>
        <v>0</v>
      </c>
      <c r="J23" s="271">
        <f t="shared" si="12"/>
        <v>0</v>
      </c>
      <c r="K23" s="286">
        <f>SUMIFS(FNRP!$AN:$AN,FNRP!$AJ:$AJ,Summary!K$1,FNRP!$AK:$AK,Summary!$H23)/10^9</f>
        <v>0</v>
      </c>
      <c r="L23" s="286">
        <f>SUMIFS(FNRP!$AN:$AN,FNRP!$AJ:$AJ,Summary!L$1,FNRP!$AK:$AK,Summary!$H23)/10^9</f>
        <v>0</v>
      </c>
      <c r="M23" s="286">
        <f>SUMIFS(FNRP!$AN:$AN,FNRP!$AJ:$AJ,Summary!M$1,FNRP!$AK:$AK,Summary!$H23)/10^9</f>
        <v>0</v>
      </c>
      <c r="N23" s="286">
        <f>SUMIFS(FNRP!$AN:$AN,FNRP!$AJ:$AJ,Summary!N$1,FNRP!$AK:$AK,Summary!$H23)/10^9</f>
        <v>0</v>
      </c>
      <c r="O23" s="286">
        <f>SUMIFS(FNRP!$AN:$AN,FNRP!$AJ:$AJ,Summary!O$1,FNRP!$AK:$AK,Summary!$H23)/10^9</f>
        <v>0</v>
      </c>
      <c r="P23" s="286">
        <f>SUMIFS(FNRP!$AN:$AN,FNRP!$AJ:$AJ,Summary!P$1,FNRP!$AK:$AK,Summary!$H23)/10^9</f>
        <v>0</v>
      </c>
      <c r="Q23" s="286">
        <f>SUMIFS(FNRP!$AN:$AN,FNRP!$AJ:$AJ,Summary!Q$1,FNRP!$AK:$AK,Summary!$H23)/10^9</f>
        <v>0</v>
      </c>
      <c r="R23" s="286">
        <f>SUMIFS(FNRP!$AN:$AN,FNRP!$AJ:$AJ,Summary!R$1,FNRP!$AK:$AK,Summary!$H23)/10^9</f>
        <v>0</v>
      </c>
      <c r="S23" s="286">
        <f>SUMIFS(FNRP!$AN:$AN,FNRP!$AJ:$AJ,Summary!S$1,FNRP!$AK:$AK,Summary!$H23)/10^9</f>
        <v>0</v>
      </c>
      <c r="T23" s="28"/>
      <c r="U23" s="28"/>
      <c r="V23" s="28"/>
      <c r="W23" s="28"/>
      <c r="X23" s="360"/>
      <c r="Y23" s="271">
        <f t="shared" si="7"/>
        <v>0</v>
      </c>
      <c r="Z23" s="286">
        <f>SUMIFS(FNRP!$Q:$Q,FNRP!$AK:$AK,Summary!$X23,FNRP!$AJ:$AJ,Summary!Z$1)/10^9</f>
        <v>0</v>
      </c>
      <c r="AA23" s="286">
        <f>SUMIFS(FNRP!$Q:$Q,FNRP!$AK:$AK,Summary!$X23,FNRP!$AJ:$AJ,Summary!AA$1)/10^9</f>
        <v>0</v>
      </c>
      <c r="AB23" s="286">
        <f>SUMIFS(FNRP!$Q:$Q,FNRP!$AK:$AK,Summary!$X23,FNRP!$AJ:$AJ,Summary!AB$1)/10^9</f>
        <v>0</v>
      </c>
      <c r="AC23" s="286">
        <f>SUMIFS(FNRP!$Q:$Q,FNRP!$AK:$AK,Summary!$X23,FNRP!$AJ:$AJ,Summary!AC$1)/10^9</f>
        <v>0</v>
      </c>
      <c r="AD23" s="286">
        <f>SUMIFS(FNRP!$Q:$Q,FNRP!$AK:$AK,Summary!$X23,FNRP!$AJ:$AJ,Summary!AD$1)/10^9</f>
        <v>0</v>
      </c>
      <c r="AE23" s="286">
        <f>SUMIFS(FNRP!$Q:$Q,FNRP!$AK:$AK,Summary!$X23,FNRP!$AJ:$AJ,Summary!AE$1)/10^9</f>
        <v>0</v>
      </c>
      <c r="AF23" s="286">
        <f>SUMIFS(FNRP!$Q:$Q,FNRP!$AK:$AK,Summary!$X23,FNRP!$AJ:$AJ,Summary!AF$1)/10^9</f>
        <v>0</v>
      </c>
      <c r="AG23" s="286">
        <f>SUMIFS(FNRP!$Q:$Q,FNRP!$AK:$AK,Summary!$X23,FNRP!$AJ:$AJ,Summary!AG$1)/10^9</f>
        <v>0</v>
      </c>
      <c r="AH23" s="286">
        <f>SUMIFS(FNRP!$Q:$Q,FNRP!$AK:$AK,Summary!$X23,FNRP!$AJ:$AJ,Summary!AH$1)/10^9</f>
        <v>0</v>
      </c>
      <c r="AI23" s="28"/>
      <c r="AJ23" s="28"/>
      <c r="AK23" s="28"/>
      <c r="AL23" s="28"/>
      <c r="AM23" s="361"/>
      <c r="AN23" s="258">
        <f>SUMIFS(FNRP!$BA:$BA,FNRP!$BN:$BN,$AM23)/10^9</f>
        <v>0</v>
      </c>
      <c r="AO23" s="271">
        <f t="shared" si="8"/>
        <v>0</v>
      </c>
      <c r="AP23" s="287">
        <f>SUMIFS(FNRP!$BP:$BP,FNRP!$BN:$BN,$AM23,FNRP!$BM:$BM,AP$1)/10^9</f>
        <v>0</v>
      </c>
      <c r="AQ23" s="286">
        <f>SUMIFS(FNRP!$BP:$BP,FNRP!$BN:$BN,$AM23,FNRP!$BM:$BM,AQ$1)/10^9</f>
        <v>0</v>
      </c>
      <c r="AR23" s="286">
        <f>SUMIFS(FNRP!$BP:$BP,FNRP!$BN:$BN,$AM23,FNRP!$BM:$BM,AR$1)/10^9</f>
        <v>0</v>
      </c>
      <c r="AS23" s="286">
        <f>SUMIFS(FNRP!$BP:$BP,FNRP!$BN:$BN,$AM23,FNRP!$BM:$BM,AS$1)/10^9</f>
        <v>0</v>
      </c>
      <c r="AT23" s="286">
        <f>SUMIFS(FNRP!$BP:$BP,FNRP!$BN:$BN,#REF!,FNRP!$BM:$BM,AT$1)/10^9</f>
        <v>0</v>
      </c>
      <c r="AU23" s="286">
        <f>SUMIFS(FNRP!$BP:$BP,FNRP!$BN:$BN,#REF!,FNRP!$BM:$BM,AU$1)/10^9</f>
        <v>0</v>
      </c>
      <c r="AV23" s="286">
        <f>SUMIFS(FNRP!$BP:$BP,FNRP!$BN:$BN,#REF!,FNRP!$BM:$BM,AV$1)/10^9</f>
        <v>0</v>
      </c>
    </row>
    <row r="24" spans="2:69" ht="12.75" customHeight="1" x14ac:dyDescent="0.3">
      <c r="B24" s="253"/>
      <c r="C24" s="254">
        <f>SUMIFS('His53'!$AF:$AF,'His53'!$AG:$AG,$B24,'His53'!$AE:$AE,C$1)</f>
        <v>0</v>
      </c>
      <c r="D24" s="255">
        <f>SUMIFS('His53'!$AF:$AF,'His53'!$AG:$AG,$B24,'His53'!$AE:$AE,D$1)</f>
        <v>0</v>
      </c>
      <c r="E24" s="256">
        <f t="shared" si="13"/>
        <v>0</v>
      </c>
      <c r="F24" s="439"/>
      <c r="H24" s="360"/>
      <c r="I24" s="286">
        <f>SUMIFS(FNRP_FIbond[Nominal],FNRP_FIbond[Issuer],Summary!H24)/10^9</f>
        <v>0</v>
      </c>
      <c r="J24" s="271">
        <f t="shared" si="12"/>
        <v>0</v>
      </c>
      <c r="K24" s="286">
        <f>SUMIFS(FNRP!$AN:$AN,FNRP!$AJ:$AJ,Summary!K$1,FNRP!$AK:$AK,Summary!$H24)/10^9</f>
        <v>0</v>
      </c>
      <c r="L24" s="286">
        <f>SUMIFS(FNRP!$AN:$AN,FNRP!$AJ:$AJ,Summary!L$1,FNRP!$AK:$AK,Summary!$H24)/10^9</f>
        <v>0</v>
      </c>
      <c r="M24" s="286">
        <f>SUMIFS(FNRP!$AN:$AN,FNRP!$AJ:$AJ,Summary!M$1,FNRP!$AK:$AK,Summary!$H24)/10^9</f>
        <v>0</v>
      </c>
      <c r="N24" s="286">
        <f>SUMIFS(FNRP!$AN:$AN,FNRP!$AJ:$AJ,Summary!N$1,FNRP!$AK:$AK,Summary!$H24)/10^9</f>
        <v>0</v>
      </c>
      <c r="O24" s="286">
        <f>SUMIFS(FNRP!$AN:$AN,FNRP!$AJ:$AJ,Summary!O$1,FNRP!$AK:$AK,Summary!$H24)/10^9</f>
        <v>0</v>
      </c>
      <c r="P24" s="286">
        <f>SUMIFS(FNRP!$AN:$AN,FNRP!$AJ:$AJ,Summary!P$1,FNRP!$AK:$AK,Summary!$H24)/10^9</f>
        <v>0</v>
      </c>
      <c r="Q24" s="286">
        <f>SUMIFS(FNRP!$AN:$AN,FNRP!$AJ:$AJ,Summary!Q$1,FNRP!$AK:$AK,Summary!$H24)/10^9</f>
        <v>0</v>
      </c>
      <c r="R24" s="286">
        <f>SUMIFS(FNRP!$AN:$AN,FNRP!$AJ:$AJ,Summary!R$1,FNRP!$AK:$AK,Summary!$H24)/10^9</f>
        <v>0</v>
      </c>
      <c r="S24" s="286">
        <f>SUMIFS(FNRP!$AN:$AN,FNRP!$AJ:$AJ,Summary!S$1,FNRP!$AK:$AK,Summary!$H24)/10^9</f>
        <v>0</v>
      </c>
      <c r="T24" s="28"/>
      <c r="U24" s="28"/>
      <c r="V24" s="28"/>
      <c r="W24" s="28"/>
      <c r="X24" s="360"/>
      <c r="Y24" s="271">
        <f t="shared" si="7"/>
        <v>0</v>
      </c>
      <c r="Z24" s="286">
        <f>SUMIFS(FNRP!$Q:$Q,FNRP!$AK:$AK,Summary!$X24,FNRP!$AJ:$AJ,Summary!Z$1)/10^9</f>
        <v>0</v>
      </c>
      <c r="AA24" s="286">
        <f>SUMIFS(FNRP!$Q:$Q,FNRP!$AK:$AK,Summary!$X24,FNRP!$AJ:$AJ,Summary!AA$1)/10^9</f>
        <v>0</v>
      </c>
      <c r="AB24" s="286">
        <f>SUMIFS(FNRP!$Q:$Q,FNRP!$AK:$AK,Summary!$X24,FNRP!$AJ:$AJ,Summary!AB$1)/10^9</f>
        <v>0</v>
      </c>
      <c r="AC24" s="286">
        <f>SUMIFS(FNRP!$Q:$Q,FNRP!$AK:$AK,Summary!$X24,FNRP!$AJ:$AJ,Summary!AC$1)/10^9</f>
        <v>0</v>
      </c>
      <c r="AD24" s="286">
        <f>SUMIFS(FNRP!$Q:$Q,FNRP!$AK:$AK,Summary!$X24,FNRP!$AJ:$AJ,Summary!AD$1)/10^9</f>
        <v>0</v>
      </c>
      <c r="AE24" s="286">
        <f>SUMIFS(FNRP!$Q:$Q,FNRP!$AK:$AK,Summary!$X24,FNRP!$AJ:$AJ,Summary!AE$1)/10^9</f>
        <v>0</v>
      </c>
      <c r="AF24" s="286">
        <f>SUMIFS(FNRP!$Q:$Q,FNRP!$AK:$AK,Summary!$X24,FNRP!$AJ:$AJ,Summary!AF$1)/10^9</f>
        <v>0</v>
      </c>
      <c r="AG24" s="286">
        <f>SUMIFS(FNRP!$Q:$Q,FNRP!$AK:$AK,Summary!$X24,FNRP!$AJ:$AJ,Summary!AG$1)/10^9</f>
        <v>0</v>
      </c>
      <c r="AH24" s="286">
        <f>SUMIFS(FNRP!$Q:$Q,FNRP!$AK:$AK,Summary!$X24,FNRP!$AJ:$AJ,Summary!AH$1)/10^9</f>
        <v>0</v>
      </c>
      <c r="AI24" s="28"/>
      <c r="AJ24" s="28"/>
      <c r="AK24" s="28"/>
      <c r="AL24" s="28"/>
      <c r="AM24" s="361"/>
      <c r="AN24" s="258">
        <f>SUMIFS(FNRP!$BA:$BA,FNRP!$BN:$BN,$AM24)/10^9</f>
        <v>0</v>
      </c>
      <c r="AO24" s="271">
        <f t="shared" si="8"/>
        <v>0</v>
      </c>
      <c r="AP24" s="287">
        <f>SUMIFS(FNRP!$BP:$BP,FNRP!$BN:$BN,$AM24,FNRP!$BM:$BM,AP$1)/10^9</f>
        <v>0</v>
      </c>
      <c r="AQ24" s="286">
        <f>SUMIFS(FNRP!$BP:$BP,FNRP!$BN:$BN,$AM24,FNRP!$BM:$BM,AQ$1)/10^9</f>
        <v>0</v>
      </c>
      <c r="AR24" s="286">
        <f>SUMIFS(FNRP!$BP:$BP,FNRP!$BN:$BN,$AM24,FNRP!$BM:$BM,AR$1)/10^9</f>
        <v>0</v>
      </c>
      <c r="AS24" s="286">
        <f>SUMIFS(FNRP!$BP:$BP,FNRP!$BN:$BN,$AM24,FNRP!$BM:$BM,AS$1)/10^9</f>
        <v>0</v>
      </c>
      <c r="AT24" s="286">
        <f>SUMIFS(FNRP!$BP:$BP,FNRP!$BN:$BN,#REF!,FNRP!$BM:$BM,AT$1)/10^9</f>
        <v>0</v>
      </c>
      <c r="AU24" s="286">
        <f>SUMIFS(FNRP!$BP:$BP,FNRP!$BN:$BN,#REF!,FNRP!$BM:$BM,AU$1)/10^9</f>
        <v>0</v>
      </c>
      <c r="AV24" s="286">
        <f>SUMIFS(FNRP!$BP:$BP,FNRP!$BN:$BN,#REF!,FNRP!$BM:$BM,AV$1)/10^9</f>
        <v>0</v>
      </c>
      <c r="AW24" s="30"/>
    </row>
    <row r="25" spans="2:69" ht="12.75" customHeight="1" x14ac:dyDescent="0.3">
      <c r="B25" s="253"/>
      <c r="C25" s="254">
        <f>SUMIFS('His53'!$AF:$AF,'His53'!$AG:$AG,$B25,'His53'!$AE:$AE,C$1)</f>
        <v>0</v>
      </c>
      <c r="D25" s="255">
        <f>SUMIFS('His53'!$AF:$AF,'His53'!$AG:$AG,$B25,'His53'!$AE:$AE,D$1)</f>
        <v>0</v>
      </c>
      <c r="E25" s="256">
        <f t="shared" si="13"/>
        <v>0</v>
      </c>
      <c r="F25" s="439"/>
      <c r="H25" s="360"/>
      <c r="I25" s="286">
        <f>SUMIFS(FNRP_FIbond[Nominal],FNRP_FIbond[Issuer],Summary!H25)/10^9</f>
        <v>0</v>
      </c>
      <c r="J25" s="271">
        <f t="shared" si="12"/>
        <v>0</v>
      </c>
      <c r="K25" s="286">
        <f>SUMIFS(FNRP!$AN:$AN,FNRP!$AJ:$AJ,Summary!K$1,FNRP!$AK:$AK,Summary!$H25)/10^9</f>
        <v>0</v>
      </c>
      <c r="L25" s="286">
        <f>SUMIFS(FNRP!$AN:$AN,FNRP!$AJ:$AJ,Summary!L$1,FNRP!$AK:$AK,Summary!$H25)/10^9</f>
        <v>0</v>
      </c>
      <c r="M25" s="286">
        <f>SUMIFS(FNRP!$AN:$AN,FNRP!$AJ:$AJ,Summary!M$1,FNRP!$AK:$AK,Summary!$H25)/10^9</f>
        <v>0</v>
      </c>
      <c r="N25" s="286">
        <f>SUMIFS(FNRP!$AN:$AN,FNRP!$AJ:$AJ,Summary!N$1,FNRP!$AK:$AK,Summary!$H25)/10^9</f>
        <v>0</v>
      </c>
      <c r="O25" s="286">
        <f>SUMIFS(FNRP!$AN:$AN,FNRP!$AJ:$AJ,Summary!O$1,FNRP!$AK:$AK,Summary!$H25)/10^9</f>
        <v>0</v>
      </c>
      <c r="P25" s="286">
        <f>SUMIFS(FNRP!$AN:$AN,FNRP!$AJ:$AJ,Summary!P$1,FNRP!$AK:$AK,Summary!$H25)/10^9</f>
        <v>0</v>
      </c>
      <c r="Q25" s="286">
        <f>SUMIFS(FNRP!$AN:$AN,FNRP!$AJ:$AJ,Summary!Q$1,FNRP!$AK:$AK,Summary!$H25)/10^9</f>
        <v>0</v>
      </c>
      <c r="R25" s="286">
        <f>SUMIFS(FNRP!$AN:$AN,FNRP!$AJ:$AJ,Summary!R$1,FNRP!$AK:$AK,Summary!$H25)/10^9</f>
        <v>0</v>
      </c>
      <c r="S25" s="286">
        <f>SUMIFS(FNRP!$AN:$AN,FNRP!$AJ:$AJ,Summary!S$1,FNRP!$AK:$AK,Summary!$H25)/10^9</f>
        <v>0</v>
      </c>
      <c r="T25" s="28"/>
      <c r="U25" s="28"/>
      <c r="V25" s="28"/>
      <c r="W25" s="28"/>
      <c r="X25" s="360"/>
      <c r="Y25" s="271">
        <f t="shared" si="7"/>
        <v>0</v>
      </c>
      <c r="Z25" s="286">
        <f>SUMIFS(FNRP!$Q:$Q,FNRP!$AK:$AK,Summary!$X25,FNRP!$AJ:$AJ,Summary!Z$1)/10^9</f>
        <v>0</v>
      </c>
      <c r="AA25" s="286">
        <f>SUMIFS(FNRP!$Q:$Q,FNRP!$AK:$AK,Summary!$X25,FNRP!$AJ:$AJ,Summary!AA$1)/10^9</f>
        <v>0</v>
      </c>
      <c r="AB25" s="286">
        <f>SUMIFS(FNRP!$Q:$Q,FNRP!$AK:$AK,Summary!$X25,FNRP!$AJ:$AJ,Summary!AB$1)/10^9</f>
        <v>0</v>
      </c>
      <c r="AC25" s="286">
        <f>SUMIFS(FNRP!$Q:$Q,FNRP!$AK:$AK,Summary!$X25,FNRP!$AJ:$AJ,Summary!AC$1)/10^9</f>
        <v>0</v>
      </c>
      <c r="AD25" s="286">
        <f>SUMIFS(FNRP!$Q:$Q,FNRP!$AK:$AK,Summary!$X25,FNRP!$AJ:$AJ,Summary!AD$1)/10^9</f>
        <v>0</v>
      </c>
      <c r="AE25" s="286">
        <f>SUMIFS(FNRP!$Q:$Q,FNRP!$AK:$AK,Summary!$X25,FNRP!$AJ:$AJ,Summary!AE$1)/10^9</f>
        <v>0</v>
      </c>
      <c r="AF25" s="286">
        <f>SUMIFS(FNRP!$Q:$Q,FNRP!$AK:$AK,Summary!$X25,FNRP!$AJ:$AJ,Summary!AF$1)/10^9</f>
        <v>0</v>
      </c>
      <c r="AG25" s="286">
        <f>SUMIFS(FNRP!$Q:$Q,FNRP!$AK:$AK,Summary!$X25,FNRP!$AJ:$AJ,Summary!AG$1)/10^9</f>
        <v>0</v>
      </c>
      <c r="AH25" s="286">
        <f>SUMIFS(FNRP!$Q:$Q,FNRP!$AK:$AK,Summary!$X25,FNRP!$AJ:$AJ,Summary!AH$1)/10^9</f>
        <v>0</v>
      </c>
      <c r="AI25" s="28"/>
      <c r="AJ25" s="28"/>
      <c r="AK25" s="28"/>
      <c r="AL25" s="28"/>
      <c r="AT25" s="286">
        <f>SUMIFS(FNRP!$BP:$BP,FNRP!$BN:$BN,#REF!,FNRP!$BM:$BM,AT$1)/10^9</f>
        <v>0</v>
      </c>
      <c r="AU25" s="286">
        <f>SUMIFS(FNRP!$BP:$BP,FNRP!$BN:$BN,#REF!,FNRP!$BM:$BM,AU$1)/10^9</f>
        <v>0</v>
      </c>
      <c r="AV25" s="286">
        <f>SUMIFS(FNRP!$BP:$BP,FNRP!$BN:$BN,#REF!,FNRP!$BM:$BM,AV$1)/10^9</f>
        <v>0</v>
      </c>
    </row>
    <row r="26" spans="2:69" x14ac:dyDescent="0.3">
      <c r="J26" s="28"/>
      <c r="K26" s="28"/>
      <c r="L26" s="28"/>
      <c r="M26" s="28"/>
      <c r="N26" s="28"/>
      <c r="O26" s="28"/>
      <c r="P26" s="28"/>
      <c r="Q26" s="28"/>
      <c r="R26" s="28"/>
      <c r="S26" s="28"/>
      <c r="T26" s="28"/>
      <c r="U26" s="28"/>
      <c r="V26" s="28"/>
      <c r="W26" s="28"/>
      <c r="Y26" s="28"/>
      <c r="Z26" s="28"/>
      <c r="AA26" s="28"/>
      <c r="AB26" s="28"/>
      <c r="AC26" s="28"/>
      <c r="AD26" s="28"/>
      <c r="AE26" s="28"/>
      <c r="AF26" s="28"/>
      <c r="AG26" s="28"/>
      <c r="AH26" s="28"/>
      <c r="AI26" s="28"/>
      <c r="AJ26" s="28"/>
      <c r="AK26" s="28"/>
      <c r="AL26" s="28"/>
    </row>
    <row r="27" spans="2:69" x14ac:dyDescent="0.3">
      <c r="J27" s="28"/>
      <c r="K27" s="28"/>
      <c r="L27" s="28"/>
      <c r="M27" s="28"/>
      <c r="N27" s="28"/>
      <c r="O27" s="28"/>
      <c r="P27" s="28"/>
      <c r="Q27" s="28"/>
      <c r="R27" s="28"/>
      <c r="S27" s="28"/>
      <c r="T27" s="28"/>
      <c r="U27" s="28"/>
      <c r="V27" s="28"/>
      <c r="W27" s="28"/>
      <c r="Y27" s="28"/>
      <c r="Z27" s="28"/>
      <c r="AA27" s="28"/>
      <c r="AB27" s="28"/>
      <c r="AC27" s="28"/>
      <c r="AD27" s="28"/>
      <c r="AE27" s="28"/>
      <c r="AF27" s="28"/>
      <c r="AG27" s="28"/>
      <c r="AH27" s="28"/>
      <c r="AI27" s="28"/>
      <c r="AJ27" s="28"/>
      <c r="AK27" s="28"/>
      <c r="AL27" s="28"/>
    </row>
    <row r="28" spans="2:69" x14ac:dyDescent="0.3">
      <c r="J28" s="28"/>
      <c r="K28" s="28"/>
      <c r="L28" s="28"/>
      <c r="M28" s="28"/>
      <c r="N28" s="28"/>
      <c r="O28" s="28"/>
      <c r="P28" s="28"/>
      <c r="Q28" s="28"/>
      <c r="R28" s="28"/>
      <c r="S28" s="28"/>
      <c r="T28" s="28"/>
      <c r="U28" s="28"/>
      <c r="V28" s="28"/>
      <c r="W28" s="28"/>
      <c r="Y28" s="28"/>
      <c r="Z28" s="28"/>
      <c r="AA28" s="28"/>
      <c r="AB28" s="28"/>
      <c r="AC28" s="28"/>
      <c r="AD28" s="28"/>
      <c r="AE28" s="28"/>
      <c r="AF28" s="28"/>
      <c r="AG28" s="28"/>
      <c r="AH28" s="28"/>
      <c r="AI28" s="28"/>
      <c r="AJ28" s="28"/>
      <c r="AK28" s="28"/>
      <c r="AL28" s="28"/>
    </row>
    <row r="29" spans="2:69" x14ac:dyDescent="0.3">
      <c r="J29" s="28"/>
      <c r="K29" s="28"/>
      <c r="L29" s="28"/>
      <c r="M29" s="28"/>
      <c r="N29" s="28"/>
      <c r="O29" s="28"/>
      <c r="P29" s="28"/>
      <c r="Q29" s="28"/>
      <c r="R29" s="28"/>
      <c r="S29" s="28"/>
      <c r="T29" s="28"/>
      <c r="U29" s="28"/>
      <c r="V29" s="28"/>
      <c r="W29" s="28"/>
      <c r="Y29" s="28"/>
      <c r="Z29" s="28"/>
      <c r="AA29" s="28"/>
      <c r="AB29" s="28"/>
      <c r="AC29" s="28"/>
      <c r="AD29" s="28"/>
      <c r="AE29" s="28"/>
      <c r="AF29" s="28"/>
      <c r="AG29" s="28"/>
      <c r="AH29" s="28"/>
      <c r="AI29" s="28"/>
      <c r="AJ29" s="28"/>
      <c r="AK29" s="28"/>
      <c r="AL29" s="28"/>
    </row>
    <row r="30" spans="2:69" x14ac:dyDescent="0.3">
      <c r="J30" s="28"/>
      <c r="K30" s="28"/>
      <c r="L30" s="28"/>
      <c r="M30" s="28"/>
      <c r="N30" s="28"/>
      <c r="O30" s="28"/>
      <c r="P30" s="28"/>
      <c r="Q30" s="28"/>
      <c r="R30" s="28"/>
      <c r="S30" s="28"/>
      <c r="T30" s="28"/>
      <c r="U30" s="28"/>
      <c r="V30" s="28"/>
      <c r="W30" s="28"/>
      <c r="Y30" s="28"/>
      <c r="Z30" s="28"/>
      <c r="AA30" s="28"/>
      <c r="AB30" s="28"/>
      <c r="AC30" s="28"/>
      <c r="AD30" s="28"/>
      <c r="AE30" s="28"/>
      <c r="AF30" s="28"/>
      <c r="AG30" s="28"/>
      <c r="AH30" s="28"/>
      <c r="AI30" s="28"/>
      <c r="AJ30" s="28"/>
      <c r="AK30" s="28"/>
      <c r="AL30" s="28"/>
    </row>
    <row r="31" spans="2:69" x14ac:dyDescent="0.3">
      <c r="T31" s="28"/>
      <c r="U31" s="28"/>
      <c r="V31" s="28"/>
      <c r="W31" s="28"/>
      <c r="AI31" s="28"/>
      <c r="AJ31" s="28"/>
      <c r="AK31" s="28"/>
      <c r="AL31" s="28"/>
    </row>
    <row r="32" spans="2:69" x14ac:dyDescent="0.3">
      <c r="T32" s="28"/>
      <c r="U32" s="28"/>
      <c r="V32" s="28"/>
      <c r="W32" s="28"/>
      <c r="AI32" s="28"/>
      <c r="AJ32" s="28"/>
      <c r="AK32" s="28"/>
      <c r="AL32" s="28"/>
    </row>
    <row r="33" spans="20:38" x14ac:dyDescent="0.3">
      <c r="T33" s="28"/>
      <c r="U33" s="28"/>
      <c r="V33" s="28"/>
      <c r="W33" s="28"/>
      <c r="AI33" s="28"/>
      <c r="AJ33" s="28"/>
      <c r="AK33" s="28"/>
      <c r="AL33" s="28"/>
    </row>
  </sheetData>
  <mergeCells count="17">
    <mergeCell ref="BX1:BZ1"/>
    <mergeCell ref="BS1:BW1"/>
    <mergeCell ref="BH1:BH2"/>
    <mergeCell ref="BL1:BL4"/>
    <mergeCell ref="BP1:BP4"/>
    <mergeCell ref="BM2:BM4"/>
    <mergeCell ref="BN2:BN4"/>
    <mergeCell ref="BO2:BO4"/>
    <mergeCell ref="BE1:BF1"/>
    <mergeCell ref="BI1:BI2"/>
    <mergeCell ref="AZ1:AZ2"/>
    <mergeCell ref="BG1:BG2"/>
    <mergeCell ref="AM2:AM3"/>
    <mergeCell ref="AN1:AO1"/>
    <mergeCell ref="AY1:AY2"/>
    <mergeCell ref="BA1:BB1"/>
    <mergeCell ref="BC1:BD1"/>
  </mergeCells>
  <phoneticPr fontId="16" type="noConversion"/>
  <conditionalFormatting sqref="H31:J1048576 H2:J2 X31:Y1048576 X4:Y10 X2:Y2 H4:H25 Y11:Y25 J4:J25">
    <cfRule type="containsText" dxfId="336" priority="39" operator="containsText" text="MSB">
      <formula>NOT(ISERROR(SEARCH("MSB",H2)))</formula>
    </cfRule>
  </conditionalFormatting>
  <conditionalFormatting sqref="Y4:AK4 AP4:AV21 AT22:AV25 AP22:AS24 J4:V4 K5:S25 I4:I25">
    <cfRule type="cellIs" dxfId="335" priority="38" operator="lessThan">
      <formula>0</formula>
    </cfRule>
  </conditionalFormatting>
  <conditionalFormatting sqref="AM12:AM24">
    <cfRule type="containsText" dxfId="334" priority="29" operator="containsText" text="MSB">
      <formula>NOT(ISERROR(SEARCH("MSB",AM12)))</formula>
    </cfRule>
  </conditionalFormatting>
  <conditionalFormatting sqref="BX3:BZ14">
    <cfRule type="iconSet" priority="28">
      <iconSet iconSet="3Arrows">
        <cfvo type="percent" val="0"/>
        <cfvo type="num" val="0"/>
        <cfvo type="num" val="0" gte="0"/>
      </iconSet>
    </cfRule>
  </conditionalFormatting>
  <conditionalFormatting sqref="BA3:BH6">
    <cfRule type="cellIs" dxfId="333" priority="20" operator="greaterThan">
      <formula>0</formula>
    </cfRule>
    <cfRule type="cellIs" dxfId="332" priority="21" operator="lessThan">
      <formula>0</formula>
    </cfRule>
  </conditionalFormatting>
  <conditionalFormatting sqref="AN2">
    <cfRule type="containsText" dxfId="331" priority="11" operator="containsText" text="MSB">
      <formula>NOT(ISERROR(SEARCH("MSB",AN2)))</formula>
    </cfRule>
  </conditionalFormatting>
  <conditionalFormatting sqref="X11:X25">
    <cfRule type="containsText" dxfId="330" priority="3" operator="containsText" text="MSB">
      <formula>NOT(ISERROR(SEARCH("MSB",X11)))</formula>
    </cfRule>
  </conditionalFormatting>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2366-FBED-4C9B-B9AD-03C99D601CFE}">
  <sheetPr codeName="Sheet7">
    <tabColor theme="7" tint="0.79998168889431442"/>
  </sheetPr>
  <dimension ref="A1:AO6662"/>
  <sheetViews>
    <sheetView topLeftCell="U1" zoomScaleNormal="100" workbookViewId="0">
      <pane ySplit="1" topLeftCell="A2" activePane="bottomLeft" state="frozen"/>
      <selection pane="bottomLeft" activeCell="AD2" sqref="AD2:AG818"/>
    </sheetView>
  </sheetViews>
  <sheetFormatPr defaultRowHeight="14.4" x14ac:dyDescent="0.3"/>
  <cols>
    <col min="1" max="1" width="11" bestFit="1" customWidth="1"/>
    <col min="2" max="2" width="10.5" bestFit="1" customWidth="1"/>
    <col min="3" max="6" width="5.59765625" style="23" bestFit="1" customWidth="1"/>
    <col min="7" max="7" width="6.59765625" style="23" hidden="1" customWidth="1"/>
    <col min="8" max="8" width="5.59765625" style="23" hidden="1" customWidth="1"/>
    <col min="9" max="9" width="6.59765625" style="23" hidden="1" customWidth="1"/>
    <col min="10" max="10" width="5.59765625" style="23" bestFit="1" customWidth="1"/>
    <col min="11" max="11" width="6.59765625" style="23" hidden="1" customWidth="1"/>
    <col min="12" max="12" width="5.59765625" style="23" hidden="1" customWidth="1"/>
    <col min="13" max="13" width="6.59765625" style="23" hidden="1" customWidth="1"/>
    <col min="14" max="14" width="5.59765625" style="23" bestFit="1" customWidth="1"/>
    <col min="16" max="16" width="15.09765625" bestFit="1" customWidth="1"/>
    <col min="17" max="17" width="10.5" bestFit="1" customWidth="1"/>
    <col min="18" max="18" width="22.796875" bestFit="1" customWidth="1"/>
    <col min="19" max="19" width="20.69921875" bestFit="1" customWidth="1"/>
    <col min="20" max="20" width="8.59765625" style="14" bestFit="1" customWidth="1"/>
    <col min="22" max="22" width="19.69921875" bestFit="1" customWidth="1"/>
    <col min="23" max="23" width="10.5" bestFit="1" customWidth="1"/>
    <col min="24" max="24" width="5.796875" bestFit="1" customWidth="1"/>
    <col min="25" max="26" width="5.59765625" style="23" bestFit="1" customWidth="1"/>
    <col min="27" max="27" width="8.796875" style="23" bestFit="1" customWidth="1"/>
    <col min="29" max="29" width="14.59765625" bestFit="1" customWidth="1"/>
    <col min="30" max="30" width="10.5" bestFit="1" customWidth="1"/>
    <col min="31" max="31" width="7.5" bestFit="1" customWidth="1"/>
    <col min="32" max="32" width="11.8984375" bestFit="1" customWidth="1"/>
    <col min="33" max="33" width="7.09765625" style="84" bestFit="1" customWidth="1"/>
    <col min="35" max="35" width="18.3984375" bestFit="1" customWidth="1"/>
    <col min="36" max="36" width="9.5" bestFit="1" customWidth="1"/>
    <col min="37" max="37" width="9.19921875" bestFit="1" customWidth="1"/>
    <col min="38" max="38" width="8.19921875" style="96" bestFit="1" customWidth="1"/>
    <col min="39" max="39" width="5.19921875" bestFit="1" customWidth="1"/>
    <col min="43" max="43" width="10.69921875" bestFit="1" customWidth="1"/>
    <col min="44" max="44" width="24" bestFit="1" customWidth="1"/>
    <col min="45" max="46" width="8" bestFit="1" customWidth="1"/>
  </cols>
  <sheetData>
    <row r="1" spans="1:41" x14ac:dyDescent="0.3">
      <c r="A1" s="13" t="s">
        <v>1173</v>
      </c>
      <c r="B1" t="s">
        <v>268</v>
      </c>
      <c r="C1" s="23" t="s">
        <v>270</v>
      </c>
      <c r="D1" s="23" t="s">
        <v>271</v>
      </c>
      <c r="E1" s="23" t="s">
        <v>272</v>
      </c>
      <c r="F1" s="23" t="s">
        <v>273</v>
      </c>
      <c r="G1" s="23" t="s">
        <v>274</v>
      </c>
      <c r="H1" s="23" t="s">
        <v>275</v>
      </c>
      <c r="I1" s="23" t="s">
        <v>276</v>
      </c>
      <c r="J1" s="23" t="s">
        <v>277</v>
      </c>
      <c r="K1" s="23" t="s">
        <v>278</v>
      </c>
      <c r="L1" s="23" t="s">
        <v>279</v>
      </c>
      <c r="M1" s="23" t="s">
        <v>280</v>
      </c>
      <c r="N1" s="23" t="s">
        <v>281</v>
      </c>
      <c r="P1" s="13" t="s">
        <v>1172</v>
      </c>
      <c r="Q1" t="s">
        <v>268</v>
      </c>
      <c r="R1" t="s">
        <v>304</v>
      </c>
      <c r="S1" t="s">
        <v>421</v>
      </c>
      <c r="T1" s="14" t="s">
        <v>409</v>
      </c>
      <c r="V1" s="13" t="s">
        <v>1174</v>
      </c>
      <c r="W1" t="s">
        <v>268</v>
      </c>
      <c r="X1" t="s">
        <v>269</v>
      </c>
      <c r="Y1" s="23" t="s">
        <v>504</v>
      </c>
      <c r="Z1" s="23" t="s">
        <v>505</v>
      </c>
      <c r="AA1" s="23" t="s">
        <v>511</v>
      </c>
      <c r="AC1" s="13" t="s">
        <v>1175</v>
      </c>
      <c r="AD1" t="s">
        <v>268</v>
      </c>
      <c r="AE1" t="s">
        <v>304</v>
      </c>
      <c r="AF1" t="s">
        <v>409</v>
      </c>
      <c r="AG1" s="84" t="s">
        <v>626</v>
      </c>
      <c r="AI1" s="13" t="s">
        <v>1177</v>
      </c>
      <c r="AJ1" t="s">
        <v>268</v>
      </c>
      <c r="AK1" t="s">
        <v>421</v>
      </c>
      <c r="AL1" s="96" t="s">
        <v>409</v>
      </c>
      <c r="AM1" t="s">
        <v>445</v>
      </c>
    </row>
    <row r="2" spans="1:41" x14ac:dyDescent="0.3">
      <c r="B2" s="93">
        <v>45894</v>
      </c>
      <c r="C2" s="23">
        <v>5.296875</v>
      </c>
      <c r="D2" s="23">
        <v>5.2134615384615399</v>
      </c>
      <c r="E2" s="23">
        <v>5.3403846153846102</v>
      </c>
      <c r="F2" s="23">
        <v>5.4057692307692298</v>
      </c>
      <c r="G2" s="23">
        <v>5.4173076923076904</v>
      </c>
      <c r="H2" s="23">
        <v>5.4557692307692296</v>
      </c>
      <c r="I2" s="23">
        <v>5.5269230769230804</v>
      </c>
      <c r="J2" s="23">
        <v>5.60769230769231</v>
      </c>
      <c r="K2" s="23">
        <v>5.7038461538461496</v>
      </c>
      <c r="L2" s="23">
        <v>5.7576923076923103</v>
      </c>
      <c r="M2" s="23">
        <v>5.8884615384615397</v>
      </c>
      <c r="N2" s="23">
        <v>5.9730769230769196</v>
      </c>
      <c r="Q2" s="93">
        <v>46261</v>
      </c>
      <c r="R2" t="s">
        <v>479</v>
      </c>
      <c r="S2" t="s">
        <v>399</v>
      </c>
      <c r="T2" s="14">
        <v>12967.6573072343</v>
      </c>
      <c r="W2" s="20">
        <v>45894</v>
      </c>
      <c r="X2" t="s">
        <v>270</v>
      </c>
      <c r="Y2" s="23">
        <v>5.4937500000000004</v>
      </c>
      <c r="Z2" s="23">
        <v>5.0999999999999996</v>
      </c>
      <c r="AA2" s="23">
        <v>5.296875</v>
      </c>
      <c r="AC2" s="13" t="s">
        <v>1176</v>
      </c>
      <c r="AD2" s="20">
        <v>45659</v>
      </c>
      <c r="AE2" t="s">
        <v>479</v>
      </c>
      <c r="AF2">
        <v>1392.846359072</v>
      </c>
      <c r="AG2" s="84">
        <f>DATE(YEAR(His53_DataTT[[#This Row],[RptDate]]),MONTH(His53_DataTT[[#This Row],[RptDate]]),1)</f>
        <v>45658</v>
      </c>
      <c r="AI2" s="13" t="s">
        <v>1178</v>
      </c>
      <c r="AJ2" s="20">
        <v>46262</v>
      </c>
      <c r="AK2" t="s">
        <v>1268</v>
      </c>
      <c r="AL2" s="96">
        <v>-23510.7</v>
      </c>
      <c r="AM2" t="s">
        <v>1269</v>
      </c>
    </row>
    <row r="3" spans="1:41" x14ac:dyDescent="0.3">
      <c r="B3" s="93">
        <v>45895</v>
      </c>
      <c r="C3" s="23">
        <v>5.2843749999999998</v>
      </c>
      <c r="D3" s="23">
        <v>5.2134615384615399</v>
      </c>
      <c r="E3" s="23">
        <v>5.3634615384615403</v>
      </c>
      <c r="F3" s="23">
        <v>5.4057692307692298</v>
      </c>
      <c r="G3" s="23">
        <v>5.4173076923076904</v>
      </c>
      <c r="H3" s="23">
        <v>5.4557692307692296</v>
      </c>
      <c r="I3" s="23">
        <v>5.5269230769230804</v>
      </c>
      <c r="J3" s="23">
        <v>5.60769230769231</v>
      </c>
      <c r="K3" s="23">
        <v>5.7038461538461496</v>
      </c>
      <c r="L3" s="23">
        <v>5.7576923076923103</v>
      </c>
      <c r="M3" s="23">
        <v>5.8884615384615397</v>
      </c>
      <c r="N3" s="23">
        <v>5.9730769230769196</v>
      </c>
      <c r="Q3" s="93">
        <v>46261</v>
      </c>
      <c r="R3" t="s">
        <v>364</v>
      </c>
      <c r="S3" t="s">
        <v>399</v>
      </c>
      <c r="T3" s="14">
        <v>27199.1</v>
      </c>
      <c r="W3" s="20">
        <v>45894</v>
      </c>
      <c r="X3" t="s">
        <v>271</v>
      </c>
      <c r="Y3" s="23">
        <v>5.4307692307692301</v>
      </c>
      <c r="Z3" s="23">
        <v>4.9961538461538497</v>
      </c>
      <c r="AA3" s="23">
        <v>5.2134615384615399</v>
      </c>
      <c r="AC3" s="19"/>
      <c r="AD3" s="20">
        <v>45659</v>
      </c>
      <c r="AE3" t="s">
        <v>557</v>
      </c>
      <c r="AF3">
        <v>1203.006788443</v>
      </c>
      <c r="AG3" s="84">
        <f>DATE(YEAR(His53_DataTT[[#This Row],[RptDate]]),MONTH(His53_DataTT[[#This Row],[RptDate]]),1)</f>
        <v>45658</v>
      </c>
      <c r="AJ3" s="20">
        <v>46262</v>
      </c>
      <c r="AK3" t="s">
        <v>1268</v>
      </c>
      <c r="AL3" s="96">
        <v>0</v>
      </c>
      <c r="AM3" t="s">
        <v>300</v>
      </c>
    </row>
    <row r="4" spans="1:41" x14ac:dyDescent="0.3">
      <c r="B4" s="93">
        <v>45896</v>
      </c>
      <c r="C4" s="23">
        <v>5.3218750000000004</v>
      </c>
      <c r="D4" s="23">
        <v>5.2134615384615399</v>
      </c>
      <c r="E4" s="23">
        <v>5.3634615384615403</v>
      </c>
      <c r="F4" s="23">
        <v>5.4057692307692298</v>
      </c>
      <c r="G4" s="23">
        <v>5.4173076923076904</v>
      </c>
      <c r="H4" s="23">
        <v>5.4557692307692296</v>
      </c>
      <c r="I4" s="23">
        <v>5.5269230769230804</v>
      </c>
      <c r="J4" s="23">
        <v>5.60769230769231</v>
      </c>
      <c r="K4" s="23">
        <v>5.7038461538461496</v>
      </c>
      <c r="L4" s="23">
        <v>5.7576923076923103</v>
      </c>
      <c r="M4" s="23">
        <v>5.8884615384615397</v>
      </c>
      <c r="N4" s="23">
        <v>5.9730769230769196</v>
      </c>
      <c r="Q4" s="93">
        <v>46261</v>
      </c>
      <c r="R4" t="s">
        <v>491</v>
      </c>
      <c r="S4" t="s">
        <v>399</v>
      </c>
      <c r="T4" s="14">
        <v>397.61059999999998</v>
      </c>
      <c r="W4" s="20">
        <v>45894</v>
      </c>
      <c r="X4" t="s">
        <v>272</v>
      </c>
      <c r="Y4" s="23">
        <v>5.5576923076923102</v>
      </c>
      <c r="Z4" s="23">
        <v>5.12307692307692</v>
      </c>
      <c r="AA4" s="23">
        <v>5.3403846153846102</v>
      </c>
      <c r="AC4" s="19"/>
      <c r="AD4" s="20">
        <v>45660</v>
      </c>
      <c r="AE4" t="s">
        <v>479</v>
      </c>
      <c r="AF4">
        <v>1878.93978444</v>
      </c>
      <c r="AG4" s="84">
        <f>DATE(YEAR(His53_DataTT[[#This Row],[RptDate]]),MONTH(His53_DataTT[[#This Row],[RptDate]]),1)</f>
        <v>45658</v>
      </c>
    </row>
    <row r="5" spans="1:41" x14ac:dyDescent="0.3">
      <c r="B5" s="93">
        <v>45897</v>
      </c>
      <c r="C5" s="23">
        <v>5.3218750000000004</v>
      </c>
      <c r="D5" s="23">
        <v>5.2057692307692296</v>
      </c>
      <c r="E5" s="23">
        <v>5.3557692307692299</v>
      </c>
      <c r="F5" s="23">
        <v>5.4057692307692298</v>
      </c>
      <c r="G5" s="23">
        <v>5.4173076923076904</v>
      </c>
      <c r="H5" s="23">
        <v>5.4557692307692296</v>
      </c>
      <c r="I5" s="23">
        <v>5.5269230769230804</v>
      </c>
      <c r="J5" s="23">
        <v>5.60769230769231</v>
      </c>
      <c r="K5" s="23">
        <v>5.7038461538461496</v>
      </c>
      <c r="L5" s="23">
        <v>5.7576923076923103</v>
      </c>
      <c r="M5" s="23">
        <v>5.8884615384615397</v>
      </c>
      <c r="N5" s="23">
        <v>5.9730769230769196</v>
      </c>
      <c r="Q5" s="93">
        <v>46261</v>
      </c>
      <c r="R5" t="s">
        <v>492</v>
      </c>
      <c r="S5" t="s">
        <v>399</v>
      </c>
      <c r="T5" s="14">
        <v>12000</v>
      </c>
      <c r="W5" s="20">
        <v>45894</v>
      </c>
      <c r="X5" t="s">
        <v>273</v>
      </c>
      <c r="Y5" s="23">
        <v>5.62307692307692</v>
      </c>
      <c r="Z5" s="23">
        <v>5.1884615384615396</v>
      </c>
      <c r="AA5" s="23">
        <v>5.4057692307692298</v>
      </c>
      <c r="AC5" s="19"/>
      <c r="AD5" s="20">
        <v>45660</v>
      </c>
      <c r="AE5" t="s">
        <v>557</v>
      </c>
      <c r="AF5">
        <v>6075.755306133</v>
      </c>
      <c r="AG5" s="84">
        <f>DATE(YEAR(His53_DataTT[[#This Row],[RptDate]]),MONTH(His53_DataTT[[#This Row],[RptDate]]),1)</f>
        <v>45658</v>
      </c>
    </row>
    <row r="6" spans="1:41" x14ac:dyDescent="0.3">
      <c r="B6" s="93">
        <v>45898</v>
      </c>
      <c r="C6" s="23">
        <v>5.3218750000000004</v>
      </c>
      <c r="D6" s="23">
        <v>5.2903846153846104</v>
      </c>
      <c r="E6" s="23">
        <v>5.3634615384615403</v>
      </c>
      <c r="F6" s="23">
        <v>5.4519230769230802</v>
      </c>
      <c r="G6" s="23">
        <v>5.4865384615384603</v>
      </c>
      <c r="H6" s="23">
        <v>5.5057692307692303</v>
      </c>
      <c r="I6" s="23">
        <v>5.5653846153846196</v>
      </c>
      <c r="J6" s="23">
        <v>5.6692307692307704</v>
      </c>
      <c r="K6" s="23">
        <v>5.7423076923076897</v>
      </c>
      <c r="L6" s="23">
        <v>5.7846153846153801</v>
      </c>
      <c r="M6" s="23">
        <v>5.9</v>
      </c>
      <c r="N6" s="23">
        <v>5.9807692307692299</v>
      </c>
      <c r="Q6" s="93">
        <v>46261</v>
      </c>
      <c r="R6" t="s">
        <v>1438</v>
      </c>
      <c r="S6" t="s">
        <v>399</v>
      </c>
      <c r="T6" s="14">
        <v>570.04670723427</v>
      </c>
      <c r="W6" s="20">
        <v>45894</v>
      </c>
      <c r="X6" t="s">
        <v>274</v>
      </c>
      <c r="Y6" s="23">
        <v>5.6346153846153904</v>
      </c>
      <c r="Z6" s="23">
        <v>5.2</v>
      </c>
      <c r="AA6" s="23">
        <v>5.4173076923076904</v>
      </c>
      <c r="AC6" s="19"/>
      <c r="AD6" s="20">
        <v>45663</v>
      </c>
      <c r="AE6" t="s">
        <v>479</v>
      </c>
      <c r="AF6">
        <v>1948.1739855410001</v>
      </c>
      <c r="AG6" s="84">
        <f>DATE(YEAR(His53_DataTT[[#This Row],[RptDate]]),MONTH(His53_DataTT[[#This Row],[RptDate]]),1)</f>
        <v>45658</v>
      </c>
    </row>
    <row r="7" spans="1:41" x14ac:dyDescent="0.3">
      <c r="B7" s="93">
        <v>45903</v>
      </c>
      <c r="C7" s="23">
        <v>5.3343749999999996</v>
      </c>
      <c r="D7" s="23">
        <v>5.3057692307692301</v>
      </c>
      <c r="E7" s="23">
        <v>5.3711538461538497</v>
      </c>
      <c r="F7" s="23">
        <v>5.4596153846153799</v>
      </c>
      <c r="G7" s="23">
        <v>5.50192307692308</v>
      </c>
      <c r="H7" s="23">
        <v>5.5134615384615397</v>
      </c>
      <c r="I7" s="23">
        <v>5.5730769230769202</v>
      </c>
      <c r="J7" s="23">
        <v>5.6769230769230798</v>
      </c>
      <c r="K7" s="23">
        <v>5.75</v>
      </c>
      <c r="L7" s="23">
        <v>5.7923076923076904</v>
      </c>
      <c r="M7" s="23">
        <v>5.9076923076923098</v>
      </c>
      <c r="N7" s="23">
        <v>5.9884615384615403</v>
      </c>
      <c r="Q7" s="93">
        <v>46261</v>
      </c>
      <c r="R7" t="s">
        <v>496</v>
      </c>
      <c r="S7" t="s">
        <v>399</v>
      </c>
      <c r="T7" s="14">
        <v>16743.099999999999</v>
      </c>
      <c r="W7" s="20">
        <v>45894</v>
      </c>
      <c r="X7" t="s">
        <v>275</v>
      </c>
      <c r="Y7" s="23">
        <v>5.6692307692307704</v>
      </c>
      <c r="Z7" s="23">
        <v>5.2423076923076897</v>
      </c>
      <c r="AA7" s="23">
        <v>5.4557692307692296</v>
      </c>
      <c r="AC7" s="19"/>
      <c r="AD7" s="20">
        <v>45663</v>
      </c>
      <c r="AE7" t="s">
        <v>557</v>
      </c>
      <c r="AF7">
        <v>5626.3280089970003</v>
      </c>
      <c r="AG7" s="84">
        <f>DATE(YEAR(His53_DataTT[[#This Row],[RptDate]]),MONTH(His53_DataTT[[#This Row],[RptDate]]),1)</f>
        <v>45658</v>
      </c>
    </row>
    <row r="8" spans="1:41" x14ac:dyDescent="0.3">
      <c r="B8" s="93">
        <v>45904</v>
      </c>
      <c r="C8" s="23">
        <v>5.3343749999999996</v>
      </c>
      <c r="D8" s="23">
        <v>5.3057692307692301</v>
      </c>
      <c r="E8" s="23">
        <v>5.3711538461538497</v>
      </c>
      <c r="F8" s="23">
        <v>5.4596153846153799</v>
      </c>
      <c r="G8" s="23">
        <v>5.50192307692308</v>
      </c>
      <c r="H8" s="23">
        <v>5.5134615384615397</v>
      </c>
      <c r="I8" s="23">
        <v>5.5730769230769202</v>
      </c>
      <c r="J8" s="23">
        <v>5.6769230769230798</v>
      </c>
      <c r="K8" s="23">
        <v>5.75</v>
      </c>
      <c r="L8" s="23">
        <v>5.7923076923076904</v>
      </c>
      <c r="M8" s="23">
        <v>5.9076923076923098</v>
      </c>
      <c r="N8" s="23">
        <v>5.9884615384615403</v>
      </c>
      <c r="Q8" s="93">
        <v>46261</v>
      </c>
      <c r="R8" t="s">
        <v>497</v>
      </c>
      <c r="S8" t="s">
        <v>399</v>
      </c>
      <c r="T8" s="14">
        <v>397.61059999999998</v>
      </c>
      <c r="W8" s="20">
        <v>45894</v>
      </c>
      <c r="X8" t="s">
        <v>276</v>
      </c>
      <c r="Y8" s="23">
        <v>5.7461538461538497</v>
      </c>
      <c r="Z8" s="23">
        <v>5.3076923076923102</v>
      </c>
      <c r="AA8" s="23">
        <v>5.5269230769230804</v>
      </c>
      <c r="AC8" s="19"/>
      <c r="AD8" s="20">
        <v>45664</v>
      </c>
      <c r="AE8" t="s">
        <v>479</v>
      </c>
      <c r="AF8">
        <v>575.77431800600004</v>
      </c>
      <c r="AG8" s="84">
        <f>DATE(YEAR(His53_DataTT[[#This Row],[RptDate]]),MONTH(His53_DataTT[[#This Row],[RptDate]]),1)</f>
        <v>45658</v>
      </c>
    </row>
    <row r="9" spans="1:41" x14ac:dyDescent="0.3">
      <c r="B9" s="93">
        <v>45905</v>
      </c>
      <c r="C9" s="23">
        <v>5.3343749999999996</v>
      </c>
      <c r="D9" s="23">
        <v>5.3057692307692301</v>
      </c>
      <c r="E9" s="23">
        <v>5.3711538461538497</v>
      </c>
      <c r="F9" s="23">
        <v>5.4596153846153799</v>
      </c>
      <c r="G9" s="23">
        <v>5.50192307692308</v>
      </c>
      <c r="H9" s="23">
        <v>5.5134615384615397</v>
      </c>
      <c r="I9" s="23">
        <v>5.5730769230769202</v>
      </c>
      <c r="J9" s="23">
        <v>5.6769230769230798</v>
      </c>
      <c r="K9" s="23">
        <v>5.75</v>
      </c>
      <c r="L9" s="23">
        <v>5.7923076923076904</v>
      </c>
      <c r="M9" s="23">
        <v>5.9076923076923098</v>
      </c>
      <c r="N9" s="23">
        <v>5.9884615384615403</v>
      </c>
      <c r="Q9" s="93">
        <v>46261</v>
      </c>
      <c r="R9" t="s">
        <v>498</v>
      </c>
      <c r="S9" t="s">
        <v>399</v>
      </c>
      <c r="T9" s="14">
        <v>11000</v>
      </c>
      <c r="W9" s="20">
        <v>45894</v>
      </c>
      <c r="X9" t="s">
        <v>277</v>
      </c>
      <c r="Y9" s="23">
        <v>5.8307692307692296</v>
      </c>
      <c r="Z9" s="23">
        <v>5.3846153846153904</v>
      </c>
      <c r="AA9" s="23">
        <v>5.60769230769231</v>
      </c>
      <c r="AC9" s="19"/>
      <c r="AD9" s="20">
        <v>45664</v>
      </c>
      <c r="AE9" t="s">
        <v>557</v>
      </c>
      <c r="AF9">
        <v>3354.057329838</v>
      </c>
      <c r="AG9" s="84">
        <f>DATE(YEAR(His53_DataTT[[#This Row],[RptDate]]),MONTH(His53_DataTT[[#This Row],[RptDate]]),1)</f>
        <v>45658</v>
      </c>
    </row>
    <row r="10" spans="1:41" x14ac:dyDescent="0.3">
      <c r="B10" s="93">
        <v>45908</v>
      </c>
      <c r="C10" s="23">
        <v>5.2750000000000004</v>
      </c>
      <c r="D10" s="23">
        <v>5.3288461538461496</v>
      </c>
      <c r="E10" s="23">
        <v>5.3865384615384597</v>
      </c>
      <c r="F10" s="23">
        <v>5.4903846153846096</v>
      </c>
      <c r="G10" s="23">
        <v>5.5326923076923098</v>
      </c>
      <c r="H10" s="23">
        <v>5.5596153846153804</v>
      </c>
      <c r="I10" s="23">
        <v>5.6115384615384603</v>
      </c>
      <c r="J10" s="23">
        <v>5.7153846153846199</v>
      </c>
      <c r="K10" s="23">
        <v>5.7653846153846198</v>
      </c>
      <c r="L10" s="23">
        <v>5.8076923076923102</v>
      </c>
      <c r="M10" s="23">
        <v>5.9076923076923098</v>
      </c>
      <c r="N10" s="23">
        <v>5.9884615384615403</v>
      </c>
      <c r="Q10" s="93">
        <v>46261</v>
      </c>
      <c r="R10" t="s">
        <v>494</v>
      </c>
      <c r="S10" t="s">
        <v>399</v>
      </c>
      <c r="T10" s="14">
        <v>950</v>
      </c>
      <c r="W10" s="20">
        <v>45894</v>
      </c>
      <c r="X10" t="s">
        <v>278</v>
      </c>
      <c r="Y10" s="23">
        <v>5.9269230769230798</v>
      </c>
      <c r="Z10" s="23">
        <v>5.4807692307692299</v>
      </c>
      <c r="AA10" s="23">
        <v>5.7038461538461496</v>
      </c>
      <c r="AC10" s="19"/>
      <c r="AD10" s="20">
        <v>45665</v>
      </c>
      <c r="AE10" t="s">
        <v>479</v>
      </c>
      <c r="AF10">
        <v>882.26774085399995</v>
      </c>
      <c r="AG10" s="84">
        <f>DATE(YEAR(His53_DataTT[[#This Row],[RptDate]]),MONTH(His53_DataTT[[#This Row],[RptDate]]),1)</f>
        <v>45658</v>
      </c>
    </row>
    <row r="11" spans="1:41" x14ac:dyDescent="0.3">
      <c r="B11" s="93">
        <v>45909</v>
      </c>
      <c r="C11" s="23">
        <v>5.2750000000000004</v>
      </c>
      <c r="D11" s="23">
        <v>5.3519230769230797</v>
      </c>
      <c r="E11" s="23">
        <v>5.4019230769230804</v>
      </c>
      <c r="F11" s="23">
        <v>5.5211538461538403</v>
      </c>
      <c r="G11" s="23">
        <v>5.5634615384615396</v>
      </c>
      <c r="H11" s="23">
        <v>5.5942307692307702</v>
      </c>
      <c r="I11" s="23">
        <v>5.6461538461538501</v>
      </c>
      <c r="J11" s="23">
        <v>5.7230769230769196</v>
      </c>
      <c r="K11" s="23">
        <v>5.7730769230769203</v>
      </c>
      <c r="L11" s="23">
        <v>5.8153846153846196</v>
      </c>
      <c r="M11" s="23">
        <v>5.9076923076923098</v>
      </c>
      <c r="N11" s="23">
        <v>5.9884615384615403</v>
      </c>
      <c r="Q11" s="93">
        <v>46261</v>
      </c>
      <c r="R11" t="s">
        <v>495</v>
      </c>
      <c r="S11" t="s">
        <v>399</v>
      </c>
      <c r="T11" s="14">
        <v>0</v>
      </c>
      <c r="W11" s="20">
        <v>45894</v>
      </c>
      <c r="X11" t="s">
        <v>279</v>
      </c>
      <c r="Y11" s="23">
        <v>5.9769230769230797</v>
      </c>
      <c r="Z11" s="23">
        <v>5.5384615384615401</v>
      </c>
      <c r="AA11" s="23">
        <v>5.7576923076923103</v>
      </c>
      <c r="AC11" s="19"/>
      <c r="AD11" s="20">
        <v>45665</v>
      </c>
      <c r="AE11" t="s">
        <v>557</v>
      </c>
      <c r="AF11">
        <v>1340.574399524</v>
      </c>
      <c r="AG11" s="84">
        <f>DATE(YEAR(His53_DataTT[[#This Row],[RptDate]]),MONTH(His53_DataTT[[#This Row],[RptDate]]),1)</f>
        <v>45658</v>
      </c>
      <c r="AO11" s="14"/>
    </row>
    <row r="12" spans="1:41" x14ac:dyDescent="0.3">
      <c r="B12" s="93">
        <v>45910</v>
      </c>
      <c r="C12" s="23">
        <v>5.2892857142857101</v>
      </c>
      <c r="D12" s="23">
        <v>5.3519230769230797</v>
      </c>
      <c r="E12" s="23">
        <v>5.4019230769230804</v>
      </c>
      <c r="F12" s="23">
        <v>5.5288461538461497</v>
      </c>
      <c r="G12" s="23">
        <v>5.5711538461538499</v>
      </c>
      <c r="H12" s="23">
        <v>5.6019230769230797</v>
      </c>
      <c r="I12" s="23">
        <v>5.6538461538461497</v>
      </c>
      <c r="J12" s="23">
        <v>5.7307692307692299</v>
      </c>
      <c r="K12" s="23">
        <v>5.7884615384615401</v>
      </c>
      <c r="L12" s="23">
        <v>5.8230769230769202</v>
      </c>
      <c r="M12" s="23">
        <v>5.9230769230769198</v>
      </c>
      <c r="N12" s="23">
        <v>6.0038461538461503</v>
      </c>
      <c r="Q12" s="93">
        <v>46261</v>
      </c>
      <c r="R12" t="s">
        <v>493</v>
      </c>
      <c r="S12" t="s">
        <v>399</v>
      </c>
      <c r="T12" s="14">
        <v>0</v>
      </c>
      <c r="W12" s="20">
        <v>45894</v>
      </c>
      <c r="X12" t="s">
        <v>280</v>
      </c>
      <c r="Y12" s="23">
        <v>6.10769230769231</v>
      </c>
      <c r="Z12" s="23">
        <v>5.6692307692307704</v>
      </c>
      <c r="AA12" s="23">
        <v>5.8884615384615397</v>
      </c>
      <c r="AC12" s="19"/>
      <c r="AD12" s="20">
        <v>45666</v>
      </c>
      <c r="AE12" t="s">
        <v>479</v>
      </c>
      <c r="AF12">
        <v>1726.533159372</v>
      </c>
      <c r="AG12" s="84">
        <f>DATE(YEAR(His53_DataTT[[#This Row],[RptDate]]),MONTH(His53_DataTT[[#This Row],[RptDate]]),1)</f>
        <v>45658</v>
      </c>
      <c r="AO12" s="14"/>
    </row>
    <row r="13" spans="1:41" x14ac:dyDescent="0.3">
      <c r="B13" s="93">
        <v>45911</v>
      </c>
      <c r="C13" s="23">
        <v>5.29285714285714</v>
      </c>
      <c r="D13" s="23">
        <v>5.37307692307692</v>
      </c>
      <c r="E13" s="23">
        <v>5.4192307692307704</v>
      </c>
      <c r="F13" s="23">
        <v>5.5653846153846196</v>
      </c>
      <c r="G13" s="23">
        <v>5.6192307692307697</v>
      </c>
      <c r="H13" s="23">
        <v>5.65</v>
      </c>
      <c r="I13" s="23">
        <v>5.7</v>
      </c>
      <c r="J13" s="23">
        <v>5.7692307692307701</v>
      </c>
      <c r="K13" s="23">
        <v>5.8288461538461496</v>
      </c>
      <c r="L13" s="23">
        <v>5.8634615384615403</v>
      </c>
      <c r="M13" s="23">
        <v>5.9576923076923096</v>
      </c>
      <c r="N13" s="23">
        <v>6.0461538461538504</v>
      </c>
      <c r="Q13" s="93">
        <v>46261</v>
      </c>
      <c r="R13" t="s">
        <v>593</v>
      </c>
      <c r="S13" t="s">
        <v>399</v>
      </c>
      <c r="T13" s="14">
        <v>9506</v>
      </c>
      <c r="W13" s="20">
        <v>45894</v>
      </c>
      <c r="X13" t="s">
        <v>281</v>
      </c>
      <c r="Y13" s="23">
        <v>6.1923076923076898</v>
      </c>
      <c r="Z13" s="23">
        <v>5.75384615384616</v>
      </c>
      <c r="AA13" s="23">
        <v>5.9730769230769196</v>
      </c>
      <c r="AC13" s="19"/>
      <c r="AD13" s="20">
        <v>45666</v>
      </c>
      <c r="AE13" t="s">
        <v>557</v>
      </c>
      <c r="AF13">
        <v>1350.395188857</v>
      </c>
      <c r="AG13" s="84">
        <f>DATE(YEAR(His53_DataTT[[#This Row],[RptDate]]),MONTH(His53_DataTT[[#This Row],[RptDate]]),1)</f>
        <v>45658</v>
      </c>
      <c r="AO13" s="14"/>
    </row>
    <row r="14" spans="1:41" x14ac:dyDescent="0.3">
      <c r="B14" s="93">
        <v>45912</v>
      </c>
      <c r="C14" s="23">
        <v>5.29285714285714</v>
      </c>
      <c r="D14" s="23">
        <v>5.37307692307692</v>
      </c>
      <c r="E14" s="23">
        <v>5.4192307692307704</v>
      </c>
      <c r="F14" s="23">
        <v>5.5653846153846196</v>
      </c>
      <c r="G14" s="23">
        <v>5.6192307692307697</v>
      </c>
      <c r="H14" s="23">
        <v>5.65</v>
      </c>
      <c r="I14" s="23">
        <v>5.7038461538461496</v>
      </c>
      <c r="J14" s="23">
        <v>5.7692307692307701</v>
      </c>
      <c r="K14" s="23">
        <v>5.8288461538461496</v>
      </c>
      <c r="L14" s="23">
        <v>5.8634615384615403</v>
      </c>
      <c r="M14" s="23">
        <v>5.9576923076923096</v>
      </c>
      <c r="N14" s="23">
        <v>6.0461538461538504</v>
      </c>
      <c r="Q14" s="93">
        <v>46261</v>
      </c>
      <c r="R14" t="s">
        <v>594</v>
      </c>
      <c r="S14" t="s">
        <v>399</v>
      </c>
      <c r="T14" s="14">
        <v>0</v>
      </c>
      <c r="W14" s="20">
        <v>45895</v>
      </c>
      <c r="X14" t="s">
        <v>270</v>
      </c>
      <c r="Y14" s="23">
        <v>5.4812500000000002</v>
      </c>
      <c r="Z14" s="23">
        <v>5.0875000000000004</v>
      </c>
      <c r="AA14" s="23">
        <v>5.2843749999999998</v>
      </c>
      <c r="AC14" s="19"/>
      <c r="AD14" s="20">
        <v>45667</v>
      </c>
      <c r="AE14" t="s">
        <v>479</v>
      </c>
      <c r="AF14">
        <v>1735.3295525010001</v>
      </c>
      <c r="AG14" s="84">
        <f>DATE(YEAR(His53_DataTT[[#This Row],[RptDate]]),MONTH(His53_DataTT[[#This Row],[RptDate]]),1)</f>
        <v>45658</v>
      </c>
      <c r="AO14" s="14"/>
    </row>
    <row r="15" spans="1:41" x14ac:dyDescent="0.3">
      <c r="B15" s="93">
        <v>45915</v>
      </c>
      <c r="C15" s="23">
        <v>5.4166666666666696</v>
      </c>
      <c r="D15" s="23">
        <v>5.65</v>
      </c>
      <c r="E15" s="23">
        <v>5.4730769230769196</v>
      </c>
      <c r="F15" s="23">
        <v>5.6038461538461499</v>
      </c>
      <c r="G15" s="23">
        <v>5.6576923076923098</v>
      </c>
      <c r="H15" s="23">
        <v>5.7038461538461496</v>
      </c>
      <c r="I15" s="23">
        <v>5.75</v>
      </c>
      <c r="J15" s="23">
        <v>5.8076923076923102</v>
      </c>
      <c r="K15" s="23">
        <v>5.8673076923076897</v>
      </c>
      <c r="L15" s="23">
        <v>5.9019230769230804</v>
      </c>
      <c r="M15" s="23">
        <v>5.9884615384615403</v>
      </c>
      <c r="N15" s="23">
        <v>6.0769230769230802</v>
      </c>
      <c r="Q15" s="93">
        <v>46261</v>
      </c>
      <c r="R15" t="s">
        <v>595</v>
      </c>
      <c r="S15" t="s">
        <v>399</v>
      </c>
      <c r="T15" s="14">
        <v>1000</v>
      </c>
      <c r="W15" s="20">
        <v>45895</v>
      </c>
      <c r="X15" t="s">
        <v>271</v>
      </c>
      <c r="Y15" s="23">
        <v>5.4307692307692301</v>
      </c>
      <c r="Z15" s="23">
        <v>4.9961538461538497</v>
      </c>
      <c r="AA15" s="23">
        <v>5.2134615384615399</v>
      </c>
      <c r="AC15" s="19"/>
      <c r="AD15" s="20">
        <v>45667</v>
      </c>
      <c r="AE15" t="s">
        <v>557</v>
      </c>
      <c r="AF15">
        <v>1790.47028596</v>
      </c>
      <c r="AG15" s="84">
        <f>DATE(YEAR(His53_DataTT[[#This Row],[RptDate]]),MONTH(His53_DataTT[[#This Row],[RptDate]]),1)</f>
        <v>45658</v>
      </c>
      <c r="AO15" s="14"/>
    </row>
    <row r="16" spans="1:41" x14ac:dyDescent="0.3">
      <c r="B16" s="93">
        <v>45916</v>
      </c>
      <c r="C16" s="23">
        <v>5.4166666666666696</v>
      </c>
      <c r="D16" s="23">
        <v>5.65</v>
      </c>
      <c r="E16" s="23">
        <v>5.4730769230769196</v>
      </c>
      <c r="F16" s="23">
        <v>5.6038461538461499</v>
      </c>
      <c r="G16" s="23">
        <v>5.6576923076923098</v>
      </c>
      <c r="H16" s="23">
        <v>5.7038461538461496</v>
      </c>
      <c r="I16" s="23">
        <v>5.75</v>
      </c>
      <c r="J16" s="23">
        <v>5.8076923076923102</v>
      </c>
      <c r="K16" s="23">
        <v>5.8673076923076897</v>
      </c>
      <c r="L16" s="23">
        <v>5.9019230769230804</v>
      </c>
      <c r="M16" s="23">
        <v>5.9884615384615403</v>
      </c>
      <c r="N16" s="23">
        <v>6.0769230769230802</v>
      </c>
      <c r="Q16" s="93">
        <v>46261</v>
      </c>
      <c r="R16" t="s">
        <v>1439</v>
      </c>
      <c r="S16" t="s">
        <v>399</v>
      </c>
      <c r="T16" s="14">
        <v>570.04670723427</v>
      </c>
      <c r="W16" s="20">
        <v>45895</v>
      </c>
      <c r="X16" t="s">
        <v>272</v>
      </c>
      <c r="Y16" s="23">
        <v>5.5807692307692296</v>
      </c>
      <c r="Z16" s="23">
        <v>5.1461538461538501</v>
      </c>
      <c r="AA16" s="23">
        <v>5.3634615384615403</v>
      </c>
      <c r="AC16" s="19"/>
      <c r="AD16" s="20">
        <v>45670</v>
      </c>
      <c r="AE16" t="s">
        <v>479</v>
      </c>
      <c r="AF16">
        <v>1813.9345684289999</v>
      </c>
      <c r="AG16" s="84">
        <f>DATE(YEAR(His53_DataTT[[#This Row],[RptDate]]),MONTH(His53_DataTT[[#This Row],[RptDate]]),1)</f>
        <v>45658</v>
      </c>
      <c r="AO16" s="14"/>
    </row>
    <row r="17" spans="2:41" x14ac:dyDescent="0.3">
      <c r="B17" s="93">
        <v>45917</v>
      </c>
      <c r="C17" s="23">
        <v>5.4666666666666703</v>
      </c>
      <c r="D17" s="23">
        <v>5.65</v>
      </c>
      <c r="E17" s="23">
        <v>5.4807692307692299</v>
      </c>
      <c r="F17" s="23">
        <v>5.6038461538461499</v>
      </c>
      <c r="G17" s="23">
        <v>5.6576923076923098</v>
      </c>
      <c r="H17" s="23">
        <v>5.7038461538461496</v>
      </c>
      <c r="I17" s="23">
        <v>5.75</v>
      </c>
      <c r="J17" s="23">
        <v>5.8076923076923102</v>
      </c>
      <c r="K17" s="23">
        <v>5.8673076923076897</v>
      </c>
      <c r="L17" s="23">
        <v>5.9019230769230804</v>
      </c>
      <c r="M17" s="23">
        <v>5.9884615384615403</v>
      </c>
      <c r="N17" s="23">
        <v>6.0769230769230802</v>
      </c>
      <c r="Q17" s="93">
        <v>46261</v>
      </c>
      <c r="R17" t="s">
        <v>479</v>
      </c>
      <c r="S17" t="s">
        <v>395</v>
      </c>
      <c r="T17" s="14">
        <v>13368.9436402518</v>
      </c>
      <c r="W17" s="20">
        <v>45895</v>
      </c>
      <c r="X17" t="s">
        <v>273</v>
      </c>
      <c r="Y17" s="23">
        <v>5.62307692307692</v>
      </c>
      <c r="Z17" s="23">
        <v>5.1884615384615396</v>
      </c>
      <c r="AA17" s="23">
        <v>5.4057692307692298</v>
      </c>
      <c r="AC17" s="19"/>
      <c r="AD17" s="20">
        <v>45670</v>
      </c>
      <c r="AE17" t="s">
        <v>557</v>
      </c>
      <c r="AF17">
        <v>2664.933907221</v>
      </c>
      <c r="AG17" s="84">
        <f>DATE(YEAR(His53_DataTT[[#This Row],[RptDate]]),MONTH(His53_DataTT[[#This Row],[RptDate]]),1)</f>
        <v>45658</v>
      </c>
      <c r="AO17" s="14"/>
    </row>
    <row r="18" spans="2:41" x14ac:dyDescent="0.3">
      <c r="B18" s="93">
        <v>45918</v>
      </c>
      <c r="C18" s="23">
        <v>5.4666666666666703</v>
      </c>
      <c r="D18" s="23">
        <v>5.65</v>
      </c>
      <c r="E18" s="23">
        <v>5.4807692307692299</v>
      </c>
      <c r="F18" s="23">
        <v>5.6038461538461499</v>
      </c>
      <c r="G18" s="23">
        <v>5.6576923076923098</v>
      </c>
      <c r="H18" s="23">
        <v>5.7038461538461496</v>
      </c>
      <c r="I18" s="23">
        <v>5.75</v>
      </c>
      <c r="J18" s="23">
        <v>5.8076923076923102</v>
      </c>
      <c r="K18" s="23">
        <v>5.8673076923076897</v>
      </c>
      <c r="L18" s="23">
        <v>5.9019230769230804</v>
      </c>
      <c r="M18" s="23">
        <v>5.9884615384615403</v>
      </c>
      <c r="N18" s="23">
        <v>6.0769230769230802</v>
      </c>
      <c r="Q18" s="93">
        <v>46261</v>
      </c>
      <c r="R18" t="s">
        <v>479</v>
      </c>
      <c r="S18" t="s">
        <v>415</v>
      </c>
      <c r="T18" s="14">
        <v>8.0600897739289508</v>
      </c>
      <c r="W18" s="20">
        <v>45895</v>
      </c>
      <c r="X18" t="s">
        <v>274</v>
      </c>
      <c r="Y18" s="23">
        <v>5.6346153846153904</v>
      </c>
      <c r="Z18" s="23">
        <v>5.2</v>
      </c>
      <c r="AA18" s="23">
        <v>5.4173076923076904</v>
      </c>
      <c r="AC18" s="19"/>
      <c r="AD18" s="20">
        <v>45671</v>
      </c>
      <c r="AE18" t="s">
        <v>479</v>
      </c>
      <c r="AF18">
        <v>1215.0615464319999</v>
      </c>
      <c r="AG18" s="84">
        <f>DATE(YEAR(His53_DataTT[[#This Row],[RptDate]]),MONTH(His53_DataTT[[#This Row],[RptDate]]),1)</f>
        <v>45658</v>
      </c>
      <c r="AO18" s="14"/>
    </row>
    <row r="19" spans="2:41" x14ac:dyDescent="0.3">
      <c r="B19" s="93">
        <v>45919</v>
      </c>
      <c r="C19" s="23">
        <v>5.4666666666666703</v>
      </c>
      <c r="D19" s="23">
        <v>5.65</v>
      </c>
      <c r="E19" s="23">
        <v>5.4807692307692299</v>
      </c>
      <c r="F19" s="23">
        <v>5.6038461538461499</v>
      </c>
      <c r="G19" s="23">
        <v>5.6576923076923098</v>
      </c>
      <c r="H19" s="23">
        <v>5.7038461538461496</v>
      </c>
      <c r="I19" s="23">
        <v>5.75</v>
      </c>
      <c r="J19" s="23">
        <v>5.8076923076923102</v>
      </c>
      <c r="K19" s="23">
        <v>5.8673076923076897</v>
      </c>
      <c r="L19" s="23">
        <v>5.9019230769230804</v>
      </c>
      <c r="M19" s="23">
        <v>5.9884615384615403</v>
      </c>
      <c r="N19" s="23">
        <v>6.0769230769230802</v>
      </c>
      <c r="Q19" s="93">
        <v>46261</v>
      </c>
      <c r="R19" t="s">
        <v>364</v>
      </c>
      <c r="S19" t="s">
        <v>415</v>
      </c>
      <c r="T19" s="14">
        <v>7.4007821076187899</v>
      </c>
      <c r="W19" s="20">
        <v>45895</v>
      </c>
      <c r="X19" t="s">
        <v>275</v>
      </c>
      <c r="Y19" s="23">
        <v>5.6692307692307704</v>
      </c>
      <c r="Z19" s="23">
        <v>5.2423076923076897</v>
      </c>
      <c r="AA19" s="23">
        <v>5.4557692307692296</v>
      </c>
      <c r="AC19" s="19"/>
      <c r="AD19" s="20">
        <v>45671</v>
      </c>
      <c r="AE19" t="s">
        <v>557</v>
      </c>
      <c r="AF19">
        <v>1742.0147605909999</v>
      </c>
      <c r="AG19" s="84">
        <f>DATE(YEAR(His53_DataTT[[#This Row],[RptDate]]),MONTH(His53_DataTT[[#This Row],[RptDate]]),1)</f>
        <v>45658</v>
      </c>
      <c r="AO19" s="14"/>
    </row>
    <row r="20" spans="2:41" x14ac:dyDescent="0.3">
      <c r="B20" s="93">
        <v>45922</v>
      </c>
      <c r="C20" s="23">
        <v>5.4666666666666703</v>
      </c>
      <c r="D20" s="23">
        <v>5.6166666666666698</v>
      </c>
      <c r="E20" s="23">
        <v>5.5192307692307701</v>
      </c>
      <c r="F20" s="23">
        <v>5.6346153846153797</v>
      </c>
      <c r="G20" s="23">
        <v>5.6961538461538499</v>
      </c>
      <c r="H20" s="23">
        <v>5.7423076923076897</v>
      </c>
      <c r="I20" s="23">
        <v>5.7807692307692298</v>
      </c>
      <c r="J20" s="23">
        <v>5.8384615384615399</v>
      </c>
      <c r="K20" s="23">
        <v>5.8980769230769203</v>
      </c>
      <c r="L20" s="23">
        <v>5.9326923076923102</v>
      </c>
      <c r="M20" s="23">
        <v>6.0192307692307701</v>
      </c>
      <c r="N20" s="23">
        <v>6.1</v>
      </c>
      <c r="Q20" s="93">
        <v>46261</v>
      </c>
      <c r="R20" t="s">
        <v>516</v>
      </c>
      <c r="S20" t="s">
        <v>415</v>
      </c>
      <c r="T20" s="14">
        <v>7.6210095941205802</v>
      </c>
      <c r="W20" s="20">
        <v>45895</v>
      </c>
      <c r="X20" t="s">
        <v>276</v>
      </c>
      <c r="Y20" s="23">
        <v>5.7461538461538497</v>
      </c>
      <c r="Z20" s="23">
        <v>5.3076923076923102</v>
      </c>
      <c r="AA20" s="23">
        <v>5.5269230769230804</v>
      </c>
      <c r="AC20" s="19"/>
      <c r="AD20" s="20">
        <v>45672</v>
      </c>
      <c r="AE20" t="s">
        <v>479</v>
      </c>
      <c r="AF20">
        <v>597.81711822499994</v>
      </c>
      <c r="AG20" s="84">
        <f>DATE(YEAR(His53_DataTT[[#This Row],[RptDate]]),MONTH(His53_DataTT[[#This Row],[RptDate]]),1)</f>
        <v>45658</v>
      </c>
      <c r="AO20" s="14"/>
    </row>
    <row r="21" spans="2:41" x14ac:dyDescent="0.3">
      <c r="B21" s="93">
        <v>45923</v>
      </c>
      <c r="C21" s="23">
        <v>5.5</v>
      </c>
      <c r="D21" s="23">
        <v>5.6166666666666698</v>
      </c>
      <c r="E21" s="23">
        <v>5.4884615384615403</v>
      </c>
      <c r="F21" s="23">
        <v>5.6038461538461499</v>
      </c>
      <c r="G21" s="23">
        <v>5.6653846153846201</v>
      </c>
      <c r="H21" s="23">
        <v>5.7038461538461496</v>
      </c>
      <c r="I21" s="23">
        <v>5.75</v>
      </c>
      <c r="J21" s="23">
        <v>5.8076923076923102</v>
      </c>
      <c r="K21" s="23">
        <v>5.8673076923076897</v>
      </c>
      <c r="L21" s="23">
        <v>5.9019230769230804</v>
      </c>
      <c r="M21" s="23">
        <v>5.9884615384615403</v>
      </c>
      <c r="N21" s="23">
        <v>6.0769230769230802</v>
      </c>
      <c r="Q21" s="93">
        <v>46261</v>
      </c>
      <c r="R21" t="s">
        <v>1288</v>
      </c>
      <c r="S21" t="s">
        <v>415</v>
      </c>
      <c r="T21" s="14">
        <v>7.6567960819760303</v>
      </c>
      <c r="W21" s="20">
        <v>45895</v>
      </c>
      <c r="X21" t="s">
        <v>277</v>
      </c>
      <c r="Y21" s="23">
        <v>5.8307692307692296</v>
      </c>
      <c r="Z21" s="23">
        <v>5.3846153846153904</v>
      </c>
      <c r="AA21" s="23">
        <v>5.60769230769231</v>
      </c>
      <c r="AC21" s="19"/>
      <c r="AD21" s="20">
        <v>45672</v>
      </c>
      <c r="AE21" t="s">
        <v>557</v>
      </c>
      <c r="AF21">
        <v>3955.638601483</v>
      </c>
      <c r="AG21" s="84">
        <f>DATE(YEAR(His53_DataTT[[#This Row],[RptDate]]),MONTH(His53_DataTT[[#This Row],[RptDate]]),1)</f>
        <v>45658</v>
      </c>
      <c r="AO21" s="14"/>
    </row>
    <row r="22" spans="2:41" x14ac:dyDescent="0.3">
      <c r="B22" s="93">
        <v>45924</v>
      </c>
      <c r="C22" s="23">
        <v>5.5</v>
      </c>
      <c r="D22" s="23">
        <v>5.6166666666666698</v>
      </c>
      <c r="E22" s="23">
        <v>5.5192307692307701</v>
      </c>
      <c r="F22" s="23">
        <v>5.6346153846153797</v>
      </c>
      <c r="G22" s="23">
        <v>5.6961538461538499</v>
      </c>
      <c r="H22" s="23">
        <v>5.7423076923076897</v>
      </c>
      <c r="I22" s="23">
        <v>5.7807692307692298</v>
      </c>
      <c r="J22" s="23">
        <v>5.8384615384615399</v>
      </c>
      <c r="K22" s="23">
        <v>5.8980769230769203</v>
      </c>
      <c r="L22" s="23">
        <v>5.9326923076923102</v>
      </c>
      <c r="M22" s="23">
        <v>6.0192307692307701</v>
      </c>
      <c r="N22" s="23">
        <v>6.1</v>
      </c>
      <c r="Q22" s="93">
        <v>46261</v>
      </c>
      <c r="R22" t="s">
        <v>496</v>
      </c>
      <c r="S22" t="s">
        <v>415</v>
      </c>
      <c r="T22" s="14">
        <v>7.1383212057441803</v>
      </c>
      <c r="W22" s="20">
        <v>45895</v>
      </c>
      <c r="X22" t="s">
        <v>278</v>
      </c>
      <c r="Y22" s="23">
        <v>5.9269230769230798</v>
      </c>
      <c r="Z22" s="23">
        <v>5.4807692307692299</v>
      </c>
      <c r="AA22" s="23">
        <v>5.7038461538461496</v>
      </c>
      <c r="AC22" s="19"/>
      <c r="AD22" s="20">
        <v>45673</v>
      </c>
      <c r="AE22" t="s">
        <v>479</v>
      </c>
      <c r="AF22">
        <v>1487.417637945</v>
      </c>
      <c r="AG22" s="84">
        <f>DATE(YEAR(His53_DataTT[[#This Row],[RptDate]]),MONTH(His53_DataTT[[#This Row],[RptDate]]),1)</f>
        <v>45658</v>
      </c>
      <c r="AO22" s="14"/>
    </row>
    <row r="23" spans="2:41" x14ac:dyDescent="0.3">
      <c r="B23" s="93">
        <v>45925</v>
      </c>
      <c r="C23" s="23">
        <v>5.5</v>
      </c>
      <c r="D23" s="23">
        <v>5.625</v>
      </c>
      <c r="E23" s="23">
        <v>5.5269230769230804</v>
      </c>
      <c r="F23" s="23">
        <v>5.6538461538461497</v>
      </c>
      <c r="G23" s="23">
        <v>5.7038461538461496</v>
      </c>
      <c r="H23" s="23">
        <v>5.7653846153846198</v>
      </c>
      <c r="I23" s="23">
        <v>5.7884615384615401</v>
      </c>
      <c r="J23" s="23">
        <v>5.8538461538461499</v>
      </c>
      <c r="K23" s="23">
        <v>5.8980769230769203</v>
      </c>
      <c r="L23" s="23">
        <v>5.9326923076923102</v>
      </c>
      <c r="M23" s="23">
        <v>6.0192307692307701</v>
      </c>
      <c r="N23" s="23">
        <v>6.1</v>
      </c>
      <c r="Q23" s="93">
        <v>46261</v>
      </c>
      <c r="R23" t="s">
        <v>1290</v>
      </c>
      <c r="S23" t="s">
        <v>415</v>
      </c>
      <c r="T23" s="14">
        <v>7.3587204776560498</v>
      </c>
      <c r="W23" s="20">
        <v>45895</v>
      </c>
      <c r="X23" t="s">
        <v>279</v>
      </c>
      <c r="Y23" s="23">
        <v>5.9769230769230797</v>
      </c>
      <c r="Z23" s="23">
        <v>5.5384615384615401</v>
      </c>
      <c r="AA23" s="23">
        <v>5.7576923076923103</v>
      </c>
      <c r="AC23" s="19"/>
      <c r="AD23" s="20">
        <v>45673</v>
      </c>
      <c r="AE23" t="s">
        <v>557</v>
      </c>
      <c r="AF23">
        <v>4568.9858423610003</v>
      </c>
      <c r="AG23" s="84">
        <f>DATE(YEAR(His53_DataTT[[#This Row],[RptDate]]),MONTH(His53_DataTT[[#This Row],[RptDate]]),1)</f>
        <v>45658</v>
      </c>
      <c r="AO23" s="14"/>
    </row>
    <row r="24" spans="2:41" x14ac:dyDescent="0.3">
      <c r="B24" s="93">
        <v>45926</v>
      </c>
      <c r="C24" s="23">
        <v>5.5</v>
      </c>
      <c r="D24" s="23">
        <v>5.625</v>
      </c>
      <c r="E24" s="23">
        <v>5.5269230769230804</v>
      </c>
      <c r="F24" s="23">
        <v>5.6538461538461497</v>
      </c>
      <c r="G24" s="23">
        <v>5.7038461538461496</v>
      </c>
      <c r="H24" s="23">
        <v>5.7653846153846198</v>
      </c>
      <c r="I24" s="23">
        <v>5.7884615384615401</v>
      </c>
      <c r="J24" s="23">
        <v>5.8538461538461499</v>
      </c>
      <c r="K24" s="23">
        <v>5.8980769230769203</v>
      </c>
      <c r="L24" s="23">
        <v>5.9326923076923102</v>
      </c>
      <c r="M24" s="23">
        <v>6.0192307692307701</v>
      </c>
      <c r="N24" s="23">
        <v>6.1</v>
      </c>
      <c r="Q24" s="93">
        <v>46261</v>
      </c>
      <c r="R24" t="s">
        <v>364</v>
      </c>
      <c r="S24" t="s">
        <v>997</v>
      </c>
      <c r="T24" s="14">
        <v>30699.1</v>
      </c>
      <c r="W24" s="20">
        <v>45895</v>
      </c>
      <c r="X24" t="s">
        <v>280</v>
      </c>
      <c r="Y24" s="23">
        <v>6.10769230769231</v>
      </c>
      <c r="Z24" s="23">
        <v>5.6692307692307704</v>
      </c>
      <c r="AA24" s="23">
        <v>5.8884615384615397</v>
      </c>
      <c r="AC24" s="19"/>
      <c r="AD24" s="20">
        <v>45674</v>
      </c>
      <c r="AE24" t="s">
        <v>479</v>
      </c>
      <c r="AF24">
        <v>1868.921896373</v>
      </c>
      <c r="AG24" s="84">
        <f>DATE(YEAR(His53_DataTT[[#This Row],[RptDate]]),MONTH(His53_DataTT[[#This Row],[RptDate]]),1)</f>
        <v>45658</v>
      </c>
      <c r="AO24" s="14"/>
    </row>
    <row r="25" spans="2:41" x14ac:dyDescent="0.3">
      <c r="B25" s="93">
        <v>45929</v>
      </c>
      <c r="C25" s="23">
        <v>5.5</v>
      </c>
      <c r="D25" s="23">
        <v>5.625</v>
      </c>
      <c r="E25" s="23">
        <v>5.5576923076923102</v>
      </c>
      <c r="F25" s="23">
        <v>5.6538461538461497</v>
      </c>
      <c r="G25" s="23">
        <v>5.7269230769230797</v>
      </c>
      <c r="H25" s="23">
        <v>5.7884615384615401</v>
      </c>
      <c r="I25" s="23">
        <v>5.8269230769230802</v>
      </c>
      <c r="J25" s="23">
        <v>5.9</v>
      </c>
      <c r="K25" s="23">
        <v>5.9365384615384604</v>
      </c>
      <c r="L25" s="23">
        <v>5.9711538461538503</v>
      </c>
      <c r="M25" s="23">
        <v>6.0576923076923102</v>
      </c>
      <c r="N25" s="23">
        <v>6.1384615384615397</v>
      </c>
      <c r="Q25" s="93">
        <v>46261</v>
      </c>
      <c r="R25" t="s">
        <v>496</v>
      </c>
      <c r="S25" t="s">
        <v>997</v>
      </c>
      <c r="T25" s="14">
        <v>20243.099999999999</v>
      </c>
      <c r="W25" s="20">
        <v>45895</v>
      </c>
      <c r="X25" t="s">
        <v>281</v>
      </c>
      <c r="Y25" s="23">
        <v>6.1923076923076898</v>
      </c>
      <c r="Z25" s="23">
        <v>5.75384615384616</v>
      </c>
      <c r="AA25" s="23">
        <v>5.9730769230769196</v>
      </c>
      <c r="AC25" s="19"/>
      <c r="AD25" s="20">
        <v>45674</v>
      </c>
      <c r="AE25" t="s">
        <v>557</v>
      </c>
      <c r="AF25">
        <v>1633.969288864</v>
      </c>
      <c r="AG25" s="84">
        <f>DATE(YEAR(His53_DataTT[[#This Row],[RptDate]]),MONTH(His53_DataTT[[#This Row],[RptDate]]),1)</f>
        <v>45658</v>
      </c>
      <c r="AO25" s="14"/>
    </row>
    <row r="26" spans="2:41" x14ac:dyDescent="0.3">
      <c r="B26" s="93">
        <v>45930</v>
      </c>
      <c r="C26" s="23">
        <v>5.5549999999999997</v>
      </c>
      <c r="D26" s="23">
        <v>5.65</v>
      </c>
      <c r="E26" s="23">
        <v>5.5730769230769202</v>
      </c>
      <c r="F26" s="23">
        <v>5.6576923076923098</v>
      </c>
      <c r="G26" s="23">
        <v>5.7269230769230797</v>
      </c>
      <c r="H26" s="23">
        <v>5.7884615384615401</v>
      </c>
      <c r="I26" s="23">
        <v>5.8269230769230802</v>
      </c>
      <c r="J26" s="23">
        <v>5.9</v>
      </c>
      <c r="K26" s="23">
        <v>5.9365384615384604</v>
      </c>
      <c r="L26" s="23">
        <v>5.9711538461538503</v>
      </c>
      <c r="M26" s="23">
        <v>6.0576923076923102</v>
      </c>
      <c r="N26" s="23">
        <v>6.1384615384615397</v>
      </c>
      <c r="Q26" s="93">
        <v>46261</v>
      </c>
      <c r="R26" t="s">
        <v>1388</v>
      </c>
      <c r="S26" t="s">
        <v>997</v>
      </c>
      <c r="T26" s="14">
        <v>15397.6106</v>
      </c>
      <c r="W26" s="20">
        <v>45897</v>
      </c>
      <c r="X26" t="s">
        <v>270</v>
      </c>
      <c r="Y26" s="23">
        <v>5.5187499999999998</v>
      </c>
      <c r="Z26" s="23">
        <v>5.125</v>
      </c>
      <c r="AA26" s="23">
        <v>5.3218750000000004</v>
      </c>
      <c r="AC26" s="19"/>
      <c r="AD26" s="20">
        <v>45677</v>
      </c>
      <c r="AE26" t="s">
        <v>479</v>
      </c>
      <c r="AF26">
        <v>1692.6098989279999</v>
      </c>
      <c r="AG26" s="84">
        <f>DATE(YEAR(His53_DataTT[[#This Row],[RptDate]]),MONTH(His53_DataTT[[#This Row],[RptDate]]),1)</f>
        <v>45658</v>
      </c>
      <c r="AO26" s="14"/>
    </row>
    <row r="27" spans="2:41" x14ac:dyDescent="0.3">
      <c r="B27" s="93">
        <v>45931</v>
      </c>
      <c r="C27" s="23">
        <v>5.55</v>
      </c>
      <c r="D27" s="23">
        <v>5.67</v>
      </c>
      <c r="E27" s="23">
        <v>5.5846153846153799</v>
      </c>
      <c r="F27" s="23">
        <v>5.6807692307692301</v>
      </c>
      <c r="G27" s="23">
        <v>5.75</v>
      </c>
      <c r="H27" s="23">
        <v>5.8115384615384604</v>
      </c>
      <c r="I27" s="23">
        <v>5.85769230769231</v>
      </c>
      <c r="J27" s="23">
        <v>5.9230769230769198</v>
      </c>
      <c r="K27" s="23">
        <v>5.9596153846153799</v>
      </c>
      <c r="L27" s="23">
        <v>5.9942307692307697</v>
      </c>
      <c r="M27" s="23">
        <v>6.0807692307692296</v>
      </c>
      <c r="N27" s="23">
        <v>6.1538461538461497</v>
      </c>
      <c r="Q27" s="93">
        <v>46261</v>
      </c>
      <c r="R27" t="s">
        <v>1389</v>
      </c>
      <c r="S27" t="s">
        <v>997</v>
      </c>
      <c r="T27" s="14">
        <v>14000</v>
      </c>
      <c r="W27" s="20">
        <v>45897</v>
      </c>
      <c r="X27" t="s">
        <v>271</v>
      </c>
      <c r="Y27" s="23">
        <v>5.4230769230769198</v>
      </c>
      <c r="Z27" s="23">
        <v>4.9884615384615403</v>
      </c>
      <c r="AA27" s="23">
        <v>5.2057692307692296</v>
      </c>
      <c r="AC27" s="19"/>
      <c r="AD27" s="20">
        <v>45677</v>
      </c>
      <c r="AE27" t="s">
        <v>557</v>
      </c>
      <c r="AF27">
        <v>4842.7121672390003</v>
      </c>
      <c r="AG27" s="84">
        <f>DATE(YEAR(His53_DataTT[[#This Row],[RptDate]]),MONTH(His53_DataTT[[#This Row],[RptDate]]),1)</f>
        <v>45658</v>
      </c>
      <c r="AO27" s="14"/>
    </row>
    <row r="28" spans="2:41" x14ac:dyDescent="0.3">
      <c r="B28" s="93">
        <v>45932</v>
      </c>
      <c r="C28" s="23">
        <v>5.55</v>
      </c>
      <c r="D28" s="23">
        <v>5.7240000000000002</v>
      </c>
      <c r="E28" s="23">
        <v>5.60769230769231</v>
      </c>
      <c r="F28" s="23">
        <v>5.7</v>
      </c>
      <c r="G28" s="23">
        <v>5.7692307692307701</v>
      </c>
      <c r="H28" s="23">
        <v>5.8307692307692296</v>
      </c>
      <c r="I28" s="23">
        <v>5.87692307692308</v>
      </c>
      <c r="J28" s="23">
        <v>5.9423076923076898</v>
      </c>
      <c r="K28" s="23">
        <v>5.9788461538461499</v>
      </c>
      <c r="L28" s="23">
        <v>6.0134615384615397</v>
      </c>
      <c r="M28" s="23">
        <v>6.1</v>
      </c>
      <c r="N28" s="23">
        <v>6.1653846153846201</v>
      </c>
      <c r="Q28" s="93">
        <v>46261</v>
      </c>
      <c r="R28" t="s">
        <v>1390</v>
      </c>
      <c r="S28" t="s">
        <v>997</v>
      </c>
      <c r="T28" s="14">
        <v>397.61059999999998</v>
      </c>
      <c r="W28" s="20">
        <v>45897</v>
      </c>
      <c r="X28" t="s">
        <v>272</v>
      </c>
      <c r="Y28" s="23">
        <v>5.5730769230769202</v>
      </c>
      <c r="Z28" s="23">
        <v>5.1384615384615397</v>
      </c>
      <c r="AA28" s="23">
        <v>5.3557692307692299</v>
      </c>
      <c r="AC28" s="19"/>
      <c r="AD28" s="20">
        <v>45678</v>
      </c>
      <c r="AE28" t="s">
        <v>479</v>
      </c>
      <c r="AF28">
        <v>771.34597242999996</v>
      </c>
      <c r="AG28" s="84">
        <f>DATE(YEAR(His53_DataTT[[#This Row],[RptDate]]),MONTH(His53_DataTT[[#This Row],[RptDate]]),1)</f>
        <v>45658</v>
      </c>
      <c r="AO28" s="14"/>
    </row>
    <row r="29" spans="2:41" x14ac:dyDescent="0.3">
      <c r="B29" s="93">
        <v>45933</v>
      </c>
      <c r="C29" s="23">
        <v>5.55</v>
      </c>
      <c r="D29" s="23">
        <v>5.67</v>
      </c>
      <c r="E29" s="23">
        <v>5.60769230769231</v>
      </c>
      <c r="F29" s="23">
        <v>5.7</v>
      </c>
      <c r="G29" s="23">
        <v>5.7692307692307701</v>
      </c>
      <c r="H29" s="23">
        <v>5.8307692307692296</v>
      </c>
      <c r="I29" s="23">
        <v>5.87692307692308</v>
      </c>
      <c r="J29" s="23">
        <v>5.9423076923076898</v>
      </c>
      <c r="K29" s="23">
        <v>5.9788461538461499</v>
      </c>
      <c r="L29" s="23">
        <v>6.0134615384615397</v>
      </c>
      <c r="M29" s="23">
        <v>6.1</v>
      </c>
      <c r="N29" s="23">
        <v>6.1653846153846201</v>
      </c>
      <c r="Q29" s="93">
        <v>46260</v>
      </c>
      <c r="R29" t="s">
        <v>479</v>
      </c>
      <c r="S29" t="s">
        <v>399</v>
      </c>
      <c r="T29" s="14">
        <v>11967.8955156951</v>
      </c>
      <c r="W29" s="20">
        <v>45897</v>
      </c>
      <c r="X29" t="s">
        <v>273</v>
      </c>
      <c r="Y29" s="23">
        <v>5.62307692307692</v>
      </c>
      <c r="Z29" s="23">
        <v>5.1884615384615396</v>
      </c>
      <c r="AA29" s="23">
        <v>5.4057692307692298</v>
      </c>
      <c r="AC29" s="19"/>
      <c r="AD29" s="20">
        <v>45678</v>
      </c>
      <c r="AE29" t="s">
        <v>557</v>
      </c>
      <c r="AF29">
        <v>3491.5547196789998</v>
      </c>
      <c r="AG29" s="84">
        <f>DATE(YEAR(His53_DataTT[[#This Row],[RptDate]]),MONTH(His53_DataTT[[#This Row],[RptDate]]),1)</f>
        <v>45658</v>
      </c>
      <c r="AO29" s="14"/>
    </row>
    <row r="30" spans="2:41" x14ac:dyDescent="0.3">
      <c r="B30" s="93">
        <v>45936</v>
      </c>
      <c r="C30" s="23">
        <v>5.55</v>
      </c>
      <c r="D30" s="23">
        <v>5.67</v>
      </c>
      <c r="E30" s="23">
        <v>5.62307692307692</v>
      </c>
      <c r="F30" s="23">
        <v>5.7</v>
      </c>
      <c r="G30" s="23">
        <v>5.7730769230769203</v>
      </c>
      <c r="H30" s="23">
        <v>5.8384615384615399</v>
      </c>
      <c r="I30" s="23">
        <v>5.8846153846153904</v>
      </c>
      <c r="J30" s="23">
        <v>5.9576923076923096</v>
      </c>
      <c r="K30" s="23">
        <v>5.9942307692307697</v>
      </c>
      <c r="L30" s="23">
        <v>6.0288461538461497</v>
      </c>
      <c r="M30" s="23">
        <v>6.12307692307692</v>
      </c>
      <c r="N30" s="23">
        <v>6.1884615384615396</v>
      </c>
      <c r="Q30" s="93">
        <v>46260</v>
      </c>
      <c r="R30" t="s">
        <v>364</v>
      </c>
      <c r="S30" t="s">
        <v>399</v>
      </c>
      <c r="T30" s="14">
        <v>27199.1</v>
      </c>
      <c r="W30" s="20">
        <v>45897</v>
      </c>
      <c r="X30" t="s">
        <v>274</v>
      </c>
      <c r="Y30" s="23">
        <v>5.6346153846153904</v>
      </c>
      <c r="Z30" s="23">
        <v>5.2</v>
      </c>
      <c r="AA30" s="23">
        <v>5.4173076923076904</v>
      </c>
      <c r="AC30" s="19"/>
      <c r="AD30" s="20">
        <v>45679</v>
      </c>
      <c r="AE30" t="s">
        <v>479</v>
      </c>
      <c r="AF30">
        <v>1637.3221543489999</v>
      </c>
      <c r="AG30" s="84">
        <f>DATE(YEAR(His53_DataTT[[#This Row],[RptDate]]),MONTH(His53_DataTT[[#This Row],[RptDate]]),1)</f>
        <v>45658</v>
      </c>
      <c r="AO30" s="14"/>
    </row>
    <row r="31" spans="2:41" x14ac:dyDescent="0.3">
      <c r="B31" s="93">
        <v>45937</v>
      </c>
      <c r="C31" s="23">
        <v>5.55</v>
      </c>
      <c r="D31" s="23">
        <v>5.67</v>
      </c>
      <c r="E31" s="23">
        <v>5.62307692307692</v>
      </c>
      <c r="F31" s="23">
        <v>5.7</v>
      </c>
      <c r="G31" s="23">
        <v>5.7730769230769203</v>
      </c>
      <c r="H31" s="23">
        <v>5.8384615384615399</v>
      </c>
      <c r="I31" s="23">
        <v>5.8846153846153904</v>
      </c>
      <c r="J31" s="23">
        <v>5.9576923076923096</v>
      </c>
      <c r="K31" s="23">
        <v>5.9942307692307697</v>
      </c>
      <c r="L31" s="23">
        <v>6.0288461538461497</v>
      </c>
      <c r="M31" s="23">
        <v>6.12307692307692</v>
      </c>
      <c r="N31" s="23">
        <v>6.1884615384615396</v>
      </c>
      <c r="Q31" s="93">
        <v>46260</v>
      </c>
      <c r="R31" t="s">
        <v>491</v>
      </c>
      <c r="S31" t="s">
        <v>399</v>
      </c>
      <c r="T31" s="14">
        <v>397.61059999999998</v>
      </c>
      <c r="W31" s="20">
        <v>45897</v>
      </c>
      <c r="X31" t="s">
        <v>275</v>
      </c>
      <c r="Y31" s="23">
        <v>5.6692307692307704</v>
      </c>
      <c r="Z31" s="23">
        <v>5.2423076923076897</v>
      </c>
      <c r="AA31" s="23">
        <v>5.4557692307692296</v>
      </c>
      <c r="AC31" s="19"/>
      <c r="AD31" s="20">
        <v>45679</v>
      </c>
      <c r="AE31" t="s">
        <v>557</v>
      </c>
      <c r="AF31">
        <v>5300.2633102210002</v>
      </c>
      <c r="AG31" s="84">
        <f>DATE(YEAR(His53_DataTT[[#This Row],[RptDate]]),MONTH(His53_DataTT[[#This Row],[RptDate]]),1)</f>
        <v>45658</v>
      </c>
      <c r="AO31" s="14"/>
    </row>
    <row r="32" spans="2:41" x14ac:dyDescent="0.3">
      <c r="B32" s="93">
        <v>45938</v>
      </c>
      <c r="C32" s="23">
        <v>5.55</v>
      </c>
      <c r="D32" s="23">
        <v>5.69</v>
      </c>
      <c r="E32" s="23">
        <v>5.6307692307692303</v>
      </c>
      <c r="F32" s="23">
        <v>5.7</v>
      </c>
      <c r="G32" s="23">
        <v>5.7730769230769203</v>
      </c>
      <c r="H32" s="23">
        <v>5.8384615384615399</v>
      </c>
      <c r="I32" s="23">
        <v>5.8846153846153904</v>
      </c>
      <c r="J32" s="23">
        <v>5.9576923076923096</v>
      </c>
      <c r="K32" s="23">
        <v>5.9942307692307697</v>
      </c>
      <c r="L32" s="23">
        <v>6.0288461538461497</v>
      </c>
      <c r="M32" s="23">
        <v>6.12307692307692</v>
      </c>
      <c r="N32" s="23">
        <v>6.1884615384615396</v>
      </c>
      <c r="Q32" s="93">
        <v>46260</v>
      </c>
      <c r="R32" t="s">
        <v>492</v>
      </c>
      <c r="S32" t="s">
        <v>399</v>
      </c>
      <c r="T32" s="14">
        <v>11000</v>
      </c>
      <c r="W32" s="20">
        <v>45897</v>
      </c>
      <c r="X32" t="s">
        <v>276</v>
      </c>
      <c r="Y32" s="23">
        <v>5.7461538461538497</v>
      </c>
      <c r="Z32" s="23">
        <v>5.3076923076923102</v>
      </c>
      <c r="AA32" s="23">
        <v>5.5269230769230804</v>
      </c>
      <c r="AC32" s="19"/>
      <c r="AD32" s="20">
        <v>45680</v>
      </c>
      <c r="AE32" t="s">
        <v>557</v>
      </c>
      <c r="AF32">
        <v>5051.2684923529996</v>
      </c>
      <c r="AG32" s="84">
        <f>DATE(YEAR(His53_DataTT[[#This Row],[RptDate]]),MONTH(His53_DataTT[[#This Row],[RptDate]]),1)</f>
        <v>45658</v>
      </c>
      <c r="AO32" s="14"/>
    </row>
    <row r="33" spans="2:41" x14ac:dyDescent="0.3">
      <c r="B33" s="93">
        <v>45939</v>
      </c>
      <c r="C33" s="23">
        <v>5.5750000000000002</v>
      </c>
      <c r="D33" s="23">
        <v>5.69</v>
      </c>
      <c r="E33" s="23">
        <v>5.6307692307692303</v>
      </c>
      <c r="F33" s="23">
        <v>5.7</v>
      </c>
      <c r="G33" s="23">
        <v>5.7730769230769203</v>
      </c>
      <c r="H33" s="23">
        <v>5.8384615384615399</v>
      </c>
      <c r="I33" s="23">
        <v>5.8846153846153904</v>
      </c>
      <c r="J33" s="23">
        <v>5.9576923076923096</v>
      </c>
      <c r="K33" s="23">
        <v>5.9942307692307697</v>
      </c>
      <c r="L33" s="23">
        <v>6.0288461538461497</v>
      </c>
      <c r="M33" s="23">
        <v>6.12307692307692</v>
      </c>
      <c r="N33" s="23">
        <v>6.1884615384615396</v>
      </c>
      <c r="Q33" s="93">
        <v>46260</v>
      </c>
      <c r="R33" t="s">
        <v>1438</v>
      </c>
      <c r="S33" t="s">
        <v>399</v>
      </c>
      <c r="T33" s="14">
        <v>570.28491569511004</v>
      </c>
      <c r="W33" s="20">
        <v>45897</v>
      </c>
      <c r="X33" t="s">
        <v>277</v>
      </c>
      <c r="Y33" s="23">
        <v>5.8307692307692296</v>
      </c>
      <c r="Z33" s="23">
        <v>5.3846153846153904</v>
      </c>
      <c r="AA33" s="23">
        <v>5.60769230769231</v>
      </c>
      <c r="AC33" s="19"/>
      <c r="AD33" s="20">
        <v>45680</v>
      </c>
      <c r="AE33" t="s">
        <v>479</v>
      </c>
      <c r="AF33">
        <v>2663.2063561059999</v>
      </c>
      <c r="AG33" s="84">
        <f>DATE(YEAR(His53_DataTT[[#This Row],[RptDate]]),MONTH(His53_DataTT[[#This Row],[RptDate]]),1)</f>
        <v>45658</v>
      </c>
      <c r="AO33" s="14"/>
    </row>
    <row r="34" spans="2:41" x14ac:dyDescent="0.3">
      <c r="B34" s="93">
        <v>45940</v>
      </c>
      <c r="C34" s="23">
        <v>5.5750000000000002</v>
      </c>
      <c r="D34" s="23">
        <v>5.69</v>
      </c>
      <c r="E34" s="23">
        <v>5.6307692307692303</v>
      </c>
      <c r="F34" s="23">
        <v>5.7</v>
      </c>
      <c r="G34" s="23">
        <v>5.7730769230769203</v>
      </c>
      <c r="H34" s="23">
        <v>5.8384615384615399</v>
      </c>
      <c r="I34" s="23">
        <v>5.8846153846153904</v>
      </c>
      <c r="J34" s="23">
        <v>5.9576923076923096</v>
      </c>
      <c r="K34" s="23">
        <v>5.9942307692307697</v>
      </c>
      <c r="L34" s="23">
        <v>6.0288461538461497</v>
      </c>
      <c r="M34" s="23">
        <v>6.12307692307692</v>
      </c>
      <c r="N34" s="23">
        <v>6.1884615384615396</v>
      </c>
      <c r="Q34" s="93">
        <v>46260</v>
      </c>
      <c r="R34" t="s">
        <v>496</v>
      </c>
      <c r="S34" t="s">
        <v>399</v>
      </c>
      <c r="T34" s="14">
        <v>16643.099999999999</v>
      </c>
      <c r="W34" s="20">
        <v>45897</v>
      </c>
      <c r="X34" t="s">
        <v>278</v>
      </c>
      <c r="Y34" s="23">
        <v>5.9269230769230798</v>
      </c>
      <c r="Z34" s="23">
        <v>5.4807692307692299</v>
      </c>
      <c r="AA34" s="23">
        <v>5.7038461538461496</v>
      </c>
      <c r="AC34" s="19"/>
      <c r="AD34" s="20">
        <v>45681</v>
      </c>
      <c r="AE34" t="s">
        <v>557</v>
      </c>
      <c r="AF34">
        <v>974.03219986399995</v>
      </c>
      <c r="AG34" s="84">
        <f>DATE(YEAR(His53_DataTT[[#This Row],[RptDate]]),MONTH(His53_DataTT[[#This Row],[RptDate]]),1)</f>
        <v>45658</v>
      </c>
      <c r="AO34" s="14"/>
    </row>
    <row r="35" spans="2:41" x14ac:dyDescent="0.3">
      <c r="B35" s="93">
        <v>45943</v>
      </c>
      <c r="C35" s="23">
        <v>5.5750000000000002</v>
      </c>
      <c r="D35" s="23">
        <v>5.7666666666666702</v>
      </c>
      <c r="E35" s="23">
        <v>5.6923076923076898</v>
      </c>
      <c r="F35" s="23">
        <v>5.7384615384615403</v>
      </c>
      <c r="G35" s="23">
        <v>5.8153846153846196</v>
      </c>
      <c r="H35" s="23">
        <v>5.8884615384615397</v>
      </c>
      <c r="I35" s="23">
        <v>5.9346153846153804</v>
      </c>
      <c r="J35" s="23">
        <v>6.0076923076923103</v>
      </c>
      <c r="K35" s="23">
        <v>6.0442307692307704</v>
      </c>
      <c r="L35" s="23">
        <v>6.0865384615384599</v>
      </c>
      <c r="M35" s="23">
        <v>6.1807692307692301</v>
      </c>
      <c r="N35" s="23">
        <v>6.2423076923076897</v>
      </c>
      <c r="Q35" s="93">
        <v>46260</v>
      </c>
      <c r="R35" t="s">
        <v>497</v>
      </c>
      <c r="S35" t="s">
        <v>399</v>
      </c>
      <c r="T35" s="14">
        <v>397.61059999999998</v>
      </c>
      <c r="W35" s="20">
        <v>45897</v>
      </c>
      <c r="X35" t="s">
        <v>279</v>
      </c>
      <c r="Y35" s="23">
        <v>5.9769230769230797</v>
      </c>
      <c r="Z35" s="23">
        <v>5.5384615384615401</v>
      </c>
      <c r="AA35" s="23">
        <v>5.7576923076923103</v>
      </c>
      <c r="AC35" s="19"/>
      <c r="AD35" s="20">
        <v>45681</v>
      </c>
      <c r="AE35" t="s">
        <v>479</v>
      </c>
      <c r="AF35">
        <v>1274.8510006619999</v>
      </c>
      <c r="AG35" s="84">
        <f>DATE(YEAR(His53_DataTT[[#This Row],[RptDate]]),MONTH(His53_DataTT[[#This Row],[RptDate]]),1)</f>
        <v>45658</v>
      </c>
      <c r="AO35" s="14"/>
    </row>
    <row r="36" spans="2:41" x14ac:dyDescent="0.3">
      <c r="B36" s="93">
        <v>45944</v>
      </c>
      <c r="C36" s="23">
        <v>5.5750000000000002</v>
      </c>
      <c r="D36" s="23">
        <v>5.7</v>
      </c>
      <c r="E36" s="23">
        <v>5.6923076923076898</v>
      </c>
      <c r="F36" s="23">
        <v>5.7384615384615403</v>
      </c>
      <c r="G36" s="23">
        <v>5.8153846153846196</v>
      </c>
      <c r="H36" s="23">
        <v>5.8884615384615397</v>
      </c>
      <c r="I36" s="23">
        <v>5.9346153846153804</v>
      </c>
      <c r="J36" s="23">
        <v>6.0076923076923103</v>
      </c>
      <c r="K36" s="23">
        <v>6.0442307692307704</v>
      </c>
      <c r="L36" s="23">
        <v>6.0865384615384599</v>
      </c>
      <c r="M36" s="23">
        <v>6.1807692307692301</v>
      </c>
      <c r="N36" s="23">
        <v>6.2423076923076897</v>
      </c>
      <c r="Q36" s="93">
        <v>46260</v>
      </c>
      <c r="R36" t="s">
        <v>498</v>
      </c>
      <c r="S36" t="s">
        <v>399</v>
      </c>
      <c r="T36" s="14">
        <v>10000</v>
      </c>
      <c r="W36" s="20">
        <v>45897</v>
      </c>
      <c r="X36" t="s">
        <v>280</v>
      </c>
      <c r="Y36" s="23">
        <v>6.10769230769231</v>
      </c>
      <c r="Z36" s="23">
        <v>5.6692307692307704</v>
      </c>
      <c r="AA36" s="23">
        <v>5.8884615384615397</v>
      </c>
      <c r="AC36" s="19"/>
      <c r="AD36" s="20">
        <v>45691</v>
      </c>
      <c r="AE36" t="s">
        <v>479</v>
      </c>
      <c r="AF36">
        <v>443.75241457099997</v>
      </c>
      <c r="AG36" s="84">
        <f>DATE(YEAR(His53_DataTT[[#This Row],[RptDate]]),MONTH(His53_DataTT[[#This Row],[RptDate]]),1)</f>
        <v>45689</v>
      </c>
      <c r="AO36" s="14"/>
    </row>
    <row r="37" spans="2:41" x14ac:dyDescent="0.3">
      <c r="B37" s="93">
        <v>45945</v>
      </c>
      <c r="C37" s="23">
        <v>5.5750000000000002</v>
      </c>
      <c r="D37" s="23">
        <v>5.7416666666666698</v>
      </c>
      <c r="E37" s="23">
        <v>5.7269230769230797</v>
      </c>
      <c r="F37" s="23">
        <v>5.7615384615384597</v>
      </c>
      <c r="G37" s="23">
        <v>5.8307692307692296</v>
      </c>
      <c r="H37" s="23">
        <v>5.9076923076923098</v>
      </c>
      <c r="I37" s="23">
        <v>5.9461538461538499</v>
      </c>
      <c r="J37" s="23">
        <v>6.0076923076923103</v>
      </c>
      <c r="K37" s="23">
        <v>6.0596153846153804</v>
      </c>
      <c r="L37" s="23">
        <v>6.1019230769230797</v>
      </c>
      <c r="M37" s="23">
        <v>6.1961538461538499</v>
      </c>
      <c r="N37" s="23">
        <v>6.25</v>
      </c>
      <c r="Q37" s="93">
        <v>46260</v>
      </c>
      <c r="R37" t="s">
        <v>494</v>
      </c>
      <c r="S37" t="s">
        <v>399</v>
      </c>
      <c r="T37" s="14">
        <v>0</v>
      </c>
      <c r="W37" s="20">
        <v>45897</v>
      </c>
      <c r="X37" t="s">
        <v>281</v>
      </c>
      <c r="Y37" s="23">
        <v>6.1923076923076898</v>
      </c>
      <c r="Z37" s="23">
        <v>5.75384615384616</v>
      </c>
      <c r="AA37" s="23">
        <v>5.9730769230769196</v>
      </c>
      <c r="AC37" s="19"/>
      <c r="AD37" s="20">
        <v>45691</v>
      </c>
      <c r="AE37" t="s">
        <v>557</v>
      </c>
      <c r="AF37">
        <v>1147.337452299</v>
      </c>
      <c r="AG37" s="84">
        <f>DATE(YEAR(His53_DataTT[[#This Row],[RptDate]]),MONTH(His53_DataTT[[#This Row],[RptDate]]),1)</f>
        <v>45689</v>
      </c>
      <c r="AO37" s="14"/>
    </row>
    <row r="38" spans="2:41" x14ac:dyDescent="0.3">
      <c r="B38" s="93">
        <v>45946</v>
      </c>
      <c r="C38" s="23">
        <v>5.6416666666666702</v>
      </c>
      <c r="D38" s="23">
        <v>5.8375000000000004</v>
      </c>
      <c r="E38" s="23">
        <v>5.7423076923076897</v>
      </c>
      <c r="F38" s="23">
        <v>5.8115384615384604</v>
      </c>
      <c r="G38" s="23">
        <v>5.87692307692308</v>
      </c>
      <c r="H38" s="23">
        <v>5.95</v>
      </c>
      <c r="I38" s="23">
        <v>5.9884615384615403</v>
      </c>
      <c r="J38" s="23">
        <v>6.0423076923076904</v>
      </c>
      <c r="K38" s="23">
        <v>6.0942307692307702</v>
      </c>
      <c r="L38" s="23">
        <v>6.1480769230769203</v>
      </c>
      <c r="M38" s="23">
        <v>6.2346153846153802</v>
      </c>
      <c r="N38" s="23">
        <v>6.2961538461538504</v>
      </c>
      <c r="Q38" s="93">
        <v>46260</v>
      </c>
      <c r="R38" t="s">
        <v>495</v>
      </c>
      <c r="S38" t="s">
        <v>399</v>
      </c>
      <c r="T38" s="14">
        <v>0</v>
      </c>
      <c r="W38" s="20">
        <v>45896</v>
      </c>
      <c r="X38" t="s">
        <v>270</v>
      </c>
      <c r="Y38" s="23">
        <v>5.5187499999999998</v>
      </c>
      <c r="Z38" s="23">
        <v>5.125</v>
      </c>
      <c r="AA38" s="23">
        <v>5.3218750000000004</v>
      </c>
      <c r="AC38" s="19"/>
      <c r="AD38" s="20">
        <v>45692</v>
      </c>
      <c r="AE38" t="s">
        <v>479</v>
      </c>
      <c r="AF38">
        <v>2183.287044786</v>
      </c>
      <c r="AG38" s="84">
        <f>DATE(YEAR(His53_DataTT[[#This Row],[RptDate]]),MONTH(His53_DataTT[[#This Row],[RptDate]]),1)</f>
        <v>45689</v>
      </c>
      <c r="AO38" s="14"/>
    </row>
    <row r="39" spans="2:41" x14ac:dyDescent="0.3">
      <c r="B39" s="93">
        <v>45947</v>
      </c>
      <c r="C39" s="23">
        <v>5.6666666666666696</v>
      </c>
      <c r="D39" s="23">
        <v>5.8125</v>
      </c>
      <c r="E39" s="23">
        <v>5.7576923076923103</v>
      </c>
      <c r="F39" s="23">
        <v>5.8269230769230802</v>
      </c>
      <c r="G39" s="23">
        <v>5.9346153846153804</v>
      </c>
      <c r="H39" s="23">
        <v>6</v>
      </c>
      <c r="I39" s="23">
        <v>6.0384615384615401</v>
      </c>
      <c r="J39" s="23">
        <v>6.0769230769230802</v>
      </c>
      <c r="K39" s="23">
        <v>6.1211538461538497</v>
      </c>
      <c r="L39" s="23">
        <v>6.1673076923076904</v>
      </c>
      <c r="M39" s="23">
        <v>6.2461538461538497</v>
      </c>
      <c r="N39" s="23">
        <v>6.3076923076923102</v>
      </c>
      <c r="Q39" s="93">
        <v>46260</v>
      </c>
      <c r="R39" t="s">
        <v>493</v>
      </c>
      <c r="S39" t="s">
        <v>399</v>
      </c>
      <c r="T39" s="14">
        <v>0</v>
      </c>
      <c r="W39" s="20">
        <v>45896</v>
      </c>
      <c r="X39" t="s">
        <v>271</v>
      </c>
      <c r="Y39" s="23">
        <v>5.4307692307692301</v>
      </c>
      <c r="Z39" s="23">
        <v>4.9961538461538497</v>
      </c>
      <c r="AA39" s="23">
        <v>5.2134615384615399</v>
      </c>
      <c r="AC39" s="19"/>
      <c r="AD39" s="20">
        <v>45692</v>
      </c>
      <c r="AE39" t="s">
        <v>557</v>
      </c>
      <c r="AF39">
        <v>1050.688428165</v>
      </c>
      <c r="AG39" s="84">
        <f>DATE(YEAR(His53_DataTT[[#This Row],[RptDate]]),MONTH(His53_DataTT[[#This Row],[RptDate]]),1)</f>
        <v>45689</v>
      </c>
      <c r="AO39" s="14"/>
    </row>
    <row r="40" spans="2:41" x14ac:dyDescent="0.3">
      <c r="B40" s="93">
        <v>45950</v>
      </c>
      <c r="C40" s="23">
        <v>5.6749999999999998</v>
      </c>
      <c r="D40" s="23">
        <v>5.8125</v>
      </c>
      <c r="E40" s="23">
        <v>5.7576923076923103</v>
      </c>
      <c r="F40" s="23">
        <v>5.8269230769230802</v>
      </c>
      <c r="G40" s="23">
        <v>5.9346153846153804</v>
      </c>
      <c r="H40" s="23">
        <v>6</v>
      </c>
      <c r="I40" s="23">
        <v>6.0384615384615401</v>
      </c>
      <c r="J40" s="23">
        <v>6.0769230769230802</v>
      </c>
      <c r="K40" s="23">
        <v>6.1211538461538497</v>
      </c>
      <c r="L40" s="23">
        <v>6.1673076923076904</v>
      </c>
      <c r="M40" s="23">
        <v>6.2461538461538497</v>
      </c>
      <c r="N40" s="23">
        <v>6.3076923076923102</v>
      </c>
      <c r="Q40" s="93">
        <v>46260</v>
      </c>
      <c r="R40" t="s">
        <v>593</v>
      </c>
      <c r="S40" t="s">
        <v>399</v>
      </c>
      <c r="T40" s="14">
        <v>10556</v>
      </c>
      <c r="W40" s="20">
        <v>45896</v>
      </c>
      <c r="X40" t="s">
        <v>272</v>
      </c>
      <c r="Y40" s="23">
        <v>5.5807692307692296</v>
      </c>
      <c r="Z40" s="23">
        <v>5.1461538461538501</v>
      </c>
      <c r="AA40" s="23">
        <v>5.3634615384615403</v>
      </c>
      <c r="AC40" s="19"/>
      <c r="AD40" s="20">
        <v>45693</v>
      </c>
      <c r="AE40" t="s">
        <v>479</v>
      </c>
      <c r="AF40">
        <v>1274.2691528360001</v>
      </c>
      <c r="AG40" s="84">
        <f>DATE(YEAR(His53_DataTT[[#This Row],[RptDate]]),MONTH(His53_DataTT[[#This Row],[RptDate]]),1)</f>
        <v>45689</v>
      </c>
      <c r="AO40" s="14"/>
    </row>
    <row r="41" spans="2:41" x14ac:dyDescent="0.3">
      <c r="B41" s="93">
        <v>45951</v>
      </c>
      <c r="C41" s="23">
        <v>5.6666666666666696</v>
      </c>
      <c r="D41" s="23">
        <v>5.8125</v>
      </c>
      <c r="E41" s="23">
        <v>5.7576923076923103</v>
      </c>
      <c r="F41" s="23">
        <v>5.8269230769230802</v>
      </c>
      <c r="G41" s="23">
        <v>5.9346153846153804</v>
      </c>
      <c r="H41" s="23">
        <v>6</v>
      </c>
      <c r="I41" s="23">
        <v>6.0384615384615401</v>
      </c>
      <c r="J41" s="23">
        <v>6.0769230769230802</v>
      </c>
      <c r="K41" s="23">
        <v>6.1211538461538497</v>
      </c>
      <c r="L41" s="23">
        <v>6.1673076923076904</v>
      </c>
      <c r="M41" s="23">
        <v>6.2461538461538497</v>
      </c>
      <c r="N41" s="23">
        <v>6.3076923076923102</v>
      </c>
      <c r="Q41" s="93">
        <v>46260</v>
      </c>
      <c r="R41" t="s">
        <v>594</v>
      </c>
      <c r="S41" t="s">
        <v>399</v>
      </c>
      <c r="T41" s="14">
        <v>0</v>
      </c>
      <c r="W41" s="20">
        <v>45896</v>
      </c>
      <c r="X41" t="s">
        <v>273</v>
      </c>
      <c r="Y41" s="23">
        <v>5.62307692307692</v>
      </c>
      <c r="Z41" s="23">
        <v>5.1884615384615396</v>
      </c>
      <c r="AA41" s="23">
        <v>5.4057692307692298</v>
      </c>
      <c r="AC41" s="19"/>
      <c r="AD41" s="20">
        <v>45693</v>
      </c>
      <c r="AE41" t="s">
        <v>557</v>
      </c>
      <c r="AF41">
        <v>3050.7394370550001</v>
      </c>
      <c r="AG41" s="84">
        <f>DATE(YEAR(His53_DataTT[[#This Row],[RptDate]]),MONTH(His53_DataTT[[#This Row],[RptDate]]),1)</f>
        <v>45689</v>
      </c>
      <c r="AO41" s="14"/>
    </row>
    <row r="42" spans="2:41" x14ac:dyDescent="0.3">
      <c r="B42" s="93">
        <v>45952</v>
      </c>
      <c r="C42" s="23">
        <v>5.75</v>
      </c>
      <c r="D42" s="23">
        <v>5.95</v>
      </c>
      <c r="E42" s="23">
        <v>5.7730769230769203</v>
      </c>
      <c r="F42" s="23">
        <v>5.8269230769230802</v>
      </c>
      <c r="G42" s="23">
        <v>5.9346153846153804</v>
      </c>
      <c r="H42" s="23">
        <v>6</v>
      </c>
      <c r="I42" s="23">
        <v>6.0384615384615401</v>
      </c>
      <c r="J42" s="23">
        <v>6.0846153846153799</v>
      </c>
      <c r="K42" s="23">
        <v>6.1288461538461503</v>
      </c>
      <c r="L42" s="23">
        <v>6.1826923076923102</v>
      </c>
      <c r="M42" s="23">
        <v>6.2615384615384597</v>
      </c>
      <c r="N42" s="23">
        <v>6.3307692307692296</v>
      </c>
      <c r="Q42" s="93">
        <v>46260</v>
      </c>
      <c r="R42" t="s">
        <v>595</v>
      </c>
      <c r="S42" t="s">
        <v>399</v>
      </c>
      <c r="T42" s="14">
        <v>1000</v>
      </c>
      <c r="W42" s="20">
        <v>45896</v>
      </c>
      <c r="X42" t="s">
        <v>274</v>
      </c>
      <c r="Y42" s="23">
        <v>5.6346153846153904</v>
      </c>
      <c r="Z42" s="23">
        <v>5.2</v>
      </c>
      <c r="AA42" s="23">
        <v>5.4173076923076904</v>
      </c>
      <c r="AC42" s="19"/>
      <c r="AD42" s="20">
        <v>45694</v>
      </c>
      <c r="AE42" t="s">
        <v>479</v>
      </c>
      <c r="AF42">
        <v>955.89775537399998</v>
      </c>
      <c r="AG42" s="84">
        <f>DATE(YEAR(His53_DataTT[[#This Row],[RptDate]]),MONTH(His53_DataTT[[#This Row],[RptDate]]),1)</f>
        <v>45689</v>
      </c>
      <c r="AO42" s="14"/>
    </row>
    <row r="43" spans="2:41" x14ac:dyDescent="0.3">
      <c r="B43" s="93">
        <v>45953</v>
      </c>
      <c r="C43" s="23">
        <v>5.7666666666666702</v>
      </c>
      <c r="D43" s="23">
        <v>5.9</v>
      </c>
      <c r="E43" s="23">
        <v>5.8115384615384604</v>
      </c>
      <c r="F43" s="23">
        <v>5.8538461538461499</v>
      </c>
      <c r="G43" s="23">
        <v>5.9269230769230798</v>
      </c>
      <c r="H43" s="23">
        <v>5.9923076923076897</v>
      </c>
      <c r="I43" s="23">
        <v>6.0307692307692298</v>
      </c>
      <c r="J43" s="23">
        <v>6.0769230769230802</v>
      </c>
      <c r="K43" s="23">
        <v>6.1211538461538497</v>
      </c>
      <c r="L43" s="23">
        <v>6.1788461538461501</v>
      </c>
      <c r="M43" s="23">
        <v>6.25</v>
      </c>
      <c r="N43" s="23">
        <v>6.3192307692307699</v>
      </c>
      <c r="Q43" s="93">
        <v>46260</v>
      </c>
      <c r="R43" t="s">
        <v>1439</v>
      </c>
      <c r="S43" t="s">
        <v>399</v>
      </c>
      <c r="T43" s="14">
        <v>570.28491569511004</v>
      </c>
      <c r="W43" s="20">
        <v>45896</v>
      </c>
      <c r="X43" t="s">
        <v>275</v>
      </c>
      <c r="Y43" s="23">
        <v>5.6692307692307704</v>
      </c>
      <c r="Z43" s="23">
        <v>5.2423076923076897</v>
      </c>
      <c r="AA43" s="23">
        <v>5.4557692307692296</v>
      </c>
      <c r="AC43" s="19"/>
      <c r="AD43" s="20">
        <v>45694</v>
      </c>
      <c r="AE43" t="s">
        <v>557</v>
      </c>
      <c r="AF43">
        <v>1400.1930118519999</v>
      </c>
      <c r="AG43" s="84">
        <f>DATE(YEAR(His53_DataTT[[#This Row],[RptDate]]),MONTH(His53_DataTT[[#This Row],[RptDate]]),1)</f>
        <v>45689</v>
      </c>
      <c r="AO43" s="14"/>
    </row>
    <row r="44" spans="2:41" x14ac:dyDescent="0.3">
      <c r="B44" s="93">
        <v>45954</v>
      </c>
      <c r="C44" s="23">
        <v>5.7666666666666702</v>
      </c>
      <c r="D44" s="23">
        <v>5.875</v>
      </c>
      <c r="E44" s="23">
        <v>5.8076923076923102</v>
      </c>
      <c r="F44" s="23">
        <v>5.8423076923076902</v>
      </c>
      <c r="G44" s="23">
        <v>5.9269230769230798</v>
      </c>
      <c r="H44" s="23">
        <v>5.9923076923076897</v>
      </c>
      <c r="I44" s="23">
        <v>6.0307692307692298</v>
      </c>
      <c r="J44" s="23">
        <v>6.0769230769230802</v>
      </c>
      <c r="K44" s="23">
        <v>6.1211538461538497</v>
      </c>
      <c r="L44" s="23">
        <v>6.1788461538461501</v>
      </c>
      <c r="M44" s="23">
        <v>6.25</v>
      </c>
      <c r="N44" s="23">
        <v>6.3192307692307699</v>
      </c>
      <c r="Q44" s="93">
        <v>46260</v>
      </c>
      <c r="R44" t="s">
        <v>479</v>
      </c>
      <c r="S44" t="s">
        <v>395</v>
      </c>
      <c r="T44" s="14">
        <v>12128.330211156899</v>
      </c>
      <c r="W44" s="20">
        <v>45896</v>
      </c>
      <c r="X44" t="s">
        <v>276</v>
      </c>
      <c r="Y44" s="23">
        <v>5.7461538461538497</v>
      </c>
      <c r="Z44" s="23">
        <v>5.3076923076923102</v>
      </c>
      <c r="AA44" s="23">
        <v>5.5269230769230804</v>
      </c>
      <c r="AC44" s="19"/>
      <c r="AD44" s="20">
        <v>45695</v>
      </c>
      <c r="AE44" t="s">
        <v>479</v>
      </c>
      <c r="AF44">
        <v>479.22730094100001</v>
      </c>
      <c r="AG44" s="84">
        <f>DATE(YEAR(His53_DataTT[[#This Row],[RptDate]]),MONTH(His53_DataTT[[#This Row],[RptDate]]),1)</f>
        <v>45689</v>
      </c>
      <c r="AO44" s="14"/>
    </row>
    <row r="45" spans="2:41" x14ac:dyDescent="0.3">
      <c r="B45" s="93">
        <v>45957</v>
      </c>
      <c r="C45" s="23">
        <v>5.7833333333333297</v>
      </c>
      <c r="D45" s="23">
        <v>5.9</v>
      </c>
      <c r="E45" s="23">
        <v>5.8153846153846098</v>
      </c>
      <c r="F45" s="23">
        <v>5.87692307692308</v>
      </c>
      <c r="G45" s="23">
        <v>5.9538461538461496</v>
      </c>
      <c r="H45" s="23">
        <v>6.0096153846153904</v>
      </c>
      <c r="I45" s="23">
        <v>6.0461538461538504</v>
      </c>
      <c r="J45" s="23">
        <v>6.0961538461538503</v>
      </c>
      <c r="K45" s="23">
        <v>6.1384615384615397</v>
      </c>
      <c r="L45" s="23">
        <v>6.1884615384615396</v>
      </c>
      <c r="M45" s="23">
        <v>6.2557692307692303</v>
      </c>
      <c r="N45" s="23">
        <v>6.3192307692307699</v>
      </c>
      <c r="Q45" s="93">
        <v>46260</v>
      </c>
      <c r="R45" t="s">
        <v>479</v>
      </c>
      <c r="S45" t="s">
        <v>415</v>
      </c>
      <c r="T45" s="14">
        <v>7.9600794134549</v>
      </c>
      <c r="W45" s="20">
        <v>45896</v>
      </c>
      <c r="X45" t="s">
        <v>277</v>
      </c>
      <c r="Y45" s="23">
        <v>5.8307692307692296</v>
      </c>
      <c r="Z45" s="23">
        <v>5.3846153846153904</v>
      </c>
      <c r="AA45" s="23">
        <v>5.60769230769231</v>
      </c>
      <c r="AC45" s="19"/>
      <c r="AD45" s="20">
        <v>45695</v>
      </c>
      <c r="AE45" t="s">
        <v>557</v>
      </c>
      <c r="AF45">
        <v>3329.4970320259999</v>
      </c>
      <c r="AG45" s="84">
        <f>DATE(YEAR(His53_DataTT[[#This Row],[RptDate]]),MONTH(His53_DataTT[[#This Row],[RptDate]]),1)</f>
        <v>45689</v>
      </c>
      <c r="AO45" s="14"/>
    </row>
    <row r="46" spans="2:41" x14ac:dyDescent="0.3">
      <c r="B46" s="93">
        <v>45958</v>
      </c>
      <c r="C46" s="23">
        <v>5.75</v>
      </c>
      <c r="D46" s="23">
        <v>5.875</v>
      </c>
      <c r="E46" s="23">
        <v>5.8230769230769202</v>
      </c>
      <c r="F46" s="23">
        <v>5.85769230769231</v>
      </c>
      <c r="G46" s="23">
        <v>5.9307692307692301</v>
      </c>
      <c r="H46" s="23">
        <v>5.9846153846153802</v>
      </c>
      <c r="I46" s="23">
        <v>6.0153846153846198</v>
      </c>
      <c r="J46" s="23">
        <v>6.0692307692307699</v>
      </c>
      <c r="K46" s="23">
        <v>6.10769230769231</v>
      </c>
      <c r="L46" s="23">
        <v>6.1576923076923098</v>
      </c>
      <c r="M46" s="23">
        <v>6.2230769230769196</v>
      </c>
      <c r="N46" s="23">
        <v>6.2769230769230804</v>
      </c>
      <c r="Q46" s="93">
        <v>46260</v>
      </c>
      <c r="R46" t="s">
        <v>364</v>
      </c>
      <c r="S46" t="s">
        <v>415</v>
      </c>
      <c r="T46" s="14">
        <v>7.393446186846</v>
      </c>
      <c r="W46" s="20">
        <v>45896</v>
      </c>
      <c r="X46" t="s">
        <v>278</v>
      </c>
      <c r="Y46" s="23">
        <v>5.9269230769230798</v>
      </c>
      <c r="Z46" s="23">
        <v>5.4807692307692299</v>
      </c>
      <c r="AA46" s="23">
        <v>5.7038461538461496</v>
      </c>
      <c r="AC46" s="19"/>
      <c r="AD46" s="20">
        <v>45698</v>
      </c>
      <c r="AE46" t="s">
        <v>479</v>
      </c>
      <c r="AF46">
        <v>258.06793895499999</v>
      </c>
      <c r="AG46" s="84">
        <f>DATE(YEAR(His53_DataTT[[#This Row],[RptDate]]),MONTH(His53_DataTT[[#This Row],[RptDate]]),1)</f>
        <v>45689</v>
      </c>
      <c r="AO46" s="14"/>
    </row>
    <row r="47" spans="2:41" x14ac:dyDescent="0.3">
      <c r="B47" s="93">
        <v>45959</v>
      </c>
      <c r="C47" s="23">
        <v>5.7359999999999998</v>
      </c>
      <c r="D47" s="23">
        <v>5.875</v>
      </c>
      <c r="E47" s="23">
        <v>5.8230000000000004</v>
      </c>
      <c r="F47" s="23">
        <v>5.8579999999999997</v>
      </c>
      <c r="G47" s="23">
        <v>5.931</v>
      </c>
      <c r="H47" s="23">
        <v>5.9850000000000003</v>
      </c>
      <c r="I47" s="23">
        <v>6.0149999999999997</v>
      </c>
      <c r="J47" s="23">
        <v>6.069</v>
      </c>
      <c r="K47" s="23">
        <v>6.1079999999999997</v>
      </c>
      <c r="L47" s="23">
        <v>6.1580000000000004</v>
      </c>
      <c r="M47" s="23">
        <v>6.2229999999999999</v>
      </c>
      <c r="N47" s="23">
        <v>6.2770000000000001</v>
      </c>
      <c r="Q47" s="93">
        <v>46260</v>
      </c>
      <c r="R47" t="s">
        <v>516</v>
      </c>
      <c r="S47" t="s">
        <v>415</v>
      </c>
      <c r="T47" s="14">
        <v>7.5729567486012996</v>
      </c>
      <c r="W47" s="20">
        <v>45896</v>
      </c>
      <c r="X47" t="s">
        <v>279</v>
      </c>
      <c r="Y47" s="23">
        <v>5.9769230769230797</v>
      </c>
      <c r="Z47" s="23">
        <v>5.5384615384615401</v>
      </c>
      <c r="AA47" s="23">
        <v>5.7576923076923103</v>
      </c>
      <c r="AC47" s="19"/>
      <c r="AD47" s="20">
        <v>45698</v>
      </c>
      <c r="AE47" t="s">
        <v>557</v>
      </c>
      <c r="AF47">
        <v>932.84461934700005</v>
      </c>
      <c r="AG47" s="84">
        <f>DATE(YEAR(His53_DataTT[[#This Row],[RptDate]]),MONTH(His53_DataTT[[#This Row],[RptDate]]),1)</f>
        <v>45689</v>
      </c>
      <c r="AO47" s="14"/>
    </row>
    <row r="48" spans="2:41" x14ac:dyDescent="0.3">
      <c r="B48" s="93">
        <v>45960</v>
      </c>
      <c r="C48" s="23">
        <v>5.69</v>
      </c>
      <c r="D48" s="23">
        <v>5.8624999999999998</v>
      </c>
      <c r="E48" s="23">
        <v>6.0250000000000004</v>
      </c>
      <c r="F48" s="23">
        <v>5.9653846153846199</v>
      </c>
      <c r="G48" s="23">
        <v>6.0153846153846198</v>
      </c>
      <c r="H48" s="23">
        <v>6.0538461538461501</v>
      </c>
      <c r="I48" s="23">
        <v>6.0846153846153799</v>
      </c>
      <c r="J48" s="23">
        <v>6.1307692307692303</v>
      </c>
      <c r="K48" s="23">
        <v>6.1538461538461497</v>
      </c>
      <c r="L48" s="23">
        <v>6.2115384615384599</v>
      </c>
      <c r="M48" s="23">
        <v>6.2538461538461503</v>
      </c>
      <c r="N48" s="23">
        <v>6.3</v>
      </c>
      <c r="Q48" s="93">
        <v>46260</v>
      </c>
      <c r="R48" t="s">
        <v>1288</v>
      </c>
      <c r="S48" t="s">
        <v>415</v>
      </c>
      <c r="T48" s="14">
        <v>7.5103247638766</v>
      </c>
      <c r="W48" s="20">
        <v>45896</v>
      </c>
      <c r="X48" t="s">
        <v>280</v>
      </c>
      <c r="Y48" s="23">
        <v>6.10769230769231</v>
      </c>
      <c r="Z48" s="23">
        <v>5.6692307692307704</v>
      </c>
      <c r="AA48" s="23">
        <v>5.8884615384615397</v>
      </c>
      <c r="AC48" s="19"/>
      <c r="AD48" s="20">
        <v>45699</v>
      </c>
      <c r="AE48" t="s">
        <v>479</v>
      </c>
      <c r="AF48">
        <v>833.86940736199995</v>
      </c>
      <c r="AG48" s="84">
        <f>DATE(YEAR(His53_DataTT[[#This Row],[RptDate]]),MONTH(His53_DataTT[[#This Row],[RptDate]]),1)</f>
        <v>45689</v>
      </c>
      <c r="AO48" s="14"/>
    </row>
    <row r="49" spans="2:41" x14ac:dyDescent="0.3">
      <c r="B49" s="93">
        <v>45961</v>
      </c>
      <c r="C49" s="23">
        <v>5.69</v>
      </c>
      <c r="D49" s="23">
        <v>5.8624999999999998</v>
      </c>
      <c r="E49" s="23">
        <v>5.9749999999999996</v>
      </c>
      <c r="F49" s="23">
        <v>6.0115384615384597</v>
      </c>
      <c r="G49" s="23">
        <v>6.0153846153846198</v>
      </c>
      <c r="H49" s="23">
        <v>6.0538461538461501</v>
      </c>
      <c r="I49" s="23">
        <v>6.0846153846153799</v>
      </c>
      <c r="J49" s="23">
        <v>6.1307692307692303</v>
      </c>
      <c r="K49" s="23">
        <v>6.1538461538461497</v>
      </c>
      <c r="L49" s="23">
        <v>6.2115384615384599</v>
      </c>
      <c r="M49" s="23">
        <v>6.2538461538461503</v>
      </c>
      <c r="N49" s="23">
        <v>6.3</v>
      </c>
      <c r="Q49" s="93">
        <v>46260</v>
      </c>
      <c r="R49" t="s">
        <v>496</v>
      </c>
      <c r="S49" t="s">
        <v>415</v>
      </c>
      <c r="T49" s="14">
        <v>7.2462406481624004</v>
      </c>
      <c r="W49" s="20">
        <v>45896</v>
      </c>
      <c r="X49" t="s">
        <v>281</v>
      </c>
      <c r="Y49" s="23">
        <v>6.1923076923076898</v>
      </c>
      <c r="Z49" s="23">
        <v>5.75384615384616</v>
      </c>
      <c r="AA49" s="23">
        <v>5.9730769230769196</v>
      </c>
      <c r="AC49" s="19"/>
      <c r="AD49" s="20">
        <v>45699</v>
      </c>
      <c r="AE49" t="s">
        <v>557</v>
      </c>
      <c r="AF49">
        <v>666.44412080400002</v>
      </c>
      <c r="AG49" s="84">
        <f>DATE(YEAR(His53_DataTT[[#This Row],[RptDate]]),MONTH(His53_DataTT[[#This Row],[RptDate]]),1)</f>
        <v>45689</v>
      </c>
      <c r="AO49" s="14"/>
    </row>
    <row r="50" spans="2:41" x14ac:dyDescent="0.3">
      <c r="B50" s="93">
        <v>45964</v>
      </c>
      <c r="C50" s="23">
        <v>5.69</v>
      </c>
      <c r="D50" s="23">
        <v>5.8624999999999998</v>
      </c>
      <c r="E50" s="23">
        <v>6</v>
      </c>
      <c r="F50" s="23">
        <v>6.05</v>
      </c>
      <c r="G50" s="23">
        <v>6.0615384615384604</v>
      </c>
      <c r="H50" s="23">
        <v>6.1</v>
      </c>
      <c r="I50" s="23">
        <v>6.12307692307692</v>
      </c>
      <c r="J50" s="23">
        <v>6.1807692307692301</v>
      </c>
      <c r="K50" s="23">
        <v>6.1961538461538499</v>
      </c>
      <c r="L50" s="23">
        <v>6.2538461538461503</v>
      </c>
      <c r="M50" s="23">
        <v>6.2923076923076904</v>
      </c>
      <c r="N50" s="23">
        <v>6.3076923076923102</v>
      </c>
      <c r="Q50" s="93">
        <v>46260</v>
      </c>
      <c r="R50" t="s">
        <v>1290</v>
      </c>
      <c r="S50" t="s">
        <v>415</v>
      </c>
      <c r="T50" s="14">
        <v>7.3543804189212496</v>
      </c>
      <c r="W50" s="20">
        <v>45898</v>
      </c>
      <c r="X50" t="s">
        <v>270</v>
      </c>
      <c r="Y50" s="23">
        <v>5.5187499999999998</v>
      </c>
      <c r="Z50" s="23">
        <v>5.125</v>
      </c>
      <c r="AA50" s="23">
        <v>5.3218750000000004</v>
      </c>
      <c r="AC50" s="19"/>
      <c r="AD50" s="20">
        <v>45700</v>
      </c>
      <c r="AE50" t="s">
        <v>479</v>
      </c>
      <c r="AF50">
        <v>899.222129311</v>
      </c>
      <c r="AG50" s="84">
        <f>DATE(YEAR(His53_DataTT[[#This Row],[RptDate]]),MONTH(His53_DataTT[[#This Row],[RptDate]]),1)</f>
        <v>45689</v>
      </c>
      <c r="AO50" s="14"/>
    </row>
    <row r="51" spans="2:41" x14ac:dyDescent="0.3">
      <c r="B51" s="93">
        <v>45965</v>
      </c>
      <c r="C51" s="23">
        <v>5.69</v>
      </c>
      <c r="D51" s="23">
        <v>5.8875000000000002</v>
      </c>
      <c r="E51" s="23">
        <v>6.0250000000000004</v>
      </c>
      <c r="F51" s="23">
        <v>6.0653846153846196</v>
      </c>
      <c r="G51" s="23">
        <v>6.0692307692307699</v>
      </c>
      <c r="H51" s="23">
        <v>6.10769230769231</v>
      </c>
      <c r="I51" s="23">
        <v>6.1307692307692303</v>
      </c>
      <c r="J51" s="23">
        <v>6.1884615384615396</v>
      </c>
      <c r="K51" s="23">
        <v>6.2038461538461496</v>
      </c>
      <c r="L51" s="23">
        <v>6.2615384615384597</v>
      </c>
      <c r="M51" s="23">
        <v>6.3</v>
      </c>
      <c r="N51" s="23">
        <v>6.3076923076923102</v>
      </c>
      <c r="Q51" s="93">
        <v>46260</v>
      </c>
      <c r="R51" t="s">
        <v>364</v>
      </c>
      <c r="S51" t="s">
        <v>997</v>
      </c>
      <c r="T51" s="14">
        <v>30699.1</v>
      </c>
      <c r="W51" s="20">
        <v>45898</v>
      </c>
      <c r="X51" t="s">
        <v>271</v>
      </c>
      <c r="Y51" s="23">
        <v>5.5076923076923103</v>
      </c>
      <c r="Z51" s="23">
        <v>5.0730769230769202</v>
      </c>
      <c r="AA51" s="23">
        <v>5.2903846153846104</v>
      </c>
      <c r="AC51" s="19"/>
      <c r="AD51" s="20">
        <v>45700</v>
      </c>
      <c r="AE51" t="s">
        <v>557</v>
      </c>
      <c r="AF51">
        <v>1068.2092179619999</v>
      </c>
      <c r="AG51" s="84">
        <f>DATE(YEAR(His53_DataTT[[#This Row],[RptDate]]),MONTH(His53_DataTT[[#This Row],[RptDate]]),1)</f>
        <v>45689</v>
      </c>
      <c r="AO51" s="14"/>
    </row>
    <row r="52" spans="2:41" x14ac:dyDescent="0.3">
      <c r="B52" s="93">
        <v>45966</v>
      </c>
      <c r="C52" s="23">
        <v>5.71</v>
      </c>
      <c r="D52" s="23">
        <v>5.8875000000000002</v>
      </c>
      <c r="E52" s="23">
        <v>6.0750000000000002</v>
      </c>
      <c r="F52" s="23">
        <v>6.0884615384615399</v>
      </c>
      <c r="G52" s="23">
        <v>6.0846153846153799</v>
      </c>
      <c r="H52" s="23">
        <v>6.12307692307692</v>
      </c>
      <c r="I52" s="23">
        <v>6.1461538461538501</v>
      </c>
      <c r="J52" s="23">
        <v>6.2038461538461496</v>
      </c>
      <c r="K52" s="23">
        <v>6.2192307692307702</v>
      </c>
      <c r="L52" s="23">
        <v>6.2692307692307701</v>
      </c>
      <c r="M52" s="23">
        <v>6.3153846153846098</v>
      </c>
      <c r="N52" s="23">
        <v>6.3153846153846098</v>
      </c>
      <c r="Q52" s="93">
        <v>46260</v>
      </c>
      <c r="R52" t="s">
        <v>496</v>
      </c>
      <c r="S52" t="s">
        <v>997</v>
      </c>
      <c r="T52" s="14">
        <v>20143.099999999999</v>
      </c>
      <c r="W52" s="20">
        <v>45898</v>
      </c>
      <c r="X52" t="s">
        <v>272</v>
      </c>
      <c r="Y52" s="23">
        <v>5.5807692307692296</v>
      </c>
      <c r="Z52" s="23">
        <v>5.1461538461538501</v>
      </c>
      <c r="AA52" s="23">
        <v>5.3634615384615403</v>
      </c>
      <c r="AC52" s="19"/>
      <c r="AD52" s="20">
        <v>45701</v>
      </c>
      <c r="AE52" t="s">
        <v>479</v>
      </c>
      <c r="AF52">
        <v>492.05301312300003</v>
      </c>
      <c r="AG52" s="84">
        <f>DATE(YEAR(His53_DataTT[[#This Row],[RptDate]]),MONTH(His53_DataTT[[#This Row],[RptDate]]),1)</f>
        <v>45689</v>
      </c>
      <c r="AO52" s="14"/>
    </row>
    <row r="53" spans="2:41" x14ac:dyDescent="0.3">
      <c r="B53" s="93">
        <v>45967</v>
      </c>
      <c r="C53" s="23">
        <v>5.71</v>
      </c>
      <c r="D53" s="23">
        <v>5.7874999999999996</v>
      </c>
      <c r="E53" s="23">
        <v>6.0750000000000002</v>
      </c>
      <c r="F53" s="23">
        <v>6.31666666666667</v>
      </c>
      <c r="G53" s="23">
        <v>6.10769230769231</v>
      </c>
      <c r="H53" s="23">
        <v>6.1461538461538501</v>
      </c>
      <c r="I53" s="23">
        <v>6.1692307692307704</v>
      </c>
      <c r="J53" s="23">
        <v>6.2269230769230797</v>
      </c>
      <c r="K53" s="23">
        <v>6.2423076923076897</v>
      </c>
      <c r="L53" s="23">
        <v>6.2923076923076904</v>
      </c>
      <c r="M53" s="23">
        <v>6.3384615384615399</v>
      </c>
      <c r="N53" s="23">
        <v>6.3384615384615399</v>
      </c>
      <c r="Q53" s="93">
        <v>46260</v>
      </c>
      <c r="R53" t="s">
        <v>1388</v>
      </c>
      <c r="S53" t="s">
        <v>997</v>
      </c>
      <c r="T53" s="14">
        <v>14397.6106</v>
      </c>
      <c r="W53" s="20">
        <v>45898</v>
      </c>
      <c r="X53" t="s">
        <v>273</v>
      </c>
      <c r="Y53" s="23">
        <v>5.6692307692307704</v>
      </c>
      <c r="Z53" s="23">
        <v>5.23461538461539</v>
      </c>
      <c r="AA53" s="23">
        <v>5.4519230769230802</v>
      </c>
      <c r="AC53" s="19"/>
      <c r="AD53" s="20">
        <v>45701</v>
      </c>
      <c r="AE53" t="s">
        <v>557</v>
      </c>
      <c r="AF53">
        <v>1739.1002391100001</v>
      </c>
      <c r="AG53" s="84">
        <f>DATE(YEAR(His53_DataTT[[#This Row],[RptDate]]),MONTH(His53_DataTT[[#This Row],[RptDate]]),1)</f>
        <v>45689</v>
      </c>
      <c r="AO53" s="14"/>
    </row>
    <row r="54" spans="2:41" x14ac:dyDescent="0.3">
      <c r="B54" s="93">
        <v>45968</v>
      </c>
      <c r="C54" s="23">
        <v>5.69</v>
      </c>
      <c r="D54" s="23">
        <v>5.9375</v>
      </c>
      <c r="E54" s="23">
        <v>6.0750000000000002</v>
      </c>
      <c r="F54" s="23">
        <v>6.0769230769230802</v>
      </c>
      <c r="G54" s="23">
        <v>6.0769230769230802</v>
      </c>
      <c r="H54" s="23">
        <v>6.1153846153846203</v>
      </c>
      <c r="I54" s="23">
        <v>6.1384615384615397</v>
      </c>
      <c r="J54" s="23">
        <v>6.1961538461538499</v>
      </c>
      <c r="K54" s="23">
        <v>6.2038461538461496</v>
      </c>
      <c r="L54" s="23">
        <v>6.2576923076923103</v>
      </c>
      <c r="M54" s="23">
        <v>6.3</v>
      </c>
      <c r="N54" s="23">
        <v>6.3076923076923102</v>
      </c>
      <c r="Q54" s="93">
        <v>46260</v>
      </c>
      <c r="R54" t="s">
        <v>1389</v>
      </c>
      <c r="S54" t="s">
        <v>997</v>
      </c>
      <c r="T54" s="14">
        <v>13000</v>
      </c>
      <c r="W54" s="20">
        <v>45898</v>
      </c>
      <c r="X54" t="s">
        <v>274</v>
      </c>
      <c r="Y54" s="23">
        <v>5.7038461538461496</v>
      </c>
      <c r="Z54" s="23">
        <v>5.2692307692307701</v>
      </c>
      <c r="AA54" s="23">
        <v>5.4865384615384603</v>
      </c>
      <c r="AC54" s="19"/>
      <c r="AD54" s="20">
        <v>45702</v>
      </c>
      <c r="AE54" t="s">
        <v>479</v>
      </c>
      <c r="AF54">
        <v>1055.891453706</v>
      </c>
      <c r="AG54" s="84">
        <f>DATE(YEAR(His53_DataTT[[#This Row],[RptDate]]),MONTH(His53_DataTT[[#This Row],[RptDate]]),1)</f>
        <v>45689</v>
      </c>
      <c r="AO54" s="14"/>
    </row>
    <row r="55" spans="2:41" x14ac:dyDescent="0.3">
      <c r="B55" s="93">
        <v>45971</v>
      </c>
      <c r="C55" s="23">
        <v>5.69</v>
      </c>
      <c r="D55" s="23">
        <v>5.9874999999999998</v>
      </c>
      <c r="E55" s="23">
        <v>6.125</v>
      </c>
      <c r="F55" s="23">
        <v>6.3833333333333302</v>
      </c>
      <c r="G55" s="23">
        <v>6.1192307692307697</v>
      </c>
      <c r="H55" s="23">
        <v>6.1576923076923098</v>
      </c>
      <c r="I55" s="23">
        <v>6.1730769230769198</v>
      </c>
      <c r="J55" s="23">
        <v>6.2384615384615403</v>
      </c>
      <c r="K55" s="23">
        <v>6.2461538461538497</v>
      </c>
      <c r="L55" s="23">
        <v>6.2961538461538504</v>
      </c>
      <c r="M55" s="23">
        <v>6.35</v>
      </c>
      <c r="N55" s="23">
        <v>6.35769230769231</v>
      </c>
      <c r="Q55" s="93">
        <v>46260</v>
      </c>
      <c r="R55" t="s">
        <v>1390</v>
      </c>
      <c r="S55" t="s">
        <v>997</v>
      </c>
      <c r="T55" s="14">
        <v>397.61059999999998</v>
      </c>
      <c r="W55" s="20">
        <v>45898</v>
      </c>
      <c r="X55" t="s">
        <v>275</v>
      </c>
      <c r="Y55" s="23">
        <v>5.7230769230769196</v>
      </c>
      <c r="Z55" s="23">
        <v>5.2884615384615401</v>
      </c>
      <c r="AA55" s="23">
        <v>5.5057692307692303</v>
      </c>
      <c r="AC55" s="19"/>
      <c r="AD55" s="20">
        <v>45702</v>
      </c>
      <c r="AE55" t="s">
        <v>557</v>
      </c>
      <c r="AF55">
        <v>1632.1925284030001</v>
      </c>
      <c r="AG55" s="84">
        <f>DATE(YEAR(His53_DataTT[[#This Row],[RptDate]]),MONTH(His53_DataTT[[#This Row],[RptDate]]),1)</f>
        <v>45689</v>
      </c>
      <c r="AO55" s="14"/>
    </row>
    <row r="56" spans="2:41" x14ac:dyDescent="0.3">
      <c r="B56" s="93">
        <v>45972</v>
      </c>
      <c r="C56" s="23">
        <v>5.75</v>
      </c>
      <c r="D56" s="23">
        <v>6.0125000000000002</v>
      </c>
      <c r="E56" s="23">
        <v>6.05</v>
      </c>
      <c r="F56" s="23">
        <v>6.4625000000000004</v>
      </c>
      <c r="G56" s="23">
        <v>6.12692307692308</v>
      </c>
      <c r="H56" s="23">
        <v>6.1653846153846201</v>
      </c>
      <c r="I56" s="23">
        <v>6.1807692307692301</v>
      </c>
      <c r="J56" s="23">
        <v>6.2461538461538497</v>
      </c>
      <c r="K56" s="23">
        <v>6.2538461538461503</v>
      </c>
      <c r="L56" s="23">
        <v>6.3038461538461501</v>
      </c>
      <c r="M56" s="23">
        <v>6.35769230769231</v>
      </c>
      <c r="N56" s="23">
        <v>6.3653846153846203</v>
      </c>
      <c r="Q56" s="93">
        <v>46259</v>
      </c>
      <c r="R56" t="s">
        <v>479</v>
      </c>
      <c r="S56" t="s">
        <v>399</v>
      </c>
      <c r="T56" s="14">
        <v>10968.253975457599</v>
      </c>
      <c r="W56" s="20">
        <v>45898</v>
      </c>
      <c r="X56" t="s">
        <v>276</v>
      </c>
      <c r="Y56" s="23">
        <v>5.7846153846153898</v>
      </c>
      <c r="Z56" s="23">
        <v>5.3461538461538503</v>
      </c>
      <c r="AA56" s="23">
        <v>5.5653846153846196</v>
      </c>
      <c r="AC56" s="19"/>
      <c r="AD56" s="20">
        <v>45705</v>
      </c>
      <c r="AE56" t="s">
        <v>479</v>
      </c>
      <c r="AF56">
        <v>2575.6929256499998</v>
      </c>
      <c r="AG56" s="84">
        <f>DATE(YEAR(His53_DataTT[[#This Row],[RptDate]]),MONTH(His53_DataTT[[#This Row],[RptDate]]),1)</f>
        <v>45689</v>
      </c>
      <c r="AO56" s="14"/>
    </row>
    <row r="57" spans="2:41" x14ac:dyDescent="0.3">
      <c r="B57" s="93">
        <v>45973</v>
      </c>
      <c r="C57" s="23">
        <v>5.83</v>
      </c>
      <c r="D57" s="23">
        <v>6.0374999999999996</v>
      </c>
      <c r="E57" s="23">
        <v>6.06666666666667</v>
      </c>
      <c r="F57" s="23">
        <v>6.4625000000000004</v>
      </c>
      <c r="G57" s="23">
        <v>6.12692307692308</v>
      </c>
      <c r="H57" s="23">
        <v>6.1653846153846201</v>
      </c>
      <c r="I57" s="23">
        <v>6.1807692307692301</v>
      </c>
      <c r="J57" s="23">
        <v>6.2615384615384597</v>
      </c>
      <c r="K57" s="23">
        <v>6.2615384615384597</v>
      </c>
      <c r="L57" s="23">
        <v>6.3153846153846098</v>
      </c>
      <c r="M57" s="23">
        <v>6.3692307692307697</v>
      </c>
      <c r="N57" s="23">
        <v>6.37307692307692</v>
      </c>
      <c r="Q57" s="93">
        <v>46259</v>
      </c>
      <c r="R57" t="s">
        <v>364</v>
      </c>
      <c r="S57" t="s">
        <v>399</v>
      </c>
      <c r="T57" s="14">
        <v>27549.1</v>
      </c>
      <c r="W57" s="20">
        <v>45898</v>
      </c>
      <c r="X57" t="s">
        <v>277</v>
      </c>
      <c r="Y57" s="23">
        <v>5.89230769230769</v>
      </c>
      <c r="Z57" s="23">
        <v>5.4461538461538499</v>
      </c>
      <c r="AA57" s="23">
        <v>5.6692307692307704</v>
      </c>
      <c r="AC57" s="19"/>
      <c r="AD57" s="20">
        <v>45705</v>
      </c>
      <c r="AE57" t="s">
        <v>557</v>
      </c>
      <c r="AF57">
        <v>2720.449186802</v>
      </c>
      <c r="AG57" s="84">
        <f>DATE(YEAR(His53_DataTT[[#This Row],[RptDate]]),MONTH(His53_DataTT[[#This Row],[RptDate]]),1)</f>
        <v>45689</v>
      </c>
      <c r="AO57" s="14"/>
    </row>
    <row r="58" spans="2:41" x14ac:dyDescent="0.3">
      <c r="B58" s="93">
        <v>45974</v>
      </c>
      <c r="C58" s="23">
        <v>5.8666666666666698</v>
      </c>
      <c r="D58" s="23">
        <v>5.93333333333333</v>
      </c>
      <c r="E58" s="23">
        <v>6.06666666666667</v>
      </c>
      <c r="F58" s="23">
        <v>6.4375</v>
      </c>
      <c r="G58" s="23">
        <v>6.1192307692307697</v>
      </c>
      <c r="H58" s="23">
        <v>6.1576923076923098</v>
      </c>
      <c r="I58" s="23">
        <v>6.1730769230769198</v>
      </c>
      <c r="J58" s="23">
        <v>6.2538461538461503</v>
      </c>
      <c r="K58" s="23">
        <v>6.2538461538461503</v>
      </c>
      <c r="L58" s="23">
        <v>6.3076923076923102</v>
      </c>
      <c r="M58" s="23">
        <v>6.3615384615384603</v>
      </c>
      <c r="N58" s="23">
        <v>6.3653846153846203</v>
      </c>
      <c r="Q58" s="93">
        <v>46259</v>
      </c>
      <c r="R58" t="s">
        <v>491</v>
      </c>
      <c r="S58" t="s">
        <v>399</v>
      </c>
      <c r="T58" s="14">
        <v>397.61059999999998</v>
      </c>
      <c r="W58" s="20">
        <v>45898</v>
      </c>
      <c r="X58" t="s">
        <v>278</v>
      </c>
      <c r="Y58" s="23">
        <v>5.9653846153846199</v>
      </c>
      <c r="Z58" s="23">
        <v>5.5192307692307701</v>
      </c>
      <c r="AA58" s="23">
        <v>5.7423076923076897</v>
      </c>
      <c r="AC58" s="19"/>
      <c r="AD58" s="20">
        <v>45706</v>
      </c>
      <c r="AE58" t="s">
        <v>479</v>
      </c>
      <c r="AF58">
        <v>1487.6638215949999</v>
      </c>
      <c r="AG58" s="84">
        <f>DATE(YEAR(His53_DataTT[[#This Row],[RptDate]]),MONTH(His53_DataTT[[#This Row],[RptDate]]),1)</f>
        <v>45689</v>
      </c>
      <c r="AO58" s="14"/>
    </row>
    <row r="59" spans="2:41" x14ac:dyDescent="0.3">
      <c r="B59" s="93">
        <v>45975</v>
      </c>
      <c r="C59" s="23">
        <v>5.93333333333333</v>
      </c>
      <c r="D59" s="23">
        <v>5.93333333333333</v>
      </c>
      <c r="E59" s="23">
        <v>6.06666666666667</v>
      </c>
      <c r="F59" s="23">
        <v>6.4375</v>
      </c>
      <c r="G59" s="23">
        <v>6.14230769230769</v>
      </c>
      <c r="H59" s="23">
        <v>6.1807692307692301</v>
      </c>
      <c r="I59" s="23">
        <v>6.2115384615384599</v>
      </c>
      <c r="J59" s="23">
        <v>6.2923076923076904</v>
      </c>
      <c r="K59" s="23">
        <v>6.3076923076923102</v>
      </c>
      <c r="L59" s="23">
        <v>6.3538461538461499</v>
      </c>
      <c r="M59" s="23">
        <v>6.4</v>
      </c>
      <c r="N59" s="23">
        <v>6.3961538461538501</v>
      </c>
      <c r="Q59" s="93">
        <v>46259</v>
      </c>
      <c r="R59" t="s">
        <v>492</v>
      </c>
      <c r="S59" t="s">
        <v>399</v>
      </c>
      <c r="T59" s="14">
        <v>10000</v>
      </c>
      <c r="W59" s="20">
        <v>45898</v>
      </c>
      <c r="X59" t="s">
        <v>279</v>
      </c>
      <c r="Y59" s="23">
        <v>6.0076923076923103</v>
      </c>
      <c r="Z59" s="23">
        <v>5.5615384615384604</v>
      </c>
      <c r="AA59" s="23">
        <v>5.7846153846153801</v>
      </c>
      <c r="AC59" s="19"/>
      <c r="AD59" s="20">
        <v>45706</v>
      </c>
      <c r="AE59" t="s">
        <v>557</v>
      </c>
      <c r="AF59">
        <v>989.76571681099995</v>
      </c>
      <c r="AG59" s="84">
        <f>DATE(YEAR(His53_DataTT[[#This Row],[RptDate]]),MONTH(His53_DataTT[[#This Row],[RptDate]]),1)</f>
        <v>45689</v>
      </c>
      <c r="AO59" s="14"/>
    </row>
    <row r="60" spans="2:41" x14ac:dyDescent="0.3">
      <c r="B60" s="93">
        <v>45978</v>
      </c>
      <c r="C60" s="23">
        <v>5.9714285714285698</v>
      </c>
      <c r="D60" s="23">
        <v>5.8961538461538501</v>
      </c>
      <c r="E60" s="23">
        <v>6.06666666666667</v>
      </c>
      <c r="F60" s="23">
        <v>6.3875000000000002</v>
      </c>
      <c r="G60" s="23">
        <v>6.14230769230769</v>
      </c>
      <c r="H60" s="23">
        <v>6.1807692307692301</v>
      </c>
      <c r="I60" s="23">
        <v>6.2115384615384599</v>
      </c>
      <c r="J60" s="23">
        <v>6.2923076923076904</v>
      </c>
      <c r="K60" s="23">
        <v>6.3076923076923102</v>
      </c>
      <c r="L60" s="23">
        <v>6.3538461538461499</v>
      </c>
      <c r="M60" s="23">
        <v>6.4</v>
      </c>
      <c r="N60" s="23">
        <v>6.3961538461538501</v>
      </c>
      <c r="Q60" s="93">
        <v>46259</v>
      </c>
      <c r="R60" t="s">
        <v>1438</v>
      </c>
      <c r="S60" t="s">
        <v>399</v>
      </c>
      <c r="T60" s="14">
        <v>570.64337545760998</v>
      </c>
      <c r="W60" s="20">
        <v>45898</v>
      </c>
      <c r="X60" t="s">
        <v>280</v>
      </c>
      <c r="Y60" s="23">
        <v>6.12307692307692</v>
      </c>
      <c r="Z60" s="23">
        <v>5.6769230769230798</v>
      </c>
      <c r="AA60" s="23">
        <v>5.9</v>
      </c>
      <c r="AC60" s="19"/>
      <c r="AD60" s="20">
        <v>45707</v>
      </c>
      <c r="AE60" t="s">
        <v>479</v>
      </c>
      <c r="AF60">
        <v>1033.4241416990001</v>
      </c>
      <c r="AG60" s="84">
        <f>DATE(YEAR(His53_DataTT[[#This Row],[RptDate]]),MONTH(His53_DataTT[[#This Row],[RptDate]]),1)</f>
        <v>45689</v>
      </c>
      <c r="AO60" s="14"/>
    </row>
    <row r="61" spans="2:41" x14ac:dyDescent="0.3">
      <c r="B61" s="93">
        <v>45979</v>
      </c>
      <c r="C61" s="23">
        <v>5.9428571428571404</v>
      </c>
      <c r="D61" s="23">
        <v>5.89230769230769</v>
      </c>
      <c r="E61" s="23">
        <v>6.0538461538461501</v>
      </c>
      <c r="F61" s="23">
        <v>6.4249999999999998</v>
      </c>
      <c r="G61" s="23">
        <v>6.1384615384615397</v>
      </c>
      <c r="H61" s="23">
        <v>6.1769230769230798</v>
      </c>
      <c r="I61" s="23">
        <v>6.2076923076923096</v>
      </c>
      <c r="J61" s="23">
        <v>6.2923076923076904</v>
      </c>
      <c r="K61" s="23">
        <v>6.3076923076923102</v>
      </c>
      <c r="L61" s="23">
        <v>6.3538461538461499</v>
      </c>
      <c r="M61" s="23">
        <v>6.4</v>
      </c>
      <c r="N61" s="23">
        <v>6.4269230769230798</v>
      </c>
      <c r="Q61" s="93">
        <v>46259</v>
      </c>
      <c r="R61" t="s">
        <v>496</v>
      </c>
      <c r="S61" t="s">
        <v>399</v>
      </c>
      <c r="T61" s="14">
        <v>16993.099999999999</v>
      </c>
      <c r="W61" s="20">
        <v>45898</v>
      </c>
      <c r="X61" t="s">
        <v>281</v>
      </c>
      <c r="Y61" s="23">
        <v>6.2</v>
      </c>
      <c r="Z61" s="23">
        <v>5.7615384615384597</v>
      </c>
      <c r="AA61" s="23">
        <v>5.9807692307692299</v>
      </c>
      <c r="AC61" s="19"/>
      <c r="AD61" s="20">
        <v>45707</v>
      </c>
      <c r="AE61" t="s">
        <v>557</v>
      </c>
      <c r="AF61">
        <v>807.06243508499995</v>
      </c>
      <c r="AG61" s="84">
        <f>DATE(YEAR(His53_DataTT[[#This Row],[RptDate]]),MONTH(His53_DataTT[[#This Row],[RptDate]]),1)</f>
        <v>45689</v>
      </c>
      <c r="AO61" s="14"/>
    </row>
    <row r="62" spans="2:41" x14ac:dyDescent="0.3">
      <c r="B62" s="93">
        <v>45980</v>
      </c>
      <c r="C62" s="23">
        <v>5.9428571428571404</v>
      </c>
      <c r="D62" s="23">
        <v>5.89230769230769</v>
      </c>
      <c r="E62" s="23">
        <v>6.0538461538461501</v>
      </c>
      <c r="F62" s="23">
        <v>6.4249999999999998</v>
      </c>
      <c r="G62" s="23">
        <v>6.1384615384615397</v>
      </c>
      <c r="H62" s="23">
        <v>6.1769230769230798</v>
      </c>
      <c r="I62" s="23">
        <v>6.2076923076923096</v>
      </c>
      <c r="J62" s="23">
        <v>6.2923076923076904</v>
      </c>
      <c r="K62" s="23">
        <v>6.3076923076923102</v>
      </c>
      <c r="L62" s="23">
        <v>6.3538461538461499</v>
      </c>
      <c r="M62" s="23">
        <v>6.4</v>
      </c>
      <c r="N62" s="23">
        <v>6.4269230769230798</v>
      </c>
      <c r="Q62" s="93">
        <v>46259</v>
      </c>
      <c r="R62" t="s">
        <v>497</v>
      </c>
      <c r="S62" t="s">
        <v>399</v>
      </c>
      <c r="T62" s="14">
        <v>397.61059999999998</v>
      </c>
      <c r="W62" s="20">
        <v>45903</v>
      </c>
      <c r="X62" t="s">
        <v>270</v>
      </c>
      <c r="Y62" s="23">
        <v>5.53125</v>
      </c>
      <c r="Z62" s="23">
        <v>5.1375000000000002</v>
      </c>
      <c r="AA62" s="23">
        <v>5.3343749999999996</v>
      </c>
      <c r="AC62" s="19"/>
      <c r="AD62" s="20">
        <v>45708</v>
      </c>
      <c r="AE62" t="s">
        <v>479</v>
      </c>
      <c r="AF62">
        <v>1721.2274513330001</v>
      </c>
      <c r="AG62" s="84">
        <f>DATE(YEAR(His53_DataTT[[#This Row],[RptDate]]),MONTH(His53_DataTT[[#This Row],[RptDate]]),1)</f>
        <v>45689</v>
      </c>
      <c r="AO62" s="14"/>
    </row>
    <row r="63" spans="2:41" x14ac:dyDescent="0.3">
      <c r="B63" s="93">
        <v>45981</v>
      </c>
      <c r="C63" s="23">
        <v>5.95714285714286</v>
      </c>
      <c r="D63" s="23">
        <v>5.89230769230769</v>
      </c>
      <c r="E63" s="23">
        <v>6.0538461538461501</v>
      </c>
      <c r="F63" s="23">
        <v>6.4249999999999998</v>
      </c>
      <c r="G63" s="23">
        <v>6.1384615384615397</v>
      </c>
      <c r="H63" s="23">
        <v>6.1769230769230798</v>
      </c>
      <c r="I63" s="23">
        <v>6.2076923076923096</v>
      </c>
      <c r="J63" s="23">
        <v>6.2923076923076904</v>
      </c>
      <c r="K63" s="23">
        <v>6.3076923076923102</v>
      </c>
      <c r="L63" s="23">
        <v>6.3538461538461499</v>
      </c>
      <c r="M63" s="23">
        <v>6.4</v>
      </c>
      <c r="N63" s="23">
        <v>6.4269230769230798</v>
      </c>
      <c r="Q63" s="93">
        <v>46259</v>
      </c>
      <c r="R63" t="s">
        <v>498</v>
      </c>
      <c r="S63" t="s">
        <v>399</v>
      </c>
      <c r="T63" s="14">
        <v>10000</v>
      </c>
      <c r="W63" s="20">
        <v>45903</v>
      </c>
      <c r="X63" t="s">
        <v>271</v>
      </c>
      <c r="Y63" s="23">
        <v>5.5230769230769203</v>
      </c>
      <c r="Z63" s="23">
        <v>5.0884615384615399</v>
      </c>
      <c r="AA63" s="23">
        <v>5.3057692307692301</v>
      </c>
      <c r="AC63" s="19"/>
      <c r="AD63" s="20">
        <v>45708</v>
      </c>
      <c r="AE63" t="s">
        <v>557</v>
      </c>
      <c r="AF63">
        <v>3723.3527438420001</v>
      </c>
      <c r="AG63" s="84">
        <f>DATE(YEAR(His53_DataTT[[#This Row],[RptDate]]),MONTH(His53_DataTT[[#This Row],[RptDate]]),1)</f>
        <v>45689</v>
      </c>
      <c r="AO63" s="14"/>
    </row>
    <row r="64" spans="2:41" x14ac:dyDescent="0.3">
      <c r="B64" s="93">
        <v>45982</v>
      </c>
      <c r="C64" s="23">
        <v>6.0285714285714302</v>
      </c>
      <c r="D64" s="23">
        <v>5.9384615384615396</v>
      </c>
      <c r="E64" s="23">
        <v>6.10769230769231</v>
      </c>
      <c r="F64" s="23">
        <v>6.4375</v>
      </c>
      <c r="G64" s="23">
        <v>6.2076923076923096</v>
      </c>
      <c r="H64" s="23">
        <v>6.2538461538461503</v>
      </c>
      <c r="I64" s="23">
        <v>6.3</v>
      </c>
      <c r="J64" s="23">
        <v>6.37692307692308</v>
      </c>
      <c r="K64" s="23">
        <v>6.39230769230769</v>
      </c>
      <c r="L64" s="23">
        <v>6.4423076923076898</v>
      </c>
      <c r="M64" s="23">
        <v>6.4884615384615403</v>
      </c>
      <c r="N64" s="23">
        <v>6.5192307692307701</v>
      </c>
      <c r="Q64" s="93">
        <v>46259</v>
      </c>
      <c r="R64" t="s">
        <v>494</v>
      </c>
      <c r="S64" t="s">
        <v>399</v>
      </c>
      <c r="T64" s="14">
        <v>0</v>
      </c>
      <c r="W64" s="20">
        <v>45903</v>
      </c>
      <c r="X64" t="s">
        <v>272</v>
      </c>
      <c r="Y64" s="23">
        <v>5.5884615384615399</v>
      </c>
      <c r="Z64" s="23">
        <v>5.1538461538461604</v>
      </c>
      <c r="AA64" s="23">
        <v>5.3711538461538497</v>
      </c>
      <c r="AC64" s="19"/>
      <c r="AD64" s="20">
        <v>45709</v>
      </c>
      <c r="AE64" t="s">
        <v>479</v>
      </c>
      <c r="AF64">
        <v>2539.949408598</v>
      </c>
      <c r="AG64" s="84">
        <f>DATE(YEAR(His53_DataTT[[#This Row],[RptDate]]),MONTH(His53_DataTT[[#This Row],[RptDate]]),1)</f>
        <v>45689</v>
      </c>
      <c r="AO64" s="14"/>
    </row>
    <row r="65" spans="2:41" x14ac:dyDescent="0.3">
      <c r="B65" s="93">
        <v>45985</v>
      </c>
      <c r="C65" s="23">
        <v>6.1</v>
      </c>
      <c r="D65" s="23">
        <v>5.9615384615384599</v>
      </c>
      <c r="E65" s="23">
        <v>6.12307692307692</v>
      </c>
      <c r="F65" s="23">
        <v>6.4874999999999998</v>
      </c>
      <c r="G65" s="23">
        <v>6.2307692307692299</v>
      </c>
      <c r="H65" s="23">
        <v>6.2692307692307701</v>
      </c>
      <c r="I65" s="23">
        <v>6.3153846153846098</v>
      </c>
      <c r="J65" s="23">
        <v>6.39230769230769</v>
      </c>
      <c r="K65" s="23">
        <v>6.4076923076923098</v>
      </c>
      <c r="L65" s="23">
        <v>6.4576923076923096</v>
      </c>
      <c r="M65" s="23">
        <v>6.5038461538461503</v>
      </c>
      <c r="N65" s="23">
        <v>6.5346153846153801</v>
      </c>
      <c r="Q65" s="93">
        <v>46259</v>
      </c>
      <c r="R65" t="s">
        <v>495</v>
      </c>
      <c r="S65" t="s">
        <v>399</v>
      </c>
      <c r="T65" s="14">
        <v>0</v>
      </c>
      <c r="W65" s="20">
        <v>45903</v>
      </c>
      <c r="X65" t="s">
        <v>273</v>
      </c>
      <c r="Y65" s="23">
        <v>5.6769230769230798</v>
      </c>
      <c r="Z65" s="23">
        <v>5.2423076923076897</v>
      </c>
      <c r="AA65" s="23">
        <v>5.4596153846153799</v>
      </c>
      <c r="AC65" s="19"/>
      <c r="AD65" s="20">
        <v>45709</v>
      </c>
      <c r="AE65" t="s">
        <v>557</v>
      </c>
      <c r="AF65">
        <v>4020.3398515029999</v>
      </c>
      <c r="AG65" s="84">
        <f>DATE(YEAR(His53_DataTT[[#This Row],[RptDate]]),MONTH(His53_DataTT[[#This Row],[RptDate]]),1)</f>
        <v>45689</v>
      </c>
      <c r="AO65" s="14"/>
    </row>
    <row r="66" spans="2:41" x14ac:dyDescent="0.3">
      <c r="B66" s="93">
        <v>45986</v>
      </c>
      <c r="C66" s="23">
        <v>6.1857142857142904</v>
      </c>
      <c r="D66" s="23">
        <v>6.0307692307692298</v>
      </c>
      <c r="E66" s="23">
        <v>6.1846153846153804</v>
      </c>
      <c r="F66" s="23">
        <v>6.5875000000000004</v>
      </c>
      <c r="G66" s="23">
        <v>6.2846153846153801</v>
      </c>
      <c r="H66" s="23">
        <v>6.3076923076923102</v>
      </c>
      <c r="I66" s="23">
        <v>6.3692307692307697</v>
      </c>
      <c r="J66" s="23">
        <v>6.4307692307692301</v>
      </c>
      <c r="K66" s="23">
        <v>6.4538461538461496</v>
      </c>
      <c r="L66" s="23">
        <v>6.5038461538461503</v>
      </c>
      <c r="M66" s="23">
        <v>6.5423076923076904</v>
      </c>
      <c r="N66" s="23">
        <v>6.5961538461538503</v>
      </c>
      <c r="Q66" s="93">
        <v>46259</v>
      </c>
      <c r="R66" t="s">
        <v>493</v>
      </c>
      <c r="S66" t="s">
        <v>399</v>
      </c>
      <c r="T66" s="14">
        <v>0</v>
      </c>
      <c r="W66" s="20">
        <v>45903</v>
      </c>
      <c r="X66" t="s">
        <v>274</v>
      </c>
      <c r="Y66" s="23">
        <v>5.7192307692307702</v>
      </c>
      <c r="Z66" s="23">
        <v>5.2846153846153898</v>
      </c>
      <c r="AA66" s="23">
        <v>5.50192307692308</v>
      </c>
      <c r="AC66" s="19"/>
      <c r="AD66" s="20">
        <v>45712</v>
      </c>
      <c r="AE66" t="s">
        <v>479</v>
      </c>
      <c r="AF66">
        <v>4739.4813540120003</v>
      </c>
      <c r="AG66" s="84">
        <f>DATE(YEAR(His53_DataTT[[#This Row],[RptDate]]),MONTH(His53_DataTT[[#This Row],[RptDate]]),1)</f>
        <v>45689</v>
      </c>
      <c r="AO66" s="14"/>
    </row>
    <row r="67" spans="2:41" x14ac:dyDescent="0.3">
      <c r="B67" s="93">
        <v>45987</v>
      </c>
      <c r="C67" s="23">
        <v>6.2714285714285696</v>
      </c>
      <c r="D67" s="23">
        <v>6.0461538461538504</v>
      </c>
      <c r="E67" s="23">
        <v>6.2038461538461496</v>
      </c>
      <c r="F67" s="23">
        <v>6.6</v>
      </c>
      <c r="G67" s="23">
        <v>6.3076923076923102</v>
      </c>
      <c r="H67" s="23">
        <v>6.3307692307692296</v>
      </c>
      <c r="I67" s="23">
        <v>6.37692307692308</v>
      </c>
      <c r="J67" s="23">
        <v>6.4346153846153804</v>
      </c>
      <c r="K67" s="23">
        <v>6.4576923076923096</v>
      </c>
      <c r="L67" s="23">
        <v>6.5038461538461503</v>
      </c>
      <c r="M67" s="23">
        <v>6.5423076923076904</v>
      </c>
      <c r="N67" s="23">
        <v>6.5961538461538503</v>
      </c>
      <c r="Q67" s="93">
        <v>46259</v>
      </c>
      <c r="R67" t="s">
        <v>593</v>
      </c>
      <c r="S67" t="s">
        <v>399</v>
      </c>
      <c r="T67" s="14">
        <v>10556</v>
      </c>
      <c r="W67" s="20">
        <v>45903</v>
      </c>
      <c r="X67" t="s">
        <v>275</v>
      </c>
      <c r="Y67" s="23">
        <v>5.7307692307692299</v>
      </c>
      <c r="Z67" s="23">
        <v>5.2961538461538504</v>
      </c>
      <c r="AA67" s="23">
        <v>5.5134615384615397</v>
      </c>
      <c r="AC67" s="19"/>
      <c r="AD67" s="20">
        <v>45712</v>
      </c>
      <c r="AE67" t="s">
        <v>557</v>
      </c>
      <c r="AF67">
        <v>3119.478877644</v>
      </c>
      <c r="AG67" s="84">
        <f>DATE(YEAR(His53_DataTT[[#This Row],[RptDate]]),MONTH(His53_DataTT[[#This Row],[RptDate]]),1)</f>
        <v>45689</v>
      </c>
      <c r="AO67" s="14"/>
    </row>
    <row r="68" spans="2:41" x14ac:dyDescent="0.3">
      <c r="B68" s="93">
        <v>45988</v>
      </c>
      <c r="C68" s="23">
        <v>6.2249999999999996</v>
      </c>
      <c r="D68" s="23">
        <v>6.0461538461538504</v>
      </c>
      <c r="E68" s="23">
        <v>6.2038461538461496</v>
      </c>
      <c r="F68" s="23">
        <v>6.57</v>
      </c>
      <c r="G68" s="23">
        <v>6.3076923076923102</v>
      </c>
      <c r="H68" s="23">
        <v>6.3307692307692296</v>
      </c>
      <c r="I68" s="23">
        <v>6.37692307692308</v>
      </c>
      <c r="J68" s="23">
        <v>6.4346153846153804</v>
      </c>
      <c r="K68" s="23">
        <v>6.4576923076923096</v>
      </c>
      <c r="L68" s="23">
        <v>6.5038461538461503</v>
      </c>
      <c r="M68" s="23">
        <v>6.5423076923076904</v>
      </c>
      <c r="N68" s="23">
        <v>6.5961538461538503</v>
      </c>
      <c r="Q68" s="93">
        <v>46259</v>
      </c>
      <c r="R68" t="s">
        <v>594</v>
      </c>
      <c r="S68" t="s">
        <v>399</v>
      </c>
      <c r="T68" s="14">
        <v>0</v>
      </c>
      <c r="W68" s="20">
        <v>45903</v>
      </c>
      <c r="X68" t="s">
        <v>276</v>
      </c>
      <c r="Y68" s="23">
        <v>5.7923076923076904</v>
      </c>
      <c r="Z68" s="23">
        <v>5.3538461538461597</v>
      </c>
      <c r="AA68" s="23">
        <v>5.5730769230769202</v>
      </c>
      <c r="AC68" s="19"/>
      <c r="AD68" s="20">
        <v>45713</v>
      </c>
      <c r="AE68" t="s">
        <v>479</v>
      </c>
      <c r="AF68">
        <v>5090.754922094</v>
      </c>
      <c r="AG68" s="84">
        <f>DATE(YEAR(His53_DataTT[[#This Row],[RptDate]]),MONTH(His53_DataTT[[#This Row],[RptDate]]),1)</f>
        <v>45689</v>
      </c>
      <c r="AO68" s="14"/>
    </row>
    <row r="69" spans="2:41" x14ac:dyDescent="0.3">
      <c r="B69" s="93">
        <v>45989</v>
      </c>
      <c r="C69" s="23">
        <v>6.2785714285714302</v>
      </c>
      <c r="D69" s="23">
        <v>6.0461538461538504</v>
      </c>
      <c r="E69" s="23">
        <v>6.2038461538461496</v>
      </c>
      <c r="F69" s="23">
        <v>6.6</v>
      </c>
      <c r="G69" s="23">
        <v>6.3307692307692296</v>
      </c>
      <c r="H69" s="23">
        <v>6.3538461538461499</v>
      </c>
      <c r="I69" s="23">
        <v>6.4</v>
      </c>
      <c r="J69" s="23">
        <v>6.4576923076923096</v>
      </c>
      <c r="K69" s="23">
        <v>6.4807692307692299</v>
      </c>
      <c r="L69" s="23">
        <v>6.5192307692307701</v>
      </c>
      <c r="M69" s="23">
        <v>6.55</v>
      </c>
      <c r="N69" s="23">
        <v>6.6038461538461499</v>
      </c>
      <c r="Q69" s="93">
        <v>46259</v>
      </c>
      <c r="R69" t="s">
        <v>595</v>
      </c>
      <c r="S69" t="s">
        <v>399</v>
      </c>
      <c r="T69" s="14">
        <v>0</v>
      </c>
      <c r="W69" s="20">
        <v>45903</v>
      </c>
      <c r="X69" t="s">
        <v>277</v>
      </c>
      <c r="Y69" s="23">
        <v>5.9</v>
      </c>
      <c r="Z69" s="23">
        <v>5.4538461538461496</v>
      </c>
      <c r="AA69" s="23">
        <v>5.6769230769230798</v>
      </c>
      <c r="AC69" s="19"/>
      <c r="AD69" s="20">
        <v>45713</v>
      </c>
      <c r="AE69" t="s">
        <v>557</v>
      </c>
      <c r="AF69">
        <v>3402.699233455</v>
      </c>
      <c r="AG69" s="84">
        <f>DATE(YEAR(His53_DataTT[[#This Row],[RptDate]]),MONTH(His53_DataTT[[#This Row],[RptDate]]),1)</f>
        <v>45689</v>
      </c>
      <c r="AO69" s="14"/>
    </row>
    <row r="70" spans="2:41" x14ac:dyDescent="0.3">
      <c r="B70" s="93">
        <v>45992</v>
      </c>
      <c r="C70" s="23">
        <v>6.43333333333333</v>
      </c>
      <c r="D70" s="23">
        <v>6.1461538461538501</v>
      </c>
      <c r="E70" s="23">
        <v>6.4749999999999996</v>
      </c>
      <c r="F70" s="23">
        <v>6.45</v>
      </c>
      <c r="G70" s="23">
        <v>6.4076923076923098</v>
      </c>
      <c r="H70" s="23">
        <v>6.4384615384615396</v>
      </c>
      <c r="I70" s="23">
        <v>6.48461538461539</v>
      </c>
      <c r="J70" s="23">
        <v>6.5346153846153801</v>
      </c>
      <c r="K70" s="23">
        <v>6.5769230769230802</v>
      </c>
      <c r="L70" s="23">
        <v>6.60769230769231</v>
      </c>
      <c r="M70" s="23">
        <v>6.6461538461538501</v>
      </c>
      <c r="N70" s="23">
        <v>6.6769230769230798</v>
      </c>
      <c r="Q70" s="93">
        <v>46259</v>
      </c>
      <c r="R70" t="s">
        <v>1439</v>
      </c>
      <c r="S70" t="s">
        <v>399</v>
      </c>
      <c r="T70" s="14">
        <v>570.64337545760998</v>
      </c>
      <c r="W70" s="20">
        <v>45903</v>
      </c>
      <c r="X70" t="s">
        <v>278</v>
      </c>
      <c r="Y70" s="23">
        <v>5.9730769230769196</v>
      </c>
      <c r="Z70" s="23">
        <v>5.5269230769230804</v>
      </c>
      <c r="AA70" s="23">
        <v>5.75</v>
      </c>
      <c r="AC70" s="19"/>
      <c r="AD70" s="20">
        <v>45714</v>
      </c>
      <c r="AE70" t="s">
        <v>479</v>
      </c>
      <c r="AF70">
        <v>1544.326810494</v>
      </c>
      <c r="AG70" s="84">
        <f>DATE(YEAR(His53_DataTT[[#This Row],[RptDate]]),MONTH(His53_DataTT[[#This Row],[RptDate]]),1)</f>
        <v>45689</v>
      </c>
      <c r="AO70" s="14"/>
    </row>
    <row r="71" spans="2:41" x14ac:dyDescent="0.3">
      <c r="B71" s="93">
        <v>45993</v>
      </c>
      <c r="C71" s="23">
        <v>6.5166666666666702</v>
      </c>
      <c r="D71" s="23">
        <v>6.3807692307692303</v>
      </c>
      <c r="E71" s="23">
        <v>6.5750000000000002</v>
      </c>
      <c r="F71" s="23">
        <v>6.6192307692307697</v>
      </c>
      <c r="G71" s="23">
        <v>6.5692307692307699</v>
      </c>
      <c r="H71" s="23">
        <v>6.60769230769231</v>
      </c>
      <c r="I71" s="23">
        <v>6.6692307692307704</v>
      </c>
      <c r="J71" s="23">
        <v>6.7115384615384599</v>
      </c>
      <c r="K71" s="23">
        <v>6.7307692307692299</v>
      </c>
      <c r="L71" s="23">
        <v>6.7692307692307701</v>
      </c>
      <c r="M71" s="23">
        <v>6.8</v>
      </c>
      <c r="N71" s="23">
        <v>6.8307692307692296</v>
      </c>
      <c r="Q71" s="93">
        <v>46259</v>
      </c>
      <c r="R71" t="s">
        <v>479</v>
      </c>
      <c r="S71" t="s">
        <v>395</v>
      </c>
      <c r="T71" s="14">
        <v>10886.3073171947</v>
      </c>
      <c r="W71" s="20">
        <v>45903</v>
      </c>
      <c r="X71" t="s">
        <v>279</v>
      </c>
      <c r="Y71" s="23">
        <v>6.0153846153846198</v>
      </c>
      <c r="Z71" s="23">
        <v>5.5692307692307699</v>
      </c>
      <c r="AA71" s="23">
        <v>5.7923076923076904</v>
      </c>
      <c r="AC71" s="19"/>
      <c r="AD71" s="20">
        <v>45714</v>
      </c>
      <c r="AE71" t="s">
        <v>557</v>
      </c>
      <c r="AF71">
        <v>1528.4538214239999</v>
      </c>
      <c r="AG71" s="84">
        <f>DATE(YEAR(His53_DataTT[[#This Row],[RptDate]]),MONTH(His53_DataTT[[#This Row],[RptDate]]),1)</f>
        <v>45689</v>
      </c>
      <c r="AO71" s="14"/>
    </row>
    <row r="72" spans="2:41" x14ac:dyDescent="0.3">
      <c r="B72" s="93">
        <v>45994</v>
      </c>
      <c r="C72" s="23">
        <v>6.65</v>
      </c>
      <c r="D72" s="23">
        <v>6.4653846153846199</v>
      </c>
      <c r="E72" s="23">
        <v>6.65625</v>
      </c>
      <c r="F72" s="23">
        <v>6.6576923076923098</v>
      </c>
      <c r="G72" s="23">
        <v>6.6538461538461604</v>
      </c>
      <c r="H72" s="23">
        <v>6.6923076923076898</v>
      </c>
      <c r="I72" s="23">
        <v>6.7461538461538497</v>
      </c>
      <c r="J72" s="23">
        <v>6.7884615384615401</v>
      </c>
      <c r="K72" s="23">
        <v>6.8307692307692296</v>
      </c>
      <c r="L72" s="23">
        <v>6.8615384615384603</v>
      </c>
      <c r="M72" s="23">
        <v>6.9</v>
      </c>
      <c r="N72" s="23">
        <v>6.9384615384615396</v>
      </c>
      <c r="Q72" s="93">
        <v>46259</v>
      </c>
      <c r="R72" t="s">
        <v>479</v>
      </c>
      <c r="S72" t="s">
        <v>415</v>
      </c>
      <c r="T72" s="14">
        <v>7.8302114363586597</v>
      </c>
      <c r="W72" s="20">
        <v>45903</v>
      </c>
      <c r="X72" t="s">
        <v>280</v>
      </c>
      <c r="Y72" s="23">
        <v>6.1307692307692303</v>
      </c>
      <c r="Z72" s="23">
        <v>5.6846153846153902</v>
      </c>
      <c r="AA72" s="23">
        <v>5.9076923076923098</v>
      </c>
      <c r="AC72" s="19"/>
      <c r="AD72" s="20">
        <v>45715</v>
      </c>
      <c r="AE72" t="s">
        <v>479</v>
      </c>
      <c r="AF72">
        <v>1637.336833483</v>
      </c>
      <c r="AG72" s="84">
        <f>DATE(YEAR(His53_DataTT[[#This Row],[RptDate]]),MONTH(His53_DataTT[[#This Row],[RptDate]]),1)</f>
        <v>45689</v>
      </c>
      <c r="AO72" s="14"/>
    </row>
    <row r="73" spans="2:41" x14ac:dyDescent="0.3">
      <c r="B73" s="93">
        <v>45995</v>
      </c>
      <c r="C73" s="23">
        <v>6.6357142857142897</v>
      </c>
      <c r="D73" s="23">
        <v>6.4653846153846199</v>
      </c>
      <c r="E73" s="23">
        <v>6.6812500000000004</v>
      </c>
      <c r="F73" s="23">
        <v>6.6692307692307704</v>
      </c>
      <c r="G73" s="23">
        <v>6.6538461538461604</v>
      </c>
      <c r="H73" s="23">
        <v>6.6923076923076898</v>
      </c>
      <c r="I73" s="23">
        <v>6.7461538461538497</v>
      </c>
      <c r="J73" s="23">
        <v>6.7884615384615401</v>
      </c>
      <c r="K73" s="23">
        <v>6.8307692307692296</v>
      </c>
      <c r="L73" s="23">
        <v>6.8615384615384603</v>
      </c>
      <c r="M73" s="23">
        <v>6.9</v>
      </c>
      <c r="N73" s="23">
        <v>6.9384615384615396</v>
      </c>
      <c r="Q73" s="93">
        <v>46259</v>
      </c>
      <c r="R73" t="s">
        <v>364</v>
      </c>
      <c r="S73" t="s">
        <v>415</v>
      </c>
      <c r="T73" s="14">
        <v>7.393446186846</v>
      </c>
      <c r="W73" s="20">
        <v>45903</v>
      </c>
      <c r="X73" t="s">
        <v>281</v>
      </c>
      <c r="Y73" s="23">
        <v>6.2076923076923096</v>
      </c>
      <c r="Z73" s="23">
        <v>5.7692307692307701</v>
      </c>
      <c r="AA73" s="23">
        <v>5.9884615384615403</v>
      </c>
      <c r="AC73" s="19"/>
      <c r="AD73" s="20">
        <v>45715</v>
      </c>
      <c r="AE73" t="s">
        <v>557</v>
      </c>
      <c r="AF73">
        <v>1299.6195056839999</v>
      </c>
      <c r="AG73" s="84">
        <f>DATE(YEAR(His53_DataTT[[#This Row],[RptDate]]),MONTH(His53_DataTT[[#This Row],[RptDate]]),1)</f>
        <v>45689</v>
      </c>
      <c r="AO73" s="14"/>
    </row>
    <row r="74" spans="2:41" x14ac:dyDescent="0.3">
      <c r="B74" s="93">
        <v>45996</v>
      </c>
      <c r="C74" s="23">
        <v>6.6785714285714297</v>
      </c>
      <c r="D74" s="23">
        <v>6.4730769230769196</v>
      </c>
      <c r="E74" s="23">
        <v>6.6812500000000004</v>
      </c>
      <c r="F74" s="23">
        <v>6.7076923076923096</v>
      </c>
      <c r="G74" s="23">
        <v>6.6884615384615396</v>
      </c>
      <c r="H74" s="23">
        <v>6.7346153846153802</v>
      </c>
      <c r="I74" s="23">
        <v>6.7807692307692298</v>
      </c>
      <c r="J74" s="23">
        <v>6.8230769230769202</v>
      </c>
      <c r="K74" s="23">
        <v>6.8653846153846203</v>
      </c>
      <c r="L74" s="23">
        <v>6.9038461538461604</v>
      </c>
      <c r="M74" s="23">
        <v>6.9423076923076898</v>
      </c>
      <c r="N74" s="23">
        <v>6.9807692307692299</v>
      </c>
      <c r="Q74" s="93">
        <v>46259</v>
      </c>
      <c r="R74" t="s">
        <v>516</v>
      </c>
      <c r="S74" t="s">
        <v>415</v>
      </c>
      <c r="T74" s="14">
        <v>7.5251007155521696</v>
      </c>
      <c r="W74" s="20">
        <v>45904</v>
      </c>
      <c r="X74" t="s">
        <v>270</v>
      </c>
      <c r="Y74" s="23">
        <v>5.53125</v>
      </c>
      <c r="Z74" s="23">
        <v>5.1375000000000002</v>
      </c>
      <c r="AA74" s="23">
        <v>5.3343749999999996</v>
      </c>
      <c r="AC74" s="19"/>
      <c r="AD74" s="20">
        <v>45716</v>
      </c>
      <c r="AE74" t="s">
        <v>479</v>
      </c>
      <c r="AF74">
        <v>3339.2953329239999</v>
      </c>
      <c r="AG74" s="84">
        <f>DATE(YEAR(His53_DataTT[[#This Row],[RptDate]]),MONTH(His53_DataTT[[#This Row],[RptDate]]),1)</f>
        <v>45689</v>
      </c>
      <c r="AO74" s="14"/>
    </row>
    <row r="75" spans="2:41" x14ac:dyDescent="0.3">
      <c r="B75" s="93">
        <v>45999</v>
      </c>
      <c r="C75" s="23">
        <v>6.8071428571428596</v>
      </c>
      <c r="D75" s="23">
        <v>6.5461538461538504</v>
      </c>
      <c r="E75" s="23">
        <v>6.6437499999999998</v>
      </c>
      <c r="F75" s="23">
        <v>6.7769230769230804</v>
      </c>
      <c r="G75" s="23">
        <v>6.7884615384615401</v>
      </c>
      <c r="H75" s="23">
        <v>6.8192307692307699</v>
      </c>
      <c r="I75" s="23">
        <v>6.8653846153846203</v>
      </c>
      <c r="J75" s="23">
        <v>6.9076923076923098</v>
      </c>
      <c r="K75" s="23">
        <v>6.9461538461538499</v>
      </c>
      <c r="L75" s="23">
        <v>6.9769230769230797</v>
      </c>
      <c r="M75" s="23">
        <v>7.0230769230769203</v>
      </c>
      <c r="N75" s="23">
        <v>7.0615384615384604</v>
      </c>
      <c r="Q75" s="93">
        <v>46259</v>
      </c>
      <c r="R75" t="s">
        <v>1288</v>
      </c>
      <c r="S75" t="s">
        <v>415</v>
      </c>
      <c r="T75" s="14">
        <v>7.5103247638766</v>
      </c>
      <c r="W75" s="20">
        <v>45904</v>
      </c>
      <c r="X75" t="s">
        <v>271</v>
      </c>
      <c r="Y75" s="23">
        <v>5.5230769230769203</v>
      </c>
      <c r="Z75" s="23">
        <v>5.0884615384615399</v>
      </c>
      <c r="AA75" s="23">
        <v>5.3057692307692301</v>
      </c>
      <c r="AC75" s="19"/>
      <c r="AD75" s="20">
        <v>45716</v>
      </c>
      <c r="AE75" t="s">
        <v>557</v>
      </c>
      <c r="AF75">
        <v>1277.7977813049999</v>
      </c>
      <c r="AG75" s="84">
        <f>DATE(YEAR(His53_DataTT[[#This Row],[RptDate]]),MONTH(His53_DataTT[[#This Row],[RptDate]]),1)</f>
        <v>45689</v>
      </c>
      <c r="AO75" s="14"/>
    </row>
    <row r="76" spans="2:41" x14ac:dyDescent="0.3">
      <c r="B76" s="93">
        <v>46000</v>
      </c>
      <c r="C76" s="23">
        <v>6.8666666666666698</v>
      </c>
      <c r="D76" s="23">
        <v>6.5807692307692296</v>
      </c>
      <c r="E76" s="23">
        <v>6.6687500000000002</v>
      </c>
      <c r="F76" s="23">
        <v>6.8269230769230802</v>
      </c>
      <c r="G76" s="23">
        <v>6.8423076923076902</v>
      </c>
      <c r="H76" s="23">
        <v>6.87307692307692</v>
      </c>
      <c r="I76" s="23">
        <v>6.9115384615384601</v>
      </c>
      <c r="J76" s="23">
        <v>6.9461538461538499</v>
      </c>
      <c r="K76" s="23">
        <v>6.9846153846153802</v>
      </c>
      <c r="L76" s="23">
        <v>7.0153846153846198</v>
      </c>
      <c r="M76" s="23">
        <v>7.0615384615384604</v>
      </c>
      <c r="N76" s="23">
        <v>7.0769230769230802</v>
      </c>
      <c r="Q76" s="93">
        <v>46259</v>
      </c>
      <c r="R76" t="s">
        <v>496</v>
      </c>
      <c r="S76" t="s">
        <v>415</v>
      </c>
      <c r="T76" s="14">
        <v>7.2377653942058604</v>
      </c>
      <c r="W76" s="20">
        <v>45904</v>
      </c>
      <c r="X76" t="s">
        <v>272</v>
      </c>
      <c r="Y76" s="23">
        <v>5.5884615384615399</v>
      </c>
      <c r="Z76" s="23">
        <v>5.1538461538461604</v>
      </c>
      <c r="AA76" s="23">
        <v>5.3711538461538497</v>
      </c>
      <c r="AC76" s="19"/>
      <c r="AD76" s="20">
        <v>45719</v>
      </c>
      <c r="AE76" t="s">
        <v>479</v>
      </c>
      <c r="AF76">
        <v>2741.733937254</v>
      </c>
      <c r="AG76" s="84">
        <f>DATE(YEAR(His53_DataTT[[#This Row],[RptDate]]),MONTH(His53_DataTT[[#This Row],[RptDate]]),1)</f>
        <v>45717</v>
      </c>
      <c r="AO76" s="14"/>
    </row>
    <row r="77" spans="2:41" x14ac:dyDescent="0.3">
      <c r="B77" s="93">
        <v>46001</v>
      </c>
      <c r="C77" s="23">
        <v>6.85</v>
      </c>
      <c r="D77" s="23">
        <v>6.6307692307692303</v>
      </c>
      <c r="E77" s="23">
        <v>6.6937499999999996</v>
      </c>
      <c r="F77" s="23">
        <v>6.8230769230769202</v>
      </c>
      <c r="G77" s="23">
        <v>6.8423076923076902</v>
      </c>
      <c r="H77" s="23">
        <v>6.87307692307692</v>
      </c>
      <c r="I77" s="23">
        <v>6.9115384615384601</v>
      </c>
      <c r="J77" s="23">
        <v>6.9461538461538499</v>
      </c>
      <c r="K77" s="23">
        <v>6.98461538461539</v>
      </c>
      <c r="L77" s="23">
        <v>7.0153846153846198</v>
      </c>
      <c r="M77" s="23">
        <v>7.0615384615384604</v>
      </c>
      <c r="N77" s="23">
        <v>7.0769230769230802</v>
      </c>
      <c r="Q77" s="93">
        <v>46259</v>
      </c>
      <c r="R77" t="s">
        <v>1290</v>
      </c>
      <c r="S77" t="s">
        <v>415</v>
      </c>
      <c r="T77" s="14">
        <v>7.3482421474310202</v>
      </c>
      <c r="W77" s="20">
        <v>45904</v>
      </c>
      <c r="X77" t="s">
        <v>273</v>
      </c>
      <c r="Y77" s="23">
        <v>5.6769230769230798</v>
      </c>
      <c r="Z77" s="23">
        <v>5.2423076923076897</v>
      </c>
      <c r="AA77" s="23">
        <v>5.4596153846153799</v>
      </c>
      <c r="AC77" s="19"/>
      <c r="AD77" s="20">
        <v>45719</v>
      </c>
      <c r="AE77" t="s">
        <v>557</v>
      </c>
      <c r="AF77">
        <v>1155.381255238</v>
      </c>
      <c r="AG77" s="84">
        <f>DATE(YEAR(His53_DataTT[[#This Row],[RptDate]]),MONTH(His53_DataTT[[#This Row],[RptDate]]),1)</f>
        <v>45717</v>
      </c>
      <c r="AO77" s="14"/>
    </row>
    <row r="78" spans="2:41" x14ac:dyDescent="0.3">
      <c r="B78" s="93">
        <v>46002</v>
      </c>
      <c r="C78" s="23">
        <v>6.9071428571428601</v>
      </c>
      <c r="D78" s="23">
        <v>6.6461538461538501</v>
      </c>
      <c r="E78" s="23">
        <v>6.7562499999999996</v>
      </c>
      <c r="F78" s="23">
        <v>6.8384615384615399</v>
      </c>
      <c r="G78" s="23">
        <v>6.85769230769231</v>
      </c>
      <c r="H78" s="23">
        <v>6.8884615384615397</v>
      </c>
      <c r="I78" s="23">
        <v>6.9269230769230798</v>
      </c>
      <c r="J78" s="23">
        <v>6.9615384615384599</v>
      </c>
      <c r="K78" s="23">
        <v>7</v>
      </c>
      <c r="L78" s="23">
        <v>7.0307692307692298</v>
      </c>
      <c r="M78" s="23">
        <v>7.0769230769230802</v>
      </c>
      <c r="N78" s="23">
        <v>7.0923076923076902</v>
      </c>
      <c r="Q78" s="93">
        <v>46259</v>
      </c>
      <c r="R78" t="s">
        <v>364</v>
      </c>
      <c r="S78" t="s">
        <v>997</v>
      </c>
      <c r="T78" s="14">
        <v>31049.1</v>
      </c>
      <c r="W78" s="20">
        <v>45904</v>
      </c>
      <c r="X78" t="s">
        <v>274</v>
      </c>
      <c r="Y78" s="23">
        <v>5.7192307692307702</v>
      </c>
      <c r="Z78" s="23">
        <v>5.2846153846153898</v>
      </c>
      <c r="AA78" s="23">
        <v>5.50192307692308</v>
      </c>
      <c r="AC78" s="19"/>
      <c r="AD78" s="20">
        <v>45720</v>
      </c>
      <c r="AE78" t="s">
        <v>479</v>
      </c>
      <c r="AF78">
        <v>534.98970154699998</v>
      </c>
      <c r="AG78" s="84">
        <f>DATE(YEAR(His53_DataTT[[#This Row],[RptDate]]),MONTH(His53_DataTT[[#This Row],[RptDate]]),1)</f>
        <v>45717</v>
      </c>
      <c r="AO78" s="14"/>
    </row>
    <row r="79" spans="2:41" x14ac:dyDescent="0.3">
      <c r="B79" s="93">
        <v>46003</v>
      </c>
      <c r="C79" s="23">
        <v>6.9071428571428601</v>
      </c>
      <c r="D79" s="23">
        <v>6.6461538461538501</v>
      </c>
      <c r="E79" s="23">
        <v>6.7562499999999996</v>
      </c>
      <c r="F79" s="23">
        <v>6.8384615384615399</v>
      </c>
      <c r="G79" s="23">
        <v>6.85769230769231</v>
      </c>
      <c r="H79" s="23">
        <v>6.8884615384615397</v>
      </c>
      <c r="I79" s="23">
        <v>6.9269230769230798</v>
      </c>
      <c r="J79" s="23">
        <v>6.9615384615384599</v>
      </c>
      <c r="K79" s="23">
        <v>7</v>
      </c>
      <c r="L79" s="23">
        <v>7.0307692307692298</v>
      </c>
      <c r="M79" s="23">
        <v>7.0769230769230802</v>
      </c>
      <c r="N79" s="23">
        <v>7.0923076923076902</v>
      </c>
      <c r="Q79" s="93">
        <v>46259</v>
      </c>
      <c r="R79" t="s">
        <v>496</v>
      </c>
      <c r="S79" t="s">
        <v>997</v>
      </c>
      <c r="T79" s="14">
        <v>20493.099999999999</v>
      </c>
      <c r="W79" s="20">
        <v>45904</v>
      </c>
      <c r="X79" t="s">
        <v>275</v>
      </c>
      <c r="Y79" s="23">
        <v>5.7307692307692299</v>
      </c>
      <c r="Z79" s="23">
        <v>5.2961538461538504</v>
      </c>
      <c r="AA79" s="23">
        <v>5.5134615384615397</v>
      </c>
      <c r="AC79" s="19"/>
      <c r="AD79" s="20">
        <v>45720</v>
      </c>
      <c r="AE79" t="s">
        <v>557</v>
      </c>
      <c r="AF79">
        <v>5537.644049255</v>
      </c>
      <c r="AG79" s="84">
        <f>DATE(YEAR(His53_DataTT[[#This Row],[RptDate]]),MONTH(His53_DataTT[[#This Row],[RptDate]]),1)</f>
        <v>45717</v>
      </c>
      <c r="AO79" s="14"/>
    </row>
    <row r="80" spans="2:41" x14ac:dyDescent="0.3">
      <c r="B80" s="93">
        <v>46006</v>
      </c>
      <c r="C80" s="23">
        <v>6.8928571428571397</v>
      </c>
      <c r="D80" s="23">
        <v>6.6461538461538501</v>
      </c>
      <c r="E80" s="23">
        <v>6.7562499999999996</v>
      </c>
      <c r="F80" s="23">
        <v>6.8384615384615399</v>
      </c>
      <c r="G80" s="23">
        <v>6.85769230769231</v>
      </c>
      <c r="H80" s="23">
        <v>6.8884615384615397</v>
      </c>
      <c r="I80" s="23">
        <v>6.9269230769230798</v>
      </c>
      <c r="J80" s="23">
        <v>6.9692307692307702</v>
      </c>
      <c r="K80" s="23">
        <v>7.0076923076923103</v>
      </c>
      <c r="L80" s="23">
        <v>7.0384615384615401</v>
      </c>
      <c r="M80" s="23">
        <v>7.0846153846153896</v>
      </c>
      <c r="N80" s="23">
        <v>7.10769230769231</v>
      </c>
      <c r="Q80" s="93">
        <v>46259</v>
      </c>
      <c r="R80" t="s">
        <v>1388</v>
      </c>
      <c r="S80" t="s">
        <v>997</v>
      </c>
      <c r="T80" s="14">
        <v>13397.6106</v>
      </c>
      <c r="W80" s="20">
        <v>45904</v>
      </c>
      <c r="X80" t="s">
        <v>276</v>
      </c>
      <c r="Y80" s="23">
        <v>5.7923076923076904</v>
      </c>
      <c r="Z80" s="23">
        <v>5.3538461538461597</v>
      </c>
      <c r="AA80" s="23">
        <v>5.5730769230769202</v>
      </c>
      <c r="AC80" s="19"/>
      <c r="AD80" s="20">
        <v>45721</v>
      </c>
      <c r="AE80" t="s">
        <v>479</v>
      </c>
      <c r="AF80">
        <v>768.19578981400002</v>
      </c>
      <c r="AG80" s="84">
        <f>DATE(YEAR(His53_DataTT[[#This Row],[RptDate]]),MONTH(His53_DataTT[[#This Row],[RptDate]]),1)</f>
        <v>45717</v>
      </c>
      <c r="AO80" s="14"/>
    </row>
    <row r="81" spans="2:41" x14ac:dyDescent="0.3">
      <c r="B81" s="93">
        <v>46007</v>
      </c>
      <c r="C81" s="23">
        <v>6.8357142857142899</v>
      </c>
      <c r="D81" s="23">
        <v>6.6153846153846203</v>
      </c>
      <c r="E81" s="23">
        <v>6.7312500000000002</v>
      </c>
      <c r="F81" s="23">
        <v>6.8076923076923102</v>
      </c>
      <c r="G81" s="23">
        <v>6.85</v>
      </c>
      <c r="H81" s="23">
        <v>6.8653846153846203</v>
      </c>
      <c r="I81" s="23">
        <v>6.9038461538461604</v>
      </c>
      <c r="J81" s="23">
        <v>6.9615384615384599</v>
      </c>
      <c r="K81" s="23">
        <v>7</v>
      </c>
      <c r="L81" s="23">
        <v>7.0307692307692298</v>
      </c>
      <c r="M81" s="23">
        <v>7.0769230769230802</v>
      </c>
      <c r="N81" s="23">
        <v>7.1</v>
      </c>
      <c r="Q81" s="93">
        <v>46259</v>
      </c>
      <c r="R81" t="s">
        <v>1389</v>
      </c>
      <c r="S81" t="s">
        <v>997</v>
      </c>
      <c r="T81" s="14">
        <v>13000</v>
      </c>
      <c r="W81" s="20">
        <v>45904</v>
      </c>
      <c r="X81" t="s">
        <v>277</v>
      </c>
      <c r="Y81" s="23">
        <v>5.9</v>
      </c>
      <c r="Z81" s="23">
        <v>5.4538461538461496</v>
      </c>
      <c r="AA81" s="23">
        <v>5.6769230769230798</v>
      </c>
      <c r="AC81" s="19"/>
      <c r="AD81" s="20">
        <v>45721</v>
      </c>
      <c r="AE81" t="s">
        <v>557</v>
      </c>
      <c r="AF81">
        <v>812.79739082100002</v>
      </c>
      <c r="AG81" s="84">
        <f>DATE(YEAR(His53_DataTT[[#This Row],[RptDate]]),MONTH(His53_DataTT[[#This Row],[RptDate]]),1)</f>
        <v>45717</v>
      </c>
      <c r="AO81" s="14"/>
    </row>
    <row r="82" spans="2:41" x14ac:dyDescent="0.3">
      <c r="B82" s="93">
        <v>46008</v>
      </c>
      <c r="C82" s="23">
        <v>6.8642857142857103</v>
      </c>
      <c r="D82" s="23">
        <v>6.62307692307692</v>
      </c>
      <c r="E82" s="23">
        <v>6.7312500000000002</v>
      </c>
      <c r="F82" s="23">
        <v>6.8153846153846196</v>
      </c>
      <c r="G82" s="23">
        <v>6.85769230769231</v>
      </c>
      <c r="H82" s="23">
        <v>6.87307692307692</v>
      </c>
      <c r="I82" s="23">
        <v>6.9115384615384601</v>
      </c>
      <c r="J82" s="23">
        <v>6.9692307692307702</v>
      </c>
      <c r="K82" s="23">
        <v>7.0076923076923103</v>
      </c>
      <c r="L82" s="23">
        <v>7.0384615384615401</v>
      </c>
      <c r="M82" s="23">
        <v>7.0846153846153896</v>
      </c>
      <c r="N82" s="23">
        <v>7.10769230769231</v>
      </c>
      <c r="Q82" s="93">
        <v>46259</v>
      </c>
      <c r="R82" t="s">
        <v>1390</v>
      </c>
      <c r="S82" t="s">
        <v>997</v>
      </c>
      <c r="T82" s="14">
        <v>397.61059999999998</v>
      </c>
      <c r="W82" s="20">
        <v>45904</v>
      </c>
      <c r="X82" t="s">
        <v>278</v>
      </c>
      <c r="Y82" s="23">
        <v>5.9730769230769196</v>
      </c>
      <c r="Z82" s="23">
        <v>5.5269230769230804</v>
      </c>
      <c r="AA82" s="23">
        <v>5.75</v>
      </c>
      <c r="AC82" s="19"/>
      <c r="AD82" s="20">
        <v>45722</v>
      </c>
      <c r="AE82" t="s">
        <v>479</v>
      </c>
      <c r="AF82">
        <v>266.17388738</v>
      </c>
      <c r="AG82" s="84">
        <f>DATE(YEAR(His53_DataTT[[#This Row],[RptDate]]),MONTH(His53_DataTT[[#This Row],[RptDate]]),1)</f>
        <v>45717</v>
      </c>
      <c r="AO82" s="14"/>
    </row>
    <row r="83" spans="2:41" x14ac:dyDescent="0.3">
      <c r="B83" s="93">
        <v>46009</v>
      </c>
      <c r="C83" s="23">
        <v>6.8642857142857103</v>
      </c>
      <c r="D83" s="23">
        <v>6.62307692307692</v>
      </c>
      <c r="E83" s="23">
        <v>6.7312500000000002</v>
      </c>
      <c r="F83" s="23">
        <v>6.8076923076923102</v>
      </c>
      <c r="G83" s="23">
        <v>6.85769230769231</v>
      </c>
      <c r="H83" s="23">
        <v>6.87307692307692</v>
      </c>
      <c r="I83" s="23">
        <v>6.9115384615384601</v>
      </c>
      <c r="J83" s="23">
        <v>6.9692307692307702</v>
      </c>
      <c r="K83" s="23">
        <v>7.0076923076923103</v>
      </c>
      <c r="L83" s="23">
        <v>7.0384615384615401</v>
      </c>
      <c r="M83" s="23">
        <v>7.0846153846153896</v>
      </c>
      <c r="N83" s="23">
        <v>7.10769230769231</v>
      </c>
      <c r="Q83" s="93">
        <v>46258</v>
      </c>
      <c r="R83" t="s">
        <v>364</v>
      </c>
      <c r="S83" t="s">
        <v>997</v>
      </c>
      <c r="T83" s="14">
        <v>30449.1</v>
      </c>
      <c r="W83" s="20">
        <v>45904</v>
      </c>
      <c r="X83" t="s">
        <v>279</v>
      </c>
      <c r="Y83" s="23">
        <v>6.0153846153846198</v>
      </c>
      <c r="Z83" s="23">
        <v>5.5692307692307699</v>
      </c>
      <c r="AA83" s="23">
        <v>5.7923076923076904</v>
      </c>
      <c r="AC83" s="19"/>
      <c r="AD83" s="20">
        <v>45722</v>
      </c>
      <c r="AE83" t="s">
        <v>557</v>
      </c>
      <c r="AF83">
        <v>1013.065633346</v>
      </c>
      <c r="AG83" s="84">
        <f>DATE(YEAR(His53_DataTT[[#This Row],[RptDate]]),MONTH(His53_DataTT[[#This Row],[RptDate]]),1)</f>
        <v>45717</v>
      </c>
      <c r="AO83" s="14"/>
    </row>
    <row r="84" spans="2:41" x14ac:dyDescent="0.3">
      <c r="B84" s="93">
        <v>46010</v>
      </c>
      <c r="C84" s="23">
        <v>6.8928571428571397</v>
      </c>
      <c r="D84" s="23">
        <v>6.6384615384615397</v>
      </c>
      <c r="E84" s="23">
        <v>6.78125</v>
      </c>
      <c r="F84" s="23">
        <v>6.8230769230769202</v>
      </c>
      <c r="G84" s="23">
        <v>6.87307692307692</v>
      </c>
      <c r="H84" s="23">
        <v>6.8884615384615397</v>
      </c>
      <c r="I84" s="23">
        <v>6.9269230769230798</v>
      </c>
      <c r="J84" s="23">
        <v>6.98461538461539</v>
      </c>
      <c r="K84" s="23">
        <v>7.0230769230769203</v>
      </c>
      <c r="L84" s="23">
        <v>7.0538461538461599</v>
      </c>
      <c r="M84" s="23">
        <v>7.1</v>
      </c>
      <c r="N84" s="23">
        <v>7.12307692307692</v>
      </c>
      <c r="Q84" s="93">
        <v>46258</v>
      </c>
      <c r="R84" t="s">
        <v>496</v>
      </c>
      <c r="S84" t="s">
        <v>997</v>
      </c>
      <c r="T84" s="14">
        <v>19001.099999999999</v>
      </c>
      <c r="W84" s="20">
        <v>45904</v>
      </c>
      <c r="X84" t="s">
        <v>280</v>
      </c>
      <c r="Y84" s="23">
        <v>6.1307692307692303</v>
      </c>
      <c r="Z84" s="23">
        <v>5.6846153846153902</v>
      </c>
      <c r="AA84" s="23">
        <v>5.9076923076923098</v>
      </c>
      <c r="AC84" s="19"/>
      <c r="AD84" s="20">
        <v>45723</v>
      </c>
      <c r="AE84" t="s">
        <v>479</v>
      </c>
      <c r="AF84">
        <v>524.77265618399997</v>
      </c>
      <c r="AG84" s="84">
        <f>DATE(YEAR(His53_DataTT[[#This Row],[RptDate]]),MONTH(His53_DataTT[[#This Row],[RptDate]]),1)</f>
        <v>45717</v>
      </c>
      <c r="AO84" s="14"/>
    </row>
    <row r="85" spans="2:41" x14ac:dyDescent="0.3">
      <c r="B85" s="93">
        <v>46013</v>
      </c>
      <c r="C85" s="23">
        <v>6.96428571428571</v>
      </c>
      <c r="D85" s="23">
        <v>6.7269230769230797</v>
      </c>
      <c r="E85" s="23">
        <v>6.9187500000000002</v>
      </c>
      <c r="F85" s="23">
        <v>6.87307692307692</v>
      </c>
      <c r="G85" s="23">
        <v>6.9115384615384601</v>
      </c>
      <c r="H85" s="23">
        <v>6.9269230769230798</v>
      </c>
      <c r="I85" s="23">
        <v>6.9730769230769196</v>
      </c>
      <c r="J85" s="23">
        <v>7.0153846153846198</v>
      </c>
      <c r="K85" s="23">
        <v>7.0615384615384604</v>
      </c>
      <c r="L85" s="23">
        <v>7.1</v>
      </c>
      <c r="M85" s="23">
        <v>7.1538461538461497</v>
      </c>
      <c r="N85" s="23">
        <v>7.1692307692307704</v>
      </c>
      <c r="Q85" s="93">
        <v>46258</v>
      </c>
      <c r="R85" t="s">
        <v>1388</v>
      </c>
      <c r="S85" t="s">
        <v>997</v>
      </c>
      <c r="T85" s="14">
        <v>13397.6106</v>
      </c>
      <c r="W85" s="20">
        <v>45904</v>
      </c>
      <c r="X85" t="s">
        <v>281</v>
      </c>
      <c r="Y85" s="23">
        <v>6.2076923076923096</v>
      </c>
      <c r="Z85" s="23">
        <v>5.7692307692307701</v>
      </c>
      <c r="AA85" s="23">
        <v>5.9884615384615403</v>
      </c>
      <c r="AC85" s="19"/>
      <c r="AD85" s="20">
        <v>45723</v>
      </c>
      <c r="AE85" t="s">
        <v>557</v>
      </c>
      <c r="AF85">
        <v>1006.192743198</v>
      </c>
      <c r="AG85" s="84">
        <f>DATE(YEAR(His53_DataTT[[#This Row],[RptDate]]),MONTH(His53_DataTT[[#This Row],[RptDate]]),1)</f>
        <v>45717</v>
      </c>
      <c r="AO85" s="14"/>
    </row>
    <row r="86" spans="2:41" x14ac:dyDescent="0.3">
      <c r="B86" s="93">
        <v>46014</v>
      </c>
      <c r="C86" s="23">
        <v>7.0785714285714301</v>
      </c>
      <c r="D86" s="23">
        <v>6.7576923076923103</v>
      </c>
      <c r="E86" s="23">
        <v>6.9437499999999996</v>
      </c>
      <c r="F86" s="23">
        <v>6.9115384615384601</v>
      </c>
      <c r="G86" s="23">
        <v>6.9269230769230798</v>
      </c>
      <c r="H86" s="23">
        <v>6.9423076923076898</v>
      </c>
      <c r="I86" s="23">
        <v>6.9884615384615403</v>
      </c>
      <c r="J86" s="23">
        <v>7.0307692307692298</v>
      </c>
      <c r="K86" s="23">
        <v>7.0769230769230802</v>
      </c>
      <c r="L86" s="23">
        <v>7.12307692307692</v>
      </c>
      <c r="M86" s="23">
        <v>7.1769230769230798</v>
      </c>
      <c r="N86" s="23">
        <v>7.1923076923076898</v>
      </c>
      <c r="Q86" s="93">
        <v>46258</v>
      </c>
      <c r="R86" t="s">
        <v>1389</v>
      </c>
      <c r="S86" t="s">
        <v>997</v>
      </c>
      <c r="T86" s="14">
        <v>13000</v>
      </c>
      <c r="W86" s="20">
        <v>45905</v>
      </c>
      <c r="X86" t="s">
        <v>270</v>
      </c>
      <c r="Y86" s="23">
        <v>5.53125</v>
      </c>
      <c r="Z86" s="23">
        <v>5.1375000000000002</v>
      </c>
      <c r="AA86" s="23">
        <v>5.3343749999999996</v>
      </c>
      <c r="AC86" s="19"/>
      <c r="AD86" s="20">
        <v>45726</v>
      </c>
      <c r="AE86" t="s">
        <v>479</v>
      </c>
      <c r="AF86">
        <v>543.51172860500003</v>
      </c>
      <c r="AG86" s="84">
        <f>DATE(YEAR(His53_DataTT[[#This Row],[RptDate]]),MONTH(His53_DataTT[[#This Row],[RptDate]]),1)</f>
        <v>45717</v>
      </c>
      <c r="AO86" s="14"/>
    </row>
    <row r="87" spans="2:41" x14ac:dyDescent="0.3">
      <c r="B87" s="93">
        <v>46015</v>
      </c>
      <c r="C87" s="23">
        <v>7.1357142857142897</v>
      </c>
      <c r="D87" s="23">
        <v>6.7346153846153802</v>
      </c>
      <c r="E87" s="23">
        <v>6.96875</v>
      </c>
      <c r="F87" s="23">
        <v>6.9192307692307704</v>
      </c>
      <c r="G87" s="23">
        <v>6.9730769230769196</v>
      </c>
      <c r="H87" s="23">
        <v>6.9884615384615403</v>
      </c>
      <c r="I87" s="23">
        <v>7.0346153846153898</v>
      </c>
      <c r="J87" s="23">
        <v>7.0769230769230802</v>
      </c>
      <c r="K87" s="23">
        <v>7.1153846153846203</v>
      </c>
      <c r="L87" s="23">
        <v>7.1538461538461497</v>
      </c>
      <c r="M87" s="23">
        <v>7.1923076923076898</v>
      </c>
      <c r="N87" s="23">
        <v>7.2230769230769196</v>
      </c>
      <c r="Q87" s="93">
        <v>46258</v>
      </c>
      <c r="R87" t="s">
        <v>1390</v>
      </c>
      <c r="S87" t="s">
        <v>997</v>
      </c>
      <c r="T87" s="14">
        <v>397.61059999999998</v>
      </c>
      <c r="W87" s="20">
        <v>45905</v>
      </c>
      <c r="X87" t="s">
        <v>271</v>
      </c>
      <c r="Y87" s="23">
        <v>5.5230769230769203</v>
      </c>
      <c r="Z87" s="23">
        <v>5.0884615384615399</v>
      </c>
      <c r="AA87" s="23">
        <v>5.3057692307692301</v>
      </c>
      <c r="AC87" s="19"/>
      <c r="AD87" s="20">
        <v>45726</v>
      </c>
      <c r="AE87" t="s">
        <v>557</v>
      </c>
      <c r="AF87">
        <v>808.838056392</v>
      </c>
      <c r="AG87" s="84">
        <f>DATE(YEAR(His53_DataTT[[#This Row],[RptDate]]),MONTH(His53_DataTT[[#This Row],[RptDate]]),1)</f>
        <v>45717</v>
      </c>
      <c r="AO87" s="14"/>
    </row>
    <row r="88" spans="2:41" x14ac:dyDescent="0.3">
      <c r="B88" s="93">
        <v>46016</v>
      </c>
      <c r="C88" s="23">
        <v>7.0833333333333304</v>
      </c>
      <c r="D88" s="23">
        <v>6.8038461538461501</v>
      </c>
      <c r="E88" s="23">
        <v>7.0187499999999998</v>
      </c>
      <c r="F88" s="23">
        <v>7.0115384615384597</v>
      </c>
      <c r="G88" s="23">
        <v>7.0115384615384597</v>
      </c>
      <c r="H88" s="23">
        <v>7.0346153846153898</v>
      </c>
      <c r="I88" s="23">
        <v>7.0807692307692296</v>
      </c>
      <c r="J88" s="23">
        <v>7.12307692307692</v>
      </c>
      <c r="K88" s="23">
        <v>7.1615384615384601</v>
      </c>
      <c r="L88" s="23">
        <v>7.2</v>
      </c>
      <c r="M88" s="23">
        <v>7.2384615384615403</v>
      </c>
      <c r="N88" s="23">
        <v>7.2692307692307701</v>
      </c>
      <c r="Q88" s="93">
        <v>46258</v>
      </c>
      <c r="R88" t="s">
        <v>479</v>
      </c>
      <c r="S88" t="s">
        <v>399</v>
      </c>
      <c r="T88" s="14">
        <v>10969.649769978199</v>
      </c>
      <c r="W88" s="20">
        <v>45905</v>
      </c>
      <c r="X88" t="s">
        <v>272</v>
      </c>
      <c r="Y88" s="23">
        <v>5.5884615384615399</v>
      </c>
      <c r="Z88" s="23">
        <v>5.1538461538461604</v>
      </c>
      <c r="AA88" s="23">
        <v>5.3711538461538497</v>
      </c>
      <c r="AC88" s="19"/>
      <c r="AD88" s="20">
        <v>45727</v>
      </c>
      <c r="AE88" t="s">
        <v>479</v>
      </c>
      <c r="AF88">
        <v>1021.4524250539999</v>
      </c>
      <c r="AG88" s="84">
        <f>DATE(YEAR(His53_DataTT[[#This Row],[RptDate]]),MONTH(His53_DataTT[[#This Row],[RptDate]]),1)</f>
        <v>45717</v>
      </c>
      <c r="AO88" s="14"/>
    </row>
    <row r="89" spans="2:41" x14ac:dyDescent="0.3">
      <c r="B89" s="93">
        <v>46017</v>
      </c>
      <c r="C89" s="23">
        <v>7.0750000000000002</v>
      </c>
      <c r="D89" s="23">
        <v>6.7961538461538504</v>
      </c>
      <c r="E89" s="23">
        <v>7.0437500000000002</v>
      </c>
      <c r="F89" s="23">
        <v>6.9423076923076898</v>
      </c>
      <c r="G89" s="23">
        <v>7.0192307692307701</v>
      </c>
      <c r="H89" s="23">
        <v>7.0346153846153898</v>
      </c>
      <c r="I89" s="23">
        <v>7.0807692307692296</v>
      </c>
      <c r="J89" s="23">
        <v>7.12307692307692</v>
      </c>
      <c r="K89" s="23">
        <v>7.1538461538461497</v>
      </c>
      <c r="L89" s="23">
        <v>7.1923076923076898</v>
      </c>
      <c r="M89" s="23">
        <v>7.2307692307692299</v>
      </c>
      <c r="N89" s="23">
        <v>7.2615384615384597</v>
      </c>
      <c r="Q89" s="93">
        <v>46258</v>
      </c>
      <c r="R89" t="s">
        <v>364</v>
      </c>
      <c r="S89" t="s">
        <v>399</v>
      </c>
      <c r="T89" s="14">
        <v>26949.1</v>
      </c>
      <c r="W89" s="20">
        <v>45905</v>
      </c>
      <c r="X89" t="s">
        <v>273</v>
      </c>
      <c r="Y89" s="23">
        <v>5.6769230769230798</v>
      </c>
      <c r="Z89" s="23">
        <v>5.2423076923076897</v>
      </c>
      <c r="AA89" s="23">
        <v>5.4596153846153799</v>
      </c>
      <c r="AC89" s="19"/>
      <c r="AD89" s="20">
        <v>45727</v>
      </c>
      <c r="AE89" t="s">
        <v>557</v>
      </c>
      <c r="AF89">
        <v>1125.8103485889999</v>
      </c>
      <c r="AG89" s="84">
        <f>DATE(YEAR(His53_DataTT[[#This Row],[RptDate]]),MONTH(His53_DataTT[[#This Row],[RptDate]]),1)</f>
        <v>45717</v>
      </c>
      <c r="AO89" s="14"/>
    </row>
    <row r="90" spans="2:41" x14ac:dyDescent="0.3">
      <c r="B90" s="93">
        <v>46020</v>
      </c>
      <c r="C90" s="23">
        <v>7.1</v>
      </c>
      <c r="D90" s="23">
        <v>6.7961538461538504</v>
      </c>
      <c r="E90" s="23">
        <v>6.9749999999999996</v>
      </c>
      <c r="F90" s="23">
        <v>6.9576923076923096</v>
      </c>
      <c r="G90" s="23">
        <v>7.0115384615384597</v>
      </c>
      <c r="H90" s="23">
        <v>7.0269230769230804</v>
      </c>
      <c r="I90" s="23">
        <v>7.0730769230769202</v>
      </c>
      <c r="J90" s="23">
        <v>7.1153846153846096</v>
      </c>
      <c r="K90" s="23">
        <v>7.1538461538461497</v>
      </c>
      <c r="L90" s="23">
        <v>7.1923076923076898</v>
      </c>
      <c r="M90" s="23">
        <v>7.2307692307692299</v>
      </c>
      <c r="N90" s="23">
        <v>7.2615384615384597</v>
      </c>
      <c r="Q90" s="93">
        <v>46258</v>
      </c>
      <c r="R90" t="s">
        <v>491</v>
      </c>
      <c r="S90" t="s">
        <v>399</v>
      </c>
      <c r="T90" s="14">
        <v>397.61059999999998</v>
      </c>
      <c r="W90" s="20">
        <v>45905</v>
      </c>
      <c r="X90" t="s">
        <v>274</v>
      </c>
      <c r="Y90" s="23">
        <v>5.7192307692307702</v>
      </c>
      <c r="Z90" s="23">
        <v>5.2846153846153898</v>
      </c>
      <c r="AA90" s="23">
        <v>5.50192307692308</v>
      </c>
      <c r="AC90" s="19"/>
      <c r="AD90" s="20">
        <v>45728</v>
      </c>
      <c r="AE90" t="s">
        <v>479</v>
      </c>
      <c r="AF90">
        <v>2159.555465164</v>
      </c>
      <c r="AG90" s="84">
        <f>DATE(YEAR(His53_DataTT[[#This Row],[RptDate]]),MONTH(His53_DataTT[[#This Row],[RptDate]]),1)</f>
        <v>45717</v>
      </c>
      <c r="AO90" s="14"/>
    </row>
    <row r="91" spans="2:41" x14ac:dyDescent="0.3">
      <c r="B91" s="93">
        <v>46021</v>
      </c>
      <c r="C91" s="23">
        <v>7.1</v>
      </c>
      <c r="D91" s="23">
        <v>6.7961538461538504</v>
      </c>
      <c r="E91" s="23">
        <v>6.9749999999999996</v>
      </c>
      <c r="F91" s="23">
        <v>6.9576923076923096</v>
      </c>
      <c r="G91" s="23">
        <v>7.0115384615384597</v>
      </c>
      <c r="H91" s="23">
        <v>7.0269230769230804</v>
      </c>
      <c r="I91" s="23">
        <v>7.0730769230769202</v>
      </c>
      <c r="J91" s="23">
        <v>7.1153846153846096</v>
      </c>
      <c r="K91" s="23">
        <v>7.1538461538461497</v>
      </c>
      <c r="L91" s="23">
        <v>7.1923076923076898</v>
      </c>
      <c r="M91" s="23">
        <v>7.2307692307692299</v>
      </c>
      <c r="N91" s="23">
        <v>7.2615384615384597</v>
      </c>
      <c r="Q91" s="93">
        <v>46258</v>
      </c>
      <c r="R91" t="s">
        <v>492</v>
      </c>
      <c r="S91" t="s">
        <v>399</v>
      </c>
      <c r="T91" s="14">
        <v>10000</v>
      </c>
      <c r="W91" s="20">
        <v>45905</v>
      </c>
      <c r="X91" t="s">
        <v>275</v>
      </c>
      <c r="Y91" s="23">
        <v>5.7307692307692299</v>
      </c>
      <c r="Z91" s="23">
        <v>5.2961538461538504</v>
      </c>
      <c r="AA91" s="23">
        <v>5.5134615384615397</v>
      </c>
      <c r="AC91" s="19"/>
      <c r="AD91" s="20">
        <v>45728</v>
      </c>
      <c r="AE91" t="s">
        <v>557</v>
      </c>
      <c r="AF91">
        <v>2377.38498256</v>
      </c>
      <c r="AG91" s="84">
        <f>DATE(YEAR(His53_DataTT[[#This Row],[RptDate]]),MONTH(His53_DataTT[[#This Row],[RptDate]]),1)</f>
        <v>45717</v>
      </c>
      <c r="AO91" s="14"/>
    </row>
    <row r="92" spans="2:41" x14ac:dyDescent="0.3">
      <c r="B92" s="93">
        <v>46022</v>
      </c>
      <c r="C92" s="23">
        <v>7.15</v>
      </c>
      <c r="D92" s="23">
        <v>6.7961538461538504</v>
      </c>
      <c r="E92" s="23">
        <v>6.875</v>
      </c>
      <c r="F92" s="23">
        <v>6.9576923076923096</v>
      </c>
      <c r="G92" s="23">
        <v>7.0115384615384597</v>
      </c>
      <c r="H92" s="23">
        <v>7.0269230769230804</v>
      </c>
      <c r="I92" s="23">
        <v>7.0730769230769202</v>
      </c>
      <c r="J92" s="23">
        <v>7.1153846153846096</v>
      </c>
      <c r="K92" s="23">
        <v>7.1538461538461497</v>
      </c>
      <c r="L92" s="23">
        <v>7.1923076923076898</v>
      </c>
      <c r="M92" s="23">
        <v>7.2307692307692299</v>
      </c>
      <c r="N92" s="23">
        <v>7.2615384615384597</v>
      </c>
      <c r="Q92" s="93">
        <v>46258</v>
      </c>
      <c r="R92" t="s">
        <v>1438</v>
      </c>
      <c r="S92" t="s">
        <v>399</v>
      </c>
      <c r="T92" s="14">
        <v>572.03916997814997</v>
      </c>
      <c r="W92" s="20">
        <v>45905</v>
      </c>
      <c r="X92" t="s">
        <v>276</v>
      </c>
      <c r="Y92" s="23">
        <v>5.7923076923076904</v>
      </c>
      <c r="Z92" s="23">
        <v>5.3538461538461597</v>
      </c>
      <c r="AA92" s="23">
        <v>5.5730769230769202</v>
      </c>
      <c r="AC92" s="19"/>
      <c r="AD92" s="20">
        <v>45729</v>
      </c>
      <c r="AE92" t="s">
        <v>479</v>
      </c>
      <c r="AF92">
        <v>3823.2592817230002</v>
      </c>
      <c r="AG92" s="84">
        <f>DATE(YEAR(His53_DataTT[[#This Row],[RptDate]]),MONTH(His53_DataTT[[#This Row],[RptDate]]),1)</f>
        <v>45717</v>
      </c>
      <c r="AO92" s="14"/>
    </row>
    <row r="93" spans="2:41" x14ac:dyDescent="0.3">
      <c r="B93" s="93">
        <v>46027</v>
      </c>
      <c r="C93" s="23">
        <v>7.1124999999999998</v>
      </c>
      <c r="D93" s="23">
        <v>7.0346153846153898</v>
      </c>
      <c r="E93" s="23">
        <v>7.0769230769230802</v>
      </c>
      <c r="F93" s="23">
        <v>7.1653846153846201</v>
      </c>
      <c r="G93" s="23">
        <v>7.1884615384615396</v>
      </c>
      <c r="H93" s="23">
        <v>7.2423076923076897</v>
      </c>
      <c r="I93" s="23">
        <v>7.2884615384615401</v>
      </c>
      <c r="J93" s="23">
        <v>7.3269230769230802</v>
      </c>
      <c r="K93" s="23">
        <v>7.35</v>
      </c>
      <c r="L93" s="23">
        <v>7.3807692307692303</v>
      </c>
      <c r="M93" s="23">
        <v>7.4038461538461604</v>
      </c>
      <c r="N93" s="23">
        <v>7.4269230769230798</v>
      </c>
      <c r="Q93" s="93">
        <v>46258</v>
      </c>
      <c r="R93" t="s">
        <v>496</v>
      </c>
      <c r="S93" t="s">
        <v>399</v>
      </c>
      <c r="T93" s="14">
        <v>15501.1</v>
      </c>
      <c r="W93" s="20">
        <v>45905</v>
      </c>
      <c r="X93" t="s">
        <v>277</v>
      </c>
      <c r="Y93" s="23">
        <v>5.9</v>
      </c>
      <c r="Z93" s="23">
        <v>5.4538461538461496</v>
      </c>
      <c r="AA93" s="23">
        <v>5.6769230769230798</v>
      </c>
      <c r="AC93" s="19"/>
      <c r="AD93" s="20">
        <v>45729</v>
      </c>
      <c r="AE93" t="s">
        <v>557</v>
      </c>
      <c r="AF93">
        <v>2360.756352896</v>
      </c>
      <c r="AG93" s="84">
        <f>DATE(YEAR(His53_DataTT[[#This Row],[RptDate]]),MONTH(His53_DataTT[[#This Row],[RptDate]]),1)</f>
        <v>45717</v>
      </c>
      <c r="AO93" s="14"/>
    </row>
    <row r="94" spans="2:41" x14ac:dyDescent="0.3">
      <c r="B94" s="93">
        <v>46028</v>
      </c>
      <c r="C94" s="23">
        <v>7.0125000000000002</v>
      </c>
      <c r="D94" s="23">
        <v>7.0115384615384597</v>
      </c>
      <c r="E94" s="23">
        <v>7.0576923076923102</v>
      </c>
      <c r="F94" s="23">
        <v>7.1346153846153904</v>
      </c>
      <c r="G94" s="23">
        <v>7.1730769230769198</v>
      </c>
      <c r="H94" s="23">
        <v>7.2192307692307702</v>
      </c>
      <c r="I94" s="23">
        <v>7.2730769230769203</v>
      </c>
      <c r="J94" s="23">
        <v>7.3192307692307699</v>
      </c>
      <c r="K94" s="23">
        <v>7.3269230769230802</v>
      </c>
      <c r="L94" s="23">
        <v>7.3653846153846203</v>
      </c>
      <c r="M94" s="23">
        <v>7.3884615384615397</v>
      </c>
      <c r="N94" s="23">
        <v>7.4115384615384601</v>
      </c>
      <c r="Q94" s="93">
        <v>46258</v>
      </c>
      <c r="R94" t="s">
        <v>497</v>
      </c>
      <c r="S94" t="s">
        <v>399</v>
      </c>
      <c r="T94" s="14">
        <v>397.61059999999998</v>
      </c>
      <c r="W94" s="20">
        <v>45905</v>
      </c>
      <c r="X94" t="s">
        <v>278</v>
      </c>
      <c r="Y94" s="23">
        <v>5.9730769230769196</v>
      </c>
      <c r="Z94" s="23">
        <v>5.5269230769230804</v>
      </c>
      <c r="AA94" s="23">
        <v>5.75</v>
      </c>
      <c r="AC94" s="19"/>
      <c r="AD94" s="20">
        <v>45730</v>
      </c>
      <c r="AE94" t="s">
        <v>479</v>
      </c>
      <c r="AF94">
        <v>4463.0492606289999</v>
      </c>
      <c r="AG94" s="84">
        <f>DATE(YEAR(His53_DataTT[[#This Row],[RptDate]]),MONTH(His53_DataTT[[#This Row],[RptDate]]),1)</f>
        <v>45717</v>
      </c>
      <c r="AO94" s="14"/>
    </row>
    <row r="95" spans="2:41" x14ac:dyDescent="0.3">
      <c r="B95" s="93">
        <v>46029</v>
      </c>
      <c r="C95" s="23">
        <v>7.0125000000000002</v>
      </c>
      <c r="D95" s="23">
        <v>6.9884615384615403</v>
      </c>
      <c r="E95" s="23">
        <v>7.0576923076923102</v>
      </c>
      <c r="F95" s="23">
        <v>7.1038461538461597</v>
      </c>
      <c r="G95" s="23">
        <v>7.14230769230769</v>
      </c>
      <c r="H95" s="23">
        <v>7.1884615384615396</v>
      </c>
      <c r="I95" s="23">
        <v>7.25</v>
      </c>
      <c r="J95" s="23">
        <v>7.2961538461538504</v>
      </c>
      <c r="K95" s="23">
        <v>7.3115384615384604</v>
      </c>
      <c r="L95" s="23">
        <v>7.35</v>
      </c>
      <c r="M95" s="23">
        <v>7.3884615384615397</v>
      </c>
      <c r="N95" s="23">
        <v>7.4269230769230798</v>
      </c>
      <c r="Q95" s="93">
        <v>46258</v>
      </c>
      <c r="R95" t="s">
        <v>498</v>
      </c>
      <c r="S95" t="s">
        <v>399</v>
      </c>
      <c r="T95" s="14">
        <v>10000</v>
      </c>
      <c r="W95" s="20">
        <v>45905</v>
      </c>
      <c r="X95" t="s">
        <v>279</v>
      </c>
      <c r="Y95" s="23">
        <v>6.0153846153846198</v>
      </c>
      <c r="Z95" s="23">
        <v>5.5692307692307699</v>
      </c>
      <c r="AA95" s="23">
        <v>5.7923076923076904</v>
      </c>
      <c r="AC95" s="19"/>
      <c r="AD95" s="20">
        <v>45730</v>
      </c>
      <c r="AE95" t="s">
        <v>557</v>
      </c>
      <c r="AF95">
        <v>979.82092488199999</v>
      </c>
      <c r="AG95" s="84">
        <f>DATE(YEAR(His53_DataTT[[#This Row],[RptDate]]),MONTH(His53_DataTT[[#This Row],[RptDate]]),1)</f>
        <v>45717</v>
      </c>
      <c r="AO95" s="14"/>
    </row>
    <row r="96" spans="2:41" x14ac:dyDescent="0.3">
      <c r="B96" s="93">
        <v>46030</v>
      </c>
      <c r="C96" s="23">
        <v>6.95</v>
      </c>
      <c r="D96" s="23">
        <v>6.9807692307692299</v>
      </c>
      <c r="E96" s="23">
        <v>7.05</v>
      </c>
      <c r="F96" s="23">
        <v>7.0884615384615399</v>
      </c>
      <c r="G96" s="23">
        <v>7.12692307692308</v>
      </c>
      <c r="H96" s="23">
        <v>7.1730769230769198</v>
      </c>
      <c r="I96" s="23">
        <v>7.23461538461539</v>
      </c>
      <c r="J96" s="23">
        <v>7.2807692307692298</v>
      </c>
      <c r="K96" s="23">
        <v>7.2961538461538504</v>
      </c>
      <c r="L96" s="23">
        <v>7.3346153846153896</v>
      </c>
      <c r="M96" s="23">
        <v>7.37307692307692</v>
      </c>
      <c r="N96" s="23">
        <v>7.3961538461538501</v>
      </c>
      <c r="Q96" s="93">
        <v>46258</v>
      </c>
      <c r="R96" t="s">
        <v>494</v>
      </c>
      <c r="S96" t="s">
        <v>399</v>
      </c>
      <c r="T96" s="14">
        <v>0</v>
      </c>
      <c r="W96" s="20">
        <v>45905</v>
      </c>
      <c r="X96" t="s">
        <v>280</v>
      </c>
      <c r="Y96" s="23">
        <v>6.1307692307692303</v>
      </c>
      <c r="Z96" s="23">
        <v>5.6846153846153902</v>
      </c>
      <c r="AA96" s="23">
        <v>5.9076923076923098</v>
      </c>
      <c r="AC96" s="19"/>
      <c r="AD96" s="20">
        <v>45733</v>
      </c>
      <c r="AE96" t="s">
        <v>479</v>
      </c>
      <c r="AF96">
        <v>5591.7065597150004</v>
      </c>
      <c r="AG96" s="84">
        <f>DATE(YEAR(His53_DataTT[[#This Row],[RptDate]]),MONTH(His53_DataTT[[#This Row],[RptDate]]),1)</f>
        <v>45717</v>
      </c>
      <c r="AO96" s="14"/>
    </row>
    <row r="97" spans="2:41" x14ac:dyDescent="0.3">
      <c r="B97" s="93">
        <v>46031</v>
      </c>
      <c r="C97" s="23">
        <v>6.875</v>
      </c>
      <c r="D97" s="23">
        <v>6.9576923076923096</v>
      </c>
      <c r="E97" s="23">
        <v>7.0269230769230804</v>
      </c>
      <c r="F97" s="23">
        <v>7.0884615384615399</v>
      </c>
      <c r="G97" s="23">
        <v>7.12692307692308</v>
      </c>
      <c r="H97" s="23">
        <v>7.1730769230769198</v>
      </c>
      <c r="I97" s="23">
        <v>7.23461538461539</v>
      </c>
      <c r="J97" s="23">
        <v>7.2807692307692298</v>
      </c>
      <c r="K97" s="23">
        <v>7.2961538461538504</v>
      </c>
      <c r="L97" s="23">
        <v>7.3346153846153896</v>
      </c>
      <c r="M97" s="23">
        <v>7.37307692307692</v>
      </c>
      <c r="N97" s="23">
        <v>7.3961538461538501</v>
      </c>
      <c r="Q97" s="93">
        <v>46258</v>
      </c>
      <c r="R97" t="s">
        <v>495</v>
      </c>
      <c r="S97" t="s">
        <v>399</v>
      </c>
      <c r="T97" s="14">
        <v>0</v>
      </c>
      <c r="W97" s="20">
        <v>45905</v>
      </c>
      <c r="X97" t="s">
        <v>281</v>
      </c>
      <c r="Y97" s="23">
        <v>6.2076923076923096</v>
      </c>
      <c r="Z97" s="23">
        <v>5.7692307692307701</v>
      </c>
      <c r="AA97" s="23">
        <v>5.9884615384615403</v>
      </c>
      <c r="AC97" s="19"/>
      <c r="AD97" s="20">
        <v>45733</v>
      </c>
      <c r="AE97" t="s">
        <v>557</v>
      </c>
      <c r="AF97">
        <v>1427.90012269</v>
      </c>
      <c r="AG97" s="84">
        <f>DATE(YEAR(His53_DataTT[[#This Row],[RptDate]]),MONTH(His53_DataTT[[#This Row],[RptDate]]),1)</f>
        <v>45717</v>
      </c>
      <c r="AO97" s="14"/>
    </row>
    <row r="98" spans="2:41" x14ac:dyDescent="0.3">
      <c r="B98" s="93">
        <v>46034</v>
      </c>
      <c r="C98" s="23">
        <v>6.8875000000000002</v>
      </c>
      <c r="D98" s="23">
        <v>6.9576923076923096</v>
      </c>
      <c r="E98" s="23">
        <v>7.15</v>
      </c>
      <c r="F98" s="23">
        <v>7.0884615384615399</v>
      </c>
      <c r="G98" s="23">
        <v>7.12692307692308</v>
      </c>
      <c r="H98" s="23">
        <v>7.1730769230769198</v>
      </c>
      <c r="I98" s="23">
        <v>7.23461538461539</v>
      </c>
      <c r="J98" s="23">
        <v>7.2807692307692298</v>
      </c>
      <c r="K98" s="23">
        <v>7.2961538461538504</v>
      </c>
      <c r="L98" s="23">
        <v>7.3346153846153896</v>
      </c>
      <c r="M98" s="23">
        <v>7.37307692307692</v>
      </c>
      <c r="N98" s="23">
        <v>7.3961538461538501</v>
      </c>
      <c r="Q98" s="93">
        <v>46258</v>
      </c>
      <c r="R98" t="s">
        <v>493</v>
      </c>
      <c r="S98" t="s">
        <v>399</v>
      </c>
      <c r="T98" s="14">
        <v>0</v>
      </c>
      <c r="W98" s="20">
        <v>45908</v>
      </c>
      <c r="X98" t="s">
        <v>270</v>
      </c>
      <c r="Y98" s="23">
        <v>5.46428571428571</v>
      </c>
      <c r="Z98" s="23">
        <v>5.0857142857142899</v>
      </c>
      <c r="AA98" s="23">
        <v>5.2750000000000004</v>
      </c>
      <c r="AC98" s="19"/>
      <c r="AD98" s="20">
        <v>45734</v>
      </c>
      <c r="AE98" t="s">
        <v>479</v>
      </c>
      <c r="AF98">
        <v>7489.3987974640004</v>
      </c>
      <c r="AG98" s="84">
        <f>DATE(YEAR(His53_DataTT[[#This Row],[RptDate]]),MONTH(His53_DataTT[[#This Row],[RptDate]]),1)</f>
        <v>45717</v>
      </c>
      <c r="AO98" s="14"/>
    </row>
    <row r="99" spans="2:41" x14ac:dyDescent="0.3">
      <c r="B99" s="93">
        <v>46035</v>
      </c>
      <c r="C99" s="23">
        <v>6.8875000000000002</v>
      </c>
      <c r="D99" s="23">
        <v>6.9576923076923096</v>
      </c>
      <c r="E99" s="23">
        <v>7.18333333333333</v>
      </c>
      <c r="F99" s="23">
        <v>7.0884615384615399</v>
      </c>
      <c r="G99" s="23">
        <v>7.12692307692308</v>
      </c>
      <c r="H99" s="23">
        <v>7.1730769230769198</v>
      </c>
      <c r="I99" s="23">
        <v>7.23461538461539</v>
      </c>
      <c r="J99" s="23">
        <v>7.2807692307692298</v>
      </c>
      <c r="K99" s="23">
        <v>7.2961538461538504</v>
      </c>
      <c r="L99" s="23">
        <v>7.3346153846153896</v>
      </c>
      <c r="M99" s="23">
        <v>7.37307692307692</v>
      </c>
      <c r="N99" s="23">
        <v>7.3961538461538501</v>
      </c>
      <c r="Q99" s="93">
        <v>46258</v>
      </c>
      <c r="R99" t="s">
        <v>593</v>
      </c>
      <c r="S99" t="s">
        <v>399</v>
      </c>
      <c r="T99" s="14">
        <v>11448</v>
      </c>
      <c r="W99" s="20">
        <v>45908</v>
      </c>
      <c r="X99" t="s">
        <v>271</v>
      </c>
      <c r="Y99" s="23">
        <v>5.5461538461538504</v>
      </c>
      <c r="Z99" s="23">
        <v>5.1115384615384603</v>
      </c>
      <c r="AA99" s="23">
        <v>5.3288461538461496</v>
      </c>
      <c r="AC99" s="19"/>
      <c r="AD99" s="20">
        <v>45734</v>
      </c>
      <c r="AE99" t="s">
        <v>557</v>
      </c>
      <c r="AF99">
        <v>1308.1221019100001</v>
      </c>
      <c r="AG99" s="84">
        <f>DATE(YEAR(His53_DataTT[[#This Row],[RptDate]]),MONTH(His53_DataTT[[#This Row],[RptDate]]),1)</f>
        <v>45717</v>
      </c>
      <c r="AO99" s="14"/>
    </row>
    <row r="100" spans="2:41" x14ac:dyDescent="0.3">
      <c r="B100" s="93">
        <v>46036</v>
      </c>
      <c r="C100" s="23">
        <v>6.9874999999999998</v>
      </c>
      <c r="D100" s="23">
        <v>6.9653846153846199</v>
      </c>
      <c r="E100" s="23">
        <v>7.2166666666666703</v>
      </c>
      <c r="F100" s="23">
        <v>7.0884615384615399</v>
      </c>
      <c r="G100" s="23">
        <v>7.12692307692308</v>
      </c>
      <c r="H100" s="23">
        <v>7.1730769230769198</v>
      </c>
      <c r="I100" s="23">
        <v>7.23461538461539</v>
      </c>
      <c r="J100" s="23">
        <v>7.2807692307692298</v>
      </c>
      <c r="K100" s="23">
        <v>7.2961538461538504</v>
      </c>
      <c r="L100" s="23">
        <v>7.3346153846153896</v>
      </c>
      <c r="M100" s="23">
        <v>7.37307692307692</v>
      </c>
      <c r="N100" s="23">
        <v>7.3961538461538501</v>
      </c>
      <c r="Q100" s="93">
        <v>46258</v>
      </c>
      <c r="R100" t="s">
        <v>594</v>
      </c>
      <c r="S100" t="s">
        <v>399</v>
      </c>
      <c r="T100" s="14">
        <v>0</v>
      </c>
      <c r="W100" s="20">
        <v>45908</v>
      </c>
      <c r="X100" t="s">
        <v>272</v>
      </c>
      <c r="Y100" s="23">
        <v>5.6038461538461597</v>
      </c>
      <c r="Z100" s="23">
        <v>5.1692307692307704</v>
      </c>
      <c r="AA100" s="23">
        <v>5.3865384615384597</v>
      </c>
      <c r="AC100" s="19"/>
      <c r="AD100" s="20">
        <v>45735</v>
      </c>
      <c r="AE100" t="s">
        <v>479</v>
      </c>
      <c r="AF100">
        <v>5800.4833363799999</v>
      </c>
      <c r="AG100" s="84">
        <f>DATE(YEAR(His53_DataTT[[#This Row],[RptDate]]),MONTH(His53_DataTT[[#This Row],[RptDate]]),1)</f>
        <v>45717</v>
      </c>
      <c r="AO100" s="14"/>
    </row>
    <row r="101" spans="2:41" x14ac:dyDescent="0.3">
      <c r="B101" s="93">
        <v>46037</v>
      </c>
      <c r="C101" s="23">
        <v>6.9749999999999996</v>
      </c>
      <c r="D101" s="23">
        <v>6.9346153846153804</v>
      </c>
      <c r="E101" s="23">
        <v>7.25</v>
      </c>
      <c r="F101" s="23">
        <v>7.1038461538461597</v>
      </c>
      <c r="G101" s="23">
        <v>7.14230769230769</v>
      </c>
      <c r="H101" s="23">
        <v>7.1884615384615396</v>
      </c>
      <c r="I101" s="23">
        <v>7.2423076923076897</v>
      </c>
      <c r="J101" s="23">
        <v>7.2884615384615401</v>
      </c>
      <c r="K101" s="23">
        <v>7.2961538461538504</v>
      </c>
      <c r="L101" s="23">
        <v>7.3346153846153896</v>
      </c>
      <c r="M101" s="23">
        <v>7.37307692307692</v>
      </c>
      <c r="N101" s="23">
        <v>7.3961538461538501</v>
      </c>
      <c r="Q101" s="93">
        <v>46258</v>
      </c>
      <c r="R101" t="s">
        <v>595</v>
      </c>
      <c r="S101" t="s">
        <v>399</v>
      </c>
      <c r="T101" s="14">
        <v>0</v>
      </c>
      <c r="W101" s="20">
        <v>45908</v>
      </c>
      <c r="X101" t="s">
        <v>273</v>
      </c>
      <c r="Y101" s="23">
        <v>5.7076923076923096</v>
      </c>
      <c r="Z101" s="23">
        <v>5.2730769230769203</v>
      </c>
      <c r="AA101" s="23">
        <v>5.4903846153846096</v>
      </c>
      <c r="AC101" s="19"/>
      <c r="AD101" s="20">
        <v>45735</v>
      </c>
      <c r="AE101" t="s">
        <v>557</v>
      </c>
      <c r="AF101">
        <v>3397.8972492299999</v>
      </c>
      <c r="AG101" s="84">
        <f>DATE(YEAR(His53_DataTT[[#This Row],[RptDate]]),MONTH(His53_DataTT[[#This Row],[RptDate]]),1)</f>
        <v>45717</v>
      </c>
      <c r="AO101" s="14"/>
    </row>
    <row r="102" spans="2:41" x14ac:dyDescent="0.3">
      <c r="B102" s="93">
        <v>46038</v>
      </c>
      <c r="C102" s="23">
        <v>6.9749999999999996</v>
      </c>
      <c r="D102" s="23">
        <v>6.9346153846153804</v>
      </c>
      <c r="E102" s="23">
        <v>7.15</v>
      </c>
      <c r="F102" s="23">
        <v>7.1038461538461597</v>
      </c>
      <c r="G102" s="23">
        <v>7.14230769230769</v>
      </c>
      <c r="H102" s="23">
        <v>7.1884615384615396</v>
      </c>
      <c r="I102" s="23">
        <v>7.2423076923076897</v>
      </c>
      <c r="J102" s="23">
        <v>7.2884615384615401</v>
      </c>
      <c r="K102" s="23">
        <v>7.2961538461538504</v>
      </c>
      <c r="L102" s="23">
        <v>7.3346153846153896</v>
      </c>
      <c r="M102" s="23">
        <v>7.37307692307692</v>
      </c>
      <c r="N102" s="23">
        <v>7.3961538461538501</v>
      </c>
      <c r="Q102" s="93">
        <v>46258</v>
      </c>
      <c r="R102" t="s">
        <v>1439</v>
      </c>
      <c r="S102" t="s">
        <v>399</v>
      </c>
      <c r="T102" s="14">
        <v>572.03916997814997</v>
      </c>
      <c r="W102" s="20">
        <v>45908</v>
      </c>
      <c r="X102" t="s">
        <v>274</v>
      </c>
      <c r="Y102" s="23">
        <v>5.75</v>
      </c>
      <c r="Z102" s="23">
        <v>5.3153846153846196</v>
      </c>
      <c r="AA102" s="23">
        <v>5.5326923076923098</v>
      </c>
      <c r="AC102" s="19"/>
      <c r="AD102" s="20">
        <v>45736</v>
      </c>
      <c r="AE102" t="s">
        <v>479</v>
      </c>
      <c r="AF102">
        <v>6126.2141202579996</v>
      </c>
      <c r="AG102" s="84">
        <f>DATE(YEAR(His53_DataTT[[#This Row],[RptDate]]),MONTH(His53_DataTT[[#This Row],[RptDate]]),1)</f>
        <v>45717</v>
      </c>
      <c r="AO102" s="14"/>
    </row>
    <row r="103" spans="2:41" x14ac:dyDescent="0.3">
      <c r="B103" s="93">
        <v>46041</v>
      </c>
      <c r="C103" s="23">
        <v>6.9874999999999998</v>
      </c>
      <c r="D103" s="23">
        <v>6.9576923076923096</v>
      </c>
      <c r="E103" s="23">
        <v>7.18333333333333</v>
      </c>
      <c r="F103" s="23">
        <v>7.12692307692308</v>
      </c>
      <c r="G103" s="23">
        <v>7.1653846153846201</v>
      </c>
      <c r="H103" s="23">
        <v>7.2115384615384599</v>
      </c>
      <c r="I103" s="23">
        <v>7.2576923076923103</v>
      </c>
      <c r="J103" s="23">
        <v>7.3115384615384604</v>
      </c>
      <c r="K103" s="23">
        <v>7.3192307692307699</v>
      </c>
      <c r="L103" s="23">
        <v>7.3423076923076902</v>
      </c>
      <c r="M103" s="23">
        <v>7.3884615384615397</v>
      </c>
      <c r="N103" s="23">
        <v>7.4038461538461604</v>
      </c>
      <c r="Q103" s="93">
        <v>46258</v>
      </c>
      <c r="R103" t="s">
        <v>479</v>
      </c>
      <c r="S103" t="s">
        <v>395</v>
      </c>
      <c r="T103" s="14">
        <v>12075.8435847651</v>
      </c>
      <c r="W103" s="20">
        <v>45908</v>
      </c>
      <c r="X103" t="s">
        <v>275</v>
      </c>
      <c r="Y103" s="23">
        <v>5.7769230769230804</v>
      </c>
      <c r="Z103" s="23">
        <v>5.3423076923076902</v>
      </c>
      <c r="AA103" s="23">
        <v>5.5596153846153804</v>
      </c>
      <c r="AC103" s="19"/>
      <c r="AD103" s="20">
        <v>45736</v>
      </c>
      <c r="AE103" t="s">
        <v>557</v>
      </c>
      <c r="AF103">
        <v>3071.095671907</v>
      </c>
      <c r="AG103" s="84">
        <f>DATE(YEAR(His53_DataTT[[#This Row],[RptDate]]),MONTH(His53_DataTT[[#This Row],[RptDate]]),1)</f>
        <v>45717</v>
      </c>
      <c r="AO103" s="14"/>
    </row>
    <row r="104" spans="2:41" x14ac:dyDescent="0.3">
      <c r="B104" s="93">
        <v>46042</v>
      </c>
      <c r="C104" s="23">
        <v>6.9071428571428601</v>
      </c>
      <c r="D104" s="23">
        <v>6.9269230769230798</v>
      </c>
      <c r="E104" s="23">
        <v>7.18333333333333</v>
      </c>
      <c r="F104" s="23">
        <v>7.1192307692307697</v>
      </c>
      <c r="G104" s="23">
        <v>7.1653846153846201</v>
      </c>
      <c r="H104" s="23">
        <v>7.2115384615384599</v>
      </c>
      <c r="I104" s="23">
        <v>7.2576923076923103</v>
      </c>
      <c r="J104" s="23">
        <v>7.3115384615384604</v>
      </c>
      <c r="K104" s="23">
        <v>7.3192307692307699</v>
      </c>
      <c r="L104" s="23">
        <v>7.3423076923076902</v>
      </c>
      <c r="M104" s="23">
        <v>7.3884615384615397</v>
      </c>
      <c r="N104" s="23">
        <v>7.4038461538461604</v>
      </c>
      <c r="Q104" s="93">
        <v>46258</v>
      </c>
      <c r="R104" t="s">
        <v>479</v>
      </c>
      <c r="S104" t="s">
        <v>415</v>
      </c>
      <c r="T104" s="14">
        <v>7.8302114363586597</v>
      </c>
      <c r="W104" s="20">
        <v>45908</v>
      </c>
      <c r="X104" t="s">
        <v>276</v>
      </c>
      <c r="Y104" s="23">
        <v>5.8307692307692296</v>
      </c>
      <c r="Z104" s="23">
        <v>5.39230769230769</v>
      </c>
      <c r="AA104" s="23">
        <v>5.6115384615384603</v>
      </c>
      <c r="AC104" s="19"/>
      <c r="AD104" s="20">
        <v>45737</v>
      </c>
      <c r="AE104" t="s">
        <v>479</v>
      </c>
      <c r="AF104">
        <v>4378.3480154279996</v>
      </c>
      <c r="AG104" s="84">
        <f>DATE(YEAR(His53_DataTT[[#This Row],[RptDate]]),MONTH(His53_DataTT[[#This Row],[RptDate]]),1)</f>
        <v>45717</v>
      </c>
      <c r="AO104" s="14"/>
    </row>
    <row r="105" spans="2:41" x14ac:dyDescent="0.3">
      <c r="B105" s="93">
        <v>46043</v>
      </c>
      <c r="C105" s="23">
        <v>6.8642857142857103</v>
      </c>
      <c r="D105" s="23">
        <v>6.9230769230769198</v>
      </c>
      <c r="E105" s="23">
        <v>7.1333333333333302</v>
      </c>
      <c r="F105" s="23">
        <v>7.10769230769231</v>
      </c>
      <c r="G105" s="23">
        <v>7.1538461538461497</v>
      </c>
      <c r="H105" s="23">
        <v>7.2</v>
      </c>
      <c r="I105" s="23">
        <v>7.2461538461538497</v>
      </c>
      <c r="J105" s="23">
        <v>7.3</v>
      </c>
      <c r="K105" s="23">
        <v>7.3076923076923102</v>
      </c>
      <c r="L105" s="23">
        <v>7.3307692307692296</v>
      </c>
      <c r="M105" s="23">
        <v>7.37692307692308</v>
      </c>
      <c r="N105" s="23">
        <v>7.39230769230769</v>
      </c>
      <c r="Q105" s="93">
        <v>46258</v>
      </c>
      <c r="R105" t="s">
        <v>364</v>
      </c>
      <c r="S105" t="s">
        <v>415</v>
      </c>
      <c r="T105" s="14">
        <v>7.3578480152122703</v>
      </c>
      <c r="W105" s="20">
        <v>45908</v>
      </c>
      <c r="X105" t="s">
        <v>277</v>
      </c>
      <c r="Y105" s="23">
        <v>5.9384615384615396</v>
      </c>
      <c r="Z105" s="23">
        <v>5.4923076923076897</v>
      </c>
      <c r="AA105" s="23">
        <v>5.7153846153846199</v>
      </c>
      <c r="AC105" s="19"/>
      <c r="AD105" s="20">
        <v>45737</v>
      </c>
      <c r="AE105" t="s">
        <v>557</v>
      </c>
      <c r="AF105">
        <v>2785.1919729050001</v>
      </c>
      <c r="AG105" s="84">
        <f>DATE(YEAR(His53_DataTT[[#This Row],[RptDate]]),MONTH(His53_DataTT[[#This Row],[RptDate]]),1)</f>
        <v>45717</v>
      </c>
      <c r="AO105" s="14"/>
    </row>
    <row r="106" spans="2:41" x14ac:dyDescent="0.3">
      <c r="B106" s="93">
        <v>46044</v>
      </c>
      <c r="C106" s="23">
        <v>6.8642857142857103</v>
      </c>
      <c r="D106" s="23">
        <v>6.9153846153846201</v>
      </c>
      <c r="E106" s="23">
        <v>7.1333333333333302</v>
      </c>
      <c r="F106" s="23">
        <v>7.10769230769231</v>
      </c>
      <c r="G106" s="23">
        <v>7.1461538461538501</v>
      </c>
      <c r="H106" s="23">
        <v>7.1923076923076898</v>
      </c>
      <c r="I106" s="23">
        <v>7.2384615384615403</v>
      </c>
      <c r="J106" s="23">
        <v>7.2923076923076904</v>
      </c>
      <c r="K106" s="23">
        <v>7.3</v>
      </c>
      <c r="L106" s="23">
        <v>7.3230769230769202</v>
      </c>
      <c r="M106" s="23">
        <v>7.3692307692307697</v>
      </c>
      <c r="N106" s="23">
        <v>7.3846153846153904</v>
      </c>
      <c r="Q106" s="93">
        <v>46258</v>
      </c>
      <c r="R106" t="s">
        <v>516</v>
      </c>
      <c r="S106" t="s">
        <v>415</v>
      </c>
      <c r="T106" s="14">
        <v>7.50218133216132</v>
      </c>
      <c r="W106" s="20">
        <v>45908</v>
      </c>
      <c r="X106" t="s">
        <v>278</v>
      </c>
      <c r="Y106" s="23">
        <v>5.9884615384615403</v>
      </c>
      <c r="Z106" s="23">
        <v>5.5423076923076904</v>
      </c>
      <c r="AA106" s="23">
        <v>5.7653846153846198</v>
      </c>
      <c r="AC106" s="19"/>
      <c r="AD106" s="20">
        <v>45740</v>
      </c>
      <c r="AE106" t="s">
        <v>479</v>
      </c>
      <c r="AF106">
        <v>2640.0640962520001</v>
      </c>
      <c r="AG106" s="84">
        <f>DATE(YEAR(His53_DataTT[[#This Row],[RptDate]]),MONTH(His53_DataTT[[#This Row],[RptDate]]),1)</f>
        <v>45717</v>
      </c>
      <c r="AO106" s="14"/>
    </row>
    <row r="107" spans="2:41" x14ac:dyDescent="0.3">
      <c r="B107" s="93">
        <v>46045</v>
      </c>
      <c r="C107" s="23">
        <v>6.95</v>
      </c>
      <c r="D107" s="23">
        <v>6.9153846153846201</v>
      </c>
      <c r="E107" s="23">
        <v>7.1333333333333302</v>
      </c>
      <c r="F107" s="23">
        <v>7.1</v>
      </c>
      <c r="G107" s="23">
        <v>7.1461538461538501</v>
      </c>
      <c r="H107" s="23">
        <v>7.1923076923076898</v>
      </c>
      <c r="I107" s="23">
        <v>7.2384615384615403</v>
      </c>
      <c r="J107" s="23">
        <v>7.2923076923076904</v>
      </c>
      <c r="K107" s="23">
        <v>7.3</v>
      </c>
      <c r="L107" s="23">
        <v>7.3230769230769202</v>
      </c>
      <c r="M107" s="23">
        <v>7.3692307692307697</v>
      </c>
      <c r="N107" s="23">
        <v>7.3846153846153904</v>
      </c>
      <c r="Q107" s="93">
        <v>46258</v>
      </c>
      <c r="R107" t="s">
        <v>1288</v>
      </c>
      <c r="S107" t="s">
        <v>415</v>
      </c>
      <c r="T107" s="14">
        <v>7.51211586419595</v>
      </c>
      <c r="W107" s="20">
        <v>45908</v>
      </c>
      <c r="X107" t="s">
        <v>279</v>
      </c>
      <c r="Y107" s="23">
        <v>6.0307692307692298</v>
      </c>
      <c r="Z107" s="23">
        <v>5.5846153846153896</v>
      </c>
      <c r="AA107" s="23">
        <v>5.8076923076923102</v>
      </c>
      <c r="AC107" s="19"/>
      <c r="AD107" s="20">
        <v>45740</v>
      </c>
      <c r="AE107" t="s">
        <v>557</v>
      </c>
      <c r="AF107">
        <v>1838.7794912419999</v>
      </c>
      <c r="AG107" s="84">
        <f>DATE(YEAR(His53_DataTT[[#This Row],[RptDate]]),MONTH(His53_DataTT[[#This Row],[RptDate]]),1)</f>
        <v>45717</v>
      </c>
      <c r="AO107" s="14"/>
    </row>
    <row r="108" spans="2:41" x14ac:dyDescent="0.3">
      <c r="B108" s="93">
        <v>46048</v>
      </c>
      <c r="C108" s="23">
        <v>6.9928571428571402</v>
      </c>
      <c r="D108" s="23">
        <v>7.0833333333333304</v>
      </c>
      <c r="E108" s="23">
        <v>7.1666666666666696</v>
      </c>
      <c r="F108" s="23">
        <v>7.1</v>
      </c>
      <c r="G108" s="23">
        <v>7.1461538461538501</v>
      </c>
      <c r="H108" s="23">
        <v>7.1923076923076898</v>
      </c>
      <c r="I108" s="23">
        <v>7.2384615384615403</v>
      </c>
      <c r="J108" s="23">
        <v>7.2923076923076904</v>
      </c>
      <c r="K108" s="23">
        <v>7.3</v>
      </c>
      <c r="L108" s="23">
        <v>7.3230769230769202</v>
      </c>
      <c r="M108" s="23">
        <v>7.3692307692307697</v>
      </c>
      <c r="N108" s="23">
        <v>7.3846153846153904</v>
      </c>
      <c r="Q108" s="93">
        <v>46258</v>
      </c>
      <c r="R108" t="s">
        <v>496</v>
      </c>
      <c r="S108" t="s">
        <v>415</v>
      </c>
      <c r="T108" s="14">
        <v>7.1265900395240296</v>
      </c>
      <c r="W108" s="20">
        <v>45908</v>
      </c>
      <c r="X108" t="s">
        <v>280</v>
      </c>
      <c r="Y108" s="23">
        <v>6.1307692307692303</v>
      </c>
      <c r="Z108" s="23">
        <v>5.6846153846153902</v>
      </c>
      <c r="AA108" s="23">
        <v>5.9076923076923098</v>
      </c>
      <c r="AC108" s="19"/>
      <c r="AD108" s="20">
        <v>45741</v>
      </c>
      <c r="AE108" t="s">
        <v>479</v>
      </c>
      <c r="AF108">
        <v>4809.8932677350003</v>
      </c>
      <c r="AG108" s="84">
        <f>DATE(YEAR(His53_DataTT[[#This Row],[RptDate]]),MONTH(His53_DataTT[[#This Row],[RptDate]]),1)</f>
        <v>45717</v>
      </c>
      <c r="AO108" s="14"/>
    </row>
    <row r="109" spans="2:41" x14ac:dyDescent="0.3">
      <c r="B109" s="93">
        <v>46049</v>
      </c>
      <c r="C109" s="23">
        <v>7</v>
      </c>
      <c r="D109" s="23">
        <v>6.9461538461538499</v>
      </c>
      <c r="E109" s="23">
        <v>7.1666666666666696</v>
      </c>
      <c r="F109" s="23">
        <v>7.10769230769231</v>
      </c>
      <c r="G109" s="23">
        <v>7.1461538461538501</v>
      </c>
      <c r="H109" s="23">
        <v>7.1923076923076898</v>
      </c>
      <c r="I109" s="23">
        <v>7.2384615384615403</v>
      </c>
      <c r="J109" s="23">
        <v>7.2923076923076904</v>
      </c>
      <c r="K109" s="23">
        <v>7.3</v>
      </c>
      <c r="L109" s="23">
        <v>7.3230769230769202</v>
      </c>
      <c r="M109" s="23">
        <v>7.3692307692307697</v>
      </c>
      <c r="N109" s="23">
        <v>7.3846153846153904</v>
      </c>
      <c r="Q109" s="93">
        <v>46258</v>
      </c>
      <c r="R109" t="s">
        <v>1290</v>
      </c>
      <c r="S109" t="s">
        <v>415</v>
      </c>
      <c r="T109" s="14">
        <v>7.2899048129865296</v>
      </c>
      <c r="W109" s="20">
        <v>45908</v>
      </c>
      <c r="X109" t="s">
        <v>281</v>
      </c>
      <c r="Y109" s="23">
        <v>6.2076923076923096</v>
      </c>
      <c r="Z109" s="23">
        <v>5.7692307692307701</v>
      </c>
      <c r="AA109" s="23">
        <v>5.9884615384615403</v>
      </c>
      <c r="AC109" s="19"/>
      <c r="AD109" s="20">
        <v>45741</v>
      </c>
      <c r="AE109" t="s">
        <v>557</v>
      </c>
      <c r="AF109">
        <v>5022.903491432</v>
      </c>
      <c r="AG109" s="84">
        <f>DATE(YEAR(His53_DataTT[[#This Row],[RptDate]]),MONTH(His53_DataTT[[#This Row],[RptDate]]),1)</f>
        <v>45717</v>
      </c>
      <c r="AO109" s="14"/>
    </row>
    <row r="110" spans="2:41" x14ac:dyDescent="0.3">
      <c r="B110" s="93">
        <v>46050</v>
      </c>
      <c r="C110" s="23">
        <v>7.05</v>
      </c>
      <c r="D110" s="23">
        <v>6.9692307692307702</v>
      </c>
      <c r="E110" s="23">
        <v>7.1666666666666696</v>
      </c>
      <c r="F110" s="23">
        <v>7.1461538461538501</v>
      </c>
      <c r="G110" s="23">
        <v>7.1846153846153804</v>
      </c>
      <c r="H110" s="23">
        <v>7.2384615384615403</v>
      </c>
      <c r="I110" s="23">
        <v>7.2692307692307701</v>
      </c>
      <c r="J110" s="23">
        <v>7.3153846153846196</v>
      </c>
      <c r="K110" s="23">
        <v>7.3230769230769202</v>
      </c>
      <c r="L110" s="23">
        <v>7.3461538461538503</v>
      </c>
      <c r="M110" s="23">
        <v>7.3846153846153904</v>
      </c>
      <c r="N110" s="23">
        <v>7.4</v>
      </c>
      <c r="Q110" s="93">
        <v>46255</v>
      </c>
      <c r="R110" t="s">
        <v>479</v>
      </c>
      <c r="S110" t="s">
        <v>399</v>
      </c>
      <c r="T110" s="14">
        <v>10964.9235497015</v>
      </c>
      <c r="W110" s="20">
        <v>45909</v>
      </c>
      <c r="X110" t="s">
        <v>270</v>
      </c>
      <c r="Y110" s="23">
        <v>5.46428571428571</v>
      </c>
      <c r="Z110" s="23">
        <v>5.0857142857142899</v>
      </c>
      <c r="AA110" s="23">
        <v>5.2750000000000004</v>
      </c>
      <c r="AC110" s="19"/>
      <c r="AD110" s="20">
        <v>45742</v>
      </c>
      <c r="AE110" t="s">
        <v>479</v>
      </c>
      <c r="AF110">
        <v>5488.5968961320004</v>
      </c>
      <c r="AG110" s="84">
        <f>DATE(YEAR(His53_DataTT[[#This Row],[RptDate]]),MONTH(His53_DataTT[[#This Row],[RptDate]]),1)</f>
        <v>45717</v>
      </c>
      <c r="AO110" s="14"/>
    </row>
    <row r="111" spans="2:41" x14ac:dyDescent="0.3">
      <c r="B111" s="93">
        <v>46051</v>
      </c>
      <c r="C111" s="23">
        <v>7.1</v>
      </c>
      <c r="D111" s="23">
        <v>6.9692307692307702</v>
      </c>
      <c r="E111" s="23">
        <v>7.1666666666666696</v>
      </c>
      <c r="F111" s="23">
        <v>7.15</v>
      </c>
      <c r="G111" s="23">
        <v>7.1923076923076898</v>
      </c>
      <c r="H111" s="23">
        <v>7.2461538461538497</v>
      </c>
      <c r="I111" s="23">
        <v>7.2769230769230804</v>
      </c>
      <c r="J111" s="23">
        <v>7.3230769230769202</v>
      </c>
      <c r="K111" s="23">
        <v>7.3307692307692296</v>
      </c>
      <c r="L111" s="23">
        <v>7.3538461538461597</v>
      </c>
      <c r="M111" s="23">
        <v>7.39230769230769</v>
      </c>
      <c r="N111" s="23">
        <v>7.4076923076923098</v>
      </c>
      <c r="Q111" s="93">
        <v>46255</v>
      </c>
      <c r="R111" t="s">
        <v>364</v>
      </c>
      <c r="S111" t="s">
        <v>399</v>
      </c>
      <c r="T111" s="14">
        <v>26949.1</v>
      </c>
      <c r="W111" s="20">
        <v>45909</v>
      </c>
      <c r="X111" t="s">
        <v>271</v>
      </c>
      <c r="Y111" s="23">
        <v>5.5692307692307699</v>
      </c>
      <c r="Z111" s="23">
        <v>5.1346153846153904</v>
      </c>
      <c r="AA111" s="23">
        <v>5.3519230769230797</v>
      </c>
      <c r="AC111" s="19"/>
      <c r="AD111" s="20">
        <v>45742</v>
      </c>
      <c r="AE111" t="s">
        <v>557</v>
      </c>
      <c r="AF111">
        <v>5883.8273424810004</v>
      </c>
      <c r="AG111" s="84">
        <f>DATE(YEAR(His53_DataTT[[#This Row],[RptDate]]),MONTH(His53_DataTT[[#This Row],[RptDate]]),1)</f>
        <v>45717</v>
      </c>
      <c r="AO111" s="14"/>
    </row>
    <row r="112" spans="2:41" x14ac:dyDescent="0.3">
      <c r="B112" s="93">
        <v>46052</v>
      </c>
      <c r="C112" s="23">
        <v>7.1166666666666698</v>
      </c>
      <c r="D112" s="23">
        <v>6.9692307692307702</v>
      </c>
      <c r="E112" s="23">
        <v>7.1666666666666696</v>
      </c>
      <c r="F112" s="23">
        <v>7.15</v>
      </c>
      <c r="G112" s="23">
        <v>7.1923076923076898</v>
      </c>
      <c r="H112" s="23">
        <v>7.2461538461538497</v>
      </c>
      <c r="I112" s="23">
        <v>7.2769230769230804</v>
      </c>
      <c r="J112" s="23">
        <v>7.3230769230769202</v>
      </c>
      <c r="K112" s="23">
        <v>7.3307692307692296</v>
      </c>
      <c r="L112" s="23">
        <v>7.3538461538461597</v>
      </c>
      <c r="M112" s="23">
        <v>7.39230769230769</v>
      </c>
      <c r="N112" s="23">
        <v>7.4076923076923098</v>
      </c>
      <c r="Q112" s="93">
        <v>46255</v>
      </c>
      <c r="R112" t="s">
        <v>491</v>
      </c>
      <c r="S112" t="s">
        <v>399</v>
      </c>
      <c r="T112" s="14">
        <v>397.61059999999998</v>
      </c>
      <c r="W112" s="20">
        <v>45909</v>
      </c>
      <c r="X112" t="s">
        <v>272</v>
      </c>
      <c r="Y112" s="23">
        <v>5.6192307692307697</v>
      </c>
      <c r="Z112" s="23">
        <v>5.1846153846153902</v>
      </c>
      <c r="AA112" s="23">
        <v>5.4019230769230804</v>
      </c>
      <c r="AC112" s="19"/>
      <c r="AD112" s="20">
        <v>45743</v>
      </c>
      <c r="AE112" t="s">
        <v>479</v>
      </c>
      <c r="AF112">
        <v>8117.6110034220001</v>
      </c>
      <c r="AG112" s="84">
        <f>DATE(YEAR(His53_DataTT[[#This Row],[RptDate]]),MONTH(His53_DataTT[[#This Row],[RptDate]]),1)</f>
        <v>45717</v>
      </c>
      <c r="AO112" s="14"/>
    </row>
    <row r="113" spans="2:41" x14ac:dyDescent="0.3">
      <c r="B113" s="93">
        <v>46055</v>
      </c>
      <c r="C113" s="23">
        <v>7.25</v>
      </c>
      <c r="D113" s="23">
        <v>7.0153846153846198</v>
      </c>
      <c r="E113" s="23">
        <v>7.2</v>
      </c>
      <c r="F113" s="23">
        <v>7.31666666666667</v>
      </c>
      <c r="G113" s="23">
        <v>7.2230769230769196</v>
      </c>
      <c r="H113" s="23">
        <v>7.2692307692307701</v>
      </c>
      <c r="I113" s="23">
        <v>7.3</v>
      </c>
      <c r="J113" s="23">
        <v>7.3384615384615399</v>
      </c>
      <c r="K113" s="23">
        <v>7.3461538461538503</v>
      </c>
      <c r="L113" s="23">
        <v>7.3692307692307697</v>
      </c>
      <c r="M113" s="23">
        <v>7.4076923076923098</v>
      </c>
      <c r="N113" s="23">
        <v>7.4153846153846201</v>
      </c>
      <c r="Q113" s="93">
        <v>46255</v>
      </c>
      <c r="R113" t="s">
        <v>492</v>
      </c>
      <c r="S113" t="s">
        <v>399</v>
      </c>
      <c r="T113" s="14">
        <v>10000</v>
      </c>
      <c r="W113" s="20">
        <v>45909</v>
      </c>
      <c r="X113" t="s">
        <v>273</v>
      </c>
      <c r="Y113" s="23">
        <v>5.7384615384615403</v>
      </c>
      <c r="Z113" s="23">
        <v>5.3038461538461501</v>
      </c>
      <c r="AA113" s="23">
        <v>5.5211538461538403</v>
      </c>
      <c r="AC113" s="19"/>
      <c r="AD113" s="20">
        <v>45743</v>
      </c>
      <c r="AE113" t="s">
        <v>557</v>
      </c>
      <c r="AF113">
        <v>1013.218132328</v>
      </c>
      <c r="AG113" s="84">
        <f>DATE(YEAR(His53_DataTT[[#This Row],[RptDate]]),MONTH(His53_DataTT[[#This Row],[RptDate]]),1)</f>
        <v>45717</v>
      </c>
      <c r="AO113" s="14"/>
    </row>
    <row r="114" spans="2:41" x14ac:dyDescent="0.3">
      <c r="B114" s="93">
        <v>46056</v>
      </c>
      <c r="C114" s="23">
        <v>7.75</v>
      </c>
      <c r="D114" s="23">
        <v>7.1384615384615397</v>
      </c>
      <c r="E114" s="23">
        <v>7.31666666666667</v>
      </c>
      <c r="F114" s="23">
        <v>7.25</v>
      </c>
      <c r="G114" s="23">
        <v>7.35</v>
      </c>
      <c r="H114" s="23">
        <v>7.3807692307692303</v>
      </c>
      <c r="I114" s="23">
        <v>7.4115384615384601</v>
      </c>
      <c r="J114" s="23">
        <v>7.45</v>
      </c>
      <c r="K114" s="23">
        <v>7.4576923076923096</v>
      </c>
      <c r="L114" s="23">
        <v>7.4807692307692299</v>
      </c>
      <c r="M114" s="23">
        <v>7.5192307692307701</v>
      </c>
      <c r="N114" s="23">
        <v>7.5269230769230804</v>
      </c>
      <c r="Q114" s="93">
        <v>46255</v>
      </c>
      <c r="R114" t="s">
        <v>1438</v>
      </c>
      <c r="S114" t="s">
        <v>399</v>
      </c>
      <c r="T114" s="14">
        <v>567.31294970153999</v>
      </c>
      <c r="W114" s="20">
        <v>45909</v>
      </c>
      <c r="X114" t="s">
        <v>274</v>
      </c>
      <c r="Y114" s="23">
        <v>5.7807692307692298</v>
      </c>
      <c r="Z114" s="23">
        <v>5.3461538461538503</v>
      </c>
      <c r="AA114" s="23">
        <v>5.5634615384615396</v>
      </c>
      <c r="AC114" s="19"/>
      <c r="AD114" s="20">
        <v>45744</v>
      </c>
      <c r="AE114" t="s">
        <v>479</v>
      </c>
      <c r="AF114">
        <v>3990.1291150339998</v>
      </c>
      <c r="AG114" s="84">
        <f>DATE(YEAR(His53_DataTT[[#This Row],[RptDate]]),MONTH(His53_DataTT[[#This Row],[RptDate]]),1)</f>
        <v>45717</v>
      </c>
      <c r="AO114" s="14"/>
    </row>
    <row r="115" spans="2:41" x14ac:dyDescent="0.3">
      <c r="B115" s="93">
        <v>46057</v>
      </c>
      <c r="C115" s="23">
        <v>7.55</v>
      </c>
      <c r="D115" s="23">
        <v>7.14230769230769</v>
      </c>
      <c r="E115" s="23">
        <v>7.31666666666667</v>
      </c>
      <c r="F115" s="23">
        <v>7.2249999999999996</v>
      </c>
      <c r="G115" s="23">
        <v>7.3423076923076902</v>
      </c>
      <c r="H115" s="23">
        <v>7.3807692307692303</v>
      </c>
      <c r="I115" s="23">
        <v>7.4115384615384601</v>
      </c>
      <c r="J115" s="23">
        <v>7.45</v>
      </c>
      <c r="K115" s="23">
        <v>7.4653846153846199</v>
      </c>
      <c r="L115" s="23">
        <v>7.4884615384615403</v>
      </c>
      <c r="M115" s="23">
        <v>7.5346153846153898</v>
      </c>
      <c r="N115" s="23">
        <v>7.5423076923076904</v>
      </c>
      <c r="Q115" s="93">
        <v>46255</v>
      </c>
      <c r="R115" t="s">
        <v>496</v>
      </c>
      <c r="S115" t="s">
        <v>399</v>
      </c>
      <c r="T115" s="14">
        <v>16336.1</v>
      </c>
      <c r="W115" s="20">
        <v>45909</v>
      </c>
      <c r="X115" t="s">
        <v>275</v>
      </c>
      <c r="Y115" s="23">
        <v>5.8076923076923102</v>
      </c>
      <c r="Z115" s="23">
        <v>5.3807692307692303</v>
      </c>
      <c r="AA115" s="23">
        <v>5.5942307692307702</v>
      </c>
      <c r="AC115" s="19"/>
      <c r="AD115" s="20">
        <v>45744</v>
      </c>
      <c r="AE115" t="s">
        <v>557</v>
      </c>
      <c r="AF115">
        <v>2491.4584187599999</v>
      </c>
      <c r="AG115" s="84">
        <f>DATE(YEAR(His53_DataTT[[#This Row],[RptDate]]),MONTH(His53_DataTT[[#This Row],[RptDate]]),1)</f>
        <v>45717</v>
      </c>
      <c r="AO115" s="14"/>
    </row>
    <row r="116" spans="2:41" x14ac:dyDescent="0.3">
      <c r="B116" s="93">
        <v>46058</v>
      </c>
      <c r="C116" s="23">
        <v>7.61</v>
      </c>
      <c r="D116" s="23">
        <v>7.12692307692308</v>
      </c>
      <c r="E116" s="23">
        <v>7.3</v>
      </c>
      <c r="F116" s="23">
        <v>7.2249999999999996</v>
      </c>
      <c r="G116" s="23">
        <v>7.3307692307692296</v>
      </c>
      <c r="H116" s="23">
        <v>7.3692307692307697</v>
      </c>
      <c r="I116" s="23">
        <v>7.4</v>
      </c>
      <c r="J116" s="23">
        <v>7.4384615384615396</v>
      </c>
      <c r="K116" s="23">
        <v>7.4538461538461602</v>
      </c>
      <c r="L116" s="23">
        <v>7.4769230769230797</v>
      </c>
      <c r="M116" s="23">
        <v>7.5230769230769203</v>
      </c>
      <c r="N116" s="23">
        <v>7.5307692307692298</v>
      </c>
      <c r="Q116" s="93">
        <v>46255</v>
      </c>
      <c r="R116" t="s">
        <v>497</v>
      </c>
      <c r="S116" t="s">
        <v>399</v>
      </c>
      <c r="T116" s="14">
        <v>397.61059999999998</v>
      </c>
      <c r="W116" s="20">
        <v>45909</v>
      </c>
      <c r="X116" t="s">
        <v>276</v>
      </c>
      <c r="Y116" s="23">
        <v>5.8615384615384603</v>
      </c>
      <c r="Z116" s="23">
        <v>5.4307692307692301</v>
      </c>
      <c r="AA116" s="23">
        <v>5.6461538461538501</v>
      </c>
      <c r="AC116" s="19"/>
      <c r="AD116" s="20">
        <v>45747</v>
      </c>
      <c r="AE116" t="s">
        <v>303</v>
      </c>
      <c r="AF116">
        <v>4161.2673347219998</v>
      </c>
      <c r="AG116" s="84">
        <f>DATE(YEAR(His53_DataTT[[#This Row],[RptDate]]),MONTH(His53_DataTT[[#This Row],[RptDate]]),1)</f>
        <v>45717</v>
      </c>
      <c r="AO116" s="14"/>
    </row>
    <row r="117" spans="2:41" x14ac:dyDescent="0.3">
      <c r="B117" s="93">
        <v>46059</v>
      </c>
      <c r="C117" s="23">
        <v>7.79</v>
      </c>
      <c r="D117" s="23">
        <v>7.1884615384615396</v>
      </c>
      <c r="E117" s="23">
        <v>7.3333333333333304</v>
      </c>
      <c r="F117" s="23">
        <v>7.2249999999999996</v>
      </c>
      <c r="G117" s="23">
        <v>7.3538461538461499</v>
      </c>
      <c r="H117" s="23">
        <v>7.39230769230769</v>
      </c>
      <c r="I117" s="23">
        <v>7.4384615384615396</v>
      </c>
      <c r="J117" s="23">
        <v>7.4769230769230797</v>
      </c>
      <c r="K117" s="23">
        <v>7.5</v>
      </c>
      <c r="L117" s="23">
        <v>7.5230769230769203</v>
      </c>
      <c r="M117" s="23">
        <v>7.5769230769230802</v>
      </c>
      <c r="N117" s="23">
        <v>7.5923076923076902</v>
      </c>
      <c r="Q117" s="93">
        <v>46255</v>
      </c>
      <c r="R117" t="s">
        <v>498</v>
      </c>
      <c r="S117" t="s">
        <v>399</v>
      </c>
      <c r="T117" s="14">
        <v>9800</v>
      </c>
      <c r="W117" s="20">
        <v>45909</v>
      </c>
      <c r="X117" t="s">
        <v>277</v>
      </c>
      <c r="Y117" s="23">
        <v>5.9461538461538499</v>
      </c>
      <c r="Z117" s="23">
        <v>5.5</v>
      </c>
      <c r="AA117" s="23">
        <v>5.7230769230769196</v>
      </c>
      <c r="AC117" s="19"/>
      <c r="AD117" s="20">
        <v>45748</v>
      </c>
      <c r="AE117" t="s">
        <v>479</v>
      </c>
      <c r="AF117">
        <v>2947.9695457409998</v>
      </c>
      <c r="AG117" s="84">
        <f>DATE(YEAR(His53_DataTT[[#This Row],[RptDate]]),MONTH(His53_DataTT[[#This Row],[RptDate]]),1)</f>
        <v>45748</v>
      </c>
      <c r="AO117" s="14"/>
    </row>
    <row r="118" spans="2:41" x14ac:dyDescent="0.3">
      <c r="B118" s="93">
        <v>46062</v>
      </c>
      <c r="C118" s="23">
        <v>7.77</v>
      </c>
      <c r="D118" s="23">
        <v>7.1346153846153904</v>
      </c>
      <c r="E118" s="23">
        <v>7.3666666666666698</v>
      </c>
      <c r="F118" s="23">
        <v>7.2249999999999996</v>
      </c>
      <c r="G118" s="23">
        <v>7.3461538461538503</v>
      </c>
      <c r="H118" s="23">
        <v>7.3846153846153904</v>
      </c>
      <c r="I118" s="23">
        <v>7.4230769230769198</v>
      </c>
      <c r="J118" s="23">
        <v>7.4615384615384599</v>
      </c>
      <c r="K118" s="23">
        <v>7.4769230769230797</v>
      </c>
      <c r="L118" s="23">
        <v>7.5</v>
      </c>
      <c r="M118" s="23">
        <v>7.5538461538461501</v>
      </c>
      <c r="N118" s="23">
        <v>7.5615384615384604</v>
      </c>
      <c r="Q118" s="93">
        <v>46255</v>
      </c>
      <c r="R118" t="s">
        <v>494</v>
      </c>
      <c r="S118" t="s">
        <v>399</v>
      </c>
      <c r="T118" s="14">
        <v>0</v>
      </c>
      <c r="W118" s="20">
        <v>45909</v>
      </c>
      <c r="X118" t="s">
        <v>278</v>
      </c>
      <c r="Y118" s="23">
        <v>5.9961538461538497</v>
      </c>
      <c r="Z118" s="23">
        <v>5.55</v>
      </c>
      <c r="AA118" s="23">
        <v>5.7730769230769203</v>
      </c>
      <c r="AC118" s="19"/>
      <c r="AD118" s="20">
        <v>45748</v>
      </c>
      <c r="AE118" t="s">
        <v>557</v>
      </c>
      <c r="AF118">
        <v>1013.8945219129999</v>
      </c>
      <c r="AG118" s="84">
        <f>DATE(YEAR(His53_DataTT[[#This Row],[RptDate]]),MONTH(His53_DataTT[[#This Row],[RptDate]]),1)</f>
        <v>45748</v>
      </c>
      <c r="AO118" s="14"/>
    </row>
    <row r="119" spans="2:41" x14ac:dyDescent="0.3">
      <c r="B119" s="93">
        <v>46063</v>
      </c>
      <c r="C119" s="23">
        <v>7.75</v>
      </c>
      <c r="D119" s="23">
        <v>7.1346153846153904</v>
      </c>
      <c r="E119" s="23">
        <v>7.3666666666666698</v>
      </c>
      <c r="F119" s="23">
        <v>7.25</v>
      </c>
      <c r="G119" s="23">
        <v>7.3461538461538503</v>
      </c>
      <c r="H119" s="23">
        <v>7.3846153846153904</v>
      </c>
      <c r="I119" s="23">
        <v>7.4230769230769198</v>
      </c>
      <c r="J119" s="23">
        <v>7.4615384615384599</v>
      </c>
      <c r="K119" s="23">
        <v>7.4769230769230797</v>
      </c>
      <c r="L119" s="23">
        <v>7.5</v>
      </c>
      <c r="M119" s="23">
        <v>7.5538461538461501</v>
      </c>
      <c r="N119" s="23">
        <v>7.5615384615384604</v>
      </c>
      <c r="Q119" s="93">
        <v>46255</v>
      </c>
      <c r="R119" t="s">
        <v>495</v>
      </c>
      <c r="S119" t="s">
        <v>399</v>
      </c>
      <c r="T119" s="14">
        <v>0</v>
      </c>
      <c r="W119" s="20">
        <v>45909</v>
      </c>
      <c r="X119" t="s">
        <v>279</v>
      </c>
      <c r="Y119" s="23">
        <v>6.0384615384615401</v>
      </c>
      <c r="Z119" s="23">
        <v>5.5923076923076902</v>
      </c>
      <c r="AA119" s="23">
        <v>5.8153846153846196</v>
      </c>
      <c r="AC119" s="19"/>
      <c r="AD119" s="20">
        <v>45749</v>
      </c>
      <c r="AE119" t="s">
        <v>479</v>
      </c>
      <c r="AF119">
        <v>836.54816339299998</v>
      </c>
      <c r="AG119" s="84">
        <f>DATE(YEAR(His53_DataTT[[#This Row],[RptDate]]),MONTH(His53_DataTT[[#This Row],[RptDate]]),1)</f>
        <v>45748</v>
      </c>
      <c r="AO119" s="14"/>
    </row>
    <row r="120" spans="2:41" x14ac:dyDescent="0.3">
      <c r="B120" s="93">
        <v>46064</v>
      </c>
      <c r="C120" s="23">
        <v>7.55</v>
      </c>
      <c r="D120" s="23">
        <v>7.1115384615384603</v>
      </c>
      <c r="E120" s="23">
        <v>7.2666666666666702</v>
      </c>
      <c r="F120" s="23">
        <v>7.25</v>
      </c>
      <c r="G120" s="23">
        <v>7.3307692307692296</v>
      </c>
      <c r="H120" s="23">
        <v>7.3692307692307697</v>
      </c>
      <c r="I120" s="23">
        <v>7.4076923076923098</v>
      </c>
      <c r="J120" s="23">
        <v>7.4461538461538499</v>
      </c>
      <c r="K120" s="23">
        <v>7.4615384615384599</v>
      </c>
      <c r="L120" s="23">
        <v>7.48461538461539</v>
      </c>
      <c r="M120" s="23">
        <v>7.5384615384615401</v>
      </c>
      <c r="N120" s="23">
        <v>7.5461538461538504</v>
      </c>
      <c r="Q120" s="93">
        <v>46255</v>
      </c>
      <c r="R120" t="s">
        <v>493</v>
      </c>
      <c r="S120" t="s">
        <v>399</v>
      </c>
      <c r="T120" s="14">
        <v>0</v>
      </c>
      <c r="W120" s="20">
        <v>45909</v>
      </c>
      <c r="X120" t="s">
        <v>280</v>
      </c>
      <c r="Y120" s="23">
        <v>6.1307692307692303</v>
      </c>
      <c r="Z120" s="23">
        <v>5.6846153846153902</v>
      </c>
      <c r="AA120" s="23">
        <v>5.9076923076923098</v>
      </c>
      <c r="AC120" s="19"/>
      <c r="AD120" s="20">
        <v>45749</v>
      </c>
      <c r="AE120" t="s">
        <v>557</v>
      </c>
      <c r="AF120">
        <v>2418.6579210640002</v>
      </c>
      <c r="AG120" s="84">
        <f>DATE(YEAR(His53_DataTT[[#This Row],[RptDate]]),MONTH(His53_DataTT[[#This Row],[RptDate]]),1)</f>
        <v>45748</v>
      </c>
      <c r="AO120" s="14"/>
    </row>
    <row r="121" spans="2:41" x14ac:dyDescent="0.3">
      <c r="B121" s="93">
        <v>46065</v>
      </c>
      <c r="C121" s="23">
        <v>7.39</v>
      </c>
      <c r="D121" s="23">
        <v>7.1115384615384603</v>
      </c>
      <c r="E121" s="23">
        <v>7.2666666666666702</v>
      </c>
      <c r="F121" s="23">
        <v>7.25</v>
      </c>
      <c r="G121" s="23">
        <v>7.3307692307692296</v>
      </c>
      <c r="H121" s="23">
        <v>7.3692307692307697</v>
      </c>
      <c r="I121" s="23">
        <v>7.4076923076923098</v>
      </c>
      <c r="J121" s="23">
        <v>7.4461538461538499</v>
      </c>
      <c r="K121" s="23">
        <v>7.4615384615384599</v>
      </c>
      <c r="L121" s="23">
        <v>7.48461538461539</v>
      </c>
      <c r="M121" s="23">
        <v>7.5384615384615401</v>
      </c>
      <c r="N121" s="23">
        <v>7.5461538461538504</v>
      </c>
      <c r="Q121" s="93">
        <v>46255</v>
      </c>
      <c r="R121" t="s">
        <v>593</v>
      </c>
      <c r="S121" t="s">
        <v>399</v>
      </c>
      <c r="T121" s="14">
        <v>10613</v>
      </c>
      <c r="W121" s="20">
        <v>45909</v>
      </c>
      <c r="X121" t="s">
        <v>281</v>
      </c>
      <c r="Y121" s="23">
        <v>6.2076923076923096</v>
      </c>
      <c r="Z121" s="23">
        <v>5.7692307692307701</v>
      </c>
      <c r="AA121" s="23">
        <v>5.9884615384615403</v>
      </c>
      <c r="AC121" s="19"/>
      <c r="AD121" s="20">
        <v>45750</v>
      </c>
      <c r="AE121" t="s">
        <v>479</v>
      </c>
      <c r="AF121">
        <v>2836.2902555679998</v>
      </c>
      <c r="AG121" s="84">
        <f>DATE(YEAR(His53_DataTT[[#This Row],[RptDate]]),MONTH(His53_DataTT[[#This Row],[RptDate]]),1)</f>
        <v>45748</v>
      </c>
      <c r="AO121" s="14"/>
    </row>
    <row r="122" spans="2:41" x14ac:dyDescent="0.3">
      <c r="B122" s="93">
        <v>46066</v>
      </c>
      <c r="C122" s="23">
        <v>7.39</v>
      </c>
      <c r="D122" s="23">
        <v>7.1115384615384603</v>
      </c>
      <c r="E122" s="23">
        <v>7.2666666666666702</v>
      </c>
      <c r="F122" s="23">
        <v>7.25</v>
      </c>
      <c r="G122" s="23">
        <v>7.3307692307692296</v>
      </c>
      <c r="H122" s="23">
        <v>7.3692307692307697</v>
      </c>
      <c r="I122" s="23">
        <v>7.4076923076923098</v>
      </c>
      <c r="J122" s="23">
        <v>7.4461538461538499</v>
      </c>
      <c r="K122" s="23">
        <v>7.4615384615384599</v>
      </c>
      <c r="L122" s="23">
        <v>7.48461538461539</v>
      </c>
      <c r="M122" s="23">
        <v>7.5384615384615401</v>
      </c>
      <c r="N122" s="23">
        <v>7.5461538461538504</v>
      </c>
      <c r="Q122" s="93">
        <v>46255</v>
      </c>
      <c r="R122" t="s">
        <v>594</v>
      </c>
      <c r="S122" t="s">
        <v>399</v>
      </c>
      <c r="T122" s="14">
        <v>0</v>
      </c>
      <c r="W122" s="20">
        <v>45910</v>
      </c>
      <c r="X122" t="s">
        <v>270</v>
      </c>
      <c r="Y122" s="23">
        <v>5.4785714285714304</v>
      </c>
      <c r="Z122" s="23">
        <v>5.0999999999999996</v>
      </c>
      <c r="AA122" s="23">
        <v>5.2892857142857101</v>
      </c>
      <c r="AC122" s="19"/>
      <c r="AD122" s="20">
        <v>45750</v>
      </c>
      <c r="AE122" t="s">
        <v>557</v>
      </c>
      <c r="AF122">
        <v>3896.214651885</v>
      </c>
      <c r="AG122" s="84">
        <f>DATE(YEAR(His53_DataTT[[#This Row],[RptDate]]),MONTH(His53_DataTT[[#This Row],[RptDate]]),1)</f>
        <v>45748</v>
      </c>
      <c r="AO122" s="14"/>
    </row>
    <row r="123" spans="2:41" x14ac:dyDescent="0.3">
      <c r="B123" s="93">
        <v>46076</v>
      </c>
      <c r="C123" s="23">
        <v>7.39</v>
      </c>
      <c r="D123" s="23">
        <v>7.3125</v>
      </c>
      <c r="E123" s="23">
        <v>7.2</v>
      </c>
      <c r="F123" s="23">
        <v>7.2833333333333297</v>
      </c>
      <c r="G123" s="23">
        <v>7.3384615384615399</v>
      </c>
      <c r="H123" s="23">
        <v>7.37692307692308</v>
      </c>
      <c r="I123" s="23">
        <v>7.4153846153846201</v>
      </c>
      <c r="J123" s="23">
        <v>7.4538461538461496</v>
      </c>
      <c r="K123" s="23">
        <v>7.4692307692307702</v>
      </c>
      <c r="L123" s="23">
        <v>7.4923076923076897</v>
      </c>
      <c r="M123" s="23">
        <v>7.5461538461538504</v>
      </c>
      <c r="N123" s="23">
        <v>7.5538461538461501</v>
      </c>
      <c r="Q123" s="93">
        <v>46255</v>
      </c>
      <c r="R123" t="s">
        <v>595</v>
      </c>
      <c r="S123" t="s">
        <v>399</v>
      </c>
      <c r="T123" s="14">
        <v>200</v>
      </c>
      <c r="W123" s="20">
        <v>45910</v>
      </c>
      <c r="X123" t="s">
        <v>271</v>
      </c>
      <c r="Y123" s="23">
        <v>5.5692307692307699</v>
      </c>
      <c r="Z123" s="23">
        <v>5.1346153846153904</v>
      </c>
      <c r="AA123" s="23">
        <v>5.3519230769230797</v>
      </c>
      <c r="AC123" s="19"/>
      <c r="AD123" s="20">
        <v>45751</v>
      </c>
      <c r="AE123" t="s">
        <v>479</v>
      </c>
      <c r="AF123">
        <v>426.433192335</v>
      </c>
      <c r="AG123" s="84">
        <f>DATE(YEAR(His53_DataTT[[#This Row],[RptDate]]),MONTH(His53_DataTT[[#This Row],[RptDate]]),1)</f>
        <v>45748</v>
      </c>
      <c r="AO123" s="14"/>
    </row>
    <row r="124" spans="2:41" x14ac:dyDescent="0.3">
      <c r="B124" s="93">
        <v>46077</v>
      </c>
      <c r="C124" s="23">
        <v>7.35</v>
      </c>
      <c r="D124" s="23">
        <v>7.3125</v>
      </c>
      <c r="E124" s="23">
        <v>7.2</v>
      </c>
      <c r="F124" s="23">
        <v>7.2833333333333297</v>
      </c>
      <c r="G124" s="23">
        <v>7.3307692307692296</v>
      </c>
      <c r="H124" s="23">
        <v>7.3692307692307697</v>
      </c>
      <c r="I124" s="23">
        <v>7.4076923076923098</v>
      </c>
      <c r="J124" s="23">
        <v>7.4461538461538499</v>
      </c>
      <c r="K124" s="23">
        <v>7.4615384615384599</v>
      </c>
      <c r="L124" s="23">
        <v>7.48461538461539</v>
      </c>
      <c r="M124" s="23">
        <v>7.5384615384615401</v>
      </c>
      <c r="N124" s="23">
        <v>7.5461538461538504</v>
      </c>
      <c r="Q124" s="93">
        <v>46255</v>
      </c>
      <c r="R124" t="s">
        <v>1439</v>
      </c>
      <c r="S124" t="s">
        <v>399</v>
      </c>
      <c r="T124" s="14">
        <v>567.31294970153999</v>
      </c>
      <c r="W124" s="20">
        <v>45910</v>
      </c>
      <c r="X124" t="s">
        <v>272</v>
      </c>
      <c r="Y124" s="23">
        <v>5.6192307692307697</v>
      </c>
      <c r="Z124" s="23">
        <v>5.1846153846153902</v>
      </c>
      <c r="AA124" s="23">
        <v>5.4019230769230804</v>
      </c>
      <c r="AC124" s="19"/>
      <c r="AD124" s="20">
        <v>45751</v>
      </c>
      <c r="AE124" t="s">
        <v>557</v>
      </c>
      <c r="AF124">
        <v>1744.8461316549999</v>
      </c>
      <c r="AG124" s="84">
        <f>DATE(YEAR(His53_DataTT[[#This Row],[RptDate]]),MONTH(His53_DataTT[[#This Row],[RptDate]]),1)</f>
        <v>45748</v>
      </c>
      <c r="AO124" s="14"/>
    </row>
    <row r="125" spans="2:41" x14ac:dyDescent="0.3">
      <c r="B125" s="93">
        <v>46078</v>
      </c>
      <c r="C125" s="23">
        <v>7.35</v>
      </c>
      <c r="D125" s="23">
        <v>7.3125</v>
      </c>
      <c r="E125" s="23">
        <v>7.2153846153846199</v>
      </c>
      <c r="F125" s="23">
        <v>7.2833333333333297</v>
      </c>
      <c r="G125" s="23">
        <v>7.3307692307692296</v>
      </c>
      <c r="H125" s="23">
        <v>7.3692307692307697</v>
      </c>
      <c r="I125" s="23">
        <v>7.4076923076923098</v>
      </c>
      <c r="J125" s="23">
        <v>7.4461538461538499</v>
      </c>
      <c r="K125" s="23">
        <v>7.4615384615384599</v>
      </c>
      <c r="L125" s="23">
        <v>7.48461538461539</v>
      </c>
      <c r="M125" s="23">
        <v>7.5384615384615401</v>
      </c>
      <c r="N125" s="23">
        <v>7.5461538461538504</v>
      </c>
      <c r="Q125" s="93">
        <v>46255</v>
      </c>
      <c r="R125" t="s">
        <v>479</v>
      </c>
      <c r="S125" t="s">
        <v>395</v>
      </c>
      <c r="T125" s="14">
        <v>12078.708840859001</v>
      </c>
      <c r="W125" s="20">
        <v>45910</v>
      </c>
      <c r="X125" t="s">
        <v>273</v>
      </c>
      <c r="Y125" s="23">
        <v>5.7461538461538497</v>
      </c>
      <c r="Z125" s="23">
        <v>5.3115384615384604</v>
      </c>
      <c r="AA125" s="23">
        <v>5.5288461538461497</v>
      </c>
      <c r="AC125" s="19"/>
      <c r="AD125" s="20">
        <v>45755</v>
      </c>
      <c r="AE125" t="s">
        <v>479</v>
      </c>
      <c r="AF125">
        <v>2022.6080093539999</v>
      </c>
      <c r="AG125" s="84">
        <f>DATE(YEAR(His53_DataTT[[#This Row],[RptDate]]),MONTH(His53_DataTT[[#This Row],[RptDate]]),1)</f>
        <v>45748</v>
      </c>
      <c r="AO125" s="14"/>
    </row>
    <row r="126" spans="2:41" x14ac:dyDescent="0.3">
      <c r="B126" s="93">
        <v>46079</v>
      </c>
      <c r="C126" s="23">
        <v>7.43</v>
      </c>
      <c r="D126" s="23">
        <v>7.3125</v>
      </c>
      <c r="E126" s="23">
        <v>7.2153846153846199</v>
      </c>
      <c r="F126" s="23">
        <v>7.2833333333333297</v>
      </c>
      <c r="G126" s="23">
        <v>7.3384615384615399</v>
      </c>
      <c r="H126" s="23">
        <v>7.37692307692308</v>
      </c>
      <c r="I126" s="23">
        <v>7.4153846153846201</v>
      </c>
      <c r="J126" s="23">
        <v>7.4538461538461496</v>
      </c>
      <c r="K126" s="23">
        <v>7.4692307692307702</v>
      </c>
      <c r="L126" s="23">
        <v>7.4923076923076897</v>
      </c>
      <c r="M126" s="23">
        <v>7.5461538461538504</v>
      </c>
      <c r="N126" s="23">
        <v>7.5538461538461501</v>
      </c>
      <c r="Q126" s="93">
        <v>46255</v>
      </c>
      <c r="R126" t="s">
        <v>479</v>
      </c>
      <c r="S126" t="s">
        <v>415</v>
      </c>
      <c r="T126" s="14">
        <v>7.8302114363586597</v>
      </c>
      <c r="W126" s="20">
        <v>45910</v>
      </c>
      <c r="X126" t="s">
        <v>274</v>
      </c>
      <c r="Y126" s="23">
        <v>5.7884615384615401</v>
      </c>
      <c r="Z126" s="23">
        <v>5.3538461538461597</v>
      </c>
      <c r="AA126" s="23">
        <v>5.5711538461538499</v>
      </c>
      <c r="AC126" s="19"/>
      <c r="AD126" s="20">
        <v>45755</v>
      </c>
      <c r="AE126" t="s">
        <v>557</v>
      </c>
      <c r="AF126">
        <v>3102.3158092650001</v>
      </c>
      <c r="AG126" s="84">
        <f>DATE(YEAR(His53_DataTT[[#This Row],[RptDate]]),MONTH(His53_DataTT[[#This Row],[RptDate]]),1)</f>
        <v>45748</v>
      </c>
      <c r="AO126" s="14"/>
    </row>
    <row r="127" spans="2:41" x14ac:dyDescent="0.3">
      <c r="B127" s="93">
        <v>46080</v>
      </c>
      <c r="C127" s="23">
        <v>7.5</v>
      </c>
      <c r="D127" s="23">
        <v>7.32</v>
      </c>
      <c r="E127" s="23">
        <v>7.2153846153846199</v>
      </c>
      <c r="F127" s="23">
        <v>7.2833333333333297</v>
      </c>
      <c r="G127" s="23">
        <v>7.3384615384615399</v>
      </c>
      <c r="H127" s="23">
        <v>7.37692307692308</v>
      </c>
      <c r="I127" s="23">
        <v>7.4153846153846201</v>
      </c>
      <c r="J127" s="23">
        <v>7.4538461538461496</v>
      </c>
      <c r="K127" s="23">
        <v>7.4692307692307702</v>
      </c>
      <c r="L127" s="23">
        <v>7.4923076923076897</v>
      </c>
      <c r="M127" s="23">
        <v>7.5461538461538504</v>
      </c>
      <c r="N127" s="23">
        <v>7.5538461538461501</v>
      </c>
      <c r="Q127" s="93">
        <v>46255</v>
      </c>
      <c r="R127" t="s">
        <v>364</v>
      </c>
      <c r="S127" t="s">
        <v>415</v>
      </c>
      <c r="T127" s="14">
        <v>7.2800125825140602</v>
      </c>
      <c r="W127" s="20">
        <v>45910</v>
      </c>
      <c r="X127" t="s">
        <v>275</v>
      </c>
      <c r="Y127" s="23">
        <v>5.8153846153846196</v>
      </c>
      <c r="Z127" s="23">
        <v>5.3884615384615397</v>
      </c>
      <c r="AA127" s="23">
        <v>5.6019230769230797</v>
      </c>
      <c r="AC127" s="19"/>
      <c r="AD127" s="20">
        <v>45756</v>
      </c>
      <c r="AE127" t="s">
        <v>479</v>
      </c>
      <c r="AF127">
        <v>1159.02471593</v>
      </c>
      <c r="AG127" s="84">
        <f>DATE(YEAR(His53_DataTT[[#This Row],[RptDate]]),MONTH(His53_DataTT[[#This Row],[RptDate]]),1)</f>
        <v>45748</v>
      </c>
      <c r="AO127" s="14"/>
    </row>
    <row r="128" spans="2:41" x14ac:dyDescent="0.3">
      <c r="B128" s="93">
        <v>46083</v>
      </c>
      <c r="C128" s="23">
        <v>7.65</v>
      </c>
      <c r="D128" s="23">
        <v>7.4916666666666698</v>
      </c>
      <c r="E128" s="23">
        <v>7.3307692307692296</v>
      </c>
      <c r="F128" s="23">
        <v>7.31666666666667</v>
      </c>
      <c r="G128" s="23">
        <v>7.4153846153846201</v>
      </c>
      <c r="H128" s="23">
        <v>7.4538461538461496</v>
      </c>
      <c r="I128" s="23">
        <v>7.5</v>
      </c>
      <c r="J128" s="23">
        <v>7.5538461538461599</v>
      </c>
      <c r="K128" s="23">
        <v>7.5538461538461599</v>
      </c>
      <c r="L128" s="23">
        <v>7.5846153846153896</v>
      </c>
      <c r="M128" s="23">
        <v>7.62307692307692</v>
      </c>
      <c r="N128" s="23">
        <v>7.6153846153846203</v>
      </c>
      <c r="Q128" s="93">
        <v>46255</v>
      </c>
      <c r="R128" t="s">
        <v>516</v>
      </c>
      <c r="S128" t="s">
        <v>415</v>
      </c>
      <c r="T128" s="14">
        <v>7.44256792332805</v>
      </c>
      <c r="W128" s="20">
        <v>45910</v>
      </c>
      <c r="X128" t="s">
        <v>276</v>
      </c>
      <c r="Y128" s="23">
        <v>5.8692307692307697</v>
      </c>
      <c r="Z128" s="23">
        <v>5.4384615384615396</v>
      </c>
      <c r="AA128" s="23">
        <v>5.6538461538461497</v>
      </c>
      <c r="AC128" s="19"/>
      <c r="AD128" s="20">
        <v>45756</v>
      </c>
      <c r="AE128" t="s">
        <v>557</v>
      </c>
      <c r="AF128">
        <v>2097.764596086</v>
      </c>
      <c r="AG128" s="84">
        <f>DATE(YEAR(His53_DataTT[[#This Row],[RptDate]]),MONTH(His53_DataTT[[#This Row],[RptDate]]),1)</f>
        <v>45748</v>
      </c>
      <c r="AO128" s="14"/>
    </row>
    <row r="129" spans="2:41" x14ac:dyDescent="0.3">
      <c r="B129" s="93">
        <v>46084</v>
      </c>
      <c r="C129" s="23">
        <v>7.65</v>
      </c>
      <c r="D129" s="23">
        <v>7.5083333333333302</v>
      </c>
      <c r="E129" s="23">
        <v>7.3461538461538503</v>
      </c>
      <c r="F129" s="23">
        <v>7.3833333333333302</v>
      </c>
      <c r="G129" s="23">
        <v>7.4461538461538499</v>
      </c>
      <c r="H129" s="23">
        <v>7.4923076923076897</v>
      </c>
      <c r="I129" s="23">
        <v>7.5230769230769203</v>
      </c>
      <c r="J129" s="23">
        <v>7.5769230769230802</v>
      </c>
      <c r="K129" s="23">
        <v>7.5769230769230802</v>
      </c>
      <c r="L129" s="23">
        <v>7.60769230769231</v>
      </c>
      <c r="M129" s="23">
        <v>7.6307692307692303</v>
      </c>
      <c r="N129" s="23">
        <v>7.6384615384615397</v>
      </c>
      <c r="Q129" s="93">
        <v>46255</v>
      </c>
      <c r="R129" t="s">
        <v>1288</v>
      </c>
      <c r="S129" t="s">
        <v>415</v>
      </c>
      <c r="T129" s="14">
        <v>7.4769933821618997</v>
      </c>
      <c r="W129" s="20">
        <v>45910</v>
      </c>
      <c r="X129" t="s">
        <v>277</v>
      </c>
      <c r="Y129" s="23">
        <v>5.9538461538461496</v>
      </c>
      <c r="Z129" s="23">
        <v>5.5076923076923103</v>
      </c>
      <c r="AA129" s="23">
        <v>5.7307692307692299</v>
      </c>
      <c r="AC129" s="19"/>
      <c r="AD129" s="20">
        <v>45757</v>
      </c>
      <c r="AE129" t="s">
        <v>479</v>
      </c>
      <c r="AF129">
        <v>1019.010138494</v>
      </c>
      <c r="AG129" s="84">
        <f>DATE(YEAR(His53_DataTT[[#This Row],[RptDate]]),MONTH(His53_DataTT[[#This Row],[RptDate]]),1)</f>
        <v>45748</v>
      </c>
      <c r="AO129" s="14"/>
    </row>
    <row r="130" spans="2:41" x14ac:dyDescent="0.3">
      <c r="B130" s="93">
        <v>46085</v>
      </c>
      <c r="C130" s="23">
        <v>7.65</v>
      </c>
      <c r="D130" s="23">
        <v>7.5125000000000002</v>
      </c>
      <c r="E130" s="23">
        <v>7.45</v>
      </c>
      <c r="F130" s="23">
        <v>7.48461538461539</v>
      </c>
      <c r="G130" s="23">
        <v>7.4538461538461496</v>
      </c>
      <c r="H130" s="23">
        <v>7.5076923076923103</v>
      </c>
      <c r="I130" s="23">
        <v>7.5384615384615401</v>
      </c>
      <c r="J130" s="23">
        <v>7.5923076923076902</v>
      </c>
      <c r="K130" s="23">
        <v>7.5923076923076902</v>
      </c>
      <c r="L130" s="23">
        <v>7.6307692307692303</v>
      </c>
      <c r="M130" s="23">
        <v>7.6461538461538501</v>
      </c>
      <c r="N130" s="23">
        <v>7.6538461538461497</v>
      </c>
      <c r="Q130" s="93">
        <v>46255</v>
      </c>
      <c r="R130" t="s">
        <v>496</v>
      </c>
      <c r="S130" t="s">
        <v>415</v>
      </c>
      <c r="T130" s="14">
        <v>7.1264235409178198</v>
      </c>
      <c r="W130" s="20">
        <v>45910</v>
      </c>
      <c r="X130" t="s">
        <v>278</v>
      </c>
      <c r="Y130" s="23">
        <v>6.0115384615384597</v>
      </c>
      <c r="Z130" s="23">
        <v>5.5653846153846196</v>
      </c>
      <c r="AA130" s="23">
        <v>5.7884615384615401</v>
      </c>
      <c r="AC130" s="19"/>
      <c r="AD130" s="20">
        <v>45757</v>
      </c>
      <c r="AE130" t="s">
        <v>557</v>
      </c>
      <c r="AF130">
        <v>2864.3886208479998</v>
      </c>
      <c r="AG130" s="84">
        <f>DATE(YEAR(His53_DataTT[[#This Row],[RptDate]]),MONTH(His53_DataTT[[#This Row],[RptDate]]),1)</f>
        <v>45748</v>
      </c>
      <c r="AO130" s="14"/>
    </row>
    <row r="131" spans="2:41" x14ac:dyDescent="0.3">
      <c r="B131" s="93">
        <v>46086</v>
      </c>
      <c r="C131" s="23">
        <v>7.6166666666666698</v>
      </c>
      <c r="D131" s="23">
        <v>7.49583333333333</v>
      </c>
      <c r="E131" s="23">
        <v>7.45</v>
      </c>
      <c r="F131" s="23">
        <v>7.5076923076923103</v>
      </c>
      <c r="G131" s="23">
        <v>7.4692307692307702</v>
      </c>
      <c r="H131" s="23">
        <v>7.5307692307692298</v>
      </c>
      <c r="I131" s="23">
        <v>7.5615384615384604</v>
      </c>
      <c r="J131" s="23">
        <v>7.62307692307692</v>
      </c>
      <c r="K131" s="23">
        <v>7.62307692307692</v>
      </c>
      <c r="L131" s="23">
        <v>7.6615384615384601</v>
      </c>
      <c r="M131" s="23">
        <v>7.6846153846153902</v>
      </c>
      <c r="N131" s="23">
        <v>7.6923076923076898</v>
      </c>
      <c r="Q131" s="93">
        <v>46255</v>
      </c>
      <c r="R131" t="s">
        <v>1290</v>
      </c>
      <c r="S131" t="s">
        <v>415</v>
      </c>
      <c r="T131" s="14">
        <v>7.2700585512297797</v>
      </c>
      <c r="W131" s="20">
        <v>45910</v>
      </c>
      <c r="X131" t="s">
        <v>279</v>
      </c>
      <c r="Y131" s="23">
        <v>6.0461538461538504</v>
      </c>
      <c r="Z131" s="23">
        <v>5.6</v>
      </c>
      <c r="AA131" s="23">
        <v>5.8230769230769202</v>
      </c>
      <c r="AC131" s="19"/>
      <c r="AD131" s="20">
        <v>45758</v>
      </c>
      <c r="AE131" t="s">
        <v>479</v>
      </c>
      <c r="AF131">
        <v>3003.7391894970001</v>
      </c>
      <c r="AG131" s="84">
        <f>DATE(YEAR(His53_DataTT[[#This Row],[RptDate]]),MONTH(His53_DataTT[[#This Row],[RptDate]]),1)</f>
        <v>45748</v>
      </c>
      <c r="AO131" s="14"/>
    </row>
    <row r="132" spans="2:41" x14ac:dyDescent="0.3">
      <c r="B132" s="93">
        <v>46087</v>
      </c>
      <c r="C132" s="23">
        <v>7.6166666666666698</v>
      </c>
      <c r="D132" s="23">
        <v>7.49583333333333</v>
      </c>
      <c r="E132" s="23">
        <v>7.3833333333333302</v>
      </c>
      <c r="F132" s="23">
        <v>7.5076923076923103</v>
      </c>
      <c r="G132" s="23">
        <v>7.4692307692307702</v>
      </c>
      <c r="H132" s="23">
        <v>7.5307692307692298</v>
      </c>
      <c r="I132" s="23">
        <v>7.5615384615384604</v>
      </c>
      <c r="J132" s="23">
        <v>7.62307692307692</v>
      </c>
      <c r="K132" s="23">
        <v>7.62307692307692</v>
      </c>
      <c r="L132" s="23">
        <v>7.6615384615384601</v>
      </c>
      <c r="M132" s="23">
        <v>7.6846153846153902</v>
      </c>
      <c r="N132" s="23">
        <v>7.6923076923076898</v>
      </c>
      <c r="Q132" s="93">
        <v>46255</v>
      </c>
      <c r="R132" t="s">
        <v>364</v>
      </c>
      <c r="S132" t="s">
        <v>997</v>
      </c>
      <c r="T132" s="14">
        <v>30449.1</v>
      </c>
      <c r="W132" s="20">
        <v>45910</v>
      </c>
      <c r="X132" t="s">
        <v>280</v>
      </c>
      <c r="Y132" s="23">
        <v>6.1461538461538501</v>
      </c>
      <c r="Z132" s="23">
        <v>5.7</v>
      </c>
      <c r="AA132" s="23">
        <v>5.9230769230769198</v>
      </c>
      <c r="AC132" s="19"/>
      <c r="AD132" s="20">
        <v>45758</v>
      </c>
      <c r="AE132" t="s">
        <v>557</v>
      </c>
      <c r="AF132">
        <v>2277.9943743230001</v>
      </c>
      <c r="AG132" s="84">
        <f>DATE(YEAR(His53_DataTT[[#This Row],[RptDate]]),MONTH(His53_DataTT[[#This Row],[RptDate]]),1)</f>
        <v>45748</v>
      </c>
      <c r="AO132" s="14"/>
    </row>
    <row r="133" spans="2:41" x14ac:dyDescent="0.3">
      <c r="B133" s="93">
        <v>46090</v>
      </c>
      <c r="C133" s="23">
        <v>7.65</v>
      </c>
      <c r="D133" s="23">
        <v>7.5291666666666703</v>
      </c>
      <c r="E133" s="23">
        <v>7.4833333333333396</v>
      </c>
      <c r="F133" s="23">
        <v>7.5153846153846198</v>
      </c>
      <c r="G133" s="23">
        <v>7.4769230769230797</v>
      </c>
      <c r="H133" s="23">
        <v>7.5384615384615401</v>
      </c>
      <c r="I133" s="23">
        <v>7.5692307692307699</v>
      </c>
      <c r="J133" s="23">
        <v>7.6307692307692303</v>
      </c>
      <c r="K133" s="23">
        <v>7.6307692307692303</v>
      </c>
      <c r="L133" s="23">
        <v>7.6692307692307704</v>
      </c>
      <c r="M133" s="23">
        <v>7.6923076923076898</v>
      </c>
      <c r="N133" s="23">
        <v>7.7</v>
      </c>
      <c r="Q133" s="93">
        <v>46255</v>
      </c>
      <c r="R133" t="s">
        <v>496</v>
      </c>
      <c r="S133" t="s">
        <v>997</v>
      </c>
      <c r="T133" s="14">
        <v>19836.099999999999</v>
      </c>
      <c r="W133" s="20">
        <v>45910</v>
      </c>
      <c r="X133" t="s">
        <v>281</v>
      </c>
      <c r="Y133" s="23">
        <v>6.2230769230769196</v>
      </c>
      <c r="Z133" s="23">
        <v>5.7846153846153898</v>
      </c>
      <c r="AA133" s="23">
        <v>6.0038461538461503</v>
      </c>
      <c r="AC133" s="19"/>
      <c r="AD133" s="20">
        <v>45761</v>
      </c>
      <c r="AE133" t="s">
        <v>479</v>
      </c>
      <c r="AF133">
        <v>4218.5182853449996</v>
      </c>
      <c r="AG133" s="84">
        <f>DATE(YEAR(His53_DataTT[[#This Row],[RptDate]]),MONTH(His53_DataTT[[#This Row],[RptDate]]),1)</f>
        <v>45748</v>
      </c>
      <c r="AO133" s="14"/>
    </row>
    <row r="134" spans="2:41" x14ac:dyDescent="0.3">
      <c r="B134" s="93">
        <v>46091</v>
      </c>
      <c r="C134" s="23">
        <v>7.65</v>
      </c>
      <c r="D134" s="23">
        <v>7.5125000000000002</v>
      </c>
      <c r="E134" s="23">
        <v>7.45</v>
      </c>
      <c r="F134" s="23">
        <v>7.5153846153846198</v>
      </c>
      <c r="G134" s="23">
        <v>7.4769230769230797</v>
      </c>
      <c r="H134" s="23">
        <v>7.5384615384615401</v>
      </c>
      <c r="I134" s="23">
        <v>7.5692307692307699</v>
      </c>
      <c r="J134" s="23">
        <v>7.6307692307692303</v>
      </c>
      <c r="K134" s="23">
        <v>7.6307692307692303</v>
      </c>
      <c r="L134" s="23">
        <v>7.6692307692307704</v>
      </c>
      <c r="M134" s="23">
        <v>7.6923076923076898</v>
      </c>
      <c r="N134" s="23">
        <v>7.7</v>
      </c>
      <c r="Q134" s="93">
        <v>46255</v>
      </c>
      <c r="R134" t="s">
        <v>1388</v>
      </c>
      <c r="S134" t="s">
        <v>997</v>
      </c>
      <c r="T134" s="14">
        <v>13397.6106</v>
      </c>
      <c r="W134" s="20">
        <v>45911</v>
      </c>
      <c r="X134" t="s">
        <v>270</v>
      </c>
      <c r="Y134" s="23">
        <v>5.4785714285714304</v>
      </c>
      <c r="Z134" s="23">
        <v>5.1071428571428603</v>
      </c>
      <c r="AA134" s="23">
        <v>5.29285714285714</v>
      </c>
      <c r="AC134" s="19"/>
      <c r="AD134" s="20">
        <v>45761</v>
      </c>
      <c r="AE134" t="s">
        <v>557</v>
      </c>
      <c r="AF134">
        <v>1255.1641211660001</v>
      </c>
      <c r="AG134" s="84">
        <f>DATE(YEAR(His53_DataTT[[#This Row],[RptDate]]),MONTH(His53_DataTT[[#This Row],[RptDate]]),1)</f>
        <v>45748</v>
      </c>
      <c r="AO134" s="14"/>
    </row>
    <row r="135" spans="2:41" x14ac:dyDescent="0.3">
      <c r="B135" s="93">
        <v>46092</v>
      </c>
      <c r="C135" s="23">
        <v>7.65</v>
      </c>
      <c r="D135" s="23">
        <v>7.5291666666666703</v>
      </c>
      <c r="E135" s="23">
        <v>7.45</v>
      </c>
      <c r="F135" s="23">
        <v>7.5384615384615401</v>
      </c>
      <c r="G135" s="23">
        <v>7.5</v>
      </c>
      <c r="H135" s="23">
        <v>7.5615384615384604</v>
      </c>
      <c r="I135" s="23">
        <v>7.5923076923076902</v>
      </c>
      <c r="J135" s="23">
        <v>7.6538461538461497</v>
      </c>
      <c r="K135" s="23">
        <v>7.6538461538461497</v>
      </c>
      <c r="L135" s="23">
        <v>7.6923076923076898</v>
      </c>
      <c r="M135" s="23">
        <v>7.7153846153846199</v>
      </c>
      <c r="N135" s="23">
        <v>7.7230769230769196</v>
      </c>
      <c r="Q135" s="93">
        <v>46255</v>
      </c>
      <c r="R135" t="s">
        <v>1389</v>
      </c>
      <c r="S135" t="s">
        <v>997</v>
      </c>
      <c r="T135" s="14">
        <v>12800</v>
      </c>
      <c r="W135" s="20">
        <v>45911</v>
      </c>
      <c r="X135" t="s">
        <v>271</v>
      </c>
      <c r="Y135" s="23">
        <v>5.5923076923076902</v>
      </c>
      <c r="Z135" s="23">
        <v>5.1538461538461604</v>
      </c>
      <c r="AA135" s="23">
        <v>5.37307692307692</v>
      </c>
      <c r="AC135" s="19"/>
      <c r="AD135" s="20">
        <v>45762</v>
      </c>
      <c r="AE135" t="s">
        <v>479</v>
      </c>
      <c r="AF135">
        <v>4208.1961904219997</v>
      </c>
      <c r="AG135" s="84">
        <f>DATE(YEAR(His53_DataTT[[#This Row],[RptDate]]),MONTH(His53_DataTT[[#This Row],[RptDate]]),1)</f>
        <v>45748</v>
      </c>
      <c r="AO135" s="14"/>
    </row>
    <row r="136" spans="2:41" x14ac:dyDescent="0.3">
      <c r="B136" s="93">
        <v>46093</v>
      </c>
      <c r="C136" s="23">
        <v>7.65</v>
      </c>
      <c r="D136" s="23">
        <v>7.5791666666666702</v>
      </c>
      <c r="E136" s="23">
        <v>7.4833333333333396</v>
      </c>
      <c r="F136" s="23">
        <v>7.5384615384615401</v>
      </c>
      <c r="G136" s="23">
        <v>7.5</v>
      </c>
      <c r="H136" s="23">
        <v>7.5615384615384604</v>
      </c>
      <c r="I136" s="23">
        <v>7.5923076923076902</v>
      </c>
      <c r="J136" s="23">
        <v>7.6538461538461497</v>
      </c>
      <c r="K136" s="23">
        <v>7.6538461538461497</v>
      </c>
      <c r="L136" s="23">
        <v>7.6923076923076898</v>
      </c>
      <c r="M136" s="23">
        <v>7.7153846153846199</v>
      </c>
      <c r="N136" s="23">
        <v>7.7230769230769196</v>
      </c>
      <c r="Q136" s="93">
        <v>46255</v>
      </c>
      <c r="R136" t="s">
        <v>1390</v>
      </c>
      <c r="S136" t="s">
        <v>997</v>
      </c>
      <c r="T136" s="14">
        <v>397.61059999999998</v>
      </c>
      <c r="W136" s="20">
        <v>45911</v>
      </c>
      <c r="X136" t="s">
        <v>272</v>
      </c>
      <c r="Y136" s="23">
        <v>5.6384615384615397</v>
      </c>
      <c r="Z136" s="23">
        <v>5.2</v>
      </c>
      <c r="AA136" s="23">
        <v>5.4192307692307704</v>
      </c>
      <c r="AC136" s="19"/>
      <c r="AD136" s="20">
        <v>45762</v>
      </c>
      <c r="AE136" t="s">
        <v>557</v>
      </c>
      <c r="AF136">
        <v>3340.975472653</v>
      </c>
      <c r="AG136" s="84">
        <f>DATE(YEAR(His53_DataTT[[#This Row],[RptDate]]),MONTH(His53_DataTT[[#This Row],[RptDate]]),1)</f>
        <v>45748</v>
      </c>
      <c r="AO136" s="14"/>
    </row>
    <row r="137" spans="2:41" x14ac:dyDescent="0.3">
      <c r="B137" s="93">
        <v>46094</v>
      </c>
      <c r="C137" s="23">
        <v>7.65</v>
      </c>
      <c r="D137" s="23">
        <v>7.5791666666666702</v>
      </c>
      <c r="E137" s="23">
        <v>7.4833333333333396</v>
      </c>
      <c r="F137" s="23">
        <v>7.5461538461538504</v>
      </c>
      <c r="G137" s="23">
        <v>7.5076923076923103</v>
      </c>
      <c r="H137" s="23">
        <v>7.5615384615384604</v>
      </c>
      <c r="I137" s="23">
        <v>7.5923076923076902</v>
      </c>
      <c r="J137" s="23">
        <v>7.6538461538461497</v>
      </c>
      <c r="K137" s="23">
        <v>7.6538461538461497</v>
      </c>
      <c r="L137" s="23">
        <v>7.6923076923076898</v>
      </c>
      <c r="M137" s="23">
        <v>7.7153846153846199</v>
      </c>
      <c r="N137" s="23">
        <v>7.7230769230769196</v>
      </c>
      <c r="Q137" s="93">
        <v>46254</v>
      </c>
      <c r="R137" t="s">
        <v>479</v>
      </c>
      <c r="S137" t="s">
        <v>399</v>
      </c>
      <c r="T137" s="14">
        <v>10768.3850283468</v>
      </c>
      <c r="W137" s="20">
        <v>45911</v>
      </c>
      <c r="X137" t="s">
        <v>273</v>
      </c>
      <c r="Y137" s="23">
        <v>5.7923076923076904</v>
      </c>
      <c r="Z137" s="23">
        <v>5.3384615384615399</v>
      </c>
      <c r="AA137" s="23">
        <v>5.5653846153846196</v>
      </c>
      <c r="AC137" s="19"/>
      <c r="AD137" s="20">
        <v>45763</v>
      </c>
      <c r="AE137" t="s">
        <v>479</v>
      </c>
      <c r="AF137">
        <v>4479.0355839330005</v>
      </c>
      <c r="AG137" s="84">
        <f>DATE(YEAR(His53_DataTT[[#This Row],[RptDate]]),MONTH(His53_DataTT[[#This Row],[RptDate]]),1)</f>
        <v>45748</v>
      </c>
      <c r="AO137" s="14"/>
    </row>
    <row r="138" spans="2:41" x14ac:dyDescent="0.3">
      <c r="B138" s="93">
        <v>46097</v>
      </c>
      <c r="C138" s="23">
        <v>7.65</v>
      </c>
      <c r="D138" s="23">
        <v>7.5791666666666702</v>
      </c>
      <c r="E138" s="23">
        <v>7.5166666666666702</v>
      </c>
      <c r="F138" s="23">
        <v>7.5538461538461501</v>
      </c>
      <c r="G138" s="23">
        <v>7.5153846153846198</v>
      </c>
      <c r="H138" s="23">
        <v>7.5692307692307699</v>
      </c>
      <c r="I138" s="23">
        <v>7.6</v>
      </c>
      <c r="J138" s="23">
        <v>7.6538461538461497</v>
      </c>
      <c r="K138" s="23">
        <v>7.6538461538461497</v>
      </c>
      <c r="L138" s="23">
        <v>7.6923076923076898</v>
      </c>
      <c r="M138" s="23">
        <v>7.7153846153846199</v>
      </c>
      <c r="N138" s="23">
        <v>7.7230769230769196</v>
      </c>
      <c r="Q138" s="93">
        <v>46254</v>
      </c>
      <c r="R138" t="s">
        <v>364</v>
      </c>
      <c r="S138" t="s">
        <v>399</v>
      </c>
      <c r="T138" s="14">
        <v>28449.1</v>
      </c>
      <c r="W138" s="20">
        <v>45911</v>
      </c>
      <c r="X138" t="s">
        <v>274</v>
      </c>
      <c r="Y138" s="23">
        <v>5.8461538461538503</v>
      </c>
      <c r="Z138" s="23">
        <v>5.39230769230769</v>
      </c>
      <c r="AA138" s="23">
        <v>5.6192307692307697</v>
      </c>
      <c r="AC138" s="19"/>
      <c r="AD138" s="20">
        <v>45763</v>
      </c>
      <c r="AE138" t="s">
        <v>557</v>
      </c>
      <c r="AF138">
        <v>1054.4312908859999</v>
      </c>
      <c r="AG138" s="84">
        <f>DATE(YEAR(His53_DataTT[[#This Row],[RptDate]]),MONTH(His53_DataTT[[#This Row],[RptDate]]),1)</f>
        <v>45748</v>
      </c>
      <c r="AO138" s="14"/>
    </row>
    <row r="139" spans="2:41" x14ac:dyDescent="0.3">
      <c r="B139" s="93">
        <v>46098</v>
      </c>
      <c r="C139" s="23">
        <v>7.6166666666666698</v>
      </c>
      <c r="D139" s="23">
        <v>7.5791666666666702</v>
      </c>
      <c r="E139" s="23">
        <v>7.5166666666666702</v>
      </c>
      <c r="F139" s="23">
        <v>7.5538461538461501</v>
      </c>
      <c r="G139" s="23">
        <v>7.5153846153846198</v>
      </c>
      <c r="H139" s="23">
        <v>7.5692307692307699</v>
      </c>
      <c r="I139" s="23">
        <v>7.6</v>
      </c>
      <c r="J139" s="23">
        <v>7.6538461538461497</v>
      </c>
      <c r="K139" s="23">
        <v>7.6538461538461497</v>
      </c>
      <c r="L139" s="23">
        <v>7.6923076923076898</v>
      </c>
      <c r="M139" s="23">
        <v>7.7153846153846199</v>
      </c>
      <c r="N139" s="23">
        <v>7.7230769230769196</v>
      </c>
      <c r="Q139" s="93">
        <v>46254</v>
      </c>
      <c r="R139" t="s">
        <v>491</v>
      </c>
      <c r="S139" t="s">
        <v>399</v>
      </c>
      <c r="T139" s="14">
        <v>397.61059999999998</v>
      </c>
      <c r="W139" s="20">
        <v>45911</v>
      </c>
      <c r="X139" t="s">
        <v>275</v>
      </c>
      <c r="Y139" s="23">
        <v>5.87307692307692</v>
      </c>
      <c r="Z139" s="23">
        <v>5.4269230769230798</v>
      </c>
      <c r="AA139" s="23">
        <v>5.65</v>
      </c>
      <c r="AC139" s="19"/>
      <c r="AD139" s="20">
        <v>45764</v>
      </c>
      <c r="AE139" t="s">
        <v>479</v>
      </c>
      <c r="AF139">
        <v>3838.9042024400001</v>
      </c>
      <c r="AG139" s="84">
        <f>DATE(YEAR(His53_DataTT[[#This Row],[RptDate]]),MONTH(His53_DataTT[[#This Row],[RptDate]]),1)</f>
        <v>45748</v>
      </c>
      <c r="AO139" s="14"/>
    </row>
    <row r="140" spans="2:41" x14ac:dyDescent="0.3">
      <c r="B140" s="93">
        <v>46099</v>
      </c>
      <c r="C140" s="23">
        <v>7.65</v>
      </c>
      <c r="D140" s="23">
        <v>7.5791666666666702</v>
      </c>
      <c r="E140" s="23">
        <v>7.5166666666666702</v>
      </c>
      <c r="F140" s="23">
        <v>7.5538461538461501</v>
      </c>
      <c r="G140" s="23">
        <v>7.5153846153846198</v>
      </c>
      <c r="H140" s="23">
        <v>7.5692307692307699</v>
      </c>
      <c r="I140" s="23">
        <v>7.6</v>
      </c>
      <c r="J140" s="23">
        <v>7.6538461538461497</v>
      </c>
      <c r="K140" s="23">
        <v>7.6538461538461497</v>
      </c>
      <c r="L140" s="23">
        <v>7.6923076923076898</v>
      </c>
      <c r="M140" s="23">
        <v>7.7153846153846199</v>
      </c>
      <c r="N140" s="23">
        <v>7.7230769230769196</v>
      </c>
      <c r="Q140" s="93">
        <v>46254</v>
      </c>
      <c r="R140" t="s">
        <v>492</v>
      </c>
      <c r="S140" t="s">
        <v>399</v>
      </c>
      <c r="T140" s="14">
        <v>9800</v>
      </c>
      <c r="W140" s="20">
        <v>45911</v>
      </c>
      <c r="X140" t="s">
        <v>276</v>
      </c>
      <c r="Y140" s="23">
        <v>5.9307692307692301</v>
      </c>
      <c r="Z140" s="23">
        <v>5.4692307692307702</v>
      </c>
      <c r="AA140" s="23">
        <v>5.7</v>
      </c>
      <c r="AC140" s="19"/>
      <c r="AD140" s="20">
        <v>45764</v>
      </c>
      <c r="AE140" t="s">
        <v>557</v>
      </c>
      <c r="AF140">
        <v>5384.2516219569998</v>
      </c>
      <c r="AG140" s="84">
        <f>DATE(YEAR(His53_DataTT[[#This Row],[RptDate]]),MONTH(His53_DataTT[[#This Row],[RptDate]]),1)</f>
        <v>45748</v>
      </c>
      <c r="AO140" s="14"/>
    </row>
    <row r="141" spans="2:41" x14ac:dyDescent="0.3">
      <c r="B141" s="93">
        <v>46100</v>
      </c>
      <c r="C141" s="23">
        <v>7.65</v>
      </c>
      <c r="D141" s="23">
        <v>7.5791666666666702</v>
      </c>
      <c r="E141" s="23">
        <v>7.55</v>
      </c>
      <c r="F141" s="23">
        <v>7.5769230769230802</v>
      </c>
      <c r="G141" s="23">
        <v>7.5384615384615401</v>
      </c>
      <c r="H141" s="23">
        <v>7.5923076923076902</v>
      </c>
      <c r="I141" s="23">
        <v>7.62307692307692</v>
      </c>
      <c r="J141" s="23">
        <v>7.6846153846153902</v>
      </c>
      <c r="K141" s="23">
        <v>7.6846153846153902</v>
      </c>
      <c r="L141" s="23">
        <v>7.7076923076923096</v>
      </c>
      <c r="M141" s="23">
        <v>7.7307692307692299</v>
      </c>
      <c r="N141" s="23">
        <v>7.7384615384615403</v>
      </c>
      <c r="Q141" s="93">
        <v>46254</v>
      </c>
      <c r="R141" t="s">
        <v>1438</v>
      </c>
      <c r="S141" t="s">
        <v>399</v>
      </c>
      <c r="T141" s="14">
        <v>570.77442834678004</v>
      </c>
      <c r="W141" s="20">
        <v>45911</v>
      </c>
      <c r="X141" t="s">
        <v>277</v>
      </c>
      <c r="Y141" s="23">
        <v>6.0038461538461503</v>
      </c>
      <c r="Z141" s="23">
        <v>5.5346153846153898</v>
      </c>
      <c r="AA141" s="23">
        <v>5.7692307692307701</v>
      </c>
      <c r="AC141" s="19"/>
      <c r="AD141" s="20">
        <v>45765</v>
      </c>
      <c r="AE141" t="s">
        <v>479</v>
      </c>
      <c r="AF141">
        <v>2581.2709321480002</v>
      </c>
      <c r="AG141" s="84">
        <f>DATE(YEAR(His53_DataTT[[#This Row],[RptDate]]),MONTH(His53_DataTT[[#This Row],[RptDate]]),1)</f>
        <v>45748</v>
      </c>
      <c r="AO141" s="14"/>
    </row>
    <row r="142" spans="2:41" x14ac:dyDescent="0.3">
      <c r="B142" s="93">
        <v>46101</v>
      </c>
      <c r="C142" s="23">
        <v>7.65</v>
      </c>
      <c r="D142" s="23">
        <v>7.5791666666666702</v>
      </c>
      <c r="E142" s="23">
        <v>7.55</v>
      </c>
      <c r="F142" s="23">
        <v>7.5769230769230802</v>
      </c>
      <c r="G142" s="23">
        <v>7.5384615384615401</v>
      </c>
      <c r="H142" s="23">
        <v>7.5923076923076902</v>
      </c>
      <c r="I142" s="23">
        <v>7.62307692307692</v>
      </c>
      <c r="J142" s="23">
        <v>7.6846153846153902</v>
      </c>
      <c r="K142" s="23">
        <v>7.6846153846153902</v>
      </c>
      <c r="L142" s="23">
        <v>7.7076923076923096</v>
      </c>
      <c r="M142" s="23">
        <v>7.7307692307692299</v>
      </c>
      <c r="N142" s="23">
        <v>7.7384615384615403</v>
      </c>
      <c r="Q142" s="93">
        <v>46254</v>
      </c>
      <c r="R142" t="s">
        <v>496</v>
      </c>
      <c r="S142" t="s">
        <v>399</v>
      </c>
      <c r="T142" s="14">
        <v>15336.1</v>
      </c>
      <c r="W142" s="20">
        <v>45911</v>
      </c>
      <c r="X142" t="s">
        <v>278</v>
      </c>
      <c r="Y142" s="23">
        <v>6.0615384615384604</v>
      </c>
      <c r="Z142" s="23">
        <v>5.5961538461538503</v>
      </c>
      <c r="AA142" s="23">
        <v>5.8288461538461496</v>
      </c>
      <c r="AC142" s="19"/>
      <c r="AD142" s="20">
        <v>45765</v>
      </c>
      <c r="AE142" t="s">
        <v>557</v>
      </c>
      <c r="AF142">
        <v>1441.4747799469999</v>
      </c>
      <c r="AG142" s="84">
        <f>DATE(YEAR(His53_DataTT[[#This Row],[RptDate]]),MONTH(His53_DataTT[[#This Row],[RptDate]]),1)</f>
        <v>45748</v>
      </c>
      <c r="AO142" s="14"/>
    </row>
    <row r="143" spans="2:41" x14ac:dyDescent="0.3">
      <c r="B143" s="93">
        <v>46104</v>
      </c>
      <c r="C143" s="23">
        <v>7.65</v>
      </c>
      <c r="D143" s="23">
        <v>7.5791666666666702</v>
      </c>
      <c r="E143" s="23">
        <v>7.55</v>
      </c>
      <c r="F143" s="23">
        <v>7.5769230769230802</v>
      </c>
      <c r="G143" s="23">
        <v>7.5384615384615401</v>
      </c>
      <c r="H143" s="23">
        <v>7.5923076923076902</v>
      </c>
      <c r="I143" s="23">
        <v>7.62307692307692</v>
      </c>
      <c r="J143" s="23">
        <v>7.6846153846153902</v>
      </c>
      <c r="K143" s="23">
        <v>7.6846153846153902</v>
      </c>
      <c r="L143" s="23">
        <v>7.7076923076923096</v>
      </c>
      <c r="M143" s="23">
        <v>7.7307692307692299</v>
      </c>
      <c r="N143" s="23">
        <v>7.7384615384615403</v>
      </c>
      <c r="Q143" s="93">
        <v>46254</v>
      </c>
      <c r="R143" t="s">
        <v>497</v>
      </c>
      <c r="S143" t="s">
        <v>399</v>
      </c>
      <c r="T143" s="14">
        <v>397.61059999999998</v>
      </c>
      <c r="W143" s="20">
        <v>45911</v>
      </c>
      <c r="X143" t="s">
        <v>279</v>
      </c>
      <c r="Y143" s="23">
        <v>6.0961538461538503</v>
      </c>
      <c r="Z143" s="23">
        <v>5.6307692307692303</v>
      </c>
      <c r="AA143" s="23">
        <v>5.8634615384615403</v>
      </c>
      <c r="AC143" s="19"/>
      <c r="AD143" s="20">
        <v>45768</v>
      </c>
      <c r="AE143" t="s">
        <v>479</v>
      </c>
      <c r="AF143">
        <v>1134.8429173039999</v>
      </c>
      <c r="AG143" s="84">
        <f>DATE(YEAR(His53_DataTT[[#This Row],[RptDate]]),MONTH(His53_DataTT[[#This Row],[RptDate]]),1)</f>
        <v>45748</v>
      </c>
      <c r="AO143" s="14"/>
    </row>
    <row r="144" spans="2:41" x14ac:dyDescent="0.3">
      <c r="B144" s="93">
        <v>46105</v>
      </c>
      <c r="C144" s="23">
        <v>7.65</v>
      </c>
      <c r="D144" s="23">
        <v>7.6375000000000002</v>
      </c>
      <c r="E144" s="23">
        <v>7.6166666666666698</v>
      </c>
      <c r="F144" s="23">
        <v>7.6346153846153904</v>
      </c>
      <c r="G144" s="23">
        <v>7.5807692307692296</v>
      </c>
      <c r="H144" s="23">
        <v>7.6346153846153904</v>
      </c>
      <c r="I144" s="23">
        <v>7.6653846153846201</v>
      </c>
      <c r="J144" s="23">
        <v>7.7269230769230797</v>
      </c>
      <c r="K144" s="23">
        <v>7.7269230769230797</v>
      </c>
      <c r="L144" s="23">
        <v>7.75</v>
      </c>
      <c r="M144" s="23">
        <v>7.7730769230769203</v>
      </c>
      <c r="N144" s="23">
        <v>7.7807692307692298</v>
      </c>
      <c r="Q144" s="93">
        <v>46254</v>
      </c>
      <c r="R144" t="s">
        <v>498</v>
      </c>
      <c r="S144" t="s">
        <v>399</v>
      </c>
      <c r="T144" s="14">
        <v>9800</v>
      </c>
      <c r="W144" s="20">
        <v>45911</v>
      </c>
      <c r="X144" t="s">
        <v>280</v>
      </c>
      <c r="Y144" s="23">
        <v>6.1923076923076898</v>
      </c>
      <c r="Z144" s="23">
        <v>5.7230769230769196</v>
      </c>
      <c r="AA144" s="23">
        <v>5.9576923076923096</v>
      </c>
      <c r="AC144" s="19"/>
      <c r="AD144" s="20">
        <v>45768</v>
      </c>
      <c r="AE144" t="s">
        <v>557</v>
      </c>
      <c r="AF144">
        <v>3422.0487703499998</v>
      </c>
      <c r="AG144" s="84">
        <f>DATE(YEAR(His53_DataTT[[#This Row],[RptDate]]),MONTH(His53_DataTT[[#This Row],[RptDate]]),1)</f>
        <v>45748</v>
      </c>
      <c r="AO144" s="14"/>
    </row>
    <row r="145" spans="2:41" x14ac:dyDescent="0.3">
      <c r="B145" s="93">
        <v>46106</v>
      </c>
      <c r="C145" s="23">
        <v>7.65</v>
      </c>
      <c r="D145" s="23">
        <v>7.6541666666666703</v>
      </c>
      <c r="E145" s="23">
        <v>7.65</v>
      </c>
      <c r="F145" s="23">
        <v>7.6576923076923098</v>
      </c>
      <c r="G145" s="23">
        <v>7.6038461538461597</v>
      </c>
      <c r="H145" s="23">
        <v>7.6576923076923098</v>
      </c>
      <c r="I145" s="23">
        <v>7.6884615384615396</v>
      </c>
      <c r="J145" s="23">
        <v>7.75</v>
      </c>
      <c r="K145" s="23">
        <v>7.75</v>
      </c>
      <c r="L145" s="23">
        <v>7.7730769230769203</v>
      </c>
      <c r="M145" s="23">
        <v>7.7961538461538504</v>
      </c>
      <c r="N145" s="23">
        <v>7.7961538461538504</v>
      </c>
      <c r="Q145" s="93">
        <v>46254</v>
      </c>
      <c r="R145" t="s">
        <v>494</v>
      </c>
      <c r="S145" t="s">
        <v>399</v>
      </c>
      <c r="T145" s="14">
        <v>0</v>
      </c>
      <c r="W145" s="20">
        <v>45911</v>
      </c>
      <c r="X145" t="s">
        <v>281</v>
      </c>
      <c r="Y145" s="23">
        <v>6.2692307692307701</v>
      </c>
      <c r="Z145" s="23">
        <v>5.8230769230769202</v>
      </c>
      <c r="AA145" s="23">
        <v>6.0461538461538504</v>
      </c>
      <c r="AC145" s="19"/>
      <c r="AD145" s="20">
        <v>45769</v>
      </c>
      <c r="AE145" t="s">
        <v>479</v>
      </c>
      <c r="AF145">
        <v>2046.4546528220001</v>
      </c>
      <c r="AG145" s="84">
        <f>DATE(YEAR(His53_DataTT[[#This Row],[RptDate]]),MONTH(His53_DataTT[[#This Row],[RptDate]]),1)</f>
        <v>45748</v>
      </c>
      <c r="AO145" s="14"/>
    </row>
    <row r="146" spans="2:41" x14ac:dyDescent="0.3">
      <c r="B146" s="93">
        <v>46107</v>
      </c>
      <c r="C146" s="23">
        <v>7.65</v>
      </c>
      <c r="D146" s="23">
        <v>7.6541666666666703</v>
      </c>
      <c r="E146" s="23">
        <v>7.65</v>
      </c>
      <c r="F146" s="23">
        <v>7.64230769230769</v>
      </c>
      <c r="G146" s="23">
        <v>7.6038461538461597</v>
      </c>
      <c r="H146" s="23">
        <v>7.6576923076923098</v>
      </c>
      <c r="I146" s="23">
        <v>7.6884615384615396</v>
      </c>
      <c r="J146" s="23">
        <v>7.75</v>
      </c>
      <c r="K146" s="23">
        <v>7.75</v>
      </c>
      <c r="L146" s="23">
        <v>7.7730769230769203</v>
      </c>
      <c r="M146" s="23">
        <v>7.7961538461538504</v>
      </c>
      <c r="N146" s="23">
        <v>7.7961538461538504</v>
      </c>
      <c r="Q146" s="93">
        <v>46254</v>
      </c>
      <c r="R146" t="s">
        <v>495</v>
      </c>
      <c r="S146" t="s">
        <v>399</v>
      </c>
      <c r="T146" s="14">
        <v>0</v>
      </c>
      <c r="W146" s="20">
        <v>45912</v>
      </c>
      <c r="X146" t="s">
        <v>270</v>
      </c>
      <c r="Y146" s="23">
        <v>5.4785714285714304</v>
      </c>
      <c r="Z146" s="23">
        <v>5.1071428571428603</v>
      </c>
      <c r="AA146" s="23">
        <v>5.29285714285714</v>
      </c>
      <c r="AC146" s="19"/>
      <c r="AD146" s="20">
        <v>45769</v>
      </c>
      <c r="AE146" t="s">
        <v>557</v>
      </c>
      <c r="AF146">
        <v>2127.355535014</v>
      </c>
      <c r="AG146" s="84">
        <f>DATE(YEAR(His53_DataTT[[#This Row],[RptDate]]),MONTH(His53_DataTT[[#This Row],[RptDate]]),1)</f>
        <v>45748</v>
      </c>
      <c r="AO146" s="14"/>
    </row>
    <row r="147" spans="2:41" x14ac:dyDescent="0.3">
      <c r="B147" s="93">
        <v>46108</v>
      </c>
      <c r="C147" s="23">
        <v>7.68333333333333</v>
      </c>
      <c r="D147" s="23">
        <v>7.7374999999999998</v>
      </c>
      <c r="E147" s="23">
        <v>7.6833333333333398</v>
      </c>
      <c r="F147" s="23">
        <v>7.7269230769230797</v>
      </c>
      <c r="G147" s="23">
        <v>7.6961538461538499</v>
      </c>
      <c r="H147" s="23">
        <v>7.7538461538461503</v>
      </c>
      <c r="I147" s="23">
        <v>7.7615384615384597</v>
      </c>
      <c r="J147" s="23">
        <v>7.8192307692307699</v>
      </c>
      <c r="K147" s="23">
        <v>7.8192307692307699</v>
      </c>
      <c r="L147" s="23">
        <v>7.8423076923076902</v>
      </c>
      <c r="M147" s="23">
        <v>7.8653846153846203</v>
      </c>
      <c r="N147" s="23">
        <v>7.8807692307692303</v>
      </c>
      <c r="Q147" s="93">
        <v>46254</v>
      </c>
      <c r="R147" t="s">
        <v>493</v>
      </c>
      <c r="S147" t="s">
        <v>399</v>
      </c>
      <c r="T147" s="14">
        <v>0</v>
      </c>
      <c r="W147" s="20">
        <v>45912</v>
      </c>
      <c r="X147" t="s">
        <v>271</v>
      </c>
      <c r="Y147" s="23">
        <v>5.5923076923076902</v>
      </c>
      <c r="Z147" s="23">
        <v>5.1538461538461604</v>
      </c>
      <c r="AA147" s="23">
        <v>5.37307692307692</v>
      </c>
      <c r="AC147" s="19"/>
      <c r="AD147" s="20">
        <v>45770</v>
      </c>
      <c r="AE147" t="s">
        <v>479</v>
      </c>
      <c r="AF147">
        <v>611.42914969399999</v>
      </c>
      <c r="AG147" s="84">
        <f>DATE(YEAR(His53_DataTT[[#This Row],[RptDate]]),MONTH(His53_DataTT[[#This Row],[RptDate]]),1)</f>
        <v>45748</v>
      </c>
      <c r="AO147" s="14"/>
    </row>
    <row r="148" spans="2:41" x14ac:dyDescent="0.3">
      <c r="B148" s="93">
        <v>46111</v>
      </c>
      <c r="C148" s="23">
        <v>7.7</v>
      </c>
      <c r="D148" s="23">
        <v>7.7874999999999996</v>
      </c>
      <c r="E148" s="23">
        <v>7.6166666666666698</v>
      </c>
      <c r="F148" s="23">
        <v>7.75</v>
      </c>
      <c r="G148" s="23">
        <v>7.7115384615384599</v>
      </c>
      <c r="H148" s="23">
        <v>7.7692307692307701</v>
      </c>
      <c r="I148" s="23">
        <v>7.7769230769230804</v>
      </c>
      <c r="J148" s="23">
        <v>7.8346153846153896</v>
      </c>
      <c r="K148" s="23">
        <v>7.8346153846153896</v>
      </c>
      <c r="L148" s="23">
        <v>7.85769230769231</v>
      </c>
      <c r="M148" s="23">
        <v>7.8807692307692303</v>
      </c>
      <c r="N148" s="23">
        <v>7.8961538461538501</v>
      </c>
      <c r="Q148" s="93">
        <v>46254</v>
      </c>
      <c r="R148" t="s">
        <v>593</v>
      </c>
      <c r="S148" t="s">
        <v>399</v>
      </c>
      <c r="T148" s="14">
        <v>13113</v>
      </c>
      <c r="W148" s="20">
        <v>45912</v>
      </c>
      <c r="X148" t="s">
        <v>272</v>
      </c>
      <c r="Y148" s="23">
        <v>5.6384615384615397</v>
      </c>
      <c r="Z148" s="23">
        <v>5.2</v>
      </c>
      <c r="AA148" s="23">
        <v>5.4192307692307704</v>
      </c>
      <c r="AC148" s="19"/>
      <c r="AD148" s="20">
        <v>45770</v>
      </c>
      <c r="AE148" t="s">
        <v>557</v>
      </c>
      <c r="AF148">
        <v>1370.813651017</v>
      </c>
      <c r="AG148" s="84">
        <f>DATE(YEAR(His53_DataTT[[#This Row],[RptDate]]),MONTH(His53_DataTT[[#This Row],[RptDate]]),1)</f>
        <v>45748</v>
      </c>
      <c r="AO148" s="14"/>
    </row>
    <row r="149" spans="2:41" x14ac:dyDescent="0.3">
      <c r="B149" s="93">
        <v>46112</v>
      </c>
      <c r="C149" s="23">
        <v>7.7</v>
      </c>
      <c r="D149" s="23">
        <v>7.8541666666666696</v>
      </c>
      <c r="E149" s="23">
        <v>7.6166666666666698</v>
      </c>
      <c r="F149" s="23">
        <v>7.8038461538461599</v>
      </c>
      <c r="G149" s="23">
        <v>7.7807692307692298</v>
      </c>
      <c r="H149" s="23">
        <v>7.8307692307692296</v>
      </c>
      <c r="I149" s="23">
        <v>7.8615384615384603</v>
      </c>
      <c r="J149" s="23">
        <v>7.9115384615384601</v>
      </c>
      <c r="K149" s="23">
        <v>7.9115384615384601</v>
      </c>
      <c r="L149" s="23">
        <v>7.9346153846153902</v>
      </c>
      <c r="M149" s="23">
        <v>7.9576923076923096</v>
      </c>
      <c r="N149" s="23">
        <v>7.9730769230769196</v>
      </c>
      <c r="Q149" s="93">
        <v>46254</v>
      </c>
      <c r="R149" t="s">
        <v>594</v>
      </c>
      <c r="S149" t="s">
        <v>399</v>
      </c>
      <c r="T149" s="14">
        <v>0</v>
      </c>
      <c r="W149" s="20">
        <v>45912</v>
      </c>
      <c r="X149" t="s">
        <v>273</v>
      </c>
      <c r="Y149" s="23">
        <v>5.7923076923076904</v>
      </c>
      <c r="Z149" s="23">
        <v>5.3384615384615399</v>
      </c>
      <c r="AA149" s="23">
        <v>5.5653846153846196</v>
      </c>
      <c r="AC149" s="19"/>
      <c r="AD149" s="20">
        <v>45771</v>
      </c>
      <c r="AE149" t="s">
        <v>479</v>
      </c>
      <c r="AF149">
        <v>1649.384699812</v>
      </c>
      <c r="AG149" s="84">
        <f>DATE(YEAR(His53_DataTT[[#This Row],[RptDate]]),MONTH(His53_DataTT[[#This Row],[RptDate]]),1)</f>
        <v>45748</v>
      </c>
      <c r="AO149" s="14"/>
    </row>
    <row r="150" spans="2:41" x14ac:dyDescent="0.3">
      <c r="B150" s="93">
        <v>46113</v>
      </c>
      <c r="C150" s="23">
        <v>7.7</v>
      </c>
      <c r="D150" s="23">
        <v>7.87083333333333</v>
      </c>
      <c r="E150" s="23">
        <v>7.65</v>
      </c>
      <c r="F150" s="23">
        <v>7.7653846153846198</v>
      </c>
      <c r="G150" s="23">
        <v>7.7961538461538504</v>
      </c>
      <c r="H150" s="23">
        <v>7.8307692307692296</v>
      </c>
      <c r="I150" s="23">
        <v>7.9076923076923098</v>
      </c>
      <c r="J150" s="23">
        <v>7.95</v>
      </c>
      <c r="K150" s="23">
        <v>7.9653846153846199</v>
      </c>
      <c r="L150" s="23">
        <v>8.0115384615384606</v>
      </c>
      <c r="M150" s="23">
        <v>8.0346153846153907</v>
      </c>
      <c r="N150" s="23">
        <v>8.0500000000000007</v>
      </c>
      <c r="Q150" s="93">
        <v>46254</v>
      </c>
      <c r="R150" t="s">
        <v>595</v>
      </c>
      <c r="S150" t="s">
        <v>399</v>
      </c>
      <c r="T150" s="14">
        <v>0</v>
      </c>
      <c r="W150" s="20">
        <v>45912</v>
      </c>
      <c r="X150" t="s">
        <v>274</v>
      </c>
      <c r="Y150" s="23">
        <v>5.8461538461538503</v>
      </c>
      <c r="Z150" s="23">
        <v>5.39230769230769</v>
      </c>
      <c r="AA150" s="23">
        <v>5.6192307692307697</v>
      </c>
      <c r="AC150" s="19"/>
      <c r="AD150" s="20">
        <v>45771</v>
      </c>
      <c r="AE150" t="s">
        <v>557</v>
      </c>
      <c r="AF150">
        <v>4259.1873957839998</v>
      </c>
      <c r="AG150" s="84">
        <f>DATE(YEAR(His53_DataTT[[#This Row],[RptDate]]),MONTH(His53_DataTT[[#This Row],[RptDate]]),1)</f>
        <v>45748</v>
      </c>
      <c r="AO150" s="14"/>
    </row>
    <row r="151" spans="2:41" x14ac:dyDescent="0.3">
      <c r="B151" s="93">
        <v>46114</v>
      </c>
      <c r="C151" s="23">
        <v>7.7549999999999999</v>
      </c>
      <c r="D151" s="23">
        <v>7.87</v>
      </c>
      <c r="E151" s="23">
        <v>7.65</v>
      </c>
      <c r="F151" s="23">
        <v>7.8038461538461599</v>
      </c>
      <c r="G151" s="23">
        <v>7.8192307692307699</v>
      </c>
      <c r="H151" s="23">
        <v>7.8615384615384603</v>
      </c>
      <c r="I151" s="23">
        <v>7.9153846153846104</v>
      </c>
      <c r="J151" s="23">
        <v>7.9576923076923096</v>
      </c>
      <c r="K151" s="23">
        <v>7.9653846153846199</v>
      </c>
      <c r="L151" s="23">
        <v>7.9961538461538497</v>
      </c>
      <c r="M151" s="23">
        <v>8.0192307692307701</v>
      </c>
      <c r="N151" s="23">
        <v>8.0346153846153907</v>
      </c>
      <c r="Q151" s="93">
        <v>46254</v>
      </c>
      <c r="R151" t="s">
        <v>1439</v>
      </c>
      <c r="S151" t="s">
        <v>399</v>
      </c>
      <c r="T151" s="14">
        <v>570.77442834678004</v>
      </c>
      <c r="W151" s="20">
        <v>45912</v>
      </c>
      <c r="X151" t="s">
        <v>275</v>
      </c>
      <c r="Y151" s="23">
        <v>5.87307692307692</v>
      </c>
      <c r="Z151" s="23">
        <v>5.4269230769230798</v>
      </c>
      <c r="AA151" s="23">
        <v>5.65</v>
      </c>
      <c r="AC151" s="19"/>
      <c r="AD151" s="20">
        <v>45772</v>
      </c>
      <c r="AE151" t="s">
        <v>479</v>
      </c>
      <c r="AF151">
        <v>2107.2102745269999</v>
      </c>
      <c r="AG151" s="84">
        <f>DATE(YEAR(His53_DataTT[[#This Row],[RptDate]]),MONTH(His53_DataTT[[#This Row],[RptDate]]),1)</f>
        <v>45748</v>
      </c>
      <c r="AO151" s="14"/>
    </row>
    <row r="152" spans="2:41" x14ac:dyDescent="0.3">
      <c r="B152" s="93">
        <v>46115</v>
      </c>
      <c r="C152" s="23">
        <v>7.7549999999999999</v>
      </c>
      <c r="D152" s="23">
        <v>7.81</v>
      </c>
      <c r="E152" s="23">
        <v>7.65</v>
      </c>
      <c r="F152" s="23">
        <v>7.8</v>
      </c>
      <c r="G152" s="23">
        <v>7.8192307692307699</v>
      </c>
      <c r="H152" s="23">
        <v>7.8615384615384603</v>
      </c>
      <c r="I152" s="23">
        <v>7.9153846153846104</v>
      </c>
      <c r="J152" s="23">
        <v>7.9576923076923096</v>
      </c>
      <c r="K152" s="23">
        <v>7.9653846153846199</v>
      </c>
      <c r="L152" s="23">
        <v>7.9961538461538497</v>
      </c>
      <c r="M152" s="23">
        <v>8.0192307692307701</v>
      </c>
      <c r="N152" s="23">
        <v>8.0346153846153907</v>
      </c>
      <c r="Q152" s="93">
        <v>46254</v>
      </c>
      <c r="R152" t="s">
        <v>479</v>
      </c>
      <c r="S152" t="s">
        <v>395</v>
      </c>
      <c r="T152" s="14">
        <v>11841.9926349609</v>
      </c>
      <c r="W152" s="20">
        <v>45912</v>
      </c>
      <c r="X152" t="s">
        <v>276</v>
      </c>
      <c r="Y152" s="23">
        <v>5.9307692307692301</v>
      </c>
      <c r="Z152" s="23">
        <v>5.4769230769230797</v>
      </c>
      <c r="AA152" s="23">
        <v>5.7038461538461496</v>
      </c>
      <c r="AC152" s="19"/>
      <c r="AD152" s="20">
        <v>45772</v>
      </c>
      <c r="AE152" t="s">
        <v>557</v>
      </c>
      <c r="AF152">
        <v>3576.181978267</v>
      </c>
      <c r="AG152" s="84">
        <f>DATE(YEAR(His53_DataTT[[#This Row],[RptDate]]),MONTH(His53_DataTT[[#This Row],[RptDate]]),1)</f>
        <v>45748</v>
      </c>
      <c r="AO152" s="14"/>
    </row>
    <row r="153" spans="2:41" x14ac:dyDescent="0.3">
      <c r="B153" s="93">
        <v>46118</v>
      </c>
      <c r="C153" s="23">
        <v>7.7549999999999999</v>
      </c>
      <c r="D153" s="23">
        <v>7.86</v>
      </c>
      <c r="E153" s="23">
        <v>7.7249999999999996</v>
      </c>
      <c r="F153" s="23">
        <v>7.8461538461538503</v>
      </c>
      <c r="G153" s="23">
        <v>7.87307692307692</v>
      </c>
      <c r="H153" s="23">
        <v>7.9</v>
      </c>
      <c r="I153" s="23">
        <v>7.9538461538461496</v>
      </c>
      <c r="J153" s="23">
        <v>8.00384615384616</v>
      </c>
      <c r="K153" s="23">
        <v>8.0115384615384606</v>
      </c>
      <c r="L153" s="23">
        <v>8.0423076923076895</v>
      </c>
      <c r="M153" s="23">
        <v>8.0730769230769202</v>
      </c>
      <c r="N153" s="23">
        <v>8.0884615384615408</v>
      </c>
      <c r="Q153" s="93">
        <v>46254</v>
      </c>
      <c r="R153" t="s">
        <v>479</v>
      </c>
      <c r="S153" t="s">
        <v>415</v>
      </c>
      <c r="T153" s="14">
        <v>7.8003607516651501</v>
      </c>
      <c r="W153" s="20">
        <v>45912</v>
      </c>
      <c r="X153" t="s">
        <v>277</v>
      </c>
      <c r="Y153" s="23">
        <v>6.0038461538461503</v>
      </c>
      <c r="Z153" s="23">
        <v>5.5346153846153898</v>
      </c>
      <c r="AA153" s="23">
        <v>5.7692307692307701</v>
      </c>
      <c r="AC153" s="19"/>
      <c r="AD153" s="20">
        <v>45775</v>
      </c>
      <c r="AE153" t="s">
        <v>479</v>
      </c>
      <c r="AF153">
        <v>2415.1363069250001</v>
      </c>
      <c r="AG153" s="84">
        <f>DATE(YEAR(His53_DataTT[[#This Row],[RptDate]]),MONTH(His53_DataTT[[#This Row],[RptDate]]),1)</f>
        <v>45748</v>
      </c>
      <c r="AO153" s="14"/>
    </row>
    <row r="154" spans="2:41" x14ac:dyDescent="0.3">
      <c r="B154" s="93">
        <v>46119</v>
      </c>
      <c r="C154" s="23">
        <v>7.7549999999999999</v>
      </c>
      <c r="D154" s="23">
        <v>7.85</v>
      </c>
      <c r="E154" s="23">
        <v>7.7249999999999996</v>
      </c>
      <c r="F154" s="23">
        <v>7.87692307692308</v>
      </c>
      <c r="G154" s="23">
        <v>7.9038461538461497</v>
      </c>
      <c r="H154" s="23">
        <v>7.9230769230769198</v>
      </c>
      <c r="I154" s="23">
        <v>7.9769230769230797</v>
      </c>
      <c r="J154" s="23">
        <v>8.0423076923076895</v>
      </c>
      <c r="K154" s="23">
        <v>8.0500000000000007</v>
      </c>
      <c r="L154" s="23">
        <v>8.0807692307692296</v>
      </c>
      <c r="M154" s="23">
        <v>8.1115384615384603</v>
      </c>
      <c r="N154" s="23">
        <v>8.1269230769230791</v>
      </c>
      <c r="Q154" s="93">
        <v>46254</v>
      </c>
      <c r="R154" t="s">
        <v>364</v>
      </c>
      <c r="S154" t="s">
        <v>415</v>
      </c>
      <c r="T154" s="14">
        <v>7.2259894807445404</v>
      </c>
      <c r="W154" s="20">
        <v>45912</v>
      </c>
      <c r="X154" t="s">
        <v>278</v>
      </c>
      <c r="Y154" s="23">
        <v>6.0615384615384604</v>
      </c>
      <c r="Z154" s="23">
        <v>5.5961538461538503</v>
      </c>
      <c r="AA154" s="23">
        <v>5.8288461538461496</v>
      </c>
      <c r="AC154" s="19"/>
      <c r="AD154" s="20">
        <v>45775</v>
      </c>
      <c r="AE154" t="s">
        <v>557</v>
      </c>
      <c r="AF154">
        <v>5400.2418441749996</v>
      </c>
      <c r="AG154" s="84">
        <f>DATE(YEAR(His53_DataTT[[#This Row],[RptDate]]),MONTH(His53_DataTT[[#This Row],[RptDate]]),1)</f>
        <v>45748</v>
      </c>
      <c r="AO154" s="14"/>
    </row>
    <row r="155" spans="2:41" x14ac:dyDescent="0.3">
      <c r="B155" s="93">
        <v>46120</v>
      </c>
      <c r="C155" s="23">
        <v>7.7549999999999999</v>
      </c>
      <c r="D155" s="23">
        <v>7.85</v>
      </c>
      <c r="E155" s="23">
        <v>7.7249999999999996</v>
      </c>
      <c r="F155" s="23">
        <v>7.87692307692308</v>
      </c>
      <c r="G155" s="23">
        <v>7.9038461538461497</v>
      </c>
      <c r="H155" s="23">
        <v>7.9230769230769198</v>
      </c>
      <c r="I155" s="23">
        <v>7.9769230769230797</v>
      </c>
      <c r="J155" s="23">
        <v>8.0423076923076895</v>
      </c>
      <c r="K155" s="23">
        <v>8.0500000000000007</v>
      </c>
      <c r="L155" s="23">
        <v>8.0807692307692296</v>
      </c>
      <c r="M155" s="23">
        <v>8.1115384615384603</v>
      </c>
      <c r="N155" s="23">
        <v>8.1269230769230791</v>
      </c>
      <c r="Q155" s="93">
        <v>46254</v>
      </c>
      <c r="R155" t="s">
        <v>516</v>
      </c>
      <c r="S155" t="s">
        <v>415</v>
      </c>
      <c r="T155" s="14">
        <v>7.3902553249375096</v>
      </c>
      <c r="W155" s="20">
        <v>45912</v>
      </c>
      <c r="X155" t="s">
        <v>279</v>
      </c>
      <c r="Y155" s="23">
        <v>6.0961538461538503</v>
      </c>
      <c r="Z155" s="23">
        <v>5.6307692307692303</v>
      </c>
      <c r="AA155" s="23">
        <v>5.8634615384615403</v>
      </c>
      <c r="AC155" s="19"/>
      <c r="AD155" s="20">
        <v>45776</v>
      </c>
      <c r="AE155" t="s">
        <v>479</v>
      </c>
      <c r="AF155">
        <v>2214.666074918</v>
      </c>
      <c r="AG155" s="84">
        <f>DATE(YEAR(His53_DataTT[[#This Row],[RptDate]]),MONTH(His53_DataTT[[#This Row],[RptDate]]),1)</f>
        <v>45748</v>
      </c>
      <c r="AO155" s="14"/>
    </row>
    <row r="156" spans="2:41" x14ac:dyDescent="0.3">
      <c r="B156" s="93">
        <v>46121</v>
      </c>
      <c r="C156" s="23">
        <v>7.7549999999999999</v>
      </c>
      <c r="D156" s="23">
        <v>7.82</v>
      </c>
      <c r="E156" s="23">
        <v>7.7249999999999996</v>
      </c>
      <c r="F156" s="23">
        <v>7.87692307692308</v>
      </c>
      <c r="G156" s="23">
        <v>7.8961538461538501</v>
      </c>
      <c r="H156" s="23">
        <v>7.9153846153846104</v>
      </c>
      <c r="I156" s="23">
        <v>7.9538461538461496</v>
      </c>
      <c r="J156" s="23">
        <v>8.0192307692307701</v>
      </c>
      <c r="K156" s="23">
        <v>8.0269230769230795</v>
      </c>
      <c r="L156" s="23">
        <v>8.0653846153846196</v>
      </c>
      <c r="M156" s="23">
        <v>8.0961538461538503</v>
      </c>
      <c r="N156" s="23">
        <v>8.1115384615384603</v>
      </c>
      <c r="Q156" s="93">
        <v>46254</v>
      </c>
      <c r="R156" t="s">
        <v>1288</v>
      </c>
      <c r="S156" t="s">
        <v>415</v>
      </c>
      <c r="T156" s="14">
        <v>7.4769933821618997</v>
      </c>
      <c r="W156" s="20">
        <v>45912</v>
      </c>
      <c r="X156" t="s">
        <v>280</v>
      </c>
      <c r="Y156" s="23">
        <v>6.1923076923076898</v>
      </c>
      <c r="Z156" s="23">
        <v>5.7230769230769196</v>
      </c>
      <c r="AA156" s="23">
        <v>5.9576923076923096</v>
      </c>
      <c r="AC156" s="19"/>
      <c r="AD156" s="20">
        <v>45776</v>
      </c>
      <c r="AE156" t="s">
        <v>557</v>
      </c>
      <c r="AF156">
        <v>2664.6228654759998</v>
      </c>
      <c r="AG156" s="84">
        <f>DATE(YEAR(His53_DataTT[[#This Row],[RptDate]]),MONTH(His53_DataTT[[#This Row],[RptDate]]),1)</f>
        <v>45748</v>
      </c>
      <c r="AO156" s="14"/>
    </row>
    <row r="157" spans="2:41" x14ac:dyDescent="0.3">
      <c r="B157" s="93">
        <v>46122</v>
      </c>
      <c r="C157" s="23">
        <v>7.8250000000000002</v>
      </c>
      <c r="D157" s="23">
        <v>7.78</v>
      </c>
      <c r="E157" s="23">
        <v>7.7249999999999996</v>
      </c>
      <c r="F157" s="23">
        <v>7.9076923076923098</v>
      </c>
      <c r="G157" s="23">
        <v>7.9230769230769198</v>
      </c>
      <c r="H157" s="23">
        <v>7.9423076923076898</v>
      </c>
      <c r="I157" s="23">
        <v>7.9769230769230797</v>
      </c>
      <c r="J157" s="23">
        <v>8.0423076923076895</v>
      </c>
      <c r="K157" s="23">
        <v>8.0576923076923102</v>
      </c>
      <c r="L157" s="23">
        <v>8.0961538461538503</v>
      </c>
      <c r="M157" s="23">
        <v>8.1269230769230791</v>
      </c>
      <c r="N157" s="23">
        <v>8.1423076923076891</v>
      </c>
      <c r="Q157" s="93">
        <v>46254</v>
      </c>
      <c r="R157" t="s">
        <v>496</v>
      </c>
      <c r="S157" t="s">
        <v>415</v>
      </c>
      <c r="T157" s="14">
        <v>6.99934965305982</v>
      </c>
      <c r="W157" s="20">
        <v>45912</v>
      </c>
      <c r="X157" t="s">
        <v>281</v>
      </c>
      <c r="Y157" s="23">
        <v>6.2692307692307701</v>
      </c>
      <c r="Z157" s="23">
        <v>5.8230769230769202</v>
      </c>
      <c r="AA157" s="23">
        <v>6.0461538461538504</v>
      </c>
      <c r="AC157" s="19"/>
      <c r="AD157" s="20">
        <v>45782</v>
      </c>
      <c r="AE157" t="s">
        <v>479</v>
      </c>
      <c r="AF157">
        <v>4625.2826913899999</v>
      </c>
      <c r="AG157" s="84">
        <f>DATE(YEAR(His53_DataTT[[#This Row],[RptDate]]),MONTH(His53_DataTT[[#This Row],[RptDate]]),1)</f>
        <v>45778</v>
      </c>
      <c r="AO157" s="14"/>
    </row>
    <row r="158" spans="2:41" x14ac:dyDescent="0.3">
      <c r="B158" s="93">
        <v>46125</v>
      </c>
      <c r="C158" s="23">
        <v>7.8250000000000002</v>
      </c>
      <c r="D158" s="23">
        <v>7.7</v>
      </c>
      <c r="E158" s="23">
        <v>7.7750000000000004</v>
      </c>
      <c r="F158" s="23">
        <v>7.9076923076923098</v>
      </c>
      <c r="G158" s="23">
        <v>7.9230769230769198</v>
      </c>
      <c r="H158" s="23">
        <v>7.9423076923076898</v>
      </c>
      <c r="I158" s="23">
        <v>7.9769230769230797</v>
      </c>
      <c r="J158" s="23">
        <v>8.0423076923076895</v>
      </c>
      <c r="K158" s="23">
        <v>8.0576923076923102</v>
      </c>
      <c r="L158" s="23">
        <v>8.0961538461538503</v>
      </c>
      <c r="M158" s="23">
        <v>8.1269230769230791</v>
      </c>
      <c r="N158" s="23">
        <v>8.1423076923076891</v>
      </c>
      <c r="Q158" s="93">
        <v>46254</v>
      </c>
      <c r="R158" t="s">
        <v>1290</v>
      </c>
      <c r="S158" t="s">
        <v>415</v>
      </c>
      <c r="T158" s="14">
        <v>7.2010514362020697</v>
      </c>
      <c r="W158" s="20">
        <v>45915</v>
      </c>
      <c r="X158" t="s">
        <v>270</v>
      </c>
      <c r="Y158" s="23">
        <v>5.5916666666666703</v>
      </c>
      <c r="Z158" s="23">
        <v>5.2416666666666698</v>
      </c>
      <c r="AA158" s="23">
        <v>5.4166666666666696</v>
      </c>
      <c r="AC158" s="19"/>
      <c r="AD158" s="20">
        <v>45782</v>
      </c>
      <c r="AE158" t="s">
        <v>557</v>
      </c>
      <c r="AF158">
        <v>4937.1138992260003</v>
      </c>
      <c r="AG158" s="84">
        <f>DATE(YEAR(His53_DataTT[[#This Row],[RptDate]]),MONTH(His53_DataTT[[#This Row],[RptDate]]),1)</f>
        <v>45778</v>
      </c>
      <c r="AO158" s="14"/>
    </row>
    <row r="159" spans="2:41" x14ac:dyDescent="0.3">
      <c r="B159" s="93">
        <v>46126</v>
      </c>
      <c r="C159" s="23">
        <v>7.8150000000000004</v>
      </c>
      <c r="D159" s="23">
        <v>7.7</v>
      </c>
      <c r="E159" s="23">
        <v>7.7750000000000004</v>
      </c>
      <c r="F159" s="23">
        <v>7.9230769230769198</v>
      </c>
      <c r="G159" s="23">
        <v>7.9384615384615396</v>
      </c>
      <c r="H159" s="23">
        <v>7.9576923076923096</v>
      </c>
      <c r="I159" s="23">
        <v>7.9923076923076897</v>
      </c>
      <c r="J159" s="23">
        <v>8.0576923076923102</v>
      </c>
      <c r="K159" s="23">
        <v>8.0730769230769202</v>
      </c>
      <c r="L159" s="23">
        <v>8.1115384615384603</v>
      </c>
      <c r="M159" s="23">
        <v>8.1423076923076891</v>
      </c>
      <c r="N159" s="23">
        <v>8.1576923076923098</v>
      </c>
      <c r="Q159" s="93">
        <v>46254</v>
      </c>
      <c r="R159" t="s">
        <v>364</v>
      </c>
      <c r="S159" t="s">
        <v>997</v>
      </c>
      <c r="T159" s="14">
        <v>31949.1</v>
      </c>
      <c r="W159" s="20">
        <v>45915</v>
      </c>
      <c r="X159" t="s">
        <v>271</v>
      </c>
      <c r="Y159" s="23">
        <v>5.9</v>
      </c>
      <c r="Z159" s="23">
        <v>5.4</v>
      </c>
      <c r="AA159" s="23">
        <v>5.65</v>
      </c>
      <c r="AC159" s="19"/>
      <c r="AD159" s="20">
        <v>45783</v>
      </c>
      <c r="AE159" t="s">
        <v>479</v>
      </c>
      <c r="AF159">
        <v>3626.9405547490001</v>
      </c>
      <c r="AG159" s="84">
        <f>DATE(YEAR(His53_DataTT[[#This Row],[RptDate]]),MONTH(His53_DataTT[[#This Row],[RptDate]]),1)</f>
        <v>45778</v>
      </c>
      <c r="AO159" s="14"/>
    </row>
    <row r="160" spans="2:41" x14ac:dyDescent="0.3">
      <c r="B160" s="93">
        <v>46127</v>
      </c>
      <c r="C160" s="23">
        <v>7.7249999999999996</v>
      </c>
      <c r="D160" s="23">
        <v>7.66</v>
      </c>
      <c r="E160" s="23">
        <v>7.7750000000000004</v>
      </c>
      <c r="F160" s="23">
        <v>7.9076923076923098</v>
      </c>
      <c r="G160" s="23">
        <v>7.9307692307692301</v>
      </c>
      <c r="H160" s="23">
        <v>7.9423076923076898</v>
      </c>
      <c r="I160" s="23">
        <v>7.9846153846153802</v>
      </c>
      <c r="J160" s="23">
        <v>8.0423076923076895</v>
      </c>
      <c r="K160" s="23">
        <v>8.0653846153846196</v>
      </c>
      <c r="L160" s="23">
        <v>8.0961538461538503</v>
      </c>
      <c r="M160" s="23">
        <v>8.1346153846153904</v>
      </c>
      <c r="N160" s="23">
        <v>8.1423076923076891</v>
      </c>
      <c r="Q160" s="93">
        <v>46254</v>
      </c>
      <c r="R160" t="s">
        <v>496</v>
      </c>
      <c r="S160" t="s">
        <v>997</v>
      </c>
      <c r="T160" s="14">
        <v>18836.099999999999</v>
      </c>
      <c r="W160" s="20">
        <v>45915</v>
      </c>
      <c r="X160" t="s">
        <v>272</v>
      </c>
      <c r="Y160" s="23">
        <v>5.7</v>
      </c>
      <c r="Z160" s="23">
        <v>5.2461538461538497</v>
      </c>
      <c r="AA160" s="23">
        <v>5.4730769230769196</v>
      </c>
      <c r="AC160" s="19"/>
      <c r="AD160" s="20">
        <v>45783</v>
      </c>
      <c r="AE160" t="s">
        <v>557</v>
      </c>
      <c r="AF160">
        <v>3741.890202866</v>
      </c>
      <c r="AG160" s="84">
        <f>DATE(YEAR(His53_DataTT[[#This Row],[RptDate]]),MONTH(His53_DataTT[[#This Row],[RptDate]]),1)</f>
        <v>45778</v>
      </c>
      <c r="AO160" s="14"/>
    </row>
    <row r="161" spans="2:41" x14ac:dyDescent="0.3">
      <c r="B161" s="93">
        <v>46128</v>
      </c>
      <c r="C161" s="23">
        <v>7.6349999999999998</v>
      </c>
      <c r="D161" s="23">
        <v>7.66</v>
      </c>
      <c r="E161" s="23">
        <v>7.7750000000000004</v>
      </c>
      <c r="F161" s="23">
        <v>7.9</v>
      </c>
      <c r="G161" s="23">
        <v>7.9230769230769198</v>
      </c>
      <c r="H161" s="23">
        <v>7.9423076923076898</v>
      </c>
      <c r="I161" s="23">
        <v>7.9769230769230797</v>
      </c>
      <c r="J161" s="23">
        <v>8.0423076923076895</v>
      </c>
      <c r="K161" s="23">
        <v>8.0576923076923102</v>
      </c>
      <c r="L161" s="23">
        <v>8.0961538461538503</v>
      </c>
      <c r="M161" s="23">
        <v>8.1269230769230791</v>
      </c>
      <c r="N161" s="23">
        <v>8.1423076923076891</v>
      </c>
      <c r="Q161" s="93">
        <v>46254</v>
      </c>
      <c r="R161" t="s">
        <v>1388</v>
      </c>
      <c r="S161" t="s">
        <v>997</v>
      </c>
      <c r="T161" s="14">
        <v>13197.6106</v>
      </c>
      <c r="W161" s="20">
        <v>45915</v>
      </c>
      <c r="X161" t="s">
        <v>273</v>
      </c>
      <c r="Y161" s="23">
        <v>5.8307692307692296</v>
      </c>
      <c r="Z161" s="23">
        <v>5.37692307692308</v>
      </c>
      <c r="AA161" s="23">
        <v>5.6038461538461499</v>
      </c>
      <c r="AC161" s="19"/>
      <c r="AD161" s="20">
        <v>45784</v>
      </c>
      <c r="AE161" t="s">
        <v>479</v>
      </c>
      <c r="AF161">
        <v>5206.7546325149997</v>
      </c>
      <c r="AG161" s="84">
        <f>DATE(YEAR(His53_DataTT[[#This Row],[RptDate]]),MONTH(His53_DataTT[[#This Row],[RptDate]]),1)</f>
        <v>45778</v>
      </c>
      <c r="AO161" s="14"/>
    </row>
    <row r="162" spans="2:41" x14ac:dyDescent="0.3">
      <c r="B162" s="93">
        <v>46129</v>
      </c>
      <c r="C162" s="23">
        <v>7.6349999999999998</v>
      </c>
      <c r="D162" s="23">
        <v>7.66</v>
      </c>
      <c r="E162" s="23">
        <v>7.7750000000000004</v>
      </c>
      <c r="F162" s="23">
        <v>7.9</v>
      </c>
      <c r="G162" s="23">
        <v>7.9230769230769198</v>
      </c>
      <c r="H162" s="23">
        <v>7.9423076923076898</v>
      </c>
      <c r="I162" s="23">
        <v>7.9769230769230797</v>
      </c>
      <c r="J162" s="23">
        <v>8.0423076923076895</v>
      </c>
      <c r="K162" s="23">
        <v>8.0576923076923102</v>
      </c>
      <c r="L162" s="23">
        <v>8.0961538461538503</v>
      </c>
      <c r="M162" s="23">
        <v>8.1269230769230791</v>
      </c>
      <c r="N162" s="23">
        <v>8.1423076923076891</v>
      </c>
      <c r="Q162" s="93">
        <v>46254</v>
      </c>
      <c r="R162" t="s">
        <v>1389</v>
      </c>
      <c r="S162" t="s">
        <v>997</v>
      </c>
      <c r="T162" s="14">
        <v>12800</v>
      </c>
      <c r="W162" s="20">
        <v>45915</v>
      </c>
      <c r="X162" t="s">
        <v>274</v>
      </c>
      <c r="Y162" s="23">
        <v>5.8846153846153904</v>
      </c>
      <c r="Z162" s="23">
        <v>5.4307692307692301</v>
      </c>
      <c r="AA162" s="23">
        <v>5.6576923076923098</v>
      </c>
      <c r="AC162" s="19"/>
      <c r="AD162" s="20">
        <v>45784</v>
      </c>
      <c r="AE162" t="s">
        <v>557</v>
      </c>
      <c r="AF162">
        <v>3848.9640186070001</v>
      </c>
      <c r="AG162" s="84">
        <f>DATE(YEAR(His53_DataTT[[#This Row],[RptDate]]),MONTH(His53_DataTT[[#This Row],[RptDate]]),1)</f>
        <v>45778</v>
      </c>
      <c r="AO162" s="14"/>
    </row>
    <row r="163" spans="2:41" x14ac:dyDescent="0.3">
      <c r="B163" s="93">
        <v>46132</v>
      </c>
      <c r="C163" s="23">
        <v>7.6349999999999998</v>
      </c>
      <c r="D163" s="23">
        <v>7.66</v>
      </c>
      <c r="E163" s="23">
        <v>7.7750000000000004</v>
      </c>
      <c r="F163" s="23">
        <v>7.9</v>
      </c>
      <c r="G163" s="23">
        <v>7.9230769230769198</v>
      </c>
      <c r="H163" s="23">
        <v>7.9423076923076898</v>
      </c>
      <c r="I163" s="23">
        <v>7.9769230769230797</v>
      </c>
      <c r="J163" s="23">
        <v>8.0423076923076895</v>
      </c>
      <c r="K163" s="23">
        <v>8.0576923076923102</v>
      </c>
      <c r="L163" s="23">
        <v>8.0961538461538503</v>
      </c>
      <c r="M163" s="23">
        <v>8.1269230769230791</v>
      </c>
      <c r="N163" s="23">
        <v>8.1423076923076891</v>
      </c>
      <c r="Q163" s="93">
        <v>46254</v>
      </c>
      <c r="R163" t="s">
        <v>1390</v>
      </c>
      <c r="S163" t="s">
        <v>997</v>
      </c>
      <c r="T163" s="14">
        <v>397.61059999999998</v>
      </c>
      <c r="W163" s="20">
        <v>45915</v>
      </c>
      <c r="X163" t="s">
        <v>275</v>
      </c>
      <c r="Y163" s="23">
        <v>5.9269230769230798</v>
      </c>
      <c r="Z163" s="23">
        <v>5.4807692307692299</v>
      </c>
      <c r="AA163" s="23">
        <v>5.7038461538461496</v>
      </c>
      <c r="AC163" s="19"/>
      <c r="AD163" s="20">
        <v>45785</v>
      </c>
      <c r="AE163" t="s">
        <v>479</v>
      </c>
      <c r="AF163">
        <v>3663.868038991</v>
      </c>
      <c r="AG163" s="84">
        <f>DATE(YEAR(His53_DataTT[[#This Row],[RptDate]]),MONTH(His53_DataTT[[#This Row],[RptDate]]),1)</f>
        <v>45778</v>
      </c>
      <c r="AO163" s="14"/>
    </row>
    <row r="164" spans="2:41" x14ac:dyDescent="0.3">
      <c r="B164" s="93">
        <v>46133</v>
      </c>
      <c r="C164" s="23">
        <v>7.6849999999999996</v>
      </c>
      <c r="D164" s="23">
        <v>7.6</v>
      </c>
      <c r="E164" s="23">
        <v>7.7750000000000004</v>
      </c>
      <c r="F164" s="23">
        <v>7.9</v>
      </c>
      <c r="G164" s="23">
        <v>7.9230769230769198</v>
      </c>
      <c r="H164" s="23">
        <v>7.9423076923076898</v>
      </c>
      <c r="I164" s="23">
        <v>7.9769230769230797</v>
      </c>
      <c r="J164" s="23">
        <v>8.0423076923076895</v>
      </c>
      <c r="K164" s="23">
        <v>8.0576923076923102</v>
      </c>
      <c r="L164" s="23">
        <v>8.0961538461538503</v>
      </c>
      <c r="M164" s="23">
        <v>8.1269230769230791</v>
      </c>
      <c r="N164" s="23">
        <v>8.1423076923076891</v>
      </c>
      <c r="Q164" s="93">
        <v>46253</v>
      </c>
      <c r="R164" t="s">
        <v>479</v>
      </c>
      <c r="S164" t="s">
        <v>399</v>
      </c>
      <c r="T164" s="14">
        <v>10769.740006249</v>
      </c>
      <c r="W164" s="20">
        <v>45915</v>
      </c>
      <c r="X164" t="s">
        <v>276</v>
      </c>
      <c r="Y164" s="23">
        <v>5.9769230769230797</v>
      </c>
      <c r="Z164" s="23">
        <v>5.5230769230769203</v>
      </c>
      <c r="AA164" s="23">
        <v>5.75</v>
      </c>
      <c r="AC164" s="19"/>
      <c r="AD164" s="20">
        <v>45785</v>
      </c>
      <c r="AE164" t="s">
        <v>557</v>
      </c>
      <c r="AF164">
        <v>4622.0983299939999</v>
      </c>
      <c r="AG164" s="84">
        <f>DATE(YEAR(His53_DataTT[[#This Row],[RptDate]]),MONTH(His53_DataTT[[#This Row],[RptDate]]),1)</f>
        <v>45778</v>
      </c>
      <c r="AO164" s="14"/>
    </row>
    <row r="165" spans="2:41" x14ac:dyDescent="0.3">
      <c r="B165" s="93">
        <v>46134</v>
      </c>
      <c r="C165" s="23">
        <v>7.6958333333333302</v>
      </c>
      <c r="D165" s="23">
        <v>7.6375000000000002</v>
      </c>
      <c r="E165" s="23">
        <v>7.7750000000000004</v>
      </c>
      <c r="F165" s="23">
        <v>7.9</v>
      </c>
      <c r="G165" s="23">
        <v>7.9230769230769198</v>
      </c>
      <c r="H165" s="23">
        <v>7.9423076923076898</v>
      </c>
      <c r="I165" s="23">
        <v>7.9769230769230797</v>
      </c>
      <c r="J165" s="23">
        <v>8.0423076923076895</v>
      </c>
      <c r="K165" s="23">
        <v>8.0576923076923102</v>
      </c>
      <c r="L165" s="23">
        <v>8.0961538461538503</v>
      </c>
      <c r="M165" s="23">
        <v>8.1269230769230791</v>
      </c>
      <c r="N165" s="23">
        <v>8.1423076923076891</v>
      </c>
      <c r="Q165" s="93">
        <v>46253</v>
      </c>
      <c r="R165" t="s">
        <v>364</v>
      </c>
      <c r="S165" t="s">
        <v>399</v>
      </c>
      <c r="T165" s="14">
        <v>29449.1</v>
      </c>
      <c r="W165" s="20">
        <v>45915</v>
      </c>
      <c r="X165" t="s">
        <v>277</v>
      </c>
      <c r="Y165" s="23">
        <v>6.0423076923076904</v>
      </c>
      <c r="Z165" s="23">
        <v>5.5730769230769202</v>
      </c>
      <c r="AA165" s="23">
        <v>5.8076923076923102</v>
      </c>
      <c r="AC165" s="19"/>
      <c r="AD165" s="20">
        <v>45786</v>
      </c>
      <c r="AE165" t="s">
        <v>479</v>
      </c>
      <c r="AF165">
        <v>5596.2876493269996</v>
      </c>
      <c r="AG165" s="84">
        <f>DATE(YEAR(His53_DataTT[[#This Row],[RptDate]]),MONTH(His53_DataTT[[#This Row],[RptDate]]),1)</f>
        <v>45778</v>
      </c>
      <c r="AO165" s="14"/>
    </row>
    <row r="166" spans="2:41" x14ac:dyDescent="0.3">
      <c r="B166" s="93">
        <v>46135</v>
      </c>
      <c r="C166" s="23">
        <v>7.7041666666666702</v>
      </c>
      <c r="D166" s="23">
        <v>7.6375000000000002</v>
      </c>
      <c r="E166" s="23">
        <v>7.7750000000000004</v>
      </c>
      <c r="F166" s="23">
        <v>7.8961538461538501</v>
      </c>
      <c r="G166" s="23">
        <v>7.9192307692307704</v>
      </c>
      <c r="H166" s="23">
        <v>7.9384615384615396</v>
      </c>
      <c r="I166" s="23">
        <v>7.9730769230769196</v>
      </c>
      <c r="J166" s="23">
        <v>8.0384615384615401</v>
      </c>
      <c r="K166" s="23">
        <v>8.0538461538461501</v>
      </c>
      <c r="L166" s="23">
        <v>8.0923076923076902</v>
      </c>
      <c r="M166" s="23">
        <v>8.1230769230769209</v>
      </c>
      <c r="N166" s="23">
        <v>8.1384615384615397</v>
      </c>
      <c r="Q166" s="93">
        <v>46253</v>
      </c>
      <c r="R166" t="s">
        <v>491</v>
      </c>
      <c r="S166" t="s">
        <v>399</v>
      </c>
      <c r="T166" s="14">
        <v>397.61059999999998</v>
      </c>
      <c r="W166" s="20">
        <v>45915</v>
      </c>
      <c r="X166" t="s">
        <v>278</v>
      </c>
      <c r="Y166" s="23">
        <v>6.1</v>
      </c>
      <c r="Z166" s="23">
        <v>5.6346153846153904</v>
      </c>
      <c r="AA166" s="23">
        <v>5.8673076923076897</v>
      </c>
      <c r="AC166" s="19"/>
      <c r="AD166" s="20">
        <v>45786</v>
      </c>
      <c r="AE166" t="s">
        <v>557</v>
      </c>
      <c r="AF166">
        <v>3676.3470450129998</v>
      </c>
      <c r="AG166" s="84">
        <f>DATE(YEAR(His53_DataTT[[#This Row],[RptDate]]),MONTH(His53_DataTT[[#This Row],[RptDate]]),1)</f>
        <v>45778</v>
      </c>
      <c r="AO166" s="14"/>
    </row>
    <row r="167" spans="2:41" x14ac:dyDescent="0.3">
      <c r="B167" s="93">
        <v>46136</v>
      </c>
      <c r="C167" s="23">
        <v>7.7041666666666702</v>
      </c>
      <c r="D167" s="23">
        <v>7.6375000000000002</v>
      </c>
      <c r="E167" s="23">
        <v>7.7750000000000004</v>
      </c>
      <c r="F167" s="23">
        <v>7.8961538461538501</v>
      </c>
      <c r="G167" s="23">
        <v>7.9192307692307704</v>
      </c>
      <c r="H167" s="23">
        <v>7.9384615384615396</v>
      </c>
      <c r="I167" s="23">
        <v>7.9730769230769196</v>
      </c>
      <c r="J167" s="23">
        <v>8.0384615384615401</v>
      </c>
      <c r="K167" s="23">
        <v>8.0538461538461501</v>
      </c>
      <c r="L167" s="23">
        <v>8.0923076923076902</v>
      </c>
      <c r="M167" s="23">
        <v>8.1230769230769209</v>
      </c>
      <c r="N167" s="23">
        <v>8.1384615384615397</v>
      </c>
      <c r="Q167" s="93">
        <v>46253</v>
      </c>
      <c r="R167" t="s">
        <v>492</v>
      </c>
      <c r="S167" t="s">
        <v>399</v>
      </c>
      <c r="T167" s="14">
        <v>9800</v>
      </c>
      <c r="W167" s="20">
        <v>45915</v>
      </c>
      <c r="X167" t="s">
        <v>279</v>
      </c>
      <c r="Y167" s="23">
        <v>6.1346153846153797</v>
      </c>
      <c r="Z167" s="23">
        <v>5.6692307692307704</v>
      </c>
      <c r="AA167" s="23">
        <v>5.9019230769230804</v>
      </c>
      <c r="AC167" s="19"/>
      <c r="AD167" s="20">
        <v>45789</v>
      </c>
      <c r="AE167" t="s">
        <v>479</v>
      </c>
      <c r="AF167">
        <v>1876.8028668720001</v>
      </c>
      <c r="AG167" s="84">
        <f>DATE(YEAR(His53_DataTT[[#This Row],[RptDate]]),MONTH(His53_DataTT[[#This Row],[RptDate]]),1)</f>
        <v>45778</v>
      </c>
      <c r="AO167" s="14"/>
    </row>
    <row r="168" spans="2:41" x14ac:dyDescent="0.3">
      <c r="B168" s="93">
        <v>46140</v>
      </c>
      <c r="C168" s="23">
        <v>7.6708333333333298</v>
      </c>
      <c r="D168" s="23">
        <v>7.66</v>
      </c>
      <c r="E168" s="23">
        <v>7.75</v>
      </c>
      <c r="F168" s="23">
        <v>7.8961538461538501</v>
      </c>
      <c r="G168" s="23">
        <v>7.9192307692307704</v>
      </c>
      <c r="H168" s="23">
        <v>7.9384615384615396</v>
      </c>
      <c r="I168" s="23">
        <v>7.9730769230769196</v>
      </c>
      <c r="J168" s="23">
        <v>8.0307692307692307</v>
      </c>
      <c r="K168" s="23">
        <v>8.0461538461538495</v>
      </c>
      <c r="L168" s="23">
        <v>8.0846153846153808</v>
      </c>
      <c r="M168" s="23">
        <v>8.1153846153846096</v>
      </c>
      <c r="N168" s="23">
        <v>8.1307692307692303</v>
      </c>
      <c r="Q168" s="93">
        <v>46253</v>
      </c>
      <c r="R168" t="s">
        <v>1438</v>
      </c>
      <c r="S168" t="s">
        <v>399</v>
      </c>
      <c r="T168" s="14">
        <v>572.12940624903001</v>
      </c>
      <c r="W168" s="20">
        <v>45915</v>
      </c>
      <c r="X168" t="s">
        <v>280</v>
      </c>
      <c r="Y168" s="23">
        <v>6.2230769230769196</v>
      </c>
      <c r="Z168" s="23">
        <v>5.7538461538461503</v>
      </c>
      <c r="AA168" s="23">
        <v>5.9884615384615403</v>
      </c>
      <c r="AC168" s="19"/>
      <c r="AD168" s="20">
        <v>45789</v>
      </c>
      <c r="AE168" t="s">
        <v>557</v>
      </c>
      <c r="AF168">
        <v>1363.8344630300001</v>
      </c>
      <c r="AG168" s="84">
        <f>DATE(YEAR(His53_DataTT[[#This Row],[RptDate]]),MONTH(His53_DataTT[[#This Row],[RptDate]]),1)</f>
        <v>45778</v>
      </c>
      <c r="AO168" s="14"/>
    </row>
    <row r="169" spans="2:41" x14ac:dyDescent="0.3">
      <c r="B169" s="93">
        <v>46141</v>
      </c>
      <c r="C169" s="23">
        <v>7.6708333333333298</v>
      </c>
      <c r="D169" s="23">
        <v>7.66</v>
      </c>
      <c r="E169" s="23">
        <v>7.75</v>
      </c>
      <c r="F169" s="23">
        <v>7.8961538461538501</v>
      </c>
      <c r="G169" s="23">
        <v>7.9192307692307704</v>
      </c>
      <c r="H169" s="23">
        <v>7.9384615384615396</v>
      </c>
      <c r="I169" s="23">
        <v>7.9730769230769196</v>
      </c>
      <c r="J169" s="23">
        <v>8.0307692307692307</v>
      </c>
      <c r="K169" s="23">
        <v>8.0461538461538495</v>
      </c>
      <c r="L169" s="23">
        <v>8.0846153846153808</v>
      </c>
      <c r="M169" s="23">
        <v>8.1153846153846096</v>
      </c>
      <c r="N169" s="23">
        <v>8.1307692307692303</v>
      </c>
      <c r="Q169" s="93">
        <v>46253</v>
      </c>
      <c r="R169" t="s">
        <v>496</v>
      </c>
      <c r="S169" t="s">
        <v>399</v>
      </c>
      <c r="T169" s="14">
        <v>15946.1</v>
      </c>
      <c r="W169" s="20">
        <v>45915</v>
      </c>
      <c r="X169" t="s">
        <v>281</v>
      </c>
      <c r="Y169" s="23">
        <v>6.3</v>
      </c>
      <c r="Z169" s="23">
        <v>5.8538461538461499</v>
      </c>
      <c r="AA169" s="23">
        <v>6.0769230769230802</v>
      </c>
      <c r="AC169" s="19"/>
      <c r="AD169" s="20">
        <v>45790</v>
      </c>
      <c r="AE169" t="s">
        <v>479</v>
      </c>
      <c r="AF169">
        <v>1226.3694759709999</v>
      </c>
      <c r="AG169" s="84">
        <f>DATE(YEAR(His53_DataTT[[#This Row],[RptDate]]),MONTH(His53_DataTT[[#This Row],[RptDate]]),1)</f>
        <v>45778</v>
      </c>
      <c r="AO169" s="14"/>
    </row>
    <row r="170" spans="2:41" x14ac:dyDescent="0.3">
      <c r="B170" s="93">
        <v>46146</v>
      </c>
      <c r="C170" s="23">
        <v>7.6708333333333298</v>
      </c>
      <c r="D170" s="23">
        <v>7.62</v>
      </c>
      <c r="E170" s="23">
        <v>7.75</v>
      </c>
      <c r="F170" s="23">
        <v>7.8961538461538501</v>
      </c>
      <c r="G170" s="23">
        <v>7.9192307692307704</v>
      </c>
      <c r="H170" s="23">
        <v>7.9384615384615396</v>
      </c>
      <c r="I170" s="23">
        <v>7.9730769230769196</v>
      </c>
      <c r="J170" s="23">
        <v>8.0307692307692307</v>
      </c>
      <c r="K170" s="23">
        <v>8.0461538461538495</v>
      </c>
      <c r="L170" s="23">
        <v>8.0846153846153808</v>
      </c>
      <c r="M170" s="23">
        <v>8.1153846153846096</v>
      </c>
      <c r="N170" s="23">
        <v>8.1307692307692303</v>
      </c>
      <c r="Q170" s="93">
        <v>46253</v>
      </c>
      <c r="R170" t="s">
        <v>497</v>
      </c>
      <c r="S170" t="s">
        <v>399</v>
      </c>
      <c r="T170" s="14">
        <v>397.61059999999998</v>
      </c>
      <c r="W170" s="20">
        <v>45916</v>
      </c>
      <c r="X170" t="s">
        <v>270</v>
      </c>
      <c r="Y170" s="23">
        <v>5.5916666666666703</v>
      </c>
      <c r="Z170" s="23">
        <v>5.2416666666666698</v>
      </c>
      <c r="AA170" s="23">
        <v>5.4166666666666696</v>
      </c>
      <c r="AC170" s="19"/>
      <c r="AD170" s="20">
        <v>45790</v>
      </c>
      <c r="AE170" t="s">
        <v>557</v>
      </c>
      <c r="AF170">
        <v>1613.388332403</v>
      </c>
      <c r="AG170" s="84">
        <f>DATE(YEAR(His53_DataTT[[#This Row],[RptDate]]),MONTH(His53_DataTT[[#This Row],[RptDate]]),1)</f>
        <v>45778</v>
      </c>
      <c r="AO170" s="14"/>
    </row>
    <row r="171" spans="2:41" x14ac:dyDescent="0.3">
      <c r="B171" s="93">
        <v>46147</v>
      </c>
      <c r="C171" s="23">
        <v>7.6541666666666703</v>
      </c>
      <c r="D171" s="23">
        <v>7.62</v>
      </c>
      <c r="E171" s="23">
        <v>7.75</v>
      </c>
      <c r="F171" s="23">
        <v>7.8961538461538501</v>
      </c>
      <c r="G171" s="23">
        <v>7.9192307692307704</v>
      </c>
      <c r="H171" s="23">
        <v>7.9384615384615396</v>
      </c>
      <c r="I171" s="23">
        <v>7.9730769230769196</v>
      </c>
      <c r="J171" s="23">
        <v>8.0307692307692307</v>
      </c>
      <c r="K171" s="23">
        <v>8.0461538461538495</v>
      </c>
      <c r="L171" s="23">
        <v>8.0846153846153808</v>
      </c>
      <c r="M171" s="23">
        <v>8.1153846153846096</v>
      </c>
      <c r="N171" s="23">
        <v>8.1307692307692303</v>
      </c>
      <c r="Q171" s="93">
        <v>46253</v>
      </c>
      <c r="R171" t="s">
        <v>498</v>
      </c>
      <c r="S171" t="s">
        <v>399</v>
      </c>
      <c r="T171" s="14">
        <v>9800</v>
      </c>
      <c r="W171" s="20">
        <v>45916</v>
      </c>
      <c r="X171" t="s">
        <v>271</v>
      </c>
      <c r="Y171" s="23">
        <v>5.9</v>
      </c>
      <c r="Z171" s="23">
        <v>5.4</v>
      </c>
      <c r="AA171" s="23">
        <v>5.65</v>
      </c>
      <c r="AC171" s="19"/>
      <c r="AD171" s="20">
        <v>45791</v>
      </c>
      <c r="AE171" t="s">
        <v>479</v>
      </c>
      <c r="AF171">
        <v>1026.084361965</v>
      </c>
      <c r="AG171" s="84">
        <f>DATE(YEAR(His53_DataTT[[#This Row],[RptDate]]),MONTH(His53_DataTT[[#This Row],[RptDate]]),1)</f>
        <v>45778</v>
      </c>
      <c r="AO171" s="14"/>
    </row>
    <row r="172" spans="2:41" x14ac:dyDescent="0.3">
      <c r="B172" s="93">
        <v>46148</v>
      </c>
      <c r="C172" s="23">
        <v>7.6541666666666703</v>
      </c>
      <c r="D172" s="23">
        <v>7.62</v>
      </c>
      <c r="E172" s="23">
        <v>7.75</v>
      </c>
      <c r="F172" s="23">
        <v>7.8961538461538501</v>
      </c>
      <c r="G172" s="23">
        <v>7.9192307692307704</v>
      </c>
      <c r="H172" s="23">
        <v>7.9384615384615396</v>
      </c>
      <c r="I172" s="23">
        <v>7.9730769230769196</v>
      </c>
      <c r="J172" s="23">
        <v>8.0307692307692307</v>
      </c>
      <c r="K172" s="23">
        <v>8.0461538461538495</v>
      </c>
      <c r="L172" s="23">
        <v>8.0846153846153808</v>
      </c>
      <c r="M172" s="23">
        <v>8.1153846153846096</v>
      </c>
      <c r="N172" s="23">
        <v>8.1307692307692303</v>
      </c>
      <c r="Q172" s="93">
        <v>46253</v>
      </c>
      <c r="R172" t="s">
        <v>494</v>
      </c>
      <c r="S172" t="s">
        <v>399</v>
      </c>
      <c r="T172" s="14">
        <v>0</v>
      </c>
      <c r="W172" s="20">
        <v>45916</v>
      </c>
      <c r="X172" t="s">
        <v>272</v>
      </c>
      <c r="Y172" s="23">
        <v>5.7</v>
      </c>
      <c r="Z172" s="23">
        <v>5.2461538461538497</v>
      </c>
      <c r="AA172" s="23">
        <v>5.4730769230769196</v>
      </c>
      <c r="AC172" s="19"/>
      <c r="AD172" s="20">
        <v>45791</v>
      </c>
      <c r="AE172" t="s">
        <v>557</v>
      </c>
      <c r="AF172">
        <v>1842.297021672</v>
      </c>
      <c r="AG172" s="84">
        <f>DATE(YEAR(His53_DataTT[[#This Row],[RptDate]]),MONTH(His53_DataTT[[#This Row],[RptDate]]),1)</f>
        <v>45778</v>
      </c>
      <c r="AO172" s="14"/>
    </row>
    <row r="173" spans="2:41" x14ac:dyDescent="0.3">
      <c r="B173" s="93">
        <v>46149</v>
      </c>
      <c r="C173" s="23">
        <v>7.6375000000000002</v>
      </c>
      <c r="D173" s="23">
        <v>7.62</v>
      </c>
      <c r="E173" s="23">
        <v>7.75</v>
      </c>
      <c r="F173" s="23">
        <v>7.8961538461538501</v>
      </c>
      <c r="G173" s="23">
        <v>7.9192307692307704</v>
      </c>
      <c r="H173" s="23">
        <v>7.9384615384615396</v>
      </c>
      <c r="I173" s="23">
        <v>7.9730769230769196</v>
      </c>
      <c r="J173" s="23">
        <v>8.0307692307692307</v>
      </c>
      <c r="K173" s="23">
        <v>8.0461538461538495</v>
      </c>
      <c r="L173" s="23">
        <v>8.0846153846153808</v>
      </c>
      <c r="M173" s="23">
        <v>8.1153846153846096</v>
      </c>
      <c r="N173" s="23">
        <v>8.1307692307692303</v>
      </c>
      <c r="Q173" s="93">
        <v>46253</v>
      </c>
      <c r="R173" t="s">
        <v>495</v>
      </c>
      <c r="S173" t="s">
        <v>399</v>
      </c>
      <c r="T173" s="14">
        <v>0</v>
      </c>
      <c r="W173" s="20">
        <v>45916</v>
      </c>
      <c r="X173" t="s">
        <v>273</v>
      </c>
      <c r="Y173" s="23">
        <v>5.8307692307692296</v>
      </c>
      <c r="Z173" s="23">
        <v>5.37692307692308</v>
      </c>
      <c r="AA173" s="23">
        <v>5.6038461538461499</v>
      </c>
      <c r="AC173" s="19"/>
      <c r="AD173" s="20">
        <v>45792</v>
      </c>
      <c r="AE173" t="s">
        <v>479</v>
      </c>
      <c r="AF173">
        <v>4943.2503659399999</v>
      </c>
      <c r="AG173" s="84">
        <f>DATE(YEAR(His53_DataTT[[#This Row],[RptDate]]),MONTH(His53_DataTT[[#This Row],[RptDate]]),1)</f>
        <v>45778</v>
      </c>
      <c r="AO173" s="14"/>
    </row>
    <row r="174" spans="2:41" x14ac:dyDescent="0.3">
      <c r="B174" s="93">
        <v>46150</v>
      </c>
      <c r="C174" s="23">
        <v>7.6041666666666696</v>
      </c>
      <c r="D174" s="23">
        <v>7.62</v>
      </c>
      <c r="E174" s="23">
        <v>7.75</v>
      </c>
      <c r="F174" s="23">
        <v>7.8961538461538501</v>
      </c>
      <c r="G174" s="23">
        <v>7.9192307692307704</v>
      </c>
      <c r="H174" s="23">
        <v>7.9384615384615396</v>
      </c>
      <c r="I174" s="23">
        <v>7.9730769230769196</v>
      </c>
      <c r="J174" s="23">
        <v>8.0307692307692307</v>
      </c>
      <c r="K174" s="23">
        <v>8.0461538461538495</v>
      </c>
      <c r="L174" s="23">
        <v>8.0846153846153808</v>
      </c>
      <c r="M174" s="23">
        <v>8.1153846153846096</v>
      </c>
      <c r="N174" s="23">
        <v>8.1307692307692303</v>
      </c>
      <c r="Q174" s="93">
        <v>46253</v>
      </c>
      <c r="R174" t="s">
        <v>493</v>
      </c>
      <c r="S174" t="s">
        <v>399</v>
      </c>
      <c r="T174" s="14">
        <v>0</v>
      </c>
      <c r="W174" s="20">
        <v>45916</v>
      </c>
      <c r="X174" t="s">
        <v>274</v>
      </c>
      <c r="Y174" s="23">
        <v>5.8846153846153904</v>
      </c>
      <c r="Z174" s="23">
        <v>5.4307692307692301</v>
      </c>
      <c r="AA174" s="23">
        <v>5.6576923076923098</v>
      </c>
      <c r="AC174" s="19"/>
      <c r="AD174" s="20">
        <v>45792</v>
      </c>
      <c r="AE174" t="s">
        <v>557</v>
      </c>
      <c r="AF174">
        <v>2156.4587390199999</v>
      </c>
      <c r="AG174" s="84">
        <f>DATE(YEAR(His53_DataTT[[#This Row],[RptDate]]),MONTH(His53_DataTT[[#This Row],[RptDate]]),1)</f>
        <v>45778</v>
      </c>
      <c r="AO174" s="14"/>
    </row>
    <row r="175" spans="2:41" x14ac:dyDescent="0.3">
      <c r="B175" s="93">
        <v>46153</v>
      </c>
      <c r="C175" s="23">
        <v>7.5875000000000004</v>
      </c>
      <c r="D175" s="23">
        <v>7.62</v>
      </c>
      <c r="E175" s="23">
        <v>7.75</v>
      </c>
      <c r="F175" s="23">
        <v>7.8807692307692303</v>
      </c>
      <c r="G175" s="23">
        <v>7.9115384615384601</v>
      </c>
      <c r="H175" s="23">
        <v>7.9307692307692301</v>
      </c>
      <c r="I175" s="23">
        <v>7.9653846153846102</v>
      </c>
      <c r="J175" s="23">
        <v>8.0230769230769194</v>
      </c>
      <c r="K175" s="23">
        <v>8.0384615384615401</v>
      </c>
      <c r="L175" s="23">
        <v>8.0769230769230802</v>
      </c>
      <c r="M175" s="23">
        <v>8.1076923076923109</v>
      </c>
      <c r="N175" s="23">
        <v>8.1230769230769209</v>
      </c>
      <c r="Q175" s="93">
        <v>46253</v>
      </c>
      <c r="R175" t="s">
        <v>593</v>
      </c>
      <c r="S175" t="s">
        <v>399</v>
      </c>
      <c r="T175" s="14">
        <v>13503</v>
      </c>
      <c r="W175" s="20">
        <v>45916</v>
      </c>
      <c r="X175" t="s">
        <v>275</v>
      </c>
      <c r="Y175" s="23">
        <v>5.9269230769230798</v>
      </c>
      <c r="Z175" s="23">
        <v>5.4807692307692299</v>
      </c>
      <c r="AA175" s="23">
        <v>5.7038461538461496</v>
      </c>
      <c r="AC175" s="19"/>
      <c r="AD175" s="20">
        <v>45793</v>
      </c>
      <c r="AE175" t="s">
        <v>479</v>
      </c>
      <c r="AF175">
        <v>4778.2034858139996</v>
      </c>
      <c r="AG175" s="84">
        <f>DATE(YEAR(His53_DataTT[[#This Row],[RptDate]]),MONTH(His53_DataTT[[#This Row],[RptDate]]),1)</f>
        <v>45778</v>
      </c>
      <c r="AO175" s="14"/>
    </row>
    <row r="176" spans="2:41" x14ac:dyDescent="0.3">
      <c r="B176" s="93">
        <v>46154</v>
      </c>
      <c r="C176" s="23">
        <v>7.62083333333333</v>
      </c>
      <c r="D176" s="23">
        <v>7.6</v>
      </c>
      <c r="E176" s="23">
        <v>7.75</v>
      </c>
      <c r="F176" s="23">
        <v>7.8807692307692303</v>
      </c>
      <c r="G176" s="23">
        <v>7.9230769230769198</v>
      </c>
      <c r="H176" s="23">
        <v>7.9423076923076898</v>
      </c>
      <c r="I176" s="23">
        <v>7.9769230769230797</v>
      </c>
      <c r="J176" s="23">
        <v>8.0346153846153907</v>
      </c>
      <c r="K176" s="23">
        <v>8.0500000000000007</v>
      </c>
      <c r="L176" s="23">
        <v>8.0884615384615408</v>
      </c>
      <c r="M176" s="23">
        <v>8.1192307692307697</v>
      </c>
      <c r="N176" s="23">
        <v>8.1346153846153904</v>
      </c>
      <c r="Q176" s="93">
        <v>46253</v>
      </c>
      <c r="R176" t="s">
        <v>594</v>
      </c>
      <c r="S176" t="s">
        <v>399</v>
      </c>
      <c r="T176" s="14">
        <v>0</v>
      </c>
      <c r="W176" s="20">
        <v>45916</v>
      </c>
      <c r="X176" t="s">
        <v>276</v>
      </c>
      <c r="Y176" s="23">
        <v>5.9769230769230797</v>
      </c>
      <c r="Z176" s="23">
        <v>5.5230769230769203</v>
      </c>
      <c r="AA176" s="23">
        <v>5.75</v>
      </c>
      <c r="AC176" s="19"/>
      <c r="AD176" s="20">
        <v>45793</v>
      </c>
      <c r="AE176" t="s">
        <v>557</v>
      </c>
      <c r="AF176">
        <v>1683.9237682580001</v>
      </c>
      <c r="AG176" s="84">
        <f>DATE(YEAR(His53_DataTT[[#This Row],[RptDate]]),MONTH(His53_DataTT[[#This Row],[RptDate]]),1)</f>
        <v>45778</v>
      </c>
      <c r="AO176" s="14"/>
    </row>
    <row r="177" spans="2:41" x14ac:dyDescent="0.3">
      <c r="B177" s="93">
        <v>46155</v>
      </c>
      <c r="C177" s="23">
        <v>7.6375000000000002</v>
      </c>
      <c r="D177" s="23">
        <v>7.6</v>
      </c>
      <c r="E177" s="23">
        <v>7.75</v>
      </c>
      <c r="F177" s="23">
        <v>7.8807692307692303</v>
      </c>
      <c r="G177" s="23">
        <v>7.9230769230769198</v>
      </c>
      <c r="H177" s="23">
        <v>7.9423076923076898</v>
      </c>
      <c r="I177" s="23">
        <v>7.9769230769230797</v>
      </c>
      <c r="J177" s="23">
        <v>8.0346153846153907</v>
      </c>
      <c r="K177" s="23">
        <v>8.0500000000000007</v>
      </c>
      <c r="L177" s="23">
        <v>8.0884615384615408</v>
      </c>
      <c r="M177" s="23">
        <v>8.1192307692307697</v>
      </c>
      <c r="N177" s="23">
        <v>8.1346153846153904</v>
      </c>
      <c r="Q177" s="93">
        <v>46253</v>
      </c>
      <c r="R177" t="s">
        <v>595</v>
      </c>
      <c r="S177" t="s">
        <v>399</v>
      </c>
      <c r="T177" s="14">
        <v>0</v>
      </c>
      <c r="W177" s="20">
        <v>45916</v>
      </c>
      <c r="X177" t="s">
        <v>277</v>
      </c>
      <c r="Y177" s="23">
        <v>6.0423076923076904</v>
      </c>
      <c r="Z177" s="23">
        <v>5.5730769230769202</v>
      </c>
      <c r="AA177" s="23">
        <v>5.8076923076923102</v>
      </c>
      <c r="AC177" s="19"/>
      <c r="AD177" s="20">
        <v>45796</v>
      </c>
      <c r="AE177" t="s">
        <v>479</v>
      </c>
      <c r="AF177">
        <v>6353.1934078980003</v>
      </c>
      <c r="AG177" s="84">
        <f>DATE(YEAR(His53_DataTT[[#This Row],[RptDate]]),MONTH(His53_DataTT[[#This Row],[RptDate]]),1)</f>
        <v>45778</v>
      </c>
      <c r="AO177" s="14"/>
    </row>
    <row r="178" spans="2:41" x14ac:dyDescent="0.3">
      <c r="B178" s="93">
        <v>46156</v>
      </c>
      <c r="C178" s="23">
        <v>7.6708333333333298</v>
      </c>
      <c r="D178" s="23">
        <v>7.58</v>
      </c>
      <c r="E178" s="23">
        <v>7.75</v>
      </c>
      <c r="F178" s="23">
        <v>7.8807692307692303</v>
      </c>
      <c r="G178" s="23">
        <v>7.9230769230769198</v>
      </c>
      <c r="H178" s="23">
        <v>7.9423076923076898</v>
      </c>
      <c r="I178" s="23">
        <v>7.9769230769230797</v>
      </c>
      <c r="J178" s="23">
        <v>8.0346153846153907</v>
      </c>
      <c r="K178" s="23">
        <v>8.0500000000000007</v>
      </c>
      <c r="L178" s="23">
        <v>8.0884615384615408</v>
      </c>
      <c r="M178" s="23">
        <v>8.1192307692307697</v>
      </c>
      <c r="N178" s="23">
        <v>8.1346153846153904</v>
      </c>
      <c r="Q178" s="93">
        <v>46253</v>
      </c>
      <c r="R178" t="s">
        <v>1439</v>
      </c>
      <c r="S178" t="s">
        <v>399</v>
      </c>
      <c r="T178" s="14">
        <v>572.12940624903001</v>
      </c>
      <c r="W178" s="20">
        <v>45916</v>
      </c>
      <c r="X178" t="s">
        <v>278</v>
      </c>
      <c r="Y178" s="23">
        <v>6.1</v>
      </c>
      <c r="Z178" s="23">
        <v>5.6346153846153904</v>
      </c>
      <c r="AA178" s="23">
        <v>5.8673076923076897</v>
      </c>
      <c r="AC178" s="19"/>
      <c r="AD178" s="20">
        <v>45796</v>
      </c>
      <c r="AE178" t="s">
        <v>557</v>
      </c>
      <c r="AF178">
        <v>1322.8581337000001</v>
      </c>
      <c r="AG178" s="84">
        <f>DATE(YEAR(His53_DataTT[[#This Row],[RptDate]]),MONTH(His53_DataTT[[#This Row],[RptDate]]),1)</f>
        <v>45778</v>
      </c>
      <c r="AO178" s="14"/>
    </row>
    <row r="179" spans="2:41" x14ac:dyDescent="0.3">
      <c r="B179" s="93">
        <v>46157</v>
      </c>
      <c r="C179" s="23">
        <v>7.6749999999999998</v>
      </c>
      <c r="D179" s="23">
        <v>7.625</v>
      </c>
      <c r="E179" s="23">
        <v>7.75</v>
      </c>
      <c r="F179" s="23">
        <v>7.8653846153846203</v>
      </c>
      <c r="G179" s="23">
        <v>7.9</v>
      </c>
      <c r="H179" s="23">
        <v>7.9192307692307704</v>
      </c>
      <c r="I179" s="23">
        <v>7.9538461538461496</v>
      </c>
      <c r="J179" s="23">
        <v>8.0115384615384606</v>
      </c>
      <c r="K179" s="23">
        <v>8.0269230769230795</v>
      </c>
      <c r="L179" s="23">
        <v>8.0653846153846196</v>
      </c>
      <c r="M179" s="23">
        <v>8.0884615384615408</v>
      </c>
      <c r="N179" s="23">
        <v>8.1038461538461508</v>
      </c>
      <c r="Q179" s="93">
        <v>46253</v>
      </c>
      <c r="R179" t="s">
        <v>479</v>
      </c>
      <c r="S179" t="s">
        <v>395</v>
      </c>
      <c r="T179" s="14">
        <v>11839.8251395589</v>
      </c>
      <c r="W179" s="20">
        <v>45916</v>
      </c>
      <c r="X179" t="s">
        <v>279</v>
      </c>
      <c r="Y179" s="23">
        <v>6.1346153846153797</v>
      </c>
      <c r="Z179" s="23">
        <v>5.6692307692307704</v>
      </c>
      <c r="AA179" s="23">
        <v>5.9019230769230804</v>
      </c>
      <c r="AC179" s="19"/>
      <c r="AD179" s="20">
        <v>45797</v>
      </c>
      <c r="AE179" t="s">
        <v>479</v>
      </c>
      <c r="AF179">
        <v>1718.796588986</v>
      </c>
      <c r="AG179" s="84">
        <f>DATE(YEAR(His53_DataTT[[#This Row],[RptDate]]),MONTH(His53_DataTT[[#This Row],[RptDate]]),1)</f>
        <v>45778</v>
      </c>
      <c r="AO179" s="14"/>
    </row>
    <row r="180" spans="2:41" x14ac:dyDescent="0.3">
      <c r="B180" s="93">
        <v>46160</v>
      </c>
      <c r="C180" s="23">
        <v>7.6950000000000003</v>
      </c>
      <c r="D180" s="23">
        <v>7.625</v>
      </c>
      <c r="E180" s="23">
        <v>7.75</v>
      </c>
      <c r="F180" s="23">
        <v>7.8807692307692303</v>
      </c>
      <c r="G180" s="23">
        <v>7.9230769230769198</v>
      </c>
      <c r="H180" s="23">
        <v>7.9423076923076898</v>
      </c>
      <c r="I180" s="23">
        <v>7.9769230769230797</v>
      </c>
      <c r="J180" s="23">
        <v>8.0346153846153907</v>
      </c>
      <c r="K180" s="23">
        <v>8.0500000000000007</v>
      </c>
      <c r="L180" s="23">
        <v>8.0884615384615408</v>
      </c>
      <c r="M180" s="23">
        <v>8.1192307692307697</v>
      </c>
      <c r="N180" s="23">
        <v>8.1346153846153904</v>
      </c>
      <c r="Q180" s="93">
        <v>46253</v>
      </c>
      <c r="R180" t="s">
        <v>479</v>
      </c>
      <c r="S180" t="s">
        <v>415</v>
      </c>
      <c r="T180" s="14">
        <v>7.8003607516651501</v>
      </c>
      <c r="W180" s="20">
        <v>45916</v>
      </c>
      <c r="X180" t="s">
        <v>280</v>
      </c>
      <c r="Y180" s="23">
        <v>6.2230769230769196</v>
      </c>
      <c r="Z180" s="23">
        <v>5.7538461538461503</v>
      </c>
      <c r="AA180" s="23">
        <v>5.9884615384615403</v>
      </c>
      <c r="AC180" s="19"/>
      <c r="AD180" s="20">
        <v>45797</v>
      </c>
      <c r="AE180" t="s">
        <v>557</v>
      </c>
      <c r="AF180">
        <v>2134.0678597589999</v>
      </c>
      <c r="AG180" s="84">
        <f>DATE(YEAR(His53_DataTT[[#This Row],[RptDate]]),MONTH(His53_DataTT[[#This Row],[RptDate]]),1)</f>
        <v>45778</v>
      </c>
      <c r="AO180" s="14"/>
    </row>
    <row r="181" spans="2:41" x14ac:dyDescent="0.3">
      <c r="B181" s="93">
        <v>46161</v>
      </c>
      <c r="C181" s="23">
        <v>7.6950000000000003</v>
      </c>
      <c r="D181" s="23">
        <v>7.625</v>
      </c>
      <c r="E181" s="23">
        <v>7.75</v>
      </c>
      <c r="F181" s="23">
        <v>7.8807692307692303</v>
      </c>
      <c r="G181" s="23">
        <v>7.9230769230769198</v>
      </c>
      <c r="H181" s="23">
        <v>7.9423076923076898</v>
      </c>
      <c r="I181" s="23">
        <v>7.9769230769230797</v>
      </c>
      <c r="J181" s="23">
        <v>8.0346153846153907</v>
      </c>
      <c r="K181" s="23">
        <v>8.0500000000000007</v>
      </c>
      <c r="L181" s="23">
        <v>8.0884615384615408</v>
      </c>
      <c r="M181" s="23">
        <v>8.1192307692307697</v>
      </c>
      <c r="N181" s="23">
        <v>8.1346153846153904</v>
      </c>
      <c r="Q181" s="93">
        <v>46253</v>
      </c>
      <c r="R181" t="s">
        <v>364</v>
      </c>
      <c r="S181" t="s">
        <v>415</v>
      </c>
      <c r="T181" s="14">
        <v>7.2259894807445404</v>
      </c>
      <c r="W181" s="20">
        <v>45916</v>
      </c>
      <c r="X181" t="s">
        <v>281</v>
      </c>
      <c r="Y181" s="23">
        <v>6.3</v>
      </c>
      <c r="Z181" s="23">
        <v>5.8538461538461499</v>
      </c>
      <c r="AA181" s="23">
        <v>6.0769230769230802</v>
      </c>
      <c r="AC181" s="19"/>
      <c r="AD181" s="20">
        <v>45798</v>
      </c>
      <c r="AE181" t="s">
        <v>479</v>
      </c>
      <c r="AF181">
        <v>960.34208330299998</v>
      </c>
      <c r="AG181" s="84">
        <f>DATE(YEAR(His53_DataTT[[#This Row],[RptDate]]),MONTH(His53_DataTT[[#This Row],[RptDate]]),1)</f>
        <v>45778</v>
      </c>
      <c r="AO181" s="14"/>
    </row>
    <row r="182" spans="2:41" x14ac:dyDescent="0.3">
      <c r="B182" s="93">
        <v>46162</v>
      </c>
      <c r="C182" s="23">
        <v>7.6392857142857196</v>
      </c>
      <c r="D182" s="23">
        <v>7.7</v>
      </c>
      <c r="E182" s="23">
        <v>7.7961538461538504</v>
      </c>
      <c r="F182" s="23">
        <v>7.8807692307692303</v>
      </c>
      <c r="G182" s="23">
        <v>7.9230769230769198</v>
      </c>
      <c r="H182" s="23">
        <v>7.9423076923076898</v>
      </c>
      <c r="I182" s="23">
        <v>7.9769230769230797</v>
      </c>
      <c r="J182" s="23">
        <v>8.0346153846153907</v>
      </c>
      <c r="K182" s="23">
        <v>8.0500000000000007</v>
      </c>
      <c r="L182" s="23">
        <v>8.0884615384615408</v>
      </c>
      <c r="M182" s="23">
        <v>8.1192307692307697</v>
      </c>
      <c r="N182" s="23">
        <v>8.1346153846153904</v>
      </c>
      <c r="Q182" s="93">
        <v>46253</v>
      </c>
      <c r="R182" t="s">
        <v>516</v>
      </c>
      <c r="S182" t="s">
        <v>415</v>
      </c>
      <c r="T182" s="14">
        <v>7.3902553249375096</v>
      </c>
      <c r="W182" s="20">
        <v>45917</v>
      </c>
      <c r="X182" t="s">
        <v>270</v>
      </c>
      <c r="Y182" s="23">
        <v>5.625</v>
      </c>
      <c r="Z182" s="23">
        <v>5.30833333333333</v>
      </c>
      <c r="AA182" s="23">
        <v>5.4666666666666703</v>
      </c>
      <c r="AC182" s="19"/>
      <c r="AD182" s="20">
        <v>45798</v>
      </c>
      <c r="AE182" t="s">
        <v>557</v>
      </c>
      <c r="AF182">
        <v>2127.4469305880002</v>
      </c>
      <c r="AG182" s="84">
        <f>DATE(YEAR(His53_DataTT[[#This Row],[RptDate]]),MONTH(His53_DataTT[[#This Row],[RptDate]]),1)</f>
        <v>45778</v>
      </c>
      <c r="AO182" s="14"/>
    </row>
    <row r="183" spans="2:41" x14ac:dyDescent="0.3">
      <c r="B183" s="93">
        <v>46163</v>
      </c>
      <c r="C183" s="23">
        <v>7.6392857142857196</v>
      </c>
      <c r="D183" s="23">
        <v>7.7</v>
      </c>
      <c r="E183" s="23">
        <v>7.7884615384615401</v>
      </c>
      <c r="F183" s="23">
        <v>7.8807692307692303</v>
      </c>
      <c r="G183" s="23">
        <v>7.9230769230769198</v>
      </c>
      <c r="H183" s="23">
        <v>7.9423076923076898</v>
      </c>
      <c r="I183" s="23">
        <v>7.9769230769230797</v>
      </c>
      <c r="J183" s="23">
        <v>8.0346153846153907</v>
      </c>
      <c r="K183" s="23">
        <v>8.0500000000000007</v>
      </c>
      <c r="L183" s="23">
        <v>8.0884615384615408</v>
      </c>
      <c r="M183" s="23">
        <v>8.1192307692307697</v>
      </c>
      <c r="N183" s="23">
        <v>8.1346153846153904</v>
      </c>
      <c r="Q183" s="93">
        <v>46253</v>
      </c>
      <c r="R183" t="s">
        <v>1288</v>
      </c>
      <c r="S183" t="s">
        <v>415</v>
      </c>
      <c r="T183" s="14">
        <v>7.4762576267439202</v>
      </c>
      <c r="W183" s="20">
        <v>45917</v>
      </c>
      <c r="X183" t="s">
        <v>271</v>
      </c>
      <c r="Y183" s="23">
        <v>5.9</v>
      </c>
      <c r="Z183" s="23">
        <v>5.4</v>
      </c>
      <c r="AA183" s="23">
        <v>5.65</v>
      </c>
      <c r="AC183" s="19"/>
      <c r="AD183" s="20">
        <v>45799</v>
      </c>
      <c r="AE183" t="s">
        <v>479</v>
      </c>
      <c r="AF183">
        <v>505.47515096699999</v>
      </c>
      <c r="AG183" s="84">
        <f>DATE(YEAR(His53_DataTT[[#This Row],[RptDate]]),MONTH(His53_DataTT[[#This Row],[RptDate]]),1)</f>
        <v>45778</v>
      </c>
      <c r="AO183" s="14"/>
    </row>
    <row r="184" spans="2:41" x14ac:dyDescent="0.3">
      <c r="B184" s="93">
        <v>46164</v>
      </c>
      <c r="C184" s="23">
        <v>7.6392857142857196</v>
      </c>
      <c r="D184" s="23">
        <v>7.7</v>
      </c>
      <c r="E184" s="23">
        <v>7.7884615384615401</v>
      </c>
      <c r="F184" s="23">
        <v>7.8807692307692303</v>
      </c>
      <c r="G184" s="23">
        <v>7.9230769230769198</v>
      </c>
      <c r="H184" s="23">
        <v>7.9423076923076898</v>
      </c>
      <c r="I184" s="23">
        <v>7.9769230769230797</v>
      </c>
      <c r="J184" s="23">
        <v>8.0346153846153907</v>
      </c>
      <c r="K184" s="23">
        <v>8.0500000000000007</v>
      </c>
      <c r="L184" s="23">
        <v>8.0884615384615408</v>
      </c>
      <c r="M184" s="23">
        <v>8.1192307692307697</v>
      </c>
      <c r="N184" s="23">
        <v>8.1346153846153904</v>
      </c>
      <c r="Q184" s="93">
        <v>46253</v>
      </c>
      <c r="R184" t="s">
        <v>496</v>
      </c>
      <c r="S184" t="s">
        <v>415</v>
      </c>
      <c r="T184" s="14">
        <v>7.0485007276523302</v>
      </c>
      <c r="W184" s="20">
        <v>45917</v>
      </c>
      <c r="X184" t="s">
        <v>272</v>
      </c>
      <c r="Y184" s="23">
        <v>5.7076923076923096</v>
      </c>
      <c r="Z184" s="23">
        <v>5.2538461538461503</v>
      </c>
      <c r="AA184" s="23">
        <v>5.4807692307692299</v>
      </c>
      <c r="AC184" s="19"/>
      <c r="AD184" s="20">
        <v>45799</v>
      </c>
      <c r="AE184" t="s">
        <v>557</v>
      </c>
      <c r="AF184">
        <v>915.03094753400001</v>
      </c>
      <c r="AG184" s="84">
        <f>DATE(YEAR(His53_DataTT[[#This Row],[RptDate]]),MONTH(His53_DataTT[[#This Row],[RptDate]]),1)</f>
        <v>45778</v>
      </c>
      <c r="AO184" s="14"/>
    </row>
    <row r="185" spans="2:41" x14ac:dyDescent="0.3">
      <c r="B185" s="93">
        <v>46167</v>
      </c>
      <c r="C185" s="23">
        <v>7.6535714285714302</v>
      </c>
      <c r="D185" s="23">
        <v>7.72</v>
      </c>
      <c r="E185" s="23">
        <v>7.8038461538461599</v>
      </c>
      <c r="F185" s="23">
        <v>7.8961538461538501</v>
      </c>
      <c r="G185" s="23">
        <v>7.9384615384615396</v>
      </c>
      <c r="H185" s="23">
        <v>7.9576923076923096</v>
      </c>
      <c r="I185" s="23">
        <v>7.9923076923076897</v>
      </c>
      <c r="J185" s="23">
        <v>8.0500000000000007</v>
      </c>
      <c r="K185" s="23">
        <v>8.0653846153846196</v>
      </c>
      <c r="L185" s="23">
        <v>8.1038461538461508</v>
      </c>
      <c r="M185" s="23">
        <v>8.1346153846153904</v>
      </c>
      <c r="N185" s="23">
        <v>8.15</v>
      </c>
      <c r="Q185" s="93">
        <v>46253</v>
      </c>
      <c r="R185" t="s">
        <v>1290</v>
      </c>
      <c r="S185" t="s">
        <v>415</v>
      </c>
      <c r="T185" s="14">
        <v>7.2258288122427698</v>
      </c>
      <c r="W185" s="20">
        <v>45917</v>
      </c>
      <c r="X185" t="s">
        <v>273</v>
      </c>
      <c r="Y185" s="23">
        <v>5.8307692307692296</v>
      </c>
      <c r="Z185" s="23">
        <v>5.37692307692308</v>
      </c>
      <c r="AA185" s="23">
        <v>5.6038461538461499</v>
      </c>
      <c r="AC185" s="19"/>
      <c r="AD185" s="20">
        <v>45800</v>
      </c>
      <c r="AE185" t="s">
        <v>479</v>
      </c>
      <c r="AF185">
        <v>1333.26975146</v>
      </c>
      <c r="AG185" s="84">
        <f>DATE(YEAR(His53_DataTT[[#This Row],[RptDate]]),MONTH(His53_DataTT[[#This Row],[RptDate]]),1)</f>
        <v>45778</v>
      </c>
      <c r="AO185" s="14"/>
    </row>
    <row r="186" spans="2:41" x14ac:dyDescent="0.3">
      <c r="B186" s="93">
        <v>46168</v>
      </c>
      <c r="C186" s="23">
        <v>7.7321428571428603</v>
      </c>
      <c r="D186" s="23">
        <v>7.76</v>
      </c>
      <c r="E186" s="23">
        <v>7.8115384615384604</v>
      </c>
      <c r="F186" s="23">
        <v>7.9038461538461497</v>
      </c>
      <c r="G186" s="23">
        <v>7.9384615384615396</v>
      </c>
      <c r="H186" s="23">
        <v>7.9576923076923096</v>
      </c>
      <c r="I186" s="23">
        <v>8</v>
      </c>
      <c r="J186" s="23">
        <v>8.0500000000000007</v>
      </c>
      <c r="K186" s="23">
        <v>8.0653846153846196</v>
      </c>
      <c r="L186" s="23">
        <v>8.1038461538461508</v>
      </c>
      <c r="M186" s="23">
        <v>8.1346153846153904</v>
      </c>
      <c r="N186" s="23">
        <v>8.15</v>
      </c>
      <c r="Q186" s="93">
        <v>46253</v>
      </c>
      <c r="R186" t="s">
        <v>364</v>
      </c>
      <c r="S186" t="s">
        <v>997</v>
      </c>
      <c r="T186" s="14">
        <v>32949.1</v>
      </c>
      <c r="W186" s="20">
        <v>45917</v>
      </c>
      <c r="X186" t="s">
        <v>274</v>
      </c>
      <c r="Y186" s="23">
        <v>5.8846153846153904</v>
      </c>
      <c r="Z186" s="23">
        <v>5.4307692307692301</v>
      </c>
      <c r="AA186" s="23">
        <v>5.6576923076923098</v>
      </c>
      <c r="AC186" s="19"/>
      <c r="AD186" s="20">
        <v>45800</v>
      </c>
      <c r="AE186" t="s">
        <v>557</v>
      </c>
      <c r="AF186">
        <v>663.64834834299995</v>
      </c>
      <c r="AG186" s="84">
        <f>DATE(YEAR(His53_DataTT[[#This Row],[RptDate]]),MONTH(His53_DataTT[[#This Row],[RptDate]]),1)</f>
        <v>45778</v>
      </c>
      <c r="AO186" s="14"/>
    </row>
    <row r="187" spans="2:41" x14ac:dyDescent="0.3">
      <c r="B187" s="93">
        <v>46169</v>
      </c>
      <c r="C187" s="23">
        <v>7.7178571428571399</v>
      </c>
      <c r="D187" s="23">
        <v>7.78</v>
      </c>
      <c r="E187" s="23">
        <v>7.8192307692307699</v>
      </c>
      <c r="F187" s="23">
        <v>7.9038461538461497</v>
      </c>
      <c r="G187" s="23">
        <v>7.9384615384615396</v>
      </c>
      <c r="H187" s="23">
        <v>7.9576923076923096</v>
      </c>
      <c r="I187" s="23">
        <v>8</v>
      </c>
      <c r="J187" s="23">
        <v>8.0500000000000007</v>
      </c>
      <c r="K187" s="23">
        <v>8.0653846153846196</v>
      </c>
      <c r="L187" s="23">
        <v>8.1038461538461508</v>
      </c>
      <c r="M187" s="23">
        <v>8.1346153846153904</v>
      </c>
      <c r="N187" s="23">
        <v>8.15</v>
      </c>
      <c r="Q187" s="93">
        <v>46253</v>
      </c>
      <c r="R187" t="s">
        <v>496</v>
      </c>
      <c r="S187" t="s">
        <v>997</v>
      </c>
      <c r="T187" s="14">
        <v>19446.099999999999</v>
      </c>
      <c r="W187" s="20">
        <v>45917</v>
      </c>
      <c r="X187" t="s">
        <v>275</v>
      </c>
      <c r="Y187" s="23">
        <v>5.9269230769230798</v>
      </c>
      <c r="Z187" s="23">
        <v>5.4807692307692299</v>
      </c>
      <c r="AA187" s="23">
        <v>5.7038461538461496</v>
      </c>
      <c r="AC187" s="19"/>
      <c r="AD187" s="20">
        <v>45803</v>
      </c>
      <c r="AE187" t="s">
        <v>479</v>
      </c>
      <c r="AF187">
        <v>848.64557295199995</v>
      </c>
      <c r="AG187" s="84">
        <f>DATE(YEAR(His53_DataTT[[#This Row],[RptDate]]),MONTH(His53_DataTT[[#This Row],[RptDate]]),1)</f>
        <v>45778</v>
      </c>
      <c r="AO187" s="14"/>
    </row>
    <row r="188" spans="2:41" x14ac:dyDescent="0.3">
      <c r="B188" s="93">
        <v>46170</v>
      </c>
      <c r="C188" s="23">
        <v>7.6892857142857096</v>
      </c>
      <c r="D188" s="23">
        <v>7.78</v>
      </c>
      <c r="E188" s="23">
        <v>7.8269230769230802</v>
      </c>
      <c r="F188" s="23">
        <v>7.9192307692307704</v>
      </c>
      <c r="G188" s="23">
        <v>7.9538461538461496</v>
      </c>
      <c r="H188" s="23">
        <v>7.9730769230769196</v>
      </c>
      <c r="I188" s="23">
        <v>8.0076923076923094</v>
      </c>
      <c r="J188" s="23">
        <v>8.0653846153846196</v>
      </c>
      <c r="K188" s="23">
        <v>8.0807692307692296</v>
      </c>
      <c r="L188" s="23">
        <v>8.1192307692307697</v>
      </c>
      <c r="M188" s="23">
        <v>8.15</v>
      </c>
      <c r="N188" s="23">
        <v>8.1653846153846192</v>
      </c>
      <c r="Q188" s="93">
        <v>46253</v>
      </c>
      <c r="R188" t="s">
        <v>1388</v>
      </c>
      <c r="S188" t="s">
        <v>997</v>
      </c>
      <c r="T188" s="14">
        <v>13197.6106</v>
      </c>
      <c r="W188" s="20">
        <v>45917</v>
      </c>
      <c r="X188" t="s">
        <v>276</v>
      </c>
      <c r="Y188" s="23">
        <v>5.9769230769230797</v>
      </c>
      <c r="Z188" s="23">
        <v>5.5230769230769203</v>
      </c>
      <c r="AA188" s="23">
        <v>5.75</v>
      </c>
      <c r="AC188" s="19"/>
      <c r="AD188" s="20">
        <v>45803</v>
      </c>
      <c r="AE188" t="s">
        <v>557</v>
      </c>
      <c r="AF188">
        <v>4647.9487354029998</v>
      </c>
      <c r="AG188" s="84">
        <f>DATE(YEAR(His53_DataTT[[#This Row],[RptDate]]),MONTH(His53_DataTT[[#This Row],[RptDate]]),1)</f>
        <v>45778</v>
      </c>
      <c r="AO188" s="14"/>
    </row>
    <row r="189" spans="2:41" x14ac:dyDescent="0.3">
      <c r="B189" s="93">
        <v>46171</v>
      </c>
      <c r="C189" s="23">
        <v>7.6749999999999998</v>
      </c>
      <c r="D189" s="23">
        <v>7.82</v>
      </c>
      <c r="E189" s="23">
        <v>7.8961538461538501</v>
      </c>
      <c r="F189" s="23">
        <v>8.0115384615384606</v>
      </c>
      <c r="G189" s="23">
        <v>8.0461538461538495</v>
      </c>
      <c r="H189" s="23">
        <v>8.0576923076923102</v>
      </c>
      <c r="I189" s="23">
        <v>8.0923076923076902</v>
      </c>
      <c r="J189" s="23">
        <v>8.1423076923076891</v>
      </c>
      <c r="K189" s="23">
        <v>8.1576923076923098</v>
      </c>
      <c r="L189" s="23">
        <v>8.1884615384615405</v>
      </c>
      <c r="M189" s="23">
        <v>8.2192307692307693</v>
      </c>
      <c r="N189" s="23">
        <v>8.2269230769230806</v>
      </c>
      <c r="Q189" s="93">
        <v>46253</v>
      </c>
      <c r="R189" t="s">
        <v>1389</v>
      </c>
      <c r="S189" t="s">
        <v>997</v>
      </c>
      <c r="T189" s="14">
        <v>12800</v>
      </c>
      <c r="W189" s="20">
        <v>45917</v>
      </c>
      <c r="X189" t="s">
        <v>277</v>
      </c>
      <c r="Y189" s="23">
        <v>6.0423076923076904</v>
      </c>
      <c r="Z189" s="23">
        <v>5.5730769230769202</v>
      </c>
      <c r="AA189" s="23">
        <v>5.8076923076923102</v>
      </c>
      <c r="AC189" s="19"/>
      <c r="AD189" s="20">
        <v>45804</v>
      </c>
      <c r="AE189" t="s">
        <v>479</v>
      </c>
      <c r="AF189">
        <v>4352.8834805770002</v>
      </c>
      <c r="AG189" s="84">
        <f>DATE(YEAR(His53_DataTT[[#This Row],[RptDate]]),MONTH(His53_DataTT[[#This Row],[RptDate]]),1)</f>
        <v>45778</v>
      </c>
      <c r="AO189" s="14"/>
    </row>
    <row r="190" spans="2:41" x14ac:dyDescent="0.3">
      <c r="B190" s="93">
        <v>46174</v>
      </c>
      <c r="C190" s="23">
        <v>7.7464285714285701</v>
      </c>
      <c r="D190" s="23">
        <v>7.98</v>
      </c>
      <c r="E190" s="23">
        <v>7.9461538461538499</v>
      </c>
      <c r="F190" s="23">
        <v>8.0423076923076895</v>
      </c>
      <c r="G190" s="23">
        <v>8.0769230769230802</v>
      </c>
      <c r="H190" s="23">
        <v>8.0884615384615408</v>
      </c>
      <c r="I190" s="23">
        <v>8.1230769230769209</v>
      </c>
      <c r="J190" s="23">
        <v>8.1807692307692292</v>
      </c>
      <c r="K190" s="23">
        <v>8.1961538461538499</v>
      </c>
      <c r="L190" s="23">
        <v>8.2269230769230806</v>
      </c>
      <c r="M190" s="23">
        <v>8.2576923076923094</v>
      </c>
      <c r="N190" s="23">
        <v>8.2653846153846207</v>
      </c>
      <c r="Q190" s="93">
        <v>46253</v>
      </c>
      <c r="R190" t="s">
        <v>1390</v>
      </c>
      <c r="S190" t="s">
        <v>997</v>
      </c>
      <c r="T190" s="14">
        <v>397.61059999999998</v>
      </c>
      <c r="W190" s="20">
        <v>45917</v>
      </c>
      <c r="X190" t="s">
        <v>278</v>
      </c>
      <c r="Y190" s="23">
        <v>6.1</v>
      </c>
      <c r="Z190" s="23">
        <v>5.6346153846153904</v>
      </c>
      <c r="AA190" s="23">
        <v>5.8673076923076897</v>
      </c>
      <c r="AC190" s="19"/>
      <c r="AD190" s="20">
        <v>45804</v>
      </c>
      <c r="AE190" t="s">
        <v>557</v>
      </c>
      <c r="AF190">
        <v>2242.8823260569998</v>
      </c>
      <c r="AG190" s="84">
        <f>DATE(YEAR(His53_DataTT[[#This Row],[RptDate]]),MONTH(His53_DataTT[[#This Row],[RptDate]]),1)</f>
        <v>45778</v>
      </c>
      <c r="AO190" s="14"/>
    </row>
    <row r="191" spans="2:41" x14ac:dyDescent="0.3">
      <c r="B191" s="93">
        <v>46175</v>
      </c>
      <c r="C191" s="23">
        <v>7.7321428571428603</v>
      </c>
      <c r="D191" s="23">
        <v>7.93</v>
      </c>
      <c r="E191" s="23">
        <v>7.9346153846153902</v>
      </c>
      <c r="F191" s="23">
        <v>8.0230769230769194</v>
      </c>
      <c r="G191" s="23">
        <v>8.0730769230769202</v>
      </c>
      <c r="H191" s="23">
        <v>8.0846153846153808</v>
      </c>
      <c r="I191" s="23">
        <v>8.1192307692307697</v>
      </c>
      <c r="J191" s="23">
        <v>8.1692307692307704</v>
      </c>
      <c r="K191" s="23">
        <v>8.1923076923076898</v>
      </c>
      <c r="L191" s="23">
        <v>8.2230769230769205</v>
      </c>
      <c r="M191" s="23">
        <v>8.2461538461538506</v>
      </c>
      <c r="N191" s="23">
        <v>8.2615384615384606</v>
      </c>
      <c r="Q191" s="93">
        <v>46252</v>
      </c>
      <c r="R191" t="s">
        <v>479</v>
      </c>
      <c r="S191" t="s">
        <v>399</v>
      </c>
      <c r="T191" s="14">
        <v>10769.827470431101</v>
      </c>
      <c r="W191" s="20">
        <v>45917</v>
      </c>
      <c r="X191" t="s">
        <v>279</v>
      </c>
      <c r="Y191" s="23">
        <v>6.1346153846153797</v>
      </c>
      <c r="Z191" s="23">
        <v>5.6692307692307704</v>
      </c>
      <c r="AA191" s="23">
        <v>5.9019230769230804</v>
      </c>
      <c r="AC191" s="19"/>
      <c r="AD191" s="20">
        <v>45805</v>
      </c>
      <c r="AE191" t="s">
        <v>479</v>
      </c>
      <c r="AF191">
        <v>2510.0326859090001</v>
      </c>
      <c r="AG191" s="84">
        <f>DATE(YEAR(His53_DataTT[[#This Row],[RptDate]]),MONTH(His53_DataTT[[#This Row],[RptDate]]),1)</f>
        <v>45778</v>
      </c>
      <c r="AO191" s="14"/>
    </row>
    <row r="192" spans="2:41" x14ac:dyDescent="0.3">
      <c r="B192" s="93">
        <v>46176</v>
      </c>
      <c r="C192" s="23">
        <v>7.6892857142857096</v>
      </c>
      <c r="D192" s="23">
        <v>7.89</v>
      </c>
      <c r="E192" s="23">
        <v>7.9346153846153902</v>
      </c>
      <c r="F192" s="23">
        <v>8.0615384615384595</v>
      </c>
      <c r="G192" s="23">
        <v>8.0884615384615408</v>
      </c>
      <c r="H192" s="23">
        <v>8.1</v>
      </c>
      <c r="I192" s="23">
        <v>8.1346153846153797</v>
      </c>
      <c r="J192" s="23">
        <v>8.1923076923076898</v>
      </c>
      <c r="K192" s="23">
        <v>8.2076923076923105</v>
      </c>
      <c r="L192" s="23">
        <v>8.2384615384615394</v>
      </c>
      <c r="M192" s="23">
        <v>8.2615384615384606</v>
      </c>
      <c r="N192" s="23">
        <v>8.2692307692307701</v>
      </c>
      <c r="Q192" s="93">
        <v>46252</v>
      </c>
      <c r="R192" t="s">
        <v>364</v>
      </c>
      <c r="S192" t="s">
        <v>399</v>
      </c>
      <c r="T192" s="14">
        <v>29449.1</v>
      </c>
      <c r="W192" s="20">
        <v>45917</v>
      </c>
      <c r="X192" t="s">
        <v>280</v>
      </c>
      <c r="Y192" s="23">
        <v>6.2230769230769196</v>
      </c>
      <c r="Z192" s="23">
        <v>5.7538461538461503</v>
      </c>
      <c r="AA192" s="23">
        <v>5.9884615384615403</v>
      </c>
      <c r="AC192" s="19"/>
      <c r="AD192" s="20">
        <v>45805</v>
      </c>
      <c r="AE192" t="s">
        <v>557</v>
      </c>
      <c r="AF192">
        <v>2302.878218674</v>
      </c>
      <c r="AG192" s="84">
        <f>DATE(YEAR(His53_DataTT[[#This Row],[RptDate]]),MONTH(His53_DataTT[[#This Row],[RptDate]]),1)</f>
        <v>45778</v>
      </c>
      <c r="AO192" s="14"/>
    </row>
    <row r="193" spans="2:41" x14ac:dyDescent="0.3">
      <c r="B193" s="93">
        <v>46177</v>
      </c>
      <c r="C193" s="23">
        <v>7.6892857142857096</v>
      </c>
      <c r="D193" s="23">
        <v>7.88</v>
      </c>
      <c r="E193" s="23">
        <v>7.9230769230769198</v>
      </c>
      <c r="F193" s="23">
        <v>8.0461538461538495</v>
      </c>
      <c r="G193" s="23">
        <v>8.0884615384615408</v>
      </c>
      <c r="H193" s="23">
        <v>8.1</v>
      </c>
      <c r="I193" s="23">
        <v>8.1346153846153797</v>
      </c>
      <c r="J193" s="23">
        <v>8.1846153846153804</v>
      </c>
      <c r="K193" s="23">
        <v>8.2076923076923105</v>
      </c>
      <c r="L193" s="23">
        <v>8.2384615384615394</v>
      </c>
      <c r="M193" s="23">
        <v>8.2538461538461494</v>
      </c>
      <c r="N193" s="23">
        <v>8.2692307692307701</v>
      </c>
      <c r="Q193" s="93">
        <v>46252</v>
      </c>
      <c r="R193" t="s">
        <v>491</v>
      </c>
      <c r="S193" t="s">
        <v>399</v>
      </c>
      <c r="T193" s="14">
        <v>397.61059999999998</v>
      </c>
      <c r="W193" s="20">
        <v>45917</v>
      </c>
      <c r="X193" t="s">
        <v>281</v>
      </c>
      <c r="Y193" s="23">
        <v>6.3</v>
      </c>
      <c r="Z193" s="23">
        <v>5.8538461538461499</v>
      </c>
      <c r="AA193" s="23">
        <v>6.0769230769230802</v>
      </c>
      <c r="AC193" s="19"/>
      <c r="AD193" s="20">
        <v>45806</v>
      </c>
      <c r="AE193" t="s">
        <v>479</v>
      </c>
      <c r="AF193">
        <v>5218.7592983559998</v>
      </c>
      <c r="AG193" s="84">
        <f>DATE(YEAR(His53_DataTT[[#This Row],[RptDate]]),MONTH(His53_DataTT[[#This Row],[RptDate]]),1)</f>
        <v>45778</v>
      </c>
      <c r="AO193" s="14"/>
    </row>
    <row r="194" spans="2:41" x14ac:dyDescent="0.3">
      <c r="B194" s="93">
        <v>46178</v>
      </c>
      <c r="C194" s="23">
        <v>7.6892857142857096</v>
      </c>
      <c r="D194" s="23">
        <v>7.88</v>
      </c>
      <c r="E194" s="23">
        <v>7.9269230769230798</v>
      </c>
      <c r="F194" s="23">
        <v>8.0461538461538495</v>
      </c>
      <c r="G194" s="23">
        <v>8.0884615384615408</v>
      </c>
      <c r="H194" s="23">
        <v>8.1</v>
      </c>
      <c r="I194" s="23">
        <v>8.1346153846153797</v>
      </c>
      <c r="J194" s="23">
        <v>8.1846153846153804</v>
      </c>
      <c r="K194" s="23">
        <v>8.2076923076923105</v>
      </c>
      <c r="L194" s="23">
        <v>8.2384615384615394</v>
      </c>
      <c r="M194" s="23">
        <v>8.2538461538461494</v>
      </c>
      <c r="N194" s="23">
        <v>8.2692307692307701</v>
      </c>
      <c r="Q194" s="93">
        <v>46252</v>
      </c>
      <c r="R194" t="s">
        <v>492</v>
      </c>
      <c r="S194" t="s">
        <v>399</v>
      </c>
      <c r="T194" s="14">
        <v>9800</v>
      </c>
      <c r="W194" s="20">
        <v>45972</v>
      </c>
      <c r="X194" t="s">
        <v>270</v>
      </c>
      <c r="Y194" s="23">
        <v>6</v>
      </c>
      <c r="Z194" s="23">
        <v>5.5</v>
      </c>
      <c r="AA194" s="23">
        <v>5.75</v>
      </c>
      <c r="AC194" s="19"/>
      <c r="AD194" s="20">
        <v>45806</v>
      </c>
      <c r="AE194" t="s">
        <v>557</v>
      </c>
      <c r="AF194">
        <v>1104.1616100230001</v>
      </c>
      <c r="AG194" s="84">
        <f>DATE(YEAR(His53_DataTT[[#This Row],[RptDate]]),MONTH(His53_DataTT[[#This Row],[RptDate]]),1)</f>
        <v>45778</v>
      </c>
      <c r="AO194" s="14"/>
    </row>
    <row r="195" spans="2:41" x14ac:dyDescent="0.3">
      <c r="B195" s="93">
        <v>46181</v>
      </c>
      <c r="C195" s="23">
        <v>7.7607142857142897</v>
      </c>
      <c r="D195" s="23">
        <v>7.92</v>
      </c>
      <c r="E195" s="23">
        <v>7.9423076923076898</v>
      </c>
      <c r="F195" s="23">
        <v>8.0692307692307708</v>
      </c>
      <c r="G195" s="23">
        <v>8.0961538461538503</v>
      </c>
      <c r="H195" s="23">
        <v>8.1076923076923109</v>
      </c>
      <c r="I195" s="23">
        <v>8.1423076923076891</v>
      </c>
      <c r="J195" s="23">
        <v>8.1999999999999993</v>
      </c>
      <c r="K195" s="23">
        <v>8.2153846153846199</v>
      </c>
      <c r="L195" s="23">
        <v>8.2461538461538506</v>
      </c>
      <c r="M195" s="23">
        <v>8.2615384615384606</v>
      </c>
      <c r="N195" s="23">
        <v>8.2692307692307701</v>
      </c>
      <c r="Q195" s="93">
        <v>46252</v>
      </c>
      <c r="R195" t="s">
        <v>1438</v>
      </c>
      <c r="S195" t="s">
        <v>399</v>
      </c>
      <c r="T195" s="14">
        <v>572.21687043108</v>
      </c>
      <c r="W195" s="20">
        <v>45972</v>
      </c>
      <c r="X195" t="s">
        <v>271</v>
      </c>
      <c r="Y195" s="23">
        <v>6.2374999999999998</v>
      </c>
      <c r="Z195" s="23">
        <v>5.7874999999999996</v>
      </c>
      <c r="AA195" s="23">
        <v>6.0125000000000002</v>
      </c>
      <c r="AC195" s="19"/>
      <c r="AD195" s="20">
        <v>45807</v>
      </c>
      <c r="AE195" t="s">
        <v>479</v>
      </c>
      <c r="AF195">
        <v>3290.1417832749999</v>
      </c>
      <c r="AG195" s="84">
        <f>DATE(YEAR(His53_DataTT[[#This Row],[RptDate]]),MONTH(His53_DataTT[[#This Row],[RptDate]]),1)</f>
        <v>45778</v>
      </c>
      <c r="AO195" s="14"/>
    </row>
    <row r="196" spans="2:41" x14ac:dyDescent="0.3">
      <c r="B196" s="93">
        <v>46182</v>
      </c>
      <c r="C196" s="23">
        <v>7.7607142857142897</v>
      </c>
      <c r="D196" s="23">
        <v>7.88</v>
      </c>
      <c r="E196" s="23">
        <v>7.9423076923076898</v>
      </c>
      <c r="F196" s="23">
        <v>8.0692307692307708</v>
      </c>
      <c r="G196" s="23">
        <v>8.0961538461538503</v>
      </c>
      <c r="H196" s="23">
        <v>8.1076923076923109</v>
      </c>
      <c r="I196" s="23">
        <v>8.1423076923076891</v>
      </c>
      <c r="J196" s="23">
        <v>8.1999999999999993</v>
      </c>
      <c r="K196" s="23">
        <v>8.2153846153846199</v>
      </c>
      <c r="L196" s="23">
        <v>8.2461538461538506</v>
      </c>
      <c r="M196" s="23">
        <v>8.2615384615384606</v>
      </c>
      <c r="N196" s="23">
        <v>8.2692307692307701</v>
      </c>
      <c r="Q196" s="93">
        <v>46252</v>
      </c>
      <c r="R196" t="s">
        <v>496</v>
      </c>
      <c r="S196" t="s">
        <v>399</v>
      </c>
      <c r="T196" s="14">
        <v>14418</v>
      </c>
      <c r="W196" s="20">
        <v>45972</v>
      </c>
      <c r="X196" t="s">
        <v>272</v>
      </c>
      <c r="Y196" s="23">
        <v>6.2333333333333298</v>
      </c>
      <c r="Z196" s="23">
        <v>5.8666666666666698</v>
      </c>
      <c r="AA196" s="23">
        <v>6.05</v>
      </c>
      <c r="AC196" s="19"/>
      <c r="AD196" s="20">
        <v>45807</v>
      </c>
      <c r="AE196" t="s">
        <v>557</v>
      </c>
      <c r="AF196">
        <v>818.64470798299999</v>
      </c>
      <c r="AG196" s="84">
        <f>DATE(YEAR(His53_DataTT[[#This Row],[RptDate]]),MONTH(His53_DataTT[[#This Row],[RptDate]]),1)</f>
        <v>45778</v>
      </c>
      <c r="AO196" s="14"/>
    </row>
    <row r="197" spans="2:41" x14ac:dyDescent="0.3">
      <c r="B197" s="93">
        <v>46183</v>
      </c>
      <c r="C197" s="23">
        <v>7.7406249999999996</v>
      </c>
      <c r="D197" s="23">
        <v>7.95</v>
      </c>
      <c r="E197" s="23">
        <v>7.9423076923076898</v>
      </c>
      <c r="F197" s="23">
        <v>8.0653846153846196</v>
      </c>
      <c r="G197" s="23">
        <v>8.0961538461538503</v>
      </c>
      <c r="H197" s="23">
        <v>8.1076923076923109</v>
      </c>
      <c r="I197" s="23">
        <v>8.1423076923076891</v>
      </c>
      <c r="J197" s="23">
        <v>8.1999999999999993</v>
      </c>
      <c r="K197" s="23">
        <v>8.2153846153846199</v>
      </c>
      <c r="L197" s="23">
        <v>8.2461538461538506</v>
      </c>
      <c r="M197" s="23">
        <v>8.2615384615384606</v>
      </c>
      <c r="N197" s="23">
        <v>8.2692307692307701</v>
      </c>
      <c r="Q197" s="93">
        <v>46252</v>
      </c>
      <c r="R197" t="s">
        <v>497</v>
      </c>
      <c r="S197" t="s">
        <v>399</v>
      </c>
      <c r="T197" s="14">
        <v>397.61059999999998</v>
      </c>
      <c r="W197" s="20">
        <v>45972</v>
      </c>
      <c r="X197" t="s">
        <v>273</v>
      </c>
      <c r="Y197" s="23">
        <v>6.625</v>
      </c>
      <c r="Z197" s="23">
        <v>6.3</v>
      </c>
      <c r="AA197" s="23">
        <v>6.4625000000000004</v>
      </c>
      <c r="AC197" s="19"/>
      <c r="AD197" s="20">
        <v>45810</v>
      </c>
      <c r="AE197" t="s">
        <v>303</v>
      </c>
      <c r="AF197">
        <v>0</v>
      </c>
      <c r="AG197" s="84">
        <f>DATE(YEAR(His53_DataTT[[#This Row],[RptDate]]),MONTH(His53_DataTT[[#This Row],[RptDate]]),1)</f>
        <v>45809</v>
      </c>
      <c r="AO197" s="14"/>
    </row>
    <row r="198" spans="2:41" x14ac:dyDescent="0.3">
      <c r="B198" s="93">
        <v>46184</v>
      </c>
      <c r="C198" s="23">
        <v>7.7531249999999998</v>
      </c>
      <c r="D198" s="23">
        <v>7.95</v>
      </c>
      <c r="E198" s="23">
        <v>7.9423076923076898</v>
      </c>
      <c r="F198" s="23">
        <v>8.0653846153846196</v>
      </c>
      <c r="G198" s="23">
        <v>8.0961538461538503</v>
      </c>
      <c r="H198" s="23">
        <v>8.1076923076923109</v>
      </c>
      <c r="I198" s="23">
        <v>8.1423076923076891</v>
      </c>
      <c r="J198" s="23">
        <v>8.1999999999999993</v>
      </c>
      <c r="K198" s="23">
        <v>8.2153846153846199</v>
      </c>
      <c r="L198" s="23">
        <v>8.2461538461538506</v>
      </c>
      <c r="M198" s="23">
        <v>8.2615384615384606</v>
      </c>
      <c r="N198" s="23">
        <v>8.2692307692307701</v>
      </c>
      <c r="Q198" s="93">
        <v>46252</v>
      </c>
      <c r="R198" t="s">
        <v>498</v>
      </c>
      <c r="S198" t="s">
        <v>399</v>
      </c>
      <c r="T198" s="14">
        <v>9800</v>
      </c>
      <c r="W198" s="20">
        <v>45972</v>
      </c>
      <c r="X198" t="s">
        <v>274</v>
      </c>
      <c r="Y198" s="23">
        <v>6.3653846153846203</v>
      </c>
      <c r="Z198" s="23">
        <v>5.8884615384615397</v>
      </c>
      <c r="AA198" s="23">
        <v>6.12692307692308</v>
      </c>
      <c r="AC198" s="19"/>
      <c r="AD198" s="20">
        <v>45811</v>
      </c>
      <c r="AE198" t="s">
        <v>303</v>
      </c>
      <c r="AF198">
        <v>2839.614567438</v>
      </c>
      <c r="AG198" s="84">
        <f>DATE(YEAR(His53_DataTT[[#This Row],[RptDate]]),MONTH(His53_DataTT[[#This Row],[RptDate]]),1)</f>
        <v>45809</v>
      </c>
      <c r="AO198" s="14"/>
    </row>
    <row r="199" spans="2:41" x14ac:dyDescent="0.3">
      <c r="B199" s="93">
        <v>46185</v>
      </c>
      <c r="C199" s="23">
        <v>7.7531249999999998</v>
      </c>
      <c r="D199" s="23">
        <v>7.95</v>
      </c>
      <c r="E199" s="23">
        <v>7.9653846153846199</v>
      </c>
      <c r="F199" s="23">
        <v>8.0730769230769202</v>
      </c>
      <c r="G199" s="23">
        <v>8.1038461538461508</v>
      </c>
      <c r="H199" s="23">
        <v>8.1153846153846096</v>
      </c>
      <c r="I199" s="23">
        <v>8.15</v>
      </c>
      <c r="J199" s="23">
        <v>8.2076923076923105</v>
      </c>
      <c r="K199" s="23">
        <v>8.2230769230769205</v>
      </c>
      <c r="L199" s="23">
        <v>8.2538461538461494</v>
      </c>
      <c r="M199" s="23">
        <v>8.2692307692307701</v>
      </c>
      <c r="N199" s="23">
        <v>8.2769230769230795</v>
      </c>
      <c r="Q199" s="93">
        <v>46252</v>
      </c>
      <c r="R199" t="s">
        <v>494</v>
      </c>
      <c r="S199" t="s">
        <v>399</v>
      </c>
      <c r="T199" s="14">
        <v>0</v>
      </c>
      <c r="W199" s="20">
        <v>45972</v>
      </c>
      <c r="X199" t="s">
        <v>275</v>
      </c>
      <c r="Y199" s="23">
        <v>6.4038461538461604</v>
      </c>
      <c r="Z199" s="23">
        <v>5.9269230769230798</v>
      </c>
      <c r="AA199" s="23">
        <v>6.1653846153846201</v>
      </c>
      <c r="AC199" s="19"/>
      <c r="AD199" s="20">
        <v>45812</v>
      </c>
      <c r="AE199" t="s">
        <v>557</v>
      </c>
      <c r="AF199">
        <v>2845.977746729</v>
      </c>
      <c r="AG199" s="84">
        <f>DATE(YEAR(His53_DataTT[[#This Row],[RptDate]]),MONTH(His53_DataTT[[#This Row],[RptDate]]),1)</f>
        <v>45809</v>
      </c>
      <c r="AO199" s="14"/>
    </row>
    <row r="200" spans="2:41" x14ac:dyDescent="0.3">
      <c r="B200" s="93">
        <v>46188</v>
      </c>
      <c r="C200" s="23">
        <v>7.7531249999999998</v>
      </c>
      <c r="D200" s="23">
        <v>7.9749999999999996</v>
      </c>
      <c r="E200" s="23">
        <v>7.9423076923076898</v>
      </c>
      <c r="F200" s="23">
        <v>8.0730769230769202</v>
      </c>
      <c r="G200" s="23">
        <v>8.1038461538461508</v>
      </c>
      <c r="H200" s="23">
        <v>8.1153846153846096</v>
      </c>
      <c r="I200" s="23">
        <v>8.15</v>
      </c>
      <c r="J200" s="23">
        <v>8.2076923076923105</v>
      </c>
      <c r="K200" s="23">
        <v>8.2230769230769205</v>
      </c>
      <c r="L200" s="23">
        <v>8.2538461538461494</v>
      </c>
      <c r="M200" s="23">
        <v>8.2692307692307701</v>
      </c>
      <c r="N200" s="23">
        <v>8.2769230769230795</v>
      </c>
      <c r="Q200" s="93">
        <v>46252</v>
      </c>
      <c r="R200" t="s">
        <v>495</v>
      </c>
      <c r="S200" t="s">
        <v>399</v>
      </c>
      <c r="T200" s="14">
        <v>0</v>
      </c>
      <c r="W200" s="20">
        <v>45972</v>
      </c>
      <c r="X200" t="s">
        <v>276</v>
      </c>
      <c r="Y200" s="23">
        <v>6.4192307692307704</v>
      </c>
      <c r="Z200" s="23">
        <v>5.9423076923076898</v>
      </c>
      <c r="AA200" s="23">
        <v>6.1807692307692301</v>
      </c>
      <c r="AC200" s="19"/>
      <c r="AD200" s="20">
        <v>45812</v>
      </c>
      <c r="AE200" t="s">
        <v>479</v>
      </c>
      <c r="AF200">
        <v>2547.5767115560002</v>
      </c>
      <c r="AG200" s="84">
        <f>DATE(YEAR(His53_DataTT[[#This Row],[RptDate]]),MONTH(His53_DataTT[[#This Row],[RptDate]]),1)</f>
        <v>45809</v>
      </c>
      <c r="AO200" s="14"/>
    </row>
    <row r="201" spans="2:41" x14ac:dyDescent="0.3">
      <c r="B201" s="93">
        <v>46189</v>
      </c>
      <c r="C201" s="23">
        <v>7.7531249999999998</v>
      </c>
      <c r="D201" s="23">
        <v>7.9916666666666698</v>
      </c>
      <c r="E201" s="23">
        <v>7.9538461538461496</v>
      </c>
      <c r="F201" s="23">
        <v>8.1</v>
      </c>
      <c r="G201" s="23">
        <v>8.1153846153846096</v>
      </c>
      <c r="H201" s="23">
        <v>8.1538461538461497</v>
      </c>
      <c r="I201" s="23">
        <v>8.1653846153846104</v>
      </c>
      <c r="J201" s="23">
        <v>8.2230769230769205</v>
      </c>
      <c r="K201" s="23">
        <v>8.2384615384615394</v>
      </c>
      <c r="L201" s="23">
        <v>8.2769230769230795</v>
      </c>
      <c r="M201" s="23">
        <v>8.2923076923076895</v>
      </c>
      <c r="N201" s="23">
        <v>8.3000000000000007</v>
      </c>
      <c r="Q201" s="93">
        <v>46252</v>
      </c>
      <c r="R201" t="s">
        <v>493</v>
      </c>
      <c r="S201" t="s">
        <v>399</v>
      </c>
      <c r="T201" s="14">
        <v>0</v>
      </c>
      <c r="W201" s="20">
        <v>45972</v>
      </c>
      <c r="X201" t="s">
        <v>277</v>
      </c>
      <c r="Y201" s="23">
        <v>6.48461538461539</v>
      </c>
      <c r="Z201" s="23">
        <v>6.0076923076923103</v>
      </c>
      <c r="AA201" s="23">
        <v>6.2461538461538497</v>
      </c>
      <c r="AC201" s="19"/>
      <c r="AD201" s="20">
        <v>45813</v>
      </c>
      <c r="AE201" t="s">
        <v>479</v>
      </c>
      <c r="AF201">
        <v>6898.0291826470002</v>
      </c>
      <c r="AG201" s="84">
        <f>DATE(YEAR(His53_DataTT[[#This Row],[RptDate]]),MONTH(His53_DataTT[[#This Row],[RptDate]]),1)</f>
        <v>45809</v>
      </c>
      <c r="AO201" s="14"/>
    </row>
    <row r="202" spans="2:41" x14ac:dyDescent="0.3">
      <c r="B202" s="93">
        <v>46190</v>
      </c>
      <c r="C202" s="23">
        <v>7.7906250000000004</v>
      </c>
      <c r="D202" s="23">
        <v>7.9916666666666698</v>
      </c>
      <c r="E202" s="23">
        <v>7.9538461538461496</v>
      </c>
      <c r="F202" s="23">
        <v>8.1</v>
      </c>
      <c r="G202" s="23">
        <v>8.1153846153846096</v>
      </c>
      <c r="H202" s="23">
        <v>8.1538461538461497</v>
      </c>
      <c r="I202" s="23">
        <v>8.1653846153846104</v>
      </c>
      <c r="J202" s="23">
        <v>8.2230769230769205</v>
      </c>
      <c r="K202" s="23">
        <v>8.2384615384615394</v>
      </c>
      <c r="L202" s="23">
        <v>8.2769230769230795</v>
      </c>
      <c r="M202" s="23">
        <v>8.2923076923076895</v>
      </c>
      <c r="N202" s="23">
        <v>8.3000000000000007</v>
      </c>
      <c r="Q202" s="93">
        <v>46252</v>
      </c>
      <c r="R202" t="s">
        <v>593</v>
      </c>
      <c r="S202" t="s">
        <v>399</v>
      </c>
      <c r="T202" s="14">
        <v>15031.1</v>
      </c>
      <c r="W202" s="20">
        <v>45972</v>
      </c>
      <c r="X202" t="s">
        <v>278</v>
      </c>
      <c r="Y202" s="23">
        <v>6.4923076923076897</v>
      </c>
      <c r="Z202" s="23">
        <v>6.0153846153846198</v>
      </c>
      <c r="AA202" s="23">
        <v>6.2538461538461503</v>
      </c>
      <c r="AC202" s="19"/>
      <c r="AD202" s="20">
        <v>45813</v>
      </c>
      <c r="AE202" t="s">
        <v>557</v>
      </c>
      <c r="AF202">
        <v>912.20413311100003</v>
      </c>
      <c r="AG202" s="84">
        <f>DATE(YEAR(His53_DataTT[[#This Row],[RptDate]]),MONTH(His53_DataTT[[#This Row],[RptDate]]),1)</f>
        <v>45809</v>
      </c>
      <c r="AO202" s="14"/>
    </row>
    <row r="203" spans="2:41" x14ac:dyDescent="0.3">
      <c r="B203" s="93">
        <v>46191</v>
      </c>
      <c r="C203" s="23">
        <v>7.828125</v>
      </c>
      <c r="D203" s="23">
        <v>7.9916666666666698</v>
      </c>
      <c r="E203" s="23">
        <v>7.9538461538461496</v>
      </c>
      <c r="F203" s="23">
        <v>8.1</v>
      </c>
      <c r="G203" s="23">
        <v>8.1153846153846096</v>
      </c>
      <c r="H203" s="23">
        <v>8.1538461538461497</v>
      </c>
      <c r="I203" s="23">
        <v>8.1653846153846104</v>
      </c>
      <c r="J203" s="23">
        <v>8.2230769230769205</v>
      </c>
      <c r="K203" s="23">
        <v>8.2384615384615394</v>
      </c>
      <c r="L203" s="23">
        <v>8.2769230769230795</v>
      </c>
      <c r="M203" s="23">
        <v>8.2923076923076895</v>
      </c>
      <c r="N203" s="23">
        <v>8.3000000000000007</v>
      </c>
      <c r="Q203" s="93">
        <v>46252</v>
      </c>
      <c r="R203" t="s">
        <v>594</v>
      </c>
      <c r="S203" t="s">
        <v>399</v>
      </c>
      <c r="T203" s="14">
        <v>0</v>
      </c>
      <c r="W203" s="20">
        <v>45972</v>
      </c>
      <c r="X203" t="s">
        <v>279</v>
      </c>
      <c r="Y203" s="23">
        <v>6.5423076923076904</v>
      </c>
      <c r="Z203" s="23">
        <v>6.0653846153846196</v>
      </c>
      <c r="AA203" s="23">
        <v>6.3038461538461501</v>
      </c>
      <c r="AC203" s="19"/>
      <c r="AD203" s="20">
        <v>45814</v>
      </c>
      <c r="AE203" t="s">
        <v>479</v>
      </c>
      <c r="AF203">
        <v>2575.8882788619999</v>
      </c>
      <c r="AG203" s="84">
        <f>DATE(YEAR(His53_DataTT[[#This Row],[RptDate]]),MONTH(His53_DataTT[[#This Row],[RptDate]]),1)</f>
        <v>45809</v>
      </c>
      <c r="AO203" s="14"/>
    </row>
    <row r="204" spans="2:41" x14ac:dyDescent="0.3">
      <c r="B204" s="93">
        <v>46192</v>
      </c>
      <c r="C204" s="23">
        <v>7.8107142857142904</v>
      </c>
      <c r="D204" s="23">
        <v>8.0083333333333293</v>
      </c>
      <c r="E204" s="23">
        <v>7.9615384615384599</v>
      </c>
      <c r="F204" s="23">
        <v>8.1076923076923109</v>
      </c>
      <c r="G204" s="23">
        <v>8.1192307692307697</v>
      </c>
      <c r="H204" s="23">
        <v>8.1576923076923098</v>
      </c>
      <c r="I204" s="23">
        <v>8.1692307692307704</v>
      </c>
      <c r="J204" s="23">
        <v>8.2269230769230806</v>
      </c>
      <c r="K204" s="23">
        <v>8.2423076923076906</v>
      </c>
      <c r="L204" s="23">
        <v>8.2807692307692307</v>
      </c>
      <c r="M204" s="23">
        <v>8.2961538461538495</v>
      </c>
      <c r="N204" s="23">
        <v>8.3038461538461608</v>
      </c>
      <c r="Q204" s="93">
        <v>46252</v>
      </c>
      <c r="R204" t="s">
        <v>595</v>
      </c>
      <c r="S204" t="s">
        <v>399</v>
      </c>
      <c r="T204" s="14">
        <v>0</v>
      </c>
      <c r="W204" s="20">
        <v>45972</v>
      </c>
      <c r="X204" t="s">
        <v>280</v>
      </c>
      <c r="Y204" s="23">
        <v>6.5961538461538503</v>
      </c>
      <c r="Z204" s="23">
        <v>6.1192307692307697</v>
      </c>
      <c r="AA204" s="23">
        <v>6.35769230769231</v>
      </c>
      <c r="AC204" s="19"/>
      <c r="AD204" s="20">
        <v>45814</v>
      </c>
      <c r="AE204" t="s">
        <v>557</v>
      </c>
      <c r="AF204">
        <v>1184.5747696000001</v>
      </c>
      <c r="AG204" s="84">
        <f>DATE(YEAR(His53_DataTT[[#This Row],[RptDate]]),MONTH(His53_DataTT[[#This Row],[RptDate]]),1)</f>
        <v>45809</v>
      </c>
      <c r="AO204" s="14"/>
    </row>
    <row r="205" spans="2:41" x14ac:dyDescent="0.3">
      <c r="B205" s="93">
        <v>46195</v>
      </c>
      <c r="C205" s="23">
        <v>7.83928571428571</v>
      </c>
      <c r="D205" s="23">
        <v>8.0250000000000004</v>
      </c>
      <c r="E205" s="23">
        <v>7.9807692307692299</v>
      </c>
      <c r="F205" s="23">
        <v>8.0961538461538503</v>
      </c>
      <c r="G205" s="23">
        <v>8.1076923076923109</v>
      </c>
      <c r="H205" s="23">
        <v>8.1538461538461497</v>
      </c>
      <c r="I205" s="23">
        <v>8.1653846153846104</v>
      </c>
      <c r="J205" s="23">
        <v>8.2230769230769205</v>
      </c>
      <c r="K205" s="23">
        <v>8.2384615384615394</v>
      </c>
      <c r="L205" s="23">
        <v>8.2846153846153907</v>
      </c>
      <c r="M205" s="23">
        <v>8.3000000000000007</v>
      </c>
      <c r="N205" s="23">
        <v>8.3076923076923102</v>
      </c>
      <c r="Q205" s="93">
        <v>46252</v>
      </c>
      <c r="R205" t="s">
        <v>1439</v>
      </c>
      <c r="S205" t="s">
        <v>399</v>
      </c>
      <c r="T205" s="14">
        <v>572.21687043108</v>
      </c>
      <c r="W205" s="20">
        <v>45972</v>
      </c>
      <c r="X205" t="s">
        <v>281</v>
      </c>
      <c r="Y205" s="23">
        <v>6.6038461538461597</v>
      </c>
      <c r="Z205" s="23">
        <v>6.12692307692308</v>
      </c>
      <c r="AA205" s="23">
        <v>6.3653846153846203</v>
      </c>
      <c r="AC205" s="19"/>
      <c r="AD205" s="20">
        <v>45817</v>
      </c>
      <c r="AE205" t="s">
        <v>479</v>
      </c>
      <c r="AF205">
        <v>2967.9961801270001</v>
      </c>
      <c r="AG205" s="84">
        <f>DATE(YEAR(His53_DataTT[[#This Row],[RptDate]]),MONTH(His53_DataTT[[#This Row],[RptDate]]),1)</f>
        <v>45809</v>
      </c>
      <c r="AO205" s="14"/>
    </row>
    <row r="206" spans="2:41" x14ac:dyDescent="0.3">
      <c r="B206" s="93">
        <v>46196</v>
      </c>
      <c r="C206" s="23">
        <v>7.83928571428571</v>
      </c>
      <c r="D206" s="23">
        <v>8.0416666666666607</v>
      </c>
      <c r="E206" s="23">
        <v>7.9884615384615403</v>
      </c>
      <c r="F206" s="23">
        <v>8.1192307692307697</v>
      </c>
      <c r="G206" s="23">
        <v>8.1384615384615397</v>
      </c>
      <c r="H206" s="23">
        <v>8.1692307692307704</v>
      </c>
      <c r="I206" s="23">
        <v>8.1807692307692292</v>
      </c>
      <c r="J206" s="23">
        <v>8.2384615384615394</v>
      </c>
      <c r="K206" s="23">
        <v>8.2538461538461494</v>
      </c>
      <c r="L206" s="23">
        <v>8.2923076923076895</v>
      </c>
      <c r="M206" s="23">
        <v>8.3076923076923102</v>
      </c>
      <c r="N206" s="23">
        <v>8.3153846153846107</v>
      </c>
      <c r="Q206" s="93">
        <v>46252</v>
      </c>
      <c r="R206" t="s">
        <v>479</v>
      </c>
      <c r="S206" t="s">
        <v>395</v>
      </c>
      <c r="T206" s="14">
        <v>11829.377690974001</v>
      </c>
      <c r="W206" s="20">
        <v>45973</v>
      </c>
      <c r="X206" t="s">
        <v>270</v>
      </c>
      <c r="Y206" s="23">
        <v>6.08</v>
      </c>
      <c r="Z206" s="23">
        <v>5.58</v>
      </c>
      <c r="AA206" s="23">
        <v>5.83</v>
      </c>
      <c r="AC206" s="19"/>
      <c r="AD206" s="20">
        <v>45817</v>
      </c>
      <c r="AE206" t="s">
        <v>557</v>
      </c>
      <c r="AF206">
        <v>3435.9124669540001</v>
      </c>
      <c r="AG206" s="84">
        <f>DATE(YEAR(His53_DataTT[[#This Row],[RptDate]]),MONTH(His53_DataTT[[#This Row],[RptDate]]),1)</f>
        <v>45809</v>
      </c>
      <c r="AO206" s="14"/>
    </row>
    <row r="207" spans="2:41" x14ac:dyDescent="0.3">
      <c r="B207" s="93">
        <v>46197</v>
      </c>
      <c r="C207" s="23">
        <v>7.83928571428571</v>
      </c>
      <c r="D207" s="23">
        <v>8.0416666666666607</v>
      </c>
      <c r="E207" s="23">
        <v>7.9884615384615403</v>
      </c>
      <c r="F207" s="23">
        <v>8.1192307692307697</v>
      </c>
      <c r="G207" s="23">
        <v>8.1384615384615397</v>
      </c>
      <c r="H207" s="23">
        <v>8.1692307692307704</v>
      </c>
      <c r="I207" s="23">
        <v>8.1807692307692292</v>
      </c>
      <c r="J207" s="23">
        <v>8.2384615384615394</v>
      </c>
      <c r="K207" s="23">
        <v>8.2538461538461494</v>
      </c>
      <c r="L207" s="23">
        <v>8.2923076923076895</v>
      </c>
      <c r="M207" s="23">
        <v>8.3076923076923102</v>
      </c>
      <c r="N207" s="23">
        <v>8.3153846153846107</v>
      </c>
      <c r="Q207" s="93">
        <v>46252</v>
      </c>
      <c r="R207" t="s">
        <v>479</v>
      </c>
      <c r="S207" t="s">
        <v>415</v>
      </c>
      <c r="T207" s="14">
        <v>7.8003607516651501</v>
      </c>
      <c r="W207" s="20">
        <v>45973</v>
      </c>
      <c r="X207" t="s">
        <v>271</v>
      </c>
      <c r="Y207" s="23">
        <v>6.2625000000000002</v>
      </c>
      <c r="Z207" s="23">
        <v>5.8125</v>
      </c>
      <c r="AA207" s="23">
        <v>6.0374999999999996</v>
      </c>
      <c r="AC207" s="19"/>
      <c r="AD207" s="20">
        <v>45818</v>
      </c>
      <c r="AE207" t="s">
        <v>479</v>
      </c>
      <c r="AF207">
        <v>2067.270158369</v>
      </c>
      <c r="AG207" s="84">
        <f>DATE(YEAR(His53_DataTT[[#This Row],[RptDate]]),MONTH(His53_DataTT[[#This Row],[RptDate]]),1)</f>
        <v>45809</v>
      </c>
      <c r="AO207" s="14"/>
    </row>
    <row r="208" spans="2:41" x14ac:dyDescent="0.3">
      <c r="B208" s="93">
        <v>46198</v>
      </c>
      <c r="C208" s="23">
        <v>7.83928571428571</v>
      </c>
      <c r="D208" s="23">
        <v>8.05833333333333</v>
      </c>
      <c r="E208" s="23">
        <v>7.9884615384615403</v>
      </c>
      <c r="F208" s="23">
        <v>8.1192307692307697</v>
      </c>
      <c r="G208" s="23">
        <v>8.1384615384615397</v>
      </c>
      <c r="H208" s="23">
        <v>8.1692307692307704</v>
      </c>
      <c r="I208" s="23">
        <v>8.1807692307692292</v>
      </c>
      <c r="J208" s="23">
        <v>8.2384615384615394</v>
      </c>
      <c r="K208" s="23">
        <v>8.2538461538461494</v>
      </c>
      <c r="L208" s="23">
        <v>8.2923076923076895</v>
      </c>
      <c r="M208" s="23">
        <v>8.3076923076923102</v>
      </c>
      <c r="N208" s="23">
        <v>8.3153846153846107</v>
      </c>
      <c r="Q208" s="93">
        <v>46252</v>
      </c>
      <c r="R208" t="s">
        <v>364</v>
      </c>
      <c r="S208" t="s">
        <v>415</v>
      </c>
      <c r="T208" s="14">
        <v>7.2259894807445404</v>
      </c>
      <c r="W208" s="20">
        <v>45973</v>
      </c>
      <c r="X208" t="s">
        <v>272</v>
      </c>
      <c r="Y208" s="23">
        <v>6.25</v>
      </c>
      <c r="Z208" s="23">
        <v>5.8833333333333302</v>
      </c>
      <c r="AA208" s="23">
        <v>6.06666666666667</v>
      </c>
      <c r="AC208" s="19"/>
      <c r="AD208" s="20">
        <v>45818</v>
      </c>
      <c r="AE208" t="s">
        <v>557</v>
      </c>
      <c r="AF208">
        <v>1180.4048098650001</v>
      </c>
      <c r="AG208" s="84">
        <f>DATE(YEAR(His53_DataTT[[#This Row],[RptDate]]),MONTH(His53_DataTT[[#This Row],[RptDate]]),1)</f>
        <v>45809</v>
      </c>
      <c r="AO208" s="14"/>
    </row>
    <row r="209" spans="2:41" x14ac:dyDescent="0.3">
      <c r="B209" s="93">
        <v>46199</v>
      </c>
      <c r="C209" s="23">
        <v>7.83928571428571</v>
      </c>
      <c r="D209" s="23">
        <v>8.0916666666666703</v>
      </c>
      <c r="E209" s="23">
        <v>7.9961538461538497</v>
      </c>
      <c r="F209" s="23">
        <v>8.1192307692307697</v>
      </c>
      <c r="G209" s="23">
        <v>8.1384615384615397</v>
      </c>
      <c r="H209" s="23">
        <v>8.1692307692307704</v>
      </c>
      <c r="I209" s="23">
        <v>8.1807692307692292</v>
      </c>
      <c r="J209" s="23">
        <v>8.2384615384615394</v>
      </c>
      <c r="K209" s="23">
        <v>8.2538461538461494</v>
      </c>
      <c r="L209" s="23">
        <v>8.2923076923076895</v>
      </c>
      <c r="M209" s="23">
        <v>8.3076923076923102</v>
      </c>
      <c r="N209" s="23">
        <v>8.3153846153846107</v>
      </c>
      <c r="Q209" s="93">
        <v>46252</v>
      </c>
      <c r="R209" t="s">
        <v>516</v>
      </c>
      <c r="S209" t="s">
        <v>415</v>
      </c>
      <c r="T209" s="14">
        <v>7.3902553249375096</v>
      </c>
      <c r="W209" s="20">
        <v>45973</v>
      </c>
      <c r="X209" t="s">
        <v>273</v>
      </c>
      <c r="Y209" s="23">
        <v>6.625</v>
      </c>
      <c r="Z209" s="23">
        <v>6.3</v>
      </c>
      <c r="AA209" s="23">
        <v>6.4625000000000004</v>
      </c>
      <c r="AC209" s="19"/>
      <c r="AD209" s="20">
        <v>45819</v>
      </c>
      <c r="AE209" t="s">
        <v>479</v>
      </c>
      <c r="AF209">
        <v>2418.3006566640001</v>
      </c>
      <c r="AG209" s="84">
        <f>DATE(YEAR(His53_DataTT[[#This Row],[RptDate]]),MONTH(His53_DataTT[[#This Row],[RptDate]]),1)</f>
        <v>45809</v>
      </c>
      <c r="AO209" s="14"/>
    </row>
    <row r="210" spans="2:41" x14ac:dyDescent="0.3">
      <c r="B210" s="93">
        <v>46202</v>
      </c>
      <c r="C210" s="23">
        <v>7.8531250000000004</v>
      </c>
      <c r="D210" s="23">
        <v>8.1300000000000008</v>
      </c>
      <c r="E210" s="23">
        <v>8.0115384615384606</v>
      </c>
      <c r="F210" s="23">
        <v>8.1269230769230791</v>
      </c>
      <c r="G210" s="23">
        <v>8.1384615384615397</v>
      </c>
      <c r="H210" s="23">
        <v>8.1692307692307704</v>
      </c>
      <c r="I210" s="23">
        <v>8.1807692307692292</v>
      </c>
      <c r="J210" s="23">
        <v>8.2384615384615394</v>
      </c>
      <c r="K210" s="23">
        <v>8.2538461538461494</v>
      </c>
      <c r="L210" s="23">
        <v>8.2923076923076895</v>
      </c>
      <c r="M210" s="23">
        <v>8.3076923076923102</v>
      </c>
      <c r="N210" s="23">
        <v>8.3153846153846107</v>
      </c>
      <c r="Q210" s="93">
        <v>46252</v>
      </c>
      <c r="R210" t="s">
        <v>1288</v>
      </c>
      <c r="S210" t="s">
        <v>415</v>
      </c>
      <c r="T210" s="14">
        <v>7.8003607516651501</v>
      </c>
      <c r="W210" s="20">
        <v>45973</v>
      </c>
      <c r="X210" t="s">
        <v>274</v>
      </c>
      <c r="Y210" s="23">
        <v>6.3653846153846203</v>
      </c>
      <c r="Z210" s="23">
        <v>5.8884615384615397</v>
      </c>
      <c r="AA210" s="23">
        <v>6.12692307692308</v>
      </c>
      <c r="AC210" s="19"/>
      <c r="AD210" s="20">
        <v>45819</v>
      </c>
      <c r="AE210" t="s">
        <v>557</v>
      </c>
      <c r="AF210">
        <v>2710.4367263290001</v>
      </c>
      <c r="AG210" s="84">
        <f>DATE(YEAR(His53_DataTT[[#This Row],[RptDate]]),MONTH(His53_DataTT[[#This Row],[RptDate]]),1)</f>
        <v>45809</v>
      </c>
      <c r="AO210" s="14"/>
    </row>
    <row r="211" spans="2:41" x14ac:dyDescent="0.3">
      <c r="B211" s="93">
        <v>46203</v>
      </c>
      <c r="C211" s="23">
        <v>7.8656249999999996</v>
      </c>
      <c r="D211" s="23">
        <v>8.15</v>
      </c>
      <c r="E211" s="23">
        <v>8.0115384615384606</v>
      </c>
      <c r="F211" s="23">
        <v>8.1269230769230791</v>
      </c>
      <c r="G211" s="23">
        <v>8.1384615384615397</v>
      </c>
      <c r="H211" s="23">
        <v>8.1692307692307704</v>
      </c>
      <c r="I211" s="23">
        <v>8.1807692307692292</v>
      </c>
      <c r="J211" s="23">
        <v>8.2384615384615394</v>
      </c>
      <c r="K211" s="23">
        <v>8.2538461538461494</v>
      </c>
      <c r="L211" s="23">
        <v>8.2923076923076895</v>
      </c>
      <c r="M211" s="23">
        <v>8.3076923076923102</v>
      </c>
      <c r="N211" s="23">
        <v>8.3153846153846107</v>
      </c>
      <c r="Q211" s="93">
        <v>46252</v>
      </c>
      <c r="R211" t="s">
        <v>496</v>
      </c>
      <c r="S211" t="s">
        <v>415</v>
      </c>
      <c r="T211" s="14">
        <v>7.05137850206496</v>
      </c>
      <c r="W211" s="20">
        <v>45973</v>
      </c>
      <c r="X211" t="s">
        <v>275</v>
      </c>
      <c r="Y211" s="23">
        <v>6.4038461538461604</v>
      </c>
      <c r="Z211" s="23">
        <v>5.9269230769230798</v>
      </c>
      <c r="AA211" s="23">
        <v>6.1653846153846201</v>
      </c>
      <c r="AC211" s="19"/>
      <c r="AD211" s="20">
        <v>45820</v>
      </c>
      <c r="AE211" t="s">
        <v>479</v>
      </c>
      <c r="AF211">
        <v>4494.4116012470004</v>
      </c>
      <c r="AG211" s="84">
        <f>DATE(YEAR(His53_DataTT[[#This Row],[RptDate]]),MONTH(His53_DataTT[[#This Row],[RptDate]]),1)</f>
        <v>45809</v>
      </c>
      <c r="AO211" s="14"/>
    </row>
    <row r="212" spans="2:41" x14ac:dyDescent="0.3">
      <c r="B212" s="93">
        <v>46204</v>
      </c>
      <c r="C212" s="23">
        <v>7.828125</v>
      </c>
      <c r="D212" s="23">
        <v>8.1300000000000008</v>
      </c>
      <c r="E212" s="23">
        <v>8.0038461538461494</v>
      </c>
      <c r="F212" s="23">
        <v>8.1269230769230791</v>
      </c>
      <c r="G212" s="23">
        <v>8.1384615384615397</v>
      </c>
      <c r="H212" s="23">
        <v>8.1615384615384592</v>
      </c>
      <c r="I212" s="23">
        <v>8.1730769230769198</v>
      </c>
      <c r="J212" s="23">
        <v>8.2307692307692299</v>
      </c>
      <c r="K212" s="23">
        <v>8.2461538461538506</v>
      </c>
      <c r="L212" s="23">
        <v>8.2846153846153907</v>
      </c>
      <c r="M212" s="23">
        <v>8.3000000000000007</v>
      </c>
      <c r="N212" s="23">
        <v>8.3076923076923102</v>
      </c>
      <c r="Q212" s="93">
        <v>46252</v>
      </c>
      <c r="R212" t="s">
        <v>1290</v>
      </c>
      <c r="S212" t="s">
        <v>415</v>
      </c>
      <c r="T212" s="14">
        <v>7.3690575026028897</v>
      </c>
      <c r="W212" s="20">
        <v>45973</v>
      </c>
      <c r="X212" t="s">
        <v>276</v>
      </c>
      <c r="Y212" s="23">
        <v>6.4192307692307704</v>
      </c>
      <c r="Z212" s="23">
        <v>5.9423076923076898</v>
      </c>
      <c r="AA212" s="23">
        <v>6.1807692307692301</v>
      </c>
      <c r="AC212" s="19"/>
      <c r="AD212" s="20">
        <v>45820</v>
      </c>
      <c r="AE212" t="s">
        <v>557</v>
      </c>
      <c r="AF212">
        <v>4074.2789530539999</v>
      </c>
      <c r="AG212" s="84">
        <f>DATE(YEAR(His53_DataTT[[#This Row],[RptDate]]),MONTH(His53_DataTT[[#This Row],[RptDate]]),1)</f>
        <v>45809</v>
      </c>
      <c r="AO212" s="14"/>
    </row>
    <row r="213" spans="2:41" x14ac:dyDescent="0.3">
      <c r="B213" s="93">
        <v>46205</v>
      </c>
      <c r="C213" s="23">
        <v>7.8406250000000002</v>
      </c>
      <c r="D213" s="23">
        <v>8.17</v>
      </c>
      <c r="E213" s="23">
        <v>8.0038461538461494</v>
      </c>
      <c r="F213" s="23">
        <v>8.1269230769230791</v>
      </c>
      <c r="G213" s="23">
        <v>8.1423076923076891</v>
      </c>
      <c r="H213" s="23">
        <v>8.1653846153846104</v>
      </c>
      <c r="I213" s="23">
        <v>8.1769230769230798</v>
      </c>
      <c r="J213" s="23">
        <v>8.2346153846153793</v>
      </c>
      <c r="K213" s="23">
        <v>8.25</v>
      </c>
      <c r="L213" s="23">
        <v>8.2884615384615401</v>
      </c>
      <c r="M213" s="23">
        <v>8.3038461538461608</v>
      </c>
      <c r="N213" s="23">
        <v>8.3115384615384595</v>
      </c>
      <c r="Q213" s="93">
        <v>46252</v>
      </c>
      <c r="R213" t="s">
        <v>364</v>
      </c>
      <c r="S213" t="s">
        <v>997</v>
      </c>
      <c r="T213" s="14">
        <v>32949.1</v>
      </c>
      <c r="W213" s="20">
        <v>45973</v>
      </c>
      <c r="X213" t="s">
        <v>277</v>
      </c>
      <c r="Y213" s="23">
        <v>6.5</v>
      </c>
      <c r="Z213" s="23">
        <v>6.0230769230769203</v>
      </c>
      <c r="AA213" s="23">
        <v>6.2615384615384597</v>
      </c>
      <c r="AC213" s="19"/>
      <c r="AD213" s="20">
        <v>45821</v>
      </c>
      <c r="AE213" t="s">
        <v>479</v>
      </c>
      <c r="AF213">
        <v>3821.410672557</v>
      </c>
      <c r="AG213" s="84">
        <f>DATE(YEAR(His53_DataTT[[#This Row],[RptDate]]),MONTH(His53_DataTT[[#This Row],[RptDate]]),1)</f>
        <v>45809</v>
      </c>
      <c r="AO213" s="14"/>
    </row>
    <row r="214" spans="2:41" x14ac:dyDescent="0.3">
      <c r="B214" s="93">
        <v>46206</v>
      </c>
      <c r="C214" s="23">
        <v>7.8406250000000002</v>
      </c>
      <c r="D214" s="23">
        <v>8.15</v>
      </c>
      <c r="E214" s="23">
        <v>8.0038461538461494</v>
      </c>
      <c r="F214" s="23">
        <v>8.1269230769230791</v>
      </c>
      <c r="G214" s="23">
        <v>8.1423076923076891</v>
      </c>
      <c r="H214" s="23">
        <v>8.1653846153846104</v>
      </c>
      <c r="I214" s="23">
        <v>8.1769230769230798</v>
      </c>
      <c r="J214" s="23">
        <v>8.2346153846153793</v>
      </c>
      <c r="K214" s="23">
        <v>8.25</v>
      </c>
      <c r="L214" s="23">
        <v>8.2884615384615401</v>
      </c>
      <c r="M214" s="23">
        <v>8.3038461538461608</v>
      </c>
      <c r="N214" s="23">
        <v>8.3115384615384595</v>
      </c>
      <c r="Q214" s="93">
        <v>46252</v>
      </c>
      <c r="R214" t="s">
        <v>496</v>
      </c>
      <c r="S214" t="s">
        <v>997</v>
      </c>
      <c r="T214" s="14">
        <v>17918</v>
      </c>
      <c r="W214" s="20">
        <v>45973</v>
      </c>
      <c r="X214" t="s">
        <v>278</v>
      </c>
      <c r="Y214" s="23">
        <v>6.5</v>
      </c>
      <c r="Z214" s="23">
        <v>6.0230769230769203</v>
      </c>
      <c r="AA214" s="23">
        <v>6.2615384615384597</v>
      </c>
      <c r="AC214" s="19"/>
      <c r="AD214" s="20">
        <v>45821</v>
      </c>
      <c r="AE214" t="s">
        <v>557</v>
      </c>
      <c r="AF214">
        <v>2952.2596888610001</v>
      </c>
      <c r="AG214" s="84">
        <f>DATE(YEAR(His53_DataTT[[#This Row],[RptDate]]),MONTH(His53_DataTT[[#This Row],[RptDate]]),1)</f>
        <v>45809</v>
      </c>
      <c r="AO214" s="14"/>
    </row>
    <row r="215" spans="2:41" x14ac:dyDescent="0.3">
      <c r="B215" s="93">
        <v>46209</v>
      </c>
      <c r="C215" s="23">
        <v>7.8406250000000002</v>
      </c>
      <c r="D215" s="23">
        <v>8.15</v>
      </c>
      <c r="E215" s="23">
        <v>8.0192307692307701</v>
      </c>
      <c r="F215" s="23">
        <v>8.1346153846153904</v>
      </c>
      <c r="G215" s="23">
        <v>8.15</v>
      </c>
      <c r="H215" s="23">
        <v>8.1730769230769198</v>
      </c>
      <c r="I215" s="23">
        <v>8.1923076923076898</v>
      </c>
      <c r="J215" s="23">
        <v>8.2423076923076906</v>
      </c>
      <c r="K215" s="23">
        <v>8.2576923076923094</v>
      </c>
      <c r="L215" s="23">
        <v>8.2961538461538495</v>
      </c>
      <c r="M215" s="23">
        <v>8.3192307692307708</v>
      </c>
      <c r="N215" s="23">
        <v>8.3269230769230802</v>
      </c>
      <c r="Q215" s="93">
        <v>46252</v>
      </c>
      <c r="R215" t="s">
        <v>1388</v>
      </c>
      <c r="S215" t="s">
        <v>997</v>
      </c>
      <c r="T215" s="14">
        <v>13197.6106</v>
      </c>
      <c r="W215" s="20">
        <v>45973</v>
      </c>
      <c r="X215" t="s">
        <v>279</v>
      </c>
      <c r="Y215" s="23">
        <v>6.5538461538461501</v>
      </c>
      <c r="Z215" s="23">
        <v>6.0769230769230802</v>
      </c>
      <c r="AA215" s="23">
        <v>6.3153846153846098</v>
      </c>
      <c r="AC215" s="19"/>
      <c r="AD215" s="20">
        <v>45824</v>
      </c>
      <c r="AE215" t="s">
        <v>479</v>
      </c>
      <c r="AF215">
        <v>2247.8526622250001</v>
      </c>
      <c r="AG215" s="84">
        <f>DATE(YEAR(His53_DataTT[[#This Row],[RptDate]]),MONTH(His53_DataTT[[#This Row],[RptDate]]),1)</f>
        <v>45809</v>
      </c>
      <c r="AO215" s="14"/>
    </row>
    <row r="216" spans="2:41" x14ac:dyDescent="0.3">
      <c r="B216" s="93">
        <v>46210</v>
      </c>
      <c r="C216" s="23">
        <v>7.8250000000000002</v>
      </c>
      <c r="D216" s="23">
        <v>8.0875000000000004</v>
      </c>
      <c r="E216" s="23">
        <v>8.0115384615384606</v>
      </c>
      <c r="F216" s="23">
        <v>8.1269230769230791</v>
      </c>
      <c r="G216" s="23">
        <v>8.1423076923076891</v>
      </c>
      <c r="H216" s="23">
        <v>8.1653846153846104</v>
      </c>
      <c r="I216" s="23">
        <v>8.1846153846153804</v>
      </c>
      <c r="J216" s="23">
        <v>8.2346153846153793</v>
      </c>
      <c r="K216" s="23">
        <v>8.25</v>
      </c>
      <c r="L216" s="23">
        <v>8.2884615384615401</v>
      </c>
      <c r="M216" s="23">
        <v>8.3115384615384595</v>
      </c>
      <c r="N216" s="23">
        <v>8.3192307692307708</v>
      </c>
      <c r="Q216" s="93">
        <v>46252</v>
      </c>
      <c r="R216" t="s">
        <v>1389</v>
      </c>
      <c r="S216" t="s">
        <v>997</v>
      </c>
      <c r="T216" s="14">
        <v>12800</v>
      </c>
      <c r="W216" s="20">
        <v>45973</v>
      </c>
      <c r="X216" t="s">
        <v>280</v>
      </c>
      <c r="Y216" s="23">
        <v>6.60769230769231</v>
      </c>
      <c r="Z216" s="23">
        <v>6.1307692307692303</v>
      </c>
      <c r="AA216" s="23">
        <v>6.3692307692307697</v>
      </c>
      <c r="AC216" s="19"/>
      <c r="AD216" s="20">
        <v>45824</v>
      </c>
      <c r="AE216" t="s">
        <v>557</v>
      </c>
      <c r="AF216">
        <v>2870.8717824549999</v>
      </c>
      <c r="AG216" s="84">
        <f>DATE(YEAR(His53_DataTT[[#This Row],[RptDate]]),MONTH(His53_DataTT[[#This Row],[RptDate]]),1)</f>
        <v>45809</v>
      </c>
      <c r="AO216" s="14"/>
    </row>
    <row r="217" spans="2:41" x14ac:dyDescent="0.3">
      <c r="B217" s="93">
        <v>46211</v>
      </c>
      <c r="C217" s="23">
        <v>7.9249999999999998</v>
      </c>
      <c r="D217" s="23">
        <v>8.1125000000000007</v>
      </c>
      <c r="E217" s="23">
        <v>8.0634615384615405</v>
      </c>
      <c r="F217" s="23">
        <v>8.1269230769230791</v>
      </c>
      <c r="G217" s="23">
        <v>8.1423076923076891</v>
      </c>
      <c r="H217" s="23">
        <v>8.1653846153846104</v>
      </c>
      <c r="I217" s="23">
        <v>8.1846153846153804</v>
      </c>
      <c r="J217" s="23">
        <v>8.2346153846153793</v>
      </c>
      <c r="K217" s="23">
        <v>8.25</v>
      </c>
      <c r="L217" s="23">
        <v>8.2884615384615401</v>
      </c>
      <c r="M217" s="23">
        <v>8.3115384615384595</v>
      </c>
      <c r="N217" s="23">
        <v>8.3192307692307708</v>
      </c>
      <c r="Q217" s="93">
        <v>46252</v>
      </c>
      <c r="R217" t="s">
        <v>1390</v>
      </c>
      <c r="S217" t="s">
        <v>997</v>
      </c>
      <c r="T217" s="14">
        <v>397.61059999999998</v>
      </c>
      <c r="W217" s="20">
        <v>45973</v>
      </c>
      <c r="X217" t="s">
        <v>281</v>
      </c>
      <c r="Y217" s="23">
        <v>6.6115384615384603</v>
      </c>
      <c r="Z217" s="23">
        <v>6.1346153846153904</v>
      </c>
      <c r="AA217" s="23">
        <v>6.37307692307692</v>
      </c>
      <c r="AC217" s="19"/>
      <c r="AD217" s="20">
        <v>45825</v>
      </c>
      <c r="AE217" t="s">
        <v>479</v>
      </c>
      <c r="AF217">
        <v>2378.3447139720001</v>
      </c>
      <c r="AG217" s="84">
        <f>DATE(YEAR(His53_DataTT[[#This Row],[RptDate]]),MONTH(His53_DataTT[[#This Row],[RptDate]]),1)</f>
        <v>45809</v>
      </c>
      <c r="AO217" s="14"/>
    </row>
    <row r="218" spans="2:41" x14ac:dyDescent="0.3">
      <c r="B218" s="93">
        <v>46212</v>
      </c>
      <c r="C218" s="23">
        <v>7.9249999999999998</v>
      </c>
      <c r="D218" s="23">
        <v>8.1374999999999993</v>
      </c>
      <c r="E218" s="23">
        <v>8.0634615384615405</v>
      </c>
      <c r="F218" s="23">
        <v>8.1269230769230791</v>
      </c>
      <c r="G218" s="23">
        <v>8.1423076923076891</v>
      </c>
      <c r="H218" s="23">
        <v>8.1653846153846104</v>
      </c>
      <c r="I218" s="23">
        <v>8.1846153846153804</v>
      </c>
      <c r="J218" s="23">
        <v>8.2346153846153793</v>
      </c>
      <c r="K218" s="23">
        <v>8.25</v>
      </c>
      <c r="L218" s="23">
        <v>8.2884615384615401</v>
      </c>
      <c r="M218" s="23">
        <v>8.3115384615384595</v>
      </c>
      <c r="N218" s="23">
        <v>8.3192307692307708</v>
      </c>
      <c r="Q218" s="93">
        <v>46251</v>
      </c>
      <c r="R218" t="s">
        <v>479</v>
      </c>
      <c r="S218" t="s">
        <v>399</v>
      </c>
      <c r="T218" s="14">
        <v>10770.408844371201</v>
      </c>
      <c r="W218" s="20">
        <v>45975</v>
      </c>
      <c r="X218" t="s">
        <v>270</v>
      </c>
      <c r="Y218" s="23">
        <v>6.18333333333333</v>
      </c>
      <c r="Z218" s="23">
        <v>5.68333333333333</v>
      </c>
      <c r="AA218" s="23">
        <v>5.93333333333333</v>
      </c>
      <c r="AC218" s="19"/>
      <c r="AD218" s="20">
        <v>45825</v>
      </c>
      <c r="AE218" t="s">
        <v>557</v>
      </c>
      <c r="AF218">
        <v>3089.322111895</v>
      </c>
      <c r="AG218" s="84">
        <f>DATE(YEAR(His53_DataTT[[#This Row],[RptDate]]),MONTH(His53_DataTT[[#This Row],[RptDate]]),1)</f>
        <v>45809</v>
      </c>
      <c r="AO218" s="14"/>
    </row>
    <row r="219" spans="2:41" x14ac:dyDescent="0.3">
      <c r="B219" s="93">
        <v>46213</v>
      </c>
      <c r="C219" s="23">
        <v>7.9249999999999998</v>
      </c>
      <c r="D219" s="23">
        <v>8.1374999999999993</v>
      </c>
      <c r="E219" s="23">
        <v>8.0634615384615405</v>
      </c>
      <c r="F219" s="23">
        <v>8.1269230769230791</v>
      </c>
      <c r="G219" s="23">
        <v>8.1423076923076891</v>
      </c>
      <c r="H219" s="23">
        <v>8.1653846153846104</v>
      </c>
      <c r="I219" s="23">
        <v>8.1846153846153804</v>
      </c>
      <c r="J219" s="23">
        <v>8.2346153846153793</v>
      </c>
      <c r="K219" s="23">
        <v>8.25</v>
      </c>
      <c r="L219" s="23">
        <v>8.2884615384615401</v>
      </c>
      <c r="M219" s="23">
        <v>8.3115384615384595</v>
      </c>
      <c r="N219" s="23">
        <v>8.3192307692307708</v>
      </c>
      <c r="Q219" s="93">
        <v>46251</v>
      </c>
      <c r="R219" t="s">
        <v>364</v>
      </c>
      <c r="S219" t="s">
        <v>399</v>
      </c>
      <c r="T219" s="14">
        <v>28950</v>
      </c>
      <c r="W219" s="20">
        <v>45975</v>
      </c>
      <c r="X219" t="s">
        <v>271</v>
      </c>
      <c r="Y219" s="23">
        <v>6.15</v>
      </c>
      <c r="Z219" s="23">
        <v>5.7166666666666703</v>
      </c>
      <c r="AA219" s="23">
        <v>5.93333333333333</v>
      </c>
      <c r="AC219" s="19"/>
      <c r="AD219" s="20">
        <v>45826</v>
      </c>
      <c r="AE219" t="s">
        <v>479</v>
      </c>
      <c r="AF219">
        <v>1476.195806339</v>
      </c>
      <c r="AG219" s="84">
        <f>DATE(YEAR(His53_DataTT[[#This Row],[RptDate]]),MONTH(His53_DataTT[[#This Row],[RptDate]]),1)</f>
        <v>45809</v>
      </c>
      <c r="AO219" s="14"/>
    </row>
    <row r="220" spans="2:41" x14ac:dyDescent="0.3">
      <c r="B220" s="93">
        <v>46216</v>
      </c>
      <c r="C220" s="23">
        <v>7.9</v>
      </c>
      <c r="D220" s="23">
        <v>8.1374999999999993</v>
      </c>
      <c r="E220" s="23">
        <v>8.0711538461538499</v>
      </c>
      <c r="F220" s="23">
        <v>8.1346153846153904</v>
      </c>
      <c r="G220" s="23">
        <v>8.15</v>
      </c>
      <c r="H220" s="23">
        <v>8.1730769230769198</v>
      </c>
      <c r="I220" s="23">
        <v>8.1846153846153804</v>
      </c>
      <c r="J220" s="23">
        <v>8.2423076923076906</v>
      </c>
      <c r="K220" s="23">
        <v>8.2576923076923094</v>
      </c>
      <c r="L220" s="23">
        <v>8.2961538461538495</v>
      </c>
      <c r="M220" s="23">
        <v>8.3115384615384595</v>
      </c>
      <c r="N220" s="23">
        <v>8.3192307692307708</v>
      </c>
      <c r="Q220" s="93">
        <v>46251</v>
      </c>
      <c r="R220" t="s">
        <v>491</v>
      </c>
      <c r="S220" t="s">
        <v>399</v>
      </c>
      <c r="T220" s="14">
        <v>397.61059999999998</v>
      </c>
      <c r="W220" s="20">
        <v>45975</v>
      </c>
      <c r="X220" t="s">
        <v>272</v>
      </c>
      <c r="Y220" s="23">
        <v>6.25</v>
      </c>
      <c r="Z220" s="23">
        <v>5.8833333333333302</v>
      </c>
      <c r="AA220" s="23">
        <v>6.06666666666667</v>
      </c>
      <c r="AC220" s="19"/>
      <c r="AD220" s="20">
        <v>45826</v>
      </c>
      <c r="AE220" t="s">
        <v>557</v>
      </c>
      <c r="AF220">
        <v>3530.9281820780002</v>
      </c>
      <c r="AG220" s="84">
        <f>DATE(YEAR(His53_DataTT[[#This Row],[RptDate]]),MONTH(His53_DataTT[[#This Row],[RptDate]]),1)</f>
        <v>45809</v>
      </c>
      <c r="AO220" s="14"/>
    </row>
    <row r="221" spans="2:41" x14ac:dyDescent="0.3">
      <c r="B221" s="93">
        <v>46217</v>
      </c>
      <c r="C221" s="23">
        <v>7.8</v>
      </c>
      <c r="D221" s="23">
        <v>8.1374999999999993</v>
      </c>
      <c r="E221" s="23">
        <v>8.0711538461538499</v>
      </c>
      <c r="F221" s="23">
        <v>8.1423076923076891</v>
      </c>
      <c r="G221" s="23">
        <v>8.15</v>
      </c>
      <c r="H221" s="23">
        <v>8.1730769230769198</v>
      </c>
      <c r="I221" s="23">
        <v>8.1846153846153804</v>
      </c>
      <c r="J221" s="23">
        <v>8.2423076923076906</v>
      </c>
      <c r="K221" s="23">
        <v>8.2576923076923094</v>
      </c>
      <c r="L221" s="23">
        <v>8.2961538461538495</v>
      </c>
      <c r="M221" s="23">
        <v>8.3115384615384595</v>
      </c>
      <c r="N221" s="23">
        <v>8.3192307692307708</v>
      </c>
      <c r="Q221" s="93">
        <v>46251</v>
      </c>
      <c r="R221" t="s">
        <v>492</v>
      </c>
      <c r="S221" t="s">
        <v>399</v>
      </c>
      <c r="T221" s="14">
        <v>9800</v>
      </c>
      <c r="W221" s="20">
        <v>45975</v>
      </c>
      <c r="X221" t="s">
        <v>273</v>
      </c>
      <c r="Y221" s="23">
        <v>6.6</v>
      </c>
      <c r="Z221" s="23">
        <v>6.2750000000000004</v>
      </c>
      <c r="AA221" s="23">
        <v>6.4375</v>
      </c>
      <c r="AC221" s="19"/>
      <c r="AD221" s="20">
        <v>45827</v>
      </c>
      <c r="AE221" t="s">
        <v>479</v>
      </c>
      <c r="AF221">
        <v>2591.347451353</v>
      </c>
      <c r="AG221" s="84">
        <f>DATE(YEAR(His53_DataTT[[#This Row],[RptDate]]),MONTH(His53_DataTT[[#This Row],[RptDate]]),1)</f>
        <v>45809</v>
      </c>
      <c r="AO221" s="14"/>
    </row>
    <row r="222" spans="2:41" x14ac:dyDescent="0.3">
      <c r="B222" s="93">
        <v>46218</v>
      </c>
      <c r="C222" s="23">
        <v>7.8</v>
      </c>
      <c r="D222" s="23">
        <v>8.1374999999999993</v>
      </c>
      <c r="E222" s="23">
        <v>8.0711538461538499</v>
      </c>
      <c r="F222" s="23">
        <v>8.1423076923076891</v>
      </c>
      <c r="G222" s="23">
        <v>8.15</v>
      </c>
      <c r="H222" s="23">
        <v>8.1730769230769198</v>
      </c>
      <c r="I222" s="23">
        <v>8.1846153846153804</v>
      </c>
      <c r="J222" s="23">
        <v>8.2423076923076906</v>
      </c>
      <c r="K222" s="23">
        <v>8.2576923076923094</v>
      </c>
      <c r="L222" s="23">
        <v>8.2961538461538495</v>
      </c>
      <c r="M222" s="23">
        <v>8.3115384615384595</v>
      </c>
      <c r="N222" s="23">
        <v>8.3192307692307708</v>
      </c>
      <c r="Q222" s="93">
        <v>46251</v>
      </c>
      <c r="R222" t="s">
        <v>1438</v>
      </c>
      <c r="S222" t="s">
        <v>399</v>
      </c>
      <c r="T222" s="14">
        <v>572.79824437121999</v>
      </c>
      <c r="W222" s="20">
        <v>45975</v>
      </c>
      <c r="X222" t="s">
        <v>274</v>
      </c>
      <c r="Y222" s="23">
        <v>6.3807692307692303</v>
      </c>
      <c r="Z222" s="23">
        <v>5.9038461538461604</v>
      </c>
      <c r="AA222" s="23">
        <v>6.14230769230769</v>
      </c>
      <c r="AC222" s="19"/>
      <c r="AD222" s="20">
        <v>45827</v>
      </c>
      <c r="AE222" t="s">
        <v>557</v>
      </c>
      <c r="AF222">
        <v>2860.392092309</v>
      </c>
      <c r="AG222" s="84">
        <f>DATE(YEAR(His53_DataTT[[#This Row],[RptDate]]),MONTH(His53_DataTT[[#This Row],[RptDate]]),1)</f>
        <v>45809</v>
      </c>
      <c r="AO222" s="14"/>
    </row>
    <row r="223" spans="2:41" x14ac:dyDescent="0.3">
      <c r="B223" s="93">
        <v>46219</v>
      </c>
      <c r="C223" s="23">
        <v>7.78571428571429</v>
      </c>
      <c r="D223" s="23">
        <v>8.1125000000000007</v>
      </c>
      <c r="E223" s="23">
        <v>8.0711538461538499</v>
      </c>
      <c r="F223" s="23">
        <v>8.1423076923076891</v>
      </c>
      <c r="G223" s="23">
        <v>8.15</v>
      </c>
      <c r="H223" s="23">
        <v>8.1730769230769198</v>
      </c>
      <c r="I223" s="23">
        <v>8.1846153846153804</v>
      </c>
      <c r="J223" s="23">
        <v>8.2423076923076906</v>
      </c>
      <c r="K223" s="23">
        <v>8.2576923076923094</v>
      </c>
      <c r="L223" s="23">
        <v>8.2961538461538495</v>
      </c>
      <c r="M223" s="23">
        <v>8.3115384615384595</v>
      </c>
      <c r="N223" s="23">
        <v>8.3192307692307708</v>
      </c>
      <c r="Q223" s="93">
        <v>46251</v>
      </c>
      <c r="R223" t="s">
        <v>496</v>
      </c>
      <c r="S223" t="s">
        <v>399</v>
      </c>
      <c r="T223" s="14">
        <v>14178</v>
      </c>
      <c r="W223" s="20">
        <v>45975</v>
      </c>
      <c r="X223" t="s">
        <v>275</v>
      </c>
      <c r="Y223" s="23">
        <v>6.4192307692307704</v>
      </c>
      <c r="Z223" s="23">
        <v>5.9423076923076898</v>
      </c>
      <c r="AA223" s="23">
        <v>6.1807692307692301</v>
      </c>
      <c r="AC223" s="19"/>
      <c r="AD223" s="20">
        <v>45828</v>
      </c>
      <c r="AE223" t="s">
        <v>479</v>
      </c>
      <c r="AF223">
        <v>1253.9316012740001</v>
      </c>
      <c r="AG223" s="84">
        <f>DATE(YEAR(His53_DataTT[[#This Row],[RptDate]]),MONTH(His53_DataTT[[#This Row],[RptDate]]),1)</f>
        <v>45809</v>
      </c>
      <c r="AO223" s="14"/>
    </row>
    <row r="224" spans="2:41" x14ac:dyDescent="0.3">
      <c r="B224" s="93">
        <v>46220</v>
      </c>
      <c r="C224" s="23">
        <v>7.78571428571429</v>
      </c>
      <c r="D224" s="23">
        <v>8.1374999999999993</v>
      </c>
      <c r="E224" s="23">
        <v>8.0711538461538499</v>
      </c>
      <c r="F224" s="23">
        <v>8.1423076923076891</v>
      </c>
      <c r="G224" s="23">
        <v>8.1461538461538492</v>
      </c>
      <c r="H224" s="23">
        <v>8.1692307692307704</v>
      </c>
      <c r="I224" s="23">
        <v>8.1846153846153804</v>
      </c>
      <c r="J224" s="23">
        <v>8.2423076923076906</v>
      </c>
      <c r="K224" s="23">
        <v>8.2576923076923094</v>
      </c>
      <c r="L224" s="23">
        <v>8.2961538461538495</v>
      </c>
      <c r="M224" s="23">
        <v>8.3115384615384595</v>
      </c>
      <c r="N224" s="23">
        <v>8.3192307692307708</v>
      </c>
      <c r="Q224" s="93">
        <v>46251</v>
      </c>
      <c r="R224" t="s">
        <v>497</v>
      </c>
      <c r="S224" t="s">
        <v>399</v>
      </c>
      <c r="T224" s="14">
        <v>397.61059999999998</v>
      </c>
      <c r="W224" s="20">
        <v>45975</v>
      </c>
      <c r="X224" t="s">
        <v>276</v>
      </c>
      <c r="Y224" s="23">
        <v>6.45</v>
      </c>
      <c r="Z224" s="23">
        <v>5.9730769230769196</v>
      </c>
      <c r="AA224" s="23">
        <v>6.2115384615384599</v>
      </c>
      <c r="AC224" s="19"/>
      <c r="AD224" s="20">
        <v>45828</v>
      </c>
      <c r="AE224" t="s">
        <v>557</v>
      </c>
      <c r="AF224">
        <v>4734.0693793609998</v>
      </c>
      <c r="AG224" s="84">
        <f>DATE(YEAR(His53_DataTT[[#This Row],[RptDate]]),MONTH(His53_DataTT[[#This Row],[RptDate]]),1)</f>
        <v>45809</v>
      </c>
      <c r="AO224" s="14"/>
    </row>
    <row r="225" spans="2:41" x14ac:dyDescent="0.3">
      <c r="B225" s="93">
        <v>46223</v>
      </c>
      <c r="C225" s="23">
        <v>7.8</v>
      </c>
      <c r="D225" s="23">
        <v>8.1374999999999993</v>
      </c>
      <c r="E225" s="23">
        <v>8.0711538461538499</v>
      </c>
      <c r="F225" s="23">
        <v>8.1423076923076891</v>
      </c>
      <c r="G225" s="23">
        <v>8.1461538461538492</v>
      </c>
      <c r="H225" s="23">
        <v>8.1692307692307704</v>
      </c>
      <c r="I225" s="23">
        <v>8.1846153846153804</v>
      </c>
      <c r="J225" s="23">
        <v>8.2423076923076906</v>
      </c>
      <c r="K225" s="23">
        <v>8.2576923076923094</v>
      </c>
      <c r="L225" s="23">
        <v>8.2961538461538495</v>
      </c>
      <c r="M225" s="23">
        <v>8.3115384615384595</v>
      </c>
      <c r="N225" s="23">
        <v>8.3192307692307708</v>
      </c>
      <c r="Q225" s="93">
        <v>46251</v>
      </c>
      <c r="R225" t="s">
        <v>498</v>
      </c>
      <c r="S225" t="s">
        <v>399</v>
      </c>
      <c r="T225" s="14">
        <v>9800</v>
      </c>
      <c r="W225" s="20">
        <v>45975</v>
      </c>
      <c r="X225" t="s">
        <v>277</v>
      </c>
      <c r="Y225" s="23">
        <v>6.5307692307692298</v>
      </c>
      <c r="Z225" s="23">
        <v>6.0538461538461501</v>
      </c>
      <c r="AA225" s="23">
        <v>6.2923076923076904</v>
      </c>
      <c r="AC225" s="19"/>
      <c r="AD225" s="20">
        <v>45831</v>
      </c>
      <c r="AE225" t="s">
        <v>479</v>
      </c>
      <c r="AF225">
        <v>1601.6553749679999</v>
      </c>
      <c r="AG225" s="84">
        <f>DATE(YEAR(His53_DataTT[[#This Row],[RptDate]]),MONTH(His53_DataTT[[#This Row],[RptDate]]),1)</f>
        <v>45809</v>
      </c>
      <c r="AO225" s="14"/>
    </row>
    <row r="226" spans="2:41" x14ac:dyDescent="0.3">
      <c r="B226" s="93">
        <v>46224</v>
      </c>
      <c r="C226" s="23">
        <v>7.8</v>
      </c>
      <c r="D226" s="23">
        <v>8.1374999999999993</v>
      </c>
      <c r="E226" s="23">
        <v>8.0711538461538499</v>
      </c>
      <c r="F226" s="23">
        <v>8.1423076923076891</v>
      </c>
      <c r="G226" s="23">
        <v>8.1461538461538492</v>
      </c>
      <c r="H226" s="23">
        <v>8.1692307692307704</v>
      </c>
      <c r="I226" s="23">
        <v>8.1846153846153804</v>
      </c>
      <c r="J226" s="23">
        <v>8.2423076923076906</v>
      </c>
      <c r="K226" s="23">
        <v>8.2576923076923094</v>
      </c>
      <c r="L226" s="23">
        <v>8.2961538461538495</v>
      </c>
      <c r="M226" s="23">
        <v>8.3115384615384595</v>
      </c>
      <c r="N226" s="23">
        <v>8.3192307692307708</v>
      </c>
      <c r="Q226" s="93">
        <v>46251</v>
      </c>
      <c r="R226" t="s">
        <v>494</v>
      </c>
      <c r="S226" t="s">
        <v>399</v>
      </c>
      <c r="T226" s="14">
        <v>0</v>
      </c>
      <c r="W226" s="20">
        <v>45975</v>
      </c>
      <c r="X226" t="s">
        <v>278</v>
      </c>
      <c r="Y226" s="23">
        <v>6.5461538461538504</v>
      </c>
      <c r="Z226" s="23">
        <v>6.0692307692307699</v>
      </c>
      <c r="AA226" s="23">
        <v>6.3076923076923102</v>
      </c>
      <c r="AC226" s="19"/>
      <c r="AD226" s="20">
        <v>45831</v>
      </c>
      <c r="AE226" t="s">
        <v>557</v>
      </c>
      <c r="AF226">
        <v>2544.7930454060001</v>
      </c>
      <c r="AG226" s="84">
        <f>DATE(YEAR(His53_DataTT[[#This Row],[RptDate]]),MONTH(His53_DataTT[[#This Row],[RptDate]]),1)</f>
        <v>45809</v>
      </c>
      <c r="AO226" s="14"/>
    </row>
    <row r="227" spans="2:41" x14ac:dyDescent="0.3">
      <c r="B227" s="93">
        <v>46225</v>
      </c>
      <c r="C227" s="23">
        <v>7.78571428571429</v>
      </c>
      <c r="D227" s="23">
        <v>8.1125000000000007</v>
      </c>
      <c r="E227" s="23">
        <v>8.0634615384615405</v>
      </c>
      <c r="F227" s="23">
        <v>8.1346153846153904</v>
      </c>
      <c r="G227" s="23">
        <v>8.1461538461538492</v>
      </c>
      <c r="H227" s="23">
        <v>8.1692307692307704</v>
      </c>
      <c r="I227" s="23">
        <v>8.1846153846153804</v>
      </c>
      <c r="J227" s="23">
        <v>8.2423076923076906</v>
      </c>
      <c r="K227" s="23">
        <v>8.2576923076923094</v>
      </c>
      <c r="L227" s="23">
        <v>8.2961538461538495</v>
      </c>
      <c r="M227" s="23">
        <v>8.3115384615384595</v>
      </c>
      <c r="N227" s="23">
        <v>8.3192307692307708</v>
      </c>
      <c r="Q227" s="93">
        <v>46251</v>
      </c>
      <c r="R227" t="s">
        <v>495</v>
      </c>
      <c r="S227" t="s">
        <v>399</v>
      </c>
      <c r="T227" s="14">
        <v>0</v>
      </c>
      <c r="W227" s="20">
        <v>45975</v>
      </c>
      <c r="X227" t="s">
        <v>279</v>
      </c>
      <c r="Y227" s="23">
        <v>6.5923076923076902</v>
      </c>
      <c r="Z227" s="23">
        <v>6.1153846153846096</v>
      </c>
      <c r="AA227" s="23">
        <v>6.3538461538461499</v>
      </c>
      <c r="AC227" s="19"/>
      <c r="AD227" s="20">
        <v>45832</v>
      </c>
      <c r="AE227" t="s">
        <v>479</v>
      </c>
      <c r="AF227">
        <v>1462.058417194</v>
      </c>
      <c r="AG227" s="84">
        <f>DATE(YEAR(His53_DataTT[[#This Row],[RptDate]]),MONTH(His53_DataTT[[#This Row],[RptDate]]),1)</f>
        <v>45809</v>
      </c>
      <c r="AO227" s="14"/>
    </row>
    <row r="228" spans="2:41" x14ac:dyDescent="0.3">
      <c r="B228" s="93">
        <v>46226</v>
      </c>
      <c r="C228" s="23">
        <v>7.7714285714285696</v>
      </c>
      <c r="D228" s="23">
        <v>8.1125000000000007</v>
      </c>
      <c r="E228" s="23">
        <v>8.0711538461538499</v>
      </c>
      <c r="F228" s="23">
        <v>8.1423076923076891</v>
      </c>
      <c r="G228" s="23">
        <v>8.1461538461538492</v>
      </c>
      <c r="H228" s="23">
        <v>8.1692307692307704</v>
      </c>
      <c r="I228" s="23">
        <v>8.1846153846153804</v>
      </c>
      <c r="J228" s="23">
        <v>8.2423076923076906</v>
      </c>
      <c r="K228" s="23">
        <v>8.2576923076923094</v>
      </c>
      <c r="L228" s="23">
        <v>8.2961538461538495</v>
      </c>
      <c r="M228" s="23">
        <v>8.3115384615384595</v>
      </c>
      <c r="N228" s="23">
        <v>8.3192307692307708</v>
      </c>
      <c r="Q228" s="93">
        <v>46251</v>
      </c>
      <c r="R228" t="s">
        <v>493</v>
      </c>
      <c r="S228" t="s">
        <v>399</v>
      </c>
      <c r="T228" s="14">
        <v>0</v>
      </c>
      <c r="W228" s="20">
        <v>45975</v>
      </c>
      <c r="X228" t="s">
        <v>280</v>
      </c>
      <c r="Y228" s="23">
        <v>6.6384615384615397</v>
      </c>
      <c r="Z228" s="23">
        <v>6.1615384615384601</v>
      </c>
      <c r="AA228" s="23">
        <v>6.4</v>
      </c>
      <c r="AC228" s="19"/>
      <c r="AD228" s="20">
        <v>45832</v>
      </c>
      <c r="AE228" t="s">
        <v>557</v>
      </c>
      <c r="AF228">
        <v>4731.6599401220001</v>
      </c>
      <c r="AG228" s="84">
        <f>DATE(YEAR(His53_DataTT[[#This Row],[RptDate]]),MONTH(His53_DataTT[[#This Row],[RptDate]]),1)</f>
        <v>45809</v>
      </c>
      <c r="AO228" s="14"/>
    </row>
    <row r="229" spans="2:41" x14ac:dyDescent="0.3">
      <c r="B229" s="93">
        <v>46227</v>
      </c>
      <c r="C229" s="23">
        <v>7.7562499999999996</v>
      </c>
      <c r="D229" s="23">
        <v>8.2333333333333307</v>
      </c>
      <c r="E229" s="23">
        <v>8.0711538461538499</v>
      </c>
      <c r="F229" s="23">
        <v>8.1423076923076891</v>
      </c>
      <c r="G229" s="23">
        <v>8.1461538461538492</v>
      </c>
      <c r="H229" s="23">
        <v>8.1692307692307704</v>
      </c>
      <c r="I229" s="23">
        <v>8.1846153846153804</v>
      </c>
      <c r="J229" s="23">
        <v>8.2423076923076906</v>
      </c>
      <c r="K229" s="23">
        <v>8.2576923076923094</v>
      </c>
      <c r="L229" s="23">
        <v>8.2961538461538495</v>
      </c>
      <c r="M229" s="23">
        <v>8.3115384615384595</v>
      </c>
      <c r="N229" s="23">
        <v>8.3192307692307708</v>
      </c>
      <c r="Q229" s="93">
        <v>46251</v>
      </c>
      <c r="R229" t="s">
        <v>593</v>
      </c>
      <c r="S229" t="s">
        <v>399</v>
      </c>
      <c r="T229" s="14">
        <v>14772</v>
      </c>
      <c r="W229" s="20">
        <v>45975</v>
      </c>
      <c r="X229" t="s">
        <v>281</v>
      </c>
      <c r="Y229" s="23">
        <v>6.6346153846153904</v>
      </c>
      <c r="Z229" s="23">
        <v>6.1576923076923098</v>
      </c>
      <c r="AA229" s="23">
        <v>6.3961538461538501</v>
      </c>
      <c r="AC229" s="19"/>
      <c r="AD229" s="20">
        <v>45833</v>
      </c>
      <c r="AE229" t="s">
        <v>479</v>
      </c>
      <c r="AF229">
        <v>1098.621248468</v>
      </c>
      <c r="AG229" s="84">
        <f>DATE(YEAR(His53_DataTT[[#This Row],[RptDate]]),MONTH(His53_DataTT[[#This Row],[RptDate]]),1)</f>
        <v>45809</v>
      </c>
      <c r="AO229" s="14"/>
    </row>
    <row r="230" spans="2:41" x14ac:dyDescent="0.3">
      <c r="B230" s="93">
        <v>46230</v>
      </c>
      <c r="C230" s="23">
        <v>7.65625</v>
      </c>
      <c r="D230" s="23">
        <v>8.2333333333333307</v>
      </c>
      <c r="E230" s="23">
        <v>8.0711538461538499</v>
      </c>
      <c r="F230" s="23">
        <v>8.1423076923076891</v>
      </c>
      <c r="G230" s="23">
        <v>8.1461538461538492</v>
      </c>
      <c r="H230" s="23">
        <v>8.1692307692307704</v>
      </c>
      <c r="I230" s="23">
        <v>8.1846153846153804</v>
      </c>
      <c r="J230" s="23">
        <v>8.2423076923076906</v>
      </c>
      <c r="K230" s="23">
        <v>8.2576923076923094</v>
      </c>
      <c r="L230" s="23">
        <v>8.2961538461538495</v>
      </c>
      <c r="M230" s="23">
        <v>8.3115384615384595</v>
      </c>
      <c r="N230" s="23">
        <v>8.3192307692307708</v>
      </c>
      <c r="Q230" s="93">
        <v>46251</v>
      </c>
      <c r="R230" t="s">
        <v>594</v>
      </c>
      <c r="S230" t="s">
        <v>399</v>
      </c>
      <c r="T230" s="14">
        <v>0</v>
      </c>
      <c r="W230" s="20">
        <v>45974</v>
      </c>
      <c r="X230" t="s">
        <v>271</v>
      </c>
      <c r="Y230" s="23">
        <v>6.15</v>
      </c>
      <c r="Z230" s="23">
        <v>5.7166666666666703</v>
      </c>
      <c r="AA230" s="23">
        <v>5.93333333333333</v>
      </c>
      <c r="AC230" s="19"/>
      <c r="AD230" s="20">
        <v>45833</v>
      </c>
      <c r="AE230" t="s">
        <v>557</v>
      </c>
      <c r="AF230">
        <v>5633.6601155400003</v>
      </c>
      <c r="AG230" s="84">
        <f>DATE(YEAR(His53_DataTT[[#This Row],[RptDate]]),MONTH(His53_DataTT[[#This Row],[RptDate]]),1)</f>
        <v>45809</v>
      </c>
      <c r="AO230" s="14"/>
    </row>
    <row r="231" spans="2:41" x14ac:dyDescent="0.3">
      <c r="B231" s="93">
        <v>46231</v>
      </c>
      <c r="C231" s="23">
        <v>7.65625</v>
      </c>
      <c r="D231" s="23">
        <v>8.4</v>
      </c>
      <c r="E231" s="23">
        <v>8.10961538461539</v>
      </c>
      <c r="F231" s="23">
        <v>8.1807692307692292</v>
      </c>
      <c r="G231" s="23">
        <v>8.1846153846153804</v>
      </c>
      <c r="H231" s="23">
        <v>8.2076923076923105</v>
      </c>
      <c r="I231" s="23">
        <v>8.2230769230769205</v>
      </c>
      <c r="J231" s="23">
        <v>8.2730769230769194</v>
      </c>
      <c r="K231" s="23">
        <v>8.2884615384615401</v>
      </c>
      <c r="L231" s="23">
        <v>8.3269230769230802</v>
      </c>
      <c r="M231" s="23">
        <v>8.3423076923076902</v>
      </c>
      <c r="N231" s="23">
        <v>8.35</v>
      </c>
      <c r="Q231" s="93">
        <v>46251</v>
      </c>
      <c r="R231" t="s">
        <v>595</v>
      </c>
      <c r="S231" t="s">
        <v>399</v>
      </c>
      <c r="T231" s="14">
        <v>0</v>
      </c>
      <c r="W231" s="20">
        <v>45974</v>
      </c>
      <c r="X231" t="s">
        <v>272</v>
      </c>
      <c r="Y231" s="23">
        <v>6.25</v>
      </c>
      <c r="Z231" s="23">
        <v>5.8833333333333302</v>
      </c>
      <c r="AA231" s="23">
        <v>6.06666666666667</v>
      </c>
      <c r="AC231" s="19"/>
      <c r="AD231" s="20">
        <v>45834</v>
      </c>
      <c r="AE231" t="s">
        <v>479</v>
      </c>
      <c r="AF231">
        <v>4193.766260765</v>
      </c>
      <c r="AG231" s="84">
        <f>DATE(YEAR(His53_DataTT[[#This Row],[RptDate]]),MONTH(His53_DataTT[[#This Row],[RptDate]]),1)</f>
        <v>45809</v>
      </c>
      <c r="AO231" s="14"/>
    </row>
    <row r="232" spans="2:41" x14ac:dyDescent="0.3">
      <c r="B232" s="93">
        <v>46232</v>
      </c>
      <c r="C232" s="23">
        <v>7.65625</v>
      </c>
      <c r="D232" s="23">
        <v>8.4</v>
      </c>
      <c r="E232" s="23">
        <v>8.10961538461539</v>
      </c>
      <c r="F232" s="23">
        <v>8.1807692307692292</v>
      </c>
      <c r="G232" s="23">
        <v>8.1846153846153804</v>
      </c>
      <c r="H232" s="23">
        <v>8.2076923076923105</v>
      </c>
      <c r="I232" s="23">
        <v>8.2230769230769205</v>
      </c>
      <c r="J232" s="23">
        <v>8.2730769230769194</v>
      </c>
      <c r="K232" s="23">
        <v>8.2884615384615401</v>
      </c>
      <c r="L232" s="23">
        <v>8.3269230769230802</v>
      </c>
      <c r="M232" s="23">
        <v>8.3423076923076902</v>
      </c>
      <c r="N232" s="23">
        <v>8.35</v>
      </c>
      <c r="Q232" s="93">
        <v>46251</v>
      </c>
      <c r="R232" t="s">
        <v>1439</v>
      </c>
      <c r="S232" t="s">
        <v>399</v>
      </c>
      <c r="T232" s="14">
        <v>572.79824437121999</v>
      </c>
      <c r="W232" s="20">
        <v>45974</v>
      </c>
      <c r="X232" t="s">
        <v>273</v>
      </c>
      <c r="Y232" s="23">
        <v>6.6</v>
      </c>
      <c r="Z232" s="23">
        <v>6.2750000000000004</v>
      </c>
      <c r="AA232" s="23">
        <v>6.4375</v>
      </c>
      <c r="AC232" s="19"/>
      <c r="AD232" s="20">
        <v>45834</v>
      </c>
      <c r="AE232" t="s">
        <v>557</v>
      </c>
      <c r="AF232">
        <v>5985.3576213899996</v>
      </c>
      <c r="AG232" s="84">
        <f>DATE(YEAR(His53_DataTT[[#This Row],[RptDate]]),MONTH(His53_DataTT[[#This Row],[RptDate]]),1)</f>
        <v>45809</v>
      </c>
      <c r="AO232" s="14"/>
    </row>
    <row r="233" spans="2:41" x14ac:dyDescent="0.3">
      <c r="B233" s="93">
        <v>46233</v>
      </c>
      <c r="C233" s="23">
        <v>7.6687500000000002</v>
      </c>
      <c r="D233" s="23">
        <v>8.4</v>
      </c>
      <c r="E233" s="23">
        <v>8.10961538461539</v>
      </c>
      <c r="F233" s="23">
        <v>8.1807692307692292</v>
      </c>
      <c r="G233" s="23">
        <v>8.1846153846153804</v>
      </c>
      <c r="H233" s="23">
        <v>8.2076923076923105</v>
      </c>
      <c r="I233" s="23">
        <v>8.2230769230769205</v>
      </c>
      <c r="J233" s="23">
        <v>8.2730769230769194</v>
      </c>
      <c r="K233" s="23">
        <v>8.2884615384615401</v>
      </c>
      <c r="L233" s="23">
        <v>8.3269230769230802</v>
      </c>
      <c r="M233" s="23">
        <v>8.3423076923076902</v>
      </c>
      <c r="N233" s="23">
        <v>8.35</v>
      </c>
      <c r="Q233" s="93">
        <v>46251</v>
      </c>
      <c r="R233" t="s">
        <v>479</v>
      </c>
      <c r="S233" t="s">
        <v>395</v>
      </c>
      <c r="T233" s="14">
        <v>11830.253662647699</v>
      </c>
      <c r="W233" s="20">
        <v>45974</v>
      </c>
      <c r="X233" t="s">
        <v>274</v>
      </c>
      <c r="Y233" s="23">
        <v>6.35769230769231</v>
      </c>
      <c r="Z233" s="23">
        <v>5.8807692307692303</v>
      </c>
      <c r="AA233" s="23">
        <v>6.1192307692307697</v>
      </c>
      <c r="AC233" s="19"/>
      <c r="AD233" s="20">
        <v>45835</v>
      </c>
      <c r="AE233" t="s">
        <v>479</v>
      </c>
      <c r="AF233">
        <v>5518.2706687700002</v>
      </c>
      <c r="AG233" s="84">
        <f>DATE(YEAR(His53_DataTT[[#This Row],[RptDate]]),MONTH(His53_DataTT[[#This Row],[RptDate]]),1)</f>
        <v>45809</v>
      </c>
      <c r="AO233" s="14"/>
    </row>
    <row r="234" spans="2:41" x14ac:dyDescent="0.3">
      <c r="B234" s="93">
        <v>46234</v>
      </c>
      <c r="C234" s="23">
        <v>7.7062499999999998</v>
      </c>
      <c r="D234" s="23">
        <v>8.4</v>
      </c>
      <c r="E234" s="23">
        <v>8.1480769230769194</v>
      </c>
      <c r="F234" s="23">
        <v>8.2230769230769205</v>
      </c>
      <c r="G234" s="23">
        <v>8.2384615384615394</v>
      </c>
      <c r="H234" s="23">
        <v>8.2576923076923094</v>
      </c>
      <c r="I234" s="23">
        <v>8.2730769230769194</v>
      </c>
      <c r="J234" s="23">
        <v>8.3192307692307708</v>
      </c>
      <c r="K234" s="23">
        <v>8.3423076923076902</v>
      </c>
      <c r="L234" s="23">
        <v>8.3807692307692303</v>
      </c>
      <c r="M234" s="23">
        <v>8.3961538461538492</v>
      </c>
      <c r="N234" s="23">
        <v>8.4115384615384592</v>
      </c>
      <c r="Q234" s="93">
        <v>46251</v>
      </c>
      <c r="R234" t="s">
        <v>479</v>
      </c>
      <c r="S234" t="s">
        <v>415</v>
      </c>
      <c r="T234" s="14">
        <v>7.8003607516651501</v>
      </c>
      <c r="W234" s="20">
        <v>45974</v>
      </c>
      <c r="X234" t="s">
        <v>275</v>
      </c>
      <c r="Y234" s="23">
        <v>6.3961538461538501</v>
      </c>
      <c r="Z234" s="23">
        <v>5.9192307692307704</v>
      </c>
      <c r="AA234" s="23">
        <v>6.1576923076923098</v>
      </c>
      <c r="AC234" s="19"/>
      <c r="AD234" s="20">
        <v>45835</v>
      </c>
      <c r="AE234" t="s">
        <v>557</v>
      </c>
      <c r="AF234">
        <v>8804.0075960319991</v>
      </c>
      <c r="AG234" s="84">
        <f>DATE(YEAR(His53_DataTT[[#This Row],[RptDate]]),MONTH(His53_DataTT[[#This Row],[RptDate]]),1)</f>
        <v>45809</v>
      </c>
      <c r="AO234" s="14"/>
    </row>
    <row r="235" spans="2:41" x14ac:dyDescent="0.3">
      <c r="B235" s="93">
        <v>46237</v>
      </c>
      <c r="C235" s="23">
        <v>7.71875</v>
      </c>
      <c r="D235" s="23">
        <v>8.4</v>
      </c>
      <c r="E235" s="23">
        <v>8.1480769230769194</v>
      </c>
      <c r="F235" s="23">
        <v>8.2230769230769205</v>
      </c>
      <c r="G235" s="23">
        <v>8.2384615384615394</v>
      </c>
      <c r="H235" s="23">
        <v>8.2576923076923094</v>
      </c>
      <c r="I235" s="23">
        <v>8.2730769230769194</v>
      </c>
      <c r="J235" s="23">
        <v>8.3192307692307708</v>
      </c>
      <c r="K235" s="23">
        <v>8.3423076923076902</v>
      </c>
      <c r="L235" s="23">
        <v>8.3807692307692303</v>
      </c>
      <c r="M235" s="23">
        <v>8.3961538461538492</v>
      </c>
      <c r="N235" s="23">
        <v>8.4115384615384592</v>
      </c>
      <c r="Q235" s="93">
        <v>46251</v>
      </c>
      <c r="R235" t="s">
        <v>364</v>
      </c>
      <c r="S235" t="s">
        <v>415</v>
      </c>
      <c r="T235" s="14">
        <v>7.20639445300462</v>
      </c>
      <c r="W235" s="20">
        <v>45974</v>
      </c>
      <c r="X235" t="s">
        <v>276</v>
      </c>
      <c r="Y235" s="23">
        <v>6.4115384615384601</v>
      </c>
      <c r="Z235" s="23">
        <v>5.9346153846153902</v>
      </c>
      <c r="AA235" s="23">
        <v>6.1730769230769198</v>
      </c>
      <c r="AC235" s="19"/>
      <c r="AD235" s="20">
        <v>45838</v>
      </c>
      <c r="AE235" t="s">
        <v>479</v>
      </c>
      <c r="AF235">
        <v>5893.1010720169998</v>
      </c>
      <c r="AG235" s="84">
        <f>DATE(YEAR(His53_DataTT[[#This Row],[RptDate]]),MONTH(His53_DataTT[[#This Row],[RptDate]]),1)</f>
        <v>45809</v>
      </c>
      <c r="AO235" s="14"/>
    </row>
    <row r="236" spans="2:41" x14ac:dyDescent="0.3">
      <c r="B236" s="93">
        <v>46238</v>
      </c>
      <c r="C236" s="23">
        <v>7.7062499999999998</v>
      </c>
      <c r="D236" s="23">
        <v>8.4</v>
      </c>
      <c r="E236" s="23">
        <v>8.1480769230769194</v>
      </c>
      <c r="F236" s="23">
        <v>8.2230769230769205</v>
      </c>
      <c r="G236" s="23">
        <v>8.2384615384615394</v>
      </c>
      <c r="H236" s="23">
        <v>8.2576923076923094</v>
      </c>
      <c r="I236" s="23">
        <v>8.2730769230769194</v>
      </c>
      <c r="J236" s="23">
        <v>8.3192307692307708</v>
      </c>
      <c r="K236" s="23">
        <v>8.3423076923076902</v>
      </c>
      <c r="L236" s="23">
        <v>8.3807692307692303</v>
      </c>
      <c r="M236" s="23">
        <v>8.3961538461538492</v>
      </c>
      <c r="N236" s="23">
        <v>8.4115384615384592</v>
      </c>
      <c r="Q236" s="93">
        <v>46251</v>
      </c>
      <c r="R236" t="s">
        <v>516</v>
      </c>
      <c r="S236" t="s">
        <v>415</v>
      </c>
      <c r="T236" s="14">
        <v>7.3781216434579404</v>
      </c>
      <c r="W236" s="20">
        <v>45974</v>
      </c>
      <c r="X236" t="s">
        <v>277</v>
      </c>
      <c r="Y236" s="23">
        <v>6.4923076923076897</v>
      </c>
      <c r="Z236" s="23">
        <v>6.0153846153846198</v>
      </c>
      <c r="AA236" s="23">
        <v>6.2538461538461503</v>
      </c>
      <c r="AC236" s="19"/>
      <c r="AD236" s="20">
        <v>45838</v>
      </c>
      <c r="AE236" t="s">
        <v>557</v>
      </c>
      <c r="AF236">
        <v>3711.6049464540001</v>
      </c>
      <c r="AG236" s="84">
        <f>DATE(YEAR(His53_DataTT[[#This Row],[RptDate]]),MONTH(His53_DataTT[[#This Row],[RptDate]]),1)</f>
        <v>45809</v>
      </c>
      <c r="AO236" s="14"/>
    </row>
    <row r="237" spans="2:41" x14ac:dyDescent="0.3">
      <c r="B237" s="93">
        <v>46239</v>
      </c>
      <c r="C237" s="23">
        <v>7.7571428571428598</v>
      </c>
      <c r="D237" s="23">
        <v>8.4</v>
      </c>
      <c r="E237" s="23">
        <v>8.3249999999999993</v>
      </c>
      <c r="F237" s="23">
        <v>8.2230769230769205</v>
      </c>
      <c r="G237" s="23">
        <v>8.2384615384615394</v>
      </c>
      <c r="H237" s="23">
        <v>8.2576923076923094</v>
      </c>
      <c r="I237" s="23">
        <v>8.2730769230769194</v>
      </c>
      <c r="J237" s="23">
        <v>8.3192307692307708</v>
      </c>
      <c r="K237" s="23">
        <v>8.3423076923076902</v>
      </c>
      <c r="L237" s="23">
        <v>8.3807692307692303</v>
      </c>
      <c r="M237" s="23">
        <v>8.3961538461538492</v>
      </c>
      <c r="N237" s="23">
        <v>8.4115384615384592</v>
      </c>
      <c r="Q237" s="93">
        <v>46251</v>
      </c>
      <c r="R237" t="s">
        <v>1288</v>
      </c>
      <c r="S237" t="s">
        <v>415</v>
      </c>
      <c r="T237" s="14">
        <v>7.8003607516651501</v>
      </c>
      <c r="W237" s="20">
        <v>45974</v>
      </c>
      <c r="X237" t="s">
        <v>278</v>
      </c>
      <c r="Y237" s="23">
        <v>6.4923076923076897</v>
      </c>
      <c r="Z237" s="23">
        <v>6.0153846153846198</v>
      </c>
      <c r="AA237" s="23">
        <v>6.2538461538461503</v>
      </c>
      <c r="AC237" s="19"/>
      <c r="AD237" s="20">
        <v>45839</v>
      </c>
      <c r="AE237" t="s">
        <v>479</v>
      </c>
      <c r="AF237">
        <v>1883.4661278189999</v>
      </c>
      <c r="AG237" s="84">
        <f>DATE(YEAR(His53_DataTT[[#This Row],[RptDate]]),MONTH(His53_DataTT[[#This Row],[RptDate]]),1)</f>
        <v>45839</v>
      </c>
      <c r="AO237" s="14"/>
    </row>
    <row r="238" spans="2:41" x14ac:dyDescent="0.3">
      <c r="B238" s="93">
        <v>46240</v>
      </c>
      <c r="C238" s="23">
        <v>7.7428571428571402</v>
      </c>
      <c r="D238" s="23">
        <v>8.4</v>
      </c>
      <c r="E238" s="23">
        <v>8.3249999999999993</v>
      </c>
      <c r="F238" s="23">
        <v>8.2230769230769205</v>
      </c>
      <c r="G238" s="23">
        <v>8.2384615384615394</v>
      </c>
      <c r="H238" s="23">
        <v>8.2576923076923094</v>
      </c>
      <c r="I238" s="23">
        <v>8.2730769230769194</v>
      </c>
      <c r="J238" s="23">
        <v>8.3192307692307708</v>
      </c>
      <c r="K238" s="23">
        <v>8.3423076923076902</v>
      </c>
      <c r="L238" s="23">
        <v>8.3807692307692303</v>
      </c>
      <c r="M238" s="23">
        <v>8.3961538461538492</v>
      </c>
      <c r="N238" s="23">
        <v>8.4115384615384592</v>
      </c>
      <c r="Q238" s="93">
        <v>46251</v>
      </c>
      <c r="R238" t="s">
        <v>496</v>
      </c>
      <c r="S238" t="s">
        <v>415</v>
      </c>
      <c r="T238" s="14">
        <v>6.89257834596674</v>
      </c>
      <c r="W238" s="20">
        <v>45974</v>
      </c>
      <c r="X238" t="s">
        <v>279</v>
      </c>
      <c r="Y238" s="23">
        <v>6.5461538461538504</v>
      </c>
      <c r="Z238" s="23">
        <v>6.0692307692307699</v>
      </c>
      <c r="AA238" s="23">
        <v>6.3076923076923102</v>
      </c>
      <c r="AC238" s="19"/>
      <c r="AD238" s="20">
        <v>45839</v>
      </c>
      <c r="AE238" t="s">
        <v>557</v>
      </c>
      <c r="AF238">
        <v>2921.4133031249999</v>
      </c>
      <c r="AG238" s="84">
        <f>DATE(YEAR(His53_DataTT[[#This Row],[RptDate]]),MONTH(His53_DataTT[[#This Row],[RptDate]]),1)</f>
        <v>45839</v>
      </c>
      <c r="AO238" s="14"/>
    </row>
    <row r="239" spans="2:41" x14ac:dyDescent="0.3">
      <c r="B239" s="93">
        <v>46241</v>
      </c>
      <c r="C239" s="23">
        <v>7.7571428571428598</v>
      </c>
      <c r="D239" s="23">
        <v>8.4</v>
      </c>
      <c r="E239" s="23">
        <v>8.3249999999999993</v>
      </c>
      <c r="F239" s="23">
        <v>8.2230769230769205</v>
      </c>
      <c r="G239" s="23">
        <v>8.2384615384615394</v>
      </c>
      <c r="H239" s="23">
        <v>8.2576923076923094</v>
      </c>
      <c r="I239" s="23">
        <v>8.2730769230769194</v>
      </c>
      <c r="J239" s="23">
        <v>8.3192307692307708</v>
      </c>
      <c r="K239" s="23">
        <v>8.3423076923076902</v>
      </c>
      <c r="L239" s="23">
        <v>8.3807692307692303</v>
      </c>
      <c r="M239" s="23">
        <v>8.3961538461538492</v>
      </c>
      <c r="N239" s="23">
        <v>8.4115384615384592</v>
      </c>
      <c r="Q239" s="93">
        <v>46251</v>
      </c>
      <c r="R239" t="s">
        <v>1290</v>
      </c>
      <c r="S239" t="s">
        <v>415</v>
      </c>
      <c r="T239" s="14">
        <v>7.2806049620278603</v>
      </c>
      <c r="W239" s="20">
        <v>45974</v>
      </c>
      <c r="X239" t="s">
        <v>280</v>
      </c>
      <c r="Y239" s="23">
        <v>6.6</v>
      </c>
      <c r="Z239" s="23">
        <v>6.12307692307692</v>
      </c>
      <c r="AA239" s="23">
        <v>6.3615384615384603</v>
      </c>
      <c r="AC239" s="19"/>
      <c r="AD239" s="20">
        <v>45840</v>
      </c>
      <c r="AE239" t="s">
        <v>479</v>
      </c>
      <c r="AF239">
        <v>2046.0445091040001</v>
      </c>
      <c r="AG239" s="84">
        <f>DATE(YEAR(His53_DataTT[[#This Row],[RptDate]]),MONTH(His53_DataTT[[#This Row],[RptDate]]),1)</f>
        <v>45839</v>
      </c>
      <c r="AO239" s="14"/>
    </row>
    <row r="240" spans="2:41" x14ac:dyDescent="0.3">
      <c r="B240" s="93">
        <v>46244</v>
      </c>
      <c r="C240" s="23">
        <v>7.7428571428571402</v>
      </c>
      <c r="D240" s="23">
        <v>8.4</v>
      </c>
      <c r="E240" s="23">
        <v>8.3249999999999993</v>
      </c>
      <c r="F240" s="23">
        <v>8.2230769230769205</v>
      </c>
      <c r="G240" s="23">
        <v>8.2384615384615394</v>
      </c>
      <c r="H240" s="23">
        <v>8.2576923076923094</v>
      </c>
      <c r="I240" s="23">
        <v>8.2730769230769194</v>
      </c>
      <c r="J240" s="23">
        <v>8.3192307692307708</v>
      </c>
      <c r="K240" s="23">
        <v>8.3423076923076902</v>
      </c>
      <c r="L240" s="23">
        <v>8.3807692307692303</v>
      </c>
      <c r="M240" s="23">
        <v>8.3961538461538492</v>
      </c>
      <c r="N240" s="23">
        <v>8.4115384615384592</v>
      </c>
      <c r="Q240" s="93">
        <v>46251</v>
      </c>
      <c r="R240" t="s">
        <v>364</v>
      </c>
      <c r="S240" t="s">
        <v>997</v>
      </c>
      <c r="T240" s="14">
        <v>32450</v>
      </c>
      <c r="W240" s="20">
        <v>45974</v>
      </c>
      <c r="X240" t="s">
        <v>281</v>
      </c>
      <c r="Y240" s="23">
        <v>6.6038461538461597</v>
      </c>
      <c r="Z240" s="23">
        <v>6.12692307692308</v>
      </c>
      <c r="AA240" s="23">
        <v>6.3653846153846203</v>
      </c>
      <c r="AC240" s="19"/>
      <c r="AD240" s="20">
        <v>45840</v>
      </c>
      <c r="AE240" t="s">
        <v>557</v>
      </c>
      <c r="AF240">
        <v>3399.9706278929998</v>
      </c>
      <c r="AG240" s="84">
        <f>DATE(YEAR(His53_DataTT[[#This Row],[RptDate]]),MONTH(His53_DataTT[[#This Row],[RptDate]]),1)</f>
        <v>45839</v>
      </c>
      <c r="AO240" s="14"/>
    </row>
    <row r="241" spans="2:41" x14ac:dyDescent="0.3">
      <c r="B241" s="93">
        <v>46245</v>
      </c>
      <c r="C241" s="23">
        <v>7.7428571428571402</v>
      </c>
      <c r="D241" s="23">
        <v>8.4</v>
      </c>
      <c r="E241" s="23">
        <v>8.3249999999999993</v>
      </c>
      <c r="F241" s="23">
        <v>8.2192307692307693</v>
      </c>
      <c r="G241" s="23">
        <v>8.2384615384615394</v>
      </c>
      <c r="H241" s="23">
        <v>8.2576923076923094</v>
      </c>
      <c r="I241" s="23">
        <v>8.2730769230769194</v>
      </c>
      <c r="J241" s="23">
        <v>8.3192307692307708</v>
      </c>
      <c r="K241" s="23">
        <v>8.3423076923076902</v>
      </c>
      <c r="L241" s="23">
        <v>8.3807692307692303</v>
      </c>
      <c r="M241" s="23">
        <v>8.3961538461538492</v>
      </c>
      <c r="N241" s="23">
        <v>8.4115384615384592</v>
      </c>
      <c r="Q241" s="93">
        <v>46251</v>
      </c>
      <c r="R241" t="s">
        <v>496</v>
      </c>
      <c r="S241" t="s">
        <v>997</v>
      </c>
      <c r="T241" s="14">
        <v>17678</v>
      </c>
      <c r="W241" s="20">
        <v>45974</v>
      </c>
      <c r="X241" t="s">
        <v>270</v>
      </c>
      <c r="Y241" s="23">
        <v>6.1166666666666698</v>
      </c>
      <c r="Z241" s="23">
        <v>5.6166666666666698</v>
      </c>
      <c r="AA241" s="23">
        <v>5.8666666666666698</v>
      </c>
      <c r="AC241" s="19"/>
      <c r="AD241" s="20">
        <v>45841</v>
      </c>
      <c r="AE241" t="s">
        <v>479</v>
      </c>
      <c r="AF241">
        <v>3907.071419762</v>
      </c>
      <c r="AG241" s="84">
        <f>DATE(YEAR(His53_DataTT[[#This Row],[RptDate]]),MONTH(His53_DataTT[[#This Row],[RptDate]]),1)</f>
        <v>45839</v>
      </c>
      <c r="AO241" s="14"/>
    </row>
    <row r="242" spans="2:41" x14ac:dyDescent="0.3">
      <c r="B242" s="93">
        <v>46246</v>
      </c>
      <c r="C242" s="23">
        <v>7.7</v>
      </c>
      <c r="D242" s="23">
        <v>8.4</v>
      </c>
      <c r="E242" s="23">
        <v>8.3249999999999993</v>
      </c>
      <c r="F242" s="23">
        <v>8.2192307692307693</v>
      </c>
      <c r="G242" s="23">
        <v>8.2384615384615394</v>
      </c>
      <c r="H242" s="23">
        <v>8.2576923076923094</v>
      </c>
      <c r="I242" s="23">
        <v>8.2730769230769194</v>
      </c>
      <c r="J242" s="23">
        <v>8.3192307692307708</v>
      </c>
      <c r="K242" s="23">
        <v>8.3423076923076902</v>
      </c>
      <c r="L242" s="23">
        <v>8.3807692307692303</v>
      </c>
      <c r="M242" s="23">
        <v>8.3961538461538492</v>
      </c>
      <c r="N242" s="23">
        <v>8.4115384615384592</v>
      </c>
      <c r="Q242" s="93">
        <v>46251</v>
      </c>
      <c r="R242" t="s">
        <v>1388</v>
      </c>
      <c r="S242" t="s">
        <v>997</v>
      </c>
      <c r="T242" s="14">
        <v>13197.6106</v>
      </c>
      <c r="W242" s="20">
        <v>45978</v>
      </c>
      <c r="X242" t="s">
        <v>270</v>
      </c>
      <c r="Y242" s="23">
        <v>6.21428571428571</v>
      </c>
      <c r="Z242" s="23">
        <v>5.7285714285714304</v>
      </c>
      <c r="AA242" s="23">
        <v>5.9714285714285698</v>
      </c>
      <c r="AC242" s="19"/>
      <c r="AD242" s="20">
        <v>45841</v>
      </c>
      <c r="AE242" t="s">
        <v>557</v>
      </c>
      <c r="AF242">
        <v>6079.7308864269999</v>
      </c>
      <c r="AG242" s="84">
        <f>DATE(YEAR(His53_DataTT[[#This Row],[RptDate]]),MONTH(His53_DataTT[[#This Row],[RptDate]]),1)</f>
        <v>45839</v>
      </c>
      <c r="AO242" s="14"/>
    </row>
    <row r="243" spans="2:41" x14ac:dyDescent="0.3">
      <c r="B243" s="93">
        <v>46247</v>
      </c>
      <c r="C243" s="23">
        <v>7.6833333333333398</v>
      </c>
      <c r="D243" s="23">
        <v>8.4</v>
      </c>
      <c r="E243" s="23">
        <v>8.2312499999999993</v>
      </c>
      <c r="F243" s="23">
        <v>8.2192307692307693</v>
      </c>
      <c r="G243" s="23">
        <v>8.2384615384615394</v>
      </c>
      <c r="H243" s="23">
        <v>8.2576923076923094</v>
      </c>
      <c r="I243" s="23">
        <v>8.2730769230769194</v>
      </c>
      <c r="J243" s="23">
        <v>8.3192307692307708</v>
      </c>
      <c r="K243" s="23">
        <v>8.3423076923076902</v>
      </c>
      <c r="L243" s="23">
        <v>8.3807692307692303</v>
      </c>
      <c r="M243" s="23">
        <v>8.3961538461538492</v>
      </c>
      <c r="N243" s="23">
        <v>8.4115384615384592</v>
      </c>
      <c r="Q243" s="93">
        <v>46251</v>
      </c>
      <c r="R243" t="s">
        <v>1389</v>
      </c>
      <c r="S243" t="s">
        <v>997</v>
      </c>
      <c r="T243" s="14">
        <v>12800</v>
      </c>
      <c r="W243" s="20">
        <v>45978</v>
      </c>
      <c r="X243" t="s">
        <v>271</v>
      </c>
      <c r="Y243" s="23">
        <v>6.1346153846153904</v>
      </c>
      <c r="Z243" s="23">
        <v>5.6576923076923098</v>
      </c>
      <c r="AA243" s="23">
        <v>5.8961538461538501</v>
      </c>
      <c r="AC243" s="19"/>
      <c r="AD243" s="20">
        <v>45842</v>
      </c>
      <c r="AE243" t="s">
        <v>479</v>
      </c>
      <c r="AF243">
        <v>2531.3697916579999</v>
      </c>
      <c r="AG243" s="84">
        <f>DATE(YEAR(His53_DataTT[[#This Row],[RptDate]]),MONTH(His53_DataTT[[#This Row],[RptDate]]),1)</f>
        <v>45839</v>
      </c>
      <c r="AO243" s="14"/>
    </row>
    <row r="244" spans="2:41" x14ac:dyDescent="0.3">
      <c r="B244" s="93">
        <v>46248</v>
      </c>
      <c r="C244" s="23">
        <v>7.7166666666666703</v>
      </c>
      <c r="D244" s="23">
        <v>8.4</v>
      </c>
      <c r="E244" s="23">
        <v>8.2312499999999993</v>
      </c>
      <c r="F244" s="23">
        <v>8.2192307692307693</v>
      </c>
      <c r="G244" s="23">
        <v>8.2384615384615394</v>
      </c>
      <c r="H244" s="23">
        <v>8.2576923076923094</v>
      </c>
      <c r="I244" s="23">
        <v>8.2730769230769194</v>
      </c>
      <c r="J244" s="23">
        <v>8.3192307692307708</v>
      </c>
      <c r="K244" s="23">
        <v>8.3423076923076902</v>
      </c>
      <c r="L244" s="23">
        <v>8.3807692307692303</v>
      </c>
      <c r="M244" s="23">
        <v>8.3961538461538492</v>
      </c>
      <c r="N244" s="23">
        <v>8.4115384615384592</v>
      </c>
      <c r="Q244" s="93">
        <v>46251</v>
      </c>
      <c r="R244" t="s">
        <v>1390</v>
      </c>
      <c r="S244" t="s">
        <v>997</v>
      </c>
      <c r="T244" s="14">
        <v>397.61059999999998</v>
      </c>
      <c r="W244" s="20">
        <v>45978</v>
      </c>
      <c r="X244" t="s">
        <v>272</v>
      </c>
      <c r="Y244" s="23">
        <v>6.25</v>
      </c>
      <c r="Z244" s="23">
        <v>5.8833333333333302</v>
      </c>
      <c r="AA244" s="23">
        <v>6.06666666666667</v>
      </c>
      <c r="AC244" s="19"/>
      <c r="AD244" s="20">
        <v>45842</v>
      </c>
      <c r="AE244" t="s">
        <v>557</v>
      </c>
      <c r="AF244">
        <v>1968.610461324</v>
      </c>
      <c r="AG244" s="84">
        <f>DATE(YEAR(His53_DataTT[[#This Row],[RptDate]]),MONTH(His53_DataTT[[#This Row],[RptDate]]),1)</f>
        <v>45839</v>
      </c>
      <c r="AO244" s="14"/>
    </row>
    <row r="245" spans="2:41" x14ac:dyDescent="0.3">
      <c r="B245" s="93">
        <v>46251</v>
      </c>
      <c r="C245" s="23">
        <v>7.8214285714285703</v>
      </c>
      <c r="D245" s="23">
        <v>8.0192307692307701</v>
      </c>
      <c r="E245" s="23">
        <v>8.2312499999999993</v>
      </c>
      <c r="F245" s="23">
        <v>8.2192307692307693</v>
      </c>
      <c r="G245" s="23">
        <v>8.2384615384615394</v>
      </c>
      <c r="H245" s="23">
        <v>8.2576923076923094</v>
      </c>
      <c r="I245" s="23">
        <v>8.2730769230769194</v>
      </c>
      <c r="J245" s="23">
        <v>8.3192307692307708</v>
      </c>
      <c r="K245" s="23">
        <v>8.3423076923076902</v>
      </c>
      <c r="L245" s="23">
        <v>8.3807692307692303</v>
      </c>
      <c r="M245" s="23">
        <v>8.3961538461538492</v>
      </c>
      <c r="N245" s="23">
        <v>8.4115384615384592</v>
      </c>
      <c r="Q245" s="93">
        <v>46248</v>
      </c>
      <c r="R245" t="s">
        <v>479</v>
      </c>
      <c r="S245" t="s">
        <v>399</v>
      </c>
      <c r="T245" s="14">
        <v>10768.799216653701</v>
      </c>
      <c r="W245" s="20">
        <v>45978</v>
      </c>
      <c r="X245" t="s">
        <v>273</v>
      </c>
      <c r="Y245" s="23">
        <v>6.55</v>
      </c>
      <c r="Z245" s="23">
        <v>6.2249999999999996</v>
      </c>
      <c r="AA245" s="23">
        <v>6.3875000000000002</v>
      </c>
      <c r="AC245" s="19"/>
      <c r="AD245" s="20">
        <v>45845</v>
      </c>
      <c r="AE245" t="s">
        <v>479</v>
      </c>
      <c r="AF245">
        <v>3293.8413379789999</v>
      </c>
      <c r="AG245" s="84">
        <f>DATE(YEAR(His53_DataTT[[#This Row],[RptDate]]),MONTH(His53_DataTT[[#This Row],[RptDate]]),1)</f>
        <v>45839</v>
      </c>
      <c r="AO245" s="14"/>
    </row>
    <row r="246" spans="2:41" x14ac:dyDescent="0.3">
      <c r="B246" s="93">
        <v>46252</v>
      </c>
      <c r="C246" s="23">
        <v>7.8214285714285703</v>
      </c>
      <c r="D246" s="23">
        <v>8.1333333333333293</v>
      </c>
      <c r="E246" s="23">
        <v>8.3249999999999993</v>
      </c>
      <c r="F246" s="23">
        <v>8.2192307692307693</v>
      </c>
      <c r="G246" s="23">
        <v>8.2384615384615394</v>
      </c>
      <c r="H246" s="23">
        <v>8.2576923076923094</v>
      </c>
      <c r="I246" s="23">
        <v>8.2730769230769194</v>
      </c>
      <c r="J246" s="23">
        <v>8.3192307692307708</v>
      </c>
      <c r="K246" s="23">
        <v>8.3423076923076902</v>
      </c>
      <c r="L246" s="23">
        <v>8.3807692307692303</v>
      </c>
      <c r="M246" s="23">
        <v>8.3961538461538492</v>
      </c>
      <c r="N246" s="23">
        <v>8.4115384615384592</v>
      </c>
      <c r="Q246" s="93">
        <v>46248</v>
      </c>
      <c r="R246" t="s">
        <v>364</v>
      </c>
      <c r="S246" t="s">
        <v>399</v>
      </c>
      <c r="T246" s="14">
        <v>28050</v>
      </c>
      <c r="W246" s="20">
        <v>45978</v>
      </c>
      <c r="X246" t="s">
        <v>274</v>
      </c>
      <c r="Y246" s="23">
        <v>6.3807692307692303</v>
      </c>
      <c r="Z246" s="23">
        <v>5.9038461538461604</v>
      </c>
      <c r="AA246" s="23">
        <v>6.14230769230769</v>
      </c>
      <c r="AC246" s="19"/>
      <c r="AD246" s="20">
        <v>45845</v>
      </c>
      <c r="AE246" t="s">
        <v>557</v>
      </c>
      <c r="AF246">
        <v>1580.2938991369999</v>
      </c>
      <c r="AG246" s="84">
        <f>DATE(YEAR(His53_DataTT[[#This Row],[RptDate]]),MONTH(His53_DataTT[[#This Row],[RptDate]]),1)</f>
        <v>45839</v>
      </c>
      <c r="AO246" s="14"/>
    </row>
    <row r="247" spans="2:41" x14ac:dyDescent="0.3">
      <c r="B247" s="93">
        <v>46253</v>
      </c>
      <c r="C247" s="23">
        <v>7.8071428571428596</v>
      </c>
      <c r="D247" s="23">
        <v>8.1666666666666607</v>
      </c>
      <c r="E247" s="23">
        <v>8.4312500000000004</v>
      </c>
      <c r="F247" s="23">
        <v>8.2192307692307693</v>
      </c>
      <c r="G247" s="23">
        <v>8.2384615384615394</v>
      </c>
      <c r="H247" s="23">
        <v>8.2576923076923094</v>
      </c>
      <c r="I247" s="23">
        <v>8.2730769230769194</v>
      </c>
      <c r="J247" s="23">
        <v>8.3192307692307708</v>
      </c>
      <c r="K247" s="23">
        <v>8.3423076923076902</v>
      </c>
      <c r="L247" s="23">
        <v>8.3807692307692303</v>
      </c>
      <c r="M247" s="23">
        <v>8.3961538461538492</v>
      </c>
      <c r="N247" s="23">
        <v>8.4115384615384592</v>
      </c>
      <c r="Q247" s="93">
        <v>46248</v>
      </c>
      <c r="R247" t="s">
        <v>491</v>
      </c>
      <c r="S247" t="s">
        <v>399</v>
      </c>
      <c r="T247" s="14">
        <v>397.61059999999998</v>
      </c>
      <c r="W247" s="20">
        <v>45978</v>
      </c>
      <c r="X247" t="s">
        <v>275</v>
      </c>
      <c r="Y247" s="23">
        <v>6.4192307692307704</v>
      </c>
      <c r="Z247" s="23">
        <v>5.9423076923076898</v>
      </c>
      <c r="AA247" s="23">
        <v>6.1807692307692301</v>
      </c>
      <c r="AC247" s="19"/>
      <c r="AD247" s="20">
        <v>45846</v>
      </c>
      <c r="AE247" t="s">
        <v>479</v>
      </c>
      <c r="AF247">
        <v>2466.5790846740001</v>
      </c>
      <c r="AG247" s="84">
        <f>DATE(YEAR(His53_DataTT[[#This Row],[RptDate]]),MONTH(His53_DataTT[[#This Row],[RptDate]]),1)</f>
        <v>45839</v>
      </c>
      <c r="AO247" s="14"/>
    </row>
    <row r="248" spans="2:41" x14ac:dyDescent="0.3">
      <c r="B248" s="93">
        <v>46254</v>
      </c>
      <c r="C248" s="23">
        <v>7.6928571428571404</v>
      </c>
      <c r="D248" s="23">
        <v>8.1666666666666607</v>
      </c>
      <c r="E248" s="23">
        <v>8.3249999999999993</v>
      </c>
      <c r="F248" s="23">
        <v>8.2192307692307693</v>
      </c>
      <c r="G248" s="23">
        <v>8.2384615384615394</v>
      </c>
      <c r="H248" s="23">
        <v>8.2576923076923094</v>
      </c>
      <c r="I248" s="23">
        <v>8.2730769230769194</v>
      </c>
      <c r="J248" s="23">
        <v>8.3192307692307708</v>
      </c>
      <c r="K248" s="23">
        <v>8.3423076923076902</v>
      </c>
      <c r="L248" s="23">
        <v>8.3807692307692303</v>
      </c>
      <c r="M248" s="23">
        <v>8.3961538461538492</v>
      </c>
      <c r="N248" s="23">
        <v>8.4115384615384592</v>
      </c>
      <c r="Q248" s="93">
        <v>46248</v>
      </c>
      <c r="R248" t="s">
        <v>492</v>
      </c>
      <c r="S248" t="s">
        <v>399</v>
      </c>
      <c r="T248" s="14">
        <v>9800</v>
      </c>
      <c r="W248" s="20">
        <v>45978</v>
      </c>
      <c r="X248" t="s">
        <v>276</v>
      </c>
      <c r="Y248" s="23">
        <v>6.45</v>
      </c>
      <c r="Z248" s="23">
        <v>5.9730769230769196</v>
      </c>
      <c r="AA248" s="23">
        <v>6.2115384615384599</v>
      </c>
      <c r="AC248" s="19"/>
      <c r="AD248" s="20">
        <v>45846</v>
      </c>
      <c r="AE248" t="s">
        <v>557</v>
      </c>
      <c r="AF248">
        <v>1868.451912537</v>
      </c>
      <c r="AG248" s="84">
        <f>DATE(YEAR(His53_DataTT[[#This Row],[RptDate]]),MONTH(His53_DataTT[[#This Row],[RptDate]]),1)</f>
        <v>45839</v>
      </c>
      <c r="AO248" s="14"/>
    </row>
    <row r="249" spans="2:41" x14ac:dyDescent="0.3">
      <c r="B249" s="93">
        <v>46255</v>
      </c>
      <c r="C249" s="23">
        <v>7.6928571428571404</v>
      </c>
      <c r="D249" s="23">
        <v>8.1666666666666607</v>
      </c>
      <c r="E249" s="23">
        <v>8.3249999999999993</v>
      </c>
      <c r="F249" s="23">
        <v>8.2192307692307693</v>
      </c>
      <c r="G249" s="23">
        <v>8.2384615384615394</v>
      </c>
      <c r="H249" s="23">
        <v>8.2576923076923094</v>
      </c>
      <c r="I249" s="23">
        <v>8.2730769230769194</v>
      </c>
      <c r="J249" s="23">
        <v>8.3192307692307708</v>
      </c>
      <c r="K249" s="23">
        <v>8.3423076923076902</v>
      </c>
      <c r="L249" s="23">
        <v>8.3807692307692303</v>
      </c>
      <c r="M249" s="23">
        <v>8.3961538461538492</v>
      </c>
      <c r="N249" s="23">
        <v>8.4115384615384592</v>
      </c>
      <c r="Q249" s="93">
        <v>46248</v>
      </c>
      <c r="R249" t="s">
        <v>1438</v>
      </c>
      <c r="S249" t="s">
        <v>399</v>
      </c>
      <c r="T249" s="14">
        <v>571.18861665369002</v>
      </c>
      <c r="W249" s="20">
        <v>45978</v>
      </c>
      <c r="X249" t="s">
        <v>277</v>
      </c>
      <c r="Y249" s="23">
        <v>6.5307692307692298</v>
      </c>
      <c r="Z249" s="23">
        <v>6.0538461538461501</v>
      </c>
      <c r="AA249" s="23">
        <v>6.2923076923076904</v>
      </c>
      <c r="AC249" s="19"/>
      <c r="AD249" s="20">
        <v>45847</v>
      </c>
      <c r="AE249" t="s">
        <v>479</v>
      </c>
      <c r="AF249">
        <v>2617.6274869660001</v>
      </c>
      <c r="AG249" s="84">
        <f>DATE(YEAR(His53_DataTT[[#This Row],[RptDate]]),MONTH(His53_DataTT[[#This Row],[RptDate]]),1)</f>
        <v>45839</v>
      </c>
      <c r="AO249" s="14"/>
    </row>
    <row r="250" spans="2:41" x14ac:dyDescent="0.3">
      <c r="B250" s="93">
        <v>46258</v>
      </c>
      <c r="C250" s="23">
        <v>7.6785714285714297</v>
      </c>
      <c r="D250" s="23">
        <v>8.1666666666666607</v>
      </c>
      <c r="E250" s="23">
        <v>8.3249999999999993</v>
      </c>
      <c r="F250" s="23">
        <v>8.2192307692307693</v>
      </c>
      <c r="G250" s="23">
        <v>8.2384615384615394</v>
      </c>
      <c r="H250" s="23">
        <v>8.2576923076923094</v>
      </c>
      <c r="I250" s="23">
        <v>8.2730769230769194</v>
      </c>
      <c r="J250" s="23">
        <v>8.3192307692307708</v>
      </c>
      <c r="K250" s="23">
        <v>8.3423076923076902</v>
      </c>
      <c r="L250" s="23">
        <v>8.3807692307692303</v>
      </c>
      <c r="M250" s="23">
        <v>8.3961538461538492</v>
      </c>
      <c r="N250" s="23">
        <v>8.4115384615384592</v>
      </c>
      <c r="Q250" s="93">
        <v>46248</v>
      </c>
      <c r="R250" t="s">
        <v>496</v>
      </c>
      <c r="S250" t="s">
        <v>399</v>
      </c>
      <c r="T250" s="14">
        <v>13128</v>
      </c>
      <c r="W250" s="20">
        <v>45978</v>
      </c>
      <c r="X250" t="s">
        <v>278</v>
      </c>
      <c r="Y250" s="23">
        <v>6.5461538461538504</v>
      </c>
      <c r="Z250" s="23">
        <v>6.0692307692307699</v>
      </c>
      <c r="AA250" s="23">
        <v>6.3076923076923102</v>
      </c>
      <c r="AC250" s="19"/>
      <c r="AD250" s="20">
        <v>45847</v>
      </c>
      <c r="AE250" t="s">
        <v>557</v>
      </c>
      <c r="AF250">
        <v>2751.1699540019999</v>
      </c>
      <c r="AG250" s="84">
        <f>DATE(YEAR(His53_DataTT[[#This Row],[RptDate]]),MONTH(His53_DataTT[[#This Row],[RptDate]]),1)</f>
        <v>45839</v>
      </c>
      <c r="AO250" s="14"/>
    </row>
    <row r="251" spans="2:41" x14ac:dyDescent="0.3">
      <c r="B251" s="93">
        <v>46259</v>
      </c>
      <c r="C251" s="23">
        <v>7.6785714285714297</v>
      </c>
      <c r="D251" s="23">
        <v>8.1666666666666607</v>
      </c>
      <c r="E251" s="23">
        <v>8.4387500000000006</v>
      </c>
      <c r="F251" s="23">
        <v>8.2192307692307693</v>
      </c>
      <c r="G251" s="23">
        <v>8.2384615384615394</v>
      </c>
      <c r="H251" s="23">
        <v>8.2576923076923094</v>
      </c>
      <c r="I251" s="23">
        <v>8.2730769230769194</v>
      </c>
      <c r="J251" s="23">
        <v>8.3192307692307708</v>
      </c>
      <c r="K251" s="23">
        <v>8.3423076923076902</v>
      </c>
      <c r="L251" s="23">
        <v>8.3807692307692303</v>
      </c>
      <c r="M251" s="23">
        <v>8.3961538461538492</v>
      </c>
      <c r="N251" s="23">
        <v>8.4115384615384592</v>
      </c>
      <c r="Q251" s="93">
        <v>46248</v>
      </c>
      <c r="R251" t="s">
        <v>497</v>
      </c>
      <c r="S251" t="s">
        <v>399</v>
      </c>
      <c r="T251" s="14">
        <v>397.61059999999998</v>
      </c>
      <c r="W251" s="20">
        <v>45978</v>
      </c>
      <c r="X251" t="s">
        <v>279</v>
      </c>
      <c r="Y251" s="23">
        <v>6.5923076923076902</v>
      </c>
      <c r="Z251" s="23">
        <v>6.1153846153846096</v>
      </c>
      <c r="AA251" s="23">
        <v>6.3538461538461499</v>
      </c>
      <c r="AC251" s="19"/>
      <c r="AD251" s="20">
        <v>45848</v>
      </c>
      <c r="AE251" t="s">
        <v>479</v>
      </c>
      <c r="AF251">
        <v>4963.9398875659999</v>
      </c>
      <c r="AG251" s="84">
        <f>DATE(YEAR(His53_DataTT[[#This Row],[RptDate]]),MONTH(His53_DataTT[[#This Row],[RptDate]]),1)</f>
        <v>45839</v>
      </c>
      <c r="AO251" s="14"/>
    </row>
    <row r="252" spans="2:41" x14ac:dyDescent="0.3">
      <c r="B252" s="93">
        <v>46260</v>
      </c>
      <c r="C252" s="23">
        <v>7.6785714285714297</v>
      </c>
      <c r="D252" s="23">
        <v>8.1666666666666607</v>
      </c>
      <c r="E252" s="23">
        <v>8.3249999999999993</v>
      </c>
      <c r="F252" s="23">
        <v>8.2192307692307693</v>
      </c>
      <c r="G252" s="23">
        <v>8.2384615384615394</v>
      </c>
      <c r="H252" s="23">
        <v>8.2576923076923094</v>
      </c>
      <c r="I252" s="23">
        <v>8.2730769230769194</v>
      </c>
      <c r="J252" s="23">
        <v>8.3192307692307708</v>
      </c>
      <c r="K252" s="23">
        <v>8.3423076923076902</v>
      </c>
      <c r="L252" s="23">
        <v>8.3807692307692303</v>
      </c>
      <c r="M252" s="23">
        <v>8.3961538461538492</v>
      </c>
      <c r="N252" s="23">
        <v>8.4115384615384592</v>
      </c>
      <c r="Q252" s="93">
        <v>46248</v>
      </c>
      <c r="R252" t="s">
        <v>498</v>
      </c>
      <c r="S252" t="s">
        <v>399</v>
      </c>
      <c r="T252" s="14">
        <v>9800</v>
      </c>
      <c r="W252" s="20">
        <v>45978</v>
      </c>
      <c r="X252" t="s">
        <v>280</v>
      </c>
      <c r="Y252" s="23">
        <v>6.6384615384615397</v>
      </c>
      <c r="Z252" s="23">
        <v>6.1615384615384601</v>
      </c>
      <c r="AA252" s="23">
        <v>6.4</v>
      </c>
      <c r="AC252" s="19"/>
      <c r="AD252" s="20">
        <v>45848</v>
      </c>
      <c r="AE252" t="s">
        <v>557</v>
      </c>
      <c r="AF252">
        <v>4840.891016132</v>
      </c>
      <c r="AG252" s="84">
        <f>DATE(YEAR(His53_DataTT[[#This Row],[RptDate]]),MONTH(His53_DataTT[[#This Row],[RptDate]]),1)</f>
        <v>45839</v>
      </c>
      <c r="AO252" s="14"/>
    </row>
    <row r="253" spans="2:41" x14ac:dyDescent="0.3">
      <c r="B253" s="93">
        <v>46261</v>
      </c>
      <c r="C253" s="23">
        <v>7.6785714285714297</v>
      </c>
      <c r="D253" s="23">
        <v>8.0250000000000004</v>
      </c>
      <c r="E253" s="23">
        <v>8.3562499999999993</v>
      </c>
      <c r="F253" s="23">
        <v>8.2192307692307693</v>
      </c>
      <c r="G253" s="23">
        <v>8.2384615384615394</v>
      </c>
      <c r="H253" s="23">
        <v>8.2576923076923094</v>
      </c>
      <c r="I253" s="23">
        <v>8.2730769230769194</v>
      </c>
      <c r="J253" s="23">
        <v>8.3192307692307708</v>
      </c>
      <c r="K253" s="23">
        <v>8.3423076923076902</v>
      </c>
      <c r="L253" s="23">
        <v>8.3807692307692303</v>
      </c>
      <c r="M253" s="23">
        <v>8.3961538461538492</v>
      </c>
      <c r="N253" s="23">
        <v>8.4115384615384592</v>
      </c>
      <c r="Q253" s="93">
        <v>46248</v>
      </c>
      <c r="R253" t="s">
        <v>494</v>
      </c>
      <c r="S253" t="s">
        <v>399</v>
      </c>
      <c r="T253" s="14">
        <v>0</v>
      </c>
      <c r="W253" s="20">
        <v>45978</v>
      </c>
      <c r="X253" t="s">
        <v>281</v>
      </c>
      <c r="Y253" s="23">
        <v>6.6346153846153904</v>
      </c>
      <c r="Z253" s="23">
        <v>6.1576923076923098</v>
      </c>
      <c r="AA253" s="23">
        <v>6.3961538461538501</v>
      </c>
      <c r="AC253" s="19"/>
      <c r="AD253" s="20">
        <v>45849</v>
      </c>
      <c r="AE253" t="s">
        <v>479</v>
      </c>
      <c r="AF253">
        <v>1313.1386762919999</v>
      </c>
      <c r="AG253" s="84">
        <f>DATE(YEAR(His53_DataTT[[#This Row],[RptDate]]),MONTH(His53_DataTT[[#This Row],[RptDate]]),1)</f>
        <v>45839</v>
      </c>
      <c r="AO253" s="14"/>
    </row>
    <row r="254" spans="2:41" x14ac:dyDescent="0.3">
      <c r="B254" s="93">
        <v>46262</v>
      </c>
      <c r="C254" s="23">
        <v>7.6928571428571404</v>
      </c>
      <c r="D254" s="23">
        <v>8.0250000000000004</v>
      </c>
      <c r="E254" s="23">
        <v>8.3562499999999993</v>
      </c>
      <c r="F254" s="23">
        <v>8.2038461538461505</v>
      </c>
      <c r="G254" s="23">
        <v>8.2230769230769205</v>
      </c>
      <c r="H254" s="23">
        <v>8.2423076923076906</v>
      </c>
      <c r="I254" s="23">
        <v>8.2576923076923094</v>
      </c>
      <c r="J254" s="23">
        <v>8.3038461538461608</v>
      </c>
      <c r="K254" s="23">
        <v>8.3269230769230802</v>
      </c>
      <c r="L254" s="23">
        <v>8.3653846153846096</v>
      </c>
      <c r="M254" s="23">
        <v>8.3807692307692303</v>
      </c>
      <c r="N254" s="23">
        <v>8.3961538461538492</v>
      </c>
      <c r="Q254" s="93">
        <v>46248</v>
      </c>
      <c r="R254" t="s">
        <v>495</v>
      </c>
      <c r="S254" t="s">
        <v>399</v>
      </c>
      <c r="T254" s="14">
        <v>0</v>
      </c>
      <c r="W254" s="20">
        <v>45979</v>
      </c>
      <c r="X254" t="s">
        <v>270</v>
      </c>
      <c r="Y254" s="23">
        <v>6.1857142857142904</v>
      </c>
      <c r="Z254" s="23">
        <v>5.7</v>
      </c>
      <c r="AA254" s="23">
        <v>5.9428571428571404</v>
      </c>
      <c r="AC254" s="19"/>
      <c r="AD254" s="20">
        <v>45849</v>
      </c>
      <c r="AE254" t="s">
        <v>557</v>
      </c>
      <c r="AF254">
        <v>3242.5147923180002</v>
      </c>
      <c r="AG254" s="84">
        <f>DATE(YEAR(His53_DataTT[[#This Row],[RptDate]]),MONTH(His53_DataTT[[#This Row],[RptDate]]),1)</f>
        <v>45839</v>
      </c>
      <c r="AO254" s="14"/>
    </row>
    <row r="255" spans="2:41" x14ac:dyDescent="0.3">
      <c r="Q255" s="93">
        <v>46248</v>
      </c>
      <c r="R255" t="s">
        <v>493</v>
      </c>
      <c r="S255" t="s">
        <v>399</v>
      </c>
      <c r="T255" s="14">
        <v>0</v>
      </c>
      <c r="W255" s="20">
        <v>45979</v>
      </c>
      <c r="X255" t="s">
        <v>271</v>
      </c>
      <c r="Y255" s="23">
        <v>6.1307692307692303</v>
      </c>
      <c r="Z255" s="23">
        <v>5.6538461538461604</v>
      </c>
      <c r="AA255" s="23">
        <v>5.89230769230769</v>
      </c>
      <c r="AC255" s="19"/>
      <c r="AD255" s="20">
        <v>45852</v>
      </c>
      <c r="AE255" t="s">
        <v>479</v>
      </c>
      <c r="AF255">
        <v>2214.1490716909998</v>
      </c>
      <c r="AG255" s="84">
        <f>DATE(YEAR(His53_DataTT[[#This Row],[RptDate]]),MONTH(His53_DataTT[[#This Row],[RptDate]]),1)</f>
        <v>45839</v>
      </c>
      <c r="AO255" s="14"/>
    </row>
    <row r="256" spans="2:41" x14ac:dyDescent="0.3">
      <c r="Q256" s="93">
        <v>46248</v>
      </c>
      <c r="R256" t="s">
        <v>593</v>
      </c>
      <c r="S256" t="s">
        <v>399</v>
      </c>
      <c r="T256" s="14">
        <v>14922</v>
      </c>
      <c r="W256" s="20">
        <v>45979</v>
      </c>
      <c r="X256" t="s">
        <v>272</v>
      </c>
      <c r="Y256" s="23">
        <v>6.2769230769230804</v>
      </c>
      <c r="Z256" s="23">
        <v>5.8307692307692296</v>
      </c>
      <c r="AA256" s="23">
        <v>6.0538461538461501</v>
      </c>
      <c r="AC256" s="19"/>
      <c r="AD256" s="20">
        <v>45852</v>
      </c>
      <c r="AE256" t="s">
        <v>557</v>
      </c>
      <c r="AF256">
        <v>1927.3043656110001</v>
      </c>
      <c r="AG256" s="84">
        <f>DATE(YEAR(His53_DataTT[[#This Row],[RptDate]]),MONTH(His53_DataTT[[#This Row],[RptDate]]),1)</f>
        <v>45839</v>
      </c>
      <c r="AO256" s="14"/>
    </row>
    <row r="257" spans="17:41" x14ac:dyDescent="0.3">
      <c r="Q257" s="93">
        <v>46248</v>
      </c>
      <c r="R257" t="s">
        <v>594</v>
      </c>
      <c r="S257" t="s">
        <v>399</v>
      </c>
      <c r="T257" s="14">
        <v>0</v>
      </c>
      <c r="W257" s="20">
        <v>45979</v>
      </c>
      <c r="X257" t="s">
        <v>273</v>
      </c>
      <c r="Y257" s="23">
        <v>6.5875000000000004</v>
      </c>
      <c r="Z257" s="23">
        <v>6.2625000000000002</v>
      </c>
      <c r="AA257" s="23">
        <v>6.4249999999999998</v>
      </c>
      <c r="AC257" s="19"/>
      <c r="AD257" s="20">
        <v>45853</v>
      </c>
      <c r="AE257" t="s">
        <v>479</v>
      </c>
      <c r="AF257">
        <v>3245.6815573650001</v>
      </c>
      <c r="AG257" s="84">
        <f>DATE(YEAR(His53_DataTT[[#This Row],[RptDate]]),MONTH(His53_DataTT[[#This Row],[RptDate]]),1)</f>
        <v>45839</v>
      </c>
      <c r="AO257" s="14"/>
    </row>
    <row r="258" spans="17:41" x14ac:dyDescent="0.3">
      <c r="Q258" s="93">
        <v>46248</v>
      </c>
      <c r="R258" t="s">
        <v>595</v>
      </c>
      <c r="S258" t="s">
        <v>399</v>
      </c>
      <c r="T258" s="14">
        <v>0</v>
      </c>
      <c r="W258" s="20">
        <v>45979</v>
      </c>
      <c r="X258" t="s">
        <v>274</v>
      </c>
      <c r="Y258" s="23">
        <v>6.37692307692308</v>
      </c>
      <c r="Z258" s="23">
        <v>5.9</v>
      </c>
      <c r="AA258" s="23">
        <v>6.1384615384615397</v>
      </c>
      <c r="AC258" s="19"/>
      <c r="AD258" s="20">
        <v>45853</v>
      </c>
      <c r="AE258" t="s">
        <v>557</v>
      </c>
      <c r="AF258">
        <v>2453.6715799530002</v>
      </c>
      <c r="AG258" s="84">
        <f>DATE(YEAR(His53_DataTT[[#This Row],[RptDate]]),MONTH(His53_DataTT[[#This Row],[RptDate]]),1)</f>
        <v>45839</v>
      </c>
      <c r="AO258" s="14"/>
    </row>
    <row r="259" spans="17:41" x14ac:dyDescent="0.3">
      <c r="Q259" s="93">
        <v>46248</v>
      </c>
      <c r="R259" t="s">
        <v>1439</v>
      </c>
      <c r="S259" t="s">
        <v>399</v>
      </c>
      <c r="T259" s="14">
        <v>571.18861665369002</v>
      </c>
      <c r="W259" s="20">
        <v>45979</v>
      </c>
      <c r="X259" t="s">
        <v>275</v>
      </c>
      <c r="Y259" s="23">
        <v>6.4153846153846201</v>
      </c>
      <c r="Z259" s="23">
        <v>5.9384615384615396</v>
      </c>
      <c r="AA259" s="23">
        <v>6.1769230769230798</v>
      </c>
      <c r="AC259" s="19"/>
      <c r="AD259" s="20">
        <v>45854</v>
      </c>
      <c r="AE259" t="s">
        <v>479</v>
      </c>
      <c r="AF259">
        <v>2138.5722210150002</v>
      </c>
      <c r="AG259" s="84">
        <f>DATE(YEAR(His53_DataTT[[#This Row],[RptDate]]),MONTH(His53_DataTT[[#This Row],[RptDate]]),1)</f>
        <v>45839</v>
      </c>
      <c r="AO259" s="14"/>
    </row>
    <row r="260" spans="17:41" x14ac:dyDescent="0.3">
      <c r="Q260" s="93">
        <v>46248</v>
      </c>
      <c r="R260" t="s">
        <v>479</v>
      </c>
      <c r="S260" t="s">
        <v>395</v>
      </c>
      <c r="T260" s="14">
        <v>11832.700999033301</v>
      </c>
      <c r="W260" s="20">
        <v>45979</v>
      </c>
      <c r="X260" t="s">
        <v>276</v>
      </c>
      <c r="Y260" s="23">
        <v>6.4461538461538499</v>
      </c>
      <c r="Z260" s="23">
        <v>5.9692307692307702</v>
      </c>
      <c r="AA260" s="23">
        <v>6.2076923076923096</v>
      </c>
      <c r="AC260" s="19"/>
      <c r="AD260" s="20">
        <v>45854</v>
      </c>
      <c r="AE260" t="s">
        <v>557</v>
      </c>
      <c r="AF260">
        <v>3450.2743138189999</v>
      </c>
      <c r="AG260" s="84">
        <f>DATE(YEAR(His53_DataTT[[#This Row],[RptDate]]),MONTH(His53_DataTT[[#This Row],[RptDate]]),1)</f>
        <v>45839</v>
      </c>
      <c r="AO260" s="14"/>
    </row>
    <row r="261" spans="17:41" x14ac:dyDescent="0.3">
      <c r="Q261" s="93">
        <v>46248</v>
      </c>
      <c r="R261" t="s">
        <v>479</v>
      </c>
      <c r="S261" t="s">
        <v>415</v>
      </c>
      <c r="T261" s="14">
        <v>7.7530036944717899</v>
      </c>
      <c r="W261" s="20">
        <v>45979</v>
      </c>
      <c r="X261" t="s">
        <v>277</v>
      </c>
      <c r="Y261" s="23">
        <v>6.5307692307692298</v>
      </c>
      <c r="Z261" s="23">
        <v>6.0538461538461501</v>
      </c>
      <c r="AA261" s="23">
        <v>6.2923076923076904</v>
      </c>
      <c r="AC261" s="19"/>
      <c r="AD261" s="20">
        <v>45855</v>
      </c>
      <c r="AE261" t="s">
        <v>479</v>
      </c>
      <c r="AF261">
        <v>2294.4605253350001</v>
      </c>
      <c r="AG261" s="84">
        <f>DATE(YEAR(His53_DataTT[[#This Row],[RptDate]]),MONTH(His53_DataTT[[#This Row],[RptDate]]),1)</f>
        <v>45839</v>
      </c>
      <c r="AO261" s="14"/>
    </row>
    <row r="262" spans="17:41" x14ac:dyDescent="0.3">
      <c r="Q262" s="93">
        <v>46248</v>
      </c>
      <c r="R262" t="s">
        <v>364</v>
      </c>
      <c r="S262" t="s">
        <v>415</v>
      </c>
      <c r="T262" s="14">
        <v>7.1466719492868496</v>
      </c>
      <c r="W262" s="20">
        <v>45979</v>
      </c>
      <c r="X262" t="s">
        <v>278</v>
      </c>
      <c r="Y262" s="23">
        <v>6.5461538461538504</v>
      </c>
      <c r="Z262" s="23">
        <v>6.0692307692307699</v>
      </c>
      <c r="AA262" s="23">
        <v>6.3076923076923102</v>
      </c>
      <c r="AC262" s="19"/>
      <c r="AD262" s="20">
        <v>45855</v>
      </c>
      <c r="AE262" t="s">
        <v>557</v>
      </c>
      <c r="AF262">
        <v>3281.2970597859999</v>
      </c>
      <c r="AG262" s="84">
        <f>DATE(YEAR(His53_DataTT[[#This Row],[RptDate]]),MONTH(His53_DataTT[[#This Row],[RptDate]]),1)</f>
        <v>45839</v>
      </c>
      <c r="AO262" s="14"/>
    </row>
    <row r="263" spans="17:41" x14ac:dyDescent="0.3">
      <c r="Q263" s="93">
        <v>46248</v>
      </c>
      <c r="R263" t="s">
        <v>516</v>
      </c>
      <c r="S263" t="s">
        <v>415</v>
      </c>
      <c r="T263" s="14">
        <v>7.3255000511692101</v>
      </c>
      <c r="W263" s="20">
        <v>45979</v>
      </c>
      <c r="X263" t="s">
        <v>279</v>
      </c>
      <c r="Y263" s="23">
        <v>6.5923076923076902</v>
      </c>
      <c r="Z263" s="23">
        <v>6.1153846153846096</v>
      </c>
      <c r="AA263" s="23">
        <v>6.3538461538461499</v>
      </c>
      <c r="AC263" s="19"/>
      <c r="AD263" s="20">
        <v>45856</v>
      </c>
      <c r="AE263" t="s">
        <v>479</v>
      </c>
      <c r="AF263">
        <v>1531.277248244</v>
      </c>
      <c r="AG263" s="84">
        <f>DATE(YEAR(His53_DataTT[[#This Row],[RptDate]]),MONTH(His53_DataTT[[#This Row],[RptDate]]),1)</f>
        <v>45839</v>
      </c>
      <c r="AO263" s="14"/>
    </row>
    <row r="264" spans="17:41" x14ac:dyDescent="0.3">
      <c r="Q264" s="93">
        <v>46248</v>
      </c>
      <c r="R264" t="s">
        <v>1288</v>
      </c>
      <c r="S264" t="s">
        <v>415</v>
      </c>
      <c r="T264" s="14">
        <v>7.7530036944717899</v>
      </c>
      <c r="W264" s="20">
        <v>45979</v>
      </c>
      <c r="X264" t="s">
        <v>280</v>
      </c>
      <c r="Y264" s="23">
        <v>6.6384615384615397</v>
      </c>
      <c r="Z264" s="23">
        <v>6.1615384615384601</v>
      </c>
      <c r="AA264" s="23">
        <v>6.4</v>
      </c>
      <c r="AC264" s="19"/>
      <c r="AD264" s="20">
        <v>45856</v>
      </c>
      <c r="AE264" t="s">
        <v>557</v>
      </c>
      <c r="AF264">
        <v>2898.7530901710002</v>
      </c>
      <c r="AG264" s="84">
        <f>DATE(YEAR(His53_DataTT[[#This Row],[RptDate]]),MONTH(His53_DataTT[[#This Row],[RptDate]]),1)</f>
        <v>45839</v>
      </c>
      <c r="AO264" s="14"/>
    </row>
    <row r="265" spans="17:41" x14ac:dyDescent="0.3">
      <c r="Q265" s="93">
        <v>46248</v>
      </c>
      <c r="R265" t="s">
        <v>496</v>
      </c>
      <c r="S265" t="s">
        <v>415</v>
      </c>
      <c r="T265" s="14">
        <v>6.8652273273995696</v>
      </c>
      <c r="W265" s="20">
        <v>45979</v>
      </c>
      <c r="X265" t="s">
        <v>281</v>
      </c>
      <c r="Y265" s="23">
        <v>6.6653846153846201</v>
      </c>
      <c r="Z265" s="23">
        <v>6.1884615384615396</v>
      </c>
      <c r="AA265" s="23">
        <v>6.4269230769230798</v>
      </c>
      <c r="AC265" s="19"/>
      <c r="AD265" s="20">
        <v>45859</v>
      </c>
      <c r="AE265" t="s">
        <v>479</v>
      </c>
      <c r="AF265">
        <v>3604.7603726269999</v>
      </c>
      <c r="AG265" s="84">
        <f>DATE(YEAR(His53_DataTT[[#This Row],[RptDate]]),MONTH(His53_DataTT[[#This Row],[RptDate]]),1)</f>
        <v>45839</v>
      </c>
      <c r="AO265" s="14"/>
    </row>
    <row r="266" spans="17:41" x14ac:dyDescent="0.3">
      <c r="Q266" s="93">
        <v>46248</v>
      </c>
      <c r="R266" t="s">
        <v>1290</v>
      </c>
      <c r="S266" t="s">
        <v>415</v>
      </c>
      <c r="T266" s="14">
        <v>7.2580617591782</v>
      </c>
      <c r="W266" s="20">
        <v>45980</v>
      </c>
      <c r="X266" t="s">
        <v>270</v>
      </c>
      <c r="Y266" s="23">
        <v>6.1857142857142904</v>
      </c>
      <c r="Z266" s="23">
        <v>5.7</v>
      </c>
      <c r="AA266" s="23">
        <v>5.9428571428571404</v>
      </c>
      <c r="AC266" s="19"/>
      <c r="AD266" s="20">
        <v>45859</v>
      </c>
      <c r="AE266" t="s">
        <v>557</v>
      </c>
      <c r="AF266">
        <v>3127.3372801579999</v>
      </c>
      <c r="AG266" s="84">
        <f>DATE(YEAR(His53_DataTT[[#This Row],[RptDate]]),MONTH(His53_DataTT[[#This Row],[RptDate]]),1)</f>
        <v>45839</v>
      </c>
      <c r="AO266" s="14"/>
    </row>
    <row r="267" spans="17:41" x14ac:dyDescent="0.3">
      <c r="Q267" s="93">
        <v>46248</v>
      </c>
      <c r="R267" t="s">
        <v>364</v>
      </c>
      <c r="S267" t="s">
        <v>997</v>
      </c>
      <c r="T267" s="14">
        <v>31550</v>
      </c>
      <c r="W267" s="20">
        <v>45980</v>
      </c>
      <c r="X267" t="s">
        <v>271</v>
      </c>
      <c r="Y267" s="23">
        <v>6.1307692307692303</v>
      </c>
      <c r="Z267" s="23">
        <v>5.6538461538461604</v>
      </c>
      <c r="AA267" s="23">
        <v>5.89230769230769</v>
      </c>
      <c r="AC267" s="19"/>
      <c r="AD267" s="20">
        <v>45860</v>
      </c>
      <c r="AE267" t="s">
        <v>479</v>
      </c>
      <c r="AF267">
        <v>840.86689007799998</v>
      </c>
      <c r="AG267" s="84">
        <f>DATE(YEAR(His53_DataTT[[#This Row],[RptDate]]),MONTH(His53_DataTT[[#This Row],[RptDate]]),1)</f>
        <v>45839</v>
      </c>
      <c r="AO267" s="14"/>
    </row>
    <row r="268" spans="17:41" x14ac:dyDescent="0.3">
      <c r="Q268" s="93">
        <v>46248</v>
      </c>
      <c r="R268" t="s">
        <v>496</v>
      </c>
      <c r="S268" t="s">
        <v>997</v>
      </c>
      <c r="T268" s="14">
        <v>16628</v>
      </c>
      <c r="W268" s="20">
        <v>45980</v>
      </c>
      <c r="X268" t="s">
        <v>272</v>
      </c>
      <c r="Y268" s="23">
        <v>6.2769230769230804</v>
      </c>
      <c r="Z268" s="23">
        <v>5.8307692307692296</v>
      </c>
      <c r="AA268" s="23">
        <v>6.0538461538461501</v>
      </c>
      <c r="AC268" s="19"/>
      <c r="AD268" s="20">
        <v>45860</v>
      </c>
      <c r="AE268" t="s">
        <v>557</v>
      </c>
      <c r="AF268">
        <v>7368.4938355479999</v>
      </c>
      <c r="AG268" s="84">
        <f>DATE(YEAR(His53_DataTT[[#This Row],[RptDate]]),MONTH(His53_DataTT[[#This Row],[RptDate]]),1)</f>
        <v>45839</v>
      </c>
      <c r="AO268" s="14"/>
    </row>
    <row r="269" spans="17:41" x14ac:dyDescent="0.3">
      <c r="Q269" s="93">
        <v>46248</v>
      </c>
      <c r="R269" t="s">
        <v>1388</v>
      </c>
      <c r="S269" t="s">
        <v>997</v>
      </c>
      <c r="T269" s="14">
        <v>13197.6106</v>
      </c>
      <c r="W269" s="20">
        <v>45980</v>
      </c>
      <c r="X269" t="s">
        <v>273</v>
      </c>
      <c r="Y269" s="23">
        <v>6.5875000000000004</v>
      </c>
      <c r="Z269" s="23">
        <v>6.2625000000000002</v>
      </c>
      <c r="AA269" s="23">
        <v>6.4249999999999998</v>
      </c>
      <c r="AC269" s="19"/>
      <c r="AD269" s="20">
        <v>45861</v>
      </c>
      <c r="AE269" t="s">
        <v>479</v>
      </c>
      <c r="AF269">
        <v>1243.2421991480001</v>
      </c>
      <c r="AG269" s="84">
        <f>DATE(YEAR(His53_DataTT[[#This Row],[RptDate]]),MONTH(His53_DataTT[[#This Row],[RptDate]]),1)</f>
        <v>45839</v>
      </c>
      <c r="AO269" s="14"/>
    </row>
    <row r="270" spans="17:41" x14ac:dyDescent="0.3">
      <c r="Q270" s="93">
        <v>46248</v>
      </c>
      <c r="R270" t="s">
        <v>1389</v>
      </c>
      <c r="S270" t="s">
        <v>997</v>
      </c>
      <c r="T270" s="14">
        <v>12800</v>
      </c>
      <c r="W270" s="20">
        <v>45980</v>
      </c>
      <c r="X270" t="s">
        <v>274</v>
      </c>
      <c r="Y270" s="23">
        <v>6.37692307692308</v>
      </c>
      <c r="Z270" s="23">
        <v>5.9</v>
      </c>
      <c r="AA270" s="23">
        <v>6.1384615384615397</v>
      </c>
      <c r="AC270" s="19"/>
      <c r="AD270" s="20">
        <v>45861</v>
      </c>
      <c r="AE270" t="s">
        <v>557</v>
      </c>
      <c r="AF270">
        <v>3218.1568900910002</v>
      </c>
      <c r="AG270" s="84">
        <f>DATE(YEAR(His53_DataTT[[#This Row],[RptDate]]),MONTH(His53_DataTT[[#This Row],[RptDate]]),1)</f>
        <v>45839</v>
      </c>
      <c r="AO270" s="14"/>
    </row>
    <row r="271" spans="17:41" x14ac:dyDescent="0.3">
      <c r="Q271" s="93">
        <v>46248</v>
      </c>
      <c r="R271" t="s">
        <v>1390</v>
      </c>
      <c r="S271" t="s">
        <v>997</v>
      </c>
      <c r="T271" s="14">
        <v>397.61059999999998</v>
      </c>
      <c r="W271" s="20">
        <v>45980</v>
      </c>
      <c r="X271" t="s">
        <v>275</v>
      </c>
      <c r="Y271" s="23">
        <v>6.4153846153846201</v>
      </c>
      <c r="Z271" s="23">
        <v>5.9384615384615396</v>
      </c>
      <c r="AA271" s="23">
        <v>6.1769230769230798</v>
      </c>
      <c r="AC271" s="19"/>
      <c r="AD271" s="20">
        <v>45862</v>
      </c>
      <c r="AE271" t="s">
        <v>479</v>
      </c>
      <c r="AF271">
        <v>1872.5973890939999</v>
      </c>
      <c r="AG271" s="84">
        <f>DATE(YEAR(His53_DataTT[[#This Row],[RptDate]]),MONTH(His53_DataTT[[#This Row],[RptDate]]),1)</f>
        <v>45839</v>
      </c>
      <c r="AO271" s="14"/>
    </row>
    <row r="272" spans="17:41" x14ac:dyDescent="0.3">
      <c r="Q272" s="93">
        <v>46247</v>
      </c>
      <c r="R272" t="s">
        <v>479</v>
      </c>
      <c r="S272" t="s">
        <v>399</v>
      </c>
      <c r="T272" s="14">
        <v>10767.414701666999</v>
      </c>
      <c r="W272" s="20">
        <v>45980</v>
      </c>
      <c r="X272" t="s">
        <v>276</v>
      </c>
      <c r="Y272" s="23">
        <v>6.4461538461538499</v>
      </c>
      <c r="Z272" s="23">
        <v>5.9692307692307702</v>
      </c>
      <c r="AA272" s="23">
        <v>6.2076923076923096</v>
      </c>
      <c r="AC272" s="19"/>
      <c r="AD272" s="20">
        <v>45862</v>
      </c>
      <c r="AE272" t="s">
        <v>557</v>
      </c>
      <c r="AF272">
        <v>2946.5590361640002</v>
      </c>
      <c r="AG272" s="84">
        <f>DATE(YEAR(His53_DataTT[[#This Row],[RptDate]]),MONTH(His53_DataTT[[#This Row],[RptDate]]),1)</f>
        <v>45839</v>
      </c>
      <c r="AO272" s="14"/>
    </row>
    <row r="273" spans="17:41" x14ac:dyDescent="0.3">
      <c r="Q273" s="93">
        <v>46247</v>
      </c>
      <c r="R273" t="s">
        <v>364</v>
      </c>
      <c r="S273" t="s">
        <v>399</v>
      </c>
      <c r="T273" s="14">
        <v>26650</v>
      </c>
      <c r="W273" s="20">
        <v>45980</v>
      </c>
      <c r="X273" t="s">
        <v>277</v>
      </c>
      <c r="Y273" s="23">
        <v>6.5307692307692298</v>
      </c>
      <c r="Z273" s="23">
        <v>6.0538461538461501</v>
      </c>
      <c r="AA273" s="23">
        <v>6.2923076923076904</v>
      </c>
      <c r="AC273" s="19"/>
      <c r="AD273" s="20">
        <v>45863</v>
      </c>
      <c r="AE273" t="s">
        <v>479</v>
      </c>
      <c r="AF273">
        <v>2209.584223849</v>
      </c>
      <c r="AG273" s="84">
        <f>DATE(YEAR(His53_DataTT[[#This Row],[RptDate]]),MONTH(His53_DataTT[[#This Row],[RptDate]]),1)</f>
        <v>45839</v>
      </c>
      <c r="AO273" s="14"/>
    </row>
    <row r="274" spans="17:41" x14ac:dyDescent="0.3">
      <c r="Q274" s="93">
        <v>46247</v>
      </c>
      <c r="R274" t="s">
        <v>491</v>
      </c>
      <c r="S274" t="s">
        <v>399</v>
      </c>
      <c r="T274" s="14">
        <v>397.61059999999998</v>
      </c>
      <c r="W274" s="20">
        <v>45980</v>
      </c>
      <c r="X274" t="s">
        <v>278</v>
      </c>
      <c r="Y274" s="23">
        <v>6.5461538461538504</v>
      </c>
      <c r="Z274" s="23">
        <v>6.0692307692307699</v>
      </c>
      <c r="AA274" s="23">
        <v>6.3076923076923102</v>
      </c>
      <c r="AC274" s="19"/>
      <c r="AD274" s="20">
        <v>45863</v>
      </c>
      <c r="AE274" t="s">
        <v>557</v>
      </c>
      <c r="AF274">
        <v>2644.801263202</v>
      </c>
      <c r="AG274" s="84">
        <f>DATE(YEAR(His53_DataTT[[#This Row],[RptDate]]),MONTH(His53_DataTT[[#This Row],[RptDate]]),1)</f>
        <v>45839</v>
      </c>
      <c r="AO274" s="14"/>
    </row>
    <row r="275" spans="17:41" x14ac:dyDescent="0.3">
      <c r="Q275" s="93">
        <v>46247</v>
      </c>
      <c r="R275" t="s">
        <v>492</v>
      </c>
      <c r="S275" t="s">
        <v>399</v>
      </c>
      <c r="T275" s="14">
        <v>9800</v>
      </c>
      <c r="W275" s="20">
        <v>45980</v>
      </c>
      <c r="X275" t="s">
        <v>279</v>
      </c>
      <c r="Y275" s="23">
        <v>6.5923076923076902</v>
      </c>
      <c r="Z275" s="23">
        <v>6.1153846153846096</v>
      </c>
      <c r="AA275" s="23">
        <v>6.3538461538461499</v>
      </c>
      <c r="AC275" s="19"/>
      <c r="AD275" s="20">
        <v>45866</v>
      </c>
      <c r="AE275" t="s">
        <v>479</v>
      </c>
      <c r="AF275">
        <v>3214.3498156330002</v>
      </c>
      <c r="AG275" s="84">
        <f>DATE(YEAR(His53_DataTT[[#This Row],[RptDate]]),MONTH(His53_DataTT[[#This Row],[RptDate]]),1)</f>
        <v>45839</v>
      </c>
      <c r="AO275" s="14"/>
    </row>
    <row r="276" spans="17:41" x14ac:dyDescent="0.3">
      <c r="Q276" s="93">
        <v>46247</v>
      </c>
      <c r="R276" t="s">
        <v>1438</v>
      </c>
      <c r="S276" t="s">
        <v>399</v>
      </c>
      <c r="T276" s="14">
        <v>569.80410166700995</v>
      </c>
      <c r="W276" s="20">
        <v>45980</v>
      </c>
      <c r="X276" t="s">
        <v>280</v>
      </c>
      <c r="Y276" s="23">
        <v>6.6384615384615397</v>
      </c>
      <c r="Z276" s="23">
        <v>6.1615384615384601</v>
      </c>
      <c r="AA276" s="23">
        <v>6.4</v>
      </c>
      <c r="AC276" s="19"/>
      <c r="AD276" s="20">
        <v>45866</v>
      </c>
      <c r="AE276" t="s">
        <v>557</v>
      </c>
      <c r="AF276">
        <v>1671.559482824</v>
      </c>
      <c r="AG276" s="84">
        <f>DATE(YEAR(His53_DataTT[[#This Row],[RptDate]]),MONTH(His53_DataTT[[#This Row],[RptDate]]),1)</f>
        <v>45839</v>
      </c>
      <c r="AO276" s="14"/>
    </row>
    <row r="277" spans="17:41" x14ac:dyDescent="0.3">
      <c r="Q277" s="93">
        <v>46247</v>
      </c>
      <c r="R277" t="s">
        <v>496</v>
      </c>
      <c r="S277" t="s">
        <v>399</v>
      </c>
      <c r="T277" s="14">
        <v>13652</v>
      </c>
      <c r="W277" s="20">
        <v>45980</v>
      </c>
      <c r="X277" t="s">
        <v>281</v>
      </c>
      <c r="Y277" s="23">
        <v>6.6653846153846201</v>
      </c>
      <c r="Z277" s="23">
        <v>6.1884615384615396</v>
      </c>
      <c r="AA277" s="23">
        <v>6.4269230769230798</v>
      </c>
      <c r="AC277" s="19"/>
      <c r="AD277" s="20">
        <v>45867</v>
      </c>
      <c r="AE277" t="s">
        <v>479</v>
      </c>
      <c r="AF277">
        <v>4964.8260546660003</v>
      </c>
      <c r="AG277" s="84">
        <f>DATE(YEAR(His53_DataTT[[#This Row],[RptDate]]),MONTH(His53_DataTT[[#This Row],[RptDate]]),1)</f>
        <v>45839</v>
      </c>
      <c r="AO277" s="14"/>
    </row>
    <row r="278" spans="17:41" x14ac:dyDescent="0.3">
      <c r="Q278" s="93">
        <v>46247</v>
      </c>
      <c r="R278" t="s">
        <v>497</v>
      </c>
      <c r="S278" t="s">
        <v>399</v>
      </c>
      <c r="T278" s="14">
        <v>397.61059999999998</v>
      </c>
      <c r="W278" s="20">
        <v>45981</v>
      </c>
      <c r="X278" t="s">
        <v>270</v>
      </c>
      <c r="Y278" s="23">
        <v>6.2</v>
      </c>
      <c r="Z278" s="23">
        <v>5.71428571428571</v>
      </c>
      <c r="AA278" s="23">
        <v>5.95714285714286</v>
      </c>
      <c r="AC278" s="19"/>
      <c r="AD278" s="20">
        <v>45867</v>
      </c>
      <c r="AE278" t="s">
        <v>557</v>
      </c>
      <c r="AF278">
        <v>2057.3061866100002</v>
      </c>
      <c r="AG278" s="84">
        <f>DATE(YEAR(His53_DataTT[[#This Row],[RptDate]]),MONTH(His53_DataTT[[#This Row],[RptDate]]),1)</f>
        <v>45839</v>
      </c>
      <c r="AO278" s="14"/>
    </row>
    <row r="279" spans="17:41" x14ac:dyDescent="0.3">
      <c r="Q279" s="93">
        <v>46247</v>
      </c>
      <c r="R279" t="s">
        <v>498</v>
      </c>
      <c r="S279" t="s">
        <v>399</v>
      </c>
      <c r="T279" s="14">
        <v>9800</v>
      </c>
      <c r="W279" s="20">
        <v>45981</v>
      </c>
      <c r="X279" t="s">
        <v>271</v>
      </c>
      <c r="Y279" s="23">
        <v>6.1307692307692303</v>
      </c>
      <c r="Z279" s="23">
        <v>5.6538461538461604</v>
      </c>
      <c r="AA279" s="23">
        <v>5.89230769230769</v>
      </c>
      <c r="AC279" s="19"/>
      <c r="AD279" s="20">
        <v>45868</v>
      </c>
      <c r="AE279" t="s">
        <v>479</v>
      </c>
      <c r="AF279">
        <v>1632.3136566759999</v>
      </c>
      <c r="AG279" s="84">
        <f>DATE(YEAR(His53_DataTT[[#This Row],[RptDate]]),MONTH(His53_DataTT[[#This Row],[RptDate]]),1)</f>
        <v>45839</v>
      </c>
      <c r="AO279" s="14"/>
    </row>
    <row r="280" spans="17:41" x14ac:dyDescent="0.3">
      <c r="Q280" s="93">
        <v>46247</v>
      </c>
      <c r="R280" t="s">
        <v>494</v>
      </c>
      <c r="S280" t="s">
        <v>399</v>
      </c>
      <c r="T280" s="14">
        <v>0</v>
      </c>
      <c r="W280" s="20">
        <v>45981</v>
      </c>
      <c r="X280" t="s">
        <v>272</v>
      </c>
      <c r="Y280" s="23">
        <v>6.2769230769230804</v>
      </c>
      <c r="Z280" s="23">
        <v>5.8307692307692296</v>
      </c>
      <c r="AA280" s="23">
        <v>6.0538461538461501</v>
      </c>
      <c r="AC280" s="19"/>
      <c r="AD280" s="20">
        <v>45868</v>
      </c>
      <c r="AE280" t="s">
        <v>557</v>
      </c>
      <c r="AF280">
        <v>5056.8689181170002</v>
      </c>
      <c r="AG280" s="84">
        <f>DATE(YEAR(His53_DataTT[[#This Row],[RptDate]]),MONTH(His53_DataTT[[#This Row],[RptDate]]),1)</f>
        <v>45839</v>
      </c>
      <c r="AO280" s="14"/>
    </row>
    <row r="281" spans="17:41" x14ac:dyDescent="0.3">
      <c r="Q281" s="93">
        <v>46247</v>
      </c>
      <c r="R281" t="s">
        <v>495</v>
      </c>
      <c r="S281" t="s">
        <v>399</v>
      </c>
      <c r="T281" s="14">
        <v>0</v>
      </c>
      <c r="W281" s="20">
        <v>45981</v>
      </c>
      <c r="X281" t="s">
        <v>273</v>
      </c>
      <c r="Y281" s="23">
        <v>6.5875000000000004</v>
      </c>
      <c r="Z281" s="23">
        <v>6.2625000000000002</v>
      </c>
      <c r="AA281" s="23">
        <v>6.4249999999999998</v>
      </c>
      <c r="AC281" s="19"/>
      <c r="AD281" s="20">
        <v>45869</v>
      </c>
      <c r="AE281" t="s">
        <v>479</v>
      </c>
      <c r="AF281">
        <v>3070.7001735650001</v>
      </c>
      <c r="AG281" s="84">
        <f>DATE(YEAR(His53_DataTT[[#This Row],[RptDate]]),MONTH(His53_DataTT[[#This Row],[RptDate]]),1)</f>
        <v>45839</v>
      </c>
      <c r="AO281" s="14"/>
    </row>
    <row r="282" spans="17:41" x14ac:dyDescent="0.3">
      <c r="Q282" s="93">
        <v>46247</v>
      </c>
      <c r="R282" t="s">
        <v>493</v>
      </c>
      <c r="S282" t="s">
        <v>399</v>
      </c>
      <c r="T282" s="14">
        <v>0</v>
      </c>
      <c r="W282" s="20">
        <v>45981</v>
      </c>
      <c r="X282" t="s">
        <v>274</v>
      </c>
      <c r="Y282" s="23">
        <v>6.37692307692308</v>
      </c>
      <c r="Z282" s="23">
        <v>5.9</v>
      </c>
      <c r="AA282" s="23">
        <v>6.1384615384615397</v>
      </c>
      <c r="AC282" s="19"/>
      <c r="AD282" s="20">
        <v>45869</v>
      </c>
      <c r="AE282" t="s">
        <v>557</v>
      </c>
      <c r="AF282">
        <v>2172.434268257</v>
      </c>
      <c r="AG282" s="84">
        <f>DATE(YEAR(His53_DataTT[[#This Row],[RptDate]]),MONTH(His53_DataTT[[#This Row],[RptDate]]),1)</f>
        <v>45839</v>
      </c>
      <c r="AO282" s="14"/>
    </row>
    <row r="283" spans="17:41" x14ac:dyDescent="0.3">
      <c r="Q283" s="93">
        <v>46247</v>
      </c>
      <c r="R283" t="s">
        <v>593</v>
      </c>
      <c r="S283" t="s">
        <v>399</v>
      </c>
      <c r="T283" s="14">
        <v>12998</v>
      </c>
      <c r="W283" s="20">
        <v>45981</v>
      </c>
      <c r="X283" t="s">
        <v>275</v>
      </c>
      <c r="Y283" s="23">
        <v>6.4153846153846201</v>
      </c>
      <c r="Z283" s="23">
        <v>5.9384615384615396</v>
      </c>
      <c r="AA283" s="23">
        <v>6.1769230769230798</v>
      </c>
      <c r="AC283" s="19"/>
      <c r="AD283" s="20">
        <v>45870</v>
      </c>
      <c r="AE283" t="s">
        <v>479</v>
      </c>
      <c r="AF283">
        <v>3503.5435727240001</v>
      </c>
      <c r="AG283" s="84">
        <f>DATE(YEAR(His53_DataTT[[#This Row],[RptDate]]),MONTH(His53_DataTT[[#This Row],[RptDate]]),1)</f>
        <v>45870</v>
      </c>
      <c r="AO283" s="14"/>
    </row>
    <row r="284" spans="17:41" x14ac:dyDescent="0.3">
      <c r="Q284" s="93">
        <v>46247</v>
      </c>
      <c r="R284" t="s">
        <v>594</v>
      </c>
      <c r="S284" t="s">
        <v>399</v>
      </c>
      <c r="T284" s="14">
        <v>0</v>
      </c>
      <c r="W284" s="20">
        <v>45981</v>
      </c>
      <c r="X284" t="s">
        <v>276</v>
      </c>
      <c r="Y284" s="23">
        <v>6.4461538461538499</v>
      </c>
      <c r="Z284" s="23">
        <v>5.9692307692307702</v>
      </c>
      <c r="AA284" s="23">
        <v>6.2076923076923096</v>
      </c>
      <c r="AC284" s="19"/>
      <c r="AD284" s="20">
        <v>45870</v>
      </c>
      <c r="AE284" t="s">
        <v>557</v>
      </c>
      <c r="AF284">
        <v>2204.3452397470001</v>
      </c>
      <c r="AG284" s="84">
        <f>DATE(YEAR(His53_DataTT[[#This Row],[RptDate]]),MONTH(His53_DataTT[[#This Row],[RptDate]]),1)</f>
        <v>45870</v>
      </c>
      <c r="AO284" s="14"/>
    </row>
    <row r="285" spans="17:41" x14ac:dyDescent="0.3">
      <c r="Q285" s="93">
        <v>46247</v>
      </c>
      <c r="R285" t="s">
        <v>595</v>
      </c>
      <c r="S285" t="s">
        <v>399</v>
      </c>
      <c r="T285" s="14">
        <v>0</v>
      </c>
      <c r="W285" s="20">
        <v>45981</v>
      </c>
      <c r="X285" t="s">
        <v>277</v>
      </c>
      <c r="Y285" s="23">
        <v>6.5307692307692298</v>
      </c>
      <c r="Z285" s="23">
        <v>6.0538461538461501</v>
      </c>
      <c r="AA285" s="23">
        <v>6.2923076923076904</v>
      </c>
      <c r="AC285" s="19"/>
      <c r="AD285" s="20">
        <v>45873</v>
      </c>
      <c r="AE285" t="s">
        <v>479</v>
      </c>
      <c r="AF285">
        <v>3537.0523182900001</v>
      </c>
      <c r="AG285" s="84">
        <f>DATE(YEAR(His53_DataTT[[#This Row],[RptDate]]),MONTH(His53_DataTT[[#This Row],[RptDate]]),1)</f>
        <v>45870</v>
      </c>
      <c r="AO285" s="14"/>
    </row>
    <row r="286" spans="17:41" x14ac:dyDescent="0.3">
      <c r="Q286" s="93">
        <v>46247</v>
      </c>
      <c r="R286" t="s">
        <v>1439</v>
      </c>
      <c r="S286" t="s">
        <v>399</v>
      </c>
      <c r="T286" s="14">
        <v>569.80410166700995</v>
      </c>
      <c r="W286" s="20">
        <v>45981</v>
      </c>
      <c r="X286" t="s">
        <v>278</v>
      </c>
      <c r="Y286" s="23">
        <v>6.5461538461538504</v>
      </c>
      <c r="Z286" s="23">
        <v>6.0692307692307699</v>
      </c>
      <c r="AA286" s="23">
        <v>6.3076923076923102</v>
      </c>
      <c r="AC286" s="19"/>
      <c r="AD286" s="20">
        <v>45873</v>
      </c>
      <c r="AE286" t="s">
        <v>557</v>
      </c>
      <c r="AF286">
        <v>1225.0288213169999</v>
      </c>
      <c r="AG286" s="84">
        <f>DATE(YEAR(His53_DataTT[[#This Row],[RptDate]]),MONTH(His53_DataTT[[#This Row],[RptDate]]),1)</f>
        <v>45870</v>
      </c>
      <c r="AO286" s="14"/>
    </row>
    <row r="287" spans="17:41" x14ac:dyDescent="0.3">
      <c r="Q287" s="93">
        <v>46247</v>
      </c>
      <c r="R287" t="s">
        <v>479</v>
      </c>
      <c r="S287" t="s">
        <v>395</v>
      </c>
      <c r="T287" s="14">
        <v>11829.0707138213</v>
      </c>
      <c r="W287" s="20">
        <v>45981</v>
      </c>
      <c r="X287" t="s">
        <v>279</v>
      </c>
      <c r="Y287" s="23">
        <v>6.5923076923076902</v>
      </c>
      <c r="Z287" s="23">
        <v>6.1153846153846096</v>
      </c>
      <c r="AA287" s="23">
        <v>6.3538461538461499</v>
      </c>
      <c r="AC287" s="19"/>
      <c r="AD287" s="20">
        <v>45874</v>
      </c>
      <c r="AE287" t="s">
        <v>479</v>
      </c>
      <c r="AF287">
        <v>2349.4731619230001</v>
      </c>
      <c r="AG287" s="84">
        <f>DATE(YEAR(His53_DataTT[[#This Row],[RptDate]]),MONTH(His53_DataTT[[#This Row],[RptDate]]),1)</f>
        <v>45870</v>
      </c>
      <c r="AO287" s="14"/>
    </row>
    <row r="288" spans="17:41" x14ac:dyDescent="0.3">
      <c r="Q288" s="93">
        <v>46247</v>
      </c>
      <c r="R288" t="s">
        <v>479</v>
      </c>
      <c r="S288" t="s">
        <v>415</v>
      </c>
      <c r="T288" s="14">
        <v>7.7530036944717899</v>
      </c>
      <c r="W288" s="20">
        <v>45981</v>
      </c>
      <c r="X288" t="s">
        <v>280</v>
      </c>
      <c r="Y288" s="23">
        <v>6.6384615384615397</v>
      </c>
      <c r="Z288" s="23">
        <v>6.1615384615384601</v>
      </c>
      <c r="AA288" s="23">
        <v>6.4</v>
      </c>
      <c r="AC288" s="19"/>
      <c r="AD288" s="20">
        <v>45874</v>
      </c>
      <c r="AE288" t="s">
        <v>557</v>
      </c>
      <c r="AF288">
        <v>2094.6675926839998</v>
      </c>
      <c r="AG288" s="84">
        <f>DATE(YEAR(His53_DataTT[[#This Row],[RptDate]]),MONTH(His53_DataTT[[#This Row],[RptDate]]),1)</f>
        <v>45870</v>
      </c>
      <c r="AO288" s="14"/>
    </row>
    <row r="289" spans="17:41" x14ac:dyDescent="0.3">
      <c r="Q289" s="93">
        <v>46247</v>
      </c>
      <c r="R289" t="s">
        <v>364</v>
      </c>
      <c r="S289" t="s">
        <v>415</v>
      </c>
      <c r="T289" s="14">
        <v>7.0533167495854103</v>
      </c>
      <c r="W289" s="20">
        <v>45981</v>
      </c>
      <c r="X289" t="s">
        <v>281</v>
      </c>
      <c r="Y289" s="23">
        <v>6.6653846153846201</v>
      </c>
      <c r="Z289" s="23">
        <v>6.1884615384615396</v>
      </c>
      <c r="AA289" s="23">
        <v>6.4269230769230798</v>
      </c>
      <c r="AC289" s="19"/>
      <c r="AD289" s="20">
        <v>45875</v>
      </c>
      <c r="AE289" t="s">
        <v>479</v>
      </c>
      <c r="AF289">
        <v>3737.2595170210002</v>
      </c>
      <c r="AG289" s="84">
        <f>DATE(YEAR(His53_DataTT[[#This Row],[RptDate]]),MONTH(His53_DataTT[[#This Row],[RptDate]]),1)</f>
        <v>45870</v>
      </c>
      <c r="AO289" s="14"/>
    </row>
    <row r="290" spans="17:41" x14ac:dyDescent="0.3">
      <c r="Q290" s="93">
        <v>46247</v>
      </c>
      <c r="R290" t="s">
        <v>516</v>
      </c>
      <c r="S290" t="s">
        <v>415</v>
      </c>
      <c r="T290" s="14">
        <v>7.2663433896400296</v>
      </c>
      <c r="W290" s="20">
        <v>45982</v>
      </c>
      <c r="X290" t="s">
        <v>270</v>
      </c>
      <c r="Y290" s="23">
        <v>6.2714285714285696</v>
      </c>
      <c r="Z290" s="23">
        <v>5.7857142857142803</v>
      </c>
      <c r="AA290" s="23">
        <v>6.0285714285714302</v>
      </c>
      <c r="AC290" s="19"/>
      <c r="AD290" s="20">
        <v>45875</v>
      </c>
      <c r="AE290" t="s">
        <v>557</v>
      </c>
      <c r="AF290">
        <v>3597.582524032</v>
      </c>
      <c r="AG290" s="84">
        <f>DATE(YEAR(His53_DataTT[[#This Row],[RptDate]]),MONTH(His53_DataTT[[#This Row],[RptDate]]),1)</f>
        <v>45870</v>
      </c>
      <c r="AO290" s="14"/>
    </row>
    <row r="291" spans="17:41" x14ac:dyDescent="0.3">
      <c r="Q291" s="93">
        <v>46247</v>
      </c>
      <c r="R291" t="s">
        <v>1288</v>
      </c>
      <c r="S291" t="s">
        <v>415</v>
      </c>
      <c r="T291" s="14">
        <v>7.7530036944717899</v>
      </c>
      <c r="W291" s="20">
        <v>45982</v>
      </c>
      <c r="X291" t="s">
        <v>271</v>
      </c>
      <c r="Y291" s="23">
        <v>6.1769230769230798</v>
      </c>
      <c r="Z291" s="23">
        <v>5.7</v>
      </c>
      <c r="AA291" s="23">
        <v>5.9384615384615396</v>
      </c>
      <c r="AC291" s="19"/>
      <c r="AD291" s="20">
        <v>45876</v>
      </c>
      <c r="AE291" t="s">
        <v>479</v>
      </c>
      <c r="AF291">
        <v>922.14645003099997</v>
      </c>
      <c r="AG291" s="84">
        <f>DATE(YEAR(His53_DataTT[[#This Row],[RptDate]]),MONTH(His53_DataTT[[#This Row],[RptDate]]),1)</f>
        <v>45870</v>
      </c>
      <c r="AO291" s="14"/>
    </row>
    <row r="292" spans="17:41" x14ac:dyDescent="0.3">
      <c r="Q292" s="93">
        <v>46247</v>
      </c>
      <c r="R292" t="s">
        <v>496</v>
      </c>
      <c r="S292" t="s">
        <v>415</v>
      </c>
      <c r="T292" s="14">
        <v>6.77396222014925</v>
      </c>
      <c r="W292" s="20">
        <v>45982</v>
      </c>
      <c r="X292" t="s">
        <v>272</v>
      </c>
      <c r="Y292" s="23">
        <v>6.3307692307692296</v>
      </c>
      <c r="Z292" s="23">
        <v>5.8846153846153904</v>
      </c>
      <c r="AA292" s="23">
        <v>6.10769230769231</v>
      </c>
      <c r="AC292" s="19"/>
      <c r="AD292" s="20">
        <v>45876</v>
      </c>
      <c r="AE292" t="s">
        <v>557</v>
      </c>
      <c r="AF292">
        <v>1680.2728724010001</v>
      </c>
      <c r="AG292" s="84">
        <f>DATE(YEAR(His53_DataTT[[#This Row],[RptDate]]),MONTH(His53_DataTT[[#This Row],[RptDate]]),1)</f>
        <v>45870</v>
      </c>
      <c r="AO292" s="14"/>
    </row>
    <row r="293" spans="17:41" x14ac:dyDescent="0.3">
      <c r="Q293" s="93">
        <v>46247</v>
      </c>
      <c r="R293" t="s">
        <v>1290</v>
      </c>
      <c r="S293" t="s">
        <v>415</v>
      </c>
      <c r="T293" s="14">
        <v>7.1997010643688499</v>
      </c>
      <c r="W293" s="20">
        <v>45982</v>
      </c>
      <c r="X293" t="s">
        <v>273</v>
      </c>
      <c r="Y293" s="23">
        <v>6.6</v>
      </c>
      <c r="Z293" s="23">
        <v>6.2750000000000004</v>
      </c>
      <c r="AA293" s="23">
        <v>6.4375</v>
      </c>
      <c r="AC293" s="19"/>
      <c r="AD293" s="20">
        <v>45877</v>
      </c>
      <c r="AE293" t="s">
        <v>479</v>
      </c>
      <c r="AF293">
        <v>266.77968255399998</v>
      </c>
      <c r="AG293" s="84">
        <f>DATE(YEAR(His53_DataTT[[#This Row],[RptDate]]),MONTH(His53_DataTT[[#This Row],[RptDate]]),1)</f>
        <v>45870</v>
      </c>
      <c r="AO293" s="14"/>
    </row>
    <row r="294" spans="17:41" x14ac:dyDescent="0.3">
      <c r="Q294" s="93">
        <v>46247</v>
      </c>
      <c r="R294" t="s">
        <v>364</v>
      </c>
      <c r="S294" t="s">
        <v>997</v>
      </c>
      <c r="T294" s="14">
        <v>30150</v>
      </c>
      <c r="W294" s="20">
        <v>45982</v>
      </c>
      <c r="X294" t="s">
        <v>274</v>
      </c>
      <c r="Y294" s="23">
        <v>6.4461538461538401</v>
      </c>
      <c r="Z294" s="23">
        <v>5.9692307692307702</v>
      </c>
      <c r="AA294" s="23">
        <v>6.2076923076923096</v>
      </c>
      <c r="AC294" s="19"/>
      <c r="AD294" s="20">
        <v>45877</v>
      </c>
      <c r="AE294" t="s">
        <v>557</v>
      </c>
      <c r="AF294">
        <v>980.74339109100003</v>
      </c>
      <c r="AG294" s="84">
        <f>DATE(YEAR(His53_DataTT[[#This Row],[RptDate]]),MONTH(His53_DataTT[[#This Row],[RptDate]]),1)</f>
        <v>45870</v>
      </c>
      <c r="AO294" s="14"/>
    </row>
    <row r="295" spans="17:41" x14ac:dyDescent="0.3">
      <c r="Q295" s="93">
        <v>46247</v>
      </c>
      <c r="R295" t="s">
        <v>496</v>
      </c>
      <c r="S295" t="s">
        <v>997</v>
      </c>
      <c r="T295" s="14">
        <v>17152</v>
      </c>
      <c r="W295" s="20">
        <v>45982</v>
      </c>
      <c r="X295" t="s">
        <v>275</v>
      </c>
      <c r="Y295" s="23">
        <v>6.4923076923076897</v>
      </c>
      <c r="Z295" s="23">
        <v>6.0153846153846198</v>
      </c>
      <c r="AA295" s="23">
        <v>6.2538461538461503</v>
      </c>
      <c r="AC295" s="19"/>
      <c r="AD295" s="20">
        <v>45880</v>
      </c>
      <c r="AE295" t="s">
        <v>479</v>
      </c>
      <c r="AF295">
        <v>1146.50655385</v>
      </c>
      <c r="AG295" s="84">
        <f>DATE(YEAR(His53_DataTT[[#This Row],[RptDate]]),MONTH(His53_DataTT[[#This Row],[RptDate]]),1)</f>
        <v>45870</v>
      </c>
      <c r="AO295" s="14"/>
    </row>
    <row r="296" spans="17:41" x14ac:dyDescent="0.3">
      <c r="Q296" s="93">
        <v>46247</v>
      </c>
      <c r="R296" t="s">
        <v>1388</v>
      </c>
      <c r="S296" t="s">
        <v>997</v>
      </c>
      <c r="T296" s="14">
        <v>13197.6106</v>
      </c>
      <c r="W296" s="20">
        <v>45982</v>
      </c>
      <c r="X296" t="s">
        <v>276</v>
      </c>
      <c r="Y296" s="23">
        <v>6.5384615384615401</v>
      </c>
      <c r="Z296" s="23">
        <v>6.0615384615384604</v>
      </c>
      <c r="AA296" s="23">
        <v>6.3</v>
      </c>
      <c r="AC296" s="19"/>
      <c r="AD296" s="20">
        <v>45880</v>
      </c>
      <c r="AE296" t="s">
        <v>557</v>
      </c>
      <c r="AF296">
        <v>1506.8315216430001</v>
      </c>
      <c r="AG296" s="84">
        <f>DATE(YEAR(His53_DataTT[[#This Row],[RptDate]]),MONTH(His53_DataTT[[#This Row],[RptDate]]),1)</f>
        <v>45870</v>
      </c>
      <c r="AO296" s="14"/>
    </row>
    <row r="297" spans="17:41" x14ac:dyDescent="0.3">
      <c r="Q297" s="93">
        <v>46247</v>
      </c>
      <c r="R297" t="s">
        <v>1389</v>
      </c>
      <c r="S297" t="s">
        <v>997</v>
      </c>
      <c r="T297" s="14">
        <v>12800</v>
      </c>
      <c r="W297" s="20">
        <v>45982</v>
      </c>
      <c r="X297" t="s">
        <v>277</v>
      </c>
      <c r="Y297" s="23">
        <v>6.6153846153846096</v>
      </c>
      <c r="Z297" s="23">
        <v>6.1384615384615397</v>
      </c>
      <c r="AA297" s="23">
        <v>6.37692307692308</v>
      </c>
      <c r="AC297" s="19"/>
      <c r="AD297" s="20">
        <v>45881</v>
      </c>
      <c r="AE297" t="s">
        <v>479</v>
      </c>
      <c r="AF297">
        <v>4003.2840345489999</v>
      </c>
      <c r="AG297" s="84">
        <f>DATE(YEAR(His53_DataTT[[#This Row],[RptDate]]),MONTH(His53_DataTT[[#This Row],[RptDate]]),1)</f>
        <v>45870</v>
      </c>
      <c r="AO297" s="14"/>
    </row>
    <row r="298" spans="17:41" x14ac:dyDescent="0.3">
      <c r="Q298" s="93">
        <v>46247</v>
      </c>
      <c r="R298" t="s">
        <v>1390</v>
      </c>
      <c r="S298" t="s">
        <v>997</v>
      </c>
      <c r="T298" s="14">
        <v>397.61059999999998</v>
      </c>
      <c r="W298" s="20">
        <v>45982</v>
      </c>
      <c r="X298" t="s">
        <v>278</v>
      </c>
      <c r="Y298" s="23">
        <v>6.6307692307692303</v>
      </c>
      <c r="Z298" s="23">
        <v>6.1538461538461497</v>
      </c>
      <c r="AA298" s="23">
        <v>6.39230769230769</v>
      </c>
      <c r="AC298" s="19"/>
      <c r="AD298" s="20">
        <v>45881</v>
      </c>
      <c r="AE298" t="s">
        <v>557</v>
      </c>
      <c r="AF298">
        <v>1609.934358902</v>
      </c>
      <c r="AG298" s="84">
        <f>DATE(YEAR(His53_DataTT[[#This Row],[RptDate]]),MONTH(His53_DataTT[[#This Row],[RptDate]]),1)</f>
        <v>45870</v>
      </c>
      <c r="AO298" s="14"/>
    </row>
    <row r="299" spans="17:41" x14ac:dyDescent="0.3">
      <c r="Q299" s="93">
        <v>46246</v>
      </c>
      <c r="R299" t="s">
        <v>479</v>
      </c>
      <c r="S299" t="s">
        <v>399</v>
      </c>
      <c r="T299" s="14">
        <v>10767.3666202642</v>
      </c>
      <c r="W299" s="20">
        <v>45982</v>
      </c>
      <c r="X299" t="s">
        <v>279</v>
      </c>
      <c r="Y299" s="23">
        <v>6.6807692307692301</v>
      </c>
      <c r="Z299" s="23">
        <v>6.2038461538461496</v>
      </c>
      <c r="AA299" s="23">
        <v>6.4423076923076898</v>
      </c>
      <c r="AC299" s="19"/>
      <c r="AD299" s="20">
        <v>45882</v>
      </c>
      <c r="AE299" t="s">
        <v>479</v>
      </c>
      <c r="AF299">
        <v>3279.1289680690002</v>
      </c>
      <c r="AG299" s="84">
        <f>DATE(YEAR(His53_DataTT[[#This Row],[RptDate]]),MONTH(His53_DataTT[[#This Row],[RptDate]]),1)</f>
        <v>45870</v>
      </c>
      <c r="AO299" s="14"/>
    </row>
    <row r="300" spans="17:41" x14ac:dyDescent="0.3">
      <c r="Q300" s="93">
        <v>46246</v>
      </c>
      <c r="R300" t="s">
        <v>364</v>
      </c>
      <c r="S300" t="s">
        <v>399</v>
      </c>
      <c r="T300" s="14">
        <v>26650</v>
      </c>
      <c r="W300" s="20">
        <v>45982</v>
      </c>
      <c r="X300" t="s">
        <v>280</v>
      </c>
      <c r="Y300" s="23">
        <v>6.7269230769230797</v>
      </c>
      <c r="Z300" s="23">
        <v>6.25</v>
      </c>
      <c r="AA300" s="23">
        <v>6.4884615384615403</v>
      </c>
      <c r="AC300" s="19"/>
      <c r="AD300" s="20">
        <v>45882</v>
      </c>
      <c r="AE300" t="s">
        <v>557</v>
      </c>
      <c r="AF300">
        <v>2128.6745345630002</v>
      </c>
      <c r="AG300" s="84">
        <f>DATE(YEAR(His53_DataTT[[#This Row],[RptDate]]),MONTH(His53_DataTT[[#This Row],[RptDate]]),1)</f>
        <v>45870</v>
      </c>
      <c r="AO300" s="14"/>
    </row>
    <row r="301" spans="17:41" x14ac:dyDescent="0.3">
      <c r="Q301" s="93">
        <v>46246</v>
      </c>
      <c r="R301" t="s">
        <v>491</v>
      </c>
      <c r="S301" t="s">
        <v>399</v>
      </c>
      <c r="T301" s="14">
        <v>397.61059999999998</v>
      </c>
      <c r="W301" s="20">
        <v>45982</v>
      </c>
      <c r="X301" t="s">
        <v>281</v>
      </c>
      <c r="Y301" s="23">
        <v>6.7576923076923103</v>
      </c>
      <c r="Z301" s="23">
        <v>6.2807692307692298</v>
      </c>
      <c r="AA301" s="23">
        <v>6.5192307692307701</v>
      </c>
      <c r="AC301" s="19"/>
      <c r="AD301" s="20">
        <v>45883</v>
      </c>
      <c r="AE301" t="s">
        <v>479</v>
      </c>
      <c r="AF301">
        <v>3179.6971389280002</v>
      </c>
      <c r="AG301" s="84">
        <f>DATE(YEAR(His53_DataTT[[#This Row],[RptDate]]),MONTH(His53_DataTT[[#This Row],[RptDate]]),1)</f>
        <v>45870</v>
      </c>
      <c r="AO301" s="14"/>
    </row>
    <row r="302" spans="17:41" x14ac:dyDescent="0.3">
      <c r="Q302" s="93">
        <v>46246</v>
      </c>
      <c r="R302" t="s">
        <v>492</v>
      </c>
      <c r="S302" t="s">
        <v>399</v>
      </c>
      <c r="T302" s="14">
        <v>9800</v>
      </c>
      <c r="W302" s="20">
        <v>45985</v>
      </c>
      <c r="X302" t="s">
        <v>270</v>
      </c>
      <c r="Y302" s="23">
        <v>6.3428571428571399</v>
      </c>
      <c r="Z302" s="23">
        <v>5.8571428571428603</v>
      </c>
      <c r="AA302" s="23">
        <v>6.1</v>
      </c>
      <c r="AC302" s="19"/>
      <c r="AD302" s="20">
        <v>45883</v>
      </c>
      <c r="AE302" t="s">
        <v>557</v>
      </c>
      <c r="AF302">
        <v>1882.8117494569999</v>
      </c>
      <c r="AG302" s="84">
        <f>DATE(YEAR(His53_DataTT[[#This Row],[RptDate]]),MONTH(His53_DataTT[[#This Row],[RptDate]]),1)</f>
        <v>45870</v>
      </c>
      <c r="AO302" s="14"/>
    </row>
    <row r="303" spans="17:41" x14ac:dyDescent="0.3">
      <c r="Q303" s="93">
        <v>46246</v>
      </c>
      <c r="R303" t="s">
        <v>1438</v>
      </c>
      <c r="S303" t="s">
        <v>399</v>
      </c>
      <c r="T303" s="14">
        <v>569.75602026419995</v>
      </c>
      <c r="W303" s="20">
        <v>45985</v>
      </c>
      <c r="X303" t="s">
        <v>271</v>
      </c>
      <c r="Y303" s="23">
        <v>6.2</v>
      </c>
      <c r="Z303" s="23">
        <v>5.7230769230769196</v>
      </c>
      <c r="AA303" s="23">
        <v>5.9615384615384599</v>
      </c>
      <c r="AC303" s="19"/>
      <c r="AD303" s="20">
        <v>45884</v>
      </c>
      <c r="AE303" t="s">
        <v>479</v>
      </c>
      <c r="AF303">
        <v>5551.4678282309997</v>
      </c>
      <c r="AG303" s="84">
        <f>DATE(YEAR(His53_DataTT[[#This Row],[RptDate]]),MONTH(His53_DataTT[[#This Row],[RptDate]]),1)</f>
        <v>45870</v>
      </c>
      <c r="AO303" s="14"/>
    </row>
    <row r="304" spans="17:41" x14ac:dyDescent="0.3">
      <c r="Q304" s="93">
        <v>46246</v>
      </c>
      <c r="R304" t="s">
        <v>496</v>
      </c>
      <c r="S304" t="s">
        <v>399</v>
      </c>
      <c r="T304" s="14">
        <v>13902</v>
      </c>
      <c r="W304" s="20">
        <v>45985</v>
      </c>
      <c r="X304" t="s">
        <v>272</v>
      </c>
      <c r="Y304" s="23">
        <v>6.3461538461538503</v>
      </c>
      <c r="Z304" s="23">
        <v>5.9</v>
      </c>
      <c r="AA304" s="23">
        <v>6.12307692307692</v>
      </c>
      <c r="AC304" s="19"/>
      <c r="AD304" s="20">
        <v>45884</v>
      </c>
      <c r="AE304" t="s">
        <v>557</v>
      </c>
      <c r="AF304">
        <v>5276.5197877399996</v>
      </c>
      <c r="AG304" s="84">
        <f>DATE(YEAR(His53_DataTT[[#This Row],[RptDate]]),MONTH(His53_DataTT[[#This Row],[RptDate]]),1)</f>
        <v>45870</v>
      </c>
      <c r="AO304" s="14"/>
    </row>
    <row r="305" spans="17:41" x14ac:dyDescent="0.3">
      <c r="Q305" s="93">
        <v>46246</v>
      </c>
      <c r="R305" t="s">
        <v>497</v>
      </c>
      <c r="S305" t="s">
        <v>399</v>
      </c>
      <c r="T305" s="14">
        <v>397.61059999999998</v>
      </c>
      <c r="W305" s="20">
        <v>45985</v>
      </c>
      <c r="X305" t="s">
        <v>273</v>
      </c>
      <c r="Y305" s="23">
        <v>6.65</v>
      </c>
      <c r="Z305" s="23">
        <v>6.3250000000000002</v>
      </c>
      <c r="AA305" s="23">
        <v>6.4874999999999998</v>
      </c>
      <c r="AC305" s="19"/>
      <c r="AD305" s="20">
        <v>45887</v>
      </c>
      <c r="AE305" t="s">
        <v>479</v>
      </c>
      <c r="AF305">
        <v>3409.8191165399999</v>
      </c>
      <c r="AG305" s="84">
        <f>DATE(YEAR(His53_DataTT[[#This Row],[RptDate]]),MONTH(His53_DataTT[[#This Row],[RptDate]]),1)</f>
        <v>45870</v>
      </c>
      <c r="AO305" s="14"/>
    </row>
    <row r="306" spans="17:41" x14ac:dyDescent="0.3">
      <c r="Q306" s="93">
        <v>46246</v>
      </c>
      <c r="R306" t="s">
        <v>498</v>
      </c>
      <c r="S306" t="s">
        <v>399</v>
      </c>
      <c r="T306" s="14">
        <v>9800</v>
      </c>
      <c r="W306" s="20">
        <v>45985</v>
      </c>
      <c r="X306" t="s">
        <v>274</v>
      </c>
      <c r="Y306" s="23">
        <v>6.4692307692307702</v>
      </c>
      <c r="Z306" s="23">
        <v>5.9923076923076897</v>
      </c>
      <c r="AA306" s="23">
        <v>6.2307692307692299</v>
      </c>
      <c r="AC306" s="19"/>
      <c r="AD306" s="20">
        <v>45887</v>
      </c>
      <c r="AE306" t="s">
        <v>557</v>
      </c>
      <c r="AF306">
        <v>1677.9764240300001</v>
      </c>
      <c r="AG306" s="84">
        <f>DATE(YEAR(His53_DataTT[[#This Row],[RptDate]]),MONTH(His53_DataTT[[#This Row],[RptDate]]),1)</f>
        <v>45870</v>
      </c>
      <c r="AO306" s="14"/>
    </row>
    <row r="307" spans="17:41" x14ac:dyDescent="0.3">
      <c r="Q307" s="93">
        <v>46246</v>
      </c>
      <c r="R307" t="s">
        <v>494</v>
      </c>
      <c r="S307" t="s">
        <v>399</v>
      </c>
      <c r="T307" s="14">
        <v>0</v>
      </c>
      <c r="W307" s="20">
        <v>45985</v>
      </c>
      <c r="X307" t="s">
        <v>275</v>
      </c>
      <c r="Y307" s="23">
        <v>6.5076923076923103</v>
      </c>
      <c r="Z307" s="23">
        <v>6.0307692307692298</v>
      </c>
      <c r="AA307" s="23">
        <v>6.2692307692307701</v>
      </c>
      <c r="AC307" s="19"/>
      <c r="AD307" s="20">
        <v>45888</v>
      </c>
      <c r="AE307" t="s">
        <v>479</v>
      </c>
      <c r="AF307">
        <v>2495.4045446559999</v>
      </c>
      <c r="AG307" s="84">
        <f>DATE(YEAR(His53_DataTT[[#This Row],[RptDate]]),MONTH(His53_DataTT[[#This Row],[RptDate]]),1)</f>
        <v>45870</v>
      </c>
      <c r="AO307" s="14"/>
    </row>
    <row r="308" spans="17:41" x14ac:dyDescent="0.3">
      <c r="Q308" s="93">
        <v>46246</v>
      </c>
      <c r="R308" t="s">
        <v>495</v>
      </c>
      <c r="S308" t="s">
        <v>399</v>
      </c>
      <c r="T308" s="14">
        <v>0</v>
      </c>
      <c r="W308" s="20">
        <v>45985</v>
      </c>
      <c r="X308" t="s">
        <v>276</v>
      </c>
      <c r="Y308" s="23">
        <v>6.5538461538461501</v>
      </c>
      <c r="Z308" s="23">
        <v>6.0769230769230802</v>
      </c>
      <c r="AA308" s="23">
        <v>6.3153846153846098</v>
      </c>
      <c r="AC308" s="19"/>
      <c r="AD308" s="20">
        <v>45888</v>
      </c>
      <c r="AE308" t="s">
        <v>557</v>
      </c>
      <c r="AF308">
        <v>1600.999550412</v>
      </c>
      <c r="AG308" s="84">
        <f>DATE(YEAR(His53_DataTT[[#This Row],[RptDate]]),MONTH(His53_DataTT[[#This Row],[RptDate]]),1)</f>
        <v>45870</v>
      </c>
      <c r="AO308" s="14"/>
    </row>
    <row r="309" spans="17:41" x14ac:dyDescent="0.3">
      <c r="Q309" s="93">
        <v>46246</v>
      </c>
      <c r="R309" t="s">
        <v>493</v>
      </c>
      <c r="S309" t="s">
        <v>399</v>
      </c>
      <c r="T309" s="14">
        <v>0</v>
      </c>
      <c r="W309" s="20">
        <v>45985</v>
      </c>
      <c r="X309" t="s">
        <v>277</v>
      </c>
      <c r="Y309" s="23">
        <v>6.6307692307692303</v>
      </c>
      <c r="Z309" s="23">
        <v>6.1538461538461497</v>
      </c>
      <c r="AA309" s="23">
        <v>6.39230769230769</v>
      </c>
      <c r="AC309" s="19"/>
      <c r="AD309" s="20">
        <v>45889</v>
      </c>
      <c r="AE309" t="s">
        <v>479</v>
      </c>
      <c r="AF309">
        <v>4897.510036828</v>
      </c>
      <c r="AG309" s="84">
        <f>DATE(YEAR(His53_DataTT[[#This Row],[RptDate]]),MONTH(His53_DataTT[[#This Row],[RptDate]]),1)</f>
        <v>45870</v>
      </c>
      <c r="AO309" s="14"/>
    </row>
    <row r="310" spans="17:41" x14ac:dyDescent="0.3">
      <c r="Q310" s="93">
        <v>46246</v>
      </c>
      <c r="R310" t="s">
        <v>593</v>
      </c>
      <c r="S310" t="s">
        <v>399</v>
      </c>
      <c r="T310" s="14">
        <v>12748</v>
      </c>
      <c r="W310" s="20">
        <v>45985</v>
      </c>
      <c r="X310" t="s">
        <v>278</v>
      </c>
      <c r="Y310" s="23">
        <v>6.6461538461538403</v>
      </c>
      <c r="Z310" s="23">
        <v>6.1692307692307704</v>
      </c>
      <c r="AA310" s="23">
        <v>6.4076923076923098</v>
      </c>
      <c r="AC310" s="19"/>
      <c r="AD310" s="20">
        <v>45889</v>
      </c>
      <c r="AE310" t="s">
        <v>557</v>
      </c>
      <c r="AF310">
        <v>3362.5979495900001</v>
      </c>
      <c r="AG310" s="84">
        <f>DATE(YEAR(His53_DataTT[[#This Row],[RptDate]]),MONTH(His53_DataTT[[#This Row],[RptDate]]),1)</f>
        <v>45870</v>
      </c>
      <c r="AO310" s="14"/>
    </row>
    <row r="311" spans="17:41" x14ac:dyDescent="0.3">
      <c r="Q311" s="93">
        <v>46246</v>
      </c>
      <c r="R311" t="s">
        <v>594</v>
      </c>
      <c r="S311" t="s">
        <v>399</v>
      </c>
      <c r="T311" s="14">
        <v>0</v>
      </c>
      <c r="W311" s="20">
        <v>45985</v>
      </c>
      <c r="X311" t="s">
        <v>279</v>
      </c>
      <c r="Y311" s="23">
        <v>6.6961538461538499</v>
      </c>
      <c r="Z311" s="23">
        <v>6.2192307692307702</v>
      </c>
      <c r="AA311" s="23">
        <v>6.4576923076923096</v>
      </c>
      <c r="AC311" s="19"/>
      <c r="AD311" s="20">
        <v>45890</v>
      </c>
      <c r="AE311" t="s">
        <v>479</v>
      </c>
      <c r="AF311">
        <v>5751.9773237640002</v>
      </c>
      <c r="AG311" s="84">
        <f>DATE(YEAR(His53_DataTT[[#This Row],[RptDate]]),MONTH(His53_DataTT[[#This Row],[RptDate]]),1)</f>
        <v>45870</v>
      </c>
      <c r="AO311" s="14"/>
    </row>
    <row r="312" spans="17:41" x14ac:dyDescent="0.3">
      <c r="Q312" s="93">
        <v>46246</v>
      </c>
      <c r="R312" t="s">
        <v>595</v>
      </c>
      <c r="S312" t="s">
        <v>399</v>
      </c>
      <c r="T312" s="14">
        <v>0</v>
      </c>
      <c r="W312" s="20">
        <v>45985</v>
      </c>
      <c r="X312" t="s">
        <v>280</v>
      </c>
      <c r="Y312" s="23">
        <v>6.7423076923076897</v>
      </c>
      <c r="Z312" s="23">
        <v>6.2653846153846198</v>
      </c>
      <c r="AA312" s="23">
        <v>6.5038461538461503</v>
      </c>
      <c r="AC312" s="19"/>
      <c r="AD312" s="20">
        <v>45890</v>
      </c>
      <c r="AE312" t="s">
        <v>557</v>
      </c>
      <c r="AF312">
        <v>3465.542748201</v>
      </c>
      <c r="AG312" s="84">
        <f>DATE(YEAR(His53_DataTT[[#This Row],[RptDate]]),MONTH(His53_DataTT[[#This Row],[RptDate]]),1)</f>
        <v>45870</v>
      </c>
      <c r="AO312" s="14"/>
    </row>
    <row r="313" spans="17:41" x14ac:dyDescent="0.3">
      <c r="Q313" s="93">
        <v>46246</v>
      </c>
      <c r="R313" t="s">
        <v>1439</v>
      </c>
      <c r="S313" t="s">
        <v>399</v>
      </c>
      <c r="T313" s="14">
        <v>569.75602026419995</v>
      </c>
      <c r="W313" s="20">
        <v>45985</v>
      </c>
      <c r="X313" t="s">
        <v>281</v>
      </c>
      <c r="Y313" s="23">
        <v>6.7730769230769203</v>
      </c>
      <c r="Z313" s="23">
        <v>6.2961538461538504</v>
      </c>
      <c r="AA313" s="23">
        <v>6.5346153846153801</v>
      </c>
      <c r="AC313" s="19"/>
      <c r="AD313" s="20">
        <v>45891</v>
      </c>
      <c r="AE313" t="s">
        <v>479</v>
      </c>
      <c r="AF313">
        <v>3710.798866349</v>
      </c>
      <c r="AG313" s="84">
        <f>DATE(YEAR(His53_DataTT[[#This Row],[RptDate]]),MONTH(His53_DataTT[[#This Row],[RptDate]]),1)</f>
        <v>45870</v>
      </c>
      <c r="AO313" s="14"/>
    </row>
    <row r="314" spans="17:41" x14ac:dyDescent="0.3">
      <c r="Q314" s="93">
        <v>46246</v>
      </c>
      <c r="R314" t="s">
        <v>479</v>
      </c>
      <c r="S314" t="s">
        <v>395</v>
      </c>
      <c r="T314" s="14">
        <v>11833.748609759399</v>
      </c>
      <c r="W314" s="20">
        <v>45987</v>
      </c>
      <c r="X314" t="s">
        <v>270</v>
      </c>
      <c r="Y314" s="23">
        <v>6.5142857142857098</v>
      </c>
      <c r="Z314" s="23">
        <v>6.0285714285714302</v>
      </c>
      <c r="AA314" s="23">
        <v>6.2714285714285696</v>
      </c>
      <c r="AC314" s="19"/>
      <c r="AD314" s="20">
        <v>45891</v>
      </c>
      <c r="AE314" t="s">
        <v>557</v>
      </c>
      <c r="AF314">
        <v>4625.4297410119998</v>
      </c>
      <c r="AG314" s="84">
        <f>DATE(YEAR(His53_DataTT[[#This Row],[RptDate]]),MONTH(His53_DataTT[[#This Row],[RptDate]]),1)</f>
        <v>45870</v>
      </c>
      <c r="AO314" s="14"/>
    </row>
    <row r="315" spans="17:41" x14ac:dyDescent="0.3">
      <c r="Q315" s="93">
        <v>46246</v>
      </c>
      <c r="R315" t="s">
        <v>479</v>
      </c>
      <c r="S315" t="s">
        <v>415</v>
      </c>
      <c r="T315" s="14">
        <v>7.4433492683382703</v>
      </c>
      <c r="W315" s="20">
        <v>45987</v>
      </c>
      <c r="X315" t="s">
        <v>271</v>
      </c>
      <c r="Y315" s="23">
        <v>6.2846153846153898</v>
      </c>
      <c r="Z315" s="23">
        <v>5.8076923076923102</v>
      </c>
      <c r="AA315" s="23">
        <v>6.0461538461538504</v>
      </c>
      <c r="AC315" s="19"/>
      <c r="AD315" s="20">
        <v>45894</v>
      </c>
      <c r="AE315" t="s">
        <v>479</v>
      </c>
      <c r="AF315">
        <v>2548.0786703019999</v>
      </c>
      <c r="AG315" s="84">
        <f>DATE(YEAR(His53_DataTT[[#This Row],[RptDate]]),MONTH(His53_DataTT[[#This Row],[RptDate]]),1)</f>
        <v>45870</v>
      </c>
      <c r="AO315" s="14"/>
    </row>
    <row r="316" spans="17:41" x14ac:dyDescent="0.3">
      <c r="Q316" s="93">
        <v>46246</v>
      </c>
      <c r="R316" t="s">
        <v>364</v>
      </c>
      <c r="S316" t="s">
        <v>415</v>
      </c>
      <c r="T316" s="14">
        <v>7.0533167495854103</v>
      </c>
      <c r="W316" s="20">
        <v>45987</v>
      </c>
      <c r="X316" t="s">
        <v>272</v>
      </c>
      <c r="Y316" s="23">
        <v>6.4307692307692301</v>
      </c>
      <c r="Z316" s="23">
        <v>5.9769230769230797</v>
      </c>
      <c r="AA316" s="23">
        <v>6.2038461538461496</v>
      </c>
      <c r="AC316" s="19"/>
      <c r="AD316" s="20">
        <v>45894</v>
      </c>
      <c r="AE316" t="s">
        <v>557</v>
      </c>
      <c r="AF316">
        <v>1170.822946129</v>
      </c>
      <c r="AG316" s="84">
        <f>DATE(YEAR(His53_DataTT[[#This Row],[RptDate]]),MONTH(His53_DataTT[[#This Row],[RptDate]]),1)</f>
        <v>45870</v>
      </c>
      <c r="AO316" s="14"/>
    </row>
    <row r="317" spans="17:41" x14ac:dyDescent="0.3">
      <c r="Q317" s="93">
        <v>46246</v>
      </c>
      <c r="R317" t="s">
        <v>516</v>
      </c>
      <c r="S317" t="s">
        <v>415</v>
      </c>
      <c r="T317" s="14">
        <v>7.1840306342403002</v>
      </c>
      <c r="W317" s="20">
        <v>45987</v>
      </c>
      <c r="X317" t="s">
        <v>273</v>
      </c>
      <c r="Y317" s="23">
        <v>6.7750000000000004</v>
      </c>
      <c r="Z317" s="23">
        <v>6.4249999999999998</v>
      </c>
      <c r="AA317" s="23">
        <v>6.6</v>
      </c>
      <c r="AC317" s="19"/>
      <c r="AD317" s="20">
        <v>45895</v>
      </c>
      <c r="AE317" t="s">
        <v>479</v>
      </c>
      <c r="AF317">
        <v>1403.868657253</v>
      </c>
      <c r="AG317" s="84">
        <f>DATE(YEAR(His53_DataTT[[#This Row],[RptDate]]),MONTH(His53_DataTT[[#This Row],[RptDate]]),1)</f>
        <v>45870</v>
      </c>
      <c r="AO317" s="14"/>
    </row>
    <row r="318" spans="17:41" x14ac:dyDescent="0.3">
      <c r="Q318" s="93">
        <v>46246</v>
      </c>
      <c r="R318" t="s">
        <v>1288</v>
      </c>
      <c r="S318" t="s">
        <v>415</v>
      </c>
      <c r="T318" s="14">
        <v>7.7530036944717899</v>
      </c>
      <c r="W318" s="20">
        <v>45987</v>
      </c>
      <c r="X318" t="s">
        <v>274</v>
      </c>
      <c r="Y318" s="23">
        <v>6.5461538461538398</v>
      </c>
      <c r="Z318" s="23">
        <v>6.0692307692307699</v>
      </c>
      <c r="AA318" s="23">
        <v>6.3076923076923102</v>
      </c>
      <c r="AC318" s="19"/>
      <c r="AD318" s="20">
        <v>45895</v>
      </c>
      <c r="AE318" t="s">
        <v>557</v>
      </c>
      <c r="AF318">
        <v>847.60693434799998</v>
      </c>
      <c r="AG318" s="84">
        <f>DATE(YEAR(His53_DataTT[[#This Row],[RptDate]]),MONTH(His53_DataTT[[#This Row],[RptDate]]),1)</f>
        <v>45870</v>
      </c>
      <c r="AO318" s="14"/>
    </row>
    <row r="319" spans="17:41" x14ac:dyDescent="0.3">
      <c r="Q319" s="93">
        <v>46246</v>
      </c>
      <c r="R319" t="s">
        <v>496</v>
      </c>
      <c r="S319" t="s">
        <v>415</v>
      </c>
      <c r="T319" s="14">
        <v>6.6286633720261996</v>
      </c>
      <c r="W319" s="20">
        <v>45987</v>
      </c>
      <c r="X319" t="s">
        <v>275</v>
      </c>
      <c r="Y319" s="23">
        <v>6.5692307692307699</v>
      </c>
      <c r="Z319" s="23">
        <v>6.0923076923076902</v>
      </c>
      <c r="AA319" s="23">
        <v>6.3307692307692296</v>
      </c>
      <c r="AC319" s="19"/>
      <c r="AD319" s="20">
        <v>45896</v>
      </c>
      <c r="AE319" t="s">
        <v>479</v>
      </c>
      <c r="AF319">
        <v>604.20091462699997</v>
      </c>
      <c r="AG319" s="84">
        <f>DATE(YEAR(His53_DataTT[[#This Row],[RptDate]]),MONTH(His53_DataTT[[#This Row],[RptDate]]),1)</f>
        <v>45870</v>
      </c>
      <c r="AO319" s="14"/>
    </row>
    <row r="320" spans="17:41" x14ac:dyDescent="0.3">
      <c r="Q320" s="93">
        <v>46246</v>
      </c>
      <c r="R320" t="s">
        <v>1290</v>
      </c>
      <c r="S320" t="s">
        <v>415</v>
      </c>
      <c r="T320" s="14">
        <v>7.1135912997533399</v>
      </c>
      <c r="W320" s="20">
        <v>45987</v>
      </c>
      <c r="X320" t="s">
        <v>276</v>
      </c>
      <c r="Y320" s="23">
        <v>6.6153846153846203</v>
      </c>
      <c r="Z320" s="23">
        <v>6.1384615384615397</v>
      </c>
      <c r="AA320" s="23">
        <v>6.37692307692308</v>
      </c>
      <c r="AC320" s="19"/>
      <c r="AD320" s="20">
        <v>45896</v>
      </c>
      <c r="AE320" t="s">
        <v>557</v>
      </c>
      <c r="AF320">
        <v>1676.9828625600001</v>
      </c>
      <c r="AG320" s="84">
        <f>DATE(YEAR(His53_DataTT[[#This Row],[RptDate]]),MONTH(His53_DataTT[[#This Row],[RptDate]]),1)</f>
        <v>45870</v>
      </c>
      <c r="AO320" s="14"/>
    </row>
    <row r="321" spans="17:41" x14ac:dyDescent="0.3">
      <c r="Q321" s="93">
        <v>46246</v>
      </c>
      <c r="R321" t="s">
        <v>364</v>
      </c>
      <c r="S321" t="s">
        <v>997</v>
      </c>
      <c r="T321" s="14">
        <v>30150</v>
      </c>
      <c r="W321" s="20">
        <v>45987</v>
      </c>
      <c r="X321" t="s">
        <v>277</v>
      </c>
      <c r="Y321" s="23">
        <v>6.6730769230769198</v>
      </c>
      <c r="Z321" s="23">
        <v>6.1961538461538499</v>
      </c>
      <c r="AA321" s="23">
        <v>6.4346153846153804</v>
      </c>
      <c r="AC321" s="19"/>
      <c r="AD321" s="20">
        <v>45897</v>
      </c>
      <c r="AE321" t="s">
        <v>479</v>
      </c>
      <c r="AF321">
        <v>3194.4753038240001</v>
      </c>
      <c r="AG321" s="84">
        <f>DATE(YEAR(His53_DataTT[[#This Row],[RptDate]]),MONTH(His53_DataTT[[#This Row],[RptDate]]),1)</f>
        <v>45870</v>
      </c>
      <c r="AO321" s="14"/>
    </row>
    <row r="322" spans="17:41" x14ac:dyDescent="0.3">
      <c r="Q322" s="93">
        <v>46246</v>
      </c>
      <c r="R322" t="s">
        <v>496</v>
      </c>
      <c r="S322" t="s">
        <v>997</v>
      </c>
      <c r="T322" s="14">
        <v>17402</v>
      </c>
      <c r="W322" s="20">
        <v>45987</v>
      </c>
      <c r="X322" t="s">
        <v>278</v>
      </c>
      <c r="Y322" s="23">
        <v>6.6961538461538499</v>
      </c>
      <c r="Z322" s="23">
        <v>6.2192307692307702</v>
      </c>
      <c r="AA322" s="23">
        <v>6.4576923076923096</v>
      </c>
      <c r="AC322" s="19"/>
      <c r="AD322" s="20">
        <v>45897</v>
      </c>
      <c r="AE322" t="s">
        <v>557</v>
      </c>
      <c r="AF322">
        <v>2220.6948437390001</v>
      </c>
      <c r="AG322" s="84">
        <f>DATE(YEAR(His53_DataTT[[#This Row],[RptDate]]),MONTH(His53_DataTT[[#This Row],[RptDate]]),1)</f>
        <v>45870</v>
      </c>
      <c r="AO322" s="14"/>
    </row>
    <row r="323" spans="17:41" x14ac:dyDescent="0.3">
      <c r="Q323" s="93">
        <v>46246</v>
      </c>
      <c r="R323" t="s">
        <v>1388</v>
      </c>
      <c r="S323" t="s">
        <v>997</v>
      </c>
      <c r="T323" s="14">
        <v>13197.6106</v>
      </c>
      <c r="W323" s="20">
        <v>45987</v>
      </c>
      <c r="X323" t="s">
        <v>279</v>
      </c>
      <c r="Y323" s="23">
        <v>6.7423076923076897</v>
      </c>
      <c r="Z323" s="23">
        <v>6.2653846153846198</v>
      </c>
      <c r="AA323" s="23">
        <v>6.5038461538461503</v>
      </c>
      <c r="AC323" s="19"/>
      <c r="AD323" s="20">
        <v>45898</v>
      </c>
      <c r="AE323" t="s">
        <v>479</v>
      </c>
      <c r="AF323">
        <v>875.29673370900002</v>
      </c>
      <c r="AG323" s="84">
        <f>DATE(YEAR(His53_DataTT[[#This Row],[RptDate]]),MONTH(His53_DataTT[[#This Row],[RptDate]]),1)</f>
        <v>45870</v>
      </c>
      <c r="AO323" s="14"/>
    </row>
    <row r="324" spans="17:41" x14ac:dyDescent="0.3">
      <c r="Q324" s="93">
        <v>46246</v>
      </c>
      <c r="R324" t="s">
        <v>1389</v>
      </c>
      <c r="S324" t="s">
        <v>997</v>
      </c>
      <c r="T324" s="14">
        <v>12800</v>
      </c>
      <c r="W324" s="20">
        <v>45987</v>
      </c>
      <c r="X324" t="s">
        <v>280</v>
      </c>
      <c r="Y324" s="23">
        <v>6.7807692307692298</v>
      </c>
      <c r="Z324" s="23">
        <v>6.3038461538461501</v>
      </c>
      <c r="AA324" s="23">
        <v>6.5423076923076904</v>
      </c>
      <c r="AC324" s="19"/>
      <c r="AD324" s="20">
        <v>45898</v>
      </c>
      <c r="AE324" t="s">
        <v>557</v>
      </c>
      <c r="AF324">
        <v>3337.0985927759998</v>
      </c>
      <c r="AG324" s="84">
        <f>DATE(YEAR(His53_DataTT[[#This Row],[RptDate]]),MONTH(His53_DataTT[[#This Row],[RptDate]]),1)</f>
        <v>45870</v>
      </c>
      <c r="AO324" s="14"/>
    </row>
    <row r="325" spans="17:41" x14ac:dyDescent="0.3">
      <c r="Q325" s="93">
        <v>46246</v>
      </c>
      <c r="R325" t="s">
        <v>1390</v>
      </c>
      <c r="S325" t="s">
        <v>997</v>
      </c>
      <c r="T325" s="14">
        <v>397.61059999999998</v>
      </c>
      <c r="W325" s="20">
        <v>45986</v>
      </c>
      <c r="X325" t="s">
        <v>270</v>
      </c>
      <c r="Y325" s="23">
        <v>6.4285714285714297</v>
      </c>
      <c r="Z325" s="23">
        <v>5.9428571428571404</v>
      </c>
      <c r="AA325" s="23">
        <v>6.1857142857142904</v>
      </c>
      <c r="AC325" s="19"/>
      <c r="AD325" s="20">
        <v>45903</v>
      </c>
      <c r="AE325" t="s">
        <v>479</v>
      </c>
      <c r="AF325">
        <v>2039.9221249269999</v>
      </c>
      <c r="AG325" s="84">
        <f>DATE(YEAR(His53_DataTT[[#This Row],[RptDate]]),MONTH(His53_DataTT[[#This Row],[RptDate]]),1)</f>
        <v>45901</v>
      </c>
      <c r="AO325" s="14"/>
    </row>
    <row r="326" spans="17:41" x14ac:dyDescent="0.3">
      <c r="Q326" s="93">
        <v>46245</v>
      </c>
      <c r="R326" t="s">
        <v>479</v>
      </c>
      <c r="S326" t="s">
        <v>399</v>
      </c>
      <c r="T326" s="14">
        <v>12768.6779138701</v>
      </c>
      <c r="W326" s="20">
        <v>45986</v>
      </c>
      <c r="X326" t="s">
        <v>271</v>
      </c>
      <c r="Y326" s="23">
        <v>6.2692307692307701</v>
      </c>
      <c r="Z326" s="23">
        <v>5.7923076923076904</v>
      </c>
      <c r="AA326" s="23">
        <v>6.0307692307692298</v>
      </c>
      <c r="AC326" s="19"/>
      <c r="AD326" s="20">
        <v>45903</v>
      </c>
      <c r="AE326" t="s">
        <v>557</v>
      </c>
      <c r="AF326">
        <v>2161.139193554</v>
      </c>
      <c r="AG326" s="84">
        <f>DATE(YEAR(His53_DataTT[[#This Row],[RptDate]]),MONTH(His53_DataTT[[#This Row],[RptDate]]),1)</f>
        <v>45901</v>
      </c>
      <c r="AO326" s="14"/>
    </row>
    <row r="327" spans="17:41" x14ac:dyDescent="0.3">
      <c r="Q327" s="93">
        <v>46245</v>
      </c>
      <c r="R327" t="s">
        <v>364</v>
      </c>
      <c r="S327" t="s">
        <v>399</v>
      </c>
      <c r="T327" s="14">
        <v>25450</v>
      </c>
      <c r="W327" s="20">
        <v>45986</v>
      </c>
      <c r="X327" t="s">
        <v>272</v>
      </c>
      <c r="Y327" s="23">
        <v>6.4076923076923098</v>
      </c>
      <c r="Z327" s="23">
        <v>5.9615384615384599</v>
      </c>
      <c r="AA327" s="23">
        <v>6.1846153846153804</v>
      </c>
      <c r="AC327" s="19"/>
      <c r="AD327" s="20">
        <v>45904</v>
      </c>
      <c r="AE327" t="s">
        <v>479</v>
      </c>
      <c r="AF327">
        <v>5207.9134205210003</v>
      </c>
      <c r="AG327" s="84">
        <f>DATE(YEAR(His53_DataTT[[#This Row],[RptDate]]),MONTH(His53_DataTT[[#This Row],[RptDate]]),1)</f>
        <v>45901</v>
      </c>
      <c r="AO327" s="14"/>
    </row>
    <row r="328" spans="17:41" x14ac:dyDescent="0.3">
      <c r="Q328" s="93">
        <v>46245</v>
      </c>
      <c r="R328" t="s">
        <v>491</v>
      </c>
      <c r="S328" t="s">
        <v>399</v>
      </c>
      <c r="T328" s="14">
        <v>397.61059999999998</v>
      </c>
      <c r="W328" s="20">
        <v>45986</v>
      </c>
      <c r="X328" t="s">
        <v>273</v>
      </c>
      <c r="Y328" s="23">
        <v>6.75</v>
      </c>
      <c r="Z328" s="23">
        <v>6.4249999999999998</v>
      </c>
      <c r="AA328" s="23">
        <v>6.5875000000000004</v>
      </c>
      <c r="AC328" s="19"/>
      <c r="AD328" s="20">
        <v>45904</v>
      </c>
      <c r="AE328" t="s">
        <v>557</v>
      </c>
      <c r="AF328">
        <v>10475.993974696999</v>
      </c>
      <c r="AG328" s="84">
        <f>DATE(YEAR(His53_DataTT[[#This Row],[RptDate]]),MONTH(His53_DataTT[[#This Row],[RptDate]]),1)</f>
        <v>45901</v>
      </c>
      <c r="AO328" s="14"/>
    </row>
    <row r="329" spans="17:41" x14ac:dyDescent="0.3">
      <c r="Q329" s="93">
        <v>46245</v>
      </c>
      <c r="R329" t="s">
        <v>492</v>
      </c>
      <c r="S329" t="s">
        <v>399</v>
      </c>
      <c r="T329" s="14">
        <v>11800</v>
      </c>
      <c r="W329" s="20">
        <v>45986</v>
      </c>
      <c r="X329" t="s">
        <v>274</v>
      </c>
      <c r="Y329" s="23">
        <v>6.5230769230769203</v>
      </c>
      <c r="Z329" s="23">
        <v>6.0461538461538504</v>
      </c>
      <c r="AA329" s="23">
        <v>6.2846153846153801</v>
      </c>
      <c r="AC329" s="19"/>
      <c r="AD329" s="20">
        <v>45905</v>
      </c>
      <c r="AE329" t="s">
        <v>479</v>
      </c>
      <c r="AF329">
        <v>3213.9766426840001</v>
      </c>
      <c r="AG329" s="84">
        <f>DATE(YEAR(His53_DataTT[[#This Row],[RptDate]]),MONTH(His53_DataTT[[#This Row],[RptDate]]),1)</f>
        <v>45901</v>
      </c>
      <c r="AO329" s="14"/>
    </row>
    <row r="330" spans="17:41" x14ac:dyDescent="0.3">
      <c r="Q330" s="93">
        <v>46245</v>
      </c>
      <c r="R330" t="s">
        <v>1438</v>
      </c>
      <c r="S330" t="s">
        <v>399</v>
      </c>
      <c r="T330" s="14">
        <v>571.06731387006005</v>
      </c>
      <c r="W330" s="20">
        <v>45986</v>
      </c>
      <c r="X330" t="s">
        <v>275</v>
      </c>
      <c r="Y330" s="23">
        <v>6.5461538461538504</v>
      </c>
      <c r="Z330" s="23">
        <v>6.0692307692307699</v>
      </c>
      <c r="AA330" s="23">
        <v>6.3076923076923102</v>
      </c>
      <c r="AC330" s="19"/>
      <c r="AD330" s="20">
        <v>45905</v>
      </c>
      <c r="AE330" t="s">
        <v>557</v>
      </c>
      <c r="AF330">
        <v>5448.2159039790004</v>
      </c>
      <c r="AG330" s="84">
        <f>DATE(YEAR(His53_DataTT[[#This Row],[RptDate]]),MONTH(His53_DataTT[[#This Row],[RptDate]]),1)</f>
        <v>45901</v>
      </c>
      <c r="AO330" s="14"/>
    </row>
    <row r="331" spans="17:41" x14ac:dyDescent="0.3">
      <c r="Q331" s="93">
        <v>46245</v>
      </c>
      <c r="R331" t="s">
        <v>496</v>
      </c>
      <c r="S331" t="s">
        <v>399</v>
      </c>
      <c r="T331" s="14">
        <v>11902</v>
      </c>
      <c r="W331" s="20">
        <v>45986</v>
      </c>
      <c r="X331" t="s">
        <v>276</v>
      </c>
      <c r="Y331" s="23">
        <v>6.60769230769231</v>
      </c>
      <c r="Z331" s="23">
        <v>6.1307692307692303</v>
      </c>
      <c r="AA331" s="23">
        <v>6.3692307692307697</v>
      </c>
      <c r="AC331" s="19"/>
      <c r="AD331" s="20">
        <v>45908</v>
      </c>
      <c r="AE331" t="s">
        <v>479</v>
      </c>
      <c r="AF331">
        <v>1073.2323852540001</v>
      </c>
      <c r="AG331" s="84">
        <f>DATE(YEAR(His53_DataTT[[#This Row],[RptDate]]),MONTH(His53_DataTT[[#This Row],[RptDate]]),1)</f>
        <v>45901</v>
      </c>
      <c r="AO331" s="14"/>
    </row>
    <row r="332" spans="17:41" x14ac:dyDescent="0.3">
      <c r="Q332" s="93">
        <v>46245</v>
      </c>
      <c r="R332" t="s">
        <v>497</v>
      </c>
      <c r="S332" t="s">
        <v>399</v>
      </c>
      <c r="T332" s="14">
        <v>397.61059999999998</v>
      </c>
      <c r="W332" s="20">
        <v>45986</v>
      </c>
      <c r="X332" t="s">
        <v>277</v>
      </c>
      <c r="Y332" s="23">
        <v>6.6692307692307704</v>
      </c>
      <c r="Z332" s="23">
        <v>6.1923076923076898</v>
      </c>
      <c r="AA332" s="23">
        <v>6.4307692307692301</v>
      </c>
      <c r="AC332" s="19"/>
      <c r="AD332" s="20">
        <v>45908</v>
      </c>
      <c r="AE332" t="s">
        <v>557</v>
      </c>
      <c r="AF332">
        <v>1653.265722524</v>
      </c>
      <c r="AG332" s="84">
        <f>DATE(YEAR(His53_DataTT[[#This Row],[RptDate]]),MONTH(His53_DataTT[[#This Row],[RptDate]]),1)</f>
        <v>45901</v>
      </c>
      <c r="AO332" s="14"/>
    </row>
    <row r="333" spans="17:41" x14ac:dyDescent="0.3">
      <c r="Q333" s="93">
        <v>46245</v>
      </c>
      <c r="R333" t="s">
        <v>498</v>
      </c>
      <c r="S333" t="s">
        <v>399</v>
      </c>
      <c r="T333" s="14">
        <v>11800</v>
      </c>
      <c r="W333" s="20">
        <v>45986</v>
      </c>
      <c r="X333" t="s">
        <v>278</v>
      </c>
      <c r="Y333" s="23">
        <v>6.6923076923076898</v>
      </c>
      <c r="Z333" s="23">
        <v>6.2153846153846199</v>
      </c>
      <c r="AA333" s="23">
        <v>6.4538461538461496</v>
      </c>
      <c r="AC333" s="19"/>
      <c r="AD333" s="20">
        <v>45909</v>
      </c>
      <c r="AE333" t="s">
        <v>479</v>
      </c>
      <c r="AF333">
        <v>439.52211252400002</v>
      </c>
      <c r="AG333" s="84">
        <f>DATE(YEAR(His53_DataTT[[#This Row],[RptDate]]),MONTH(His53_DataTT[[#This Row],[RptDate]]),1)</f>
        <v>45901</v>
      </c>
      <c r="AO333" s="14"/>
    </row>
    <row r="334" spans="17:41" x14ac:dyDescent="0.3">
      <c r="Q334" s="93">
        <v>46245</v>
      </c>
      <c r="R334" t="s">
        <v>494</v>
      </c>
      <c r="S334" t="s">
        <v>399</v>
      </c>
      <c r="T334" s="14">
        <v>0</v>
      </c>
      <c r="W334" s="20">
        <v>45986</v>
      </c>
      <c r="X334" t="s">
        <v>279</v>
      </c>
      <c r="Y334" s="23">
        <v>6.7423076923076897</v>
      </c>
      <c r="Z334" s="23">
        <v>6.2653846153846198</v>
      </c>
      <c r="AA334" s="23">
        <v>6.5038461538461503</v>
      </c>
      <c r="AC334" s="19"/>
      <c r="AD334" s="20">
        <v>45909</v>
      </c>
      <c r="AE334" t="s">
        <v>557</v>
      </c>
      <c r="AF334">
        <v>2047.67386491</v>
      </c>
      <c r="AG334" s="84">
        <f>DATE(YEAR(His53_DataTT[[#This Row],[RptDate]]),MONTH(His53_DataTT[[#This Row],[RptDate]]),1)</f>
        <v>45901</v>
      </c>
      <c r="AO334" s="14"/>
    </row>
    <row r="335" spans="17:41" x14ac:dyDescent="0.3">
      <c r="Q335" s="93">
        <v>46245</v>
      </c>
      <c r="R335" t="s">
        <v>495</v>
      </c>
      <c r="S335" t="s">
        <v>399</v>
      </c>
      <c r="T335" s="14">
        <v>0</v>
      </c>
      <c r="W335" s="20">
        <v>45986</v>
      </c>
      <c r="X335" t="s">
        <v>280</v>
      </c>
      <c r="Y335" s="23">
        <v>6.7807692307692298</v>
      </c>
      <c r="Z335" s="23">
        <v>6.3038461538461501</v>
      </c>
      <c r="AA335" s="23">
        <v>6.5423076923076904</v>
      </c>
      <c r="AC335" s="19"/>
      <c r="AD335" s="20">
        <v>45910</v>
      </c>
      <c r="AE335" t="s">
        <v>479</v>
      </c>
      <c r="AF335">
        <v>861.21170929899995</v>
      </c>
      <c r="AG335" s="84">
        <f>DATE(YEAR(His53_DataTT[[#This Row],[RptDate]]),MONTH(His53_DataTT[[#This Row],[RptDate]]),1)</f>
        <v>45901</v>
      </c>
      <c r="AO335" s="14"/>
    </row>
    <row r="336" spans="17:41" x14ac:dyDescent="0.3">
      <c r="Q336" s="93">
        <v>46245</v>
      </c>
      <c r="R336" t="s">
        <v>493</v>
      </c>
      <c r="S336" t="s">
        <v>399</v>
      </c>
      <c r="T336" s="14">
        <v>0</v>
      </c>
      <c r="W336" s="20">
        <v>45986</v>
      </c>
      <c r="X336" t="s">
        <v>281</v>
      </c>
      <c r="Y336" s="23">
        <v>6.8346153846153896</v>
      </c>
      <c r="Z336" s="23">
        <v>6.35769230769231</v>
      </c>
      <c r="AA336" s="23">
        <v>6.5961538461538503</v>
      </c>
      <c r="AC336" s="19"/>
      <c r="AD336" s="20">
        <v>45910</v>
      </c>
      <c r="AE336" t="s">
        <v>557</v>
      </c>
      <c r="AF336">
        <v>7171.2794474760003</v>
      </c>
      <c r="AG336" s="84">
        <f>DATE(YEAR(His53_DataTT[[#This Row],[RptDate]]),MONTH(His53_DataTT[[#This Row],[RptDate]]),1)</f>
        <v>45901</v>
      </c>
      <c r="AO336" s="14"/>
    </row>
    <row r="337" spans="17:41" x14ac:dyDescent="0.3">
      <c r="Q337" s="93">
        <v>46245</v>
      </c>
      <c r="R337" t="s">
        <v>593</v>
      </c>
      <c r="S337" t="s">
        <v>399</v>
      </c>
      <c r="T337" s="14">
        <v>13548</v>
      </c>
      <c r="W337" s="20">
        <v>45987</v>
      </c>
      <c r="X337" t="s">
        <v>281</v>
      </c>
      <c r="Y337" s="23">
        <v>6.8346153846153896</v>
      </c>
      <c r="Z337" s="23">
        <v>6.35769230769231</v>
      </c>
      <c r="AA337" s="23">
        <v>6.5961538461538503</v>
      </c>
      <c r="AC337" s="19"/>
      <c r="AD337" s="20">
        <v>45911</v>
      </c>
      <c r="AE337" t="s">
        <v>479</v>
      </c>
      <c r="AF337">
        <v>1661.7745250949999</v>
      </c>
      <c r="AG337" s="84">
        <f>DATE(YEAR(His53_DataTT[[#This Row],[RptDate]]),MONTH(His53_DataTT[[#This Row],[RptDate]]),1)</f>
        <v>45901</v>
      </c>
      <c r="AO337" s="14"/>
    </row>
    <row r="338" spans="17:41" x14ac:dyDescent="0.3">
      <c r="Q338" s="93">
        <v>46245</v>
      </c>
      <c r="R338" t="s">
        <v>594</v>
      </c>
      <c r="S338" t="s">
        <v>399</v>
      </c>
      <c r="T338" s="14">
        <v>0</v>
      </c>
      <c r="W338" s="20">
        <v>45988</v>
      </c>
      <c r="X338" t="s">
        <v>270</v>
      </c>
      <c r="Y338" s="23">
        <v>6.4666666666666703</v>
      </c>
      <c r="Z338" s="23">
        <v>5.9833333333333298</v>
      </c>
      <c r="AA338" s="23">
        <v>6.2249999999999996</v>
      </c>
      <c r="AC338" s="19"/>
      <c r="AD338" s="20">
        <v>45911</v>
      </c>
      <c r="AE338" t="s">
        <v>557</v>
      </c>
      <c r="AF338">
        <v>5359.8766579189996</v>
      </c>
      <c r="AG338" s="84">
        <f>DATE(YEAR(His53_DataTT[[#This Row],[RptDate]]),MONTH(His53_DataTT[[#This Row],[RptDate]]),1)</f>
        <v>45901</v>
      </c>
      <c r="AO338" s="14"/>
    </row>
    <row r="339" spans="17:41" x14ac:dyDescent="0.3">
      <c r="Q339" s="93">
        <v>46245</v>
      </c>
      <c r="R339" t="s">
        <v>595</v>
      </c>
      <c r="S339" t="s">
        <v>399</v>
      </c>
      <c r="T339" s="14">
        <v>0</v>
      </c>
      <c r="W339" s="20">
        <v>45988</v>
      </c>
      <c r="X339" t="s">
        <v>271</v>
      </c>
      <c r="Y339" s="23">
        <v>6.2846153846153898</v>
      </c>
      <c r="Z339" s="23">
        <v>5.8076923076923102</v>
      </c>
      <c r="AA339" s="23">
        <v>6.0461538461538504</v>
      </c>
      <c r="AC339" s="19"/>
      <c r="AD339" s="20">
        <v>45912</v>
      </c>
      <c r="AE339" t="s">
        <v>479</v>
      </c>
      <c r="AF339">
        <v>1478.325090415</v>
      </c>
      <c r="AG339" s="84">
        <f>DATE(YEAR(His53_DataTT[[#This Row],[RptDate]]),MONTH(His53_DataTT[[#This Row],[RptDate]]),1)</f>
        <v>45901</v>
      </c>
      <c r="AO339" s="14"/>
    </row>
    <row r="340" spans="17:41" x14ac:dyDescent="0.3">
      <c r="Q340" s="93">
        <v>46245</v>
      </c>
      <c r="R340" t="s">
        <v>1439</v>
      </c>
      <c r="S340" t="s">
        <v>399</v>
      </c>
      <c r="T340" s="14">
        <v>571.06731387006005</v>
      </c>
      <c r="W340" s="20">
        <v>45988</v>
      </c>
      <c r="X340" t="s">
        <v>272</v>
      </c>
      <c r="Y340" s="23">
        <v>6.4307692307692301</v>
      </c>
      <c r="Z340" s="23">
        <v>5.9769230769230797</v>
      </c>
      <c r="AA340" s="23">
        <v>6.2038461538461496</v>
      </c>
      <c r="AC340" s="19"/>
      <c r="AD340" s="20">
        <v>45912</v>
      </c>
      <c r="AE340" t="s">
        <v>557</v>
      </c>
      <c r="AF340">
        <v>4805.351361473</v>
      </c>
      <c r="AG340" s="84">
        <f>DATE(YEAR(His53_DataTT[[#This Row],[RptDate]]),MONTH(His53_DataTT[[#This Row],[RptDate]]),1)</f>
        <v>45901</v>
      </c>
      <c r="AO340" s="14"/>
    </row>
    <row r="341" spans="17:41" x14ac:dyDescent="0.3">
      <c r="Q341" s="93">
        <v>46245</v>
      </c>
      <c r="R341" t="s">
        <v>479</v>
      </c>
      <c r="S341" t="s">
        <v>395</v>
      </c>
      <c r="T341" s="14">
        <v>11813.7944443787</v>
      </c>
      <c r="W341" s="20">
        <v>45988</v>
      </c>
      <c r="X341" t="s">
        <v>273</v>
      </c>
      <c r="Y341" s="23">
        <v>6.76</v>
      </c>
      <c r="Z341" s="23">
        <v>6.38</v>
      </c>
      <c r="AA341" s="23">
        <v>6.57</v>
      </c>
      <c r="AC341" s="19"/>
      <c r="AD341" s="20">
        <v>45915</v>
      </c>
      <c r="AE341" t="s">
        <v>479</v>
      </c>
      <c r="AF341">
        <v>2494.2486714400002</v>
      </c>
      <c r="AG341" s="84">
        <f>DATE(YEAR(His53_DataTT[[#This Row],[RptDate]]),MONTH(His53_DataTT[[#This Row],[RptDate]]),1)</f>
        <v>45901</v>
      </c>
      <c r="AO341" s="14"/>
    </row>
    <row r="342" spans="17:41" x14ac:dyDescent="0.3">
      <c r="Q342" s="93">
        <v>46245</v>
      </c>
      <c r="R342" t="s">
        <v>479</v>
      </c>
      <c r="S342" t="s">
        <v>415</v>
      </c>
      <c r="T342" s="14">
        <v>7.4433492683382703</v>
      </c>
      <c r="W342" s="20">
        <v>45988</v>
      </c>
      <c r="X342" t="s">
        <v>274</v>
      </c>
      <c r="Y342" s="23">
        <v>6.5461538461538398</v>
      </c>
      <c r="Z342" s="23">
        <v>6.0692307692307699</v>
      </c>
      <c r="AA342" s="23">
        <v>6.3076923076923102</v>
      </c>
      <c r="AC342" s="19"/>
      <c r="AD342" s="20">
        <v>45915</v>
      </c>
      <c r="AE342" t="s">
        <v>557</v>
      </c>
      <c r="AF342">
        <v>8607.827507258</v>
      </c>
      <c r="AG342" s="84">
        <f>DATE(YEAR(His53_DataTT[[#This Row],[RptDate]]),MONTH(His53_DataTT[[#This Row],[RptDate]]),1)</f>
        <v>45901</v>
      </c>
      <c r="AO342" s="14"/>
    </row>
    <row r="343" spans="17:41" x14ac:dyDescent="0.3">
      <c r="Q343" s="93">
        <v>46245</v>
      </c>
      <c r="R343" t="s">
        <v>364</v>
      </c>
      <c r="S343" t="s">
        <v>415</v>
      </c>
      <c r="T343" s="14">
        <v>6.9636442141623496</v>
      </c>
      <c r="W343" s="20">
        <v>45988</v>
      </c>
      <c r="X343" t="s">
        <v>275</v>
      </c>
      <c r="Y343" s="23">
        <v>6.5692307692307699</v>
      </c>
      <c r="Z343" s="23">
        <v>6.0923076923076902</v>
      </c>
      <c r="AA343" s="23">
        <v>6.3307692307692296</v>
      </c>
      <c r="AC343" s="19"/>
      <c r="AD343" s="20">
        <v>45916</v>
      </c>
      <c r="AE343" t="s">
        <v>479</v>
      </c>
      <c r="AF343">
        <v>1521.510661604</v>
      </c>
      <c r="AG343" s="84">
        <f>DATE(YEAR(His53_DataTT[[#This Row],[RptDate]]),MONTH(His53_DataTT[[#This Row],[RptDate]]),1)</f>
        <v>45901</v>
      </c>
      <c r="AO343" s="14"/>
    </row>
    <row r="344" spans="17:41" x14ac:dyDescent="0.3">
      <c r="Q344" s="93">
        <v>46245</v>
      </c>
      <c r="R344" t="s">
        <v>516</v>
      </c>
      <c r="S344" t="s">
        <v>415</v>
      </c>
      <c r="T344" s="14">
        <v>7.12878045861898</v>
      </c>
      <c r="W344" s="20">
        <v>45988</v>
      </c>
      <c r="X344" t="s">
        <v>276</v>
      </c>
      <c r="Y344" s="23">
        <v>6.6153846153846203</v>
      </c>
      <c r="Z344" s="23">
        <v>6.1384615384615397</v>
      </c>
      <c r="AA344" s="23">
        <v>6.37692307692308</v>
      </c>
      <c r="AC344" s="19"/>
      <c r="AD344" s="20">
        <v>45916</v>
      </c>
      <c r="AE344" t="s">
        <v>557</v>
      </c>
      <c r="AF344">
        <v>9527.7338969720004</v>
      </c>
      <c r="AG344" s="84">
        <f>DATE(YEAR(His53_DataTT[[#This Row],[RptDate]]),MONTH(His53_DataTT[[#This Row],[RptDate]]),1)</f>
        <v>45901</v>
      </c>
      <c r="AO344" s="14"/>
    </row>
    <row r="345" spans="17:41" x14ac:dyDescent="0.3">
      <c r="Q345" s="93">
        <v>46245</v>
      </c>
      <c r="R345" t="s">
        <v>1288</v>
      </c>
      <c r="S345" t="s">
        <v>415</v>
      </c>
      <c r="T345" s="14">
        <v>7.4433492683382703</v>
      </c>
      <c r="W345" s="20">
        <v>45988</v>
      </c>
      <c r="X345" t="s">
        <v>277</v>
      </c>
      <c r="Y345" s="23">
        <v>6.6730769230769198</v>
      </c>
      <c r="Z345" s="23">
        <v>6.1961538461538499</v>
      </c>
      <c r="AA345" s="23">
        <v>6.4346153846153804</v>
      </c>
      <c r="AC345" s="19"/>
      <c r="AD345" s="20">
        <v>45917</v>
      </c>
      <c r="AE345" t="s">
        <v>479</v>
      </c>
      <c r="AF345">
        <v>1230.638909561</v>
      </c>
      <c r="AG345" s="84">
        <f>DATE(YEAR(His53_DataTT[[#This Row],[RptDate]]),MONTH(His53_DataTT[[#This Row],[RptDate]]),1)</f>
        <v>45901</v>
      </c>
      <c r="AO345" s="14"/>
    </row>
    <row r="346" spans="17:41" x14ac:dyDescent="0.3">
      <c r="Q346" s="93">
        <v>46245</v>
      </c>
      <c r="R346" t="s">
        <v>496</v>
      </c>
      <c r="S346" t="s">
        <v>415</v>
      </c>
      <c r="T346" s="14">
        <v>6.6651084274769499</v>
      </c>
      <c r="W346" s="20">
        <v>45988</v>
      </c>
      <c r="X346" t="s">
        <v>278</v>
      </c>
      <c r="Y346" s="23">
        <v>6.6961538461538499</v>
      </c>
      <c r="Z346" s="23">
        <v>6.2192307692307702</v>
      </c>
      <c r="AA346" s="23">
        <v>6.4576923076923096</v>
      </c>
      <c r="AC346" s="19"/>
      <c r="AD346" s="20">
        <v>45917</v>
      </c>
      <c r="AE346" t="s">
        <v>557</v>
      </c>
      <c r="AF346">
        <v>5851.3293030129998</v>
      </c>
      <c r="AG346" s="84">
        <f>DATE(YEAR(His53_DataTT[[#This Row],[RptDate]]),MONTH(His53_DataTT[[#This Row],[RptDate]]),1)</f>
        <v>45901</v>
      </c>
      <c r="AO346" s="14"/>
    </row>
    <row r="347" spans="17:41" x14ac:dyDescent="0.3">
      <c r="Q347" s="93">
        <v>46245</v>
      </c>
      <c r="R347" t="s">
        <v>1290</v>
      </c>
      <c r="S347" t="s">
        <v>415</v>
      </c>
      <c r="T347" s="14">
        <v>7.05162972694822</v>
      </c>
      <c r="W347" s="20">
        <v>45988</v>
      </c>
      <c r="X347" t="s">
        <v>279</v>
      </c>
      <c r="Y347" s="23">
        <v>6.7423076923076897</v>
      </c>
      <c r="Z347" s="23">
        <v>6.2653846153846198</v>
      </c>
      <c r="AA347" s="23">
        <v>6.5038461538461503</v>
      </c>
      <c r="AC347" s="19"/>
      <c r="AD347" s="20">
        <v>45918</v>
      </c>
      <c r="AE347" t="s">
        <v>479</v>
      </c>
      <c r="AF347">
        <v>963.93770970599996</v>
      </c>
      <c r="AG347" s="84">
        <f>DATE(YEAR(His53_DataTT[[#This Row],[RptDate]]),MONTH(His53_DataTT[[#This Row],[RptDate]]),1)</f>
        <v>45901</v>
      </c>
      <c r="AO347" s="14"/>
    </row>
    <row r="348" spans="17:41" x14ac:dyDescent="0.3">
      <c r="Q348" s="93">
        <v>46245</v>
      </c>
      <c r="R348" t="s">
        <v>364</v>
      </c>
      <c r="S348" t="s">
        <v>997</v>
      </c>
      <c r="T348" s="14">
        <v>28950</v>
      </c>
      <c r="W348" s="20">
        <v>45988</v>
      </c>
      <c r="X348" t="s">
        <v>280</v>
      </c>
      <c r="Y348" s="23">
        <v>6.7807692307692298</v>
      </c>
      <c r="Z348" s="23">
        <v>6.3038461538461501</v>
      </c>
      <c r="AA348" s="23">
        <v>6.5423076923076904</v>
      </c>
      <c r="AC348" s="19"/>
      <c r="AD348" s="20">
        <v>45918</v>
      </c>
      <c r="AE348" t="s">
        <v>557</v>
      </c>
      <c r="AF348">
        <v>3969.880759785</v>
      </c>
      <c r="AG348" s="84">
        <f>DATE(YEAR(His53_DataTT[[#This Row],[RptDate]]),MONTH(His53_DataTT[[#This Row],[RptDate]]),1)</f>
        <v>45901</v>
      </c>
      <c r="AO348" s="14"/>
    </row>
    <row r="349" spans="17:41" x14ac:dyDescent="0.3">
      <c r="Q349" s="93">
        <v>46245</v>
      </c>
      <c r="R349" t="s">
        <v>496</v>
      </c>
      <c r="S349" t="s">
        <v>997</v>
      </c>
      <c r="T349" s="14">
        <v>15402</v>
      </c>
      <c r="W349" s="20">
        <v>45988</v>
      </c>
      <c r="X349" t="s">
        <v>281</v>
      </c>
      <c r="Y349" s="23">
        <v>6.8346153846153896</v>
      </c>
      <c r="Z349" s="23">
        <v>6.35769230769231</v>
      </c>
      <c r="AA349" s="23">
        <v>6.5961538461538503</v>
      </c>
      <c r="AC349" s="19"/>
      <c r="AD349" s="20">
        <v>45919</v>
      </c>
      <c r="AE349" t="s">
        <v>479</v>
      </c>
      <c r="AF349">
        <v>2143.400918287</v>
      </c>
      <c r="AG349" s="84">
        <f>DATE(YEAR(His53_DataTT[[#This Row],[RptDate]]),MONTH(His53_DataTT[[#This Row],[RptDate]]),1)</f>
        <v>45901</v>
      </c>
      <c r="AO349" s="14"/>
    </row>
    <row r="350" spans="17:41" x14ac:dyDescent="0.3">
      <c r="Q350" s="93">
        <v>46245</v>
      </c>
      <c r="R350" t="s">
        <v>1388</v>
      </c>
      <c r="S350" t="s">
        <v>997</v>
      </c>
      <c r="T350" s="14">
        <v>15197.6106</v>
      </c>
      <c r="W350" s="20">
        <v>45989</v>
      </c>
      <c r="X350" t="s">
        <v>270</v>
      </c>
      <c r="Y350" s="23">
        <v>6.5285714285714302</v>
      </c>
      <c r="Z350" s="23">
        <v>6.0285714285714302</v>
      </c>
      <c r="AA350" s="23">
        <v>6.2785714285714302</v>
      </c>
      <c r="AC350" s="19"/>
      <c r="AD350" s="20">
        <v>45919</v>
      </c>
      <c r="AE350" t="s">
        <v>557</v>
      </c>
      <c r="AF350">
        <v>7288.6779512559997</v>
      </c>
      <c r="AG350" s="84">
        <f>DATE(YEAR(His53_DataTT[[#This Row],[RptDate]]),MONTH(His53_DataTT[[#This Row],[RptDate]]),1)</f>
        <v>45901</v>
      </c>
      <c r="AO350" s="14"/>
    </row>
    <row r="351" spans="17:41" x14ac:dyDescent="0.3">
      <c r="Q351" s="93">
        <v>46245</v>
      </c>
      <c r="R351" t="s">
        <v>1389</v>
      </c>
      <c r="S351" t="s">
        <v>997</v>
      </c>
      <c r="T351" s="14">
        <v>14800</v>
      </c>
      <c r="W351" s="20">
        <v>45989</v>
      </c>
      <c r="X351" t="s">
        <v>271</v>
      </c>
      <c r="Y351" s="23">
        <v>6.2846153846153898</v>
      </c>
      <c r="Z351" s="23">
        <v>5.8076923076923102</v>
      </c>
      <c r="AA351" s="23">
        <v>6.0461538461538504</v>
      </c>
      <c r="AC351" s="19"/>
      <c r="AD351" s="20">
        <v>45922</v>
      </c>
      <c r="AE351" t="s">
        <v>479</v>
      </c>
      <c r="AF351">
        <v>2223.6579402389998</v>
      </c>
      <c r="AG351" s="84">
        <f>DATE(YEAR(His53_DataTT[[#This Row],[RptDate]]),MONTH(His53_DataTT[[#This Row],[RptDate]]),1)</f>
        <v>45901</v>
      </c>
      <c r="AO351" s="14"/>
    </row>
    <row r="352" spans="17:41" x14ac:dyDescent="0.3">
      <c r="Q352" s="93">
        <v>46245</v>
      </c>
      <c r="R352" t="s">
        <v>1390</v>
      </c>
      <c r="S352" t="s">
        <v>997</v>
      </c>
      <c r="T352" s="14">
        <v>397.61059999999998</v>
      </c>
      <c r="W352" s="20">
        <v>45989</v>
      </c>
      <c r="X352" t="s">
        <v>272</v>
      </c>
      <c r="Y352" s="23">
        <v>6.4307692307692301</v>
      </c>
      <c r="Z352" s="23">
        <v>5.9769230769230797</v>
      </c>
      <c r="AA352" s="23">
        <v>6.2038461538461496</v>
      </c>
      <c r="AC352" s="19"/>
      <c r="AD352" s="20">
        <v>45922</v>
      </c>
      <c r="AE352" t="s">
        <v>557</v>
      </c>
      <c r="AF352">
        <v>8247.6946494179992</v>
      </c>
      <c r="AG352" s="84">
        <f>DATE(YEAR(His53_DataTT[[#This Row],[RptDate]]),MONTH(His53_DataTT[[#This Row],[RptDate]]),1)</f>
        <v>45901</v>
      </c>
      <c r="AO352" s="14"/>
    </row>
    <row r="353" spans="17:41" x14ac:dyDescent="0.3">
      <c r="Q353" s="93">
        <v>46244</v>
      </c>
      <c r="R353" t="s">
        <v>479</v>
      </c>
      <c r="S353" t="s">
        <v>399</v>
      </c>
      <c r="T353" s="14">
        <v>12769.3422592966</v>
      </c>
      <c r="W353" s="20">
        <v>45989</v>
      </c>
      <c r="X353" t="s">
        <v>273</v>
      </c>
      <c r="Y353" s="23">
        <v>6.7750000000000004</v>
      </c>
      <c r="Z353" s="23">
        <v>6.4249999999999998</v>
      </c>
      <c r="AA353" s="23">
        <v>6.6</v>
      </c>
      <c r="AC353" s="19"/>
      <c r="AD353" s="20">
        <v>45923</v>
      </c>
      <c r="AE353" t="s">
        <v>479</v>
      </c>
      <c r="AF353">
        <v>856.29594031900001</v>
      </c>
      <c r="AG353" s="84">
        <f>DATE(YEAR(His53_DataTT[[#This Row],[RptDate]]),MONTH(His53_DataTT[[#This Row],[RptDate]]),1)</f>
        <v>45901</v>
      </c>
      <c r="AO353" s="14"/>
    </row>
    <row r="354" spans="17:41" x14ac:dyDescent="0.3">
      <c r="Q354" s="93">
        <v>46244</v>
      </c>
      <c r="R354" t="s">
        <v>364</v>
      </c>
      <c r="S354" t="s">
        <v>399</v>
      </c>
      <c r="T354" s="14">
        <v>25450</v>
      </c>
      <c r="W354" s="20">
        <v>45989</v>
      </c>
      <c r="X354" t="s">
        <v>274</v>
      </c>
      <c r="Y354" s="23">
        <v>6.5653846153846098</v>
      </c>
      <c r="Z354" s="23">
        <v>6.0961538461538503</v>
      </c>
      <c r="AA354" s="23">
        <v>6.3307692307692296</v>
      </c>
      <c r="AC354" s="19"/>
      <c r="AD354" s="20">
        <v>45923</v>
      </c>
      <c r="AE354" t="s">
        <v>557</v>
      </c>
      <c r="AF354">
        <v>6735.6969342000002</v>
      </c>
      <c r="AG354" s="84">
        <f>DATE(YEAR(His53_DataTT[[#This Row],[RptDate]]),MONTH(His53_DataTT[[#This Row],[RptDate]]),1)</f>
        <v>45901</v>
      </c>
      <c r="AO354" s="14"/>
    </row>
    <row r="355" spans="17:41" x14ac:dyDescent="0.3">
      <c r="Q355" s="93">
        <v>46244</v>
      </c>
      <c r="R355" t="s">
        <v>491</v>
      </c>
      <c r="S355" t="s">
        <v>399</v>
      </c>
      <c r="T355" s="14">
        <v>397.61059999999998</v>
      </c>
      <c r="W355" s="20">
        <v>45989</v>
      </c>
      <c r="X355" t="s">
        <v>275</v>
      </c>
      <c r="Y355" s="23">
        <v>6.5923076923076902</v>
      </c>
      <c r="Z355" s="23">
        <v>6.1153846153846203</v>
      </c>
      <c r="AA355" s="23">
        <v>6.3538461538461499</v>
      </c>
      <c r="AC355" s="19"/>
      <c r="AD355" s="20">
        <v>45924</v>
      </c>
      <c r="AE355" t="s">
        <v>479</v>
      </c>
      <c r="AF355">
        <v>2534.4139309530001</v>
      </c>
      <c r="AG355" s="84">
        <f>DATE(YEAR(His53_DataTT[[#This Row],[RptDate]]),MONTH(His53_DataTT[[#This Row],[RptDate]]),1)</f>
        <v>45901</v>
      </c>
      <c r="AO355" s="14"/>
    </row>
    <row r="356" spans="17:41" x14ac:dyDescent="0.3">
      <c r="Q356" s="93">
        <v>46244</v>
      </c>
      <c r="R356" t="s">
        <v>492</v>
      </c>
      <c r="S356" t="s">
        <v>399</v>
      </c>
      <c r="T356" s="14">
        <v>11800</v>
      </c>
      <c r="W356" s="20">
        <v>45989</v>
      </c>
      <c r="X356" t="s">
        <v>276</v>
      </c>
      <c r="Y356" s="23">
        <v>6.6384615384615397</v>
      </c>
      <c r="Z356" s="23">
        <v>6.1615384615384601</v>
      </c>
      <c r="AA356" s="23">
        <v>6.4</v>
      </c>
      <c r="AC356" s="19"/>
      <c r="AD356" s="20">
        <v>45924</v>
      </c>
      <c r="AE356" t="s">
        <v>557</v>
      </c>
      <c r="AF356">
        <v>3074.0843973760002</v>
      </c>
      <c r="AG356" s="84">
        <f>DATE(YEAR(His53_DataTT[[#This Row],[RptDate]]),MONTH(His53_DataTT[[#This Row],[RptDate]]),1)</f>
        <v>45901</v>
      </c>
      <c r="AO356" s="14"/>
    </row>
    <row r="357" spans="17:41" x14ac:dyDescent="0.3">
      <c r="Q357" s="93">
        <v>46244</v>
      </c>
      <c r="R357" t="s">
        <v>1438</v>
      </c>
      <c r="S357" t="s">
        <v>399</v>
      </c>
      <c r="T357" s="14">
        <v>571.73165929656</v>
      </c>
      <c r="W357" s="20">
        <v>45989</v>
      </c>
      <c r="X357" t="s">
        <v>277</v>
      </c>
      <c r="Y357" s="23">
        <v>6.6961538461538499</v>
      </c>
      <c r="Z357" s="23">
        <v>6.2192307692307702</v>
      </c>
      <c r="AA357" s="23">
        <v>6.4576923076923096</v>
      </c>
      <c r="AC357" s="19"/>
      <c r="AD357" s="20">
        <v>45925</v>
      </c>
      <c r="AE357" t="s">
        <v>479</v>
      </c>
      <c r="AF357">
        <v>2622.4134104889999</v>
      </c>
      <c r="AG357" s="84">
        <f>DATE(YEAR(His53_DataTT[[#This Row],[RptDate]]),MONTH(His53_DataTT[[#This Row],[RptDate]]),1)</f>
        <v>45901</v>
      </c>
      <c r="AO357" s="14"/>
    </row>
    <row r="358" spans="17:41" x14ac:dyDescent="0.3">
      <c r="Q358" s="93">
        <v>46244</v>
      </c>
      <c r="R358" t="s">
        <v>496</v>
      </c>
      <c r="S358" t="s">
        <v>399</v>
      </c>
      <c r="T358" s="14">
        <v>11202</v>
      </c>
      <c r="W358" s="20">
        <v>45989</v>
      </c>
      <c r="X358" t="s">
        <v>278</v>
      </c>
      <c r="Y358" s="23">
        <v>6.7192307692307702</v>
      </c>
      <c r="Z358" s="23">
        <v>6.2423076923076897</v>
      </c>
      <c r="AA358" s="23">
        <v>6.4807692307692299</v>
      </c>
      <c r="AC358" s="19"/>
      <c r="AD358" s="20">
        <v>45925</v>
      </c>
      <c r="AE358" t="s">
        <v>557</v>
      </c>
      <c r="AF358">
        <v>2709.5117470350001</v>
      </c>
      <c r="AG358" s="84">
        <f>DATE(YEAR(His53_DataTT[[#This Row],[RptDate]]),MONTH(His53_DataTT[[#This Row],[RptDate]]),1)</f>
        <v>45901</v>
      </c>
      <c r="AO358" s="14"/>
    </row>
    <row r="359" spans="17:41" x14ac:dyDescent="0.3">
      <c r="Q359" s="93">
        <v>46244</v>
      </c>
      <c r="R359" t="s">
        <v>497</v>
      </c>
      <c r="S359" t="s">
        <v>399</v>
      </c>
      <c r="T359" s="14">
        <v>397.61059999999998</v>
      </c>
      <c r="W359" s="20">
        <v>45989</v>
      </c>
      <c r="X359" t="s">
        <v>279</v>
      </c>
      <c r="Y359" s="23">
        <v>6.7576923076923103</v>
      </c>
      <c r="Z359" s="23">
        <v>6.2807692307692298</v>
      </c>
      <c r="AA359" s="23">
        <v>6.5192307692307701</v>
      </c>
      <c r="AC359" s="19"/>
      <c r="AD359" s="20">
        <v>45926</v>
      </c>
      <c r="AE359" t="s">
        <v>479</v>
      </c>
      <c r="AF359">
        <v>3627.496193899</v>
      </c>
      <c r="AG359" s="84">
        <f>DATE(YEAR(His53_DataTT[[#This Row],[RptDate]]),MONTH(His53_DataTT[[#This Row],[RptDate]]),1)</f>
        <v>45901</v>
      </c>
      <c r="AO359" s="14"/>
    </row>
    <row r="360" spans="17:41" x14ac:dyDescent="0.3">
      <c r="Q360" s="93">
        <v>46244</v>
      </c>
      <c r="R360" t="s">
        <v>498</v>
      </c>
      <c r="S360" t="s">
        <v>399</v>
      </c>
      <c r="T360" s="14">
        <v>11800</v>
      </c>
      <c r="W360" s="20">
        <v>45989</v>
      </c>
      <c r="X360" t="s">
        <v>280</v>
      </c>
      <c r="Y360" s="23">
        <v>6.7884615384615401</v>
      </c>
      <c r="Z360" s="23">
        <v>6.3115384615384604</v>
      </c>
      <c r="AA360" s="23">
        <v>6.55</v>
      </c>
      <c r="AC360" s="19"/>
      <c r="AD360" s="20">
        <v>45926</v>
      </c>
      <c r="AE360" t="s">
        <v>557</v>
      </c>
      <c r="AF360">
        <v>2999.6535090560001</v>
      </c>
      <c r="AG360" s="84">
        <f>DATE(YEAR(His53_DataTT[[#This Row],[RptDate]]),MONTH(His53_DataTT[[#This Row],[RptDate]]),1)</f>
        <v>45901</v>
      </c>
      <c r="AO360" s="14"/>
    </row>
    <row r="361" spans="17:41" x14ac:dyDescent="0.3">
      <c r="Q361" s="93">
        <v>46244</v>
      </c>
      <c r="R361" t="s">
        <v>494</v>
      </c>
      <c r="S361" t="s">
        <v>399</v>
      </c>
      <c r="T361" s="14">
        <v>0</v>
      </c>
      <c r="W361" s="20">
        <v>45989</v>
      </c>
      <c r="X361" t="s">
        <v>281</v>
      </c>
      <c r="Y361" s="23">
        <v>6.8423076923076902</v>
      </c>
      <c r="Z361" s="23">
        <v>6.3653846153846096</v>
      </c>
      <c r="AA361" s="23">
        <v>6.6038461538461499</v>
      </c>
      <c r="AC361" s="19"/>
      <c r="AD361" s="20">
        <v>45929</v>
      </c>
      <c r="AE361" t="s">
        <v>479</v>
      </c>
      <c r="AF361">
        <v>6112.9767931670003</v>
      </c>
      <c r="AG361" s="84">
        <f>DATE(YEAR(His53_DataTT[[#This Row],[RptDate]]),MONTH(His53_DataTT[[#This Row],[RptDate]]),1)</f>
        <v>45901</v>
      </c>
      <c r="AO361" s="14"/>
    </row>
    <row r="362" spans="17:41" x14ac:dyDescent="0.3">
      <c r="Q362" s="93">
        <v>46244</v>
      </c>
      <c r="R362" t="s">
        <v>495</v>
      </c>
      <c r="S362" t="s">
        <v>399</v>
      </c>
      <c r="T362" s="14">
        <v>0</v>
      </c>
      <c r="W362" s="20">
        <v>45992</v>
      </c>
      <c r="X362" t="s">
        <v>270</v>
      </c>
      <c r="Y362" s="23">
        <v>6.68333333333333</v>
      </c>
      <c r="Z362" s="23">
        <v>6.18333333333333</v>
      </c>
      <c r="AA362" s="23">
        <v>6.43333333333333</v>
      </c>
      <c r="AC362" s="19"/>
      <c r="AD362" s="20">
        <v>45929</v>
      </c>
      <c r="AE362" t="s">
        <v>557</v>
      </c>
      <c r="AF362">
        <v>5559.9747867599999</v>
      </c>
      <c r="AG362" s="84">
        <f>DATE(YEAR(His53_DataTT[[#This Row],[RptDate]]),MONTH(His53_DataTT[[#This Row],[RptDate]]),1)</f>
        <v>45901</v>
      </c>
      <c r="AO362" s="14"/>
    </row>
    <row r="363" spans="17:41" x14ac:dyDescent="0.3">
      <c r="Q363" s="93">
        <v>46244</v>
      </c>
      <c r="R363" t="s">
        <v>493</v>
      </c>
      <c r="S363" t="s">
        <v>399</v>
      </c>
      <c r="T363" s="14">
        <v>0</v>
      </c>
      <c r="W363" s="20">
        <v>45992</v>
      </c>
      <c r="X363" t="s">
        <v>271</v>
      </c>
      <c r="Y363" s="23">
        <v>6.3846153846153904</v>
      </c>
      <c r="Z363" s="23">
        <v>5.9076923076923098</v>
      </c>
      <c r="AA363" s="23">
        <v>6.1461538461538501</v>
      </c>
      <c r="AC363" s="19"/>
      <c r="AD363" s="20">
        <v>45930</v>
      </c>
      <c r="AE363" t="s">
        <v>479</v>
      </c>
      <c r="AF363">
        <v>2520.4045290899999</v>
      </c>
      <c r="AG363" s="84">
        <f>DATE(YEAR(His53_DataTT[[#This Row],[RptDate]]),MONTH(His53_DataTT[[#This Row],[RptDate]]),1)</f>
        <v>45901</v>
      </c>
      <c r="AO363" s="14"/>
    </row>
    <row r="364" spans="17:41" x14ac:dyDescent="0.3">
      <c r="Q364" s="93">
        <v>46244</v>
      </c>
      <c r="R364" t="s">
        <v>593</v>
      </c>
      <c r="S364" t="s">
        <v>399</v>
      </c>
      <c r="T364" s="14">
        <v>14248</v>
      </c>
      <c r="W364" s="20">
        <v>45992</v>
      </c>
      <c r="X364" t="s">
        <v>272</v>
      </c>
      <c r="Y364" s="23">
        <v>6.625</v>
      </c>
      <c r="Z364" s="23">
        <v>6.3250000000000002</v>
      </c>
      <c r="AA364" s="23">
        <v>6.4749999999999996</v>
      </c>
      <c r="AC364" s="19"/>
      <c r="AD364" s="20">
        <v>45930</v>
      </c>
      <c r="AE364" t="s">
        <v>557</v>
      </c>
      <c r="AF364">
        <v>2484.9562694669999</v>
      </c>
      <c r="AG364" s="84">
        <f>DATE(YEAR(His53_DataTT[[#This Row],[RptDate]]),MONTH(His53_DataTT[[#This Row],[RptDate]]),1)</f>
        <v>45901</v>
      </c>
      <c r="AO364" s="14"/>
    </row>
    <row r="365" spans="17:41" x14ac:dyDescent="0.3">
      <c r="Q365" s="93">
        <v>46244</v>
      </c>
      <c r="R365" t="s">
        <v>594</v>
      </c>
      <c r="S365" t="s">
        <v>399</v>
      </c>
      <c r="T365" s="14">
        <v>0</v>
      </c>
      <c r="W365" s="20">
        <v>45992</v>
      </c>
      <c r="X365" t="s">
        <v>273</v>
      </c>
      <c r="Y365" s="23">
        <v>6.6769230769230798</v>
      </c>
      <c r="Z365" s="23">
        <v>6.2230769230769196</v>
      </c>
      <c r="AA365" s="23">
        <v>6.45</v>
      </c>
      <c r="AC365" s="19"/>
      <c r="AD365" s="20">
        <v>45931</v>
      </c>
      <c r="AE365" t="s">
        <v>479</v>
      </c>
      <c r="AF365">
        <v>2146.2617391429999</v>
      </c>
      <c r="AG365" s="84">
        <f>DATE(YEAR(His53_DataTT[[#This Row],[RptDate]]),MONTH(His53_DataTT[[#This Row],[RptDate]]),1)</f>
        <v>45931</v>
      </c>
      <c r="AO365" s="14"/>
    </row>
    <row r="366" spans="17:41" x14ac:dyDescent="0.3">
      <c r="Q366" s="93">
        <v>46244</v>
      </c>
      <c r="R366" t="s">
        <v>595</v>
      </c>
      <c r="S366" t="s">
        <v>399</v>
      </c>
      <c r="T366" s="14">
        <v>0</v>
      </c>
      <c r="W366" s="20">
        <v>45992</v>
      </c>
      <c r="X366" t="s">
        <v>274</v>
      </c>
      <c r="Y366" s="23">
        <v>6.64230769230769</v>
      </c>
      <c r="Z366" s="23">
        <v>6.1730769230769296</v>
      </c>
      <c r="AA366" s="23">
        <v>6.4076923076923098</v>
      </c>
      <c r="AC366" s="19"/>
      <c r="AD366" s="20">
        <v>45931</v>
      </c>
      <c r="AE366" t="s">
        <v>557</v>
      </c>
      <c r="AF366">
        <v>2548.6657588399999</v>
      </c>
      <c r="AG366" s="84">
        <f>DATE(YEAR(His53_DataTT[[#This Row],[RptDate]]),MONTH(His53_DataTT[[#This Row],[RptDate]]),1)</f>
        <v>45931</v>
      </c>
      <c r="AO366" s="14"/>
    </row>
    <row r="367" spans="17:41" x14ac:dyDescent="0.3">
      <c r="Q367" s="93">
        <v>46244</v>
      </c>
      <c r="R367" t="s">
        <v>1439</v>
      </c>
      <c r="S367" t="s">
        <v>399</v>
      </c>
      <c r="T367" s="14">
        <v>571.73165929656</v>
      </c>
      <c r="W367" s="20">
        <v>45992</v>
      </c>
      <c r="X367" t="s">
        <v>275</v>
      </c>
      <c r="Y367" s="23">
        <v>6.6769230769230798</v>
      </c>
      <c r="Z367" s="23">
        <v>6.2</v>
      </c>
      <c r="AA367" s="23">
        <v>6.4384615384615396</v>
      </c>
      <c r="AC367" s="19"/>
      <c r="AD367" s="20">
        <v>45932</v>
      </c>
      <c r="AE367" t="s">
        <v>479</v>
      </c>
      <c r="AF367">
        <v>1804.9602618649999</v>
      </c>
      <c r="AG367" s="84">
        <f>DATE(YEAR(His53_DataTT[[#This Row],[RptDate]]),MONTH(His53_DataTT[[#This Row],[RptDate]]),1)</f>
        <v>45931</v>
      </c>
      <c r="AO367" s="14"/>
    </row>
    <row r="368" spans="17:41" x14ac:dyDescent="0.3">
      <c r="Q368" s="93">
        <v>46244</v>
      </c>
      <c r="R368" t="s">
        <v>479</v>
      </c>
      <c r="S368" t="s">
        <v>395</v>
      </c>
      <c r="T368" s="14">
        <v>11816.121119962199</v>
      </c>
      <c r="W368" s="20">
        <v>45992</v>
      </c>
      <c r="X368" t="s">
        <v>276</v>
      </c>
      <c r="Y368" s="23">
        <v>6.7230769230769196</v>
      </c>
      <c r="Z368" s="23">
        <v>6.2461538461538497</v>
      </c>
      <c r="AA368" s="23">
        <v>6.48461538461539</v>
      </c>
      <c r="AC368" s="19"/>
      <c r="AD368" s="20">
        <v>45932</v>
      </c>
      <c r="AE368" t="s">
        <v>557</v>
      </c>
      <c r="AF368">
        <v>3667.8159050630002</v>
      </c>
      <c r="AG368" s="84">
        <f>DATE(YEAR(His53_DataTT[[#This Row],[RptDate]]),MONTH(His53_DataTT[[#This Row],[RptDate]]),1)</f>
        <v>45931</v>
      </c>
      <c r="AO368" s="14"/>
    </row>
    <row r="369" spans="17:41" x14ac:dyDescent="0.3">
      <c r="Q369" s="93">
        <v>46244</v>
      </c>
      <c r="R369" t="s">
        <v>479</v>
      </c>
      <c r="S369" t="s">
        <v>415</v>
      </c>
      <c r="T369" s="14">
        <v>7.4433492683382703</v>
      </c>
      <c r="W369" s="20">
        <v>45992</v>
      </c>
      <c r="X369" t="s">
        <v>277</v>
      </c>
      <c r="Y369" s="23">
        <v>6.7730769230769203</v>
      </c>
      <c r="Z369" s="23">
        <v>6.2961538461538504</v>
      </c>
      <c r="AA369" s="23">
        <v>6.5346153846153801</v>
      </c>
      <c r="AC369" s="19"/>
      <c r="AD369" s="20">
        <v>45933</v>
      </c>
      <c r="AE369" t="s">
        <v>479</v>
      </c>
      <c r="AF369">
        <v>1471.06418033</v>
      </c>
      <c r="AG369" s="84">
        <f>DATE(YEAR(His53_DataTT[[#This Row],[RptDate]]),MONTH(His53_DataTT[[#This Row],[RptDate]]),1)</f>
        <v>45931</v>
      </c>
      <c r="AO369" s="14"/>
    </row>
    <row r="370" spans="17:41" x14ac:dyDescent="0.3">
      <c r="Q370" s="93">
        <v>46244</v>
      </c>
      <c r="R370" t="s">
        <v>364</v>
      </c>
      <c r="S370" t="s">
        <v>415</v>
      </c>
      <c r="T370" s="14">
        <v>6.9636442141623496</v>
      </c>
      <c r="W370" s="20">
        <v>45992</v>
      </c>
      <c r="X370" t="s">
        <v>278</v>
      </c>
      <c r="Y370" s="23">
        <v>6.8192307692307699</v>
      </c>
      <c r="Z370" s="23">
        <v>6.3346153846153799</v>
      </c>
      <c r="AA370" s="23">
        <v>6.5769230769230802</v>
      </c>
      <c r="AC370" s="19"/>
      <c r="AD370" s="20">
        <v>45933</v>
      </c>
      <c r="AE370" t="s">
        <v>557</v>
      </c>
      <c r="AF370">
        <v>2154.7725619960001</v>
      </c>
      <c r="AG370" s="84">
        <f>DATE(YEAR(His53_DataTT[[#This Row],[RptDate]]),MONTH(His53_DataTT[[#This Row],[RptDate]]),1)</f>
        <v>45931</v>
      </c>
      <c r="AO370" s="14"/>
    </row>
    <row r="371" spans="17:41" x14ac:dyDescent="0.3">
      <c r="Q371" s="93">
        <v>46244</v>
      </c>
      <c r="R371" t="s">
        <v>516</v>
      </c>
      <c r="S371" t="s">
        <v>415</v>
      </c>
      <c r="T371" s="14">
        <v>7.12878045861898</v>
      </c>
      <c r="W371" s="20">
        <v>45992</v>
      </c>
      <c r="X371" t="s">
        <v>279</v>
      </c>
      <c r="Y371" s="23">
        <v>6.85</v>
      </c>
      <c r="Z371" s="23">
        <v>6.3653846153846096</v>
      </c>
      <c r="AA371" s="23">
        <v>6.60769230769231</v>
      </c>
      <c r="AC371" s="19"/>
      <c r="AD371" s="20">
        <v>45936</v>
      </c>
      <c r="AE371" t="s">
        <v>479</v>
      </c>
      <c r="AF371">
        <v>2522.5885671179999</v>
      </c>
      <c r="AG371" s="84">
        <f>DATE(YEAR(His53_DataTT[[#This Row],[RptDate]]),MONTH(His53_DataTT[[#This Row],[RptDate]]),1)</f>
        <v>45931</v>
      </c>
      <c r="AO371" s="14"/>
    </row>
    <row r="372" spans="17:41" x14ac:dyDescent="0.3">
      <c r="Q372" s="93">
        <v>46244</v>
      </c>
      <c r="R372" t="s">
        <v>1288</v>
      </c>
      <c r="S372" t="s">
        <v>415</v>
      </c>
      <c r="T372" s="14">
        <v>7.4433492683382703</v>
      </c>
      <c r="W372" s="20">
        <v>45992</v>
      </c>
      <c r="X372" t="s">
        <v>280</v>
      </c>
      <c r="Y372" s="23">
        <v>6.8884615384615397</v>
      </c>
      <c r="Z372" s="23">
        <v>6.4038461538461497</v>
      </c>
      <c r="AA372" s="23">
        <v>6.6461538461538501</v>
      </c>
      <c r="AC372" s="19"/>
      <c r="AD372" s="20">
        <v>45936</v>
      </c>
      <c r="AE372" t="s">
        <v>557</v>
      </c>
      <c r="AF372">
        <v>3725.5063182409999</v>
      </c>
      <c r="AG372" s="84">
        <f>DATE(YEAR(His53_DataTT[[#This Row],[RptDate]]),MONTH(His53_DataTT[[#This Row],[RptDate]]),1)</f>
        <v>45931</v>
      </c>
      <c r="AO372" s="14"/>
    </row>
    <row r="373" spans="17:41" x14ac:dyDescent="0.3">
      <c r="Q373" s="93">
        <v>46244</v>
      </c>
      <c r="R373" t="s">
        <v>496</v>
      </c>
      <c r="S373" t="s">
        <v>415</v>
      </c>
      <c r="T373" s="14">
        <v>6.7022173853897398</v>
      </c>
      <c r="W373" s="20">
        <v>45992</v>
      </c>
      <c r="X373" t="s">
        <v>281</v>
      </c>
      <c r="Y373" s="23">
        <v>6.9192307692307704</v>
      </c>
      <c r="Z373" s="23">
        <v>6.4346153846153804</v>
      </c>
      <c r="AA373" s="23">
        <v>6.6769230769230798</v>
      </c>
      <c r="AC373" s="19"/>
      <c r="AD373" s="20">
        <v>45937</v>
      </c>
      <c r="AE373" t="s">
        <v>479</v>
      </c>
      <c r="AF373">
        <v>1138.8089245670001</v>
      </c>
      <c r="AG373" s="84">
        <f>DATE(YEAR(His53_DataTT[[#This Row],[RptDate]]),MONTH(His53_DataTT[[#This Row],[RptDate]]),1)</f>
        <v>45931</v>
      </c>
      <c r="AO373" s="14"/>
    </row>
    <row r="374" spans="17:41" x14ac:dyDescent="0.3">
      <c r="Q374" s="93">
        <v>46244</v>
      </c>
      <c r="R374" t="s">
        <v>1290</v>
      </c>
      <c r="S374" t="s">
        <v>415</v>
      </c>
      <c r="T374" s="14">
        <v>7.0789257616619299</v>
      </c>
      <c r="W374" s="20">
        <v>45993</v>
      </c>
      <c r="X374" t="s">
        <v>270</v>
      </c>
      <c r="Y374" s="23">
        <v>6.7666666666666702</v>
      </c>
      <c r="Z374" s="23">
        <v>6.2666666666666702</v>
      </c>
      <c r="AA374" s="23">
        <v>6.5166666666666702</v>
      </c>
      <c r="AC374" s="19"/>
      <c r="AD374" s="20">
        <v>45937</v>
      </c>
      <c r="AE374" t="s">
        <v>557</v>
      </c>
      <c r="AF374">
        <v>1573.825127569</v>
      </c>
      <c r="AG374" s="84">
        <f>DATE(YEAR(His53_DataTT[[#This Row],[RptDate]]),MONTH(His53_DataTT[[#This Row],[RptDate]]),1)</f>
        <v>45931</v>
      </c>
      <c r="AO374" s="14"/>
    </row>
    <row r="375" spans="17:41" x14ac:dyDescent="0.3">
      <c r="Q375" s="93">
        <v>46244</v>
      </c>
      <c r="R375" t="s">
        <v>364</v>
      </c>
      <c r="S375" t="s">
        <v>997</v>
      </c>
      <c r="T375" s="14">
        <v>28950</v>
      </c>
      <c r="W375" s="20">
        <v>45993</v>
      </c>
      <c r="X375" t="s">
        <v>271</v>
      </c>
      <c r="Y375" s="23">
        <v>6.62307692307692</v>
      </c>
      <c r="Z375" s="23">
        <v>6.1384615384615397</v>
      </c>
      <c r="AA375" s="23">
        <v>6.3807692307692303</v>
      </c>
      <c r="AC375" s="19"/>
      <c r="AD375" s="20">
        <v>45938</v>
      </c>
      <c r="AE375" t="s">
        <v>479</v>
      </c>
      <c r="AF375">
        <v>1024.899035439</v>
      </c>
      <c r="AG375" s="84">
        <f>DATE(YEAR(His53_DataTT[[#This Row],[RptDate]]),MONTH(His53_DataTT[[#This Row],[RptDate]]),1)</f>
        <v>45931</v>
      </c>
      <c r="AO375" s="14"/>
    </row>
    <row r="376" spans="17:41" x14ac:dyDescent="0.3">
      <c r="Q376" s="93">
        <v>46244</v>
      </c>
      <c r="R376" t="s">
        <v>496</v>
      </c>
      <c r="S376" t="s">
        <v>997</v>
      </c>
      <c r="T376" s="14">
        <v>14702</v>
      </c>
      <c r="W376" s="20">
        <v>45993</v>
      </c>
      <c r="X376" t="s">
        <v>272</v>
      </c>
      <c r="Y376" s="23">
        <v>6.7249999999999996</v>
      </c>
      <c r="Z376" s="23">
        <v>6.4249999999999998</v>
      </c>
      <c r="AA376" s="23">
        <v>6.5750000000000002</v>
      </c>
      <c r="AC376" s="19"/>
      <c r="AD376" s="20">
        <v>45938</v>
      </c>
      <c r="AE376" t="s">
        <v>557</v>
      </c>
      <c r="AF376">
        <v>5265.6285623840004</v>
      </c>
      <c r="AG376" s="84">
        <f>DATE(YEAR(His53_DataTT[[#This Row],[RptDate]]),MONTH(His53_DataTT[[#This Row],[RptDate]]),1)</f>
        <v>45931</v>
      </c>
      <c r="AO376" s="14"/>
    </row>
    <row r="377" spans="17:41" x14ac:dyDescent="0.3">
      <c r="Q377" s="93">
        <v>46244</v>
      </c>
      <c r="R377" t="s">
        <v>1388</v>
      </c>
      <c r="S377" t="s">
        <v>997</v>
      </c>
      <c r="T377" s="14">
        <v>15197.6106</v>
      </c>
      <c r="W377" s="20">
        <v>45993</v>
      </c>
      <c r="X377" t="s">
        <v>273</v>
      </c>
      <c r="Y377" s="23">
        <v>6.8461538461538503</v>
      </c>
      <c r="Z377" s="23">
        <v>6.39230769230769</v>
      </c>
      <c r="AA377" s="23">
        <v>6.6192307692307697</v>
      </c>
      <c r="AC377" s="19"/>
      <c r="AD377" s="20">
        <v>45939</v>
      </c>
      <c r="AE377" t="s">
        <v>479</v>
      </c>
      <c r="AF377">
        <v>2791.5962915579998</v>
      </c>
      <c r="AG377" s="84">
        <f>DATE(YEAR(His53_DataTT[[#This Row],[RptDate]]),MONTH(His53_DataTT[[#This Row],[RptDate]]),1)</f>
        <v>45931</v>
      </c>
      <c r="AO377" s="14"/>
    </row>
    <row r="378" spans="17:41" x14ac:dyDescent="0.3">
      <c r="Q378" s="93">
        <v>46244</v>
      </c>
      <c r="R378" t="s">
        <v>1389</v>
      </c>
      <c r="S378" t="s">
        <v>997</v>
      </c>
      <c r="T378" s="14">
        <v>14800</v>
      </c>
      <c r="W378" s="20">
        <v>45993</v>
      </c>
      <c r="X378" t="s">
        <v>274</v>
      </c>
      <c r="Y378" s="23">
        <v>6.8038461538461501</v>
      </c>
      <c r="Z378" s="23">
        <v>6.3346153846153799</v>
      </c>
      <c r="AA378" s="23">
        <v>6.5692307692307699</v>
      </c>
      <c r="AC378" s="19"/>
      <c r="AD378" s="20">
        <v>45939</v>
      </c>
      <c r="AE378" t="s">
        <v>557</v>
      </c>
      <c r="AF378">
        <v>3987.0594602810002</v>
      </c>
      <c r="AG378" s="84">
        <f>DATE(YEAR(His53_DataTT[[#This Row],[RptDate]]),MONTH(His53_DataTT[[#This Row],[RptDate]]),1)</f>
        <v>45931</v>
      </c>
      <c r="AO378" s="14"/>
    </row>
    <row r="379" spans="17:41" x14ac:dyDescent="0.3">
      <c r="Q379" s="93">
        <v>46244</v>
      </c>
      <c r="R379" t="s">
        <v>1390</v>
      </c>
      <c r="S379" t="s">
        <v>997</v>
      </c>
      <c r="T379" s="14">
        <v>397.61059999999998</v>
      </c>
      <c r="W379" s="20">
        <v>45993</v>
      </c>
      <c r="X379" t="s">
        <v>275</v>
      </c>
      <c r="Y379" s="23">
        <v>6.8461538461538503</v>
      </c>
      <c r="Z379" s="23">
        <v>6.3692307692307697</v>
      </c>
      <c r="AA379" s="23">
        <v>6.60769230769231</v>
      </c>
      <c r="AC379" s="19"/>
      <c r="AD379" s="20">
        <v>45940</v>
      </c>
      <c r="AE379" t="s">
        <v>479</v>
      </c>
      <c r="AF379">
        <v>1525.3765274499999</v>
      </c>
      <c r="AG379" s="84">
        <f>DATE(YEAR(His53_DataTT[[#This Row],[RptDate]]),MONTH(His53_DataTT[[#This Row],[RptDate]]),1)</f>
        <v>45931</v>
      </c>
      <c r="AO379" s="14"/>
    </row>
    <row r="380" spans="17:41" x14ac:dyDescent="0.3">
      <c r="Q380" s="93">
        <v>46241</v>
      </c>
      <c r="R380" t="s">
        <v>479</v>
      </c>
      <c r="S380" t="s">
        <v>399</v>
      </c>
      <c r="T380" s="14">
        <v>12770.199025923601</v>
      </c>
      <c r="W380" s="20">
        <v>45993</v>
      </c>
      <c r="X380" t="s">
        <v>276</v>
      </c>
      <c r="Y380" s="23">
        <v>6.9076923076923098</v>
      </c>
      <c r="Z380" s="23">
        <v>6.4307692307692301</v>
      </c>
      <c r="AA380" s="23">
        <v>6.6692307692307704</v>
      </c>
      <c r="AC380" s="19"/>
      <c r="AD380" s="20">
        <v>45940</v>
      </c>
      <c r="AE380" t="s">
        <v>557</v>
      </c>
      <c r="AF380">
        <v>3905.4171967000002</v>
      </c>
      <c r="AG380" s="84">
        <f>DATE(YEAR(His53_DataTT[[#This Row],[RptDate]]),MONTH(His53_DataTT[[#This Row],[RptDate]]),1)</f>
        <v>45931</v>
      </c>
      <c r="AO380" s="14"/>
    </row>
    <row r="381" spans="17:41" x14ac:dyDescent="0.3">
      <c r="Q381" s="93">
        <v>46241</v>
      </c>
      <c r="R381" t="s">
        <v>364</v>
      </c>
      <c r="S381" t="s">
        <v>399</v>
      </c>
      <c r="T381" s="14">
        <v>25450</v>
      </c>
      <c r="W381" s="20">
        <v>45993</v>
      </c>
      <c r="X381" t="s">
        <v>277</v>
      </c>
      <c r="Y381" s="23">
        <v>6.95</v>
      </c>
      <c r="Z381" s="23">
        <v>6.4730769230769196</v>
      </c>
      <c r="AA381" s="23">
        <v>6.7115384615384599</v>
      </c>
      <c r="AC381" s="19"/>
      <c r="AD381" s="20">
        <v>45943</v>
      </c>
      <c r="AE381" t="s">
        <v>479</v>
      </c>
      <c r="AF381">
        <v>1585.175067205</v>
      </c>
      <c r="AG381" s="84">
        <f>DATE(YEAR(His53_DataTT[[#This Row],[RptDate]]),MONTH(His53_DataTT[[#This Row],[RptDate]]),1)</f>
        <v>45931</v>
      </c>
      <c r="AO381" s="14"/>
    </row>
    <row r="382" spans="17:41" x14ac:dyDescent="0.3">
      <c r="Q382" s="93">
        <v>46241</v>
      </c>
      <c r="R382" t="s">
        <v>491</v>
      </c>
      <c r="S382" t="s">
        <v>399</v>
      </c>
      <c r="T382" s="14">
        <v>397.61059999999998</v>
      </c>
      <c r="W382" s="20">
        <v>45993</v>
      </c>
      <c r="X382" t="s">
        <v>278</v>
      </c>
      <c r="Y382" s="23">
        <v>6.9730769230769196</v>
      </c>
      <c r="Z382" s="23">
        <v>6.4884615384615403</v>
      </c>
      <c r="AA382" s="23">
        <v>6.7307692307692299</v>
      </c>
      <c r="AC382" s="19"/>
      <c r="AD382" s="20">
        <v>45943</v>
      </c>
      <c r="AE382" t="s">
        <v>557</v>
      </c>
      <c r="AF382">
        <v>1848.0439517320001</v>
      </c>
      <c r="AG382" s="84">
        <f>DATE(YEAR(His53_DataTT[[#This Row],[RptDate]]),MONTH(His53_DataTT[[#This Row],[RptDate]]),1)</f>
        <v>45931</v>
      </c>
      <c r="AO382" s="14"/>
    </row>
    <row r="383" spans="17:41" x14ac:dyDescent="0.3">
      <c r="Q383" s="93">
        <v>46241</v>
      </c>
      <c r="R383" t="s">
        <v>492</v>
      </c>
      <c r="S383" t="s">
        <v>399</v>
      </c>
      <c r="T383" s="14">
        <v>11800</v>
      </c>
      <c r="W383" s="20">
        <v>45993</v>
      </c>
      <c r="X383" t="s">
        <v>279</v>
      </c>
      <c r="Y383" s="23">
        <v>7.0115384615384597</v>
      </c>
      <c r="Z383" s="23">
        <v>6.5269230769230804</v>
      </c>
      <c r="AA383" s="23">
        <v>6.7692307692307701</v>
      </c>
      <c r="AC383" s="19"/>
      <c r="AD383" s="20">
        <v>45944</v>
      </c>
      <c r="AE383" t="s">
        <v>479</v>
      </c>
      <c r="AF383">
        <v>736.41284821700003</v>
      </c>
      <c r="AG383" s="84">
        <f>DATE(YEAR(His53_DataTT[[#This Row],[RptDate]]),MONTH(His53_DataTT[[#This Row],[RptDate]]),1)</f>
        <v>45931</v>
      </c>
      <c r="AO383" s="14"/>
    </row>
    <row r="384" spans="17:41" x14ac:dyDescent="0.3">
      <c r="Q384" s="93">
        <v>46241</v>
      </c>
      <c r="R384" t="s">
        <v>1438</v>
      </c>
      <c r="S384" t="s">
        <v>399</v>
      </c>
      <c r="T384" s="14">
        <v>572.58842592356996</v>
      </c>
      <c r="W384" s="20">
        <v>45993</v>
      </c>
      <c r="X384" t="s">
        <v>280</v>
      </c>
      <c r="Y384" s="23">
        <v>7.0423076923076904</v>
      </c>
      <c r="Z384" s="23">
        <v>6.5576923076923102</v>
      </c>
      <c r="AA384" s="23">
        <v>6.8</v>
      </c>
      <c r="AC384" s="19"/>
      <c r="AD384" s="20">
        <v>45944</v>
      </c>
      <c r="AE384" t="s">
        <v>557</v>
      </c>
      <c r="AF384">
        <v>4654.9314961769996</v>
      </c>
      <c r="AG384" s="84">
        <f>DATE(YEAR(His53_DataTT[[#This Row],[RptDate]]),MONTH(His53_DataTT[[#This Row],[RptDate]]),1)</f>
        <v>45931</v>
      </c>
      <c r="AO384" s="14"/>
    </row>
    <row r="385" spans="17:41" x14ac:dyDescent="0.3">
      <c r="Q385" s="93">
        <v>46241</v>
      </c>
      <c r="R385" t="s">
        <v>496</v>
      </c>
      <c r="S385" t="s">
        <v>399</v>
      </c>
      <c r="T385" s="14">
        <v>11201</v>
      </c>
      <c r="W385" s="20">
        <v>45993</v>
      </c>
      <c r="X385" t="s">
        <v>281</v>
      </c>
      <c r="Y385" s="23">
        <v>7.0730769230769202</v>
      </c>
      <c r="Z385" s="23">
        <v>6.5884615384615399</v>
      </c>
      <c r="AA385" s="23">
        <v>6.8307692307692296</v>
      </c>
      <c r="AC385" s="19"/>
      <c r="AD385" s="20">
        <v>45945</v>
      </c>
      <c r="AE385" t="s">
        <v>479</v>
      </c>
      <c r="AF385">
        <v>746.49882657900002</v>
      </c>
      <c r="AG385" s="84">
        <f>DATE(YEAR(His53_DataTT[[#This Row],[RptDate]]),MONTH(His53_DataTT[[#This Row],[RptDate]]),1)</f>
        <v>45931</v>
      </c>
      <c r="AO385" s="14"/>
    </row>
    <row r="386" spans="17:41" x14ac:dyDescent="0.3">
      <c r="Q386" s="93">
        <v>46241</v>
      </c>
      <c r="R386" t="s">
        <v>497</v>
      </c>
      <c r="S386" t="s">
        <v>399</v>
      </c>
      <c r="T386" s="14">
        <v>397.61059999999998</v>
      </c>
      <c r="W386" s="20">
        <v>45918</v>
      </c>
      <c r="X386" t="s">
        <v>270</v>
      </c>
      <c r="Y386" s="23">
        <v>5.625</v>
      </c>
      <c r="Z386" s="23">
        <v>5.30833333333333</v>
      </c>
      <c r="AA386" s="23">
        <v>5.4666666666666703</v>
      </c>
      <c r="AC386" s="19"/>
      <c r="AD386" s="20">
        <v>45945</v>
      </c>
      <c r="AE386" t="s">
        <v>557</v>
      </c>
      <c r="AF386">
        <v>1426.457870279</v>
      </c>
      <c r="AG386" s="84">
        <f>DATE(YEAR(His53_DataTT[[#This Row],[RptDate]]),MONTH(His53_DataTT[[#This Row],[RptDate]]),1)</f>
        <v>45931</v>
      </c>
      <c r="AO386" s="14"/>
    </row>
    <row r="387" spans="17:41" x14ac:dyDescent="0.3">
      <c r="Q387" s="93">
        <v>46241</v>
      </c>
      <c r="R387" t="s">
        <v>498</v>
      </c>
      <c r="S387" t="s">
        <v>399</v>
      </c>
      <c r="T387" s="14">
        <v>11800</v>
      </c>
      <c r="W387" s="20">
        <v>45918</v>
      </c>
      <c r="X387" t="s">
        <v>271</v>
      </c>
      <c r="Y387" s="23">
        <v>5.9</v>
      </c>
      <c r="Z387" s="23">
        <v>5.4</v>
      </c>
      <c r="AA387" s="23">
        <v>5.65</v>
      </c>
      <c r="AC387" s="19"/>
      <c r="AD387" s="20">
        <v>45946</v>
      </c>
      <c r="AE387" t="s">
        <v>479</v>
      </c>
      <c r="AF387">
        <v>2208.324496967</v>
      </c>
      <c r="AG387" s="84">
        <f>DATE(YEAR(His53_DataTT[[#This Row],[RptDate]]),MONTH(His53_DataTT[[#This Row],[RptDate]]),1)</f>
        <v>45931</v>
      </c>
      <c r="AO387" s="14"/>
    </row>
    <row r="388" spans="17:41" x14ac:dyDescent="0.3">
      <c r="Q388" s="93">
        <v>46241</v>
      </c>
      <c r="R388" t="s">
        <v>494</v>
      </c>
      <c r="S388" t="s">
        <v>399</v>
      </c>
      <c r="T388" s="14">
        <v>0</v>
      </c>
      <c r="W388" s="20">
        <v>45918</v>
      </c>
      <c r="X388" t="s">
        <v>272</v>
      </c>
      <c r="Y388" s="23">
        <v>5.7076923076923096</v>
      </c>
      <c r="Z388" s="23">
        <v>5.2538461538461503</v>
      </c>
      <c r="AA388" s="23">
        <v>5.4807692307692299</v>
      </c>
      <c r="AC388" s="19"/>
      <c r="AD388" s="20">
        <v>45946</v>
      </c>
      <c r="AE388" t="s">
        <v>557</v>
      </c>
      <c r="AF388">
        <v>1675.9640564690001</v>
      </c>
      <c r="AG388" s="84">
        <f>DATE(YEAR(His53_DataTT[[#This Row],[RptDate]]),MONTH(His53_DataTT[[#This Row],[RptDate]]),1)</f>
        <v>45931</v>
      </c>
      <c r="AO388" s="14"/>
    </row>
    <row r="389" spans="17:41" x14ac:dyDescent="0.3">
      <c r="Q389" s="93">
        <v>46241</v>
      </c>
      <c r="R389" t="s">
        <v>495</v>
      </c>
      <c r="S389" t="s">
        <v>399</v>
      </c>
      <c r="T389" s="14">
        <v>0</v>
      </c>
      <c r="W389" s="20">
        <v>45918</v>
      </c>
      <c r="X389" t="s">
        <v>273</v>
      </c>
      <c r="Y389" s="23">
        <v>5.8307692307692296</v>
      </c>
      <c r="Z389" s="23">
        <v>5.37692307692308</v>
      </c>
      <c r="AA389" s="23">
        <v>5.6038461538461499</v>
      </c>
      <c r="AC389" s="19"/>
      <c r="AD389" s="20">
        <v>45947</v>
      </c>
      <c r="AE389" t="s">
        <v>479</v>
      </c>
      <c r="AF389">
        <v>1606.950054337</v>
      </c>
      <c r="AG389" s="84">
        <f>DATE(YEAR(His53_DataTT[[#This Row],[RptDate]]),MONTH(His53_DataTT[[#This Row],[RptDate]]),1)</f>
        <v>45931</v>
      </c>
      <c r="AO389" s="14"/>
    </row>
    <row r="390" spans="17:41" x14ac:dyDescent="0.3">
      <c r="Q390" s="93">
        <v>46241</v>
      </c>
      <c r="R390" t="s">
        <v>493</v>
      </c>
      <c r="S390" t="s">
        <v>399</v>
      </c>
      <c r="T390" s="14">
        <v>0</v>
      </c>
      <c r="W390" s="20">
        <v>45918</v>
      </c>
      <c r="X390" t="s">
        <v>274</v>
      </c>
      <c r="Y390" s="23">
        <v>5.8846153846153904</v>
      </c>
      <c r="Z390" s="23">
        <v>5.4307692307692301</v>
      </c>
      <c r="AA390" s="23">
        <v>5.6576923076923098</v>
      </c>
      <c r="AC390" s="19"/>
      <c r="AD390" s="20">
        <v>45947</v>
      </c>
      <c r="AE390" t="s">
        <v>557</v>
      </c>
      <c r="AF390">
        <v>2268.1352613270001</v>
      </c>
      <c r="AG390" s="84">
        <f>DATE(YEAR(His53_DataTT[[#This Row],[RptDate]]),MONTH(His53_DataTT[[#This Row],[RptDate]]),1)</f>
        <v>45931</v>
      </c>
      <c r="AO390" s="14"/>
    </row>
    <row r="391" spans="17:41" x14ac:dyDescent="0.3">
      <c r="Q391" s="93">
        <v>46241</v>
      </c>
      <c r="R391" t="s">
        <v>593</v>
      </c>
      <c r="S391" t="s">
        <v>399</v>
      </c>
      <c r="T391" s="14">
        <v>14249</v>
      </c>
      <c r="W391" s="20">
        <v>45918</v>
      </c>
      <c r="X391" t="s">
        <v>275</v>
      </c>
      <c r="Y391" s="23">
        <v>5.9269230769230798</v>
      </c>
      <c r="Z391" s="23">
        <v>5.4807692307692299</v>
      </c>
      <c r="AA391" s="23">
        <v>5.7038461538461496</v>
      </c>
      <c r="AC391" s="19"/>
      <c r="AD391" s="20">
        <v>45950</v>
      </c>
      <c r="AE391" t="s">
        <v>479</v>
      </c>
      <c r="AF391">
        <v>866.01363362999996</v>
      </c>
      <c r="AG391" s="84">
        <f>DATE(YEAR(His53_DataTT[[#This Row],[RptDate]]),MONTH(His53_DataTT[[#This Row],[RptDate]]),1)</f>
        <v>45931</v>
      </c>
      <c r="AO391" s="14"/>
    </row>
    <row r="392" spans="17:41" x14ac:dyDescent="0.3">
      <c r="Q392" s="93">
        <v>46241</v>
      </c>
      <c r="R392" t="s">
        <v>594</v>
      </c>
      <c r="S392" t="s">
        <v>399</v>
      </c>
      <c r="T392" s="14">
        <v>0</v>
      </c>
      <c r="W392" s="20">
        <v>45918</v>
      </c>
      <c r="X392" t="s">
        <v>276</v>
      </c>
      <c r="Y392" s="23">
        <v>5.9769230769230797</v>
      </c>
      <c r="Z392" s="23">
        <v>5.5230769230769203</v>
      </c>
      <c r="AA392" s="23">
        <v>5.75</v>
      </c>
      <c r="AC392" s="19"/>
      <c r="AD392" s="20">
        <v>45950</v>
      </c>
      <c r="AE392" t="s">
        <v>557</v>
      </c>
      <c r="AF392">
        <v>1996.077332887</v>
      </c>
      <c r="AG392" s="84">
        <f>DATE(YEAR(His53_DataTT[[#This Row],[RptDate]]),MONTH(His53_DataTT[[#This Row],[RptDate]]),1)</f>
        <v>45931</v>
      </c>
      <c r="AO392" s="14"/>
    </row>
    <row r="393" spans="17:41" x14ac:dyDescent="0.3">
      <c r="Q393" s="93">
        <v>46241</v>
      </c>
      <c r="R393" t="s">
        <v>595</v>
      </c>
      <c r="S393" t="s">
        <v>399</v>
      </c>
      <c r="T393" s="14">
        <v>0</v>
      </c>
      <c r="W393" s="20">
        <v>45918</v>
      </c>
      <c r="X393" t="s">
        <v>277</v>
      </c>
      <c r="Y393" s="23">
        <v>6.0423076923076904</v>
      </c>
      <c r="Z393" s="23">
        <v>5.5730769230769202</v>
      </c>
      <c r="AA393" s="23">
        <v>5.8076923076923102</v>
      </c>
      <c r="AC393" s="19"/>
      <c r="AD393" s="20">
        <v>45951</v>
      </c>
      <c r="AE393" t="s">
        <v>479</v>
      </c>
      <c r="AF393">
        <v>1607.6722006970001</v>
      </c>
      <c r="AG393" s="84">
        <f>DATE(YEAR(His53_DataTT[[#This Row],[RptDate]]),MONTH(His53_DataTT[[#This Row],[RptDate]]),1)</f>
        <v>45931</v>
      </c>
      <c r="AO393" s="14"/>
    </row>
    <row r="394" spans="17:41" x14ac:dyDescent="0.3">
      <c r="Q394" s="93">
        <v>46241</v>
      </c>
      <c r="R394" t="s">
        <v>1439</v>
      </c>
      <c r="S394" t="s">
        <v>399</v>
      </c>
      <c r="T394" s="14">
        <v>572.58842592356996</v>
      </c>
      <c r="W394" s="20">
        <v>45918</v>
      </c>
      <c r="X394" t="s">
        <v>278</v>
      </c>
      <c r="Y394" s="23">
        <v>6.1</v>
      </c>
      <c r="Z394" s="23">
        <v>5.6346153846153904</v>
      </c>
      <c r="AA394" s="23">
        <v>5.8673076923076897</v>
      </c>
      <c r="AC394" s="19"/>
      <c r="AD394" s="20">
        <v>45951</v>
      </c>
      <c r="AE394" t="s">
        <v>557</v>
      </c>
      <c r="AF394">
        <v>2010.975741195</v>
      </c>
      <c r="AG394" s="84">
        <f>DATE(YEAR(His53_DataTT[[#This Row],[RptDate]]),MONTH(His53_DataTT[[#This Row],[RptDate]]),1)</f>
        <v>45931</v>
      </c>
      <c r="AO394" s="14"/>
    </row>
    <row r="395" spans="17:41" x14ac:dyDescent="0.3">
      <c r="Q395" s="93">
        <v>46241</v>
      </c>
      <c r="R395" t="s">
        <v>479</v>
      </c>
      <c r="S395" t="s">
        <v>395</v>
      </c>
      <c r="T395" s="14">
        <v>11822.327252732301</v>
      </c>
      <c r="W395" s="20">
        <v>45918</v>
      </c>
      <c r="X395" t="s">
        <v>279</v>
      </c>
      <c r="Y395" s="23">
        <v>6.1346153846153797</v>
      </c>
      <c r="Z395" s="23">
        <v>5.6692307692307704</v>
      </c>
      <c r="AA395" s="23">
        <v>5.9019230769230804</v>
      </c>
      <c r="AC395" s="19"/>
      <c r="AD395" s="20">
        <v>45952</v>
      </c>
      <c r="AE395" t="s">
        <v>479</v>
      </c>
      <c r="AF395">
        <v>1710.873245989</v>
      </c>
      <c r="AG395" s="84">
        <f>DATE(YEAR(His53_DataTT[[#This Row],[RptDate]]),MONTH(His53_DataTT[[#This Row],[RptDate]]),1)</f>
        <v>45931</v>
      </c>
      <c r="AO395" s="14"/>
    </row>
    <row r="396" spans="17:41" x14ac:dyDescent="0.3">
      <c r="Q396" s="93">
        <v>46241</v>
      </c>
      <c r="R396" t="s">
        <v>479</v>
      </c>
      <c r="S396" t="s">
        <v>415</v>
      </c>
      <c r="T396" s="14">
        <v>7.4433492683382703</v>
      </c>
      <c r="W396" s="20">
        <v>45918</v>
      </c>
      <c r="X396" t="s">
        <v>280</v>
      </c>
      <c r="Y396" s="23">
        <v>6.2230769230769196</v>
      </c>
      <c r="Z396" s="23">
        <v>5.7538461538461503</v>
      </c>
      <c r="AA396" s="23">
        <v>5.9884615384615403</v>
      </c>
      <c r="AC396" s="19"/>
      <c r="AD396" s="20">
        <v>45952</v>
      </c>
      <c r="AE396" t="s">
        <v>557</v>
      </c>
      <c r="AF396">
        <v>3786.0483384570002</v>
      </c>
      <c r="AG396" s="84">
        <f>DATE(YEAR(His53_DataTT[[#This Row],[RptDate]]),MONTH(His53_DataTT[[#This Row],[RptDate]]),1)</f>
        <v>45931</v>
      </c>
      <c r="AO396" s="14"/>
    </row>
    <row r="397" spans="17:41" x14ac:dyDescent="0.3">
      <c r="Q397" s="93">
        <v>46241</v>
      </c>
      <c r="R397" t="s">
        <v>364</v>
      </c>
      <c r="S397" t="s">
        <v>415</v>
      </c>
      <c r="T397" s="14">
        <v>6.9636442141623496</v>
      </c>
      <c r="W397" s="20">
        <v>45918</v>
      </c>
      <c r="X397" t="s">
        <v>281</v>
      </c>
      <c r="Y397" s="23">
        <v>6.3</v>
      </c>
      <c r="Z397" s="23">
        <v>5.8538461538461499</v>
      </c>
      <c r="AA397" s="23">
        <v>6.0769230769230802</v>
      </c>
      <c r="AC397" s="19"/>
      <c r="AD397" s="20">
        <v>45953</v>
      </c>
      <c r="AE397" t="s">
        <v>479</v>
      </c>
      <c r="AF397">
        <v>1264.186459154</v>
      </c>
      <c r="AG397" s="84">
        <f>DATE(YEAR(His53_DataTT[[#This Row],[RptDate]]),MONTH(His53_DataTT[[#This Row],[RptDate]]),1)</f>
        <v>45931</v>
      </c>
      <c r="AO397" s="14"/>
    </row>
    <row r="398" spans="17:41" x14ac:dyDescent="0.3">
      <c r="Q398" s="93">
        <v>46241</v>
      </c>
      <c r="R398" t="s">
        <v>516</v>
      </c>
      <c r="S398" t="s">
        <v>415</v>
      </c>
      <c r="T398" s="14">
        <v>7.12878045861898</v>
      </c>
      <c r="W398" s="20">
        <v>45919</v>
      </c>
      <c r="X398" t="s">
        <v>270</v>
      </c>
      <c r="Y398" s="23">
        <v>5.625</v>
      </c>
      <c r="Z398" s="23">
        <v>5.30833333333333</v>
      </c>
      <c r="AA398" s="23">
        <v>5.4666666666666703</v>
      </c>
      <c r="AC398" s="19"/>
      <c r="AD398" s="20">
        <v>45953</v>
      </c>
      <c r="AE398" t="s">
        <v>557</v>
      </c>
      <c r="AF398">
        <v>3494.8420702160001</v>
      </c>
      <c r="AG398" s="84">
        <f>DATE(YEAR(His53_DataTT[[#This Row],[RptDate]]),MONTH(His53_DataTT[[#This Row],[RptDate]]),1)</f>
        <v>45931</v>
      </c>
      <c r="AO398" s="14"/>
    </row>
    <row r="399" spans="17:41" x14ac:dyDescent="0.3">
      <c r="Q399" s="93">
        <v>46241</v>
      </c>
      <c r="R399" t="s">
        <v>1288</v>
      </c>
      <c r="S399" t="s">
        <v>415</v>
      </c>
      <c r="T399" s="14">
        <v>7.4433492683382703</v>
      </c>
      <c r="W399" s="20">
        <v>45919</v>
      </c>
      <c r="X399" t="s">
        <v>271</v>
      </c>
      <c r="Y399" s="23">
        <v>5.9</v>
      </c>
      <c r="Z399" s="23">
        <v>5.4</v>
      </c>
      <c r="AA399" s="23">
        <v>5.65</v>
      </c>
      <c r="AC399" s="19"/>
      <c r="AD399" s="20">
        <v>45954</v>
      </c>
      <c r="AE399" t="s">
        <v>479</v>
      </c>
      <c r="AF399">
        <v>1561.7754625780001</v>
      </c>
      <c r="AG399" s="84">
        <f>DATE(YEAR(His53_DataTT[[#This Row],[RptDate]]),MONTH(His53_DataTT[[#This Row],[RptDate]]),1)</f>
        <v>45931</v>
      </c>
      <c r="AO399" s="14"/>
    </row>
    <row r="400" spans="17:41" x14ac:dyDescent="0.3">
      <c r="Q400" s="93">
        <v>46241</v>
      </c>
      <c r="R400" t="s">
        <v>496</v>
      </c>
      <c r="S400" t="s">
        <v>415</v>
      </c>
      <c r="T400" s="14">
        <v>6.7161757703557603</v>
      </c>
      <c r="W400" s="20">
        <v>45919</v>
      </c>
      <c r="X400" t="s">
        <v>272</v>
      </c>
      <c r="Y400" s="23">
        <v>5.7076923076923096</v>
      </c>
      <c r="Z400" s="23">
        <v>5.2538461538461503</v>
      </c>
      <c r="AA400" s="23">
        <v>5.4807692307692299</v>
      </c>
      <c r="AC400" s="19"/>
      <c r="AD400" s="20">
        <v>45954</v>
      </c>
      <c r="AE400" t="s">
        <v>557</v>
      </c>
      <c r="AF400">
        <v>2716.1442038499999</v>
      </c>
      <c r="AG400" s="84">
        <f>DATE(YEAR(His53_DataTT[[#This Row],[RptDate]]),MONTH(His53_DataTT[[#This Row],[RptDate]]),1)</f>
        <v>45931</v>
      </c>
      <c r="AO400" s="14"/>
    </row>
    <row r="401" spans="17:41" x14ac:dyDescent="0.3">
      <c r="Q401" s="93">
        <v>46241</v>
      </c>
      <c r="R401" t="s">
        <v>1290</v>
      </c>
      <c r="S401" t="s">
        <v>415</v>
      </c>
      <c r="T401" s="14">
        <v>7.0858016305279401</v>
      </c>
      <c r="W401" s="20">
        <v>45919</v>
      </c>
      <c r="X401" t="s">
        <v>273</v>
      </c>
      <c r="Y401" s="23">
        <v>5.8307692307692296</v>
      </c>
      <c r="Z401" s="23">
        <v>5.37692307692308</v>
      </c>
      <c r="AA401" s="23">
        <v>5.6038461538461499</v>
      </c>
      <c r="AC401" s="19"/>
      <c r="AD401" s="20">
        <v>45957</v>
      </c>
      <c r="AE401" t="s">
        <v>479</v>
      </c>
      <c r="AF401">
        <v>503.575753276</v>
      </c>
      <c r="AG401" s="84">
        <f>DATE(YEAR(His53_DataTT[[#This Row],[RptDate]]),MONTH(His53_DataTT[[#This Row],[RptDate]]),1)</f>
        <v>45931</v>
      </c>
      <c r="AO401" s="14"/>
    </row>
    <row r="402" spans="17:41" x14ac:dyDescent="0.3">
      <c r="Q402" s="93">
        <v>46241</v>
      </c>
      <c r="R402" t="s">
        <v>364</v>
      </c>
      <c r="S402" t="s">
        <v>997</v>
      </c>
      <c r="T402" s="14">
        <v>28950</v>
      </c>
      <c r="W402" s="20">
        <v>45919</v>
      </c>
      <c r="X402" t="s">
        <v>274</v>
      </c>
      <c r="Y402" s="23">
        <v>5.8846153846153904</v>
      </c>
      <c r="Z402" s="23">
        <v>5.4307692307692301</v>
      </c>
      <c r="AA402" s="23">
        <v>5.6576923076923098</v>
      </c>
      <c r="AC402" s="19"/>
      <c r="AD402" s="20">
        <v>45957</v>
      </c>
      <c r="AE402" t="s">
        <v>557</v>
      </c>
      <c r="AF402">
        <v>1265.5051234489999</v>
      </c>
      <c r="AG402" s="84">
        <f>DATE(YEAR(His53_DataTT[[#This Row],[RptDate]]),MONTH(His53_DataTT[[#This Row],[RptDate]]),1)</f>
        <v>45931</v>
      </c>
      <c r="AO402" s="14"/>
    </row>
    <row r="403" spans="17:41" x14ac:dyDescent="0.3">
      <c r="Q403" s="93">
        <v>46241</v>
      </c>
      <c r="R403" t="s">
        <v>496</v>
      </c>
      <c r="S403" t="s">
        <v>997</v>
      </c>
      <c r="T403" s="14">
        <v>14701</v>
      </c>
      <c r="W403" s="20">
        <v>45919</v>
      </c>
      <c r="X403" t="s">
        <v>275</v>
      </c>
      <c r="Y403" s="23">
        <v>5.9269230769230798</v>
      </c>
      <c r="Z403" s="23">
        <v>5.4807692307692299</v>
      </c>
      <c r="AA403" s="23">
        <v>5.7038461538461496</v>
      </c>
      <c r="AC403" s="19"/>
      <c r="AD403" s="20">
        <v>45958</v>
      </c>
      <c r="AE403" t="s">
        <v>479</v>
      </c>
      <c r="AF403">
        <v>829.60431588899996</v>
      </c>
      <c r="AG403" s="84">
        <f>DATE(YEAR(His53_DataTT[[#This Row],[RptDate]]),MONTH(His53_DataTT[[#This Row],[RptDate]]),1)</f>
        <v>45931</v>
      </c>
      <c r="AO403" s="14"/>
    </row>
    <row r="404" spans="17:41" x14ac:dyDescent="0.3">
      <c r="Q404" s="93">
        <v>46241</v>
      </c>
      <c r="R404" t="s">
        <v>1388</v>
      </c>
      <c r="S404" t="s">
        <v>997</v>
      </c>
      <c r="T404" s="14">
        <v>15197.6106</v>
      </c>
      <c r="W404" s="20">
        <v>45919</v>
      </c>
      <c r="X404" t="s">
        <v>276</v>
      </c>
      <c r="Y404" s="23">
        <v>5.9769230769230797</v>
      </c>
      <c r="Z404" s="23">
        <v>5.5230769230769203</v>
      </c>
      <c r="AA404" s="23">
        <v>5.75</v>
      </c>
      <c r="AC404" s="19"/>
      <c r="AD404" s="20">
        <v>45958</v>
      </c>
      <c r="AE404" t="s">
        <v>557</v>
      </c>
      <c r="AF404">
        <v>3016.2504254820001</v>
      </c>
      <c r="AG404" s="84">
        <f>DATE(YEAR(His53_DataTT[[#This Row],[RptDate]]),MONTH(His53_DataTT[[#This Row],[RptDate]]),1)</f>
        <v>45931</v>
      </c>
      <c r="AO404" s="14"/>
    </row>
    <row r="405" spans="17:41" x14ac:dyDescent="0.3">
      <c r="Q405" s="93">
        <v>46241</v>
      </c>
      <c r="R405" t="s">
        <v>1389</v>
      </c>
      <c r="S405" t="s">
        <v>997</v>
      </c>
      <c r="T405" s="14">
        <v>14800</v>
      </c>
      <c r="W405" s="20">
        <v>45919</v>
      </c>
      <c r="X405" t="s">
        <v>277</v>
      </c>
      <c r="Y405" s="23">
        <v>6.0423076923076904</v>
      </c>
      <c r="Z405" s="23">
        <v>5.5730769230769202</v>
      </c>
      <c r="AA405" s="23">
        <v>5.8076923076923102</v>
      </c>
      <c r="AC405" s="19"/>
      <c r="AD405" s="20">
        <v>45959</v>
      </c>
      <c r="AE405" t="s">
        <v>479</v>
      </c>
      <c r="AF405">
        <v>1404.820302937</v>
      </c>
      <c r="AG405" s="84">
        <f>DATE(YEAR(His53_DataTT[[#This Row],[RptDate]]),MONTH(His53_DataTT[[#This Row],[RptDate]]),1)</f>
        <v>45931</v>
      </c>
      <c r="AO405" s="14"/>
    </row>
    <row r="406" spans="17:41" x14ac:dyDescent="0.3">
      <c r="Q406" s="93">
        <v>46241</v>
      </c>
      <c r="R406" t="s">
        <v>1390</v>
      </c>
      <c r="S406" t="s">
        <v>997</v>
      </c>
      <c r="T406" s="14">
        <v>397.61059999999998</v>
      </c>
      <c r="W406" s="20">
        <v>45919</v>
      </c>
      <c r="X406" t="s">
        <v>278</v>
      </c>
      <c r="Y406" s="23">
        <v>6.1</v>
      </c>
      <c r="Z406" s="23">
        <v>5.6346153846153904</v>
      </c>
      <c r="AA406" s="23">
        <v>5.8673076923076897</v>
      </c>
      <c r="AC406" s="19"/>
      <c r="AD406" s="20">
        <v>45959</v>
      </c>
      <c r="AE406" t="s">
        <v>557</v>
      </c>
      <c r="AF406">
        <v>1551.043558283</v>
      </c>
      <c r="AG406" s="84">
        <f>DATE(YEAR(His53_DataTT[[#This Row],[RptDate]]),MONTH(His53_DataTT[[#This Row],[RptDate]]),1)</f>
        <v>45931</v>
      </c>
      <c r="AO406" s="14"/>
    </row>
    <row r="407" spans="17:41" x14ac:dyDescent="0.3">
      <c r="Q407" s="93">
        <v>46240</v>
      </c>
      <c r="R407" t="s">
        <v>479</v>
      </c>
      <c r="S407" t="s">
        <v>399</v>
      </c>
      <c r="T407" s="14">
        <v>12770.977026992099</v>
      </c>
      <c r="W407" s="20">
        <v>45919</v>
      </c>
      <c r="X407" t="s">
        <v>279</v>
      </c>
      <c r="Y407" s="23">
        <v>6.1346153846153797</v>
      </c>
      <c r="Z407" s="23">
        <v>5.6692307692307704</v>
      </c>
      <c r="AA407" s="23">
        <v>5.9019230769230804</v>
      </c>
      <c r="AC407" s="19"/>
      <c r="AD407" s="20">
        <v>45960</v>
      </c>
      <c r="AE407" t="s">
        <v>479</v>
      </c>
      <c r="AF407">
        <v>2435.724442787</v>
      </c>
      <c r="AG407" s="84">
        <f>DATE(YEAR(His53_DataTT[[#This Row],[RptDate]]),MONTH(His53_DataTT[[#This Row],[RptDate]]),1)</f>
        <v>45931</v>
      </c>
      <c r="AO407" s="14"/>
    </row>
    <row r="408" spans="17:41" x14ac:dyDescent="0.3">
      <c r="Q408" s="93">
        <v>46240</v>
      </c>
      <c r="R408" t="s">
        <v>364</v>
      </c>
      <c r="S408" t="s">
        <v>399</v>
      </c>
      <c r="T408" s="14">
        <v>25450</v>
      </c>
      <c r="W408" s="20">
        <v>45919</v>
      </c>
      <c r="X408" t="s">
        <v>280</v>
      </c>
      <c r="Y408" s="23">
        <v>6.2230769230769196</v>
      </c>
      <c r="Z408" s="23">
        <v>5.7538461538461503</v>
      </c>
      <c r="AA408" s="23">
        <v>5.9884615384615403</v>
      </c>
      <c r="AC408" s="19"/>
      <c r="AD408" s="20">
        <v>45960</v>
      </c>
      <c r="AE408" t="s">
        <v>557</v>
      </c>
      <c r="AF408">
        <v>1776.783272251</v>
      </c>
      <c r="AG408" s="84">
        <f>DATE(YEAR(His53_DataTT[[#This Row],[RptDate]]),MONTH(His53_DataTT[[#This Row],[RptDate]]),1)</f>
        <v>45931</v>
      </c>
      <c r="AO408" s="14"/>
    </row>
    <row r="409" spans="17:41" x14ac:dyDescent="0.3">
      <c r="Q409" s="93">
        <v>46240</v>
      </c>
      <c r="R409" t="s">
        <v>491</v>
      </c>
      <c r="S409" t="s">
        <v>399</v>
      </c>
      <c r="T409" s="14">
        <v>397.61059999999998</v>
      </c>
      <c r="W409" s="20">
        <v>45919</v>
      </c>
      <c r="X409" t="s">
        <v>281</v>
      </c>
      <c r="Y409" s="23">
        <v>6.3</v>
      </c>
      <c r="Z409" s="23">
        <v>5.8538461538461499</v>
      </c>
      <c r="AA409" s="23">
        <v>6.0769230769230802</v>
      </c>
      <c r="AC409" s="19"/>
      <c r="AD409" s="20">
        <v>45961</v>
      </c>
      <c r="AE409" t="s">
        <v>479</v>
      </c>
      <c r="AF409">
        <v>3377.6919226169998</v>
      </c>
      <c r="AG409" s="84">
        <f>DATE(YEAR(His53_DataTT[[#This Row],[RptDate]]),MONTH(His53_DataTT[[#This Row],[RptDate]]),1)</f>
        <v>45931</v>
      </c>
      <c r="AO409" s="14"/>
    </row>
    <row r="410" spans="17:41" x14ac:dyDescent="0.3">
      <c r="Q410" s="93">
        <v>46240</v>
      </c>
      <c r="R410" t="s">
        <v>492</v>
      </c>
      <c r="S410" t="s">
        <v>399</v>
      </c>
      <c r="T410" s="14">
        <v>11800</v>
      </c>
      <c r="W410" s="20">
        <v>45922</v>
      </c>
      <c r="X410" t="s">
        <v>270</v>
      </c>
      <c r="Y410" s="23">
        <v>5.625</v>
      </c>
      <c r="Z410" s="23">
        <v>5.30833333333333</v>
      </c>
      <c r="AA410" s="23">
        <v>5.4666666666666703</v>
      </c>
      <c r="AC410" s="19"/>
      <c r="AD410" s="20">
        <v>45961</v>
      </c>
      <c r="AE410" t="s">
        <v>557</v>
      </c>
      <c r="AF410">
        <v>4577.0316478759996</v>
      </c>
      <c r="AG410" s="84">
        <f>DATE(YEAR(His53_DataTT[[#This Row],[RptDate]]),MONTH(His53_DataTT[[#This Row],[RptDate]]),1)</f>
        <v>45931</v>
      </c>
      <c r="AO410" s="14"/>
    </row>
    <row r="411" spans="17:41" x14ac:dyDescent="0.3">
      <c r="Q411" s="93">
        <v>46240</v>
      </c>
      <c r="R411" t="s">
        <v>1438</v>
      </c>
      <c r="S411" t="s">
        <v>399</v>
      </c>
      <c r="T411" s="14">
        <v>573.36642699209995</v>
      </c>
      <c r="W411" s="20">
        <v>45922</v>
      </c>
      <c r="X411" t="s">
        <v>271</v>
      </c>
      <c r="Y411" s="23">
        <v>5.8666666666666698</v>
      </c>
      <c r="Z411" s="23">
        <v>5.3666666666666698</v>
      </c>
      <c r="AA411" s="23">
        <v>5.6166666666666698</v>
      </c>
      <c r="AC411" s="19"/>
      <c r="AD411" s="20">
        <v>45964</v>
      </c>
      <c r="AE411" t="s">
        <v>479</v>
      </c>
      <c r="AF411">
        <v>2534.6265032430001</v>
      </c>
      <c r="AG411" s="84">
        <f>DATE(YEAR(His53_DataTT[[#This Row],[RptDate]]),MONTH(His53_DataTT[[#This Row],[RptDate]]),1)</f>
        <v>45962</v>
      </c>
      <c r="AO411" s="14"/>
    </row>
    <row r="412" spans="17:41" x14ac:dyDescent="0.3">
      <c r="Q412" s="93">
        <v>46240</v>
      </c>
      <c r="R412" t="s">
        <v>496</v>
      </c>
      <c r="S412" t="s">
        <v>399</v>
      </c>
      <c r="T412" s="14">
        <v>13676</v>
      </c>
      <c r="W412" s="20">
        <v>45922</v>
      </c>
      <c r="X412" t="s">
        <v>272</v>
      </c>
      <c r="Y412" s="23">
        <v>5.7461538461538497</v>
      </c>
      <c r="Z412" s="23">
        <v>5.2923076923076904</v>
      </c>
      <c r="AA412" s="23">
        <v>5.5192307692307701</v>
      </c>
      <c r="AC412" s="19"/>
      <c r="AD412" s="20">
        <v>45964</v>
      </c>
      <c r="AE412" t="s">
        <v>557</v>
      </c>
      <c r="AF412">
        <v>2815.5401143620002</v>
      </c>
      <c r="AG412" s="84">
        <f>DATE(YEAR(His53_DataTT[[#This Row],[RptDate]]),MONTH(His53_DataTT[[#This Row],[RptDate]]),1)</f>
        <v>45962</v>
      </c>
      <c r="AO412" s="14"/>
    </row>
    <row r="413" spans="17:41" x14ac:dyDescent="0.3">
      <c r="Q413" s="93">
        <v>46240</v>
      </c>
      <c r="R413" t="s">
        <v>497</v>
      </c>
      <c r="S413" t="s">
        <v>399</v>
      </c>
      <c r="T413" s="14">
        <v>397.61059999999998</v>
      </c>
      <c r="W413" s="20">
        <v>45922</v>
      </c>
      <c r="X413" t="s">
        <v>273</v>
      </c>
      <c r="Y413" s="23">
        <v>5.8615384615384603</v>
      </c>
      <c r="Z413" s="23">
        <v>5.4076923076923098</v>
      </c>
      <c r="AA413" s="23">
        <v>5.6346153846153797</v>
      </c>
      <c r="AC413" s="19"/>
      <c r="AD413" s="20">
        <v>45965</v>
      </c>
      <c r="AE413" t="s">
        <v>479</v>
      </c>
      <c r="AF413">
        <v>3286.7596540310001</v>
      </c>
      <c r="AG413" s="84">
        <f>DATE(YEAR(His53_DataTT[[#This Row],[RptDate]]),MONTH(His53_DataTT[[#This Row],[RptDate]]),1)</f>
        <v>45962</v>
      </c>
      <c r="AO413" s="14"/>
    </row>
    <row r="414" spans="17:41" x14ac:dyDescent="0.3">
      <c r="Q414" s="93">
        <v>46240</v>
      </c>
      <c r="R414" t="s">
        <v>498</v>
      </c>
      <c r="S414" t="s">
        <v>399</v>
      </c>
      <c r="T414" s="14">
        <v>11800</v>
      </c>
      <c r="W414" s="20">
        <v>45922</v>
      </c>
      <c r="X414" t="s">
        <v>274</v>
      </c>
      <c r="Y414" s="23">
        <v>5.9230769230769198</v>
      </c>
      <c r="Z414" s="23">
        <v>5.4692307692307702</v>
      </c>
      <c r="AA414" s="23">
        <v>5.6961538461538499</v>
      </c>
      <c r="AC414" s="19"/>
      <c r="AD414" s="20">
        <v>45965</v>
      </c>
      <c r="AE414" t="s">
        <v>557</v>
      </c>
      <c r="AF414">
        <v>1935.2866406170001</v>
      </c>
      <c r="AG414" s="84">
        <f>DATE(YEAR(His53_DataTT[[#This Row],[RptDate]]),MONTH(His53_DataTT[[#This Row],[RptDate]]),1)</f>
        <v>45962</v>
      </c>
      <c r="AO414" s="14"/>
    </row>
    <row r="415" spans="17:41" x14ac:dyDescent="0.3">
      <c r="Q415" s="93">
        <v>46240</v>
      </c>
      <c r="R415" t="s">
        <v>494</v>
      </c>
      <c r="S415" t="s">
        <v>399</v>
      </c>
      <c r="T415" s="14">
        <v>0</v>
      </c>
      <c r="W415" s="20">
        <v>45922</v>
      </c>
      <c r="X415" t="s">
        <v>275</v>
      </c>
      <c r="Y415" s="23">
        <v>5.9653846153846199</v>
      </c>
      <c r="Z415" s="23">
        <v>5.5192307692307701</v>
      </c>
      <c r="AA415" s="23">
        <v>5.7423076923076897</v>
      </c>
      <c r="AC415" s="19"/>
      <c r="AD415" s="20">
        <v>45966</v>
      </c>
      <c r="AE415" t="s">
        <v>479</v>
      </c>
      <c r="AF415">
        <v>1499.6763977139999</v>
      </c>
      <c r="AG415" s="84">
        <f>DATE(YEAR(His53_DataTT[[#This Row],[RptDate]]),MONTH(His53_DataTT[[#This Row],[RptDate]]),1)</f>
        <v>45962</v>
      </c>
      <c r="AO415" s="14"/>
    </row>
    <row r="416" spans="17:41" x14ac:dyDescent="0.3">
      <c r="Q416" s="93">
        <v>46240</v>
      </c>
      <c r="R416" t="s">
        <v>495</v>
      </c>
      <c r="S416" t="s">
        <v>399</v>
      </c>
      <c r="T416" s="14">
        <v>0</v>
      </c>
      <c r="W416" s="20">
        <v>45922</v>
      </c>
      <c r="X416" t="s">
        <v>276</v>
      </c>
      <c r="Y416" s="23">
        <v>6.0076923076923103</v>
      </c>
      <c r="Z416" s="23">
        <v>5.5538461538461599</v>
      </c>
      <c r="AA416" s="23">
        <v>5.7807692307692298</v>
      </c>
      <c r="AC416" s="19"/>
      <c r="AD416" s="20">
        <v>45966</v>
      </c>
      <c r="AE416" t="s">
        <v>557</v>
      </c>
      <c r="AF416">
        <v>2955.5450539389999</v>
      </c>
      <c r="AG416" s="84">
        <f>DATE(YEAR(His53_DataTT[[#This Row],[RptDate]]),MONTH(His53_DataTT[[#This Row],[RptDate]]),1)</f>
        <v>45962</v>
      </c>
      <c r="AO416" s="14"/>
    </row>
    <row r="417" spans="17:41" x14ac:dyDescent="0.3">
      <c r="Q417" s="93">
        <v>46240</v>
      </c>
      <c r="R417" t="s">
        <v>493</v>
      </c>
      <c r="S417" t="s">
        <v>399</v>
      </c>
      <c r="T417" s="14">
        <v>0</v>
      </c>
      <c r="W417" s="20">
        <v>45922</v>
      </c>
      <c r="X417" t="s">
        <v>277</v>
      </c>
      <c r="Y417" s="23">
        <v>6.0730769230769202</v>
      </c>
      <c r="Z417" s="23">
        <v>5.6038461538461597</v>
      </c>
      <c r="AA417" s="23">
        <v>5.8384615384615399</v>
      </c>
      <c r="AC417" s="19"/>
      <c r="AD417" s="20">
        <v>45967</v>
      </c>
      <c r="AE417" t="s">
        <v>479</v>
      </c>
      <c r="AF417">
        <v>1555.7396588209999</v>
      </c>
      <c r="AG417" s="84">
        <f>DATE(YEAR(His53_DataTT[[#This Row],[RptDate]]),MONTH(His53_DataTT[[#This Row],[RptDate]]),1)</f>
        <v>45962</v>
      </c>
      <c r="AO417" s="14"/>
    </row>
    <row r="418" spans="17:41" x14ac:dyDescent="0.3">
      <c r="Q418" s="93">
        <v>46240</v>
      </c>
      <c r="R418" t="s">
        <v>593</v>
      </c>
      <c r="S418" t="s">
        <v>399</v>
      </c>
      <c r="T418" s="14">
        <v>11774</v>
      </c>
      <c r="W418" s="20">
        <v>45922</v>
      </c>
      <c r="X418" t="s">
        <v>278</v>
      </c>
      <c r="Y418" s="23">
        <v>6.1307692307692303</v>
      </c>
      <c r="Z418" s="23">
        <v>5.6653846153846201</v>
      </c>
      <c r="AA418" s="23">
        <v>5.8980769230769203</v>
      </c>
      <c r="AC418" s="19"/>
      <c r="AD418" s="20">
        <v>45967</v>
      </c>
      <c r="AE418" t="s">
        <v>557</v>
      </c>
      <c r="AF418">
        <v>4494.7042593830001</v>
      </c>
      <c r="AG418" s="84">
        <f>DATE(YEAR(His53_DataTT[[#This Row],[RptDate]]),MONTH(His53_DataTT[[#This Row],[RptDate]]),1)</f>
        <v>45962</v>
      </c>
      <c r="AO418" s="14"/>
    </row>
    <row r="419" spans="17:41" x14ac:dyDescent="0.3">
      <c r="Q419" s="93">
        <v>46240</v>
      </c>
      <c r="R419" t="s">
        <v>594</v>
      </c>
      <c r="S419" t="s">
        <v>399</v>
      </c>
      <c r="T419" s="14">
        <v>0</v>
      </c>
      <c r="W419" s="20">
        <v>45922</v>
      </c>
      <c r="X419" t="s">
        <v>279</v>
      </c>
      <c r="Y419" s="23">
        <v>6.1653846153846104</v>
      </c>
      <c r="Z419" s="23">
        <v>5.7</v>
      </c>
      <c r="AA419" s="23">
        <v>5.9326923076923102</v>
      </c>
      <c r="AC419" s="19"/>
      <c r="AD419" s="20">
        <v>45968</v>
      </c>
      <c r="AE419" t="s">
        <v>479</v>
      </c>
      <c r="AF419">
        <v>1032.19529708</v>
      </c>
      <c r="AG419" s="84">
        <f>DATE(YEAR(His53_DataTT[[#This Row],[RptDate]]),MONTH(His53_DataTT[[#This Row],[RptDate]]),1)</f>
        <v>45962</v>
      </c>
      <c r="AO419" s="14"/>
    </row>
    <row r="420" spans="17:41" x14ac:dyDescent="0.3">
      <c r="Q420" s="93">
        <v>46240</v>
      </c>
      <c r="R420" t="s">
        <v>595</v>
      </c>
      <c r="S420" t="s">
        <v>399</v>
      </c>
      <c r="T420" s="14">
        <v>0</v>
      </c>
      <c r="W420" s="20">
        <v>45922</v>
      </c>
      <c r="X420" t="s">
        <v>280</v>
      </c>
      <c r="Y420" s="23">
        <v>6.25384615384616</v>
      </c>
      <c r="Z420" s="23">
        <v>5.7846153846153898</v>
      </c>
      <c r="AA420" s="23">
        <v>6.0192307692307701</v>
      </c>
      <c r="AC420" s="19"/>
      <c r="AD420" s="20">
        <v>45968</v>
      </c>
      <c r="AE420" t="s">
        <v>557</v>
      </c>
      <c r="AF420">
        <v>1694.3068636549999</v>
      </c>
      <c r="AG420" s="84">
        <f>DATE(YEAR(His53_DataTT[[#This Row],[RptDate]]),MONTH(His53_DataTT[[#This Row],[RptDate]]),1)</f>
        <v>45962</v>
      </c>
      <c r="AO420" s="14"/>
    </row>
    <row r="421" spans="17:41" x14ac:dyDescent="0.3">
      <c r="Q421" s="93">
        <v>46240</v>
      </c>
      <c r="R421" t="s">
        <v>1439</v>
      </c>
      <c r="S421" t="s">
        <v>399</v>
      </c>
      <c r="T421" s="14">
        <v>573.36642699209995</v>
      </c>
      <c r="W421" s="20">
        <v>45922</v>
      </c>
      <c r="X421" t="s">
        <v>281</v>
      </c>
      <c r="Y421" s="23">
        <v>6.3230769230769299</v>
      </c>
      <c r="Z421" s="23">
        <v>5.87692307692308</v>
      </c>
      <c r="AA421" s="23">
        <v>6.1</v>
      </c>
      <c r="AC421" s="19"/>
      <c r="AD421" s="20">
        <v>45971</v>
      </c>
      <c r="AE421" t="s">
        <v>479</v>
      </c>
      <c r="AF421">
        <v>1731.1362451489999</v>
      </c>
      <c r="AG421" s="84">
        <f>DATE(YEAR(His53_DataTT[[#This Row],[RptDate]]),MONTH(His53_DataTT[[#This Row],[RptDate]]),1)</f>
        <v>45962</v>
      </c>
      <c r="AO421" s="14"/>
    </row>
    <row r="422" spans="17:41" x14ac:dyDescent="0.3">
      <c r="Q422" s="93">
        <v>46240</v>
      </c>
      <c r="R422" t="s">
        <v>479</v>
      </c>
      <c r="S422" t="s">
        <v>395</v>
      </c>
      <c r="T422" s="14">
        <v>11859.829516193</v>
      </c>
      <c r="W422" s="20">
        <v>45923</v>
      </c>
      <c r="X422" t="s">
        <v>270</v>
      </c>
      <c r="Y422" s="23">
        <v>5.6583333333333297</v>
      </c>
      <c r="Z422" s="23">
        <v>5.3416666666666703</v>
      </c>
      <c r="AA422" s="23">
        <v>5.5</v>
      </c>
      <c r="AC422" s="19"/>
      <c r="AD422" s="20">
        <v>45971</v>
      </c>
      <c r="AE422" t="s">
        <v>557</v>
      </c>
      <c r="AF422">
        <v>1505.114813402</v>
      </c>
      <c r="AG422" s="84">
        <f>DATE(YEAR(His53_DataTT[[#This Row],[RptDate]]),MONTH(His53_DataTT[[#This Row],[RptDate]]),1)</f>
        <v>45962</v>
      </c>
      <c r="AO422" s="14"/>
    </row>
    <row r="423" spans="17:41" x14ac:dyDescent="0.3">
      <c r="Q423" s="93">
        <v>46240</v>
      </c>
      <c r="R423" t="s">
        <v>479</v>
      </c>
      <c r="S423" t="s">
        <v>415</v>
      </c>
      <c r="T423" s="14">
        <v>7.4433492683382703</v>
      </c>
      <c r="W423" s="20">
        <v>45923</v>
      </c>
      <c r="X423" t="s">
        <v>271</v>
      </c>
      <c r="Y423" s="23">
        <v>5.8666666666666698</v>
      </c>
      <c r="Z423" s="23">
        <v>5.3666666666666698</v>
      </c>
      <c r="AA423" s="23">
        <v>5.6166666666666698</v>
      </c>
      <c r="AC423" s="19"/>
      <c r="AD423" s="20">
        <v>45972</v>
      </c>
      <c r="AE423" t="s">
        <v>479</v>
      </c>
      <c r="AF423">
        <v>2063.9630117450001</v>
      </c>
      <c r="AG423" s="84">
        <f>DATE(YEAR(His53_DataTT[[#This Row],[RptDate]]),MONTH(His53_DataTT[[#This Row],[RptDate]]),1)</f>
        <v>45962</v>
      </c>
      <c r="AO423" s="14"/>
    </row>
    <row r="424" spans="17:41" x14ac:dyDescent="0.3">
      <c r="Q424" s="93">
        <v>46240</v>
      </c>
      <c r="R424" t="s">
        <v>364</v>
      </c>
      <c r="S424" t="s">
        <v>415</v>
      </c>
      <c r="T424" s="14">
        <v>6.9636442141623496</v>
      </c>
      <c r="W424" s="20">
        <v>45923</v>
      </c>
      <c r="X424" t="s">
        <v>272</v>
      </c>
      <c r="Y424" s="23">
        <v>5.7153846153846199</v>
      </c>
      <c r="Z424" s="23">
        <v>5.2615384615384597</v>
      </c>
      <c r="AA424" s="23">
        <v>5.4884615384615403</v>
      </c>
      <c r="AC424" s="19"/>
      <c r="AD424" s="20">
        <v>45972</v>
      </c>
      <c r="AE424" t="s">
        <v>557</v>
      </c>
      <c r="AF424">
        <v>2222.2505329219998</v>
      </c>
      <c r="AG424" s="84">
        <f>DATE(YEAR(His53_DataTT[[#This Row],[RptDate]]),MONTH(His53_DataTT[[#This Row],[RptDate]]),1)</f>
        <v>45962</v>
      </c>
      <c r="AO424" s="14"/>
    </row>
    <row r="425" spans="17:41" x14ac:dyDescent="0.3">
      <c r="Q425" s="93">
        <v>46240</v>
      </c>
      <c r="R425" t="s">
        <v>516</v>
      </c>
      <c r="S425" t="s">
        <v>415</v>
      </c>
      <c r="T425" s="14">
        <v>7.12878045861898</v>
      </c>
      <c r="W425" s="20">
        <v>45923</v>
      </c>
      <c r="X425" t="s">
        <v>273</v>
      </c>
      <c r="Y425" s="23">
        <v>5.8307692307692296</v>
      </c>
      <c r="Z425" s="23">
        <v>5.37692307692308</v>
      </c>
      <c r="AA425" s="23">
        <v>5.6038461538461499</v>
      </c>
      <c r="AC425" s="19"/>
      <c r="AD425" s="20">
        <v>45973</v>
      </c>
      <c r="AE425" t="s">
        <v>479</v>
      </c>
      <c r="AF425">
        <v>1570.2022567930001</v>
      </c>
      <c r="AG425" s="84">
        <f>DATE(YEAR(His53_DataTT[[#This Row],[RptDate]]),MONTH(His53_DataTT[[#This Row],[RptDate]]),1)</f>
        <v>45962</v>
      </c>
      <c r="AO425" s="14"/>
    </row>
    <row r="426" spans="17:41" x14ac:dyDescent="0.3">
      <c r="Q426" s="93">
        <v>46240</v>
      </c>
      <c r="R426" t="s">
        <v>1288</v>
      </c>
      <c r="S426" t="s">
        <v>415</v>
      </c>
      <c r="T426" s="14">
        <v>7.4433492683382703</v>
      </c>
      <c r="W426" s="20">
        <v>45923</v>
      </c>
      <c r="X426" t="s">
        <v>274</v>
      </c>
      <c r="Y426" s="23">
        <v>5.89230769230769</v>
      </c>
      <c r="Z426" s="23">
        <v>5.4384615384615396</v>
      </c>
      <c r="AA426" s="23">
        <v>5.6653846153846201</v>
      </c>
      <c r="AC426" s="19"/>
      <c r="AD426" s="20">
        <v>45973</v>
      </c>
      <c r="AE426" t="s">
        <v>557</v>
      </c>
      <c r="AF426">
        <v>1164.7955840029999</v>
      </c>
      <c r="AG426" s="84">
        <f>DATE(YEAR(His53_DataTT[[#This Row],[RptDate]]),MONTH(His53_DataTT[[#This Row],[RptDate]]),1)</f>
        <v>45962</v>
      </c>
      <c r="AO426" s="14"/>
    </row>
    <row r="427" spans="17:41" x14ac:dyDescent="0.3">
      <c r="Q427" s="93">
        <v>46240</v>
      </c>
      <c r="R427" t="s">
        <v>496</v>
      </c>
      <c r="S427" t="s">
        <v>415</v>
      </c>
      <c r="T427" s="14">
        <v>6.8114927806241301</v>
      </c>
      <c r="W427" s="20">
        <v>45923</v>
      </c>
      <c r="X427" t="s">
        <v>275</v>
      </c>
      <c r="Y427" s="23">
        <v>5.9269230769230798</v>
      </c>
      <c r="Z427" s="23">
        <v>5.4807692307692299</v>
      </c>
      <c r="AA427" s="23">
        <v>5.7038461538461496</v>
      </c>
      <c r="AC427" s="19"/>
      <c r="AD427" s="20">
        <v>45974</v>
      </c>
      <c r="AE427" t="s">
        <v>479</v>
      </c>
      <c r="AF427">
        <v>2272.6991948770001</v>
      </c>
      <c r="AG427" s="84">
        <f>DATE(YEAR(His53_DataTT[[#This Row],[RptDate]]),MONTH(His53_DataTT[[#This Row],[RptDate]]),1)</f>
        <v>45962</v>
      </c>
      <c r="AO427" s="14"/>
    </row>
    <row r="428" spans="17:41" x14ac:dyDescent="0.3">
      <c r="Q428" s="93">
        <v>46240</v>
      </c>
      <c r="R428" t="s">
        <v>1290</v>
      </c>
      <c r="S428" t="s">
        <v>415</v>
      </c>
      <c r="T428" s="14">
        <v>7.1081142781151501</v>
      </c>
      <c r="W428" s="20">
        <v>45923</v>
      </c>
      <c r="X428" t="s">
        <v>276</v>
      </c>
      <c r="Y428" s="23">
        <v>5.9769230769230797</v>
      </c>
      <c r="Z428" s="23">
        <v>5.5230769230769203</v>
      </c>
      <c r="AA428" s="23">
        <v>5.75</v>
      </c>
      <c r="AC428" s="19"/>
      <c r="AD428" s="20">
        <v>45974</v>
      </c>
      <c r="AE428" t="s">
        <v>557</v>
      </c>
      <c r="AF428">
        <v>3802.203304829</v>
      </c>
      <c r="AG428" s="84">
        <f>DATE(YEAR(His53_DataTT[[#This Row],[RptDate]]),MONTH(His53_DataTT[[#This Row],[RptDate]]),1)</f>
        <v>45962</v>
      </c>
      <c r="AO428" s="14"/>
    </row>
    <row r="429" spans="17:41" x14ac:dyDescent="0.3">
      <c r="Q429" s="93">
        <v>46240</v>
      </c>
      <c r="R429" t="s">
        <v>364</v>
      </c>
      <c r="S429" t="s">
        <v>997</v>
      </c>
      <c r="T429" s="14">
        <v>28950</v>
      </c>
      <c r="W429" s="20">
        <v>45923</v>
      </c>
      <c r="X429" t="s">
        <v>277</v>
      </c>
      <c r="Y429" s="23">
        <v>6.0423076923076904</v>
      </c>
      <c r="Z429" s="23">
        <v>5.5730769230769202</v>
      </c>
      <c r="AA429" s="23">
        <v>5.8076923076923102</v>
      </c>
      <c r="AC429" s="19"/>
      <c r="AD429" s="20">
        <v>45975</v>
      </c>
      <c r="AE429" t="s">
        <v>479</v>
      </c>
      <c r="AF429">
        <v>2113.5186441350002</v>
      </c>
      <c r="AG429" s="84">
        <f>DATE(YEAR(His53_DataTT[[#This Row],[RptDate]]),MONTH(His53_DataTT[[#This Row],[RptDate]]),1)</f>
        <v>45962</v>
      </c>
      <c r="AO429" s="14"/>
    </row>
    <row r="430" spans="17:41" x14ac:dyDescent="0.3">
      <c r="Q430" s="93">
        <v>46240</v>
      </c>
      <c r="R430" t="s">
        <v>496</v>
      </c>
      <c r="S430" t="s">
        <v>997</v>
      </c>
      <c r="T430" s="14">
        <v>17176</v>
      </c>
      <c r="W430" s="20">
        <v>45923</v>
      </c>
      <c r="X430" t="s">
        <v>278</v>
      </c>
      <c r="Y430" s="23">
        <v>6.1</v>
      </c>
      <c r="Z430" s="23">
        <v>5.6346153846153904</v>
      </c>
      <c r="AA430" s="23">
        <v>5.8673076923076897</v>
      </c>
      <c r="AC430" s="19"/>
      <c r="AD430" s="20">
        <v>45975</v>
      </c>
      <c r="AE430" t="s">
        <v>557</v>
      </c>
      <c r="AF430">
        <v>1817.329021648</v>
      </c>
      <c r="AG430" s="84">
        <f>DATE(YEAR(His53_DataTT[[#This Row],[RptDate]]),MONTH(His53_DataTT[[#This Row],[RptDate]]),1)</f>
        <v>45962</v>
      </c>
      <c r="AO430" s="14"/>
    </row>
    <row r="431" spans="17:41" x14ac:dyDescent="0.3">
      <c r="Q431" s="93">
        <v>46240</v>
      </c>
      <c r="R431" t="s">
        <v>1388</v>
      </c>
      <c r="S431" t="s">
        <v>997</v>
      </c>
      <c r="T431" s="14">
        <v>15197.6106</v>
      </c>
      <c r="W431" s="20">
        <v>45923</v>
      </c>
      <c r="X431" t="s">
        <v>279</v>
      </c>
      <c r="Y431" s="23">
        <v>6.1346153846153797</v>
      </c>
      <c r="Z431" s="23">
        <v>5.6692307692307704</v>
      </c>
      <c r="AA431" s="23">
        <v>5.9019230769230804</v>
      </c>
      <c r="AC431" s="19"/>
      <c r="AD431" s="20">
        <v>45978</v>
      </c>
      <c r="AE431" t="s">
        <v>479</v>
      </c>
      <c r="AF431">
        <v>1384.303121663</v>
      </c>
      <c r="AG431" s="84">
        <f>DATE(YEAR(His53_DataTT[[#This Row],[RptDate]]),MONTH(His53_DataTT[[#This Row],[RptDate]]),1)</f>
        <v>45962</v>
      </c>
      <c r="AO431" s="14"/>
    </row>
    <row r="432" spans="17:41" x14ac:dyDescent="0.3">
      <c r="Q432" s="93">
        <v>46240</v>
      </c>
      <c r="R432" t="s">
        <v>1389</v>
      </c>
      <c r="S432" t="s">
        <v>997</v>
      </c>
      <c r="T432" s="14">
        <v>14800</v>
      </c>
      <c r="W432" s="20">
        <v>45923</v>
      </c>
      <c r="X432" t="s">
        <v>280</v>
      </c>
      <c r="Y432" s="23">
        <v>6.2230769230769196</v>
      </c>
      <c r="Z432" s="23">
        <v>5.7538461538461503</v>
      </c>
      <c r="AA432" s="23">
        <v>5.9884615384615403</v>
      </c>
      <c r="AC432" s="19"/>
      <c r="AD432" s="20">
        <v>45978</v>
      </c>
      <c r="AE432" t="s">
        <v>557</v>
      </c>
      <c r="AF432">
        <v>1906.57573727</v>
      </c>
      <c r="AG432" s="84">
        <f>DATE(YEAR(His53_DataTT[[#This Row],[RptDate]]),MONTH(His53_DataTT[[#This Row],[RptDate]]),1)</f>
        <v>45962</v>
      </c>
      <c r="AO432" s="14"/>
    </row>
    <row r="433" spans="17:41" x14ac:dyDescent="0.3">
      <c r="Q433" s="93">
        <v>46240</v>
      </c>
      <c r="R433" t="s">
        <v>1390</v>
      </c>
      <c r="S433" t="s">
        <v>997</v>
      </c>
      <c r="T433" s="14">
        <v>397.61059999999998</v>
      </c>
      <c r="W433" s="20">
        <v>45923</v>
      </c>
      <c r="X433" t="s">
        <v>281</v>
      </c>
      <c r="Y433" s="23">
        <v>6.3</v>
      </c>
      <c r="Z433" s="23">
        <v>5.8538461538461499</v>
      </c>
      <c r="AA433" s="23">
        <v>6.0769230769230802</v>
      </c>
      <c r="AC433" s="19"/>
      <c r="AD433" s="20">
        <v>45979</v>
      </c>
      <c r="AE433" t="s">
        <v>479</v>
      </c>
      <c r="AF433">
        <v>1614.5267528869999</v>
      </c>
      <c r="AG433" s="84">
        <f>DATE(YEAR(His53_DataTT[[#This Row],[RptDate]]),MONTH(His53_DataTT[[#This Row],[RptDate]]),1)</f>
        <v>45962</v>
      </c>
      <c r="AO433" s="14"/>
    </row>
    <row r="434" spans="17:41" x14ac:dyDescent="0.3">
      <c r="Q434" s="93">
        <v>46239</v>
      </c>
      <c r="R434" t="s">
        <v>364</v>
      </c>
      <c r="S434" t="s">
        <v>997</v>
      </c>
      <c r="T434" s="14">
        <v>28750</v>
      </c>
      <c r="W434" s="20">
        <v>45924</v>
      </c>
      <c r="X434" t="s">
        <v>270</v>
      </c>
      <c r="Y434" s="23">
        <v>5.6583333333333297</v>
      </c>
      <c r="Z434" s="23">
        <v>5.3416666666666703</v>
      </c>
      <c r="AA434" s="23">
        <v>5.5</v>
      </c>
      <c r="AC434" s="19"/>
      <c r="AD434" s="20">
        <v>45979</v>
      </c>
      <c r="AE434" t="s">
        <v>557</v>
      </c>
      <c r="AF434">
        <v>1264.7129678419999</v>
      </c>
      <c r="AG434" s="84">
        <f>DATE(YEAR(His53_DataTT[[#This Row],[RptDate]]),MONTH(His53_DataTT[[#This Row],[RptDate]]),1)</f>
        <v>45962</v>
      </c>
      <c r="AO434" s="14"/>
    </row>
    <row r="435" spans="17:41" x14ac:dyDescent="0.3">
      <c r="Q435" s="93">
        <v>46239</v>
      </c>
      <c r="R435" t="s">
        <v>496</v>
      </c>
      <c r="S435" t="s">
        <v>997</v>
      </c>
      <c r="T435" s="14">
        <v>18376</v>
      </c>
      <c r="W435" s="20">
        <v>45924</v>
      </c>
      <c r="X435" t="s">
        <v>271</v>
      </c>
      <c r="Y435" s="23">
        <v>5.8666666666666698</v>
      </c>
      <c r="Z435" s="23">
        <v>5.3666666666666698</v>
      </c>
      <c r="AA435" s="23">
        <v>5.6166666666666698</v>
      </c>
      <c r="AC435" s="19"/>
      <c r="AD435" s="20">
        <v>45980</v>
      </c>
      <c r="AE435" t="s">
        <v>479</v>
      </c>
      <c r="AF435">
        <v>1263.973199539</v>
      </c>
      <c r="AG435" s="84">
        <f>DATE(YEAR(His53_DataTT[[#This Row],[RptDate]]),MONTH(His53_DataTT[[#This Row],[RptDate]]),1)</f>
        <v>45962</v>
      </c>
      <c r="AO435" s="14"/>
    </row>
    <row r="436" spans="17:41" x14ac:dyDescent="0.3">
      <c r="Q436" s="93">
        <v>46239</v>
      </c>
      <c r="R436" t="s">
        <v>1388</v>
      </c>
      <c r="S436" t="s">
        <v>997</v>
      </c>
      <c r="T436" s="14">
        <v>15197.6106</v>
      </c>
      <c r="W436" s="20">
        <v>45924</v>
      </c>
      <c r="X436" t="s">
        <v>272</v>
      </c>
      <c r="Y436" s="23">
        <v>5.7461538461538497</v>
      </c>
      <c r="Z436" s="23">
        <v>5.2923076923076904</v>
      </c>
      <c r="AA436" s="23">
        <v>5.5192307692307701</v>
      </c>
      <c r="AC436" s="19"/>
      <c r="AD436" s="20">
        <v>45980</v>
      </c>
      <c r="AE436" t="s">
        <v>557</v>
      </c>
      <c r="AF436">
        <v>4047.032372136</v>
      </c>
      <c r="AG436" s="84">
        <f>DATE(YEAR(His53_DataTT[[#This Row],[RptDate]]),MONTH(His53_DataTT[[#This Row],[RptDate]]),1)</f>
        <v>45962</v>
      </c>
      <c r="AO436" s="14"/>
    </row>
    <row r="437" spans="17:41" x14ac:dyDescent="0.3">
      <c r="Q437" s="93">
        <v>46239</v>
      </c>
      <c r="R437" t="s">
        <v>1389</v>
      </c>
      <c r="S437" t="s">
        <v>997</v>
      </c>
      <c r="T437" s="14">
        <v>14800</v>
      </c>
      <c r="W437" s="20">
        <v>45924</v>
      </c>
      <c r="X437" t="s">
        <v>273</v>
      </c>
      <c r="Y437" s="23">
        <v>5.8615384615384603</v>
      </c>
      <c r="Z437" s="23">
        <v>5.4076923076923098</v>
      </c>
      <c r="AA437" s="23">
        <v>5.6346153846153797</v>
      </c>
      <c r="AC437" s="19"/>
      <c r="AD437" s="20">
        <v>45981</v>
      </c>
      <c r="AE437" t="s">
        <v>479</v>
      </c>
      <c r="AF437">
        <v>4288.9842883969995</v>
      </c>
      <c r="AG437" s="84">
        <f>DATE(YEAR(His53_DataTT[[#This Row],[RptDate]]),MONTH(His53_DataTT[[#This Row],[RptDate]]),1)</f>
        <v>45962</v>
      </c>
      <c r="AO437" s="14"/>
    </row>
    <row r="438" spans="17:41" x14ac:dyDescent="0.3">
      <c r="Q438" s="93">
        <v>46239</v>
      </c>
      <c r="R438" t="s">
        <v>1390</v>
      </c>
      <c r="S438" t="s">
        <v>997</v>
      </c>
      <c r="T438" s="14">
        <v>397.61059999999998</v>
      </c>
      <c r="W438" s="20">
        <v>45924</v>
      </c>
      <c r="X438" t="s">
        <v>274</v>
      </c>
      <c r="Y438" s="23">
        <v>5.9230769230769198</v>
      </c>
      <c r="Z438" s="23">
        <v>5.4692307692307702</v>
      </c>
      <c r="AA438" s="23">
        <v>5.6961538461538499</v>
      </c>
      <c r="AC438" s="19"/>
      <c r="AD438" s="20">
        <v>45981</v>
      </c>
      <c r="AE438" t="s">
        <v>557</v>
      </c>
      <c r="AF438">
        <v>937.096380823</v>
      </c>
      <c r="AG438" s="84">
        <f>DATE(YEAR(His53_DataTT[[#This Row],[RptDate]]),MONTH(His53_DataTT[[#This Row],[RptDate]]),1)</f>
        <v>45962</v>
      </c>
      <c r="AO438" s="14"/>
    </row>
    <row r="439" spans="17:41" x14ac:dyDescent="0.3">
      <c r="Q439" s="93">
        <v>46239</v>
      </c>
      <c r="R439" t="s">
        <v>479</v>
      </c>
      <c r="S439" t="s">
        <v>399</v>
      </c>
      <c r="T439" s="14">
        <v>12771.307001152099</v>
      </c>
      <c r="W439" s="20">
        <v>45924</v>
      </c>
      <c r="X439" t="s">
        <v>275</v>
      </c>
      <c r="Y439" s="23">
        <v>5.9653846153846199</v>
      </c>
      <c r="Z439" s="23">
        <v>5.5192307692307701</v>
      </c>
      <c r="AA439" s="23">
        <v>5.7423076923076897</v>
      </c>
      <c r="AC439" s="19"/>
      <c r="AD439" s="20">
        <v>45982</v>
      </c>
      <c r="AE439" t="s">
        <v>479</v>
      </c>
      <c r="AF439">
        <v>4672.4086668469999</v>
      </c>
      <c r="AG439" s="84">
        <f>DATE(YEAR(His53_DataTT[[#This Row],[RptDate]]),MONTH(His53_DataTT[[#This Row],[RptDate]]),1)</f>
        <v>45962</v>
      </c>
      <c r="AO439" s="14"/>
    </row>
    <row r="440" spans="17:41" x14ac:dyDescent="0.3">
      <c r="Q440" s="93">
        <v>46239</v>
      </c>
      <c r="R440" t="s">
        <v>364</v>
      </c>
      <c r="S440" t="s">
        <v>399</v>
      </c>
      <c r="T440" s="14">
        <v>25250</v>
      </c>
      <c r="W440" s="20">
        <v>45924</v>
      </c>
      <c r="X440" t="s">
        <v>276</v>
      </c>
      <c r="Y440" s="23">
        <v>6.0076923076923103</v>
      </c>
      <c r="Z440" s="23">
        <v>5.5538461538461599</v>
      </c>
      <c r="AA440" s="23">
        <v>5.7807692307692298</v>
      </c>
      <c r="AC440" s="19"/>
      <c r="AD440" s="20">
        <v>45982</v>
      </c>
      <c r="AE440" t="s">
        <v>557</v>
      </c>
      <c r="AF440">
        <v>1892.6507877490001</v>
      </c>
      <c r="AG440" s="84">
        <f>DATE(YEAR(His53_DataTT[[#This Row],[RptDate]]),MONTH(His53_DataTT[[#This Row],[RptDate]]),1)</f>
        <v>45962</v>
      </c>
      <c r="AO440" s="14"/>
    </row>
    <row r="441" spans="17:41" x14ac:dyDescent="0.3">
      <c r="Q441" s="93">
        <v>46239</v>
      </c>
      <c r="R441" t="s">
        <v>491</v>
      </c>
      <c r="S441" t="s">
        <v>399</v>
      </c>
      <c r="T441" s="14">
        <v>397.61059999999998</v>
      </c>
      <c r="W441" s="20">
        <v>45924</v>
      </c>
      <c r="X441" t="s">
        <v>277</v>
      </c>
      <c r="Y441" s="23">
        <v>6.0730769230769202</v>
      </c>
      <c r="Z441" s="23">
        <v>5.6038461538461597</v>
      </c>
      <c r="AA441" s="23">
        <v>5.8384615384615399</v>
      </c>
      <c r="AC441" s="19"/>
      <c r="AD441" s="20">
        <v>45985</v>
      </c>
      <c r="AE441" t="s">
        <v>479</v>
      </c>
      <c r="AF441">
        <v>2903.3476389950001</v>
      </c>
      <c r="AG441" s="84">
        <f>DATE(YEAR(His53_DataTT[[#This Row],[RptDate]]),MONTH(His53_DataTT[[#This Row],[RptDate]]),1)</f>
        <v>45962</v>
      </c>
      <c r="AO441" s="14"/>
    </row>
    <row r="442" spans="17:41" x14ac:dyDescent="0.3">
      <c r="Q442" s="93">
        <v>46239</v>
      </c>
      <c r="R442" t="s">
        <v>492</v>
      </c>
      <c r="S442" t="s">
        <v>399</v>
      </c>
      <c r="T442" s="14">
        <v>11800</v>
      </c>
      <c r="W442" s="20">
        <v>45924</v>
      </c>
      <c r="X442" t="s">
        <v>278</v>
      </c>
      <c r="Y442" s="23">
        <v>6.1307692307692303</v>
      </c>
      <c r="Z442" s="23">
        <v>5.6653846153846201</v>
      </c>
      <c r="AA442" s="23">
        <v>5.8980769230769203</v>
      </c>
      <c r="AC442" s="19"/>
      <c r="AD442" s="20">
        <v>45985</v>
      </c>
      <c r="AE442" t="s">
        <v>557</v>
      </c>
      <c r="AF442">
        <v>2589.6671088200001</v>
      </c>
      <c r="AG442" s="84">
        <f>DATE(YEAR(His53_DataTT[[#This Row],[RptDate]]),MONTH(His53_DataTT[[#This Row],[RptDate]]),1)</f>
        <v>45962</v>
      </c>
      <c r="AO442" s="14"/>
    </row>
    <row r="443" spans="17:41" x14ac:dyDescent="0.3">
      <c r="Q443" s="93">
        <v>46239</v>
      </c>
      <c r="R443" t="s">
        <v>1438</v>
      </c>
      <c r="S443" t="s">
        <v>399</v>
      </c>
      <c r="T443" s="14">
        <v>573.69640115213997</v>
      </c>
      <c r="W443" s="20">
        <v>45924</v>
      </c>
      <c r="X443" t="s">
        <v>279</v>
      </c>
      <c r="Y443" s="23">
        <v>6.1653846153846104</v>
      </c>
      <c r="Z443" s="23">
        <v>5.7</v>
      </c>
      <c r="AA443" s="23">
        <v>5.9326923076923102</v>
      </c>
      <c r="AC443" s="19"/>
      <c r="AD443" s="20">
        <v>45986</v>
      </c>
      <c r="AE443" t="s">
        <v>479</v>
      </c>
      <c r="AF443">
        <v>3929.0910303189999</v>
      </c>
      <c r="AG443" s="84">
        <f>DATE(YEAR(His53_DataTT[[#This Row],[RptDate]]),MONTH(His53_DataTT[[#This Row],[RptDate]]),1)</f>
        <v>45962</v>
      </c>
      <c r="AO443" s="14"/>
    </row>
    <row r="444" spans="17:41" x14ac:dyDescent="0.3">
      <c r="Q444" s="93">
        <v>46239</v>
      </c>
      <c r="R444" t="s">
        <v>496</v>
      </c>
      <c r="S444" t="s">
        <v>399</v>
      </c>
      <c r="T444" s="14">
        <v>14876</v>
      </c>
      <c r="W444" s="20">
        <v>45924</v>
      </c>
      <c r="X444" t="s">
        <v>280</v>
      </c>
      <c r="Y444" s="23">
        <v>6.25384615384616</v>
      </c>
      <c r="Z444" s="23">
        <v>5.7846153846153898</v>
      </c>
      <c r="AA444" s="23">
        <v>6.0192307692307701</v>
      </c>
      <c r="AC444" s="19"/>
      <c r="AD444" s="20">
        <v>45986</v>
      </c>
      <c r="AE444" t="s">
        <v>557</v>
      </c>
      <c r="AF444">
        <v>2000.7433001689999</v>
      </c>
      <c r="AG444" s="84">
        <f>DATE(YEAR(His53_DataTT[[#This Row],[RptDate]]),MONTH(His53_DataTT[[#This Row],[RptDate]]),1)</f>
        <v>45962</v>
      </c>
      <c r="AO444" s="14"/>
    </row>
    <row r="445" spans="17:41" x14ac:dyDescent="0.3">
      <c r="Q445" s="93">
        <v>46239</v>
      </c>
      <c r="R445" t="s">
        <v>497</v>
      </c>
      <c r="S445" t="s">
        <v>399</v>
      </c>
      <c r="T445" s="14">
        <v>397.61059999999998</v>
      </c>
      <c r="W445" s="20">
        <v>45924</v>
      </c>
      <c r="X445" t="s">
        <v>281</v>
      </c>
      <c r="Y445" s="23">
        <v>6.3230769230769299</v>
      </c>
      <c r="Z445" s="23">
        <v>5.87692307692308</v>
      </c>
      <c r="AA445" s="23">
        <v>6.1</v>
      </c>
      <c r="AC445" s="19"/>
      <c r="AD445" s="20">
        <v>45987</v>
      </c>
      <c r="AE445" t="s">
        <v>479</v>
      </c>
      <c r="AF445">
        <v>2452.2201674990001</v>
      </c>
      <c r="AG445" s="84">
        <f>DATE(YEAR(His53_DataTT[[#This Row],[RptDate]]),MONTH(His53_DataTT[[#This Row],[RptDate]]),1)</f>
        <v>45962</v>
      </c>
      <c r="AO445" s="14"/>
    </row>
    <row r="446" spans="17:41" x14ac:dyDescent="0.3">
      <c r="Q446" s="93">
        <v>46239</v>
      </c>
      <c r="R446" t="s">
        <v>498</v>
      </c>
      <c r="S446" t="s">
        <v>399</v>
      </c>
      <c r="T446" s="14">
        <v>11800</v>
      </c>
      <c r="W446" s="20">
        <v>45925</v>
      </c>
      <c r="X446" t="s">
        <v>270</v>
      </c>
      <c r="Y446" s="23">
        <v>5.6583333333333297</v>
      </c>
      <c r="Z446" s="23">
        <v>5.3416666666666703</v>
      </c>
      <c r="AA446" s="23">
        <v>5.5</v>
      </c>
      <c r="AC446" s="19"/>
      <c r="AD446" s="20">
        <v>45987</v>
      </c>
      <c r="AE446" t="s">
        <v>557</v>
      </c>
      <c r="AF446">
        <v>2815.3944295169999</v>
      </c>
      <c r="AG446" s="84">
        <f>DATE(YEAR(His53_DataTT[[#This Row],[RptDate]]),MONTH(His53_DataTT[[#This Row],[RptDate]]),1)</f>
        <v>45962</v>
      </c>
      <c r="AO446" s="14"/>
    </row>
    <row r="447" spans="17:41" x14ac:dyDescent="0.3">
      <c r="Q447" s="93">
        <v>46239</v>
      </c>
      <c r="R447" t="s">
        <v>494</v>
      </c>
      <c r="S447" t="s">
        <v>399</v>
      </c>
      <c r="T447" s="14">
        <v>0</v>
      </c>
      <c r="W447" s="20">
        <v>45925</v>
      </c>
      <c r="X447" t="s">
        <v>271</v>
      </c>
      <c r="Y447" s="23">
        <v>5.875</v>
      </c>
      <c r="Z447" s="23">
        <v>5.375</v>
      </c>
      <c r="AA447" s="23">
        <v>5.625</v>
      </c>
      <c r="AC447" s="19"/>
      <c r="AD447" s="20">
        <v>45988</v>
      </c>
      <c r="AE447" t="s">
        <v>479</v>
      </c>
      <c r="AF447">
        <v>4117.1647192439996</v>
      </c>
      <c r="AG447" s="84">
        <f>DATE(YEAR(His53_DataTT[[#This Row],[RptDate]]),MONTH(His53_DataTT[[#This Row],[RptDate]]),1)</f>
        <v>45962</v>
      </c>
      <c r="AO447" s="14"/>
    </row>
    <row r="448" spans="17:41" x14ac:dyDescent="0.3">
      <c r="Q448" s="93">
        <v>46239</v>
      </c>
      <c r="R448" t="s">
        <v>495</v>
      </c>
      <c r="S448" t="s">
        <v>399</v>
      </c>
      <c r="T448" s="14">
        <v>0</v>
      </c>
      <c r="W448" s="20">
        <v>45925</v>
      </c>
      <c r="X448" t="s">
        <v>272</v>
      </c>
      <c r="Y448" s="23">
        <v>5.75384615384616</v>
      </c>
      <c r="Z448" s="23">
        <v>5.3</v>
      </c>
      <c r="AA448" s="23">
        <v>5.5269230769230804</v>
      </c>
      <c r="AC448" s="19"/>
      <c r="AD448" s="20">
        <v>45988</v>
      </c>
      <c r="AE448" t="s">
        <v>557</v>
      </c>
      <c r="AF448">
        <v>5761.5953592409996</v>
      </c>
      <c r="AG448" s="84">
        <f>DATE(YEAR(His53_DataTT[[#This Row],[RptDate]]),MONTH(His53_DataTT[[#This Row],[RptDate]]),1)</f>
        <v>45962</v>
      </c>
      <c r="AO448" s="14"/>
    </row>
    <row r="449" spans="17:41" x14ac:dyDescent="0.3">
      <c r="Q449" s="93">
        <v>46239</v>
      </c>
      <c r="R449" t="s">
        <v>493</v>
      </c>
      <c r="S449" t="s">
        <v>399</v>
      </c>
      <c r="T449" s="14">
        <v>0</v>
      </c>
      <c r="W449" s="20">
        <v>45925</v>
      </c>
      <c r="X449" t="s">
        <v>273</v>
      </c>
      <c r="Y449" s="23">
        <v>5.8846153846153904</v>
      </c>
      <c r="Z449" s="23">
        <v>5.4230769230769198</v>
      </c>
      <c r="AA449" s="23">
        <v>5.6538461538461497</v>
      </c>
      <c r="AC449" s="19"/>
      <c r="AD449" s="20">
        <v>45989</v>
      </c>
      <c r="AE449" t="s">
        <v>479</v>
      </c>
      <c r="AF449">
        <v>9527.5692031069993</v>
      </c>
      <c r="AG449" s="84">
        <f>DATE(YEAR(His53_DataTT[[#This Row],[RptDate]]),MONTH(His53_DataTT[[#This Row],[RptDate]]),1)</f>
        <v>45962</v>
      </c>
      <c r="AO449" s="14"/>
    </row>
    <row r="450" spans="17:41" x14ac:dyDescent="0.3">
      <c r="Q450" s="93">
        <v>46239</v>
      </c>
      <c r="R450" t="s">
        <v>593</v>
      </c>
      <c r="S450" t="s">
        <v>399</v>
      </c>
      <c r="T450" s="14">
        <v>10374</v>
      </c>
      <c r="W450" s="20">
        <v>45925</v>
      </c>
      <c r="X450" t="s">
        <v>274</v>
      </c>
      <c r="Y450" s="23">
        <v>5.9307692307692301</v>
      </c>
      <c r="Z450" s="23">
        <v>5.4769230769230797</v>
      </c>
      <c r="AA450" s="23">
        <v>5.7038461538461496</v>
      </c>
      <c r="AC450" s="19"/>
      <c r="AD450" s="20">
        <v>45989</v>
      </c>
      <c r="AE450" t="s">
        <v>557</v>
      </c>
      <c r="AF450">
        <v>7020.4817314519996</v>
      </c>
      <c r="AG450" s="84">
        <f>DATE(YEAR(His53_DataTT[[#This Row],[RptDate]]),MONTH(His53_DataTT[[#This Row],[RptDate]]),1)</f>
        <v>45962</v>
      </c>
      <c r="AO450" s="14"/>
    </row>
    <row r="451" spans="17:41" x14ac:dyDescent="0.3">
      <c r="Q451" s="93">
        <v>46239</v>
      </c>
      <c r="R451" t="s">
        <v>594</v>
      </c>
      <c r="S451" t="s">
        <v>399</v>
      </c>
      <c r="T451" s="14">
        <v>0</v>
      </c>
      <c r="W451" s="20">
        <v>45925</v>
      </c>
      <c r="X451" t="s">
        <v>275</v>
      </c>
      <c r="Y451" s="23">
        <v>5.9884615384615403</v>
      </c>
      <c r="Z451" s="23">
        <v>5.5423076923076904</v>
      </c>
      <c r="AA451" s="23">
        <v>5.7653846153846198</v>
      </c>
      <c r="AC451" s="19"/>
      <c r="AD451" s="20">
        <v>45992</v>
      </c>
      <c r="AE451" t="s">
        <v>479</v>
      </c>
      <c r="AF451">
        <v>1099.2429825490001</v>
      </c>
      <c r="AG451" s="84">
        <f>DATE(YEAR(His53_DataTT[[#This Row],[RptDate]]),MONTH(His53_DataTT[[#This Row],[RptDate]]),1)</f>
        <v>45992</v>
      </c>
      <c r="AO451" s="14"/>
    </row>
    <row r="452" spans="17:41" x14ac:dyDescent="0.3">
      <c r="Q452" s="93">
        <v>46239</v>
      </c>
      <c r="R452" t="s">
        <v>595</v>
      </c>
      <c r="S452" t="s">
        <v>399</v>
      </c>
      <c r="T452" s="14">
        <v>0</v>
      </c>
      <c r="W452" s="20">
        <v>45925</v>
      </c>
      <c r="X452" t="s">
        <v>276</v>
      </c>
      <c r="Y452" s="23">
        <v>6.0153846153846198</v>
      </c>
      <c r="Z452" s="23">
        <v>5.5615384615384604</v>
      </c>
      <c r="AA452" s="23">
        <v>5.7884615384615401</v>
      </c>
      <c r="AC452" s="19"/>
      <c r="AD452" s="20">
        <v>45992</v>
      </c>
      <c r="AE452" t="s">
        <v>557</v>
      </c>
      <c r="AF452">
        <v>3370.6811249870002</v>
      </c>
      <c r="AG452" s="84">
        <f>DATE(YEAR(His53_DataTT[[#This Row],[RptDate]]),MONTH(His53_DataTT[[#This Row],[RptDate]]),1)</f>
        <v>45992</v>
      </c>
      <c r="AO452" s="14"/>
    </row>
    <row r="453" spans="17:41" x14ac:dyDescent="0.3">
      <c r="Q453" s="93">
        <v>46239</v>
      </c>
      <c r="R453" t="s">
        <v>1439</v>
      </c>
      <c r="S453" t="s">
        <v>399</v>
      </c>
      <c r="T453" s="14">
        <v>573.69640115213997</v>
      </c>
      <c r="W453" s="20">
        <v>45925</v>
      </c>
      <c r="X453" t="s">
        <v>277</v>
      </c>
      <c r="Y453" s="23">
        <v>6.0884615384615399</v>
      </c>
      <c r="Z453" s="23">
        <v>5.6192307692307697</v>
      </c>
      <c r="AA453" s="23">
        <v>5.8538461538461499</v>
      </c>
      <c r="AC453" s="19"/>
      <c r="AD453" s="20">
        <v>45993</v>
      </c>
      <c r="AE453" t="s">
        <v>479</v>
      </c>
      <c r="AF453">
        <v>2577.0325535100001</v>
      </c>
      <c r="AG453" s="84">
        <f>DATE(YEAR(His53_DataTT[[#This Row],[RptDate]]),MONTH(His53_DataTT[[#This Row],[RptDate]]),1)</f>
        <v>45992</v>
      </c>
      <c r="AO453" s="14"/>
    </row>
    <row r="454" spans="17:41" x14ac:dyDescent="0.3">
      <c r="Q454" s="93">
        <v>46239</v>
      </c>
      <c r="R454" t="s">
        <v>479</v>
      </c>
      <c r="S454" t="s">
        <v>395</v>
      </c>
      <c r="T454" s="14">
        <v>11863.8738203965</v>
      </c>
      <c r="W454" s="20">
        <v>45925</v>
      </c>
      <c r="X454" t="s">
        <v>278</v>
      </c>
      <c r="Y454" s="23">
        <v>6.1307692307692303</v>
      </c>
      <c r="Z454" s="23">
        <v>5.6653846153846201</v>
      </c>
      <c r="AA454" s="23">
        <v>5.8980769230769203</v>
      </c>
      <c r="AC454" s="19"/>
      <c r="AD454" s="20">
        <v>45993</v>
      </c>
      <c r="AE454" t="s">
        <v>557</v>
      </c>
      <c r="AF454">
        <v>4090.2059574159998</v>
      </c>
      <c r="AG454" s="84">
        <f>DATE(YEAR(His53_DataTT[[#This Row],[RptDate]]),MONTH(His53_DataTT[[#This Row],[RptDate]]),1)</f>
        <v>45992</v>
      </c>
      <c r="AO454" s="14"/>
    </row>
    <row r="455" spans="17:41" x14ac:dyDescent="0.3">
      <c r="Q455" s="93">
        <v>46239</v>
      </c>
      <c r="R455" t="s">
        <v>479</v>
      </c>
      <c r="S455" t="s">
        <v>415</v>
      </c>
      <c r="T455" s="14">
        <v>7.4433492683382703</v>
      </c>
      <c r="W455" s="20">
        <v>45925</v>
      </c>
      <c r="X455" t="s">
        <v>279</v>
      </c>
      <c r="Y455" s="23">
        <v>6.1653846153846104</v>
      </c>
      <c r="Z455" s="23">
        <v>5.7</v>
      </c>
      <c r="AA455" s="23">
        <v>5.9326923076923102</v>
      </c>
      <c r="AC455" s="19"/>
      <c r="AD455" s="20">
        <v>45994</v>
      </c>
      <c r="AE455" t="s">
        <v>479</v>
      </c>
      <c r="AF455">
        <v>2630.6725118620002</v>
      </c>
      <c r="AG455" s="84">
        <f>DATE(YEAR(His53_DataTT[[#This Row],[RptDate]]),MONTH(His53_DataTT[[#This Row],[RptDate]]),1)</f>
        <v>45992</v>
      </c>
      <c r="AO455" s="14"/>
    </row>
    <row r="456" spans="17:41" x14ac:dyDescent="0.3">
      <c r="Q456" s="93">
        <v>46239</v>
      </c>
      <c r="R456" t="s">
        <v>364</v>
      </c>
      <c r="S456" t="s">
        <v>415</v>
      </c>
      <c r="T456" s="14">
        <v>6.9209243697479002</v>
      </c>
      <c r="W456" s="20">
        <v>45925</v>
      </c>
      <c r="X456" t="s">
        <v>280</v>
      </c>
      <c r="Y456" s="23">
        <v>6.25384615384616</v>
      </c>
      <c r="Z456" s="23">
        <v>5.7846153846153898</v>
      </c>
      <c r="AA456" s="23">
        <v>6.0192307692307701</v>
      </c>
      <c r="AC456" s="19"/>
      <c r="AD456" s="20">
        <v>45994</v>
      </c>
      <c r="AE456" t="s">
        <v>557</v>
      </c>
      <c r="AF456">
        <v>2454.965385642</v>
      </c>
      <c r="AG456" s="84">
        <f>DATE(YEAR(His53_DataTT[[#This Row],[RptDate]]),MONTH(His53_DataTT[[#This Row],[RptDate]]),1)</f>
        <v>45992</v>
      </c>
      <c r="AO456" s="14"/>
    </row>
    <row r="457" spans="17:41" x14ac:dyDescent="0.3">
      <c r="Q457" s="93">
        <v>46239</v>
      </c>
      <c r="R457" t="s">
        <v>516</v>
      </c>
      <c r="S457" t="s">
        <v>415</v>
      </c>
      <c r="T457" s="14">
        <v>7.0975657989704102</v>
      </c>
      <c r="W457" s="20">
        <v>45925</v>
      </c>
      <c r="X457" t="s">
        <v>281</v>
      </c>
      <c r="Y457" s="23">
        <v>6.3230769230769299</v>
      </c>
      <c r="Z457" s="23">
        <v>5.87692307692308</v>
      </c>
      <c r="AA457" s="23">
        <v>6.1</v>
      </c>
      <c r="AC457" s="19"/>
      <c r="AD457" s="20">
        <v>45995</v>
      </c>
      <c r="AE457" t="s">
        <v>479</v>
      </c>
      <c r="AF457">
        <v>3290.2128942419999</v>
      </c>
      <c r="AG457" s="84">
        <f>DATE(YEAR(His53_DataTT[[#This Row],[RptDate]]),MONTH(His53_DataTT[[#This Row],[RptDate]]),1)</f>
        <v>45992</v>
      </c>
      <c r="AO457" s="14"/>
    </row>
    <row r="458" spans="17:41" x14ac:dyDescent="0.3">
      <c r="Q458" s="93">
        <v>46239</v>
      </c>
      <c r="R458" t="s">
        <v>1288</v>
      </c>
      <c r="S458" t="s">
        <v>415</v>
      </c>
      <c r="T458" s="14">
        <v>7.4433492683382703</v>
      </c>
      <c r="W458" s="20">
        <v>45926</v>
      </c>
      <c r="X458" t="s">
        <v>270</v>
      </c>
      <c r="Y458" s="23">
        <v>5.6583333333333297</v>
      </c>
      <c r="Z458" s="23">
        <v>5.3416666666666703</v>
      </c>
      <c r="AA458" s="23">
        <v>5.5</v>
      </c>
      <c r="AC458" s="19"/>
      <c r="AD458" s="20">
        <v>45995</v>
      </c>
      <c r="AE458" t="s">
        <v>557</v>
      </c>
      <c r="AF458">
        <v>2171.3264232689999</v>
      </c>
      <c r="AG458" s="84">
        <f>DATE(YEAR(His53_DataTT[[#This Row],[RptDate]]),MONTH(His53_DataTT[[#This Row],[RptDate]]),1)</f>
        <v>45992</v>
      </c>
      <c r="AO458" s="14"/>
    </row>
    <row r="459" spans="17:41" x14ac:dyDescent="0.3">
      <c r="Q459" s="93">
        <v>46239</v>
      </c>
      <c r="R459" t="s">
        <v>496</v>
      </c>
      <c r="S459" t="s">
        <v>415</v>
      </c>
      <c r="T459" s="14">
        <v>6.8404549412276898</v>
      </c>
      <c r="W459" s="20">
        <v>45926</v>
      </c>
      <c r="X459" t="s">
        <v>271</v>
      </c>
      <c r="Y459" s="23">
        <v>5.875</v>
      </c>
      <c r="Z459" s="23">
        <v>5.375</v>
      </c>
      <c r="AA459" s="23">
        <v>5.625</v>
      </c>
      <c r="AC459" s="19"/>
      <c r="AD459" s="20">
        <v>45996</v>
      </c>
      <c r="AE459" t="s">
        <v>479</v>
      </c>
      <c r="AF459">
        <v>7547.0567227729998</v>
      </c>
      <c r="AG459" s="84">
        <f>DATE(YEAR(His53_DataTT[[#This Row],[RptDate]]),MONTH(His53_DataTT[[#This Row],[RptDate]]),1)</f>
        <v>45992</v>
      </c>
      <c r="AO459" s="14"/>
    </row>
    <row r="460" spans="17:41" x14ac:dyDescent="0.3">
      <c r="Q460" s="93">
        <v>46239</v>
      </c>
      <c r="R460" t="s">
        <v>1290</v>
      </c>
      <c r="S460" t="s">
        <v>415</v>
      </c>
      <c r="T460" s="14">
        <v>7.11336432013064</v>
      </c>
      <c r="W460" s="20">
        <v>45926</v>
      </c>
      <c r="X460" t="s">
        <v>272</v>
      </c>
      <c r="Y460" s="23">
        <v>5.75384615384616</v>
      </c>
      <c r="Z460" s="23">
        <v>5.3</v>
      </c>
      <c r="AA460" s="23">
        <v>5.5269230769230804</v>
      </c>
      <c r="AC460" s="19"/>
      <c r="AD460" s="20">
        <v>45996</v>
      </c>
      <c r="AE460" t="s">
        <v>557</v>
      </c>
      <c r="AF460">
        <v>3051.7104612349999</v>
      </c>
      <c r="AG460" s="84">
        <f>DATE(YEAR(His53_DataTT[[#This Row],[RptDate]]),MONTH(His53_DataTT[[#This Row],[RptDate]]),1)</f>
        <v>45992</v>
      </c>
      <c r="AO460" s="14"/>
    </row>
    <row r="461" spans="17:41" x14ac:dyDescent="0.3">
      <c r="Q461" s="93">
        <v>46238</v>
      </c>
      <c r="R461" t="s">
        <v>479</v>
      </c>
      <c r="S461" t="s">
        <v>399</v>
      </c>
      <c r="T461" s="14">
        <v>12771.645769524999</v>
      </c>
      <c r="W461" s="20">
        <v>45926</v>
      </c>
      <c r="X461" t="s">
        <v>273</v>
      </c>
      <c r="Y461" s="23">
        <v>5.8846153846153904</v>
      </c>
      <c r="Z461" s="23">
        <v>5.4230769230769198</v>
      </c>
      <c r="AA461" s="23">
        <v>5.6538461538461497</v>
      </c>
      <c r="AC461" s="19"/>
      <c r="AD461" s="20">
        <v>45999</v>
      </c>
      <c r="AE461" t="s">
        <v>479</v>
      </c>
      <c r="AF461">
        <v>4086.167430858</v>
      </c>
      <c r="AG461" s="84">
        <f>DATE(YEAR(His53_DataTT[[#This Row],[RptDate]]),MONTH(His53_DataTT[[#This Row],[RptDate]]),1)</f>
        <v>45992</v>
      </c>
      <c r="AO461" s="14"/>
    </row>
    <row r="462" spans="17:41" x14ac:dyDescent="0.3">
      <c r="Q462" s="93">
        <v>46238</v>
      </c>
      <c r="R462" t="s">
        <v>364</v>
      </c>
      <c r="S462" t="s">
        <v>399</v>
      </c>
      <c r="T462" s="14">
        <v>26250</v>
      </c>
      <c r="W462" s="20">
        <v>45926</v>
      </c>
      <c r="X462" t="s">
        <v>274</v>
      </c>
      <c r="Y462" s="23">
        <v>5.9307692307692301</v>
      </c>
      <c r="Z462" s="23">
        <v>5.4769230769230797</v>
      </c>
      <c r="AA462" s="23">
        <v>5.7038461538461496</v>
      </c>
      <c r="AC462" s="19"/>
      <c r="AD462" s="20">
        <v>45999</v>
      </c>
      <c r="AE462" t="s">
        <v>557</v>
      </c>
      <c r="AF462">
        <v>6867.0863067460004</v>
      </c>
      <c r="AG462" s="84">
        <f>DATE(YEAR(His53_DataTT[[#This Row],[RptDate]]),MONTH(His53_DataTT[[#This Row],[RptDate]]),1)</f>
        <v>45992</v>
      </c>
      <c r="AO462" s="14"/>
    </row>
    <row r="463" spans="17:41" x14ac:dyDescent="0.3">
      <c r="Q463" s="93">
        <v>46238</v>
      </c>
      <c r="R463" t="s">
        <v>491</v>
      </c>
      <c r="S463" t="s">
        <v>399</v>
      </c>
      <c r="T463" s="14">
        <v>397.61059999999998</v>
      </c>
      <c r="W463" s="20">
        <v>45926</v>
      </c>
      <c r="X463" t="s">
        <v>275</v>
      </c>
      <c r="Y463" s="23">
        <v>5.9884615384615403</v>
      </c>
      <c r="Z463" s="23">
        <v>5.5423076923076904</v>
      </c>
      <c r="AA463" s="23">
        <v>5.7653846153846198</v>
      </c>
      <c r="AC463" s="19"/>
      <c r="AD463" s="20">
        <v>46000</v>
      </c>
      <c r="AE463" t="s">
        <v>479</v>
      </c>
      <c r="AF463">
        <v>4368.3457723310003</v>
      </c>
      <c r="AG463" s="84">
        <f>DATE(YEAR(His53_DataTT[[#This Row],[RptDate]]),MONTH(His53_DataTT[[#This Row],[RptDate]]),1)</f>
        <v>45992</v>
      </c>
      <c r="AO463" s="14"/>
    </row>
    <row r="464" spans="17:41" x14ac:dyDescent="0.3">
      <c r="Q464" s="93">
        <v>46238</v>
      </c>
      <c r="R464" t="s">
        <v>492</v>
      </c>
      <c r="S464" t="s">
        <v>399</v>
      </c>
      <c r="T464" s="14">
        <v>11800</v>
      </c>
      <c r="W464" s="20">
        <v>45926</v>
      </c>
      <c r="X464" t="s">
        <v>276</v>
      </c>
      <c r="Y464" s="23">
        <v>6.0153846153846198</v>
      </c>
      <c r="Z464" s="23">
        <v>5.5615384615384604</v>
      </c>
      <c r="AA464" s="23">
        <v>5.7884615384615401</v>
      </c>
      <c r="AC464" s="19"/>
      <c r="AD464" s="20">
        <v>46000</v>
      </c>
      <c r="AE464" t="s">
        <v>557</v>
      </c>
      <c r="AF464">
        <v>1546.224621525</v>
      </c>
      <c r="AG464" s="84">
        <f>DATE(YEAR(His53_DataTT[[#This Row],[RptDate]]),MONTH(His53_DataTT[[#This Row],[RptDate]]),1)</f>
        <v>45992</v>
      </c>
      <c r="AO464" s="14"/>
    </row>
    <row r="465" spans="17:41" x14ac:dyDescent="0.3">
      <c r="Q465" s="93">
        <v>46238</v>
      </c>
      <c r="R465" t="s">
        <v>1438</v>
      </c>
      <c r="S465" t="s">
        <v>399</v>
      </c>
      <c r="T465" s="14">
        <v>574.03516952502002</v>
      </c>
      <c r="W465" s="20">
        <v>45926</v>
      </c>
      <c r="X465" t="s">
        <v>277</v>
      </c>
      <c r="Y465" s="23">
        <v>6.0884615384615399</v>
      </c>
      <c r="Z465" s="23">
        <v>5.6192307692307697</v>
      </c>
      <c r="AA465" s="23">
        <v>5.8538461538461499</v>
      </c>
      <c r="AC465" s="19"/>
      <c r="AD465" s="20">
        <v>46001</v>
      </c>
      <c r="AE465" t="s">
        <v>479</v>
      </c>
      <c r="AF465">
        <v>2729.9254140779999</v>
      </c>
      <c r="AG465" s="84">
        <f>DATE(YEAR(His53_DataTT[[#This Row],[RptDate]]),MONTH(His53_DataTT[[#This Row],[RptDate]]),1)</f>
        <v>45992</v>
      </c>
      <c r="AO465" s="14"/>
    </row>
    <row r="466" spans="17:41" x14ac:dyDescent="0.3">
      <c r="Q466" s="93">
        <v>46238</v>
      </c>
      <c r="R466" t="s">
        <v>496</v>
      </c>
      <c r="S466" t="s">
        <v>399</v>
      </c>
      <c r="T466" s="14">
        <v>15315</v>
      </c>
      <c r="W466" s="20">
        <v>45926</v>
      </c>
      <c r="X466" t="s">
        <v>278</v>
      </c>
      <c r="Y466" s="23">
        <v>6.1307692307692303</v>
      </c>
      <c r="Z466" s="23">
        <v>5.6653846153846201</v>
      </c>
      <c r="AA466" s="23">
        <v>5.8980769230769203</v>
      </c>
      <c r="AC466" s="19"/>
      <c r="AD466" s="20">
        <v>46001</v>
      </c>
      <c r="AE466" t="s">
        <v>557</v>
      </c>
      <c r="AF466">
        <v>4861.1702871629996</v>
      </c>
      <c r="AG466" s="84">
        <f>DATE(YEAR(His53_DataTT[[#This Row],[RptDate]]),MONTH(His53_DataTT[[#This Row],[RptDate]]),1)</f>
        <v>45992</v>
      </c>
      <c r="AO466" s="14"/>
    </row>
    <row r="467" spans="17:41" x14ac:dyDescent="0.3">
      <c r="Q467" s="93">
        <v>46238</v>
      </c>
      <c r="R467" t="s">
        <v>497</v>
      </c>
      <c r="S467" t="s">
        <v>399</v>
      </c>
      <c r="T467" s="14">
        <v>397.61059999999998</v>
      </c>
      <c r="W467" s="20">
        <v>45926</v>
      </c>
      <c r="X467" t="s">
        <v>279</v>
      </c>
      <c r="Y467" s="23">
        <v>6.1653846153846104</v>
      </c>
      <c r="Z467" s="23">
        <v>5.7</v>
      </c>
      <c r="AA467" s="23">
        <v>5.9326923076923102</v>
      </c>
      <c r="AC467" s="19"/>
      <c r="AD467" s="20">
        <v>46002</v>
      </c>
      <c r="AE467" t="s">
        <v>479</v>
      </c>
      <c r="AF467">
        <v>2678.0389607960001</v>
      </c>
      <c r="AG467" s="84">
        <f>DATE(YEAR(His53_DataTT[[#This Row],[RptDate]]),MONTH(His53_DataTT[[#This Row],[RptDate]]),1)</f>
        <v>45992</v>
      </c>
      <c r="AO467" s="14"/>
    </row>
    <row r="468" spans="17:41" x14ac:dyDescent="0.3">
      <c r="Q468" s="93">
        <v>46238</v>
      </c>
      <c r="R468" t="s">
        <v>498</v>
      </c>
      <c r="S468" t="s">
        <v>399</v>
      </c>
      <c r="T468" s="14">
        <v>11800</v>
      </c>
      <c r="W468" s="20">
        <v>45926</v>
      </c>
      <c r="X468" t="s">
        <v>280</v>
      </c>
      <c r="Y468" s="23">
        <v>6.25384615384616</v>
      </c>
      <c r="Z468" s="23">
        <v>5.7846153846153898</v>
      </c>
      <c r="AA468" s="23">
        <v>6.0192307692307701</v>
      </c>
      <c r="AC468" s="19"/>
      <c r="AD468" s="20">
        <v>46002</v>
      </c>
      <c r="AE468" t="s">
        <v>557</v>
      </c>
      <c r="AF468">
        <v>4507.4340940459997</v>
      </c>
      <c r="AG468" s="84">
        <f>DATE(YEAR(His53_DataTT[[#This Row],[RptDate]]),MONTH(His53_DataTT[[#This Row],[RptDate]]),1)</f>
        <v>45992</v>
      </c>
      <c r="AO468" s="14"/>
    </row>
    <row r="469" spans="17:41" x14ac:dyDescent="0.3">
      <c r="Q469" s="93">
        <v>46238</v>
      </c>
      <c r="R469" t="s">
        <v>494</v>
      </c>
      <c r="S469" t="s">
        <v>399</v>
      </c>
      <c r="T469" s="14">
        <v>0</v>
      </c>
      <c r="W469" s="20">
        <v>45926</v>
      </c>
      <c r="X469" t="s">
        <v>281</v>
      </c>
      <c r="Y469" s="23">
        <v>6.3230769230769299</v>
      </c>
      <c r="Z469" s="23">
        <v>5.87692307692308</v>
      </c>
      <c r="AA469" s="23">
        <v>6.1</v>
      </c>
      <c r="AC469" s="19"/>
      <c r="AD469" s="20">
        <v>46003</v>
      </c>
      <c r="AE469" t="s">
        <v>479</v>
      </c>
      <c r="AF469">
        <v>1421.93933616</v>
      </c>
      <c r="AG469" s="84">
        <f>DATE(YEAR(His53_DataTT[[#This Row],[RptDate]]),MONTH(His53_DataTT[[#This Row],[RptDate]]),1)</f>
        <v>45992</v>
      </c>
      <c r="AO469" s="14"/>
    </row>
    <row r="470" spans="17:41" x14ac:dyDescent="0.3">
      <c r="Q470" s="93">
        <v>46238</v>
      </c>
      <c r="R470" t="s">
        <v>495</v>
      </c>
      <c r="S470" t="s">
        <v>399</v>
      </c>
      <c r="T470" s="14">
        <v>0</v>
      </c>
      <c r="W470" s="20">
        <v>45929</v>
      </c>
      <c r="X470" t="s">
        <v>270</v>
      </c>
      <c r="Y470" s="23">
        <v>5.6583333333333297</v>
      </c>
      <c r="Z470" s="23">
        <v>5.3416666666666703</v>
      </c>
      <c r="AA470" s="23">
        <v>5.5</v>
      </c>
      <c r="AC470" s="19"/>
      <c r="AD470" s="20">
        <v>46003</v>
      </c>
      <c r="AE470" t="s">
        <v>557</v>
      </c>
      <c r="AF470">
        <v>2776.5155960259999</v>
      </c>
      <c r="AG470" s="84">
        <f>DATE(YEAR(His53_DataTT[[#This Row],[RptDate]]),MONTH(His53_DataTT[[#This Row],[RptDate]]),1)</f>
        <v>45992</v>
      </c>
      <c r="AO470" s="14"/>
    </row>
    <row r="471" spans="17:41" x14ac:dyDescent="0.3">
      <c r="Q471" s="93">
        <v>46238</v>
      </c>
      <c r="R471" t="s">
        <v>493</v>
      </c>
      <c r="S471" t="s">
        <v>399</v>
      </c>
      <c r="T471" s="14">
        <v>0</v>
      </c>
      <c r="W471" s="20">
        <v>45929</v>
      </c>
      <c r="X471" t="s">
        <v>271</v>
      </c>
      <c r="Y471" s="23">
        <v>5.875</v>
      </c>
      <c r="Z471" s="23">
        <v>5.375</v>
      </c>
      <c r="AA471" s="23">
        <v>5.625</v>
      </c>
      <c r="AC471" s="19"/>
      <c r="AD471" s="20">
        <v>46006</v>
      </c>
      <c r="AE471" t="s">
        <v>479</v>
      </c>
      <c r="AF471">
        <v>6045.5676327250003</v>
      </c>
      <c r="AG471" s="84">
        <f>DATE(YEAR(His53_DataTT[[#This Row],[RptDate]]),MONTH(His53_DataTT[[#This Row],[RptDate]]),1)</f>
        <v>45992</v>
      </c>
      <c r="AO471" s="14"/>
    </row>
    <row r="472" spans="17:41" x14ac:dyDescent="0.3">
      <c r="Q472" s="93">
        <v>46238</v>
      </c>
      <c r="R472" t="s">
        <v>593</v>
      </c>
      <c r="S472" t="s">
        <v>399</v>
      </c>
      <c r="T472" s="14">
        <v>10935</v>
      </c>
      <c r="W472" s="20">
        <v>45929</v>
      </c>
      <c r="X472" t="s">
        <v>272</v>
      </c>
      <c r="Y472" s="23">
        <v>5.7846153846153898</v>
      </c>
      <c r="Z472" s="23">
        <v>5.3307692307692296</v>
      </c>
      <c r="AA472" s="23">
        <v>5.5576923076923102</v>
      </c>
      <c r="AC472" s="19"/>
      <c r="AD472" s="20">
        <v>46006</v>
      </c>
      <c r="AE472" t="s">
        <v>557</v>
      </c>
      <c r="AF472">
        <v>6316.3138734089998</v>
      </c>
      <c r="AG472" s="84">
        <f>DATE(YEAR(His53_DataTT[[#This Row],[RptDate]]),MONTH(His53_DataTT[[#This Row],[RptDate]]),1)</f>
        <v>45992</v>
      </c>
      <c r="AO472" s="14"/>
    </row>
    <row r="473" spans="17:41" x14ac:dyDescent="0.3">
      <c r="Q473" s="93">
        <v>46238</v>
      </c>
      <c r="R473" t="s">
        <v>594</v>
      </c>
      <c r="S473" t="s">
        <v>399</v>
      </c>
      <c r="T473" s="14">
        <v>0</v>
      </c>
      <c r="W473" s="20">
        <v>45929</v>
      </c>
      <c r="X473" t="s">
        <v>273</v>
      </c>
      <c r="Y473" s="23">
        <v>5.8846153846153904</v>
      </c>
      <c r="Z473" s="23">
        <v>5.4230769230769198</v>
      </c>
      <c r="AA473" s="23">
        <v>5.6538461538461497</v>
      </c>
      <c r="AC473" s="19"/>
      <c r="AD473" s="20">
        <v>46007</v>
      </c>
      <c r="AE473" t="s">
        <v>479</v>
      </c>
      <c r="AF473">
        <v>3979.659745772</v>
      </c>
      <c r="AG473" s="84">
        <f>DATE(YEAR(His53_DataTT[[#This Row],[RptDate]]),MONTH(His53_DataTT[[#This Row],[RptDate]]),1)</f>
        <v>45992</v>
      </c>
      <c r="AO473" s="14"/>
    </row>
    <row r="474" spans="17:41" x14ac:dyDescent="0.3">
      <c r="Q474" s="93">
        <v>46238</v>
      </c>
      <c r="R474" t="s">
        <v>595</v>
      </c>
      <c r="S474" t="s">
        <v>399</v>
      </c>
      <c r="T474" s="14">
        <v>0</v>
      </c>
      <c r="W474" s="20">
        <v>45929</v>
      </c>
      <c r="X474" t="s">
        <v>274</v>
      </c>
      <c r="Y474" s="23">
        <v>5.9538461538461602</v>
      </c>
      <c r="Z474" s="23">
        <v>5.5</v>
      </c>
      <c r="AA474" s="23">
        <v>5.7269230769230797</v>
      </c>
      <c r="AC474" s="19"/>
      <c r="AD474" s="20">
        <v>46007</v>
      </c>
      <c r="AE474" t="s">
        <v>557</v>
      </c>
      <c r="AF474">
        <v>6516.9868199579996</v>
      </c>
      <c r="AG474" s="84">
        <f>DATE(YEAR(His53_DataTT[[#This Row],[RptDate]]),MONTH(His53_DataTT[[#This Row],[RptDate]]),1)</f>
        <v>45992</v>
      </c>
      <c r="AO474" s="14"/>
    </row>
    <row r="475" spans="17:41" x14ac:dyDescent="0.3">
      <c r="Q475" s="93">
        <v>46238</v>
      </c>
      <c r="R475" t="s">
        <v>1439</v>
      </c>
      <c r="S475" t="s">
        <v>399</v>
      </c>
      <c r="T475" s="14">
        <v>574.03516952502002</v>
      </c>
      <c r="W475" s="20">
        <v>45929</v>
      </c>
      <c r="X475" t="s">
        <v>275</v>
      </c>
      <c r="Y475" s="23">
        <v>6.0115384615384597</v>
      </c>
      <c r="Z475" s="23">
        <v>5.5653846153846196</v>
      </c>
      <c r="AA475" s="23">
        <v>5.7884615384615401</v>
      </c>
      <c r="AC475" s="19"/>
      <c r="AD475" s="20">
        <v>46008</v>
      </c>
      <c r="AE475" t="s">
        <v>479</v>
      </c>
      <c r="AF475">
        <v>4495.4208978819997</v>
      </c>
      <c r="AG475" s="84">
        <f>DATE(YEAR(His53_DataTT[[#This Row],[RptDate]]),MONTH(His53_DataTT[[#This Row],[RptDate]]),1)</f>
        <v>45992</v>
      </c>
      <c r="AO475" s="14"/>
    </row>
    <row r="476" spans="17:41" x14ac:dyDescent="0.3">
      <c r="Q476" s="93">
        <v>46238</v>
      </c>
      <c r="R476" t="s">
        <v>479</v>
      </c>
      <c r="S476" t="s">
        <v>395</v>
      </c>
      <c r="T476" s="14">
        <v>11865.524012011399</v>
      </c>
      <c r="W476" s="20">
        <v>45929</v>
      </c>
      <c r="X476" t="s">
        <v>276</v>
      </c>
      <c r="Y476" s="23">
        <v>6.0538461538461501</v>
      </c>
      <c r="Z476" s="23">
        <v>5.6</v>
      </c>
      <c r="AA476" s="23">
        <v>5.8269230769230802</v>
      </c>
      <c r="AC476" s="19"/>
      <c r="AD476" s="20">
        <v>46008</v>
      </c>
      <c r="AE476" t="s">
        <v>557</v>
      </c>
      <c r="AF476">
        <v>3795.9166167610001</v>
      </c>
      <c r="AG476" s="84">
        <f>DATE(YEAR(His53_DataTT[[#This Row],[RptDate]]),MONTH(His53_DataTT[[#This Row],[RptDate]]),1)</f>
        <v>45992</v>
      </c>
      <c r="AO476" s="14"/>
    </row>
    <row r="477" spans="17:41" x14ac:dyDescent="0.3">
      <c r="Q477" s="93">
        <v>46238</v>
      </c>
      <c r="R477" t="s">
        <v>479</v>
      </c>
      <c r="S477" t="s">
        <v>415</v>
      </c>
      <c r="T477" s="14">
        <v>7.4433492683382703</v>
      </c>
      <c r="W477" s="20">
        <v>45929</v>
      </c>
      <c r="X477" t="s">
        <v>277</v>
      </c>
      <c r="Y477" s="23">
        <v>6.1346153846153904</v>
      </c>
      <c r="Z477" s="23">
        <v>5.6653846153846201</v>
      </c>
      <c r="AA477" s="23">
        <v>5.9</v>
      </c>
      <c r="AC477" s="19"/>
      <c r="AD477" s="20">
        <v>46009</v>
      </c>
      <c r="AE477" t="s">
        <v>479</v>
      </c>
      <c r="AF477">
        <v>4424.8287325339998</v>
      </c>
      <c r="AG477" s="84">
        <f>DATE(YEAR(His53_DataTT[[#This Row],[RptDate]]),MONTH(His53_DataTT[[#This Row],[RptDate]]),1)</f>
        <v>45992</v>
      </c>
      <c r="AO477" s="14"/>
    </row>
    <row r="478" spans="17:41" x14ac:dyDescent="0.3">
      <c r="Q478" s="93">
        <v>46238</v>
      </c>
      <c r="R478" t="s">
        <v>364</v>
      </c>
      <c r="S478" t="s">
        <v>415</v>
      </c>
      <c r="T478" s="14">
        <v>6.89413223140496</v>
      </c>
      <c r="W478" s="20">
        <v>45929</v>
      </c>
      <c r="X478" t="s">
        <v>278</v>
      </c>
      <c r="Y478" s="23">
        <v>6.1692307692307704</v>
      </c>
      <c r="Z478" s="23">
        <v>5.7038461538461496</v>
      </c>
      <c r="AA478" s="23">
        <v>5.9365384615384604</v>
      </c>
      <c r="AC478" s="19"/>
      <c r="AD478" s="20">
        <v>46009</v>
      </c>
      <c r="AE478" t="s">
        <v>557</v>
      </c>
      <c r="AF478">
        <v>1632.785203077</v>
      </c>
      <c r="AG478" s="84">
        <f>DATE(YEAR(His53_DataTT[[#This Row],[RptDate]]),MONTH(His53_DataTT[[#This Row],[RptDate]]),1)</f>
        <v>45992</v>
      </c>
      <c r="AO478" s="14"/>
    </row>
    <row r="479" spans="17:41" x14ac:dyDescent="0.3">
      <c r="Q479" s="93">
        <v>46238</v>
      </c>
      <c r="R479" t="s">
        <v>516</v>
      </c>
      <c r="S479" t="s">
        <v>415</v>
      </c>
      <c r="T479" s="14">
        <v>7.0777895579839303</v>
      </c>
      <c r="W479" s="20">
        <v>45929</v>
      </c>
      <c r="X479" t="s">
        <v>279</v>
      </c>
      <c r="Y479" s="23">
        <v>6.2038461538461496</v>
      </c>
      <c r="Z479" s="23">
        <v>5.7384615384615403</v>
      </c>
      <c r="AA479" s="23">
        <v>5.9711538461538503</v>
      </c>
      <c r="AC479" s="19"/>
      <c r="AD479" s="20">
        <v>46010</v>
      </c>
      <c r="AE479" t="s">
        <v>479</v>
      </c>
      <c r="AF479">
        <v>3426.374904369</v>
      </c>
      <c r="AG479" s="84">
        <f>DATE(YEAR(His53_DataTT[[#This Row],[RptDate]]),MONTH(His53_DataTT[[#This Row],[RptDate]]),1)</f>
        <v>45992</v>
      </c>
      <c r="AO479" s="14"/>
    </row>
    <row r="480" spans="17:41" x14ac:dyDescent="0.3">
      <c r="Q480" s="93">
        <v>46238</v>
      </c>
      <c r="R480" t="s">
        <v>1288</v>
      </c>
      <c r="S480" t="s">
        <v>415</v>
      </c>
      <c r="T480" s="14">
        <v>7.4433492683382703</v>
      </c>
      <c r="W480" s="20">
        <v>45929</v>
      </c>
      <c r="X480" t="s">
        <v>280</v>
      </c>
      <c r="Y480" s="23">
        <v>6.2923076923076904</v>
      </c>
      <c r="Z480" s="23">
        <v>5.8230769230769202</v>
      </c>
      <c r="AA480" s="23">
        <v>6.0576923076923102</v>
      </c>
      <c r="AC480" s="19"/>
      <c r="AD480" s="20">
        <v>46010</v>
      </c>
      <c r="AE480" t="s">
        <v>557</v>
      </c>
      <c r="AF480">
        <v>4144.8905692540002</v>
      </c>
      <c r="AG480" s="84">
        <f>DATE(YEAR(His53_DataTT[[#This Row],[RptDate]]),MONTH(His53_DataTT[[#This Row],[RptDate]]),1)</f>
        <v>45992</v>
      </c>
      <c r="AO480" s="14"/>
    </row>
    <row r="481" spans="17:41" x14ac:dyDescent="0.3">
      <c r="Q481" s="93">
        <v>46238</v>
      </c>
      <c r="R481" t="s">
        <v>496</v>
      </c>
      <c r="S481" t="s">
        <v>415</v>
      </c>
      <c r="T481" s="14">
        <v>6.7553441403135803</v>
      </c>
      <c r="W481" s="20">
        <v>45929</v>
      </c>
      <c r="X481" t="s">
        <v>281</v>
      </c>
      <c r="Y481" s="23">
        <v>6.3615384615384603</v>
      </c>
      <c r="Z481" s="23">
        <v>5.9153846153846201</v>
      </c>
      <c r="AA481" s="23">
        <v>6.1384615384615397</v>
      </c>
      <c r="AC481" s="19"/>
      <c r="AD481" s="20">
        <v>46013</v>
      </c>
      <c r="AE481" t="s">
        <v>479</v>
      </c>
      <c r="AF481">
        <v>2617.1780979820001</v>
      </c>
      <c r="AG481" s="84">
        <f>DATE(YEAR(His53_DataTT[[#This Row],[RptDate]]),MONTH(His53_DataTT[[#This Row],[RptDate]]),1)</f>
        <v>45992</v>
      </c>
      <c r="AO481" s="14"/>
    </row>
    <row r="482" spans="17:41" x14ac:dyDescent="0.3">
      <c r="Q482" s="93">
        <v>46238</v>
      </c>
      <c r="R482" t="s">
        <v>1290</v>
      </c>
      <c r="S482" t="s">
        <v>415</v>
      </c>
      <c r="T482" s="14">
        <v>7.0627605321186397</v>
      </c>
      <c r="W482" s="20">
        <v>45930</v>
      </c>
      <c r="X482" t="s">
        <v>270</v>
      </c>
      <c r="Y482" s="23">
        <v>5.74</v>
      </c>
      <c r="Z482" s="23">
        <v>5.37</v>
      </c>
      <c r="AA482" s="23">
        <v>5.5549999999999997</v>
      </c>
      <c r="AC482" s="19"/>
      <c r="AD482" s="20">
        <v>46013</v>
      </c>
      <c r="AE482" t="s">
        <v>557</v>
      </c>
      <c r="AF482">
        <v>3548.0011080139998</v>
      </c>
      <c r="AG482" s="84">
        <f>DATE(YEAR(His53_DataTT[[#This Row],[RptDate]]),MONTH(His53_DataTT[[#This Row],[RptDate]]),1)</f>
        <v>45992</v>
      </c>
      <c r="AO482" s="14"/>
    </row>
    <row r="483" spans="17:41" x14ac:dyDescent="0.3">
      <c r="Q483" s="93">
        <v>46238</v>
      </c>
      <c r="R483" t="s">
        <v>364</v>
      </c>
      <c r="S483" t="s">
        <v>997</v>
      </c>
      <c r="T483" s="14">
        <v>29750</v>
      </c>
      <c r="W483" s="20">
        <v>45930</v>
      </c>
      <c r="X483" t="s">
        <v>271</v>
      </c>
      <c r="Y483" s="23">
        <v>5.9</v>
      </c>
      <c r="Z483" s="23">
        <v>5.4</v>
      </c>
      <c r="AA483" s="23">
        <v>5.65</v>
      </c>
      <c r="AC483" s="19"/>
      <c r="AD483" s="20">
        <v>46014</v>
      </c>
      <c r="AE483" t="s">
        <v>479</v>
      </c>
      <c r="AF483">
        <v>1901.083850833</v>
      </c>
      <c r="AG483" s="84">
        <f>DATE(YEAR(His53_DataTT[[#This Row],[RptDate]]),MONTH(His53_DataTT[[#This Row],[RptDate]]),1)</f>
        <v>45992</v>
      </c>
      <c r="AO483" s="14"/>
    </row>
    <row r="484" spans="17:41" x14ac:dyDescent="0.3">
      <c r="Q484" s="93">
        <v>46238</v>
      </c>
      <c r="R484" t="s">
        <v>496</v>
      </c>
      <c r="S484" t="s">
        <v>997</v>
      </c>
      <c r="T484" s="14">
        <v>18815</v>
      </c>
      <c r="W484" s="20">
        <v>45930</v>
      </c>
      <c r="X484" t="s">
        <v>272</v>
      </c>
      <c r="Y484" s="23">
        <v>5.8076923076923102</v>
      </c>
      <c r="Z484" s="23">
        <v>5.3384615384615399</v>
      </c>
      <c r="AA484" s="23">
        <v>5.5730769230769202</v>
      </c>
      <c r="AC484" s="19"/>
      <c r="AD484" s="20">
        <v>46014</v>
      </c>
      <c r="AE484" t="s">
        <v>557</v>
      </c>
      <c r="AF484">
        <v>4478.9972698700003</v>
      </c>
      <c r="AG484" s="84">
        <f>DATE(YEAR(His53_DataTT[[#This Row],[RptDate]]),MONTH(His53_DataTT[[#This Row],[RptDate]]),1)</f>
        <v>45992</v>
      </c>
      <c r="AO484" s="14"/>
    </row>
    <row r="485" spans="17:41" x14ac:dyDescent="0.3">
      <c r="Q485" s="93">
        <v>46238</v>
      </c>
      <c r="R485" t="s">
        <v>1388</v>
      </c>
      <c r="S485" t="s">
        <v>997</v>
      </c>
      <c r="T485" s="14">
        <v>15197.6106</v>
      </c>
      <c r="W485" s="20">
        <v>45930</v>
      </c>
      <c r="X485" t="s">
        <v>273</v>
      </c>
      <c r="Y485" s="23">
        <v>5.89230769230769</v>
      </c>
      <c r="Z485" s="23">
        <v>5.4230769230769198</v>
      </c>
      <c r="AA485" s="23">
        <v>5.6576923076923098</v>
      </c>
      <c r="AC485" s="19"/>
      <c r="AD485" s="20">
        <v>46015</v>
      </c>
      <c r="AE485" t="s">
        <v>479</v>
      </c>
      <c r="AF485">
        <v>1591.9081508679999</v>
      </c>
      <c r="AG485" s="84">
        <f>DATE(YEAR(His53_DataTT[[#This Row],[RptDate]]),MONTH(His53_DataTT[[#This Row],[RptDate]]),1)</f>
        <v>45992</v>
      </c>
      <c r="AO485" s="14"/>
    </row>
    <row r="486" spans="17:41" x14ac:dyDescent="0.3">
      <c r="Q486" s="93">
        <v>46238</v>
      </c>
      <c r="R486" t="s">
        <v>1389</v>
      </c>
      <c r="S486" t="s">
        <v>997</v>
      </c>
      <c r="T486" s="14">
        <v>14800</v>
      </c>
      <c r="W486" s="20">
        <v>45930</v>
      </c>
      <c r="X486" t="s">
        <v>274</v>
      </c>
      <c r="Y486" s="23">
        <v>5.9538461538461602</v>
      </c>
      <c r="Z486" s="23">
        <v>5.5</v>
      </c>
      <c r="AA486" s="23">
        <v>5.7269230769230797</v>
      </c>
      <c r="AC486" s="19"/>
      <c r="AD486" s="20">
        <v>46015</v>
      </c>
      <c r="AE486" t="s">
        <v>557</v>
      </c>
      <c r="AF486">
        <v>5410.4875244610002</v>
      </c>
      <c r="AG486" s="84">
        <f>DATE(YEAR(His53_DataTT[[#This Row],[RptDate]]),MONTH(His53_DataTT[[#This Row],[RptDate]]),1)</f>
        <v>45992</v>
      </c>
      <c r="AO486" s="14"/>
    </row>
    <row r="487" spans="17:41" x14ac:dyDescent="0.3">
      <c r="Q487" s="93">
        <v>46238</v>
      </c>
      <c r="R487" t="s">
        <v>1390</v>
      </c>
      <c r="S487" t="s">
        <v>997</v>
      </c>
      <c r="T487" s="14">
        <v>397.61059999999998</v>
      </c>
      <c r="W487" s="20">
        <v>45930</v>
      </c>
      <c r="X487" t="s">
        <v>275</v>
      </c>
      <c r="Y487" s="23">
        <v>6.0115384615384597</v>
      </c>
      <c r="Z487" s="23">
        <v>5.5653846153846196</v>
      </c>
      <c r="AA487" s="23">
        <v>5.7884615384615401</v>
      </c>
      <c r="AC487" s="19"/>
      <c r="AD487" s="20">
        <v>46016</v>
      </c>
      <c r="AE487" t="s">
        <v>479</v>
      </c>
      <c r="AF487">
        <v>3956.7688218220001</v>
      </c>
      <c r="AG487" s="84">
        <f>DATE(YEAR(His53_DataTT[[#This Row],[RptDate]]),MONTH(His53_DataTT[[#This Row],[RptDate]]),1)</f>
        <v>45992</v>
      </c>
      <c r="AO487" s="14"/>
    </row>
    <row r="488" spans="17:41" x14ac:dyDescent="0.3">
      <c r="Q488" s="93">
        <v>46237</v>
      </c>
      <c r="R488" t="s">
        <v>364</v>
      </c>
      <c r="S488" t="s">
        <v>997</v>
      </c>
      <c r="T488" s="14">
        <v>30250</v>
      </c>
      <c r="W488" s="20">
        <v>45930</v>
      </c>
      <c r="X488" t="s">
        <v>276</v>
      </c>
      <c r="Y488" s="23">
        <v>6.0538461538461501</v>
      </c>
      <c r="Z488" s="23">
        <v>5.6</v>
      </c>
      <c r="AA488" s="23">
        <v>5.8269230769230802</v>
      </c>
      <c r="AC488" s="19"/>
      <c r="AD488" s="20">
        <v>46016</v>
      </c>
      <c r="AE488" t="s">
        <v>557</v>
      </c>
      <c r="AF488">
        <v>10411.129922235999</v>
      </c>
      <c r="AG488" s="84">
        <f>DATE(YEAR(His53_DataTT[[#This Row],[RptDate]]),MONTH(His53_DataTT[[#This Row],[RptDate]]),1)</f>
        <v>45992</v>
      </c>
      <c r="AO488" s="14"/>
    </row>
    <row r="489" spans="17:41" x14ac:dyDescent="0.3">
      <c r="Q489" s="93">
        <v>46237</v>
      </c>
      <c r="R489" t="s">
        <v>496</v>
      </c>
      <c r="S489" t="s">
        <v>997</v>
      </c>
      <c r="T489" s="14">
        <v>20615</v>
      </c>
      <c r="W489" s="20">
        <v>45930</v>
      </c>
      <c r="X489" t="s">
        <v>277</v>
      </c>
      <c r="Y489" s="23">
        <v>6.1346153846153904</v>
      </c>
      <c r="Z489" s="23">
        <v>5.6653846153846201</v>
      </c>
      <c r="AA489" s="23">
        <v>5.9</v>
      </c>
      <c r="AC489" s="19"/>
      <c r="AD489" s="20">
        <v>46017</v>
      </c>
      <c r="AE489" t="s">
        <v>479</v>
      </c>
      <c r="AF489">
        <v>3650.6052665970001</v>
      </c>
      <c r="AG489" s="84">
        <f>DATE(YEAR(His53_DataTT[[#This Row],[RptDate]]),MONTH(His53_DataTT[[#This Row],[RptDate]]),1)</f>
        <v>45992</v>
      </c>
      <c r="AO489" s="14"/>
    </row>
    <row r="490" spans="17:41" x14ac:dyDescent="0.3">
      <c r="Q490" s="93">
        <v>46237</v>
      </c>
      <c r="R490" t="s">
        <v>1388</v>
      </c>
      <c r="S490" t="s">
        <v>997</v>
      </c>
      <c r="T490" s="14">
        <v>15197.6106</v>
      </c>
      <c r="W490" s="20">
        <v>45930</v>
      </c>
      <c r="X490" t="s">
        <v>278</v>
      </c>
      <c r="Y490" s="23">
        <v>6.1692307692307704</v>
      </c>
      <c r="Z490" s="23">
        <v>5.7038461538461496</v>
      </c>
      <c r="AA490" s="23">
        <v>5.9365384615384604</v>
      </c>
      <c r="AC490" s="19"/>
      <c r="AD490" s="20">
        <v>46017</v>
      </c>
      <c r="AE490" t="s">
        <v>557</v>
      </c>
      <c r="AF490">
        <v>5300.574868054</v>
      </c>
      <c r="AG490" s="84">
        <f>DATE(YEAR(His53_DataTT[[#This Row],[RptDate]]),MONTH(His53_DataTT[[#This Row],[RptDate]]),1)</f>
        <v>45992</v>
      </c>
      <c r="AO490" s="14"/>
    </row>
    <row r="491" spans="17:41" x14ac:dyDescent="0.3">
      <c r="Q491" s="93">
        <v>46237</v>
      </c>
      <c r="R491" t="s">
        <v>1389</v>
      </c>
      <c r="S491" t="s">
        <v>997</v>
      </c>
      <c r="T491" s="14">
        <v>14800</v>
      </c>
      <c r="W491" s="20">
        <v>45930</v>
      </c>
      <c r="X491" t="s">
        <v>279</v>
      </c>
      <c r="Y491" s="23">
        <v>6.2038461538461496</v>
      </c>
      <c r="Z491" s="23">
        <v>5.7384615384615403</v>
      </c>
      <c r="AA491" s="23">
        <v>5.9711538461538503</v>
      </c>
      <c r="AC491" s="19"/>
      <c r="AD491" s="20">
        <v>46020</v>
      </c>
      <c r="AE491" t="s">
        <v>479</v>
      </c>
      <c r="AF491">
        <v>3088.4685469239998</v>
      </c>
      <c r="AG491" s="84">
        <f>DATE(YEAR(His53_DataTT[[#This Row],[RptDate]]),MONTH(His53_DataTT[[#This Row],[RptDate]]),1)</f>
        <v>45992</v>
      </c>
      <c r="AO491" s="14"/>
    </row>
    <row r="492" spans="17:41" x14ac:dyDescent="0.3">
      <c r="Q492" s="93">
        <v>46237</v>
      </c>
      <c r="R492" t="s">
        <v>1390</v>
      </c>
      <c r="S492" t="s">
        <v>997</v>
      </c>
      <c r="T492" s="14">
        <v>397.61059999999998</v>
      </c>
      <c r="W492" s="20">
        <v>45930</v>
      </c>
      <c r="X492" t="s">
        <v>280</v>
      </c>
      <c r="Y492" s="23">
        <v>6.2923076923076904</v>
      </c>
      <c r="Z492" s="23">
        <v>5.8230769230769202</v>
      </c>
      <c r="AA492" s="23">
        <v>6.0576923076923102</v>
      </c>
      <c r="AC492" s="19"/>
      <c r="AD492" s="20">
        <v>46020</v>
      </c>
      <c r="AE492" t="s">
        <v>557</v>
      </c>
      <c r="AF492">
        <v>4255.1239783990004</v>
      </c>
      <c r="AG492" s="84">
        <f>DATE(YEAR(His53_DataTT[[#This Row],[RptDate]]),MONTH(His53_DataTT[[#This Row],[RptDate]]),1)</f>
        <v>45992</v>
      </c>
      <c r="AO492" s="14"/>
    </row>
    <row r="493" spans="17:41" x14ac:dyDescent="0.3">
      <c r="Q493" s="93">
        <v>46237</v>
      </c>
      <c r="R493" t="s">
        <v>479</v>
      </c>
      <c r="S493" t="s">
        <v>399</v>
      </c>
      <c r="T493" s="14">
        <v>12771.7900137334</v>
      </c>
      <c r="W493" s="20">
        <v>45930</v>
      </c>
      <c r="X493" t="s">
        <v>281</v>
      </c>
      <c r="Y493" s="23">
        <v>6.3615384615384603</v>
      </c>
      <c r="Z493" s="23">
        <v>5.9153846153846201</v>
      </c>
      <c r="AA493" s="23">
        <v>6.1384615384615397</v>
      </c>
      <c r="AC493" s="19"/>
      <c r="AD493" s="20">
        <v>46021</v>
      </c>
      <c r="AE493" t="s">
        <v>479</v>
      </c>
      <c r="AF493">
        <v>4145.7312099029996</v>
      </c>
      <c r="AG493" s="84">
        <f>DATE(YEAR(His53_DataTT[[#This Row],[RptDate]]),MONTH(His53_DataTT[[#This Row],[RptDate]]),1)</f>
        <v>45992</v>
      </c>
      <c r="AO493" s="14"/>
    </row>
    <row r="494" spans="17:41" x14ac:dyDescent="0.3">
      <c r="Q494" s="93">
        <v>46237</v>
      </c>
      <c r="R494" t="s">
        <v>364</v>
      </c>
      <c r="S494" t="s">
        <v>399</v>
      </c>
      <c r="T494" s="14">
        <v>26750</v>
      </c>
      <c r="W494" s="20">
        <v>45932</v>
      </c>
      <c r="X494" t="s">
        <v>270</v>
      </c>
      <c r="Y494" s="23">
        <v>5.75</v>
      </c>
      <c r="Z494" s="23">
        <v>5.35</v>
      </c>
      <c r="AA494" s="23">
        <v>5.55</v>
      </c>
      <c r="AC494" s="19"/>
      <c r="AD494" s="20">
        <v>46021</v>
      </c>
      <c r="AE494" t="s">
        <v>557</v>
      </c>
      <c r="AF494">
        <v>4624.6792257010002</v>
      </c>
      <c r="AG494" s="84">
        <f>DATE(YEAR(His53_DataTT[[#This Row],[RptDate]]),MONTH(His53_DataTT[[#This Row],[RptDate]]),1)</f>
        <v>45992</v>
      </c>
      <c r="AO494" s="14"/>
    </row>
    <row r="495" spans="17:41" x14ac:dyDescent="0.3">
      <c r="Q495" s="93">
        <v>46237</v>
      </c>
      <c r="R495" t="s">
        <v>491</v>
      </c>
      <c r="S495" t="s">
        <v>399</v>
      </c>
      <c r="T495" s="14">
        <v>397.61059999999998</v>
      </c>
      <c r="W495" s="20">
        <v>45932</v>
      </c>
      <c r="X495" t="s">
        <v>271</v>
      </c>
      <c r="Y495" s="23">
        <v>5.94</v>
      </c>
      <c r="Z495" s="23">
        <v>5.508</v>
      </c>
      <c r="AA495" s="23">
        <v>5.7240000000000002</v>
      </c>
      <c r="AC495" s="19"/>
      <c r="AD495" s="20">
        <v>46022</v>
      </c>
      <c r="AE495" t="s">
        <v>479</v>
      </c>
      <c r="AF495">
        <v>2092.3334880319999</v>
      </c>
      <c r="AG495" s="84">
        <f>DATE(YEAR(His53_DataTT[[#This Row],[RptDate]]),MONTH(His53_DataTT[[#This Row],[RptDate]]),1)</f>
        <v>45992</v>
      </c>
      <c r="AO495" s="14"/>
    </row>
    <row r="496" spans="17:41" x14ac:dyDescent="0.3">
      <c r="Q496" s="93">
        <v>46237</v>
      </c>
      <c r="R496" t="s">
        <v>492</v>
      </c>
      <c r="S496" t="s">
        <v>399</v>
      </c>
      <c r="T496" s="14">
        <v>11800</v>
      </c>
      <c r="W496" s="20">
        <v>45932</v>
      </c>
      <c r="X496" t="s">
        <v>272</v>
      </c>
      <c r="Y496" s="23">
        <v>5.8269230769230802</v>
      </c>
      <c r="Z496" s="23">
        <v>5.3884615384615397</v>
      </c>
      <c r="AA496" s="23">
        <v>5.60769230769231</v>
      </c>
      <c r="AC496" s="19"/>
      <c r="AD496" s="20">
        <v>46022</v>
      </c>
      <c r="AE496" t="s">
        <v>557</v>
      </c>
      <c r="AF496">
        <v>2838.5535520039998</v>
      </c>
      <c r="AG496" s="84">
        <f>DATE(YEAR(His53_DataTT[[#This Row],[RptDate]]),MONTH(His53_DataTT[[#This Row],[RptDate]]),1)</f>
        <v>45992</v>
      </c>
      <c r="AO496" s="14"/>
    </row>
    <row r="497" spans="17:41" x14ac:dyDescent="0.3">
      <c r="Q497" s="93">
        <v>46237</v>
      </c>
      <c r="R497" t="s">
        <v>1438</v>
      </c>
      <c r="S497" t="s">
        <v>399</v>
      </c>
      <c r="T497" s="14">
        <v>574.17941373345002</v>
      </c>
      <c r="W497" s="20">
        <v>45932</v>
      </c>
      <c r="X497" t="s">
        <v>273</v>
      </c>
      <c r="Y497" s="23">
        <v>5.9307692307692301</v>
      </c>
      <c r="Z497" s="23">
        <v>5.4692307692307702</v>
      </c>
      <c r="AA497" s="23">
        <v>5.7</v>
      </c>
      <c r="AC497" s="19"/>
      <c r="AD497" s="20">
        <v>46027</v>
      </c>
      <c r="AE497" t="s">
        <v>479</v>
      </c>
      <c r="AF497">
        <v>3258.329074878</v>
      </c>
      <c r="AG497" s="84">
        <f>DATE(YEAR(His53_DataTT[[#This Row],[RptDate]]),MONTH(His53_DataTT[[#This Row],[RptDate]]),1)</f>
        <v>46023</v>
      </c>
      <c r="AO497" s="14"/>
    </row>
    <row r="498" spans="17:41" x14ac:dyDescent="0.3">
      <c r="Q498" s="93">
        <v>46237</v>
      </c>
      <c r="R498" t="s">
        <v>496</v>
      </c>
      <c r="S498" t="s">
        <v>399</v>
      </c>
      <c r="T498" s="14">
        <v>17115</v>
      </c>
      <c r="W498" s="20">
        <v>45932</v>
      </c>
      <c r="X498" t="s">
        <v>274</v>
      </c>
      <c r="Y498" s="23">
        <v>5.9923076923076897</v>
      </c>
      <c r="Z498" s="23">
        <v>5.5461538461538504</v>
      </c>
      <c r="AA498" s="23">
        <v>5.7692307692307701</v>
      </c>
      <c r="AC498" s="19"/>
      <c r="AD498" s="20">
        <v>46027</v>
      </c>
      <c r="AE498" t="s">
        <v>557</v>
      </c>
      <c r="AF498">
        <v>3834.298902861</v>
      </c>
      <c r="AG498" s="84">
        <f>DATE(YEAR(His53_DataTT[[#This Row],[RptDate]]),MONTH(His53_DataTT[[#This Row],[RptDate]]),1)</f>
        <v>46023</v>
      </c>
      <c r="AO498" s="14"/>
    </row>
    <row r="499" spans="17:41" x14ac:dyDescent="0.3">
      <c r="Q499" s="93">
        <v>46237</v>
      </c>
      <c r="R499" t="s">
        <v>497</v>
      </c>
      <c r="S499" t="s">
        <v>399</v>
      </c>
      <c r="T499" s="14">
        <v>397.61059999999998</v>
      </c>
      <c r="W499" s="20">
        <v>45932</v>
      </c>
      <c r="X499" t="s">
        <v>275</v>
      </c>
      <c r="Y499" s="23">
        <v>6.05</v>
      </c>
      <c r="Z499" s="23">
        <v>5.6115384615384603</v>
      </c>
      <c r="AA499" s="23">
        <v>5.8307692307692296</v>
      </c>
      <c r="AC499" s="19"/>
      <c r="AD499" s="20">
        <v>46028</v>
      </c>
      <c r="AE499" t="s">
        <v>479</v>
      </c>
      <c r="AF499">
        <v>1915.5776541539999</v>
      </c>
      <c r="AG499" s="84">
        <f>DATE(YEAR(His53_DataTT[[#This Row],[RptDate]]),MONTH(His53_DataTT[[#This Row],[RptDate]]),1)</f>
        <v>46023</v>
      </c>
      <c r="AO499" s="14"/>
    </row>
    <row r="500" spans="17:41" x14ac:dyDescent="0.3">
      <c r="Q500" s="93">
        <v>46237</v>
      </c>
      <c r="R500" t="s">
        <v>498</v>
      </c>
      <c r="S500" t="s">
        <v>399</v>
      </c>
      <c r="T500" s="14">
        <v>11800</v>
      </c>
      <c r="W500" s="20">
        <v>45932</v>
      </c>
      <c r="X500" t="s">
        <v>276</v>
      </c>
      <c r="Y500" s="23">
        <v>6.1</v>
      </c>
      <c r="Z500" s="23">
        <v>5.6538461538461604</v>
      </c>
      <c r="AA500" s="23">
        <v>5.87692307692308</v>
      </c>
      <c r="AC500" s="19"/>
      <c r="AD500" s="20">
        <v>46028</v>
      </c>
      <c r="AE500" t="s">
        <v>557</v>
      </c>
      <c r="AF500">
        <v>3079.5245222650001</v>
      </c>
      <c r="AG500" s="84">
        <f>DATE(YEAR(His53_DataTT[[#This Row],[RptDate]]),MONTH(His53_DataTT[[#This Row],[RptDate]]),1)</f>
        <v>46023</v>
      </c>
      <c r="AO500" s="14"/>
    </row>
    <row r="501" spans="17:41" x14ac:dyDescent="0.3">
      <c r="Q501" s="93">
        <v>46237</v>
      </c>
      <c r="R501" t="s">
        <v>494</v>
      </c>
      <c r="S501" t="s">
        <v>399</v>
      </c>
      <c r="T501" s="14">
        <v>0</v>
      </c>
      <c r="W501" s="20">
        <v>45932</v>
      </c>
      <c r="X501" t="s">
        <v>277</v>
      </c>
      <c r="Y501" s="23">
        <v>6.1730769230769296</v>
      </c>
      <c r="Z501" s="23">
        <v>5.7115384615384599</v>
      </c>
      <c r="AA501" s="23">
        <v>5.9423076923076898</v>
      </c>
      <c r="AC501" s="19"/>
      <c r="AD501" s="20">
        <v>46029</v>
      </c>
      <c r="AE501" t="s">
        <v>479</v>
      </c>
      <c r="AF501">
        <v>1501.478439389</v>
      </c>
      <c r="AG501" s="84">
        <f>DATE(YEAR(His53_DataTT[[#This Row],[RptDate]]),MONTH(His53_DataTT[[#This Row],[RptDate]]),1)</f>
        <v>46023</v>
      </c>
      <c r="AO501" s="14"/>
    </row>
    <row r="502" spans="17:41" x14ac:dyDescent="0.3">
      <c r="Q502" s="93">
        <v>46237</v>
      </c>
      <c r="R502" t="s">
        <v>495</v>
      </c>
      <c r="S502" t="s">
        <v>399</v>
      </c>
      <c r="T502" s="14">
        <v>0</v>
      </c>
      <c r="W502" s="20">
        <v>45932</v>
      </c>
      <c r="X502" t="s">
        <v>278</v>
      </c>
      <c r="Y502" s="23">
        <v>6.2076923076923096</v>
      </c>
      <c r="Z502" s="23">
        <v>5.75</v>
      </c>
      <c r="AA502" s="23">
        <v>5.9788461538461499</v>
      </c>
      <c r="AC502" s="19"/>
      <c r="AD502" s="20">
        <v>46029</v>
      </c>
      <c r="AE502" t="s">
        <v>557</v>
      </c>
      <c r="AF502">
        <v>2953.7978550729999</v>
      </c>
      <c r="AG502" s="84">
        <f>DATE(YEAR(His53_DataTT[[#This Row],[RptDate]]),MONTH(His53_DataTT[[#This Row],[RptDate]]),1)</f>
        <v>46023</v>
      </c>
      <c r="AO502" s="14"/>
    </row>
    <row r="503" spans="17:41" x14ac:dyDescent="0.3">
      <c r="Q503" s="93">
        <v>46237</v>
      </c>
      <c r="R503" t="s">
        <v>493</v>
      </c>
      <c r="S503" t="s">
        <v>399</v>
      </c>
      <c r="T503" s="14">
        <v>0</v>
      </c>
      <c r="W503" s="20">
        <v>45932</v>
      </c>
      <c r="X503" t="s">
        <v>279</v>
      </c>
      <c r="Y503" s="23">
        <v>6.2423076923076897</v>
      </c>
      <c r="Z503" s="23">
        <v>5.7846153846153898</v>
      </c>
      <c r="AA503" s="23">
        <v>6.0134615384615397</v>
      </c>
      <c r="AC503" s="19"/>
      <c r="AD503" s="20">
        <v>46030</v>
      </c>
      <c r="AE503" t="s">
        <v>479</v>
      </c>
      <c r="AF503">
        <v>2731.2137565429998</v>
      </c>
      <c r="AG503" s="84">
        <f>DATE(YEAR(His53_DataTT[[#This Row],[RptDate]]),MONTH(His53_DataTT[[#This Row],[RptDate]]),1)</f>
        <v>46023</v>
      </c>
      <c r="AO503" s="14"/>
    </row>
    <row r="504" spans="17:41" x14ac:dyDescent="0.3">
      <c r="Q504" s="93">
        <v>46237</v>
      </c>
      <c r="R504" t="s">
        <v>593</v>
      </c>
      <c r="S504" t="s">
        <v>399</v>
      </c>
      <c r="T504" s="14">
        <v>9635</v>
      </c>
      <c r="W504" s="20">
        <v>45932</v>
      </c>
      <c r="X504" t="s">
        <v>280</v>
      </c>
      <c r="Y504" s="23">
        <v>6.3307692307692296</v>
      </c>
      <c r="Z504" s="23">
        <v>5.8692307692307697</v>
      </c>
      <c r="AA504" s="23">
        <v>6.1</v>
      </c>
      <c r="AC504" s="19"/>
      <c r="AD504" s="20">
        <v>46030</v>
      </c>
      <c r="AE504" t="s">
        <v>557</v>
      </c>
      <c r="AF504">
        <v>3268.9067553159998</v>
      </c>
      <c r="AG504" s="84">
        <f>DATE(YEAR(His53_DataTT[[#This Row],[RptDate]]),MONTH(His53_DataTT[[#This Row],[RptDate]]),1)</f>
        <v>46023</v>
      </c>
      <c r="AO504" s="14"/>
    </row>
    <row r="505" spans="17:41" x14ac:dyDescent="0.3">
      <c r="Q505" s="93">
        <v>46237</v>
      </c>
      <c r="R505" t="s">
        <v>594</v>
      </c>
      <c r="S505" t="s">
        <v>399</v>
      </c>
      <c r="T505" s="14">
        <v>0</v>
      </c>
      <c r="W505" s="20">
        <v>45932</v>
      </c>
      <c r="X505" t="s">
        <v>281</v>
      </c>
      <c r="Y505" s="23">
        <v>6.3846153846153904</v>
      </c>
      <c r="Z505" s="23">
        <v>5.9461538461538499</v>
      </c>
      <c r="AA505" s="23">
        <v>6.1653846153846201</v>
      </c>
      <c r="AC505" s="19"/>
      <c r="AD505" s="20">
        <v>46031</v>
      </c>
      <c r="AE505" t="s">
        <v>479</v>
      </c>
      <c r="AF505">
        <v>2797.8418775169998</v>
      </c>
      <c r="AG505" s="84">
        <f>DATE(YEAR(His53_DataTT[[#This Row],[RptDate]]),MONTH(His53_DataTT[[#This Row],[RptDate]]),1)</f>
        <v>46023</v>
      </c>
      <c r="AO505" s="14"/>
    </row>
    <row r="506" spans="17:41" x14ac:dyDescent="0.3">
      <c r="Q506" s="93">
        <v>46237</v>
      </c>
      <c r="R506" t="s">
        <v>595</v>
      </c>
      <c r="S506" t="s">
        <v>399</v>
      </c>
      <c r="T506" s="14">
        <v>0</v>
      </c>
      <c r="W506" s="20">
        <v>45931</v>
      </c>
      <c r="X506" t="s">
        <v>270</v>
      </c>
      <c r="Y506" s="23">
        <v>5.75</v>
      </c>
      <c r="Z506" s="23">
        <v>5.35</v>
      </c>
      <c r="AA506" s="23">
        <v>5.55</v>
      </c>
      <c r="AC506" s="19"/>
      <c r="AD506" s="20">
        <v>46031</v>
      </c>
      <c r="AE506" t="s">
        <v>557</v>
      </c>
      <c r="AF506">
        <v>1966.2614234770001</v>
      </c>
      <c r="AG506" s="84">
        <f>DATE(YEAR(His53_DataTT[[#This Row],[RptDate]]),MONTH(His53_DataTT[[#This Row],[RptDate]]),1)</f>
        <v>46023</v>
      </c>
      <c r="AO506" s="14"/>
    </row>
    <row r="507" spans="17:41" x14ac:dyDescent="0.3">
      <c r="Q507" s="93">
        <v>46237</v>
      </c>
      <c r="R507" t="s">
        <v>1439</v>
      </c>
      <c r="S507" t="s">
        <v>399</v>
      </c>
      <c r="T507" s="14">
        <v>574.17941373345002</v>
      </c>
      <c r="W507" s="20">
        <v>45931</v>
      </c>
      <c r="X507" t="s">
        <v>271</v>
      </c>
      <c r="Y507" s="23">
        <v>5.92</v>
      </c>
      <c r="Z507" s="23">
        <v>5.42</v>
      </c>
      <c r="AA507" s="23">
        <v>5.67</v>
      </c>
      <c r="AC507" s="19"/>
      <c r="AD507" s="20">
        <v>46034</v>
      </c>
      <c r="AE507" t="s">
        <v>479</v>
      </c>
      <c r="AF507">
        <v>1875.6365171980001</v>
      </c>
      <c r="AG507" s="84">
        <f>DATE(YEAR(His53_DataTT[[#This Row],[RptDate]]),MONTH(His53_DataTT[[#This Row],[RptDate]]),1)</f>
        <v>46023</v>
      </c>
      <c r="AO507" s="14"/>
    </row>
    <row r="508" spans="17:41" x14ac:dyDescent="0.3">
      <c r="Q508" s="93">
        <v>46237</v>
      </c>
      <c r="R508" t="s">
        <v>479</v>
      </c>
      <c r="S508" t="s">
        <v>395</v>
      </c>
      <c r="T508" s="14">
        <v>11868.7138522675</v>
      </c>
      <c r="W508" s="20">
        <v>45931</v>
      </c>
      <c r="X508" t="s">
        <v>272</v>
      </c>
      <c r="Y508" s="23">
        <v>5.8038461538461599</v>
      </c>
      <c r="Z508" s="23">
        <v>5.3653846153846203</v>
      </c>
      <c r="AA508" s="23">
        <v>5.5846153846153799</v>
      </c>
      <c r="AC508" s="19"/>
      <c r="AD508" s="20">
        <v>46034</v>
      </c>
      <c r="AE508" t="s">
        <v>557</v>
      </c>
      <c r="AF508">
        <v>2766.7675143030001</v>
      </c>
      <c r="AG508" s="84">
        <f>DATE(YEAR(His53_DataTT[[#This Row],[RptDate]]),MONTH(His53_DataTT[[#This Row],[RptDate]]),1)</f>
        <v>46023</v>
      </c>
      <c r="AO508" s="14"/>
    </row>
    <row r="509" spans="17:41" x14ac:dyDescent="0.3">
      <c r="Q509" s="93">
        <v>46237</v>
      </c>
      <c r="R509" t="s">
        <v>479</v>
      </c>
      <c r="S509" t="s">
        <v>415</v>
      </c>
      <c r="T509" s="14">
        <v>7.4433492683382703</v>
      </c>
      <c r="W509" s="20">
        <v>45931</v>
      </c>
      <c r="X509" t="s">
        <v>273</v>
      </c>
      <c r="Y509" s="23">
        <v>5.9153846153846201</v>
      </c>
      <c r="Z509" s="23">
        <v>5.4461538461538499</v>
      </c>
      <c r="AA509" s="23">
        <v>5.6807692307692301</v>
      </c>
      <c r="AC509" s="19"/>
      <c r="AD509" s="20">
        <v>46035</v>
      </c>
      <c r="AE509" t="s">
        <v>479</v>
      </c>
      <c r="AF509">
        <v>1532.2474018349999</v>
      </c>
      <c r="AG509" s="84">
        <f>DATE(YEAR(His53_DataTT[[#This Row],[RptDate]]),MONTH(His53_DataTT[[#This Row],[RptDate]]),1)</f>
        <v>46023</v>
      </c>
      <c r="AO509" s="14"/>
    </row>
    <row r="510" spans="17:41" x14ac:dyDescent="0.3">
      <c r="Q510" s="93">
        <v>46237</v>
      </c>
      <c r="R510" t="s">
        <v>364</v>
      </c>
      <c r="S510" t="s">
        <v>415</v>
      </c>
      <c r="T510" s="14">
        <v>6.89413223140496</v>
      </c>
      <c r="W510" s="20">
        <v>45931</v>
      </c>
      <c r="X510" t="s">
        <v>274</v>
      </c>
      <c r="Y510" s="23">
        <v>5.9769230769230797</v>
      </c>
      <c r="Z510" s="23">
        <v>5.5230769230769203</v>
      </c>
      <c r="AA510" s="23">
        <v>5.75</v>
      </c>
      <c r="AC510" s="19"/>
      <c r="AD510" s="20">
        <v>46035</v>
      </c>
      <c r="AE510" t="s">
        <v>557</v>
      </c>
      <c r="AF510">
        <v>2094.872584015</v>
      </c>
      <c r="AG510" s="84">
        <f>DATE(YEAR(His53_DataTT[[#This Row],[RptDate]]),MONTH(His53_DataTT[[#This Row],[RptDate]]),1)</f>
        <v>46023</v>
      </c>
      <c r="AO510" s="14"/>
    </row>
    <row r="511" spans="17:41" x14ac:dyDescent="0.3">
      <c r="Q511" s="93">
        <v>46237</v>
      </c>
      <c r="R511" t="s">
        <v>516</v>
      </c>
      <c r="S511" t="s">
        <v>415</v>
      </c>
      <c r="T511" s="14">
        <v>7.0777895579839303</v>
      </c>
      <c r="W511" s="20">
        <v>45931</v>
      </c>
      <c r="X511" t="s">
        <v>275</v>
      </c>
      <c r="Y511" s="23">
        <v>6.0346153846153898</v>
      </c>
      <c r="Z511" s="23">
        <v>5.5884615384615399</v>
      </c>
      <c r="AA511" s="23">
        <v>5.8115384615384604</v>
      </c>
      <c r="AC511" s="19"/>
      <c r="AD511" s="20">
        <v>46036</v>
      </c>
      <c r="AE511" t="s">
        <v>479</v>
      </c>
      <c r="AF511">
        <v>1828.4865078079999</v>
      </c>
      <c r="AG511" s="84">
        <f>DATE(YEAR(His53_DataTT[[#This Row],[RptDate]]),MONTH(His53_DataTT[[#This Row],[RptDate]]),1)</f>
        <v>46023</v>
      </c>
      <c r="AO511" s="14"/>
    </row>
    <row r="512" spans="17:41" x14ac:dyDescent="0.3">
      <c r="Q512" s="93">
        <v>46237</v>
      </c>
      <c r="R512" t="s">
        <v>1288</v>
      </c>
      <c r="S512" t="s">
        <v>415</v>
      </c>
      <c r="T512" s="14">
        <v>7.4433492683382703</v>
      </c>
      <c r="W512" s="20">
        <v>45931</v>
      </c>
      <c r="X512" t="s">
        <v>276</v>
      </c>
      <c r="Y512" s="23">
        <v>6.0846153846153896</v>
      </c>
      <c r="Z512" s="23">
        <v>5.6307692307692303</v>
      </c>
      <c r="AA512" s="23">
        <v>5.85769230769231</v>
      </c>
      <c r="AC512" s="19"/>
      <c r="AD512" s="20">
        <v>46036</v>
      </c>
      <c r="AE512" t="s">
        <v>557</v>
      </c>
      <c r="AF512">
        <v>2356.2534886909998</v>
      </c>
      <c r="AG512" s="84">
        <f>DATE(YEAR(His53_DataTT[[#This Row],[RptDate]]),MONTH(His53_DataTT[[#This Row],[RptDate]]),1)</f>
        <v>46023</v>
      </c>
      <c r="AO512" s="14"/>
    </row>
    <row r="513" spans="17:41" x14ac:dyDescent="0.3">
      <c r="Q513" s="93">
        <v>46237</v>
      </c>
      <c r="R513" t="s">
        <v>496</v>
      </c>
      <c r="S513" t="s">
        <v>415</v>
      </c>
      <c r="T513" s="14">
        <v>6.7102498180936196</v>
      </c>
      <c r="W513" s="20">
        <v>45931</v>
      </c>
      <c r="X513" t="s">
        <v>277</v>
      </c>
      <c r="Y513" s="23">
        <v>6.1576923076923098</v>
      </c>
      <c r="Z513" s="23">
        <v>5.6884615384615396</v>
      </c>
      <c r="AA513" s="23">
        <v>5.9230769230769198</v>
      </c>
      <c r="AC513" s="19"/>
      <c r="AD513" s="20">
        <v>46037</v>
      </c>
      <c r="AE513" t="s">
        <v>479</v>
      </c>
      <c r="AF513">
        <v>2269.9571354019999</v>
      </c>
      <c r="AG513" s="84">
        <f>DATE(YEAR(His53_DataTT[[#This Row],[RptDate]]),MONTH(His53_DataTT[[#This Row],[RptDate]]),1)</f>
        <v>46023</v>
      </c>
      <c r="AO513" s="14"/>
    </row>
    <row r="514" spans="17:41" x14ac:dyDescent="0.3">
      <c r="Q514" s="93">
        <v>46237</v>
      </c>
      <c r="R514" t="s">
        <v>1290</v>
      </c>
      <c r="S514" t="s">
        <v>415</v>
      </c>
      <c r="T514" s="14">
        <v>7.0213514046362198</v>
      </c>
      <c r="W514" s="20">
        <v>45931</v>
      </c>
      <c r="X514" t="s">
        <v>278</v>
      </c>
      <c r="Y514" s="23">
        <v>6.1923076923076898</v>
      </c>
      <c r="Z514" s="23">
        <v>5.7269230769230797</v>
      </c>
      <c r="AA514" s="23">
        <v>5.9596153846153799</v>
      </c>
      <c r="AC514" s="19"/>
      <c r="AD514" s="20">
        <v>46037</v>
      </c>
      <c r="AE514" t="s">
        <v>557</v>
      </c>
      <c r="AF514">
        <v>6813.4865261020004</v>
      </c>
      <c r="AG514" s="84">
        <f>DATE(YEAR(His53_DataTT[[#This Row],[RptDate]]),MONTH(His53_DataTT[[#This Row],[RptDate]]),1)</f>
        <v>46023</v>
      </c>
      <c r="AO514" s="14"/>
    </row>
    <row r="515" spans="17:41" x14ac:dyDescent="0.3">
      <c r="Q515" s="93">
        <v>46234</v>
      </c>
      <c r="R515" t="s">
        <v>479</v>
      </c>
      <c r="S515" t="s">
        <v>399</v>
      </c>
      <c r="T515" s="14">
        <v>12772.262129138</v>
      </c>
      <c r="W515" s="20">
        <v>45931</v>
      </c>
      <c r="X515" t="s">
        <v>279</v>
      </c>
      <c r="Y515" s="23">
        <v>6.2269230769230797</v>
      </c>
      <c r="Z515" s="23">
        <v>5.7615384615384597</v>
      </c>
      <c r="AA515" s="23">
        <v>5.9942307692307697</v>
      </c>
      <c r="AC515" s="19"/>
      <c r="AD515" s="20">
        <v>46038</v>
      </c>
      <c r="AE515" t="s">
        <v>479</v>
      </c>
      <c r="AF515">
        <v>2654.1054922580001</v>
      </c>
      <c r="AG515" s="84">
        <f>DATE(YEAR(His53_DataTT[[#This Row],[RptDate]]),MONTH(His53_DataTT[[#This Row],[RptDate]]),1)</f>
        <v>46023</v>
      </c>
      <c r="AO515" s="14"/>
    </row>
    <row r="516" spans="17:41" x14ac:dyDescent="0.3">
      <c r="Q516" s="93">
        <v>46234</v>
      </c>
      <c r="R516" t="s">
        <v>364</v>
      </c>
      <c r="S516" t="s">
        <v>399</v>
      </c>
      <c r="T516" s="14">
        <v>26750</v>
      </c>
      <c r="W516" s="20">
        <v>45931</v>
      </c>
      <c r="X516" t="s">
        <v>280</v>
      </c>
      <c r="Y516" s="23">
        <v>6.3153846153846196</v>
      </c>
      <c r="Z516" s="23">
        <v>5.8461538461538503</v>
      </c>
      <c r="AA516" s="23">
        <v>6.0807692307692296</v>
      </c>
      <c r="AC516" s="19"/>
      <c r="AD516" s="20">
        <v>46038</v>
      </c>
      <c r="AE516" t="s">
        <v>557</v>
      </c>
      <c r="AF516">
        <v>2375.8012367400001</v>
      </c>
      <c r="AG516" s="84">
        <f>DATE(YEAR(His53_DataTT[[#This Row],[RptDate]]),MONTH(His53_DataTT[[#This Row],[RptDate]]),1)</f>
        <v>46023</v>
      </c>
      <c r="AO516" s="14"/>
    </row>
    <row r="517" spans="17:41" x14ac:dyDescent="0.3">
      <c r="Q517" s="93">
        <v>46234</v>
      </c>
      <c r="R517" t="s">
        <v>491</v>
      </c>
      <c r="S517" t="s">
        <v>399</v>
      </c>
      <c r="T517" s="14">
        <v>397.61059999999998</v>
      </c>
      <c r="W517" s="20">
        <v>45931</v>
      </c>
      <c r="X517" t="s">
        <v>281</v>
      </c>
      <c r="Y517" s="23">
        <v>6.37692307692308</v>
      </c>
      <c r="Z517" s="23">
        <v>5.9307692307692301</v>
      </c>
      <c r="AA517" s="23">
        <v>6.1538461538461497</v>
      </c>
      <c r="AC517" s="19"/>
      <c r="AD517" s="20">
        <v>46041</v>
      </c>
      <c r="AE517" t="s">
        <v>479</v>
      </c>
      <c r="AF517">
        <v>1468.0318827829999</v>
      </c>
      <c r="AG517" s="84">
        <f>DATE(YEAR(His53_DataTT[[#This Row],[RptDate]]),MONTH(His53_DataTT[[#This Row],[RptDate]]),1)</f>
        <v>46023</v>
      </c>
      <c r="AO517" s="14"/>
    </row>
    <row r="518" spans="17:41" x14ac:dyDescent="0.3">
      <c r="Q518" s="93">
        <v>46234</v>
      </c>
      <c r="R518" t="s">
        <v>492</v>
      </c>
      <c r="S518" t="s">
        <v>399</v>
      </c>
      <c r="T518" s="14">
        <v>11800</v>
      </c>
      <c r="W518" s="20">
        <v>45933</v>
      </c>
      <c r="X518" t="s">
        <v>270</v>
      </c>
      <c r="Y518" s="23">
        <v>5.75</v>
      </c>
      <c r="Z518" s="23">
        <v>5.35</v>
      </c>
      <c r="AA518" s="23">
        <v>5.55</v>
      </c>
      <c r="AC518" s="19"/>
      <c r="AD518" s="20">
        <v>46041</v>
      </c>
      <c r="AE518" t="s">
        <v>557</v>
      </c>
      <c r="AF518">
        <v>2314.2035262600002</v>
      </c>
      <c r="AG518" s="84">
        <f>DATE(YEAR(His53_DataTT[[#This Row],[RptDate]]),MONTH(His53_DataTT[[#This Row],[RptDate]]),1)</f>
        <v>46023</v>
      </c>
      <c r="AO518" s="14"/>
    </row>
    <row r="519" spans="17:41" x14ac:dyDescent="0.3">
      <c r="Q519" s="93">
        <v>46234</v>
      </c>
      <c r="R519" t="s">
        <v>1438</v>
      </c>
      <c r="S519" t="s">
        <v>399</v>
      </c>
      <c r="T519" s="14">
        <v>574.65152913797999</v>
      </c>
      <c r="W519" s="20">
        <v>45933</v>
      </c>
      <c r="X519" t="s">
        <v>271</v>
      </c>
      <c r="Y519" s="23">
        <v>5.92</v>
      </c>
      <c r="Z519" s="23">
        <v>5.42</v>
      </c>
      <c r="AA519" s="23">
        <v>5.67</v>
      </c>
      <c r="AC519" s="19"/>
      <c r="AD519" s="20">
        <v>46042</v>
      </c>
      <c r="AE519" t="s">
        <v>479</v>
      </c>
      <c r="AF519">
        <v>5316.7186244499999</v>
      </c>
      <c r="AG519" s="84">
        <f>DATE(YEAR(His53_DataTT[[#This Row],[RptDate]]),MONTH(His53_DataTT[[#This Row],[RptDate]]),1)</f>
        <v>46023</v>
      </c>
      <c r="AO519" s="14"/>
    </row>
    <row r="520" spans="17:41" x14ac:dyDescent="0.3">
      <c r="Q520" s="93">
        <v>46234</v>
      </c>
      <c r="R520" t="s">
        <v>496</v>
      </c>
      <c r="S520" t="s">
        <v>399</v>
      </c>
      <c r="T520" s="14">
        <v>15715</v>
      </c>
      <c r="W520" s="20">
        <v>45933</v>
      </c>
      <c r="X520" t="s">
        <v>272</v>
      </c>
      <c r="Y520" s="23">
        <v>5.8269230769230802</v>
      </c>
      <c r="Z520" s="23">
        <v>5.3884615384615397</v>
      </c>
      <c r="AA520" s="23">
        <v>5.60769230769231</v>
      </c>
      <c r="AC520" s="19"/>
      <c r="AD520" s="20">
        <v>46042</v>
      </c>
      <c r="AE520" t="s">
        <v>557</v>
      </c>
      <c r="AF520">
        <v>3337.6763140910002</v>
      </c>
      <c r="AG520" s="84">
        <f>DATE(YEAR(His53_DataTT[[#This Row],[RptDate]]),MONTH(His53_DataTT[[#This Row],[RptDate]]),1)</f>
        <v>46023</v>
      </c>
      <c r="AO520" s="14"/>
    </row>
    <row r="521" spans="17:41" x14ac:dyDescent="0.3">
      <c r="Q521" s="93">
        <v>46234</v>
      </c>
      <c r="R521" t="s">
        <v>497</v>
      </c>
      <c r="S521" t="s">
        <v>399</v>
      </c>
      <c r="T521" s="14">
        <v>397.61059999999998</v>
      </c>
      <c r="W521" s="20">
        <v>45933</v>
      </c>
      <c r="X521" t="s">
        <v>273</v>
      </c>
      <c r="Y521" s="23">
        <v>5.9307692307692301</v>
      </c>
      <c r="Z521" s="23">
        <v>5.4692307692307702</v>
      </c>
      <c r="AA521" s="23">
        <v>5.7</v>
      </c>
      <c r="AD521" s="20">
        <v>46043</v>
      </c>
      <c r="AE521" t="s">
        <v>479</v>
      </c>
      <c r="AF521">
        <v>2276.1523552489998</v>
      </c>
      <c r="AG521" s="84">
        <f>DATE(YEAR(His53_DataTT[[#This Row],[RptDate]]),MONTH(His53_DataTT[[#This Row],[RptDate]]),1)</f>
        <v>46023</v>
      </c>
      <c r="AO521" s="14"/>
    </row>
    <row r="522" spans="17:41" x14ac:dyDescent="0.3">
      <c r="Q522" s="93">
        <v>46234</v>
      </c>
      <c r="R522" t="s">
        <v>498</v>
      </c>
      <c r="S522" t="s">
        <v>399</v>
      </c>
      <c r="T522" s="14">
        <v>11800</v>
      </c>
      <c r="W522" s="20">
        <v>45933</v>
      </c>
      <c r="X522" t="s">
        <v>274</v>
      </c>
      <c r="Y522" s="23">
        <v>5.9923076923076897</v>
      </c>
      <c r="Z522" s="23">
        <v>5.5461538461538504</v>
      </c>
      <c r="AA522" s="23">
        <v>5.7692307692307701</v>
      </c>
      <c r="AD522" s="20">
        <v>46043</v>
      </c>
      <c r="AE522" t="s">
        <v>557</v>
      </c>
      <c r="AF522">
        <v>2302.7988339960002</v>
      </c>
      <c r="AG522" s="84">
        <f>DATE(YEAR(His53_DataTT[[#This Row],[RptDate]]),MONTH(His53_DataTT[[#This Row],[RptDate]]),1)</f>
        <v>46023</v>
      </c>
      <c r="AO522" s="14"/>
    </row>
    <row r="523" spans="17:41" x14ac:dyDescent="0.3">
      <c r="Q523" s="93">
        <v>46234</v>
      </c>
      <c r="R523" t="s">
        <v>494</v>
      </c>
      <c r="S523" t="s">
        <v>399</v>
      </c>
      <c r="T523" s="14">
        <v>0</v>
      </c>
      <c r="W523" s="20">
        <v>45933</v>
      </c>
      <c r="X523" t="s">
        <v>275</v>
      </c>
      <c r="Y523" s="23">
        <v>6.05</v>
      </c>
      <c r="Z523" s="23">
        <v>5.6115384615384603</v>
      </c>
      <c r="AA523" s="23">
        <v>5.8307692307692296</v>
      </c>
      <c r="AD523" s="20">
        <v>46044</v>
      </c>
      <c r="AE523" t="s">
        <v>479</v>
      </c>
      <c r="AF523">
        <v>2714.6324745390002</v>
      </c>
      <c r="AG523" s="84">
        <f>DATE(YEAR(His53_DataTT[[#This Row],[RptDate]]),MONTH(His53_DataTT[[#This Row],[RptDate]]),1)</f>
        <v>46023</v>
      </c>
      <c r="AO523" s="14"/>
    </row>
    <row r="524" spans="17:41" x14ac:dyDescent="0.3">
      <c r="Q524" s="93">
        <v>46234</v>
      </c>
      <c r="R524" t="s">
        <v>495</v>
      </c>
      <c r="S524" t="s">
        <v>399</v>
      </c>
      <c r="T524" s="14">
        <v>0</v>
      </c>
      <c r="W524" s="20">
        <v>45933</v>
      </c>
      <c r="X524" t="s">
        <v>276</v>
      </c>
      <c r="Y524" s="23">
        <v>6.1</v>
      </c>
      <c r="Z524" s="23">
        <v>5.6538461538461604</v>
      </c>
      <c r="AA524" s="23">
        <v>5.87692307692308</v>
      </c>
      <c r="AD524" s="20">
        <v>46044</v>
      </c>
      <c r="AE524" t="s">
        <v>557</v>
      </c>
      <c r="AF524">
        <v>1481.7406383959999</v>
      </c>
      <c r="AG524" s="84">
        <f>DATE(YEAR(His53_DataTT[[#This Row],[RptDate]]),MONTH(His53_DataTT[[#This Row],[RptDate]]),1)</f>
        <v>46023</v>
      </c>
      <c r="AO524" s="14"/>
    </row>
    <row r="525" spans="17:41" x14ac:dyDescent="0.3">
      <c r="Q525" s="93">
        <v>46234</v>
      </c>
      <c r="R525" t="s">
        <v>493</v>
      </c>
      <c r="S525" t="s">
        <v>399</v>
      </c>
      <c r="T525" s="14">
        <v>0</v>
      </c>
      <c r="W525" s="20">
        <v>45933</v>
      </c>
      <c r="X525" t="s">
        <v>277</v>
      </c>
      <c r="Y525" s="23">
        <v>6.1730769230769296</v>
      </c>
      <c r="Z525" s="23">
        <v>5.7115384615384599</v>
      </c>
      <c r="AA525" s="23">
        <v>5.9423076923076898</v>
      </c>
      <c r="AD525" s="20">
        <v>46045</v>
      </c>
      <c r="AE525" t="s">
        <v>479</v>
      </c>
      <c r="AF525">
        <v>956.68828747999999</v>
      </c>
      <c r="AG525" s="84">
        <f>DATE(YEAR(His53_DataTT[[#This Row],[RptDate]]),MONTH(His53_DataTT[[#This Row],[RptDate]]),1)</f>
        <v>46023</v>
      </c>
      <c r="AO525" s="14"/>
    </row>
    <row r="526" spans="17:41" x14ac:dyDescent="0.3">
      <c r="Q526" s="93">
        <v>46234</v>
      </c>
      <c r="R526" t="s">
        <v>593</v>
      </c>
      <c r="S526" t="s">
        <v>399</v>
      </c>
      <c r="T526" s="14">
        <v>11035</v>
      </c>
      <c r="W526" s="20">
        <v>45933</v>
      </c>
      <c r="X526" t="s">
        <v>278</v>
      </c>
      <c r="Y526" s="23">
        <v>6.2076923076923096</v>
      </c>
      <c r="Z526" s="23">
        <v>5.75</v>
      </c>
      <c r="AA526" s="23">
        <v>5.9788461538461499</v>
      </c>
      <c r="AD526" s="20">
        <v>46045</v>
      </c>
      <c r="AE526" t="s">
        <v>557</v>
      </c>
      <c r="AF526">
        <v>3278.908921581</v>
      </c>
      <c r="AG526" s="84">
        <f>DATE(YEAR(His53_DataTT[[#This Row],[RptDate]]),MONTH(His53_DataTT[[#This Row],[RptDate]]),1)</f>
        <v>46023</v>
      </c>
      <c r="AO526" s="14"/>
    </row>
    <row r="527" spans="17:41" x14ac:dyDescent="0.3">
      <c r="Q527" s="93">
        <v>46234</v>
      </c>
      <c r="R527" t="s">
        <v>594</v>
      </c>
      <c r="S527" t="s">
        <v>399</v>
      </c>
      <c r="T527" s="14">
        <v>0</v>
      </c>
      <c r="W527" s="20">
        <v>45933</v>
      </c>
      <c r="X527" t="s">
        <v>279</v>
      </c>
      <c r="Y527" s="23">
        <v>6.2423076923076897</v>
      </c>
      <c r="Z527" s="23">
        <v>5.7846153846153898</v>
      </c>
      <c r="AA527" s="23">
        <v>6.0134615384615397</v>
      </c>
      <c r="AD527" s="20">
        <v>46048</v>
      </c>
      <c r="AE527" t="s">
        <v>479</v>
      </c>
      <c r="AF527">
        <v>2938.3227050810001</v>
      </c>
      <c r="AG527" s="84">
        <f>DATE(YEAR(His53_DataTT[[#This Row],[RptDate]]),MONTH(His53_DataTT[[#This Row],[RptDate]]),1)</f>
        <v>46023</v>
      </c>
      <c r="AO527" s="14"/>
    </row>
    <row r="528" spans="17:41" x14ac:dyDescent="0.3">
      <c r="Q528" s="93">
        <v>46234</v>
      </c>
      <c r="R528" t="s">
        <v>595</v>
      </c>
      <c r="S528" t="s">
        <v>399</v>
      </c>
      <c r="T528" s="14">
        <v>0</v>
      </c>
      <c r="W528" s="20">
        <v>45933</v>
      </c>
      <c r="X528" t="s">
        <v>280</v>
      </c>
      <c r="Y528" s="23">
        <v>6.3307692307692296</v>
      </c>
      <c r="Z528" s="23">
        <v>5.8692307692307697</v>
      </c>
      <c r="AA528" s="23">
        <v>6.1</v>
      </c>
      <c r="AD528" s="20">
        <v>46048</v>
      </c>
      <c r="AE528" t="s">
        <v>557</v>
      </c>
      <c r="AF528">
        <v>4849.1607938380002</v>
      </c>
      <c r="AG528" s="84">
        <f>DATE(YEAR(His53_DataTT[[#This Row],[RptDate]]),MONTH(His53_DataTT[[#This Row],[RptDate]]),1)</f>
        <v>46023</v>
      </c>
      <c r="AO528" s="14"/>
    </row>
    <row r="529" spans="17:41" x14ac:dyDescent="0.3">
      <c r="Q529" s="93">
        <v>46234</v>
      </c>
      <c r="R529" t="s">
        <v>1439</v>
      </c>
      <c r="S529" t="s">
        <v>399</v>
      </c>
      <c r="T529" s="14">
        <v>574.65152913797999</v>
      </c>
      <c r="W529" s="20">
        <v>45933</v>
      </c>
      <c r="X529" t="s">
        <v>281</v>
      </c>
      <c r="Y529" s="23">
        <v>6.3846153846153904</v>
      </c>
      <c r="Z529" s="23">
        <v>5.9461538461538499</v>
      </c>
      <c r="AA529" s="23">
        <v>6.1653846153846201</v>
      </c>
      <c r="AD529" s="20">
        <v>46049</v>
      </c>
      <c r="AE529" t="s">
        <v>479</v>
      </c>
      <c r="AF529">
        <v>2591.0400639280001</v>
      </c>
      <c r="AG529" s="84">
        <f>DATE(YEAR(His53_DataTT[[#This Row],[RptDate]]),MONTH(His53_DataTT[[#This Row],[RptDate]]),1)</f>
        <v>46023</v>
      </c>
      <c r="AO529" s="14"/>
    </row>
    <row r="530" spans="17:41" x14ac:dyDescent="0.3">
      <c r="Q530" s="93">
        <v>46234</v>
      </c>
      <c r="R530" t="s">
        <v>479</v>
      </c>
      <c r="S530" t="s">
        <v>395</v>
      </c>
      <c r="T530" s="14">
        <v>11878.7616088699</v>
      </c>
      <c r="W530" s="20">
        <v>45936</v>
      </c>
      <c r="X530" t="s">
        <v>270</v>
      </c>
      <c r="Y530" s="23">
        <v>5.75</v>
      </c>
      <c r="Z530" s="23">
        <v>5.35</v>
      </c>
      <c r="AA530" s="23">
        <v>5.55</v>
      </c>
      <c r="AD530" s="20">
        <v>46049</v>
      </c>
      <c r="AE530" t="s">
        <v>557</v>
      </c>
      <c r="AF530">
        <v>1364.1004921040001</v>
      </c>
      <c r="AG530" s="84">
        <f>DATE(YEAR(His53_DataTT[[#This Row],[RptDate]]),MONTH(His53_DataTT[[#This Row],[RptDate]]),1)</f>
        <v>46023</v>
      </c>
      <c r="AO530" s="14"/>
    </row>
    <row r="531" spans="17:41" x14ac:dyDescent="0.3">
      <c r="Q531" s="93">
        <v>46234</v>
      </c>
      <c r="R531" t="s">
        <v>479</v>
      </c>
      <c r="S531" t="s">
        <v>415</v>
      </c>
      <c r="T531" s="14">
        <v>7.4433492683382703</v>
      </c>
      <c r="W531" s="20">
        <v>45936</v>
      </c>
      <c r="X531" t="s">
        <v>271</v>
      </c>
      <c r="Y531" s="23">
        <v>5.92</v>
      </c>
      <c r="Z531" s="23">
        <v>5.42</v>
      </c>
      <c r="AA531" s="23">
        <v>5.67</v>
      </c>
      <c r="AD531" s="20">
        <v>46050</v>
      </c>
      <c r="AE531" t="s">
        <v>479</v>
      </c>
      <c r="AF531">
        <v>2369.207219889</v>
      </c>
      <c r="AG531" s="84">
        <f>DATE(YEAR(His53_DataTT[[#This Row],[RptDate]]),MONTH(His53_DataTT[[#This Row],[RptDate]]),1)</f>
        <v>46023</v>
      </c>
      <c r="AO531" s="14"/>
    </row>
    <row r="532" spans="17:41" x14ac:dyDescent="0.3">
      <c r="Q532" s="93">
        <v>46234</v>
      </c>
      <c r="R532" t="s">
        <v>364</v>
      </c>
      <c r="S532" t="s">
        <v>415</v>
      </c>
      <c r="T532" s="14">
        <v>6.89413223140496</v>
      </c>
      <c r="W532" s="20">
        <v>45936</v>
      </c>
      <c r="X532" t="s">
        <v>272</v>
      </c>
      <c r="Y532" s="23">
        <v>5.8423076923076902</v>
      </c>
      <c r="Z532" s="23">
        <v>5.4038461538461604</v>
      </c>
      <c r="AA532" s="23">
        <v>5.62307692307692</v>
      </c>
      <c r="AD532" s="20">
        <v>46050</v>
      </c>
      <c r="AE532" t="s">
        <v>557</v>
      </c>
      <c r="AF532">
        <v>864.39889329799996</v>
      </c>
      <c r="AG532" s="84">
        <f>DATE(YEAR(His53_DataTT[[#This Row],[RptDate]]),MONTH(His53_DataTT[[#This Row],[RptDate]]),1)</f>
        <v>46023</v>
      </c>
      <c r="AO532" s="14"/>
    </row>
    <row r="533" spans="17:41" x14ac:dyDescent="0.3">
      <c r="Q533" s="93">
        <v>46234</v>
      </c>
      <c r="R533" t="s">
        <v>516</v>
      </c>
      <c r="S533" t="s">
        <v>415</v>
      </c>
      <c r="T533" s="14">
        <v>7.0777895579839303</v>
      </c>
      <c r="W533" s="20">
        <v>45936</v>
      </c>
      <c r="X533" t="s">
        <v>273</v>
      </c>
      <c r="Y533" s="23">
        <v>5.9307692307692301</v>
      </c>
      <c r="Z533" s="23">
        <v>5.4692307692307702</v>
      </c>
      <c r="AA533" s="23">
        <v>5.7</v>
      </c>
      <c r="AD533" s="20">
        <v>46051</v>
      </c>
      <c r="AE533" t="s">
        <v>479</v>
      </c>
      <c r="AF533">
        <v>2125.1790897139999</v>
      </c>
      <c r="AG533" s="84">
        <f>DATE(YEAR(His53_DataTT[[#This Row],[RptDate]]),MONTH(His53_DataTT[[#This Row],[RptDate]]),1)</f>
        <v>46023</v>
      </c>
      <c r="AO533" s="14"/>
    </row>
    <row r="534" spans="17:41" x14ac:dyDescent="0.3">
      <c r="Q534" s="93">
        <v>46234</v>
      </c>
      <c r="R534" t="s">
        <v>1288</v>
      </c>
      <c r="S534" t="s">
        <v>415</v>
      </c>
      <c r="T534" s="14">
        <v>7.4433492683382703</v>
      </c>
      <c r="W534" s="20">
        <v>45936</v>
      </c>
      <c r="X534" t="s">
        <v>274</v>
      </c>
      <c r="Y534" s="23">
        <v>6</v>
      </c>
      <c r="Z534" s="23">
        <v>5.5461538461538504</v>
      </c>
      <c r="AA534" s="23">
        <v>5.7730769230769203</v>
      </c>
      <c r="AD534" s="20">
        <v>46051</v>
      </c>
      <c r="AE534" t="s">
        <v>557</v>
      </c>
      <c r="AF534">
        <v>4876.7998429279996</v>
      </c>
      <c r="AG534" s="84">
        <f>DATE(YEAR(His53_DataTT[[#This Row],[RptDate]]),MONTH(His53_DataTT[[#This Row],[RptDate]]),1)</f>
        <v>46023</v>
      </c>
      <c r="AO534" s="14"/>
    </row>
    <row r="535" spans="17:41" x14ac:dyDescent="0.3">
      <c r="Q535" s="93">
        <v>46234</v>
      </c>
      <c r="R535" t="s">
        <v>496</v>
      </c>
      <c r="S535" t="s">
        <v>415</v>
      </c>
      <c r="T535" s="14">
        <v>6.7463856362217003</v>
      </c>
      <c r="W535" s="20">
        <v>45936</v>
      </c>
      <c r="X535" t="s">
        <v>275</v>
      </c>
      <c r="Y535" s="23">
        <v>6.0653846153846196</v>
      </c>
      <c r="Z535" s="23">
        <v>5.6115384615384603</v>
      </c>
      <c r="AA535" s="23">
        <v>5.8384615384615399</v>
      </c>
      <c r="AD535" s="20">
        <v>46052</v>
      </c>
      <c r="AE535" t="s">
        <v>479</v>
      </c>
      <c r="AF535">
        <v>3810.1859288750002</v>
      </c>
      <c r="AG535" s="84">
        <f>DATE(YEAR(His53_DataTT[[#This Row],[RptDate]]),MONTH(His53_DataTT[[#This Row],[RptDate]]),1)</f>
        <v>46023</v>
      </c>
      <c r="AO535" s="14"/>
    </row>
    <row r="536" spans="17:41" x14ac:dyDescent="0.3">
      <c r="Q536" s="93">
        <v>46234</v>
      </c>
      <c r="R536" t="s">
        <v>1290</v>
      </c>
      <c r="S536" t="s">
        <v>415</v>
      </c>
      <c r="T536" s="14">
        <v>7.0541850649366298</v>
      </c>
      <c r="W536" s="20">
        <v>45936</v>
      </c>
      <c r="X536" t="s">
        <v>276</v>
      </c>
      <c r="Y536" s="23">
        <v>6.1153846153846203</v>
      </c>
      <c r="Z536" s="23">
        <v>5.6538461538461604</v>
      </c>
      <c r="AA536" s="23">
        <v>5.8846153846153904</v>
      </c>
      <c r="AD536" s="20">
        <v>46052</v>
      </c>
      <c r="AE536" t="s">
        <v>557</v>
      </c>
      <c r="AF536">
        <v>3620.1416792129999</v>
      </c>
      <c r="AG536" s="84">
        <f>DATE(YEAR(His53_DataTT[[#This Row],[RptDate]]),MONTH(His53_DataTT[[#This Row],[RptDate]]),1)</f>
        <v>46023</v>
      </c>
      <c r="AO536" s="14"/>
    </row>
    <row r="537" spans="17:41" x14ac:dyDescent="0.3">
      <c r="Q537" s="93">
        <v>46234</v>
      </c>
      <c r="R537" t="s">
        <v>364</v>
      </c>
      <c r="S537" t="s">
        <v>997</v>
      </c>
      <c r="T537" s="14">
        <v>30250</v>
      </c>
      <c r="W537" s="20">
        <v>45936</v>
      </c>
      <c r="X537" t="s">
        <v>277</v>
      </c>
      <c r="Y537" s="23">
        <v>6.1961538461538499</v>
      </c>
      <c r="Z537" s="23">
        <v>5.7192307692307702</v>
      </c>
      <c r="AA537" s="23">
        <v>5.9576923076923096</v>
      </c>
      <c r="AD537" s="20">
        <v>46055</v>
      </c>
      <c r="AE537" t="s">
        <v>479</v>
      </c>
      <c r="AF537">
        <v>1070.84867721</v>
      </c>
      <c r="AG537" s="84">
        <f>DATE(YEAR(His53_DataTT[[#This Row],[RptDate]]),MONTH(His53_DataTT[[#This Row],[RptDate]]),1)</f>
        <v>46054</v>
      </c>
      <c r="AO537" s="14"/>
    </row>
    <row r="538" spans="17:41" x14ac:dyDescent="0.3">
      <c r="Q538" s="93">
        <v>46234</v>
      </c>
      <c r="R538" t="s">
        <v>496</v>
      </c>
      <c r="S538" t="s">
        <v>997</v>
      </c>
      <c r="T538" s="14">
        <v>19215</v>
      </c>
      <c r="W538" s="20">
        <v>45936</v>
      </c>
      <c r="X538" t="s">
        <v>278</v>
      </c>
      <c r="Y538" s="23">
        <v>6.2307692307692299</v>
      </c>
      <c r="Z538" s="23">
        <v>5.7576923076923103</v>
      </c>
      <c r="AA538" s="23">
        <v>5.9942307692307697</v>
      </c>
      <c r="AD538" s="20">
        <v>46055</v>
      </c>
      <c r="AE538" t="s">
        <v>557</v>
      </c>
      <c r="AF538">
        <v>4165.1846324219996</v>
      </c>
      <c r="AG538" s="84">
        <f>DATE(YEAR(His53_DataTT[[#This Row],[RptDate]]),MONTH(His53_DataTT[[#This Row],[RptDate]]),1)</f>
        <v>46054</v>
      </c>
      <c r="AO538" s="14"/>
    </row>
    <row r="539" spans="17:41" x14ac:dyDescent="0.3">
      <c r="Q539" s="93">
        <v>46234</v>
      </c>
      <c r="R539" t="s">
        <v>1388</v>
      </c>
      <c r="S539" t="s">
        <v>997</v>
      </c>
      <c r="T539" s="14">
        <v>15197.6106</v>
      </c>
      <c r="W539" s="20">
        <v>45936</v>
      </c>
      <c r="X539" t="s">
        <v>279</v>
      </c>
      <c r="Y539" s="23">
        <v>6.2653846153846198</v>
      </c>
      <c r="Z539" s="23">
        <v>5.7923076923076904</v>
      </c>
      <c r="AA539" s="23">
        <v>6.0288461538461497</v>
      </c>
      <c r="AD539" s="20">
        <v>46056</v>
      </c>
      <c r="AE539" t="s">
        <v>479</v>
      </c>
      <c r="AF539">
        <v>2414.734101389</v>
      </c>
      <c r="AG539" s="84">
        <f>DATE(YEAR(His53_DataTT[[#This Row],[RptDate]]),MONTH(His53_DataTT[[#This Row],[RptDate]]),1)</f>
        <v>46054</v>
      </c>
      <c r="AO539" s="14"/>
    </row>
    <row r="540" spans="17:41" x14ac:dyDescent="0.3">
      <c r="Q540" s="93">
        <v>46234</v>
      </c>
      <c r="R540" t="s">
        <v>1389</v>
      </c>
      <c r="S540" t="s">
        <v>997</v>
      </c>
      <c r="T540" s="14">
        <v>14800</v>
      </c>
      <c r="W540" s="20">
        <v>45936</v>
      </c>
      <c r="X540" t="s">
        <v>280</v>
      </c>
      <c r="Y540" s="23">
        <v>6.3615384615384603</v>
      </c>
      <c r="Z540" s="23">
        <v>5.8846153846153904</v>
      </c>
      <c r="AA540" s="23">
        <v>6.12307692307692</v>
      </c>
      <c r="AD540" s="20">
        <v>46056</v>
      </c>
      <c r="AE540" t="s">
        <v>557</v>
      </c>
      <c r="AF540">
        <v>2369.2777691910001</v>
      </c>
      <c r="AG540" s="84">
        <f>DATE(YEAR(His53_DataTT[[#This Row],[RptDate]]),MONTH(His53_DataTT[[#This Row],[RptDate]]),1)</f>
        <v>46054</v>
      </c>
      <c r="AO540" s="14"/>
    </row>
    <row r="541" spans="17:41" x14ac:dyDescent="0.3">
      <c r="Q541" s="93">
        <v>46234</v>
      </c>
      <c r="R541" t="s">
        <v>1390</v>
      </c>
      <c r="S541" t="s">
        <v>997</v>
      </c>
      <c r="T541" s="14">
        <v>397.61059999999998</v>
      </c>
      <c r="W541" s="20">
        <v>45936</v>
      </c>
      <c r="X541" t="s">
        <v>281</v>
      </c>
      <c r="Y541" s="23">
        <v>6.4153846153846201</v>
      </c>
      <c r="Z541" s="23">
        <v>5.9615384615384599</v>
      </c>
      <c r="AA541" s="23">
        <v>6.1884615384615396</v>
      </c>
      <c r="AD541" s="20">
        <v>46057</v>
      </c>
      <c r="AE541" t="s">
        <v>479</v>
      </c>
      <c r="AF541">
        <v>907.66064463700002</v>
      </c>
      <c r="AG541" s="84">
        <f>DATE(YEAR(His53_DataTT[[#This Row],[RptDate]]),MONTH(His53_DataTT[[#This Row],[RptDate]]),1)</f>
        <v>46054</v>
      </c>
      <c r="AO541" s="14"/>
    </row>
    <row r="542" spans="17:41" x14ac:dyDescent="0.3">
      <c r="Q542" s="93">
        <v>46233</v>
      </c>
      <c r="R542" t="s">
        <v>479</v>
      </c>
      <c r="S542" t="s">
        <v>399</v>
      </c>
      <c r="T542" s="14">
        <v>12771.9823393447</v>
      </c>
      <c r="W542" s="20">
        <v>45937</v>
      </c>
      <c r="X542" t="s">
        <v>270</v>
      </c>
      <c r="Y542" s="23">
        <v>5.75</v>
      </c>
      <c r="Z542" s="23">
        <v>5.35</v>
      </c>
      <c r="AA542" s="23">
        <v>5.55</v>
      </c>
      <c r="AD542" s="20">
        <v>46057</v>
      </c>
      <c r="AE542" t="s">
        <v>557</v>
      </c>
      <c r="AF542">
        <v>2545.2466896139999</v>
      </c>
      <c r="AG542" s="84">
        <f>DATE(YEAR(His53_DataTT[[#This Row],[RptDate]]),MONTH(His53_DataTT[[#This Row],[RptDate]]),1)</f>
        <v>46054</v>
      </c>
      <c r="AO542" s="14"/>
    </row>
    <row r="543" spans="17:41" x14ac:dyDescent="0.3">
      <c r="Q543" s="93">
        <v>46233</v>
      </c>
      <c r="R543" t="s">
        <v>364</v>
      </c>
      <c r="S543" t="s">
        <v>399</v>
      </c>
      <c r="T543" s="14">
        <v>26750</v>
      </c>
      <c r="W543" s="20">
        <v>45937</v>
      </c>
      <c r="X543" t="s">
        <v>271</v>
      </c>
      <c r="Y543" s="23">
        <v>5.92</v>
      </c>
      <c r="Z543" s="23">
        <v>5.42</v>
      </c>
      <c r="AA543" s="23">
        <v>5.67</v>
      </c>
      <c r="AD543" s="20">
        <v>46058</v>
      </c>
      <c r="AE543" t="s">
        <v>479</v>
      </c>
      <c r="AF543">
        <v>2054.9497857480001</v>
      </c>
      <c r="AG543" s="84">
        <f>DATE(YEAR(His53_DataTT[[#This Row],[RptDate]]),MONTH(His53_DataTT[[#This Row],[RptDate]]),1)</f>
        <v>46054</v>
      </c>
      <c r="AO543" s="14"/>
    </row>
    <row r="544" spans="17:41" x14ac:dyDescent="0.3">
      <c r="Q544" s="93">
        <v>46233</v>
      </c>
      <c r="R544" t="s">
        <v>491</v>
      </c>
      <c r="S544" t="s">
        <v>399</v>
      </c>
      <c r="T544" s="14">
        <v>397.61059999999998</v>
      </c>
      <c r="W544" s="20">
        <v>45937</v>
      </c>
      <c r="X544" t="s">
        <v>272</v>
      </c>
      <c r="Y544" s="23">
        <v>5.8423076923076902</v>
      </c>
      <c r="Z544" s="23">
        <v>5.4038461538461604</v>
      </c>
      <c r="AA544" s="23">
        <v>5.62307692307692</v>
      </c>
      <c r="AD544" s="20">
        <v>46058</v>
      </c>
      <c r="AE544" t="s">
        <v>557</v>
      </c>
      <c r="AF544">
        <v>1493.3298335750001</v>
      </c>
      <c r="AG544" s="84">
        <f>DATE(YEAR(His53_DataTT[[#This Row],[RptDate]]),MONTH(His53_DataTT[[#This Row],[RptDate]]),1)</f>
        <v>46054</v>
      </c>
      <c r="AO544" s="14"/>
    </row>
    <row r="545" spans="17:41" x14ac:dyDescent="0.3">
      <c r="Q545" s="93">
        <v>46233</v>
      </c>
      <c r="R545" t="s">
        <v>492</v>
      </c>
      <c r="S545" t="s">
        <v>399</v>
      </c>
      <c r="T545" s="14">
        <v>11800</v>
      </c>
      <c r="W545" s="20">
        <v>45937</v>
      </c>
      <c r="X545" t="s">
        <v>273</v>
      </c>
      <c r="Y545" s="23">
        <v>5.9307692307692301</v>
      </c>
      <c r="Z545" s="23">
        <v>5.4692307692307702</v>
      </c>
      <c r="AA545" s="23">
        <v>5.7</v>
      </c>
      <c r="AD545" s="20">
        <v>46059</v>
      </c>
      <c r="AE545" t="s">
        <v>479</v>
      </c>
      <c r="AF545">
        <v>773.27808771800005</v>
      </c>
      <c r="AG545" s="84">
        <f>DATE(YEAR(His53_DataTT[[#This Row],[RptDate]]),MONTH(His53_DataTT[[#This Row],[RptDate]]),1)</f>
        <v>46054</v>
      </c>
      <c r="AO545" s="14"/>
    </row>
    <row r="546" spans="17:41" x14ac:dyDescent="0.3">
      <c r="Q546" s="93">
        <v>46233</v>
      </c>
      <c r="R546" t="s">
        <v>1438</v>
      </c>
      <c r="S546" t="s">
        <v>399</v>
      </c>
      <c r="T546" s="14">
        <v>574.37173934469001</v>
      </c>
      <c r="W546" s="20">
        <v>45937</v>
      </c>
      <c r="X546" t="s">
        <v>274</v>
      </c>
      <c r="Y546" s="23">
        <v>6</v>
      </c>
      <c r="Z546" s="23">
        <v>5.5461538461538504</v>
      </c>
      <c r="AA546" s="23">
        <v>5.7730769230769203</v>
      </c>
      <c r="AD546" s="20">
        <v>46059</v>
      </c>
      <c r="AE546" t="s">
        <v>557</v>
      </c>
      <c r="AF546">
        <v>1760.2253258109999</v>
      </c>
      <c r="AG546" s="84">
        <f>DATE(YEAR(His53_DataTT[[#This Row],[RptDate]]),MONTH(His53_DataTT[[#This Row],[RptDate]]),1)</f>
        <v>46054</v>
      </c>
      <c r="AO546" s="14"/>
    </row>
    <row r="547" spans="17:41" x14ac:dyDescent="0.3">
      <c r="Q547" s="93">
        <v>46233</v>
      </c>
      <c r="R547" t="s">
        <v>496</v>
      </c>
      <c r="S547" t="s">
        <v>399</v>
      </c>
      <c r="T547" s="14">
        <v>15045</v>
      </c>
      <c r="W547" s="20">
        <v>45937</v>
      </c>
      <c r="X547" t="s">
        <v>275</v>
      </c>
      <c r="Y547" s="23">
        <v>6.0653846153846196</v>
      </c>
      <c r="Z547" s="23">
        <v>5.6115384615384603</v>
      </c>
      <c r="AA547" s="23">
        <v>5.8384615384615399</v>
      </c>
      <c r="AD547" s="20">
        <v>46062</v>
      </c>
      <c r="AE547" t="s">
        <v>479</v>
      </c>
      <c r="AF547">
        <v>1110.51481797</v>
      </c>
      <c r="AG547" s="84">
        <f>DATE(YEAR(His53_DataTT[[#This Row],[RptDate]]),MONTH(His53_DataTT[[#This Row],[RptDate]]),1)</f>
        <v>46054</v>
      </c>
      <c r="AO547" s="14"/>
    </row>
    <row r="548" spans="17:41" x14ac:dyDescent="0.3">
      <c r="Q548" s="93">
        <v>46233</v>
      </c>
      <c r="R548" t="s">
        <v>497</v>
      </c>
      <c r="S548" t="s">
        <v>399</v>
      </c>
      <c r="T548" s="14">
        <v>397.61059999999998</v>
      </c>
      <c r="W548" s="20">
        <v>45937</v>
      </c>
      <c r="X548" t="s">
        <v>276</v>
      </c>
      <c r="Y548" s="23">
        <v>6.1153846153846203</v>
      </c>
      <c r="Z548" s="23">
        <v>5.6538461538461604</v>
      </c>
      <c r="AA548" s="23">
        <v>5.8846153846153904</v>
      </c>
      <c r="AD548" s="20">
        <v>46062</v>
      </c>
      <c r="AE548" t="s">
        <v>557</v>
      </c>
      <c r="AF548">
        <v>4288.8872601209996</v>
      </c>
      <c r="AG548" s="84">
        <f>DATE(YEAR(His53_DataTT[[#This Row],[RptDate]]),MONTH(His53_DataTT[[#This Row],[RptDate]]),1)</f>
        <v>46054</v>
      </c>
      <c r="AO548" s="14"/>
    </row>
    <row r="549" spans="17:41" x14ac:dyDescent="0.3">
      <c r="Q549" s="93">
        <v>46233</v>
      </c>
      <c r="R549" t="s">
        <v>498</v>
      </c>
      <c r="S549" t="s">
        <v>399</v>
      </c>
      <c r="T549" s="14">
        <v>10800</v>
      </c>
      <c r="W549" s="20">
        <v>45937</v>
      </c>
      <c r="X549" t="s">
        <v>277</v>
      </c>
      <c r="Y549" s="23">
        <v>6.1961538461538499</v>
      </c>
      <c r="Z549" s="23">
        <v>5.7192307692307702</v>
      </c>
      <c r="AA549" s="23">
        <v>5.9576923076923096</v>
      </c>
      <c r="AD549" s="20">
        <v>46063</v>
      </c>
      <c r="AE549" t="s">
        <v>479</v>
      </c>
      <c r="AF549">
        <v>1248.426713669</v>
      </c>
      <c r="AG549" s="84">
        <f>DATE(YEAR(His53_DataTT[[#This Row],[RptDate]]),MONTH(His53_DataTT[[#This Row],[RptDate]]),1)</f>
        <v>46054</v>
      </c>
      <c r="AO549" s="14"/>
    </row>
    <row r="550" spans="17:41" x14ac:dyDescent="0.3">
      <c r="Q550" s="93">
        <v>46233</v>
      </c>
      <c r="R550" t="s">
        <v>494</v>
      </c>
      <c r="S550" t="s">
        <v>399</v>
      </c>
      <c r="T550" s="14">
        <v>0</v>
      </c>
      <c r="W550" s="20">
        <v>45937</v>
      </c>
      <c r="X550" t="s">
        <v>278</v>
      </c>
      <c r="Y550" s="23">
        <v>6.2307692307692299</v>
      </c>
      <c r="Z550" s="23">
        <v>5.7576923076923103</v>
      </c>
      <c r="AA550" s="23">
        <v>5.9942307692307697</v>
      </c>
      <c r="AD550" s="20">
        <v>46063</v>
      </c>
      <c r="AE550" t="s">
        <v>557</v>
      </c>
      <c r="AF550">
        <v>2142.0079983430001</v>
      </c>
      <c r="AG550" s="84">
        <f>DATE(YEAR(His53_DataTT[[#This Row],[RptDate]]),MONTH(His53_DataTT[[#This Row],[RptDate]]),1)</f>
        <v>46054</v>
      </c>
      <c r="AO550" s="14"/>
    </row>
    <row r="551" spans="17:41" x14ac:dyDescent="0.3">
      <c r="Q551" s="93">
        <v>46233</v>
      </c>
      <c r="R551" t="s">
        <v>495</v>
      </c>
      <c r="S551" t="s">
        <v>399</v>
      </c>
      <c r="T551" s="14">
        <v>0</v>
      </c>
      <c r="W551" s="20">
        <v>45937</v>
      </c>
      <c r="X551" t="s">
        <v>279</v>
      </c>
      <c r="Y551" s="23">
        <v>6.2653846153846198</v>
      </c>
      <c r="Z551" s="23">
        <v>5.7923076923076904</v>
      </c>
      <c r="AA551" s="23">
        <v>6.0288461538461497</v>
      </c>
      <c r="AD551" s="20">
        <v>46064</v>
      </c>
      <c r="AE551" t="s">
        <v>479</v>
      </c>
      <c r="AF551">
        <v>1857.635954308</v>
      </c>
      <c r="AG551" s="84">
        <f>DATE(YEAR(His53_DataTT[[#This Row],[RptDate]]),MONTH(His53_DataTT[[#This Row],[RptDate]]),1)</f>
        <v>46054</v>
      </c>
      <c r="AO551" s="14"/>
    </row>
    <row r="552" spans="17:41" x14ac:dyDescent="0.3">
      <c r="Q552" s="93">
        <v>46233</v>
      </c>
      <c r="R552" t="s">
        <v>493</v>
      </c>
      <c r="S552" t="s">
        <v>399</v>
      </c>
      <c r="T552" s="14">
        <v>0</v>
      </c>
      <c r="W552" s="20">
        <v>45937</v>
      </c>
      <c r="X552" t="s">
        <v>280</v>
      </c>
      <c r="Y552" s="23">
        <v>6.3615384615384603</v>
      </c>
      <c r="Z552" s="23">
        <v>5.8846153846153904</v>
      </c>
      <c r="AA552" s="23">
        <v>6.12307692307692</v>
      </c>
      <c r="AD552" s="20">
        <v>46064</v>
      </c>
      <c r="AE552" t="s">
        <v>557</v>
      </c>
      <c r="AF552">
        <v>1373.1189300149999</v>
      </c>
      <c r="AG552" s="84">
        <f>DATE(YEAR(His53_DataTT[[#This Row],[RptDate]]),MONTH(His53_DataTT[[#This Row],[RptDate]]),1)</f>
        <v>46054</v>
      </c>
      <c r="AO552" s="14"/>
    </row>
    <row r="553" spans="17:41" x14ac:dyDescent="0.3">
      <c r="Q553" s="93">
        <v>46233</v>
      </c>
      <c r="R553" t="s">
        <v>593</v>
      </c>
      <c r="S553" t="s">
        <v>399</v>
      </c>
      <c r="T553" s="14">
        <v>11705</v>
      </c>
      <c r="W553" s="20">
        <v>45937</v>
      </c>
      <c r="X553" t="s">
        <v>281</v>
      </c>
      <c r="Y553" s="23">
        <v>6.4153846153846201</v>
      </c>
      <c r="Z553" s="23">
        <v>5.9615384615384599</v>
      </c>
      <c r="AA553" s="23">
        <v>6.1884615384615396</v>
      </c>
      <c r="AD553" s="20">
        <v>46065</v>
      </c>
      <c r="AE553" t="s">
        <v>479</v>
      </c>
      <c r="AF553">
        <v>869.69590610199998</v>
      </c>
      <c r="AG553" s="84">
        <f>DATE(YEAR(His53_DataTT[[#This Row],[RptDate]]),MONTH(His53_DataTT[[#This Row],[RptDate]]),1)</f>
        <v>46054</v>
      </c>
      <c r="AO553" s="14"/>
    </row>
    <row r="554" spans="17:41" x14ac:dyDescent="0.3">
      <c r="Q554" s="93">
        <v>46233</v>
      </c>
      <c r="R554" t="s">
        <v>594</v>
      </c>
      <c r="S554" t="s">
        <v>399</v>
      </c>
      <c r="T554" s="14">
        <v>0</v>
      </c>
      <c r="W554" s="20">
        <v>45939</v>
      </c>
      <c r="X554" t="s">
        <v>270</v>
      </c>
      <c r="Y554" s="23">
        <v>5.7750000000000004</v>
      </c>
      <c r="Z554" s="23">
        <v>5.375</v>
      </c>
      <c r="AA554" s="23">
        <v>5.5750000000000002</v>
      </c>
      <c r="AD554" s="20">
        <v>46065</v>
      </c>
      <c r="AE554" t="s">
        <v>557</v>
      </c>
      <c r="AF554">
        <v>1707.5164159829999</v>
      </c>
      <c r="AG554" s="84">
        <f>DATE(YEAR(His53_DataTT[[#This Row],[RptDate]]),MONTH(His53_DataTT[[#This Row],[RptDate]]),1)</f>
        <v>46054</v>
      </c>
      <c r="AO554" s="14"/>
    </row>
    <row r="555" spans="17:41" x14ac:dyDescent="0.3">
      <c r="Q555" s="93">
        <v>46233</v>
      </c>
      <c r="R555" t="s">
        <v>595</v>
      </c>
      <c r="S555" t="s">
        <v>399</v>
      </c>
      <c r="T555" s="14">
        <v>1000</v>
      </c>
      <c r="W555" s="20">
        <v>45939</v>
      </c>
      <c r="X555" t="s">
        <v>271</v>
      </c>
      <c r="Y555" s="23">
        <v>5.94</v>
      </c>
      <c r="Z555" s="23">
        <v>5.44</v>
      </c>
      <c r="AA555" s="23">
        <v>5.69</v>
      </c>
      <c r="AD555" s="20">
        <v>46066</v>
      </c>
      <c r="AE555" t="s">
        <v>479</v>
      </c>
      <c r="AF555">
        <v>227.41583341099999</v>
      </c>
      <c r="AG555" s="84">
        <f>DATE(YEAR(His53_DataTT[[#This Row],[RptDate]]),MONTH(His53_DataTT[[#This Row],[RptDate]]),1)</f>
        <v>46054</v>
      </c>
      <c r="AO555" s="14"/>
    </row>
    <row r="556" spans="17:41" x14ac:dyDescent="0.3">
      <c r="Q556" s="93">
        <v>46233</v>
      </c>
      <c r="R556" t="s">
        <v>1439</v>
      </c>
      <c r="S556" t="s">
        <v>399</v>
      </c>
      <c r="T556" s="14">
        <v>574.37173934469001</v>
      </c>
      <c r="W556" s="20">
        <v>45939</v>
      </c>
      <c r="X556" t="s">
        <v>272</v>
      </c>
      <c r="Y556" s="23">
        <v>5.85</v>
      </c>
      <c r="Z556" s="23">
        <v>5.4115384615384601</v>
      </c>
      <c r="AA556" s="23">
        <v>5.6307692307692303</v>
      </c>
      <c r="AD556" s="20">
        <v>46066</v>
      </c>
      <c r="AE556" t="s">
        <v>557</v>
      </c>
      <c r="AF556">
        <v>1666.054888205</v>
      </c>
      <c r="AG556" s="84">
        <f>DATE(YEAR(His53_DataTT[[#This Row],[RptDate]]),MONTH(His53_DataTT[[#This Row],[RptDate]]),1)</f>
        <v>46054</v>
      </c>
      <c r="AO556" s="14"/>
    </row>
    <row r="557" spans="17:41" x14ac:dyDescent="0.3">
      <c r="Q557" s="93">
        <v>46233</v>
      </c>
      <c r="R557" t="s">
        <v>479</v>
      </c>
      <c r="S557" t="s">
        <v>395</v>
      </c>
      <c r="T557" s="14">
        <v>11874.7453738861</v>
      </c>
      <c r="W557" s="20">
        <v>45939</v>
      </c>
      <c r="X557" t="s">
        <v>273</v>
      </c>
      <c r="Y557" s="23">
        <v>5.9307692307692301</v>
      </c>
      <c r="Z557" s="23">
        <v>5.4692307692307702</v>
      </c>
      <c r="AA557" s="23">
        <v>5.7</v>
      </c>
      <c r="AD557" s="20">
        <v>46076</v>
      </c>
      <c r="AE557" t="s">
        <v>479</v>
      </c>
      <c r="AF557">
        <v>560.11553506600001</v>
      </c>
      <c r="AG557" s="84">
        <f>DATE(YEAR(His53_DataTT[[#This Row],[RptDate]]),MONTH(His53_DataTT[[#This Row],[RptDate]]),1)</f>
        <v>46054</v>
      </c>
      <c r="AO557" s="14"/>
    </row>
    <row r="558" spans="17:41" x14ac:dyDescent="0.3">
      <c r="Q558" s="93">
        <v>46233</v>
      </c>
      <c r="R558" t="s">
        <v>479</v>
      </c>
      <c r="S558" t="s">
        <v>415</v>
      </c>
      <c r="T558" s="14">
        <v>7.4433492683382703</v>
      </c>
      <c r="W558" s="20">
        <v>45939</v>
      </c>
      <c r="X558" t="s">
        <v>274</v>
      </c>
      <c r="Y558" s="23">
        <v>6</v>
      </c>
      <c r="Z558" s="23">
        <v>5.5461538461538504</v>
      </c>
      <c r="AA558" s="23">
        <v>5.7730769230769203</v>
      </c>
      <c r="AD558" s="20">
        <v>46076</v>
      </c>
      <c r="AE558" t="s">
        <v>557</v>
      </c>
      <c r="AF558">
        <v>2688.1095785269999</v>
      </c>
      <c r="AG558" s="84">
        <f>DATE(YEAR(His53_DataTT[[#This Row],[RptDate]]),MONTH(His53_DataTT[[#This Row],[RptDate]]),1)</f>
        <v>46054</v>
      </c>
      <c r="AO558" s="14"/>
    </row>
    <row r="559" spans="17:41" x14ac:dyDescent="0.3">
      <c r="Q559" s="93">
        <v>46233</v>
      </c>
      <c r="R559" t="s">
        <v>364</v>
      </c>
      <c r="S559" t="s">
        <v>415</v>
      </c>
      <c r="T559" s="14">
        <v>6.8798531810766699</v>
      </c>
      <c r="W559" s="20">
        <v>45939</v>
      </c>
      <c r="X559" t="s">
        <v>275</v>
      </c>
      <c r="Y559" s="23">
        <v>6.0653846153846196</v>
      </c>
      <c r="Z559" s="23">
        <v>5.6115384615384603</v>
      </c>
      <c r="AA559" s="23">
        <v>5.8384615384615399</v>
      </c>
      <c r="AD559" s="20">
        <v>46077</v>
      </c>
      <c r="AE559" t="s">
        <v>479</v>
      </c>
      <c r="AF559">
        <v>898.133654686</v>
      </c>
      <c r="AG559" s="84">
        <f>DATE(YEAR(His53_DataTT[[#This Row],[RptDate]]),MONTH(His53_DataTT[[#This Row],[RptDate]]),1)</f>
        <v>46054</v>
      </c>
      <c r="AO559" s="14"/>
    </row>
    <row r="560" spans="17:41" x14ac:dyDescent="0.3">
      <c r="Q560" s="93">
        <v>46233</v>
      </c>
      <c r="R560" t="s">
        <v>516</v>
      </c>
      <c r="S560" t="s">
        <v>415</v>
      </c>
      <c r="T560" s="14">
        <v>7.0666414127151898</v>
      </c>
      <c r="W560" s="20">
        <v>45939</v>
      </c>
      <c r="X560" t="s">
        <v>276</v>
      </c>
      <c r="Y560" s="23">
        <v>6.1153846153846203</v>
      </c>
      <c r="Z560" s="23">
        <v>5.6538461538461604</v>
      </c>
      <c r="AA560" s="23">
        <v>5.8846153846153904</v>
      </c>
      <c r="AD560" s="20">
        <v>46077</v>
      </c>
      <c r="AE560" t="s">
        <v>557</v>
      </c>
      <c r="AF560">
        <v>1925.490380103</v>
      </c>
      <c r="AG560" s="84">
        <f>DATE(YEAR(His53_DataTT[[#This Row],[RptDate]]),MONTH(His53_DataTT[[#This Row],[RptDate]]),1)</f>
        <v>46054</v>
      </c>
      <c r="AO560" s="14"/>
    </row>
    <row r="561" spans="17:41" x14ac:dyDescent="0.3">
      <c r="Q561" s="93">
        <v>46233</v>
      </c>
      <c r="R561" t="s">
        <v>1288</v>
      </c>
      <c r="S561" t="s">
        <v>415</v>
      </c>
      <c r="T561" s="14">
        <v>7.2773600185935496</v>
      </c>
      <c r="W561" s="20">
        <v>45939</v>
      </c>
      <c r="X561" t="s">
        <v>277</v>
      </c>
      <c r="Y561" s="23">
        <v>6.1961538461538499</v>
      </c>
      <c r="Z561" s="23">
        <v>5.7192307692307702</v>
      </c>
      <c r="AA561" s="23">
        <v>5.9576923076923096</v>
      </c>
      <c r="AD561" s="20">
        <v>46078</v>
      </c>
      <c r="AE561" t="s">
        <v>479</v>
      </c>
      <c r="AF561">
        <v>1553.122670531</v>
      </c>
      <c r="AG561" s="84">
        <f>DATE(YEAR(His53_DataTT[[#This Row],[RptDate]]),MONTH(His53_DataTT[[#This Row],[RptDate]]),1)</f>
        <v>46054</v>
      </c>
      <c r="AO561" s="14"/>
    </row>
    <row r="562" spans="17:41" x14ac:dyDescent="0.3">
      <c r="Q562" s="93">
        <v>46233</v>
      </c>
      <c r="R562" t="s">
        <v>496</v>
      </c>
      <c r="S562" t="s">
        <v>415</v>
      </c>
      <c r="T562" s="14">
        <v>6.6555837152871398</v>
      </c>
      <c r="W562" s="20">
        <v>45939</v>
      </c>
      <c r="X562" t="s">
        <v>278</v>
      </c>
      <c r="Y562" s="23">
        <v>6.2307692307692299</v>
      </c>
      <c r="Z562" s="23">
        <v>5.7576923076923103</v>
      </c>
      <c r="AA562" s="23">
        <v>5.9942307692307697</v>
      </c>
      <c r="AD562" s="20">
        <v>46078</v>
      </c>
      <c r="AE562" t="s">
        <v>557</v>
      </c>
      <c r="AF562">
        <v>1017.770100192</v>
      </c>
      <c r="AG562" s="84">
        <f>DATE(YEAR(His53_DataTT[[#This Row],[RptDate]]),MONTH(His53_DataTT[[#This Row],[RptDate]]),1)</f>
        <v>46054</v>
      </c>
      <c r="AO562" s="14"/>
    </row>
    <row r="563" spans="17:41" x14ac:dyDescent="0.3">
      <c r="Q563" s="93">
        <v>46233</v>
      </c>
      <c r="R563" t="s">
        <v>1290</v>
      </c>
      <c r="S563" t="s">
        <v>415</v>
      </c>
      <c r="T563" s="14">
        <v>6.9251937944129596</v>
      </c>
      <c r="W563" s="20">
        <v>45939</v>
      </c>
      <c r="X563" t="s">
        <v>279</v>
      </c>
      <c r="Y563" s="23">
        <v>6.2653846153846198</v>
      </c>
      <c r="Z563" s="23">
        <v>5.7923076923076904</v>
      </c>
      <c r="AA563" s="23">
        <v>6.0288461538461497</v>
      </c>
      <c r="AD563" s="20">
        <v>46079</v>
      </c>
      <c r="AE563" t="s">
        <v>479</v>
      </c>
      <c r="AF563">
        <v>2760.6974692640001</v>
      </c>
      <c r="AG563" s="84">
        <f>DATE(YEAR(His53_DataTT[[#This Row],[RptDate]]),MONTH(His53_DataTT[[#This Row],[RptDate]]),1)</f>
        <v>46054</v>
      </c>
      <c r="AO563" s="14"/>
    </row>
    <row r="564" spans="17:41" x14ac:dyDescent="0.3">
      <c r="Q564" s="93">
        <v>46233</v>
      </c>
      <c r="R564" t="s">
        <v>364</v>
      </c>
      <c r="S564" t="s">
        <v>997</v>
      </c>
      <c r="T564" s="14">
        <v>30250</v>
      </c>
      <c r="W564" s="20">
        <v>45939</v>
      </c>
      <c r="X564" t="s">
        <v>280</v>
      </c>
      <c r="Y564" s="23">
        <v>6.3615384615384603</v>
      </c>
      <c r="Z564" s="23">
        <v>5.8846153846153904</v>
      </c>
      <c r="AA564" s="23">
        <v>6.12307692307692</v>
      </c>
      <c r="AD564" s="20">
        <v>46079</v>
      </c>
      <c r="AE564" t="s">
        <v>557</v>
      </c>
      <c r="AF564">
        <v>5613.4996546020002</v>
      </c>
      <c r="AG564" s="84">
        <f>DATE(YEAR(His53_DataTT[[#This Row],[RptDate]]),MONTH(His53_DataTT[[#This Row],[RptDate]]),1)</f>
        <v>46054</v>
      </c>
      <c r="AO564" s="14"/>
    </row>
    <row r="565" spans="17:41" x14ac:dyDescent="0.3">
      <c r="Q565" s="93">
        <v>46233</v>
      </c>
      <c r="R565" t="s">
        <v>496</v>
      </c>
      <c r="S565" t="s">
        <v>997</v>
      </c>
      <c r="T565" s="14">
        <v>18545</v>
      </c>
      <c r="W565" s="20">
        <v>45939</v>
      </c>
      <c r="X565" t="s">
        <v>281</v>
      </c>
      <c r="Y565" s="23">
        <v>6.4153846153846201</v>
      </c>
      <c r="Z565" s="23">
        <v>5.9615384615384599</v>
      </c>
      <c r="AA565" s="23">
        <v>6.1884615384615396</v>
      </c>
      <c r="AD565" s="20">
        <v>46080</v>
      </c>
      <c r="AE565" t="s">
        <v>479</v>
      </c>
      <c r="AF565">
        <v>4819.4708538309997</v>
      </c>
      <c r="AG565" s="84">
        <f>DATE(YEAR(His53_DataTT[[#This Row],[RptDate]]),MONTH(His53_DataTT[[#This Row],[RptDate]]),1)</f>
        <v>46054</v>
      </c>
      <c r="AO565" s="14"/>
    </row>
    <row r="566" spans="17:41" x14ac:dyDescent="0.3">
      <c r="Q566" s="93">
        <v>46233</v>
      </c>
      <c r="R566" t="s">
        <v>1388</v>
      </c>
      <c r="S566" t="s">
        <v>997</v>
      </c>
      <c r="T566" s="14">
        <v>15197.6106</v>
      </c>
      <c r="W566" s="20">
        <v>45944</v>
      </c>
      <c r="X566" t="s">
        <v>270</v>
      </c>
      <c r="Y566" s="23">
        <v>5.7750000000000004</v>
      </c>
      <c r="Z566" s="23">
        <v>5.375</v>
      </c>
      <c r="AA566" s="23">
        <v>5.5750000000000002</v>
      </c>
      <c r="AD566" s="20">
        <v>46080</v>
      </c>
      <c r="AE566" t="s">
        <v>557</v>
      </c>
      <c r="AF566">
        <v>5301.231938422</v>
      </c>
      <c r="AG566" s="84">
        <f>DATE(YEAR(His53_DataTT[[#This Row],[RptDate]]),MONTH(His53_DataTT[[#This Row],[RptDate]]),1)</f>
        <v>46054</v>
      </c>
      <c r="AO566" s="14"/>
    </row>
    <row r="567" spans="17:41" x14ac:dyDescent="0.3">
      <c r="Q567" s="93">
        <v>46233</v>
      </c>
      <c r="R567" t="s">
        <v>1389</v>
      </c>
      <c r="S567" t="s">
        <v>997</v>
      </c>
      <c r="T567" s="14">
        <v>13800</v>
      </c>
      <c r="W567" s="20">
        <v>45944</v>
      </c>
      <c r="X567" t="s">
        <v>271</v>
      </c>
      <c r="Y567" s="23">
        <v>5.95</v>
      </c>
      <c r="Z567" s="23">
        <v>5.45</v>
      </c>
      <c r="AA567" s="23">
        <v>5.7</v>
      </c>
      <c r="AD567" s="20">
        <v>46083</v>
      </c>
      <c r="AE567" t="s">
        <v>479</v>
      </c>
      <c r="AF567">
        <v>4359.875566019</v>
      </c>
      <c r="AG567" s="84">
        <f>DATE(YEAR(His53_DataTT[[#This Row],[RptDate]]),MONTH(His53_DataTT[[#This Row],[RptDate]]),1)</f>
        <v>46082</v>
      </c>
      <c r="AO567" s="14"/>
    </row>
    <row r="568" spans="17:41" x14ac:dyDescent="0.3">
      <c r="Q568" s="93">
        <v>46233</v>
      </c>
      <c r="R568" t="s">
        <v>1486</v>
      </c>
      <c r="S568" t="s">
        <v>997</v>
      </c>
      <c r="T568" s="14">
        <v>1000</v>
      </c>
      <c r="W568" s="20">
        <v>45944</v>
      </c>
      <c r="X568" t="s">
        <v>272</v>
      </c>
      <c r="Y568" s="23">
        <v>5.9115384615384601</v>
      </c>
      <c r="Z568" s="23">
        <v>5.4730769230769196</v>
      </c>
      <c r="AA568" s="23">
        <v>5.6923076923076898</v>
      </c>
      <c r="AD568" s="20">
        <v>46083</v>
      </c>
      <c r="AE568" t="s">
        <v>557</v>
      </c>
      <c r="AF568">
        <v>4132.9958600769996</v>
      </c>
      <c r="AG568" s="84">
        <f>DATE(YEAR(His53_DataTT[[#This Row],[RptDate]]),MONTH(His53_DataTT[[#This Row],[RptDate]]),1)</f>
        <v>46082</v>
      </c>
      <c r="AO568" s="14"/>
    </row>
    <row r="569" spans="17:41" x14ac:dyDescent="0.3">
      <c r="Q569" s="93">
        <v>46233</v>
      </c>
      <c r="R569" t="s">
        <v>1390</v>
      </c>
      <c r="S569" t="s">
        <v>997</v>
      </c>
      <c r="T569" s="14">
        <v>397.61059999999998</v>
      </c>
      <c r="W569" s="20">
        <v>45944</v>
      </c>
      <c r="X569" t="s">
        <v>273</v>
      </c>
      <c r="Y569" s="23">
        <v>5.9692307692307702</v>
      </c>
      <c r="Z569" s="23">
        <v>5.5076923076923103</v>
      </c>
      <c r="AA569" s="23">
        <v>5.7384615384615403</v>
      </c>
      <c r="AD569" s="20">
        <v>46084</v>
      </c>
      <c r="AE569" t="s">
        <v>479</v>
      </c>
      <c r="AF569">
        <v>3141.8328038750001</v>
      </c>
      <c r="AG569" s="84">
        <f>DATE(YEAR(His53_DataTT[[#This Row],[RptDate]]),MONTH(His53_DataTT[[#This Row],[RptDate]]),1)</f>
        <v>46082</v>
      </c>
      <c r="AO569" s="14"/>
    </row>
    <row r="570" spans="17:41" x14ac:dyDescent="0.3">
      <c r="Q570" s="93">
        <v>46232</v>
      </c>
      <c r="R570" t="s">
        <v>479</v>
      </c>
      <c r="S570" t="s">
        <v>399</v>
      </c>
      <c r="T570" s="14">
        <v>11773.040034617199</v>
      </c>
      <c r="W570" s="20">
        <v>45944</v>
      </c>
      <c r="X570" t="s">
        <v>274</v>
      </c>
      <c r="Y570" s="23">
        <v>6.0461538461538504</v>
      </c>
      <c r="Z570" s="23">
        <v>5.5846153846153896</v>
      </c>
      <c r="AA570" s="23">
        <v>5.8153846153846196</v>
      </c>
      <c r="AD570" s="20">
        <v>46084</v>
      </c>
      <c r="AE570" t="s">
        <v>557</v>
      </c>
      <c r="AF570">
        <v>5533.5884903650003</v>
      </c>
      <c r="AG570" s="84">
        <f>DATE(YEAR(His53_DataTT[[#This Row],[RptDate]]),MONTH(His53_DataTT[[#This Row],[RptDate]]),1)</f>
        <v>46082</v>
      </c>
      <c r="AO570" s="14"/>
    </row>
    <row r="571" spans="17:41" x14ac:dyDescent="0.3">
      <c r="Q571" s="93">
        <v>46232</v>
      </c>
      <c r="R571" t="s">
        <v>364</v>
      </c>
      <c r="S571" t="s">
        <v>399</v>
      </c>
      <c r="T571" s="14">
        <v>27150</v>
      </c>
      <c r="W571" s="20">
        <v>45944</v>
      </c>
      <c r="X571" t="s">
        <v>275</v>
      </c>
      <c r="Y571" s="23">
        <v>6.1192307692307697</v>
      </c>
      <c r="Z571" s="23">
        <v>5.6576923076923098</v>
      </c>
      <c r="AA571" s="23">
        <v>5.8884615384615397</v>
      </c>
      <c r="AD571" s="20">
        <v>46085</v>
      </c>
      <c r="AE571" t="s">
        <v>479</v>
      </c>
      <c r="AF571">
        <v>1431.4958947719999</v>
      </c>
      <c r="AG571" s="84">
        <f>DATE(YEAR(His53_DataTT[[#This Row],[RptDate]]),MONTH(His53_DataTT[[#This Row],[RptDate]]),1)</f>
        <v>46082</v>
      </c>
      <c r="AO571" s="14"/>
    </row>
    <row r="572" spans="17:41" x14ac:dyDescent="0.3">
      <c r="Q572" s="93">
        <v>46232</v>
      </c>
      <c r="R572" t="s">
        <v>491</v>
      </c>
      <c r="S572" t="s">
        <v>399</v>
      </c>
      <c r="T572" s="14">
        <v>397.61059999999998</v>
      </c>
      <c r="W572" s="20">
        <v>45944</v>
      </c>
      <c r="X572" t="s">
        <v>276</v>
      </c>
      <c r="Y572" s="23">
        <v>6.1692307692307704</v>
      </c>
      <c r="Z572" s="23">
        <v>5.7</v>
      </c>
      <c r="AA572" s="23">
        <v>5.9346153846153804</v>
      </c>
      <c r="AD572" s="20">
        <v>46085</v>
      </c>
      <c r="AE572" t="s">
        <v>557</v>
      </c>
      <c r="AF572">
        <v>3823.5804151070001</v>
      </c>
      <c r="AG572" s="84">
        <f>DATE(YEAR(His53_DataTT[[#This Row],[RptDate]]),MONTH(His53_DataTT[[#This Row],[RptDate]]),1)</f>
        <v>46082</v>
      </c>
      <c r="AO572" s="14"/>
    </row>
    <row r="573" spans="17:41" x14ac:dyDescent="0.3">
      <c r="Q573" s="93">
        <v>46232</v>
      </c>
      <c r="R573" t="s">
        <v>492</v>
      </c>
      <c r="S573" t="s">
        <v>399</v>
      </c>
      <c r="T573" s="14">
        <v>10800</v>
      </c>
      <c r="W573" s="20">
        <v>45944</v>
      </c>
      <c r="X573" t="s">
        <v>277</v>
      </c>
      <c r="Y573" s="23">
        <v>6.25</v>
      </c>
      <c r="Z573" s="23">
        <v>5.7653846153846198</v>
      </c>
      <c r="AA573" s="23">
        <v>6.0076923076923103</v>
      </c>
      <c r="AD573" s="20">
        <v>46086</v>
      </c>
      <c r="AE573" t="s">
        <v>479</v>
      </c>
      <c r="AF573">
        <v>2219.6186403810002</v>
      </c>
      <c r="AG573" s="84">
        <f>DATE(YEAR(His53_DataTT[[#This Row],[RptDate]]),MONTH(His53_DataTT[[#This Row],[RptDate]]),1)</f>
        <v>46082</v>
      </c>
      <c r="AO573" s="14"/>
    </row>
    <row r="574" spans="17:41" x14ac:dyDescent="0.3">
      <c r="Q574" s="93">
        <v>46232</v>
      </c>
      <c r="R574" t="s">
        <v>1438</v>
      </c>
      <c r="S574" t="s">
        <v>399</v>
      </c>
      <c r="T574" s="14">
        <v>575.42943461723996</v>
      </c>
      <c r="W574" s="20">
        <v>45944</v>
      </c>
      <c r="X574" t="s">
        <v>278</v>
      </c>
      <c r="Y574" s="23">
        <v>6.2846153846153898</v>
      </c>
      <c r="Z574" s="23">
        <v>5.8038461538461599</v>
      </c>
      <c r="AA574" s="23">
        <v>6.0442307692307704</v>
      </c>
      <c r="AD574" s="20">
        <v>46086</v>
      </c>
      <c r="AE574" t="s">
        <v>557</v>
      </c>
      <c r="AF574">
        <v>1700.7177093529999</v>
      </c>
      <c r="AG574" s="84">
        <f>DATE(YEAR(His53_DataTT[[#This Row],[RptDate]]),MONTH(His53_DataTT[[#This Row],[RptDate]]),1)</f>
        <v>46082</v>
      </c>
      <c r="AO574" s="14"/>
    </row>
    <row r="575" spans="17:41" x14ac:dyDescent="0.3">
      <c r="Q575" s="93">
        <v>46232</v>
      </c>
      <c r="R575" t="s">
        <v>496</v>
      </c>
      <c r="S575" t="s">
        <v>399</v>
      </c>
      <c r="T575" s="14">
        <v>16515</v>
      </c>
      <c r="W575" s="20">
        <v>45944</v>
      </c>
      <c r="X575" t="s">
        <v>279</v>
      </c>
      <c r="Y575" s="23">
        <v>6.3269230769230802</v>
      </c>
      <c r="Z575" s="23">
        <v>5.8461538461538503</v>
      </c>
      <c r="AA575" s="23">
        <v>6.0865384615384599</v>
      </c>
      <c r="AD575" s="20">
        <v>46087</v>
      </c>
      <c r="AE575" t="s">
        <v>479</v>
      </c>
      <c r="AF575">
        <v>1190.553624034</v>
      </c>
      <c r="AG575" s="84">
        <f>DATE(YEAR(His53_DataTT[[#This Row],[RptDate]]),MONTH(His53_DataTT[[#This Row],[RptDate]]),1)</f>
        <v>46082</v>
      </c>
      <c r="AO575" s="14"/>
    </row>
    <row r="576" spans="17:41" x14ac:dyDescent="0.3">
      <c r="Q576" s="93">
        <v>46232</v>
      </c>
      <c r="R576" t="s">
        <v>497</v>
      </c>
      <c r="S576" t="s">
        <v>399</v>
      </c>
      <c r="T576" s="14">
        <v>397.61059999999998</v>
      </c>
      <c r="W576" s="20">
        <v>45944</v>
      </c>
      <c r="X576" t="s">
        <v>280</v>
      </c>
      <c r="Y576" s="23">
        <v>6.4230769230769198</v>
      </c>
      <c r="Z576" s="23">
        <v>5.9384615384615396</v>
      </c>
      <c r="AA576" s="23">
        <v>6.1807692307692301</v>
      </c>
      <c r="AD576" s="20">
        <v>46087</v>
      </c>
      <c r="AE576" t="s">
        <v>557</v>
      </c>
      <c r="AF576">
        <v>4923.4467707940003</v>
      </c>
      <c r="AG576" s="84">
        <f>DATE(YEAR(His53_DataTT[[#This Row],[RptDate]]),MONTH(His53_DataTT[[#This Row],[RptDate]]),1)</f>
        <v>46082</v>
      </c>
      <c r="AO576" s="14"/>
    </row>
    <row r="577" spans="17:41" x14ac:dyDescent="0.3">
      <c r="Q577" s="93">
        <v>46232</v>
      </c>
      <c r="R577" t="s">
        <v>498</v>
      </c>
      <c r="S577" t="s">
        <v>399</v>
      </c>
      <c r="T577" s="14">
        <v>10800</v>
      </c>
      <c r="W577" s="20">
        <v>45944</v>
      </c>
      <c r="X577" t="s">
        <v>281</v>
      </c>
      <c r="Y577" s="23">
        <v>6.4692307692307702</v>
      </c>
      <c r="Z577" s="23">
        <v>6.0153846153846198</v>
      </c>
      <c r="AA577" s="23">
        <v>6.2423076923076897</v>
      </c>
      <c r="AD577" s="20">
        <v>46090</v>
      </c>
      <c r="AE577" t="s">
        <v>479</v>
      </c>
      <c r="AF577">
        <v>3611.8864545440001</v>
      </c>
      <c r="AG577" s="84">
        <f>DATE(YEAR(His53_DataTT[[#This Row],[RptDate]]),MONTH(His53_DataTT[[#This Row],[RptDate]]),1)</f>
        <v>46082</v>
      </c>
      <c r="AO577" s="14"/>
    </row>
    <row r="578" spans="17:41" x14ac:dyDescent="0.3">
      <c r="Q578" s="93">
        <v>46232</v>
      </c>
      <c r="R578" t="s">
        <v>494</v>
      </c>
      <c r="S578" t="s">
        <v>399</v>
      </c>
      <c r="T578" s="14">
        <v>0</v>
      </c>
      <c r="W578" s="20">
        <v>45938</v>
      </c>
      <c r="X578" t="s">
        <v>270</v>
      </c>
      <c r="Y578" s="23">
        <v>5.75</v>
      </c>
      <c r="Z578" s="23">
        <v>5.35</v>
      </c>
      <c r="AA578" s="23">
        <v>5.55</v>
      </c>
      <c r="AD578" s="20">
        <v>46090</v>
      </c>
      <c r="AE578" t="s">
        <v>557</v>
      </c>
      <c r="AF578">
        <v>1109.767831894</v>
      </c>
      <c r="AG578" s="84">
        <f>DATE(YEAR(His53_DataTT[[#This Row],[RptDate]]),MONTH(His53_DataTT[[#This Row],[RptDate]]),1)</f>
        <v>46082</v>
      </c>
      <c r="AO578" s="14"/>
    </row>
    <row r="579" spans="17:41" x14ac:dyDescent="0.3">
      <c r="Q579" s="93">
        <v>46232</v>
      </c>
      <c r="R579" t="s">
        <v>495</v>
      </c>
      <c r="S579" t="s">
        <v>399</v>
      </c>
      <c r="T579" s="14">
        <v>0</v>
      </c>
      <c r="W579" s="20">
        <v>45938</v>
      </c>
      <c r="X579" t="s">
        <v>271</v>
      </c>
      <c r="Y579" s="23">
        <v>5.94</v>
      </c>
      <c r="Z579" s="23">
        <v>5.44</v>
      </c>
      <c r="AA579" s="23">
        <v>5.69</v>
      </c>
      <c r="AD579" s="20">
        <v>46091</v>
      </c>
      <c r="AE579" t="s">
        <v>479</v>
      </c>
      <c r="AF579">
        <v>1448.934001505</v>
      </c>
      <c r="AG579" s="84">
        <f>DATE(YEAR(His53_DataTT[[#This Row],[RptDate]]),MONTH(His53_DataTT[[#This Row],[RptDate]]),1)</f>
        <v>46082</v>
      </c>
      <c r="AO579" s="14"/>
    </row>
    <row r="580" spans="17:41" x14ac:dyDescent="0.3">
      <c r="Q580" s="93">
        <v>46232</v>
      </c>
      <c r="R580" t="s">
        <v>493</v>
      </c>
      <c r="S580" t="s">
        <v>399</v>
      </c>
      <c r="T580" s="14">
        <v>0</v>
      </c>
      <c r="W580" s="20">
        <v>45938</v>
      </c>
      <c r="X580" t="s">
        <v>272</v>
      </c>
      <c r="Y580" s="23">
        <v>5.85</v>
      </c>
      <c r="Z580" s="23">
        <v>5.4115384615384601</v>
      </c>
      <c r="AA580" s="23">
        <v>5.6307692307692303</v>
      </c>
      <c r="AD580" s="20">
        <v>46091</v>
      </c>
      <c r="AE580" t="s">
        <v>557</v>
      </c>
      <c r="AF580">
        <v>2975.1761480700002</v>
      </c>
      <c r="AG580" s="84">
        <f>DATE(YEAR(His53_DataTT[[#This Row],[RptDate]]),MONTH(His53_DataTT[[#This Row],[RptDate]]),1)</f>
        <v>46082</v>
      </c>
      <c r="AO580" s="14"/>
    </row>
    <row r="581" spans="17:41" x14ac:dyDescent="0.3">
      <c r="Q581" s="93">
        <v>46232</v>
      </c>
      <c r="R581" t="s">
        <v>593</v>
      </c>
      <c r="S581" t="s">
        <v>399</v>
      </c>
      <c r="T581" s="14">
        <v>10635</v>
      </c>
      <c r="W581" s="20">
        <v>45938</v>
      </c>
      <c r="X581" t="s">
        <v>273</v>
      </c>
      <c r="Y581" s="23">
        <v>5.9307692307692301</v>
      </c>
      <c r="Z581" s="23">
        <v>5.4692307692307702</v>
      </c>
      <c r="AA581" s="23">
        <v>5.7</v>
      </c>
      <c r="AD581" s="20">
        <v>46092</v>
      </c>
      <c r="AE581" t="s">
        <v>479</v>
      </c>
      <c r="AF581">
        <v>690.80520593699998</v>
      </c>
      <c r="AG581" s="84">
        <f>DATE(YEAR(His53_DataTT[[#This Row],[RptDate]]),MONTH(His53_DataTT[[#This Row],[RptDate]]),1)</f>
        <v>46082</v>
      </c>
      <c r="AO581" s="14"/>
    </row>
    <row r="582" spans="17:41" x14ac:dyDescent="0.3">
      <c r="Q582" s="93">
        <v>46232</v>
      </c>
      <c r="R582" t="s">
        <v>594</v>
      </c>
      <c r="S582" t="s">
        <v>399</v>
      </c>
      <c r="T582" s="14">
        <v>0</v>
      </c>
      <c r="W582" s="20">
        <v>45938</v>
      </c>
      <c r="X582" t="s">
        <v>274</v>
      </c>
      <c r="Y582" s="23">
        <v>6</v>
      </c>
      <c r="Z582" s="23">
        <v>5.5461538461538504</v>
      </c>
      <c r="AA582" s="23">
        <v>5.7730769230769203</v>
      </c>
      <c r="AD582" s="20">
        <v>46092</v>
      </c>
      <c r="AE582" t="s">
        <v>557</v>
      </c>
      <c r="AF582">
        <v>3809.2933152599999</v>
      </c>
      <c r="AG582" s="84">
        <f>DATE(YEAR(His53_DataTT[[#This Row],[RptDate]]),MONTH(His53_DataTT[[#This Row],[RptDate]]),1)</f>
        <v>46082</v>
      </c>
      <c r="AO582" s="14"/>
    </row>
    <row r="583" spans="17:41" x14ac:dyDescent="0.3">
      <c r="Q583" s="93">
        <v>46232</v>
      </c>
      <c r="R583" t="s">
        <v>595</v>
      </c>
      <c r="S583" t="s">
        <v>399</v>
      </c>
      <c r="T583" s="14">
        <v>0</v>
      </c>
      <c r="W583" s="20">
        <v>45938</v>
      </c>
      <c r="X583" t="s">
        <v>275</v>
      </c>
      <c r="Y583" s="23">
        <v>6.0653846153846196</v>
      </c>
      <c r="Z583" s="23">
        <v>5.6115384615384603</v>
      </c>
      <c r="AA583" s="23">
        <v>5.8384615384615399</v>
      </c>
      <c r="AD583" s="20">
        <v>46093</v>
      </c>
      <c r="AE583" t="s">
        <v>479</v>
      </c>
      <c r="AF583">
        <v>1843.223744247</v>
      </c>
      <c r="AG583" s="84">
        <f>DATE(YEAR(His53_DataTT[[#This Row],[RptDate]]),MONTH(His53_DataTT[[#This Row],[RptDate]]),1)</f>
        <v>46082</v>
      </c>
      <c r="AO583" s="14"/>
    </row>
    <row r="584" spans="17:41" x14ac:dyDescent="0.3">
      <c r="Q584" s="93">
        <v>46232</v>
      </c>
      <c r="R584" t="s">
        <v>1439</v>
      </c>
      <c r="S584" t="s">
        <v>399</v>
      </c>
      <c r="T584" s="14">
        <v>575.42943461723996</v>
      </c>
      <c r="W584" s="20">
        <v>45938</v>
      </c>
      <c r="X584" t="s">
        <v>276</v>
      </c>
      <c r="Y584" s="23">
        <v>6.1153846153846203</v>
      </c>
      <c r="Z584" s="23">
        <v>5.6538461538461604</v>
      </c>
      <c r="AA584" s="23">
        <v>5.8846153846153904</v>
      </c>
      <c r="AD584" s="20">
        <v>46093</v>
      </c>
      <c r="AE584" t="s">
        <v>557</v>
      </c>
      <c r="AF584">
        <v>3458.6303779929999</v>
      </c>
      <c r="AG584" s="84">
        <f>DATE(YEAR(His53_DataTT[[#This Row],[RptDate]]),MONTH(His53_DataTT[[#This Row],[RptDate]]),1)</f>
        <v>46082</v>
      </c>
      <c r="AO584" s="14"/>
    </row>
    <row r="585" spans="17:41" x14ac:dyDescent="0.3">
      <c r="Q585" s="93">
        <v>46232</v>
      </c>
      <c r="R585" t="s">
        <v>479</v>
      </c>
      <c r="S585" t="s">
        <v>395</v>
      </c>
      <c r="T585" s="14">
        <v>10601.3884937736</v>
      </c>
      <c r="W585" s="20">
        <v>45938</v>
      </c>
      <c r="X585" t="s">
        <v>277</v>
      </c>
      <c r="Y585" s="23">
        <v>6.1961538461538499</v>
      </c>
      <c r="Z585" s="23">
        <v>5.7192307692307702</v>
      </c>
      <c r="AA585" s="23">
        <v>5.9576923076923096</v>
      </c>
      <c r="AD585" s="20">
        <v>46094</v>
      </c>
      <c r="AE585" t="s">
        <v>479</v>
      </c>
      <c r="AF585">
        <v>2316.7022230399998</v>
      </c>
      <c r="AG585" s="84">
        <f>DATE(YEAR(His53_DataTT[[#This Row],[RptDate]]),MONTH(His53_DataTT[[#This Row],[RptDate]]),1)</f>
        <v>46082</v>
      </c>
      <c r="AO585" s="14"/>
    </row>
    <row r="586" spans="17:41" x14ac:dyDescent="0.3">
      <c r="Q586" s="93">
        <v>46232</v>
      </c>
      <c r="R586" t="s">
        <v>479</v>
      </c>
      <c r="S586" t="s">
        <v>415</v>
      </c>
      <c r="T586" s="14">
        <v>7.2773600185935496</v>
      </c>
      <c r="W586" s="20">
        <v>45938</v>
      </c>
      <c r="X586" t="s">
        <v>278</v>
      </c>
      <c r="Y586" s="23">
        <v>6.2307692307692299</v>
      </c>
      <c r="Z586" s="23">
        <v>5.7576923076923103</v>
      </c>
      <c r="AA586" s="23">
        <v>5.9942307692307697</v>
      </c>
      <c r="AD586" s="20">
        <v>46094</v>
      </c>
      <c r="AE586" t="s">
        <v>557</v>
      </c>
      <c r="AF586">
        <v>4969.923733525</v>
      </c>
      <c r="AG586" s="84">
        <f>DATE(YEAR(His53_DataTT[[#This Row],[RptDate]]),MONTH(His53_DataTT[[#This Row],[RptDate]]),1)</f>
        <v>46082</v>
      </c>
      <c r="AO586" s="14"/>
    </row>
    <row r="587" spans="17:41" x14ac:dyDescent="0.3">
      <c r="Q587" s="93">
        <v>46232</v>
      </c>
      <c r="R587" t="s">
        <v>364</v>
      </c>
      <c r="S587" t="s">
        <v>415</v>
      </c>
      <c r="T587" s="14">
        <v>6.8185847589424604</v>
      </c>
      <c r="W587" s="20">
        <v>45938</v>
      </c>
      <c r="X587" t="s">
        <v>279</v>
      </c>
      <c r="Y587" s="23">
        <v>6.2653846153846198</v>
      </c>
      <c r="Z587" s="23">
        <v>5.7923076923076904</v>
      </c>
      <c r="AA587" s="23">
        <v>6.0288461538461497</v>
      </c>
      <c r="AD587" s="20">
        <v>46097</v>
      </c>
      <c r="AE587" t="s">
        <v>479</v>
      </c>
      <c r="AF587">
        <v>3525.3925824050002</v>
      </c>
      <c r="AG587" s="84">
        <f>DATE(YEAR(His53_DataTT[[#This Row],[RptDate]]),MONTH(His53_DataTT[[#This Row],[RptDate]]),1)</f>
        <v>46082</v>
      </c>
      <c r="AO587" s="14"/>
    </row>
    <row r="588" spans="17:41" x14ac:dyDescent="0.3">
      <c r="Q588" s="93">
        <v>46232</v>
      </c>
      <c r="R588" t="s">
        <v>516</v>
      </c>
      <c r="S588" t="s">
        <v>415</v>
      </c>
      <c r="T588" s="14">
        <v>6.9591208600514101</v>
      </c>
      <c r="W588" s="20">
        <v>45938</v>
      </c>
      <c r="X588" t="s">
        <v>280</v>
      </c>
      <c r="Y588" s="23">
        <v>6.3615384615384603</v>
      </c>
      <c r="Z588" s="23">
        <v>5.8846153846153904</v>
      </c>
      <c r="AA588" s="23">
        <v>6.12307692307692</v>
      </c>
      <c r="AD588" s="20">
        <v>46097</v>
      </c>
      <c r="AE588" t="s">
        <v>557</v>
      </c>
      <c r="AF588">
        <v>6071.6859216410003</v>
      </c>
      <c r="AG588" s="84">
        <f>DATE(YEAR(His53_DataTT[[#This Row],[RptDate]]),MONTH(His53_DataTT[[#This Row],[RptDate]]),1)</f>
        <v>46082</v>
      </c>
      <c r="AO588" s="14"/>
    </row>
    <row r="589" spans="17:41" x14ac:dyDescent="0.3">
      <c r="Q589" s="93">
        <v>46232</v>
      </c>
      <c r="R589" t="s">
        <v>1288</v>
      </c>
      <c r="S589" t="s">
        <v>415</v>
      </c>
      <c r="T589" s="14">
        <v>7.2773600185935496</v>
      </c>
      <c r="W589" s="20">
        <v>45938</v>
      </c>
      <c r="X589" t="s">
        <v>281</v>
      </c>
      <c r="Y589" s="23">
        <v>6.4153846153846201</v>
      </c>
      <c r="Z589" s="23">
        <v>5.9615384615384599</v>
      </c>
      <c r="AA589" s="23">
        <v>6.1884615384615396</v>
      </c>
      <c r="AD589" s="20">
        <v>46098</v>
      </c>
      <c r="AE589" t="s">
        <v>479</v>
      </c>
      <c r="AF589">
        <v>1713.1115155099999</v>
      </c>
      <c r="AG589" s="84">
        <f>DATE(YEAR(His53_DataTT[[#This Row],[RptDate]]),MONTH(His53_DataTT[[#This Row],[RptDate]]),1)</f>
        <v>46082</v>
      </c>
      <c r="AO589" s="14"/>
    </row>
    <row r="590" spans="17:41" x14ac:dyDescent="0.3">
      <c r="Q590" s="93">
        <v>46232</v>
      </c>
      <c r="R590" t="s">
        <v>496</v>
      </c>
      <c r="S590" t="s">
        <v>415</v>
      </c>
      <c r="T590" s="14">
        <v>6.6756332750437197</v>
      </c>
      <c r="W590" s="20">
        <v>45957</v>
      </c>
      <c r="X590" t="s">
        <v>270</v>
      </c>
      <c r="Y590" s="23">
        <v>6</v>
      </c>
      <c r="Z590" s="23">
        <v>5.56666666666667</v>
      </c>
      <c r="AA590" s="23">
        <v>5.7833333333333297</v>
      </c>
      <c r="AD590" s="20">
        <v>46098</v>
      </c>
      <c r="AE590" t="s">
        <v>557</v>
      </c>
      <c r="AF590">
        <v>5658.1584782509999</v>
      </c>
      <c r="AG590" s="84">
        <f>DATE(YEAR(His53_DataTT[[#This Row],[RptDate]]),MONTH(His53_DataTT[[#This Row],[RptDate]]),1)</f>
        <v>46082</v>
      </c>
      <c r="AO590" s="14"/>
    </row>
    <row r="591" spans="17:41" x14ac:dyDescent="0.3">
      <c r="Q591" s="93">
        <v>46232</v>
      </c>
      <c r="R591" t="s">
        <v>1290</v>
      </c>
      <c r="S591" t="s">
        <v>415</v>
      </c>
      <c r="T591" s="14">
        <v>6.9253389199127602</v>
      </c>
      <c r="W591" s="20">
        <v>45957</v>
      </c>
      <c r="X591" t="s">
        <v>271</v>
      </c>
      <c r="Y591" s="23">
        <v>6.125</v>
      </c>
      <c r="Z591" s="23">
        <v>5.6749999999999998</v>
      </c>
      <c r="AA591" s="23">
        <v>5.9</v>
      </c>
      <c r="AD591" s="20">
        <v>46099</v>
      </c>
      <c r="AE591" t="s">
        <v>479</v>
      </c>
      <c r="AF591">
        <v>631.053033228</v>
      </c>
      <c r="AG591" s="84">
        <f>DATE(YEAR(His53_DataTT[[#This Row],[RptDate]]),MONTH(His53_DataTT[[#This Row],[RptDate]]),1)</f>
        <v>46082</v>
      </c>
      <c r="AO591" s="14"/>
    </row>
    <row r="592" spans="17:41" x14ac:dyDescent="0.3">
      <c r="Q592" s="93">
        <v>46232</v>
      </c>
      <c r="R592" t="s">
        <v>364</v>
      </c>
      <c r="S592" t="s">
        <v>997</v>
      </c>
      <c r="T592" s="14">
        <v>30650</v>
      </c>
      <c r="W592" s="20">
        <v>45957</v>
      </c>
      <c r="X592" t="s">
        <v>272</v>
      </c>
      <c r="Y592" s="23">
        <v>6.0384615384615401</v>
      </c>
      <c r="Z592" s="23">
        <v>5.5923076923076902</v>
      </c>
      <c r="AA592" s="23">
        <v>5.8153846153846098</v>
      </c>
      <c r="AD592" s="20">
        <v>46099</v>
      </c>
      <c r="AE592" t="s">
        <v>557</v>
      </c>
      <c r="AF592">
        <v>1666.997760039</v>
      </c>
      <c r="AG592" s="84">
        <f>DATE(YEAR(His53_DataTT[[#This Row],[RptDate]]),MONTH(His53_DataTT[[#This Row],[RptDate]]),1)</f>
        <v>46082</v>
      </c>
      <c r="AO592" s="14"/>
    </row>
    <row r="593" spans="17:41" x14ac:dyDescent="0.3">
      <c r="Q593" s="93">
        <v>46232</v>
      </c>
      <c r="R593" t="s">
        <v>496</v>
      </c>
      <c r="S593" t="s">
        <v>997</v>
      </c>
      <c r="T593" s="14">
        <v>20015</v>
      </c>
      <c r="W593" s="20">
        <v>45957</v>
      </c>
      <c r="X593" t="s">
        <v>273</v>
      </c>
      <c r="Y593" s="23">
        <v>6.10769230769231</v>
      </c>
      <c r="Z593" s="23">
        <v>5.6461538461538501</v>
      </c>
      <c r="AA593" s="23">
        <v>5.87692307692308</v>
      </c>
      <c r="AD593" s="20">
        <v>46100</v>
      </c>
      <c r="AE593" t="s">
        <v>479</v>
      </c>
      <c r="AF593">
        <v>631.053033228</v>
      </c>
      <c r="AG593" s="84">
        <f>DATE(YEAR(His53_DataTT[[#This Row],[RptDate]]),MONTH(His53_DataTT[[#This Row],[RptDate]]),1)</f>
        <v>46082</v>
      </c>
      <c r="AO593" s="14"/>
    </row>
    <row r="594" spans="17:41" x14ac:dyDescent="0.3">
      <c r="Q594" s="93">
        <v>46232</v>
      </c>
      <c r="R594" t="s">
        <v>1388</v>
      </c>
      <c r="S594" t="s">
        <v>997</v>
      </c>
      <c r="T594" s="14">
        <v>14197.6106</v>
      </c>
      <c r="W594" s="20">
        <v>45957</v>
      </c>
      <c r="X594" t="s">
        <v>274</v>
      </c>
      <c r="Y594" s="23">
        <v>6.1846153846153804</v>
      </c>
      <c r="Z594" s="23">
        <v>5.7230769230769196</v>
      </c>
      <c r="AA594" s="23">
        <v>5.9538461538461496</v>
      </c>
      <c r="AD594" s="20">
        <v>46100</v>
      </c>
      <c r="AE594" t="s">
        <v>557</v>
      </c>
      <c r="AF594">
        <v>1666.997760039</v>
      </c>
      <c r="AG594" s="84">
        <f>DATE(YEAR(His53_DataTT[[#This Row],[RptDate]]),MONTH(His53_DataTT[[#This Row],[RptDate]]),1)</f>
        <v>46082</v>
      </c>
      <c r="AO594" s="14"/>
    </row>
    <row r="595" spans="17:41" x14ac:dyDescent="0.3">
      <c r="Q595" s="93">
        <v>46232</v>
      </c>
      <c r="R595" t="s">
        <v>1389</v>
      </c>
      <c r="S595" t="s">
        <v>997</v>
      </c>
      <c r="T595" s="14">
        <v>13800</v>
      </c>
      <c r="W595" s="20">
        <v>45957</v>
      </c>
      <c r="X595" t="s">
        <v>275</v>
      </c>
      <c r="Y595" s="23">
        <v>6.2423076923076897</v>
      </c>
      <c r="Z595" s="23">
        <v>5.7769230769230804</v>
      </c>
      <c r="AA595" s="23">
        <v>6.0096153846153904</v>
      </c>
      <c r="AD595" s="20">
        <v>46101</v>
      </c>
      <c r="AE595" t="s">
        <v>479</v>
      </c>
      <c r="AF595">
        <v>311.14862093099998</v>
      </c>
      <c r="AG595" s="84">
        <f>DATE(YEAR(His53_DataTT[[#This Row],[RptDate]]),MONTH(His53_DataTT[[#This Row],[RptDate]]),1)</f>
        <v>46082</v>
      </c>
      <c r="AO595" s="14"/>
    </row>
    <row r="596" spans="17:41" x14ac:dyDescent="0.3">
      <c r="Q596" s="93">
        <v>46232</v>
      </c>
      <c r="R596" t="s">
        <v>1390</v>
      </c>
      <c r="S596" t="s">
        <v>997</v>
      </c>
      <c r="T596" s="14">
        <v>397.61059999999998</v>
      </c>
      <c r="W596" s="20">
        <v>45957</v>
      </c>
      <c r="X596" t="s">
        <v>276</v>
      </c>
      <c r="Y596" s="23">
        <v>6.2769230769230804</v>
      </c>
      <c r="Z596" s="23">
        <v>5.8153846153846196</v>
      </c>
      <c r="AA596" s="23">
        <v>6.0461538461538504</v>
      </c>
      <c r="AD596" s="20">
        <v>46101</v>
      </c>
      <c r="AE596" t="s">
        <v>557</v>
      </c>
      <c r="AF596">
        <v>3484.0424542249998</v>
      </c>
      <c r="AG596" s="84">
        <f>DATE(YEAR(His53_DataTT[[#This Row],[RptDate]]),MONTH(His53_DataTT[[#This Row],[RptDate]]),1)</f>
        <v>46082</v>
      </c>
      <c r="AO596" s="14"/>
    </row>
    <row r="597" spans="17:41" x14ac:dyDescent="0.3">
      <c r="Q597" s="93">
        <v>46232</v>
      </c>
      <c r="R597" t="s">
        <v>303</v>
      </c>
      <c r="S597" t="s">
        <v>303</v>
      </c>
      <c r="T597" s="14">
        <v>0</v>
      </c>
      <c r="W597" s="20">
        <v>45957</v>
      </c>
      <c r="X597" t="s">
        <v>277</v>
      </c>
      <c r="Y597" s="23">
        <v>6.3269230769230802</v>
      </c>
      <c r="Z597" s="23">
        <v>5.8653846153846203</v>
      </c>
      <c r="AA597" s="23">
        <v>6.0961538461538503</v>
      </c>
      <c r="AD597" s="20">
        <v>46104</v>
      </c>
      <c r="AE597" t="s">
        <v>479</v>
      </c>
      <c r="AF597">
        <v>1100.912230053</v>
      </c>
      <c r="AG597" s="84">
        <f>DATE(YEAR(His53_DataTT[[#This Row],[RptDate]]),MONTH(His53_DataTT[[#This Row],[RptDate]]),1)</f>
        <v>46082</v>
      </c>
      <c r="AO597" s="14"/>
    </row>
    <row r="598" spans="17:41" x14ac:dyDescent="0.3">
      <c r="Q598" s="93">
        <v>46232</v>
      </c>
      <c r="R598" t="s">
        <v>303</v>
      </c>
      <c r="S598" t="s">
        <v>303</v>
      </c>
      <c r="T598" s="14">
        <v>0</v>
      </c>
      <c r="W598" s="20">
        <v>45957</v>
      </c>
      <c r="X598" t="s">
        <v>278</v>
      </c>
      <c r="Y598" s="23">
        <v>6.3692307692307697</v>
      </c>
      <c r="Z598" s="23">
        <v>5.9076923076923098</v>
      </c>
      <c r="AA598" s="23">
        <v>6.1384615384615397</v>
      </c>
      <c r="AD598" s="20">
        <v>46104</v>
      </c>
      <c r="AE598" t="s">
        <v>557</v>
      </c>
      <c r="AF598">
        <v>7149.6354697079996</v>
      </c>
      <c r="AG598" s="84">
        <f>DATE(YEAR(His53_DataTT[[#This Row],[RptDate]]),MONTH(His53_DataTT[[#This Row],[RptDate]]),1)</f>
        <v>46082</v>
      </c>
      <c r="AO598" s="14"/>
    </row>
    <row r="599" spans="17:41" x14ac:dyDescent="0.3">
      <c r="Q599" s="93">
        <v>46232</v>
      </c>
      <c r="R599" t="s">
        <v>303</v>
      </c>
      <c r="S599" t="s">
        <v>303</v>
      </c>
      <c r="T599" s="14">
        <v>0</v>
      </c>
      <c r="W599" s="20">
        <v>45957</v>
      </c>
      <c r="X599" t="s">
        <v>279</v>
      </c>
      <c r="Y599" s="23">
        <v>6.4192307692307704</v>
      </c>
      <c r="Z599" s="23">
        <v>5.9576923076923096</v>
      </c>
      <c r="AA599" s="23">
        <v>6.1884615384615396</v>
      </c>
      <c r="AD599" s="20">
        <v>46105</v>
      </c>
      <c r="AE599" t="s">
        <v>479</v>
      </c>
      <c r="AF599">
        <v>967.21043832999999</v>
      </c>
      <c r="AG599" s="84">
        <f>DATE(YEAR(His53_DataTT[[#This Row],[RptDate]]),MONTH(His53_DataTT[[#This Row],[RptDate]]),1)</f>
        <v>46082</v>
      </c>
      <c r="AO599" s="14"/>
    </row>
    <row r="600" spans="17:41" x14ac:dyDescent="0.3">
      <c r="Q600" s="93">
        <v>46232</v>
      </c>
      <c r="R600" t="s">
        <v>303</v>
      </c>
      <c r="S600" t="s">
        <v>303</v>
      </c>
      <c r="T600" s="14">
        <v>0</v>
      </c>
      <c r="W600" s="20">
        <v>45957</v>
      </c>
      <c r="X600" t="s">
        <v>280</v>
      </c>
      <c r="Y600" s="23">
        <v>6.4923076923076897</v>
      </c>
      <c r="Z600" s="23">
        <v>6.0192307692307701</v>
      </c>
      <c r="AA600" s="23">
        <v>6.2557692307692303</v>
      </c>
      <c r="AD600" s="20">
        <v>46105</v>
      </c>
      <c r="AE600" t="s">
        <v>557</v>
      </c>
      <c r="AF600">
        <v>6899.9309022819998</v>
      </c>
      <c r="AG600" s="84">
        <f>DATE(YEAR(His53_DataTT[[#This Row],[RptDate]]),MONTH(His53_DataTT[[#This Row],[RptDate]]),1)</f>
        <v>46082</v>
      </c>
      <c r="AO600" s="14"/>
    </row>
    <row r="601" spans="17:41" x14ac:dyDescent="0.3">
      <c r="Q601" s="93">
        <v>46232</v>
      </c>
      <c r="R601" t="s">
        <v>303</v>
      </c>
      <c r="S601" t="s">
        <v>303</v>
      </c>
      <c r="T601" s="14">
        <v>0</v>
      </c>
      <c r="W601" s="20">
        <v>45957</v>
      </c>
      <c r="X601" t="s">
        <v>281</v>
      </c>
      <c r="Y601" s="23">
        <v>6.5538461538461501</v>
      </c>
      <c r="Z601" s="23">
        <v>6.0846153846153896</v>
      </c>
      <c r="AA601" s="23">
        <v>6.3192307692307699</v>
      </c>
      <c r="AD601" s="20">
        <v>46106</v>
      </c>
      <c r="AE601" t="s">
        <v>479</v>
      </c>
      <c r="AF601">
        <v>1685.3156629130001</v>
      </c>
      <c r="AG601" s="84">
        <f>DATE(YEAR(His53_DataTT[[#This Row],[RptDate]]),MONTH(His53_DataTT[[#This Row],[RptDate]]),1)</f>
        <v>46082</v>
      </c>
      <c r="AO601" s="14"/>
    </row>
    <row r="602" spans="17:41" x14ac:dyDescent="0.3">
      <c r="Q602" s="93">
        <v>46232</v>
      </c>
      <c r="R602" t="s">
        <v>303</v>
      </c>
      <c r="S602" t="s">
        <v>303</v>
      </c>
      <c r="T602" s="14">
        <v>0</v>
      </c>
      <c r="W602" s="20">
        <v>45945</v>
      </c>
      <c r="X602" t="s">
        <v>270</v>
      </c>
      <c r="Y602" s="23">
        <v>5.7750000000000004</v>
      </c>
      <c r="Z602" s="23">
        <v>5.375</v>
      </c>
      <c r="AA602" s="23">
        <v>5.5750000000000002</v>
      </c>
      <c r="AD602" s="20">
        <v>46106</v>
      </c>
      <c r="AE602" t="s">
        <v>557</v>
      </c>
      <c r="AF602">
        <v>3463.8816917469999</v>
      </c>
      <c r="AG602" s="84">
        <f>DATE(YEAR(His53_DataTT[[#This Row],[RptDate]]),MONTH(His53_DataTT[[#This Row],[RptDate]]),1)</f>
        <v>46082</v>
      </c>
      <c r="AO602" s="14"/>
    </row>
    <row r="603" spans="17:41" x14ac:dyDescent="0.3">
      <c r="Q603" s="93">
        <v>46231</v>
      </c>
      <c r="R603" t="s">
        <v>479</v>
      </c>
      <c r="S603" t="s">
        <v>399</v>
      </c>
      <c r="T603" s="14">
        <v>11773.1449916357</v>
      </c>
      <c r="W603" s="20">
        <v>45945</v>
      </c>
      <c r="X603" t="s">
        <v>271</v>
      </c>
      <c r="Y603" s="23">
        <v>5.9833333333333298</v>
      </c>
      <c r="Z603" s="23">
        <v>5.5</v>
      </c>
      <c r="AA603" s="23">
        <v>5.7416666666666698</v>
      </c>
      <c r="AD603" s="20">
        <v>46107</v>
      </c>
      <c r="AE603" t="s">
        <v>479</v>
      </c>
      <c r="AF603">
        <v>3839.5906918619999</v>
      </c>
      <c r="AG603" s="84">
        <f>DATE(YEAR(His53_DataTT[[#This Row],[RptDate]]),MONTH(His53_DataTT[[#This Row],[RptDate]]),1)</f>
        <v>46082</v>
      </c>
      <c r="AO603" s="14"/>
    </row>
    <row r="604" spans="17:41" x14ac:dyDescent="0.3">
      <c r="Q604" s="93">
        <v>46231</v>
      </c>
      <c r="R604" t="s">
        <v>364</v>
      </c>
      <c r="S604" t="s">
        <v>399</v>
      </c>
      <c r="T604" s="14">
        <v>28650</v>
      </c>
      <c r="W604" s="20">
        <v>45945</v>
      </c>
      <c r="X604" t="s">
        <v>272</v>
      </c>
      <c r="Y604" s="23">
        <v>5.9423076923076898</v>
      </c>
      <c r="Z604" s="23">
        <v>5.5115384615384597</v>
      </c>
      <c r="AA604" s="23">
        <v>5.7269230769230797</v>
      </c>
      <c r="AD604" s="20">
        <v>46107</v>
      </c>
      <c r="AE604" t="s">
        <v>557</v>
      </c>
      <c r="AF604">
        <v>4193.2017801820002</v>
      </c>
      <c r="AG604" s="84">
        <f>DATE(YEAR(His53_DataTT[[#This Row],[RptDate]]),MONTH(His53_DataTT[[#This Row],[RptDate]]),1)</f>
        <v>46082</v>
      </c>
      <c r="AO604" s="14"/>
    </row>
    <row r="605" spans="17:41" x14ac:dyDescent="0.3">
      <c r="Q605" s="93">
        <v>46231</v>
      </c>
      <c r="R605" t="s">
        <v>491</v>
      </c>
      <c r="S605" t="s">
        <v>399</v>
      </c>
      <c r="T605" s="14">
        <v>397.61059999999998</v>
      </c>
      <c r="W605" s="20">
        <v>45945</v>
      </c>
      <c r="X605" t="s">
        <v>273</v>
      </c>
      <c r="Y605" s="23">
        <v>5.9923076923076897</v>
      </c>
      <c r="Z605" s="23">
        <v>5.5307692307692298</v>
      </c>
      <c r="AA605" s="23">
        <v>5.7615384615384597</v>
      </c>
      <c r="AD605" s="20">
        <v>46108</v>
      </c>
      <c r="AE605" t="s">
        <v>479</v>
      </c>
      <c r="AF605">
        <v>3708.3032755929999</v>
      </c>
      <c r="AG605" s="84">
        <f>DATE(YEAR(His53_DataTT[[#This Row],[RptDate]]),MONTH(His53_DataTT[[#This Row],[RptDate]]),1)</f>
        <v>46082</v>
      </c>
      <c r="AO605" s="14"/>
    </row>
    <row r="606" spans="17:41" x14ac:dyDescent="0.3">
      <c r="Q606" s="93">
        <v>46231</v>
      </c>
      <c r="R606" t="s">
        <v>492</v>
      </c>
      <c r="S606" t="s">
        <v>399</v>
      </c>
      <c r="T606" s="14">
        <v>10800</v>
      </c>
      <c r="W606" s="20">
        <v>45945</v>
      </c>
      <c r="X606" t="s">
        <v>274</v>
      </c>
      <c r="Y606" s="23">
        <v>6.0615384615384604</v>
      </c>
      <c r="Z606" s="23">
        <v>5.6</v>
      </c>
      <c r="AA606" s="23">
        <v>5.8307692307692296</v>
      </c>
      <c r="AD606" s="20">
        <v>46108</v>
      </c>
      <c r="AE606" t="s">
        <v>557</v>
      </c>
      <c r="AF606">
        <v>12319.036899017001</v>
      </c>
      <c r="AG606" s="84">
        <f>DATE(YEAR(His53_DataTT[[#This Row],[RptDate]]),MONTH(His53_DataTT[[#This Row],[RptDate]]),1)</f>
        <v>46082</v>
      </c>
      <c r="AO606" s="14"/>
    </row>
    <row r="607" spans="17:41" x14ac:dyDescent="0.3">
      <c r="Q607" s="93">
        <v>46231</v>
      </c>
      <c r="R607" t="s">
        <v>1438</v>
      </c>
      <c r="S607" t="s">
        <v>399</v>
      </c>
      <c r="T607" s="14">
        <v>575.53439163569999</v>
      </c>
      <c r="W607" s="20">
        <v>45945</v>
      </c>
      <c r="X607" t="s">
        <v>275</v>
      </c>
      <c r="Y607" s="23">
        <v>6.14230769230769</v>
      </c>
      <c r="Z607" s="23">
        <v>5.6730769230769198</v>
      </c>
      <c r="AA607" s="23">
        <v>5.9076923076923098</v>
      </c>
      <c r="AD607" s="20">
        <v>46111</v>
      </c>
      <c r="AE607" t="s">
        <v>479</v>
      </c>
      <c r="AF607">
        <v>4682.3963933200002</v>
      </c>
      <c r="AG607" s="84">
        <f>DATE(YEAR(His53_DataTT[[#This Row],[RptDate]]),MONTH(His53_DataTT[[#This Row],[RptDate]]),1)</f>
        <v>46082</v>
      </c>
      <c r="AO607" s="14"/>
    </row>
    <row r="608" spans="17:41" x14ac:dyDescent="0.3">
      <c r="Q608" s="93">
        <v>46231</v>
      </c>
      <c r="R608" t="s">
        <v>496</v>
      </c>
      <c r="S608" t="s">
        <v>399</v>
      </c>
      <c r="T608" s="14">
        <v>17945</v>
      </c>
      <c r="W608" s="20">
        <v>45945</v>
      </c>
      <c r="X608" t="s">
        <v>276</v>
      </c>
      <c r="Y608" s="23">
        <v>6.1846153846153902</v>
      </c>
      <c r="Z608" s="23">
        <v>5.7076923076923096</v>
      </c>
      <c r="AA608" s="23">
        <v>5.9461538461538499</v>
      </c>
      <c r="AD608" s="20">
        <v>46111</v>
      </c>
      <c r="AE608" t="s">
        <v>557</v>
      </c>
      <c r="AF608">
        <v>9053.7022888169995</v>
      </c>
      <c r="AG608" s="84">
        <f>DATE(YEAR(His53_DataTT[[#This Row],[RptDate]]),MONTH(His53_DataTT[[#This Row],[RptDate]]),1)</f>
        <v>46082</v>
      </c>
      <c r="AO608" s="14"/>
    </row>
    <row r="609" spans="17:41" x14ac:dyDescent="0.3">
      <c r="Q609" s="93">
        <v>46231</v>
      </c>
      <c r="R609" t="s">
        <v>497</v>
      </c>
      <c r="S609" t="s">
        <v>399</v>
      </c>
      <c r="T609" s="14">
        <v>397.61059999999998</v>
      </c>
      <c r="W609" s="20">
        <v>45945</v>
      </c>
      <c r="X609" t="s">
        <v>277</v>
      </c>
      <c r="Y609" s="23">
        <v>6.25</v>
      </c>
      <c r="Z609" s="23">
        <v>5.7653846153846198</v>
      </c>
      <c r="AA609" s="23">
        <v>6.0076923076923103</v>
      </c>
      <c r="AD609" s="20">
        <v>46112</v>
      </c>
      <c r="AE609" t="s">
        <v>479</v>
      </c>
      <c r="AF609">
        <v>3378.4391591019998</v>
      </c>
      <c r="AG609" s="84">
        <f>DATE(YEAR(His53_DataTT[[#This Row],[RptDate]]),MONTH(His53_DataTT[[#This Row],[RptDate]]),1)</f>
        <v>46082</v>
      </c>
      <c r="AO609" s="14"/>
    </row>
    <row r="610" spans="17:41" x14ac:dyDescent="0.3">
      <c r="Q610" s="93">
        <v>46231</v>
      </c>
      <c r="R610" t="s">
        <v>498</v>
      </c>
      <c r="S610" t="s">
        <v>399</v>
      </c>
      <c r="T610" s="14">
        <v>10800</v>
      </c>
      <c r="W610" s="20">
        <v>45945</v>
      </c>
      <c r="X610" t="s">
        <v>278</v>
      </c>
      <c r="Y610" s="23">
        <v>6.3</v>
      </c>
      <c r="Z610" s="23">
        <v>5.8192307692307699</v>
      </c>
      <c r="AA610" s="23">
        <v>6.0596153846153804</v>
      </c>
      <c r="AD610" s="20">
        <v>46112</v>
      </c>
      <c r="AE610" t="s">
        <v>557</v>
      </c>
      <c r="AF610">
        <v>3300.2298122759998</v>
      </c>
      <c r="AG610" s="84">
        <f>DATE(YEAR(His53_DataTT[[#This Row],[RptDate]]),MONTH(His53_DataTT[[#This Row],[RptDate]]),1)</f>
        <v>46082</v>
      </c>
      <c r="AO610" s="14"/>
    </row>
    <row r="611" spans="17:41" x14ac:dyDescent="0.3">
      <c r="Q611" s="93">
        <v>46231</v>
      </c>
      <c r="R611" t="s">
        <v>494</v>
      </c>
      <c r="S611" t="s">
        <v>399</v>
      </c>
      <c r="T611" s="14">
        <v>0</v>
      </c>
      <c r="W611" s="20">
        <v>45945</v>
      </c>
      <c r="X611" t="s">
        <v>279</v>
      </c>
      <c r="Y611" s="23">
        <v>6.3423076923076902</v>
      </c>
      <c r="Z611" s="23">
        <v>5.8615384615384603</v>
      </c>
      <c r="AA611" s="23">
        <v>6.1019230769230797</v>
      </c>
      <c r="AD611" s="20">
        <v>46113</v>
      </c>
      <c r="AE611" t="s">
        <v>479</v>
      </c>
      <c r="AF611">
        <v>1623.067298701</v>
      </c>
      <c r="AG611" s="84">
        <f>DATE(YEAR(His53_DataTT[[#This Row],[RptDate]]),MONTH(His53_DataTT[[#This Row],[RptDate]]),1)</f>
        <v>46113</v>
      </c>
      <c r="AO611" s="14"/>
    </row>
    <row r="612" spans="17:41" x14ac:dyDescent="0.3">
      <c r="Q612" s="93">
        <v>46231</v>
      </c>
      <c r="R612" t="s">
        <v>495</v>
      </c>
      <c r="S612" t="s">
        <v>399</v>
      </c>
      <c r="T612" s="14">
        <v>0</v>
      </c>
      <c r="W612" s="20">
        <v>45945</v>
      </c>
      <c r="X612" t="s">
        <v>280</v>
      </c>
      <c r="Y612" s="23">
        <v>6.4384615384615396</v>
      </c>
      <c r="Z612" s="23">
        <v>5.9538461538461496</v>
      </c>
      <c r="AA612" s="23">
        <v>6.1961538461538499</v>
      </c>
      <c r="AD612" s="20">
        <v>46113</v>
      </c>
      <c r="AE612" t="s">
        <v>557</v>
      </c>
      <c r="AF612">
        <v>1262.0126914750001</v>
      </c>
      <c r="AG612" s="84">
        <f>DATE(YEAR(His53_DataTT[[#This Row],[RptDate]]),MONTH(His53_DataTT[[#This Row],[RptDate]]),1)</f>
        <v>46113</v>
      </c>
      <c r="AO612" s="14"/>
    </row>
    <row r="613" spans="17:41" x14ac:dyDescent="0.3">
      <c r="Q613" s="93">
        <v>46231</v>
      </c>
      <c r="R613" t="s">
        <v>493</v>
      </c>
      <c r="S613" t="s">
        <v>399</v>
      </c>
      <c r="T613" s="14">
        <v>0</v>
      </c>
      <c r="W613" s="20">
        <v>45945</v>
      </c>
      <c r="X613" t="s">
        <v>281</v>
      </c>
      <c r="Y613" s="23">
        <v>6.48461538461539</v>
      </c>
      <c r="Z613" s="23">
        <v>6.0153846153846198</v>
      </c>
      <c r="AA613" s="23">
        <v>6.25</v>
      </c>
      <c r="AD613" s="20">
        <v>46114</v>
      </c>
      <c r="AE613" t="s">
        <v>479</v>
      </c>
      <c r="AF613">
        <v>1265.484881025</v>
      </c>
      <c r="AG613" s="84">
        <f>DATE(YEAR(His53_DataTT[[#This Row],[RptDate]]),MONTH(His53_DataTT[[#This Row],[RptDate]]),1)</f>
        <v>46113</v>
      </c>
      <c r="AO613" s="14"/>
    </row>
    <row r="614" spans="17:41" x14ac:dyDescent="0.3">
      <c r="Q614" s="93">
        <v>46231</v>
      </c>
      <c r="R614" t="s">
        <v>593</v>
      </c>
      <c r="S614" t="s">
        <v>399</v>
      </c>
      <c r="T614" s="14">
        <v>10705</v>
      </c>
      <c r="W614" s="20">
        <v>45940</v>
      </c>
      <c r="X614" t="s">
        <v>270</v>
      </c>
      <c r="Y614" s="23">
        <v>5.7750000000000004</v>
      </c>
      <c r="Z614" s="23">
        <v>5.375</v>
      </c>
      <c r="AA614" s="23">
        <v>5.5750000000000002</v>
      </c>
      <c r="AD614" s="20">
        <v>46114</v>
      </c>
      <c r="AE614" t="s">
        <v>557</v>
      </c>
      <c r="AF614">
        <v>9094.8234446019997</v>
      </c>
      <c r="AG614" s="84">
        <f>DATE(YEAR(His53_DataTT[[#This Row],[RptDate]]),MONTH(His53_DataTT[[#This Row],[RptDate]]),1)</f>
        <v>46113</v>
      </c>
      <c r="AO614" s="14"/>
    </row>
    <row r="615" spans="17:41" x14ac:dyDescent="0.3">
      <c r="Q615" s="93">
        <v>46231</v>
      </c>
      <c r="R615" t="s">
        <v>594</v>
      </c>
      <c r="S615" t="s">
        <v>399</v>
      </c>
      <c r="T615" s="14">
        <v>0</v>
      </c>
      <c r="W615" s="20">
        <v>45940</v>
      </c>
      <c r="X615" t="s">
        <v>271</v>
      </c>
      <c r="Y615" s="23">
        <v>5.94</v>
      </c>
      <c r="Z615" s="23">
        <v>5.44</v>
      </c>
      <c r="AA615" s="23">
        <v>5.69</v>
      </c>
      <c r="AD615" s="20">
        <v>46115</v>
      </c>
      <c r="AE615" t="s">
        <v>479</v>
      </c>
      <c r="AF615">
        <v>2390.3399931849999</v>
      </c>
      <c r="AG615" s="84">
        <f>DATE(YEAR(His53_DataTT[[#This Row],[RptDate]]),MONTH(His53_DataTT[[#This Row],[RptDate]]),1)</f>
        <v>46113</v>
      </c>
      <c r="AO615" s="14"/>
    </row>
    <row r="616" spans="17:41" x14ac:dyDescent="0.3">
      <c r="Q616" s="93">
        <v>46231</v>
      </c>
      <c r="R616" t="s">
        <v>595</v>
      </c>
      <c r="S616" t="s">
        <v>399</v>
      </c>
      <c r="T616" s="14">
        <v>0</v>
      </c>
      <c r="W616" s="20">
        <v>45940</v>
      </c>
      <c r="X616" t="s">
        <v>272</v>
      </c>
      <c r="Y616" s="23">
        <v>5.85</v>
      </c>
      <c r="Z616" s="23">
        <v>5.4115384615384601</v>
      </c>
      <c r="AA616" s="23">
        <v>5.6307692307692303</v>
      </c>
      <c r="AD616" s="20">
        <v>46115</v>
      </c>
      <c r="AE616" t="s">
        <v>557</v>
      </c>
      <c r="AF616">
        <v>11924.402018434999</v>
      </c>
      <c r="AG616" s="84">
        <f>DATE(YEAR(His53_DataTT[[#This Row],[RptDate]]),MONTH(His53_DataTT[[#This Row],[RptDate]]),1)</f>
        <v>46113</v>
      </c>
      <c r="AO616" s="14"/>
    </row>
    <row r="617" spans="17:41" x14ac:dyDescent="0.3">
      <c r="Q617" s="93">
        <v>46231</v>
      </c>
      <c r="R617" t="s">
        <v>1439</v>
      </c>
      <c r="S617" t="s">
        <v>399</v>
      </c>
      <c r="T617" s="14">
        <v>575.53439163569999</v>
      </c>
      <c r="W617" s="20">
        <v>45940</v>
      </c>
      <c r="X617" t="s">
        <v>273</v>
      </c>
      <c r="Y617" s="23">
        <v>5.9307692307692301</v>
      </c>
      <c r="Z617" s="23">
        <v>5.4692307692307702</v>
      </c>
      <c r="AA617" s="23">
        <v>5.7</v>
      </c>
      <c r="AD617" s="20">
        <v>46118</v>
      </c>
      <c r="AE617" t="s">
        <v>479</v>
      </c>
      <c r="AF617">
        <v>3702.1463436270001</v>
      </c>
      <c r="AG617" s="84">
        <f>DATE(YEAR(His53_DataTT[[#This Row],[RptDate]]),MONTH(His53_DataTT[[#This Row],[RptDate]]),1)</f>
        <v>46113</v>
      </c>
      <c r="AO617" s="14"/>
    </row>
    <row r="618" spans="17:41" x14ac:dyDescent="0.3">
      <c r="Q618" s="93">
        <v>46231</v>
      </c>
      <c r="R618" t="s">
        <v>479</v>
      </c>
      <c r="S618" t="s">
        <v>395</v>
      </c>
      <c r="T618" s="14">
        <v>10601.1984081431</v>
      </c>
      <c r="W618" s="20">
        <v>45940</v>
      </c>
      <c r="X618" t="s">
        <v>274</v>
      </c>
      <c r="Y618" s="23">
        <v>6</v>
      </c>
      <c r="Z618" s="23">
        <v>5.5461538461538504</v>
      </c>
      <c r="AA618" s="23">
        <v>5.7730769230769203</v>
      </c>
      <c r="AD618" s="20">
        <v>46118</v>
      </c>
      <c r="AE618" t="s">
        <v>557</v>
      </c>
      <c r="AF618">
        <v>1896.150389077</v>
      </c>
      <c r="AG618" s="84">
        <f>DATE(YEAR(His53_DataTT[[#This Row],[RptDate]]),MONTH(His53_DataTT[[#This Row],[RptDate]]),1)</f>
        <v>46113</v>
      </c>
      <c r="AO618" s="14"/>
    </row>
    <row r="619" spans="17:41" x14ac:dyDescent="0.3">
      <c r="Q619" s="93">
        <v>46231</v>
      </c>
      <c r="R619" t="s">
        <v>479</v>
      </c>
      <c r="S619" t="s">
        <v>415</v>
      </c>
      <c r="T619" s="14">
        <v>7.2773600185935496</v>
      </c>
      <c r="W619" s="20">
        <v>45940</v>
      </c>
      <c r="X619" t="s">
        <v>275</v>
      </c>
      <c r="Y619" s="23">
        <v>6.0653846153846196</v>
      </c>
      <c r="Z619" s="23">
        <v>5.6115384615384603</v>
      </c>
      <c r="AA619" s="23">
        <v>5.8384615384615399</v>
      </c>
      <c r="AD619" s="20">
        <v>46119</v>
      </c>
      <c r="AE619" t="s">
        <v>479</v>
      </c>
      <c r="AF619">
        <v>1041.2916558730001</v>
      </c>
      <c r="AG619" s="84">
        <f>DATE(YEAR(His53_DataTT[[#This Row],[RptDate]]),MONTH(His53_DataTT[[#This Row],[RptDate]]),1)</f>
        <v>46113</v>
      </c>
      <c r="AO619" s="14"/>
    </row>
    <row r="620" spans="17:41" x14ac:dyDescent="0.3">
      <c r="Q620" s="93">
        <v>46231</v>
      </c>
      <c r="R620" t="s">
        <v>364</v>
      </c>
      <c r="S620" t="s">
        <v>415</v>
      </c>
      <c r="T620" s="14">
        <v>6.8185847589424604</v>
      </c>
      <c r="W620" s="20">
        <v>45940</v>
      </c>
      <c r="X620" t="s">
        <v>276</v>
      </c>
      <c r="Y620" s="23">
        <v>6.1153846153846203</v>
      </c>
      <c r="Z620" s="23">
        <v>5.6538461538461604</v>
      </c>
      <c r="AA620" s="23">
        <v>5.8846153846153904</v>
      </c>
      <c r="AD620" s="20">
        <v>46119</v>
      </c>
      <c r="AE620" t="s">
        <v>557</v>
      </c>
      <c r="AF620">
        <v>2993.8525119330002</v>
      </c>
      <c r="AG620" s="84">
        <f>DATE(YEAR(His53_DataTT[[#This Row],[RptDate]]),MONTH(His53_DataTT[[#This Row],[RptDate]]),1)</f>
        <v>46113</v>
      </c>
      <c r="AO620" s="14"/>
    </row>
    <row r="621" spans="17:41" x14ac:dyDescent="0.3">
      <c r="Q621" s="93">
        <v>46231</v>
      </c>
      <c r="R621" t="s">
        <v>516</v>
      </c>
      <c r="S621" t="s">
        <v>415</v>
      </c>
      <c r="T621" s="14">
        <v>6.9591208600514101</v>
      </c>
      <c r="W621" s="20">
        <v>45940</v>
      </c>
      <c r="X621" t="s">
        <v>277</v>
      </c>
      <c r="Y621" s="23">
        <v>6.1961538461538499</v>
      </c>
      <c r="Z621" s="23">
        <v>5.7192307692307702</v>
      </c>
      <c r="AA621" s="23">
        <v>5.9576923076923096</v>
      </c>
      <c r="AD621" s="20">
        <v>46120</v>
      </c>
      <c r="AE621" t="s">
        <v>479</v>
      </c>
      <c r="AF621">
        <v>756.77625180799998</v>
      </c>
      <c r="AG621" s="84">
        <f>DATE(YEAR(His53_DataTT[[#This Row],[RptDate]]),MONTH(His53_DataTT[[#This Row],[RptDate]]),1)</f>
        <v>46113</v>
      </c>
      <c r="AO621" s="14"/>
    </row>
    <row r="622" spans="17:41" x14ac:dyDescent="0.3">
      <c r="Q622" s="93">
        <v>46231</v>
      </c>
      <c r="R622" t="s">
        <v>1288</v>
      </c>
      <c r="S622" t="s">
        <v>415</v>
      </c>
      <c r="T622" s="14">
        <v>7.2773600185935496</v>
      </c>
      <c r="W622" s="20">
        <v>45940</v>
      </c>
      <c r="X622" t="s">
        <v>278</v>
      </c>
      <c r="Y622" s="23">
        <v>6.2307692307692299</v>
      </c>
      <c r="Z622" s="23">
        <v>5.7576923076923103</v>
      </c>
      <c r="AA622" s="23">
        <v>5.9942307692307697</v>
      </c>
      <c r="AD622" s="20">
        <v>46120</v>
      </c>
      <c r="AE622" t="s">
        <v>557</v>
      </c>
      <c r="AF622">
        <v>2267.2508759369998</v>
      </c>
      <c r="AG622" s="84">
        <f>DATE(YEAR(His53_DataTT[[#This Row],[RptDate]]),MONTH(His53_DataTT[[#This Row],[RptDate]]),1)</f>
        <v>46113</v>
      </c>
      <c r="AO622" s="14"/>
    </row>
    <row r="623" spans="17:41" x14ac:dyDescent="0.3">
      <c r="Q623" s="93">
        <v>46231</v>
      </c>
      <c r="R623" t="s">
        <v>496</v>
      </c>
      <c r="S623" t="s">
        <v>415</v>
      </c>
      <c r="T623" s="14">
        <v>6.6531965493121898</v>
      </c>
      <c r="W623" s="20">
        <v>45940</v>
      </c>
      <c r="X623" t="s">
        <v>279</v>
      </c>
      <c r="Y623" s="23">
        <v>6.2653846153846198</v>
      </c>
      <c r="Z623" s="23">
        <v>5.7923076923076904</v>
      </c>
      <c r="AA623" s="23">
        <v>6.0288461538461497</v>
      </c>
      <c r="AD623" s="20">
        <v>46121</v>
      </c>
      <c r="AE623" t="s">
        <v>479</v>
      </c>
      <c r="AF623">
        <v>1637.9598333399999</v>
      </c>
      <c r="AG623" s="84">
        <f>DATE(YEAR(His53_DataTT[[#This Row],[RptDate]]),MONTH(His53_DataTT[[#This Row],[RptDate]]),1)</f>
        <v>46113</v>
      </c>
      <c r="AO623" s="14"/>
    </row>
    <row r="624" spans="17:41" x14ac:dyDescent="0.3">
      <c r="Q624" s="93">
        <v>46231</v>
      </c>
      <c r="R624" t="s">
        <v>1290</v>
      </c>
      <c r="S624" t="s">
        <v>415</v>
      </c>
      <c r="T624" s="14">
        <v>6.9018211516751196</v>
      </c>
      <c r="W624" s="20">
        <v>45940</v>
      </c>
      <c r="X624" t="s">
        <v>280</v>
      </c>
      <c r="Y624" s="23">
        <v>6.3615384615384603</v>
      </c>
      <c r="Z624" s="23">
        <v>5.8846153846153904</v>
      </c>
      <c r="AA624" s="23">
        <v>6.12307692307692</v>
      </c>
      <c r="AD624" s="20">
        <v>46121</v>
      </c>
      <c r="AE624" t="s">
        <v>557</v>
      </c>
      <c r="AF624">
        <v>2009.7612099139999</v>
      </c>
      <c r="AG624" s="84">
        <f>DATE(YEAR(His53_DataTT[[#This Row],[RptDate]]),MONTH(His53_DataTT[[#This Row],[RptDate]]),1)</f>
        <v>46113</v>
      </c>
      <c r="AO624" s="14"/>
    </row>
    <row r="625" spans="17:41" x14ac:dyDescent="0.3">
      <c r="Q625" s="93">
        <v>46231</v>
      </c>
      <c r="R625" t="s">
        <v>364</v>
      </c>
      <c r="S625" t="s">
        <v>997</v>
      </c>
      <c r="T625" s="14">
        <v>32150</v>
      </c>
      <c r="W625" s="20">
        <v>45940</v>
      </c>
      <c r="X625" t="s">
        <v>281</v>
      </c>
      <c r="Y625" s="23">
        <v>6.4153846153846201</v>
      </c>
      <c r="Z625" s="23">
        <v>5.9615384615384599</v>
      </c>
      <c r="AA625" s="23">
        <v>6.1884615384615396</v>
      </c>
      <c r="AD625" s="20">
        <v>46122</v>
      </c>
      <c r="AE625" t="s">
        <v>479</v>
      </c>
      <c r="AF625">
        <v>920.94708507400003</v>
      </c>
      <c r="AG625" s="84">
        <f>DATE(YEAR(His53_DataTT[[#This Row],[RptDate]]),MONTH(His53_DataTT[[#This Row],[RptDate]]),1)</f>
        <v>46113</v>
      </c>
      <c r="AO625" s="14"/>
    </row>
    <row r="626" spans="17:41" x14ac:dyDescent="0.3">
      <c r="Q626" s="93">
        <v>46231</v>
      </c>
      <c r="R626" t="s">
        <v>496</v>
      </c>
      <c r="S626" t="s">
        <v>997</v>
      </c>
      <c r="T626" s="14">
        <v>21445</v>
      </c>
      <c r="W626" s="20">
        <v>45947</v>
      </c>
      <c r="X626" t="s">
        <v>270</v>
      </c>
      <c r="Y626" s="23">
        <v>5.8833333333333302</v>
      </c>
      <c r="Z626" s="23">
        <v>5.45</v>
      </c>
      <c r="AA626" s="23">
        <v>5.6666666666666696</v>
      </c>
      <c r="AD626" s="20">
        <v>46122</v>
      </c>
      <c r="AE626" t="s">
        <v>557</v>
      </c>
      <c r="AF626">
        <v>1315.1282944940001</v>
      </c>
      <c r="AG626" s="84">
        <f>DATE(YEAR(His53_DataTT[[#This Row],[RptDate]]),MONTH(His53_DataTT[[#This Row],[RptDate]]),1)</f>
        <v>46113</v>
      </c>
      <c r="AO626" s="14"/>
    </row>
    <row r="627" spans="17:41" x14ac:dyDescent="0.3">
      <c r="Q627" s="93">
        <v>46231</v>
      </c>
      <c r="R627" t="s">
        <v>1388</v>
      </c>
      <c r="S627" t="s">
        <v>997</v>
      </c>
      <c r="T627" s="14">
        <v>14197.6106</v>
      </c>
      <c r="W627" s="20">
        <v>45947</v>
      </c>
      <c r="X627" t="s">
        <v>271</v>
      </c>
      <c r="Y627" s="23">
        <v>6.05</v>
      </c>
      <c r="Z627" s="23">
        <v>5.5750000000000002</v>
      </c>
      <c r="AA627" s="23">
        <v>5.8125</v>
      </c>
      <c r="AD627" s="20">
        <v>46125</v>
      </c>
      <c r="AE627" t="s">
        <v>479</v>
      </c>
      <c r="AF627">
        <v>2049.3757301229998</v>
      </c>
      <c r="AG627" s="84">
        <f>DATE(YEAR(His53_DataTT[[#This Row],[RptDate]]),MONTH(His53_DataTT[[#This Row],[RptDate]]),1)</f>
        <v>46113</v>
      </c>
      <c r="AO627" s="14"/>
    </row>
    <row r="628" spans="17:41" x14ac:dyDescent="0.3">
      <c r="Q628" s="93">
        <v>46231</v>
      </c>
      <c r="R628" t="s">
        <v>1389</v>
      </c>
      <c r="S628" t="s">
        <v>997</v>
      </c>
      <c r="T628" s="14">
        <v>13800</v>
      </c>
      <c r="W628" s="20">
        <v>45947</v>
      </c>
      <c r="X628" t="s">
        <v>272</v>
      </c>
      <c r="Y628" s="23">
        <v>5.9730769230769196</v>
      </c>
      <c r="Z628" s="23">
        <v>5.5423076923076904</v>
      </c>
      <c r="AA628" s="23">
        <v>5.7576923076923103</v>
      </c>
      <c r="AD628" s="20">
        <v>46125</v>
      </c>
      <c r="AE628" t="s">
        <v>557</v>
      </c>
      <c r="AF628">
        <v>4171.3871503990003</v>
      </c>
      <c r="AG628" s="84">
        <f>DATE(YEAR(His53_DataTT[[#This Row],[RptDate]]),MONTH(His53_DataTT[[#This Row],[RptDate]]),1)</f>
        <v>46113</v>
      </c>
      <c r="AO628" s="14"/>
    </row>
    <row r="629" spans="17:41" x14ac:dyDescent="0.3">
      <c r="Q629" s="93">
        <v>46231</v>
      </c>
      <c r="R629" t="s">
        <v>1390</v>
      </c>
      <c r="S629" t="s">
        <v>997</v>
      </c>
      <c r="T629" s="14">
        <v>397.61059999999998</v>
      </c>
      <c r="W629" s="20">
        <v>45947</v>
      </c>
      <c r="X629" t="s">
        <v>273</v>
      </c>
      <c r="Y629" s="23">
        <v>6.0615384615384604</v>
      </c>
      <c r="Z629" s="23">
        <v>5.5923076923076902</v>
      </c>
      <c r="AA629" s="23">
        <v>5.8269230769230802</v>
      </c>
      <c r="AD629" s="20">
        <v>46126</v>
      </c>
      <c r="AE629" t="s">
        <v>479</v>
      </c>
      <c r="AF629">
        <v>798.03009935800003</v>
      </c>
      <c r="AG629" s="84">
        <f>DATE(YEAR(His53_DataTT[[#This Row],[RptDate]]),MONTH(His53_DataTT[[#This Row],[RptDate]]),1)</f>
        <v>46113</v>
      </c>
      <c r="AO629" s="14"/>
    </row>
    <row r="630" spans="17:41" x14ac:dyDescent="0.3">
      <c r="Q630" s="93">
        <v>46231</v>
      </c>
      <c r="R630" t="s">
        <v>303</v>
      </c>
      <c r="S630" t="s">
        <v>303</v>
      </c>
      <c r="T630" s="14">
        <v>0</v>
      </c>
      <c r="W630" s="20">
        <v>45947</v>
      </c>
      <c r="X630" t="s">
        <v>274</v>
      </c>
      <c r="Y630" s="23">
        <v>6.1538461538461497</v>
      </c>
      <c r="Z630" s="23">
        <v>5.7153846153846199</v>
      </c>
      <c r="AA630" s="23">
        <v>5.9346153846153804</v>
      </c>
      <c r="AD630" s="20">
        <v>46126</v>
      </c>
      <c r="AE630" t="s">
        <v>557</v>
      </c>
      <c r="AF630">
        <v>1836.548197049</v>
      </c>
      <c r="AG630" s="84">
        <f>DATE(YEAR(His53_DataTT[[#This Row],[RptDate]]),MONTH(His53_DataTT[[#This Row],[RptDate]]),1)</f>
        <v>46113</v>
      </c>
      <c r="AO630" s="14"/>
    </row>
    <row r="631" spans="17:41" x14ac:dyDescent="0.3">
      <c r="Q631" s="93">
        <v>46231</v>
      </c>
      <c r="R631" t="s">
        <v>303</v>
      </c>
      <c r="S631" t="s">
        <v>303</v>
      </c>
      <c r="T631" s="14">
        <v>0</v>
      </c>
      <c r="W631" s="20">
        <v>45947</v>
      </c>
      <c r="X631" t="s">
        <v>275</v>
      </c>
      <c r="Y631" s="23">
        <v>6.2192307692307702</v>
      </c>
      <c r="Z631" s="23">
        <v>5.7807692307692298</v>
      </c>
      <c r="AA631" s="23">
        <v>6</v>
      </c>
      <c r="AD631" s="20">
        <v>46127</v>
      </c>
      <c r="AE631" t="s">
        <v>479</v>
      </c>
      <c r="AF631">
        <v>4472.7527160179998</v>
      </c>
      <c r="AG631" s="84">
        <f>DATE(YEAR(His53_DataTT[[#This Row],[RptDate]]),MONTH(His53_DataTT[[#This Row],[RptDate]]),1)</f>
        <v>46113</v>
      </c>
      <c r="AO631" s="14"/>
    </row>
    <row r="632" spans="17:41" x14ac:dyDescent="0.3">
      <c r="Q632" s="93">
        <v>46231</v>
      </c>
      <c r="R632" t="s">
        <v>303</v>
      </c>
      <c r="S632" t="s">
        <v>303</v>
      </c>
      <c r="T632" s="14">
        <v>0</v>
      </c>
      <c r="W632" s="20">
        <v>45947</v>
      </c>
      <c r="X632" t="s">
        <v>276</v>
      </c>
      <c r="Y632" s="23">
        <v>6.2615384615384597</v>
      </c>
      <c r="Z632" s="23">
        <v>5.8153846153846196</v>
      </c>
      <c r="AA632" s="23">
        <v>6.0384615384615401</v>
      </c>
      <c r="AD632" s="20">
        <v>46127</v>
      </c>
      <c r="AE632" t="s">
        <v>557</v>
      </c>
      <c r="AF632">
        <v>2495.0820937140002</v>
      </c>
      <c r="AG632" s="84">
        <f>DATE(YEAR(His53_DataTT[[#This Row],[RptDate]]),MONTH(His53_DataTT[[#This Row],[RptDate]]),1)</f>
        <v>46113</v>
      </c>
      <c r="AO632" s="14"/>
    </row>
    <row r="633" spans="17:41" x14ac:dyDescent="0.3">
      <c r="Q633" s="93">
        <v>46231</v>
      </c>
      <c r="R633" t="s">
        <v>303</v>
      </c>
      <c r="S633" t="s">
        <v>303</v>
      </c>
      <c r="T633" s="14">
        <v>0</v>
      </c>
      <c r="W633" s="20">
        <v>45947</v>
      </c>
      <c r="X633" t="s">
        <v>277</v>
      </c>
      <c r="Y633" s="23">
        <v>6.3038461538461501</v>
      </c>
      <c r="Z633" s="23">
        <v>5.85</v>
      </c>
      <c r="AA633" s="23">
        <v>6.0769230769230802</v>
      </c>
      <c r="AD633" s="20">
        <v>46128</v>
      </c>
      <c r="AE633" t="s">
        <v>479</v>
      </c>
      <c r="AF633">
        <v>5222.9399462840001</v>
      </c>
      <c r="AG633" s="84">
        <f>DATE(YEAR(His53_DataTT[[#This Row],[RptDate]]),MONTH(His53_DataTT[[#This Row],[RptDate]]),1)</f>
        <v>46113</v>
      </c>
      <c r="AO633" s="14"/>
    </row>
    <row r="634" spans="17:41" x14ac:dyDescent="0.3">
      <c r="Q634" s="93">
        <v>46231</v>
      </c>
      <c r="R634" t="s">
        <v>303</v>
      </c>
      <c r="S634" t="s">
        <v>303</v>
      </c>
      <c r="T634" s="14">
        <v>0</v>
      </c>
      <c r="W634" s="20">
        <v>45947</v>
      </c>
      <c r="X634" t="s">
        <v>278</v>
      </c>
      <c r="Y634" s="23">
        <v>6.3461538461538503</v>
      </c>
      <c r="Z634" s="23">
        <v>5.8961538461538501</v>
      </c>
      <c r="AA634" s="23">
        <v>6.1211538461538497</v>
      </c>
      <c r="AD634" s="20">
        <v>46128</v>
      </c>
      <c r="AE634" t="s">
        <v>557</v>
      </c>
      <c r="AF634">
        <v>1783.251147144</v>
      </c>
      <c r="AG634" s="84">
        <f>DATE(YEAR(His53_DataTT[[#This Row],[RptDate]]),MONTH(His53_DataTT[[#This Row],[RptDate]]),1)</f>
        <v>46113</v>
      </c>
      <c r="AO634" s="14"/>
    </row>
    <row r="635" spans="17:41" x14ac:dyDescent="0.3">
      <c r="Q635" s="93">
        <v>46230</v>
      </c>
      <c r="R635" t="s">
        <v>479</v>
      </c>
      <c r="S635" t="s">
        <v>399</v>
      </c>
      <c r="T635" s="14">
        <v>11772.9438718116</v>
      </c>
      <c r="W635" s="20">
        <v>45947</v>
      </c>
      <c r="X635" t="s">
        <v>279</v>
      </c>
      <c r="Y635" s="23">
        <v>6.3961538461538501</v>
      </c>
      <c r="Z635" s="23">
        <v>5.9384615384615396</v>
      </c>
      <c r="AA635" s="23">
        <v>6.1673076923076904</v>
      </c>
      <c r="AD635" s="20">
        <v>46129</v>
      </c>
      <c r="AE635" t="s">
        <v>479</v>
      </c>
      <c r="AF635">
        <v>3467.329360879</v>
      </c>
      <c r="AG635" s="84">
        <f>DATE(YEAR(His53_DataTT[[#This Row],[RptDate]]),MONTH(His53_DataTT[[#This Row],[RptDate]]),1)</f>
        <v>46113</v>
      </c>
      <c r="AO635" s="14"/>
    </row>
    <row r="636" spans="17:41" x14ac:dyDescent="0.3">
      <c r="Q636" s="93">
        <v>46230</v>
      </c>
      <c r="R636" t="s">
        <v>364</v>
      </c>
      <c r="S636" t="s">
        <v>399</v>
      </c>
      <c r="T636" s="14">
        <v>28650</v>
      </c>
      <c r="W636" s="20">
        <v>45947</v>
      </c>
      <c r="X636" t="s">
        <v>280</v>
      </c>
      <c r="Y636" s="23">
        <v>6.4769230769230797</v>
      </c>
      <c r="Z636" s="23">
        <v>6.0153846153846198</v>
      </c>
      <c r="AA636" s="23">
        <v>6.2461538461538497</v>
      </c>
      <c r="AD636" s="20">
        <v>46129</v>
      </c>
      <c r="AE636" t="s">
        <v>557</v>
      </c>
      <c r="AF636">
        <v>1748.606495193</v>
      </c>
      <c r="AG636" s="84">
        <f>DATE(YEAR(His53_DataTT[[#This Row],[RptDate]]),MONTH(His53_DataTT[[#This Row],[RptDate]]),1)</f>
        <v>46113</v>
      </c>
      <c r="AO636" s="14"/>
    </row>
    <row r="637" spans="17:41" x14ac:dyDescent="0.3">
      <c r="Q637" s="93">
        <v>46230</v>
      </c>
      <c r="R637" t="s">
        <v>491</v>
      </c>
      <c r="S637" t="s">
        <v>399</v>
      </c>
      <c r="T637" s="14">
        <v>397.61059999999998</v>
      </c>
      <c r="W637" s="20">
        <v>45947</v>
      </c>
      <c r="X637" t="s">
        <v>281</v>
      </c>
      <c r="Y637" s="23">
        <v>6.5307692307692298</v>
      </c>
      <c r="Z637" s="23">
        <v>6.0846153846153896</v>
      </c>
      <c r="AA637" s="23">
        <v>6.3076923076923102</v>
      </c>
      <c r="AD637" s="20">
        <v>46132</v>
      </c>
      <c r="AE637" t="s">
        <v>479</v>
      </c>
      <c r="AF637">
        <v>92.662642589000001</v>
      </c>
      <c r="AG637" s="84">
        <f>DATE(YEAR(His53_DataTT[[#This Row],[RptDate]]),MONTH(His53_DataTT[[#This Row],[RptDate]]),1)</f>
        <v>46113</v>
      </c>
      <c r="AO637" s="14"/>
    </row>
    <row r="638" spans="17:41" x14ac:dyDescent="0.3">
      <c r="Q638" s="93">
        <v>46230</v>
      </c>
      <c r="R638" t="s">
        <v>492</v>
      </c>
      <c r="S638" t="s">
        <v>399</v>
      </c>
      <c r="T638" s="14">
        <v>10800</v>
      </c>
      <c r="W638" s="20">
        <v>45946</v>
      </c>
      <c r="X638" t="s">
        <v>270</v>
      </c>
      <c r="Y638" s="23">
        <v>5.8666666666666698</v>
      </c>
      <c r="Z638" s="23">
        <v>5.4166666666666696</v>
      </c>
      <c r="AA638" s="23">
        <v>5.6416666666666702</v>
      </c>
      <c r="AD638" s="20">
        <v>46132</v>
      </c>
      <c r="AE638" t="s">
        <v>557</v>
      </c>
      <c r="AF638">
        <v>2796.552654519</v>
      </c>
      <c r="AG638" s="84">
        <f>DATE(YEAR(His53_DataTT[[#This Row],[RptDate]]),MONTH(His53_DataTT[[#This Row],[RptDate]]),1)</f>
        <v>46113</v>
      </c>
      <c r="AO638" s="14"/>
    </row>
    <row r="639" spans="17:41" x14ac:dyDescent="0.3">
      <c r="Q639" s="93">
        <v>46230</v>
      </c>
      <c r="R639" t="s">
        <v>1438</v>
      </c>
      <c r="S639" t="s">
        <v>399</v>
      </c>
      <c r="T639" s="14">
        <v>575.33327181161997</v>
      </c>
      <c r="W639" s="20">
        <v>45946</v>
      </c>
      <c r="X639" t="s">
        <v>271</v>
      </c>
      <c r="Y639" s="23">
        <v>6.0750000000000002</v>
      </c>
      <c r="Z639" s="23">
        <v>5.6</v>
      </c>
      <c r="AA639" s="23">
        <v>5.8375000000000004</v>
      </c>
      <c r="AD639" s="20">
        <v>46133</v>
      </c>
      <c r="AE639" t="s">
        <v>479</v>
      </c>
      <c r="AF639">
        <v>395.87866088499999</v>
      </c>
      <c r="AG639" s="84">
        <f>DATE(YEAR(His53_DataTT[[#This Row],[RptDate]]),MONTH(His53_DataTT[[#This Row],[RptDate]]),1)</f>
        <v>46113</v>
      </c>
      <c r="AO639" s="14"/>
    </row>
    <row r="640" spans="17:41" x14ac:dyDescent="0.3">
      <c r="Q640" s="93">
        <v>46230</v>
      </c>
      <c r="R640" t="s">
        <v>496</v>
      </c>
      <c r="S640" t="s">
        <v>399</v>
      </c>
      <c r="T640" s="14">
        <v>19345</v>
      </c>
      <c r="W640" s="20">
        <v>45946</v>
      </c>
      <c r="X640" t="s">
        <v>272</v>
      </c>
      <c r="Y640" s="23">
        <v>5.9576923076923096</v>
      </c>
      <c r="Z640" s="23">
        <v>5.5269230769230804</v>
      </c>
      <c r="AA640" s="23">
        <v>5.7423076923076897</v>
      </c>
      <c r="AD640" s="20">
        <v>46133</v>
      </c>
      <c r="AE640" t="s">
        <v>557</v>
      </c>
      <c r="AF640">
        <v>2676.411096585</v>
      </c>
      <c r="AG640" s="84">
        <f>DATE(YEAR(His53_DataTT[[#This Row],[RptDate]]),MONTH(His53_DataTT[[#This Row],[RptDate]]),1)</f>
        <v>46113</v>
      </c>
      <c r="AO640" s="14"/>
    </row>
    <row r="641" spans="17:41" x14ac:dyDescent="0.3">
      <c r="Q641" s="93">
        <v>46230</v>
      </c>
      <c r="R641" t="s">
        <v>497</v>
      </c>
      <c r="S641" t="s">
        <v>399</v>
      </c>
      <c r="T641" s="14">
        <v>397.61059999999998</v>
      </c>
      <c r="W641" s="20">
        <v>45946</v>
      </c>
      <c r="X641" t="s">
        <v>273</v>
      </c>
      <c r="Y641" s="23">
        <v>6.0461538461538504</v>
      </c>
      <c r="Z641" s="23">
        <v>5.5769230769230802</v>
      </c>
      <c r="AA641" s="23">
        <v>5.8115384615384604</v>
      </c>
      <c r="AD641" s="20">
        <v>46134</v>
      </c>
      <c r="AE641" t="s">
        <v>479</v>
      </c>
      <c r="AF641">
        <v>98.698423278000007</v>
      </c>
      <c r="AG641" s="84">
        <f>DATE(YEAR(His53_DataTT[[#This Row],[RptDate]]),MONTH(His53_DataTT[[#This Row],[RptDate]]),1)</f>
        <v>46113</v>
      </c>
      <c r="AO641" s="14"/>
    </row>
    <row r="642" spans="17:41" x14ac:dyDescent="0.3">
      <c r="Q642" s="93">
        <v>46230</v>
      </c>
      <c r="R642" t="s">
        <v>498</v>
      </c>
      <c r="S642" t="s">
        <v>399</v>
      </c>
      <c r="T642" s="14">
        <v>10800</v>
      </c>
      <c r="W642" s="20">
        <v>45946</v>
      </c>
      <c r="X642" t="s">
        <v>274</v>
      </c>
      <c r="Y642" s="23">
        <v>6.10769230769231</v>
      </c>
      <c r="Z642" s="23">
        <v>5.6461538461538501</v>
      </c>
      <c r="AA642" s="23">
        <v>5.87692307692308</v>
      </c>
      <c r="AD642" s="20">
        <v>46134</v>
      </c>
      <c r="AE642" t="s">
        <v>557</v>
      </c>
      <c r="AF642">
        <v>3442.2052408869999</v>
      </c>
      <c r="AG642" s="84">
        <f>DATE(YEAR(His53_DataTT[[#This Row],[RptDate]]),MONTH(His53_DataTT[[#This Row],[RptDate]]),1)</f>
        <v>46113</v>
      </c>
      <c r="AO642" s="14"/>
    </row>
    <row r="643" spans="17:41" x14ac:dyDescent="0.3">
      <c r="Q643" s="93">
        <v>46230</v>
      </c>
      <c r="R643" t="s">
        <v>494</v>
      </c>
      <c r="S643" t="s">
        <v>399</v>
      </c>
      <c r="T643" s="14">
        <v>0</v>
      </c>
      <c r="W643" s="20">
        <v>45946</v>
      </c>
      <c r="X643" t="s">
        <v>275</v>
      </c>
      <c r="Y643" s="23">
        <v>6.1807692307692301</v>
      </c>
      <c r="Z643" s="23">
        <v>5.7192307692307702</v>
      </c>
      <c r="AA643" s="23">
        <v>5.95</v>
      </c>
      <c r="AD643" s="20">
        <v>46135</v>
      </c>
      <c r="AE643" t="s">
        <v>479</v>
      </c>
      <c r="AF643">
        <v>5660.1890796309999</v>
      </c>
      <c r="AG643" s="84">
        <f>DATE(YEAR(His53_DataTT[[#This Row],[RptDate]]),MONTH(His53_DataTT[[#This Row],[RptDate]]),1)</f>
        <v>46113</v>
      </c>
      <c r="AO643" s="14"/>
    </row>
    <row r="644" spans="17:41" x14ac:dyDescent="0.3">
      <c r="Q644" s="93">
        <v>46230</v>
      </c>
      <c r="R644" t="s">
        <v>495</v>
      </c>
      <c r="S644" t="s">
        <v>399</v>
      </c>
      <c r="T644" s="14">
        <v>0</v>
      </c>
      <c r="W644" s="20">
        <v>45946</v>
      </c>
      <c r="X644" t="s">
        <v>276</v>
      </c>
      <c r="Y644" s="23">
        <v>6.2230769230769196</v>
      </c>
      <c r="Z644" s="23">
        <v>5.75384615384616</v>
      </c>
      <c r="AA644" s="23">
        <v>5.9884615384615403</v>
      </c>
      <c r="AD644" s="20">
        <v>46135</v>
      </c>
      <c r="AE644" t="s">
        <v>557</v>
      </c>
      <c r="AF644">
        <v>3496.5933264559999</v>
      </c>
      <c r="AG644" s="84">
        <f>DATE(YEAR(His53_DataTT[[#This Row],[RptDate]]),MONTH(His53_DataTT[[#This Row],[RptDate]]),1)</f>
        <v>46113</v>
      </c>
      <c r="AO644" s="14"/>
    </row>
    <row r="645" spans="17:41" x14ac:dyDescent="0.3">
      <c r="Q645" s="93">
        <v>46230</v>
      </c>
      <c r="R645" t="s">
        <v>493</v>
      </c>
      <c r="S645" t="s">
        <v>399</v>
      </c>
      <c r="T645" s="14">
        <v>0</v>
      </c>
      <c r="W645" s="20">
        <v>45946</v>
      </c>
      <c r="X645" t="s">
        <v>277</v>
      </c>
      <c r="Y645" s="23">
        <v>6.2807692307692298</v>
      </c>
      <c r="Z645" s="23">
        <v>5.8038461538461501</v>
      </c>
      <c r="AA645" s="23">
        <v>6.0423076923076904</v>
      </c>
      <c r="AD645" s="20">
        <v>46136</v>
      </c>
      <c r="AE645" t="s">
        <v>479</v>
      </c>
      <c r="AF645">
        <v>8485.3009708230002</v>
      </c>
      <c r="AG645" s="84">
        <f>DATE(YEAR(His53_DataTT[[#This Row],[RptDate]]),MONTH(His53_DataTT[[#This Row],[RptDate]]),1)</f>
        <v>46113</v>
      </c>
      <c r="AO645" s="14"/>
    </row>
    <row r="646" spans="17:41" x14ac:dyDescent="0.3">
      <c r="Q646" s="93">
        <v>46230</v>
      </c>
      <c r="R646" t="s">
        <v>593</v>
      </c>
      <c r="S646" t="s">
        <v>399</v>
      </c>
      <c r="T646" s="14">
        <v>9305</v>
      </c>
      <c r="W646" s="20">
        <v>45946</v>
      </c>
      <c r="X646" t="s">
        <v>278</v>
      </c>
      <c r="Y646" s="23">
        <v>6.3307692307692296</v>
      </c>
      <c r="Z646" s="23">
        <v>5.85769230769231</v>
      </c>
      <c r="AA646" s="23">
        <v>6.0942307692307702</v>
      </c>
      <c r="AD646" s="20">
        <v>46136</v>
      </c>
      <c r="AE646" t="s">
        <v>557</v>
      </c>
      <c r="AF646">
        <v>4474.6943098940001</v>
      </c>
      <c r="AG646" s="84">
        <f>DATE(YEAR(His53_DataTT[[#This Row],[RptDate]]),MONTH(His53_DataTT[[#This Row],[RptDate]]),1)</f>
        <v>46113</v>
      </c>
      <c r="AO646" s="14"/>
    </row>
    <row r="647" spans="17:41" x14ac:dyDescent="0.3">
      <c r="Q647" s="93">
        <v>46230</v>
      </c>
      <c r="R647" t="s">
        <v>594</v>
      </c>
      <c r="S647" t="s">
        <v>399</v>
      </c>
      <c r="T647" s="14">
        <v>0</v>
      </c>
      <c r="W647" s="20">
        <v>45946</v>
      </c>
      <c r="X647" t="s">
        <v>279</v>
      </c>
      <c r="Y647" s="23">
        <v>6.3884615384615397</v>
      </c>
      <c r="Z647" s="23">
        <v>5.9076923076923098</v>
      </c>
      <c r="AA647" s="23">
        <v>6.1480769230769203</v>
      </c>
      <c r="AD647" s="20">
        <v>46140</v>
      </c>
      <c r="AE647" t="s">
        <v>479</v>
      </c>
      <c r="AF647">
        <v>3105.8013306500002</v>
      </c>
      <c r="AG647" s="84">
        <f>DATE(YEAR(His53_DataTT[[#This Row],[RptDate]]),MONTH(His53_DataTT[[#This Row],[RptDate]]),1)</f>
        <v>46113</v>
      </c>
      <c r="AO647" s="14"/>
    </row>
    <row r="648" spans="17:41" x14ac:dyDescent="0.3">
      <c r="Q648" s="93">
        <v>46230</v>
      </c>
      <c r="R648" t="s">
        <v>595</v>
      </c>
      <c r="S648" t="s">
        <v>399</v>
      </c>
      <c r="T648" s="14">
        <v>0</v>
      </c>
      <c r="W648" s="20">
        <v>45946</v>
      </c>
      <c r="X648" t="s">
        <v>280</v>
      </c>
      <c r="Y648" s="23">
        <v>6.4769230769230797</v>
      </c>
      <c r="Z648" s="23">
        <v>5.9923076923076897</v>
      </c>
      <c r="AA648" s="23">
        <v>6.2346153846153802</v>
      </c>
      <c r="AD648" s="20">
        <v>46140</v>
      </c>
      <c r="AE648" t="s">
        <v>557</v>
      </c>
      <c r="AF648">
        <v>5710.8053789300002</v>
      </c>
      <c r="AG648" s="84">
        <f>DATE(YEAR(His53_DataTT[[#This Row],[RptDate]]),MONTH(His53_DataTT[[#This Row],[RptDate]]),1)</f>
        <v>46113</v>
      </c>
      <c r="AO648" s="14"/>
    </row>
    <row r="649" spans="17:41" x14ac:dyDescent="0.3">
      <c r="Q649" s="93">
        <v>46230</v>
      </c>
      <c r="R649" t="s">
        <v>1439</v>
      </c>
      <c r="S649" t="s">
        <v>399</v>
      </c>
      <c r="T649" s="14">
        <v>575.33327181161997</v>
      </c>
      <c r="W649" s="20">
        <v>45946</v>
      </c>
      <c r="X649" t="s">
        <v>281</v>
      </c>
      <c r="Y649" s="23">
        <v>6.5307692307692298</v>
      </c>
      <c r="Z649" s="23">
        <v>6.0615384615384604</v>
      </c>
      <c r="AA649" s="23">
        <v>6.2961538461538504</v>
      </c>
      <c r="AD649" s="20">
        <v>46141</v>
      </c>
      <c r="AE649" t="s">
        <v>479</v>
      </c>
      <c r="AF649">
        <v>3154.135110141</v>
      </c>
      <c r="AG649" s="84">
        <f>DATE(YEAR(His53_DataTT[[#This Row],[RptDate]]),MONTH(His53_DataTT[[#This Row],[RptDate]]),1)</f>
        <v>46113</v>
      </c>
      <c r="AO649" s="14"/>
    </row>
    <row r="650" spans="17:41" x14ac:dyDescent="0.3">
      <c r="Q650" s="93">
        <v>46230</v>
      </c>
      <c r="R650" t="s">
        <v>479</v>
      </c>
      <c r="S650" t="s">
        <v>395</v>
      </c>
      <c r="T650" s="14">
        <v>10593.6257139791</v>
      </c>
      <c r="W650" s="20">
        <v>45951</v>
      </c>
      <c r="X650" t="s">
        <v>270</v>
      </c>
      <c r="Y650" s="23">
        <v>5.8833333333333302</v>
      </c>
      <c r="Z650" s="23">
        <v>5.45</v>
      </c>
      <c r="AA650" s="23">
        <v>5.6666666666666696</v>
      </c>
      <c r="AD650" s="20">
        <v>46141</v>
      </c>
      <c r="AE650" t="s">
        <v>557</v>
      </c>
      <c r="AF650">
        <v>12273.465386929</v>
      </c>
      <c r="AG650" s="84">
        <f>DATE(YEAR(His53_DataTT[[#This Row],[RptDate]]),MONTH(His53_DataTT[[#This Row],[RptDate]]),1)</f>
        <v>46113</v>
      </c>
      <c r="AO650" s="14"/>
    </row>
    <row r="651" spans="17:41" x14ac:dyDescent="0.3">
      <c r="Q651" s="93">
        <v>46230</v>
      </c>
      <c r="R651" t="s">
        <v>479</v>
      </c>
      <c r="S651" t="s">
        <v>415</v>
      </c>
      <c r="T651" s="14">
        <v>7.1111348651863997</v>
      </c>
      <c r="W651" s="20">
        <v>45951</v>
      </c>
      <c r="X651" t="s">
        <v>271</v>
      </c>
      <c r="Y651" s="23">
        <v>6.05</v>
      </c>
      <c r="Z651" s="23">
        <v>5.5750000000000002</v>
      </c>
      <c r="AA651" s="23">
        <v>5.8125</v>
      </c>
      <c r="AD651" s="20">
        <v>46146</v>
      </c>
      <c r="AE651" t="s">
        <v>479</v>
      </c>
      <c r="AF651">
        <v>1476.958247586</v>
      </c>
      <c r="AG651" s="84">
        <f>DATE(YEAR(His53_DataTT[[#This Row],[RptDate]]),MONTH(His53_DataTT[[#This Row],[RptDate]]),1)</f>
        <v>46143</v>
      </c>
      <c r="AO651" s="14"/>
    </row>
    <row r="652" spans="17:41" x14ac:dyDescent="0.3">
      <c r="Q652" s="93">
        <v>46230</v>
      </c>
      <c r="R652" t="s">
        <v>364</v>
      </c>
      <c r="S652" t="s">
        <v>415</v>
      </c>
      <c r="T652" s="14">
        <v>6.8185847589424604</v>
      </c>
      <c r="W652" s="20">
        <v>45951</v>
      </c>
      <c r="X652" t="s">
        <v>272</v>
      </c>
      <c r="Y652" s="23">
        <v>5.9730769230769196</v>
      </c>
      <c r="Z652" s="23">
        <v>5.5423076923076904</v>
      </c>
      <c r="AA652" s="23">
        <v>5.7576923076923103</v>
      </c>
      <c r="AD652" s="20">
        <v>46146</v>
      </c>
      <c r="AE652" t="s">
        <v>557</v>
      </c>
      <c r="AF652">
        <v>2598.0000793109998</v>
      </c>
      <c r="AG652" s="84">
        <f>DATE(YEAR(His53_DataTT[[#This Row],[RptDate]]),MONTH(His53_DataTT[[#This Row],[RptDate]]),1)</f>
        <v>46143</v>
      </c>
      <c r="AO652" s="14"/>
    </row>
    <row r="653" spans="17:41" x14ac:dyDescent="0.3">
      <c r="Q653" s="93">
        <v>46230</v>
      </c>
      <c r="R653" t="s">
        <v>516</v>
      </c>
      <c r="S653" t="s">
        <v>415</v>
      </c>
      <c r="T653" s="14">
        <v>6.9082012987310302</v>
      </c>
      <c r="W653" s="20">
        <v>45951</v>
      </c>
      <c r="X653" t="s">
        <v>273</v>
      </c>
      <c r="Y653" s="23">
        <v>6.0615384615384604</v>
      </c>
      <c r="Z653" s="23">
        <v>5.5923076923076902</v>
      </c>
      <c r="AA653" s="23">
        <v>5.8269230769230802</v>
      </c>
      <c r="AD653" s="20">
        <v>46147</v>
      </c>
      <c r="AE653" t="s">
        <v>479</v>
      </c>
      <c r="AF653">
        <v>2075.2870047030001</v>
      </c>
      <c r="AG653" s="84">
        <f>DATE(YEAR(His53_DataTT[[#This Row],[RptDate]]),MONTH(His53_DataTT[[#This Row],[RptDate]]),1)</f>
        <v>46143</v>
      </c>
      <c r="AO653" s="14"/>
    </row>
    <row r="654" spans="17:41" x14ac:dyDescent="0.3">
      <c r="Q654" s="93">
        <v>46230</v>
      </c>
      <c r="R654" t="s">
        <v>1288</v>
      </c>
      <c r="S654" t="s">
        <v>415</v>
      </c>
      <c r="T654" s="14">
        <v>7.1111348651863997</v>
      </c>
      <c r="W654" s="20">
        <v>45951</v>
      </c>
      <c r="X654" t="s">
        <v>274</v>
      </c>
      <c r="Y654" s="23">
        <v>6.1538461538461497</v>
      </c>
      <c r="Z654" s="23">
        <v>5.7153846153846199</v>
      </c>
      <c r="AA654" s="23">
        <v>5.9346153846153804</v>
      </c>
      <c r="AD654" s="20">
        <v>46147</v>
      </c>
      <c r="AE654" t="s">
        <v>557</v>
      </c>
      <c r="AF654">
        <v>6901.7269698740001</v>
      </c>
      <c r="AG654" s="84">
        <f>DATE(YEAR(His53_DataTT[[#This Row],[RptDate]]),MONTH(His53_DataTT[[#This Row],[RptDate]]),1)</f>
        <v>46143</v>
      </c>
      <c r="AO654" s="14"/>
    </row>
    <row r="655" spans="17:41" x14ac:dyDescent="0.3">
      <c r="Q655" s="93">
        <v>46230</v>
      </c>
      <c r="R655" t="s">
        <v>496</v>
      </c>
      <c r="S655" t="s">
        <v>415</v>
      </c>
      <c r="T655" s="14">
        <v>6.6814532720507804</v>
      </c>
      <c r="W655" s="20">
        <v>45951</v>
      </c>
      <c r="X655" t="s">
        <v>275</v>
      </c>
      <c r="Y655" s="23">
        <v>6.2192307692307702</v>
      </c>
      <c r="Z655" s="23">
        <v>5.7807692307692298</v>
      </c>
      <c r="AA655" s="23">
        <v>6</v>
      </c>
      <c r="AD655" s="20">
        <v>46148</v>
      </c>
      <c r="AE655" t="s">
        <v>479</v>
      </c>
      <c r="AF655">
        <v>3047.0324095179999</v>
      </c>
      <c r="AG655" s="84">
        <f>DATE(YEAR(His53_DataTT[[#This Row],[RptDate]]),MONTH(His53_DataTT[[#This Row],[RptDate]]),1)</f>
        <v>46143</v>
      </c>
      <c r="AO655" s="14"/>
    </row>
    <row r="656" spans="17:41" x14ac:dyDescent="0.3">
      <c r="Q656" s="93">
        <v>46230</v>
      </c>
      <c r="R656" t="s">
        <v>1290</v>
      </c>
      <c r="S656" t="s">
        <v>415</v>
      </c>
      <c r="T656" s="14">
        <v>6.8461406912826996</v>
      </c>
      <c r="W656" s="20">
        <v>45951</v>
      </c>
      <c r="X656" t="s">
        <v>276</v>
      </c>
      <c r="Y656" s="23">
        <v>6.2615384615384597</v>
      </c>
      <c r="Z656" s="23">
        <v>5.8153846153846196</v>
      </c>
      <c r="AA656" s="23">
        <v>6.0384615384615401</v>
      </c>
      <c r="AD656" s="20">
        <v>46148</v>
      </c>
      <c r="AE656" t="s">
        <v>557</v>
      </c>
      <c r="AF656">
        <v>2381.2834922050001</v>
      </c>
      <c r="AG656" s="84">
        <f>DATE(YEAR(His53_DataTT[[#This Row],[RptDate]]),MONTH(His53_DataTT[[#This Row],[RptDate]]),1)</f>
        <v>46143</v>
      </c>
      <c r="AO656" s="14"/>
    </row>
    <row r="657" spans="17:41" x14ac:dyDescent="0.3">
      <c r="Q657" s="93">
        <v>46230</v>
      </c>
      <c r="R657" t="s">
        <v>364</v>
      </c>
      <c r="S657" t="s">
        <v>997</v>
      </c>
      <c r="T657" s="14">
        <v>32150</v>
      </c>
      <c r="W657" s="20">
        <v>45951</v>
      </c>
      <c r="X657" t="s">
        <v>277</v>
      </c>
      <c r="Y657" s="23">
        <v>6.3038461538461501</v>
      </c>
      <c r="Z657" s="23">
        <v>5.85</v>
      </c>
      <c r="AA657" s="23">
        <v>6.0769230769230802</v>
      </c>
      <c r="AD657" s="20">
        <v>46149</v>
      </c>
      <c r="AE657" t="s">
        <v>479</v>
      </c>
      <c r="AF657">
        <v>3566.3815502829998</v>
      </c>
      <c r="AG657" s="84">
        <f>DATE(YEAR(His53_DataTT[[#This Row],[RptDate]]),MONTH(His53_DataTT[[#This Row],[RptDate]]),1)</f>
        <v>46143</v>
      </c>
      <c r="AO657" s="14"/>
    </row>
    <row r="658" spans="17:41" x14ac:dyDescent="0.3">
      <c r="Q658" s="93">
        <v>46230</v>
      </c>
      <c r="R658" t="s">
        <v>496</v>
      </c>
      <c r="S658" t="s">
        <v>997</v>
      </c>
      <c r="T658" s="14">
        <v>22845</v>
      </c>
      <c r="W658" s="20">
        <v>45951</v>
      </c>
      <c r="X658" t="s">
        <v>278</v>
      </c>
      <c r="Y658" s="23">
        <v>6.3461538461538503</v>
      </c>
      <c r="Z658" s="23">
        <v>5.8961538461538501</v>
      </c>
      <c r="AA658" s="23">
        <v>6.1211538461538497</v>
      </c>
      <c r="AD658" s="20">
        <v>46149</v>
      </c>
      <c r="AE658" t="s">
        <v>557</v>
      </c>
      <c r="AF658">
        <v>1281.2037345849999</v>
      </c>
      <c r="AG658" s="84">
        <f>DATE(YEAR(His53_DataTT[[#This Row],[RptDate]]),MONTH(His53_DataTT[[#This Row],[RptDate]]),1)</f>
        <v>46143</v>
      </c>
      <c r="AO658" s="14"/>
    </row>
    <row r="659" spans="17:41" x14ac:dyDescent="0.3">
      <c r="Q659" s="93">
        <v>46230</v>
      </c>
      <c r="R659" t="s">
        <v>1388</v>
      </c>
      <c r="S659" t="s">
        <v>997</v>
      </c>
      <c r="T659" s="14">
        <v>14197.6106</v>
      </c>
      <c r="W659" s="20">
        <v>45951</v>
      </c>
      <c r="X659" t="s">
        <v>279</v>
      </c>
      <c r="Y659" s="23">
        <v>6.3961538461538501</v>
      </c>
      <c r="Z659" s="23">
        <v>5.9384615384615396</v>
      </c>
      <c r="AA659" s="23">
        <v>6.1673076923076904</v>
      </c>
      <c r="AD659" s="20">
        <v>46150</v>
      </c>
      <c r="AE659" t="s">
        <v>479</v>
      </c>
      <c r="AF659">
        <v>9714.7312596739994</v>
      </c>
      <c r="AG659" s="84">
        <f>DATE(YEAR(His53_DataTT[[#This Row],[RptDate]]),MONTH(His53_DataTT[[#This Row],[RptDate]]),1)</f>
        <v>46143</v>
      </c>
      <c r="AO659" s="14"/>
    </row>
    <row r="660" spans="17:41" x14ac:dyDescent="0.3">
      <c r="Q660" s="93">
        <v>46230</v>
      </c>
      <c r="R660" t="s">
        <v>1389</v>
      </c>
      <c r="S660" t="s">
        <v>997</v>
      </c>
      <c r="T660" s="14">
        <v>13800</v>
      </c>
      <c r="W660" s="20">
        <v>45951</v>
      </c>
      <c r="X660" t="s">
        <v>280</v>
      </c>
      <c r="Y660" s="23">
        <v>6.4769230769230797</v>
      </c>
      <c r="Z660" s="23">
        <v>6.0153846153846198</v>
      </c>
      <c r="AA660" s="23">
        <v>6.2461538461538497</v>
      </c>
      <c r="AD660" s="20">
        <v>46150</v>
      </c>
      <c r="AE660" t="s">
        <v>557</v>
      </c>
      <c r="AF660">
        <v>2029.330834743</v>
      </c>
      <c r="AG660" s="84">
        <f>DATE(YEAR(His53_DataTT[[#This Row],[RptDate]]),MONTH(His53_DataTT[[#This Row],[RptDate]]),1)</f>
        <v>46143</v>
      </c>
      <c r="AO660" s="14"/>
    </row>
    <row r="661" spans="17:41" x14ac:dyDescent="0.3">
      <c r="Q661" s="93">
        <v>46230</v>
      </c>
      <c r="R661" t="s">
        <v>1390</v>
      </c>
      <c r="S661" t="s">
        <v>997</v>
      </c>
      <c r="T661" s="14">
        <v>397.61059999999998</v>
      </c>
      <c r="W661" s="20">
        <v>45951</v>
      </c>
      <c r="X661" t="s">
        <v>281</v>
      </c>
      <c r="Y661" s="23">
        <v>6.5307692307692298</v>
      </c>
      <c r="Z661" s="23">
        <v>6.0846153846153896</v>
      </c>
      <c r="AA661" s="23">
        <v>6.3076923076923102</v>
      </c>
      <c r="AD661" s="20">
        <v>46153</v>
      </c>
      <c r="AE661" t="s">
        <v>479</v>
      </c>
      <c r="AF661">
        <v>3083.6192822029998</v>
      </c>
      <c r="AG661" s="84">
        <f>DATE(YEAR(His53_DataTT[[#This Row],[RptDate]]),MONTH(His53_DataTT[[#This Row],[RptDate]]),1)</f>
        <v>46143</v>
      </c>
      <c r="AO661" s="14"/>
    </row>
    <row r="662" spans="17:41" x14ac:dyDescent="0.3">
      <c r="Q662" s="93">
        <v>46230</v>
      </c>
      <c r="R662" t="s">
        <v>303</v>
      </c>
      <c r="S662" t="s">
        <v>303</v>
      </c>
      <c r="T662" s="14">
        <v>0</v>
      </c>
      <c r="W662" s="20">
        <v>45952</v>
      </c>
      <c r="X662" t="s">
        <v>270</v>
      </c>
      <c r="Y662" s="23">
        <v>5.9666666666666703</v>
      </c>
      <c r="Z662" s="23">
        <v>5.5333333333333297</v>
      </c>
      <c r="AA662" s="23">
        <v>5.75</v>
      </c>
      <c r="AD662" s="20">
        <v>46153</v>
      </c>
      <c r="AE662" t="s">
        <v>557</v>
      </c>
      <c r="AF662">
        <v>2087.9825158479998</v>
      </c>
      <c r="AG662" s="84">
        <f>DATE(YEAR(His53_DataTT[[#This Row],[RptDate]]),MONTH(His53_DataTT[[#This Row],[RptDate]]),1)</f>
        <v>46143</v>
      </c>
      <c r="AO662" s="14"/>
    </row>
    <row r="663" spans="17:41" x14ac:dyDescent="0.3">
      <c r="Q663" s="93">
        <v>46230</v>
      </c>
      <c r="R663" t="s">
        <v>303</v>
      </c>
      <c r="S663" t="s">
        <v>303</v>
      </c>
      <c r="T663" s="14">
        <v>0</v>
      </c>
      <c r="W663" s="20">
        <v>45952</v>
      </c>
      <c r="X663" t="s">
        <v>271</v>
      </c>
      <c r="Y663" s="23">
        <v>6.1749999999999998</v>
      </c>
      <c r="Z663" s="23">
        <v>5.7249999999999996</v>
      </c>
      <c r="AA663" s="23">
        <v>5.95</v>
      </c>
      <c r="AD663" s="20">
        <v>46154</v>
      </c>
      <c r="AE663" t="s">
        <v>479</v>
      </c>
      <c r="AF663">
        <v>3876.1584815370002</v>
      </c>
      <c r="AG663" s="84">
        <f>DATE(YEAR(His53_DataTT[[#This Row],[RptDate]]),MONTH(His53_DataTT[[#This Row],[RptDate]]),1)</f>
        <v>46143</v>
      </c>
      <c r="AO663" s="14"/>
    </row>
    <row r="664" spans="17:41" x14ac:dyDescent="0.3">
      <c r="Q664" s="93">
        <v>46230</v>
      </c>
      <c r="R664" t="s">
        <v>303</v>
      </c>
      <c r="S664" t="s">
        <v>303</v>
      </c>
      <c r="T664" s="14">
        <v>0</v>
      </c>
      <c r="W664" s="20">
        <v>45952</v>
      </c>
      <c r="X664" t="s">
        <v>272</v>
      </c>
      <c r="Y664" s="23">
        <v>5.9884615384615403</v>
      </c>
      <c r="Z664" s="23">
        <v>5.5576923076923102</v>
      </c>
      <c r="AA664" s="23">
        <v>5.7730769230769203</v>
      </c>
      <c r="AD664" s="20">
        <v>46154</v>
      </c>
      <c r="AE664" t="s">
        <v>557</v>
      </c>
      <c r="AF664">
        <v>1757.5842064230001</v>
      </c>
      <c r="AG664" s="84">
        <f>DATE(YEAR(His53_DataTT[[#This Row],[RptDate]]),MONTH(His53_DataTT[[#This Row],[RptDate]]),1)</f>
        <v>46143</v>
      </c>
      <c r="AO664" s="14"/>
    </row>
    <row r="665" spans="17:41" x14ac:dyDescent="0.3">
      <c r="Q665" s="93">
        <v>46230</v>
      </c>
      <c r="R665" t="s">
        <v>303</v>
      </c>
      <c r="S665" t="s">
        <v>303</v>
      </c>
      <c r="T665" s="14">
        <v>0</v>
      </c>
      <c r="W665" s="20">
        <v>45952</v>
      </c>
      <c r="X665" t="s">
        <v>273</v>
      </c>
      <c r="Y665" s="23">
        <v>6.0615384615384604</v>
      </c>
      <c r="Z665" s="23">
        <v>5.5923076923076902</v>
      </c>
      <c r="AA665" s="23">
        <v>5.8269230769230802</v>
      </c>
      <c r="AD665" s="20">
        <v>46155</v>
      </c>
      <c r="AE665" t="s">
        <v>479</v>
      </c>
      <c r="AF665">
        <v>4168.5857456519998</v>
      </c>
      <c r="AG665" s="84">
        <f>DATE(YEAR(His53_DataTT[[#This Row],[RptDate]]),MONTH(His53_DataTT[[#This Row],[RptDate]]),1)</f>
        <v>46143</v>
      </c>
      <c r="AO665" s="14"/>
    </row>
    <row r="666" spans="17:41" x14ac:dyDescent="0.3">
      <c r="Q666" s="93">
        <v>46230</v>
      </c>
      <c r="R666" t="s">
        <v>303</v>
      </c>
      <c r="S666" t="s">
        <v>303</v>
      </c>
      <c r="T666" s="14">
        <v>0</v>
      </c>
      <c r="W666" s="20">
        <v>45952</v>
      </c>
      <c r="X666" t="s">
        <v>274</v>
      </c>
      <c r="Y666" s="23">
        <v>6.1538461538461497</v>
      </c>
      <c r="Z666" s="23">
        <v>5.7153846153846199</v>
      </c>
      <c r="AA666" s="23">
        <v>5.9346153846153804</v>
      </c>
      <c r="AD666" s="20">
        <v>46155</v>
      </c>
      <c r="AE666" t="s">
        <v>557</v>
      </c>
      <c r="AF666">
        <v>1684.0860385799999</v>
      </c>
      <c r="AG666" s="84">
        <f>DATE(YEAR(His53_DataTT[[#This Row],[RptDate]]),MONTH(His53_DataTT[[#This Row],[RptDate]]),1)</f>
        <v>46143</v>
      </c>
      <c r="AO666" s="14"/>
    </row>
    <row r="667" spans="17:41" x14ac:dyDescent="0.3">
      <c r="Q667" s="93">
        <v>46227</v>
      </c>
      <c r="R667" t="s">
        <v>364</v>
      </c>
      <c r="S667" t="s">
        <v>997</v>
      </c>
      <c r="T667" s="14">
        <v>32150</v>
      </c>
      <c r="W667" s="20">
        <v>45952</v>
      </c>
      <c r="X667" t="s">
        <v>275</v>
      </c>
      <c r="Y667" s="23">
        <v>6.2192307692307702</v>
      </c>
      <c r="Z667" s="23">
        <v>5.7807692307692298</v>
      </c>
      <c r="AA667" s="23">
        <v>6</v>
      </c>
      <c r="AD667" s="20">
        <v>46156</v>
      </c>
      <c r="AE667" t="s">
        <v>479</v>
      </c>
      <c r="AF667">
        <v>5600.5205375169999</v>
      </c>
      <c r="AG667" s="84">
        <f>DATE(YEAR(His53_DataTT[[#This Row],[RptDate]]),MONTH(His53_DataTT[[#This Row],[RptDate]]),1)</f>
        <v>46143</v>
      </c>
      <c r="AO667" s="14"/>
    </row>
    <row r="668" spans="17:41" x14ac:dyDescent="0.3">
      <c r="Q668" s="93">
        <v>46227</v>
      </c>
      <c r="R668" t="s">
        <v>496</v>
      </c>
      <c r="S668" t="s">
        <v>997</v>
      </c>
      <c r="T668" s="14">
        <v>22915</v>
      </c>
      <c r="W668" s="20">
        <v>45952</v>
      </c>
      <c r="X668" t="s">
        <v>276</v>
      </c>
      <c r="Y668" s="23">
        <v>6.2615384615384597</v>
      </c>
      <c r="Z668" s="23">
        <v>5.8153846153846196</v>
      </c>
      <c r="AA668" s="23">
        <v>6.0384615384615401</v>
      </c>
      <c r="AD668" s="20">
        <v>46156</v>
      </c>
      <c r="AE668" t="s">
        <v>557</v>
      </c>
      <c r="AF668">
        <v>1044.28093911</v>
      </c>
      <c r="AG668" s="84">
        <f>DATE(YEAR(His53_DataTT[[#This Row],[RptDate]]),MONTH(His53_DataTT[[#This Row],[RptDate]]),1)</f>
        <v>46143</v>
      </c>
      <c r="AO668" s="14"/>
    </row>
    <row r="669" spans="17:41" x14ac:dyDescent="0.3">
      <c r="Q669" s="93">
        <v>46227</v>
      </c>
      <c r="R669" t="s">
        <v>1388</v>
      </c>
      <c r="S669" t="s">
        <v>997</v>
      </c>
      <c r="T669" s="14">
        <v>14197.6106</v>
      </c>
      <c r="W669" s="20">
        <v>45952</v>
      </c>
      <c r="X669" t="s">
        <v>277</v>
      </c>
      <c r="Y669" s="23">
        <v>6.3115384615384604</v>
      </c>
      <c r="Z669" s="23">
        <v>5.85769230769231</v>
      </c>
      <c r="AA669" s="23">
        <v>6.0846153846153799</v>
      </c>
      <c r="AD669" s="20">
        <v>46157</v>
      </c>
      <c r="AE669" t="s">
        <v>479</v>
      </c>
      <c r="AF669">
        <v>2383.5246621030001</v>
      </c>
      <c r="AG669" s="84">
        <f>DATE(YEAR(His53_DataTT[[#This Row],[RptDate]]),MONTH(His53_DataTT[[#This Row],[RptDate]]),1)</f>
        <v>46143</v>
      </c>
      <c r="AO669" s="14"/>
    </row>
    <row r="670" spans="17:41" x14ac:dyDescent="0.3">
      <c r="Q670" s="93">
        <v>46227</v>
      </c>
      <c r="R670" t="s">
        <v>1389</v>
      </c>
      <c r="S670" t="s">
        <v>997</v>
      </c>
      <c r="T670" s="14">
        <v>13800</v>
      </c>
      <c r="W670" s="20">
        <v>45952</v>
      </c>
      <c r="X670" t="s">
        <v>278</v>
      </c>
      <c r="Y670" s="23">
        <v>6.3538461538461499</v>
      </c>
      <c r="Z670" s="23">
        <v>5.9038461538461604</v>
      </c>
      <c r="AA670" s="23">
        <v>6.1288461538461503</v>
      </c>
      <c r="AD670" s="20">
        <v>46157</v>
      </c>
      <c r="AE670" t="s">
        <v>557</v>
      </c>
      <c r="AF670">
        <v>2523.3554592310002</v>
      </c>
      <c r="AG670" s="84">
        <f>DATE(YEAR(His53_DataTT[[#This Row],[RptDate]]),MONTH(His53_DataTT[[#This Row],[RptDate]]),1)</f>
        <v>46143</v>
      </c>
      <c r="AO670" s="14"/>
    </row>
    <row r="671" spans="17:41" x14ac:dyDescent="0.3">
      <c r="Q671" s="93">
        <v>46227</v>
      </c>
      <c r="R671" t="s">
        <v>1390</v>
      </c>
      <c r="S671" t="s">
        <v>997</v>
      </c>
      <c r="T671" s="14">
        <v>397.61059999999998</v>
      </c>
      <c r="W671" s="20">
        <v>45952</v>
      </c>
      <c r="X671" t="s">
        <v>279</v>
      </c>
      <c r="Y671" s="23">
        <v>6.4115384615384601</v>
      </c>
      <c r="Z671" s="23">
        <v>5.9538461538461496</v>
      </c>
      <c r="AA671" s="23">
        <v>6.1826923076923102</v>
      </c>
      <c r="AD671" s="20">
        <v>46160</v>
      </c>
      <c r="AE671" t="s">
        <v>479</v>
      </c>
      <c r="AF671">
        <v>4561.9087390679997</v>
      </c>
      <c r="AG671" s="84">
        <f>DATE(YEAR(His53_DataTT[[#This Row],[RptDate]]),MONTH(His53_DataTT[[#This Row],[RptDate]]),1)</f>
        <v>46143</v>
      </c>
      <c r="AO671" s="14"/>
    </row>
    <row r="672" spans="17:41" x14ac:dyDescent="0.3">
      <c r="Q672" s="93">
        <v>46227</v>
      </c>
      <c r="R672" t="s">
        <v>303</v>
      </c>
      <c r="S672" t="s">
        <v>303</v>
      </c>
      <c r="T672" s="14">
        <v>0</v>
      </c>
      <c r="W672" s="20">
        <v>45952</v>
      </c>
      <c r="X672" t="s">
        <v>280</v>
      </c>
      <c r="Y672" s="23">
        <v>6.4923076923076897</v>
      </c>
      <c r="Z672" s="23">
        <v>6.0307692307692298</v>
      </c>
      <c r="AA672" s="23">
        <v>6.2615384615384597</v>
      </c>
      <c r="AD672" s="20">
        <v>46160</v>
      </c>
      <c r="AE672" t="s">
        <v>557</v>
      </c>
      <c r="AF672">
        <v>1772.786790441</v>
      </c>
      <c r="AG672" s="84">
        <f>DATE(YEAR(His53_DataTT[[#This Row],[RptDate]]),MONTH(His53_DataTT[[#This Row],[RptDate]]),1)</f>
        <v>46143</v>
      </c>
      <c r="AO672" s="14"/>
    </row>
    <row r="673" spans="17:41" x14ac:dyDescent="0.3">
      <c r="Q673" s="93">
        <v>46227</v>
      </c>
      <c r="R673" t="s">
        <v>303</v>
      </c>
      <c r="S673" t="s">
        <v>303</v>
      </c>
      <c r="T673" s="14">
        <v>0</v>
      </c>
      <c r="W673" s="20">
        <v>45952</v>
      </c>
      <c r="X673" t="s">
        <v>281</v>
      </c>
      <c r="Y673" s="23">
        <v>6.5538461538461501</v>
      </c>
      <c r="Z673" s="23">
        <v>6.10769230769231</v>
      </c>
      <c r="AA673" s="23">
        <v>6.3307692307692296</v>
      </c>
      <c r="AD673" s="20">
        <v>46161</v>
      </c>
      <c r="AE673" t="s">
        <v>479</v>
      </c>
      <c r="AF673">
        <v>2318.3355049050001</v>
      </c>
      <c r="AG673" s="84">
        <f>DATE(YEAR(His53_DataTT[[#This Row],[RptDate]]),MONTH(His53_DataTT[[#This Row],[RptDate]]),1)</f>
        <v>46143</v>
      </c>
      <c r="AO673" s="14"/>
    </row>
    <row r="674" spans="17:41" x14ac:dyDescent="0.3">
      <c r="Q674" s="93">
        <v>46227</v>
      </c>
      <c r="R674" t="s">
        <v>303</v>
      </c>
      <c r="S674" t="s">
        <v>303</v>
      </c>
      <c r="T674" s="14">
        <v>0</v>
      </c>
      <c r="W674" s="20">
        <v>45953</v>
      </c>
      <c r="X674" t="s">
        <v>270</v>
      </c>
      <c r="Y674" s="23">
        <v>5.9833333333333298</v>
      </c>
      <c r="Z674" s="23">
        <v>5.55</v>
      </c>
      <c r="AA674" s="23">
        <v>5.7666666666666702</v>
      </c>
      <c r="AD674" s="20">
        <v>46161</v>
      </c>
      <c r="AE674" t="s">
        <v>557</v>
      </c>
      <c r="AF674">
        <v>1564.82221334</v>
      </c>
      <c r="AG674" s="84">
        <f>DATE(YEAR(His53_DataTT[[#This Row],[RptDate]]),MONTH(His53_DataTT[[#This Row],[RptDate]]),1)</f>
        <v>46143</v>
      </c>
      <c r="AO674" s="14"/>
    </row>
    <row r="675" spans="17:41" x14ac:dyDescent="0.3">
      <c r="Q675" s="93">
        <v>46227</v>
      </c>
      <c r="R675" t="s">
        <v>303</v>
      </c>
      <c r="S675" t="s">
        <v>303</v>
      </c>
      <c r="T675" s="14">
        <v>0</v>
      </c>
      <c r="W675" s="20">
        <v>45953</v>
      </c>
      <c r="X675" t="s">
        <v>271</v>
      </c>
      <c r="Y675" s="23">
        <v>6.125</v>
      </c>
      <c r="Z675" s="23">
        <v>5.6749999999999998</v>
      </c>
      <c r="AA675" s="23">
        <v>5.9</v>
      </c>
      <c r="AD675" s="20">
        <v>46162</v>
      </c>
      <c r="AE675" t="s">
        <v>479</v>
      </c>
      <c r="AF675">
        <v>2803.4696269299998</v>
      </c>
      <c r="AG675" s="84">
        <f>DATE(YEAR(His53_DataTT[[#This Row],[RptDate]]),MONTH(His53_DataTT[[#This Row],[RptDate]]),1)</f>
        <v>46143</v>
      </c>
      <c r="AO675" s="14"/>
    </row>
    <row r="676" spans="17:41" x14ac:dyDescent="0.3">
      <c r="Q676" s="93">
        <v>46227</v>
      </c>
      <c r="R676" t="s">
        <v>303</v>
      </c>
      <c r="S676" t="s">
        <v>303</v>
      </c>
      <c r="T676" s="14">
        <v>0</v>
      </c>
      <c r="W676" s="20">
        <v>45953</v>
      </c>
      <c r="X676" t="s">
        <v>272</v>
      </c>
      <c r="Y676" s="23">
        <v>6.0346153846153801</v>
      </c>
      <c r="Z676" s="23">
        <v>5.5884615384615399</v>
      </c>
      <c r="AA676" s="23">
        <v>5.8115384615384604</v>
      </c>
      <c r="AD676" s="20">
        <v>46162</v>
      </c>
      <c r="AE676" t="s">
        <v>557</v>
      </c>
      <c r="AF676">
        <v>1155.917914356</v>
      </c>
      <c r="AG676" s="84">
        <f>DATE(YEAR(His53_DataTT[[#This Row],[RptDate]]),MONTH(His53_DataTT[[#This Row],[RptDate]]),1)</f>
        <v>46143</v>
      </c>
      <c r="AO676" s="14"/>
    </row>
    <row r="677" spans="17:41" x14ac:dyDescent="0.3">
      <c r="Q677" s="93">
        <v>46227</v>
      </c>
      <c r="R677" t="s">
        <v>479</v>
      </c>
      <c r="S677" t="s">
        <v>415</v>
      </c>
      <c r="T677" s="14">
        <v>7.1111348651863997</v>
      </c>
      <c r="W677" s="20">
        <v>45953</v>
      </c>
      <c r="X677" t="s">
        <v>273</v>
      </c>
      <c r="Y677" s="23">
        <v>6.0923076923076902</v>
      </c>
      <c r="Z677" s="23">
        <v>5.6153846153846203</v>
      </c>
      <c r="AA677" s="23">
        <v>5.8538461538461499</v>
      </c>
      <c r="AD677" s="20">
        <v>46163</v>
      </c>
      <c r="AE677" t="s">
        <v>479</v>
      </c>
      <c r="AF677">
        <v>4098.9630625010004</v>
      </c>
      <c r="AG677" s="84">
        <f>DATE(YEAR(His53_DataTT[[#This Row],[RptDate]]),MONTH(His53_DataTT[[#This Row],[RptDate]]),1)</f>
        <v>46143</v>
      </c>
      <c r="AO677" s="14"/>
    </row>
    <row r="678" spans="17:41" x14ac:dyDescent="0.3">
      <c r="Q678" s="93">
        <v>46227</v>
      </c>
      <c r="R678" t="s">
        <v>364</v>
      </c>
      <c r="S678" t="s">
        <v>415</v>
      </c>
      <c r="T678" s="14">
        <v>6.8185847589424604</v>
      </c>
      <c r="W678" s="20">
        <v>45953</v>
      </c>
      <c r="X678" t="s">
        <v>274</v>
      </c>
      <c r="Y678" s="23">
        <v>6.1615384615384601</v>
      </c>
      <c r="Z678" s="23">
        <v>5.6923076923076898</v>
      </c>
      <c r="AA678" s="23">
        <v>5.9269230769230798</v>
      </c>
      <c r="AD678" s="20">
        <v>46163</v>
      </c>
      <c r="AE678" t="s">
        <v>557</v>
      </c>
      <c r="AF678">
        <v>2678.1789755099999</v>
      </c>
      <c r="AG678" s="84">
        <f>DATE(YEAR(His53_DataTT[[#This Row],[RptDate]]),MONTH(His53_DataTT[[#This Row],[RptDate]]),1)</f>
        <v>46143</v>
      </c>
      <c r="AO678" s="14"/>
    </row>
    <row r="679" spans="17:41" x14ac:dyDescent="0.3">
      <c r="Q679" s="93">
        <v>46227</v>
      </c>
      <c r="R679" t="s">
        <v>516</v>
      </c>
      <c r="S679" t="s">
        <v>415</v>
      </c>
      <c r="T679" s="14">
        <v>6.9082012987310302</v>
      </c>
      <c r="W679" s="20">
        <v>45953</v>
      </c>
      <c r="X679" t="s">
        <v>275</v>
      </c>
      <c r="Y679" s="23">
        <v>6.2269230769230797</v>
      </c>
      <c r="Z679" s="23">
        <v>5.7576923076923103</v>
      </c>
      <c r="AA679" s="23">
        <v>5.9923076923076897</v>
      </c>
      <c r="AD679" s="20">
        <v>46164</v>
      </c>
      <c r="AE679" t="s">
        <v>479</v>
      </c>
      <c r="AF679">
        <v>1921.9385189540001</v>
      </c>
      <c r="AG679" s="84">
        <f>DATE(YEAR(His53_DataTT[[#This Row],[RptDate]]),MONTH(His53_DataTT[[#This Row],[RptDate]]),1)</f>
        <v>46143</v>
      </c>
      <c r="AO679" s="14"/>
    </row>
    <row r="680" spans="17:41" x14ac:dyDescent="0.3">
      <c r="Q680" s="93">
        <v>46227</v>
      </c>
      <c r="R680" t="s">
        <v>1288</v>
      </c>
      <c r="S680" t="s">
        <v>415</v>
      </c>
      <c r="T680" s="14">
        <v>7.1111348651863997</v>
      </c>
      <c r="W680" s="20">
        <v>45953</v>
      </c>
      <c r="X680" t="s">
        <v>276</v>
      </c>
      <c r="Y680" s="23">
        <v>6.2692307692307701</v>
      </c>
      <c r="Z680" s="23">
        <v>5.7923076923076904</v>
      </c>
      <c r="AA680" s="23">
        <v>6.0307692307692298</v>
      </c>
      <c r="AD680" s="20">
        <v>46164</v>
      </c>
      <c r="AE680" t="s">
        <v>557</v>
      </c>
      <c r="AF680">
        <v>7250.0112884460004</v>
      </c>
      <c r="AG680" s="84">
        <f>DATE(YEAR(His53_DataTT[[#This Row],[RptDate]]),MONTH(His53_DataTT[[#This Row],[RptDate]]),1)</f>
        <v>46143</v>
      </c>
      <c r="AO680" s="14"/>
    </row>
    <row r="681" spans="17:41" x14ac:dyDescent="0.3">
      <c r="Q681" s="93">
        <v>46227</v>
      </c>
      <c r="R681" t="s">
        <v>496</v>
      </c>
      <c r="S681" t="s">
        <v>415</v>
      </c>
      <c r="T681" s="14">
        <v>6.6900632773292603</v>
      </c>
      <c r="W681" s="20">
        <v>45953</v>
      </c>
      <c r="X681" t="s">
        <v>277</v>
      </c>
      <c r="Y681" s="23">
        <v>6.3192307692307699</v>
      </c>
      <c r="Z681" s="23">
        <v>5.8346153846153896</v>
      </c>
      <c r="AA681" s="23">
        <v>6.0769230769230802</v>
      </c>
      <c r="AD681" s="20">
        <v>46167</v>
      </c>
      <c r="AE681" t="s">
        <v>479</v>
      </c>
      <c r="AF681">
        <v>1237.9773209160001</v>
      </c>
      <c r="AG681" s="84">
        <f>DATE(YEAR(His53_DataTT[[#This Row],[RptDate]]),MONTH(His53_DataTT[[#This Row],[RptDate]]),1)</f>
        <v>46143</v>
      </c>
      <c r="AO681" s="14"/>
    </row>
    <row r="682" spans="17:41" x14ac:dyDescent="0.3">
      <c r="Q682" s="93">
        <v>46227</v>
      </c>
      <c r="R682" t="s">
        <v>1290</v>
      </c>
      <c r="S682" t="s">
        <v>415</v>
      </c>
      <c r="T682" s="14">
        <v>6.8511462715586999</v>
      </c>
      <c r="W682" s="20">
        <v>45953</v>
      </c>
      <c r="X682" t="s">
        <v>278</v>
      </c>
      <c r="Y682" s="23">
        <v>6.3615384615384603</v>
      </c>
      <c r="Z682" s="23">
        <v>5.8807692307692303</v>
      </c>
      <c r="AA682" s="23">
        <v>6.1211538461538497</v>
      </c>
      <c r="AD682" s="20">
        <v>46167</v>
      </c>
      <c r="AE682" t="s">
        <v>557</v>
      </c>
      <c r="AF682">
        <v>3344.362886595</v>
      </c>
      <c r="AG682" s="84">
        <f>DATE(YEAR(His53_DataTT[[#This Row],[RptDate]]),MONTH(His53_DataTT[[#This Row],[RptDate]]),1)</f>
        <v>46143</v>
      </c>
      <c r="AO682" s="14"/>
    </row>
    <row r="683" spans="17:41" x14ac:dyDescent="0.3">
      <c r="Q683" s="93">
        <v>46227</v>
      </c>
      <c r="R683" t="s">
        <v>479</v>
      </c>
      <c r="S683" t="s">
        <v>399</v>
      </c>
      <c r="T683" s="14">
        <v>11697.940715131899</v>
      </c>
      <c r="W683" s="20">
        <v>45953</v>
      </c>
      <c r="X683" t="s">
        <v>279</v>
      </c>
      <c r="Y683" s="23">
        <v>6.4192307692307704</v>
      </c>
      <c r="Z683" s="23">
        <v>5.9384615384615396</v>
      </c>
      <c r="AA683" s="23">
        <v>6.1788461538461501</v>
      </c>
      <c r="AD683" s="20">
        <v>46168</v>
      </c>
      <c r="AE683" t="s">
        <v>479</v>
      </c>
      <c r="AF683">
        <v>1237.9773209160001</v>
      </c>
      <c r="AG683" s="84">
        <f>DATE(YEAR(His53_DataTT[[#This Row],[RptDate]]),MONTH(His53_DataTT[[#This Row],[RptDate]]),1)</f>
        <v>46143</v>
      </c>
      <c r="AO683" s="14"/>
    </row>
    <row r="684" spans="17:41" x14ac:dyDescent="0.3">
      <c r="Q684" s="93">
        <v>46227</v>
      </c>
      <c r="R684" t="s">
        <v>364</v>
      </c>
      <c r="S684" t="s">
        <v>399</v>
      </c>
      <c r="T684" s="14">
        <v>28650</v>
      </c>
      <c r="W684" s="20">
        <v>45953</v>
      </c>
      <c r="X684" t="s">
        <v>280</v>
      </c>
      <c r="Y684" s="23">
        <v>6.4923076923076897</v>
      </c>
      <c r="Z684" s="23">
        <v>6.0076923076923103</v>
      </c>
      <c r="AA684" s="23">
        <v>6.25</v>
      </c>
      <c r="AD684" s="20">
        <v>46168</v>
      </c>
      <c r="AE684" t="s">
        <v>557</v>
      </c>
      <c r="AF684">
        <v>3344.362886595</v>
      </c>
      <c r="AG684" s="84">
        <f>DATE(YEAR(His53_DataTT[[#This Row],[RptDate]]),MONTH(His53_DataTT[[#This Row],[RptDate]]),1)</f>
        <v>46143</v>
      </c>
      <c r="AO684" s="14"/>
    </row>
    <row r="685" spans="17:41" x14ac:dyDescent="0.3">
      <c r="Q685" s="93">
        <v>46227</v>
      </c>
      <c r="R685" t="s">
        <v>491</v>
      </c>
      <c r="S685" t="s">
        <v>399</v>
      </c>
      <c r="T685" s="14">
        <v>397.61059999999998</v>
      </c>
      <c r="W685" s="20">
        <v>45953</v>
      </c>
      <c r="X685" t="s">
        <v>281</v>
      </c>
      <c r="Y685" s="23">
        <v>6.5538461538461501</v>
      </c>
      <c r="Z685" s="23">
        <v>6.0846153846153896</v>
      </c>
      <c r="AA685" s="23">
        <v>6.3192307692307699</v>
      </c>
      <c r="AD685" s="20">
        <v>46169</v>
      </c>
      <c r="AE685" t="s">
        <v>479</v>
      </c>
      <c r="AF685">
        <v>1630.018586978</v>
      </c>
      <c r="AG685" s="84">
        <f>DATE(YEAR(His53_DataTT[[#This Row],[RptDate]]),MONTH(His53_DataTT[[#This Row],[RptDate]]),1)</f>
        <v>46143</v>
      </c>
      <c r="AO685" s="14"/>
    </row>
    <row r="686" spans="17:41" x14ac:dyDescent="0.3">
      <c r="Q686" s="93">
        <v>46227</v>
      </c>
      <c r="R686" t="s">
        <v>492</v>
      </c>
      <c r="S686" t="s">
        <v>399</v>
      </c>
      <c r="T686" s="14">
        <v>10800</v>
      </c>
      <c r="W686" s="20">
        <v>45950</v>
      </c>
      <c r="X686" t="s">
        <v>270</v>
      </c>
      <c r="Y686" s="23">
        <v>5.9</v>
      </c>
      <c r="Z686" s="23">
        <v>5.45</v>
      </c>
      <c r="AA686" s="23">
        <v>5.6749999999999998</v>
      </c>
      <c r="AD686" s="20">
        <v>46169</v>
      </c>
      <c r="AE686" t="s">
        <v>557</v>
      </c>
      <c r="AF686">
        <v>3660.4034152260001</v>
      </c>
      <c r="AG686" s="84">
        <f>DATE(YEAR(His53_DataTT[[#This Row],[RptDate]]),MONTH(His53_DataTT[[#This Row],[RptDate]]),1)</f>
        <v>46143</v>
      </c>
      <c r="AO686" s="14"/>
    </row>
    <row r="687" spans="17:41" x14ac:dyDescent="0.3">
      <c r="Q687" s="93">
        <v>46227</v>
      </c>
      <c r="R687" t="s">
        <v>1438</v>
      </c>
      <c r="S687" t="s">
        <v>399</v>
      </c>
      <c r="T687" s="14">
        <v>500.33011513189501</v>
      </c>
      <c r="W687" s="20">
        <v>45950</v>
      </c>
      <c r="X687" t="s">
        <v>271</v>
      </c>
      <c r="Y687" s="23">
        <v>6.05</v>
      </c>
      <c r="Z687" s="23">
        <v>5.5750000000000002</v>
      </c>
      <c r="AA687" s="23">
        <v>5.8125</v>
      </c>
      <c r="AD687" s="20">
        <v>46170</v>
      </c>
      <c r="AE687" t="s">
        <v>479</v>
      </c>
      <c r="AF687">
        <v>1106.0633908110001</v>
      </c>
      <c r="AG687" s="84">
        <f>DATE(YEAR(His53_DataTT[[#This Row],[RptDate]]),MONTH(His53_DataTT[[#This Row],[RptDate]]),1)</f>
        <v>46143</v>
      </c>
      <c r="AO687" s="14"/>
    </row>
    <row r="688" spans="17:41" x14ac:dyDescent="0.3">
      <c r="Q688" s="93">
        <v>46227</v>
      </c>
      <c r="R688" t="s">
        <v>496</v>
      </c>
      <c r="S688" t="s">
        <v>399</v>
      </c>
      <c r="T688" s="14">
        <v>19415</v>
      </c>
      <c r="W688" s="20">
        <v>45950</v>
      </c>
      <c r="X688" t="s">
        <v>272</v>
      </c>
      <c r="Y688" s="23">
        <v>5.9730769230769196</v>
      </c>
      <c r="Z688" s="23">
        <v>5.5423076923076904</v>
      </c>
      <c r="AA688" s="23">
        <v>5.7576923076923103</v>
      </c>
      <c r="AD688" s="20">
        <v>46170</v>
      </c>
      <c r="AE688" t="s">
        <v>557</v>
      </c>
      <c r="AF688">
        <v>5240.7694951960002</v>
      </c>
      <c r="AG688" s="84">
        <f>DATE(YEAR(His53_DataTT[[#This Row],[RptDate]]),MONTH(His53_DataTT[[#This Row],[RptDate]]),1)</f>
        <v>46143</v>
      </c>
      <c r="AO688" s="14"/>
    </row>
    <row r="689" spans="17:41" x14ac:dyDescent="0.3">
      <c r="Q689" s="93">
        <v>46227</v>
      </c>
      <c r="R689" t="s">
        <v>497</v>
      </c>
      <c r="S689" t="s">
        <v>399</v>
      </c>
      <c r="T689" s="14">
        <v>397.61059999999998</v>
      </c>
      <c r="W689" s="20">
        <v>45950</v>
      </c>
      <c r="X689" t="s">
        <v>273</v>
      </c>
      <c r="Y689" s="23">
        <v>6.0615384615384604</v>
      </c>
      <c r="Z689" s="23">
        <v>5.5923076923076902</v>
      </c>
      <c r="AA689" s="23">
        <v>5.8269230769230802</v>
      </c>
      <c r="AD689" s="20">
        <v>46171</v>
      </c>
      <c r="AE689" t="s">
        <v>479</v>
      </c>
      <c r="AF689">
        <v>1120.365807982</v>
      </c>
      <c r="AG689" s="84">
        <f>DATE(YEAR(His53_DataTT[[#This Row],[RptDate]]),MONTH(His53_DataTT[[#This Row],[RptDate]]),1)</f>
        <v>46143</v>
      </c>
      <c r="AO689" s="14"/>
    </row>
    <row r="690" spans="17:41" x14ac:dyDescent="0.3">
      <c r="Q690" s="93">
        <v>46227</v>
      </c>
      <c r="R690" t="s">
        <v>498</v>
      </c>
      <c r="S690" t="s">
        <v>399</v>
      </c>
      <c r="T690" s="14">
        <v>10800</v>
      </c>
      <c r="W690" s="20">
        <v>45950</v>
      </c>
      <c r="X690" t="s">
        <v>274</v>
      </c>
      <c r="Y690" s="23">
        <v>6.1538461538461497</v>
      </c>
      <c r="Z690" s="23">
        <v>5.7153846153846199</v>
      </c>
      <c r="AA690" s="23">
        <v>5.9346153846153804</v>
      </c>
      <c r="AD690" s="20">
        <v>46171</v>
      </c>
      <c r="AE690" t="s">
        <v>557</v>
      </c>
      <c r="AF690">
        <v>2202.9278943240001</v>
      </c>
      <c r="AG690" s="84">
        <f>DATE(YEAR(His53_DataTT[[#This Row],[RptDate]]),MONTH(His53_DataTT[[#This Row],[RptDate]]),1)</f>
        <v>46143</v>
      </c>
      <c r="AO690" s="14"/>
    </row>
    <row r="691" spans="17:41" x14ac:dyDescent="0.3">
      <c r="Q691" s="93">
        <v>46227</v>
      </c>
      <c r="R691" t="s">
        <v>494</v>
      </c>
      <c r="S691" t="s">
        <v>399</v>
      </c>
      <c r="T691" s="14">
        <v>0</v>
      </c>
      <c r="W691" s="20">
        <v>45950</v>
      </c>
      <c r="X691" t="s">
        <v>275</v>
      </c>
      <c r="Y691" s="23">
        <v>6.2192307692307702</v>
      </c>
      <c r="Z691" s="23">
        <v>5.7807692307692298</v>
      </c>
      <c r="AA691" s="23">
        <v>6</v>
      </c>
      <c r="AD691" s="20">
        <v>46174</v>
      </c>
      <c r="AE691" t="s">
        <v>479</v>
      </c>
      <c r="AF691">
        <v>597.33760365900002</v>
      </c>
      <c r="AG691" s="84">
        <f>DATE(YEAR(His53_DataTT[[#This Row],[RptDate]]),MONTH(His53_DataTT[[#This Row],[RptDate]]),1)</f>
        <v>46174</v>
      </c>
      <c r="AO691" s="14"/>
    </row>
    <row r="692" spans="17:41" x14ac:dyDescent="0.3">
      <c r="Q692" s="93">
        <v>46227</v>
      </c>
      <c r="R692" t="s">
        <v>495</v>
      </c>
      <c r="S692" t="s">
        <v>399</v>
      </c>
      <c r="T692" s="14">
        <v>0</v>
      </c>
      <c r="W692" s="20">
        <v>45950</v>
      </c>
      <c r="X692" t="s">
        <v>276</v>
      </c>
      <c r="Y692" s="23">
        <v>6.2615384615384597</v>
      </c>
      <c r="Z692" s="23">
        <v>5.8153846153846196</v>
      </c>
      <c r="AA692" s="23">
        <v>6.0384615384615401</v>
      </c>
      <c r="AD692" s="20">
        <v>46174</v>
      </c>
      <c r="AE692" t="s">
        <v>557</v>
      </c>
      <c r="AF692">
        <v>2861.1537447320002</v>
      </c>
      <c r="AG692" s="84">
        <f>DATE(YEAR(His53_DataTT[[#This Row],[RptDate]]),MONTH(His53_DataTT[[#This Row],[RptDate]]),1)</f>
        <v>46174</v>
      </c>
      <c r="AO692" s="14"/>
    </row>
    <row r="693" spans="17:41" x14ac:dyDescent="0.3">
      <c r="Q693" s="93">
        <v>46227</v>
      </c>
      <c r="R693" t="s">
        <v>493</v>
      </c>
      <c r="S693" t="s">
        <v>399</v>
      </c>
      <c r="T693" s="14">
        <v>0</v>
      </c>
      <c r="W693" s="20">
        <v>45950</v>
      </c>
      <c r="X693" t="s">
        <v>277</v>
      </c>
      <c r="Y693" s="23">
        <v>6.3038461538461501</v>
      </c>
      <c r="Z693" s="23">
        <v>5.85</v>
      </c>
      <c r="AA693" s="23">
        <v>6.0769230769230802</v>
      </c>
      <c r="AD693" s="20">
        <v>46175</v>
      </c>
      <c r="AE693" t="s">
        <v>479</v>
      </c>
      <c r="AF693">
        <v>924.11046210300003</v>
      </c>
      <c r="AG693" s="84">
        <f>DATE(YEAR(His53_DataTT[[#This Row],[RptDate]]),MONTH(His53_DataTT[[#This Row],[RptDate]]),1)</f>
        <v>46174</v>
      </c>
      <c r="AO693" s="14"/>
    </row>
    <row r="694" spans="17:41" x14ac:dyDescent="0.3">
      <c r="Q694" s="93">
        <v>46227</v>
      </c>
      <c r="R694" t="s">
        <v>593</v>
      </c>
      <c r="S694" t="s">
        <v>399</v>
      </c>
      <c r="T694" s="14">
        <v>9235</v>
      </c>
      <c r="W694" s="20">
        <v>45950</v>
      </c>
      <c r="X694" t="s">
        <v>278</v>
      </c>
      <c r="Y694" s="23">
        <v>6.3461538461538503</v>
      </c>
      <c r="Z694" s="23">
        <v>5.8961538461538501</v>
      </c>
      <c r="AA694" s="23">
        <v>6.1211538461538497</v>
      </c>
      <c r="AD694" s="20">
        <v>46175</v>
      </c>
      <c r="AE694" t="s">
        <v>557</v>
      </c>
      <c r="AF694">
        <v>2509.7371608849999</v>
      </c>
      <c r="AG694" s="84">
        <f>DATE(YEAR(His53_DataTT[[#This Row],[RptDate]]),MONTH(His53_DataTT[[#This Row],[RptDate]]),1)</f>
        <v>46174</v>
      </c>
      <c r="AO694" s="14"/>
    </row>
    <row r="695" spans="17:41" x14ac:dyDescent="0.3">
      <c r="Q695" s="93">
        <v>46227</v>
      </c>
      <c r="R695" t="s">
        <v>594</v>
      </c>
      <c r="S695" t="s">
        <v>399</v>
      </c>
      <c r="T695" s="14">
        <v>0</v>
      </c>
      <c r="W695" s="20">
        <v>45950</v>
      </c>
      <c r="X695" t="s">
        <v>279</v>
      </c>
      <c r="Y695" s="23">
        <v>6.3961538461538501</v>
      </c>
      <c r="Z695" s="23">
        <v>5.9384615384615396</v>
      </c>
      <c r="AA695" s="23">
        <v>6.1673076923076904</v>
      </c>
      <c r="AD695" s="20">
        <v>46176</v>
      </c>
      <c r="AE695" t="s">
        <v>479</v>
      </c>
      <c r="AF695">
        <v>616.89307128500002</v>
      </c>
      <c r="AG695" s="84">
        <f>DATE(YEAR(His53_DataTT[[#This Row],[RptDate]]),MONTH(His53_DataTT[[#This Row],[RptDate]]),1)</f>
        <v>46174</v>
      </c>
      <c r="AO695" s="14"/>
    </row>
    <row r="696" spans="17:41" x14ac:dyDescent="0.3">
      <c r="Q696" s="93">
        <v>46227</v>
      </c>
      <c r="R696" t="s">
        <v>595</v>
      </c>
      <c r="S696" t="s">
        <v>399</v>
      </c>
      <c r="T696" s="14">
        <v>0</v>
      </c>
      <c r="W696" s="20">
        <v>45950</v>
      </c>
      <c r="X696" t="s">
        <v>280</v>
      </c>
      <c r="Y696" s="23">
        <v>6.4769230769230797</v>
      </c>
      <c r="Z696" s="23">
        <v>6.0153846153846198</v>
      </c>
      <c r="AA696" s="23">
        <v>6.2461538461538497</v>
      </c>
      <c r="AD696" s="20">
        <v>46176</v>
      </c>
      <c r="AE696" t="s">
        <v>557</v>
      </c>
      <c r="AF696">
        <v>2849.141713387</v>
      </c>
      <c r="AG696" s="84">
        <f>DATE(YEAR(His53_DataTT[[#This Row],[RptDate]]),MONTH(His53_DataTT[[#This Row],[RptDate]]),1)</f>
        <v>46174</v>
      </c>
      <c r="AO696" s="14"/>
    </row>
    <row r="697" spans="17:41" x14ac:dyDescent="0.3">
      <c r="Q697" s="93">
        <v>46227</v>
      </c>
      <c r="R697" t="s">
        <v>1439</v>
      </c>
      <c r="S697" t="s">
        <v>399</v>
      </c>
      <c r="T697" s="14">
        <v>500.33011513189501</v>
      </c>
      <c r="W697" s="20">
        <v>45950</v>
      </c>
      <c r="X697" t="s">
        <v>281</v>
      </c>
      <c r="Y697" s="23">
        <v>6.5307692307692298</v>
      </c>
      <c r="Z697" s="23">
        <v>6.0846153846153896</v>
      </c>
      <c r="AA697" s="23">
        <v>6.3076923076923102</v>
      </c>
      <c r="AD697" s="20">
        <v>46177</v>
      </c>
      <c r="AE697" t="s">
        <v>479</v>
      </c>
      <c r="AF697">
        <v>311.14824911599999</v>
      </c>
      <c r="AG697" s="84">
        <f>DATE(YEAR(His53_DataTT[[#This Row],[RptDate]]),MONTH(His53_DataTT[[#This Row],[RptDate]]),1)</f>
        <v>46174</v>
      </c>
      <c r="AO697" s="14"/>
    </row>
    <row r="698" spans="17:41" x14ac:dyDescent="0.3">
      <c r="Q698" s="93">
        <v>46227</v>
      </c>
      <c r="R698" t="s">
        <v>479</v>
      </c>
      <c r="S698" t="s">
        <v>395</v>
      </c>
      <c r="T698" s="14">
        <v>10546.522079029201</v>
      </c>
      <c r="W698" s="20">
        <v>45943</v>
      </c>
      <c r="X698" t="s">
        <v>270</v>
      </c>
      <c r="Y698" s="23">
        <v>5.7750000000000004</v>
      </c>
      <c r="Z698" s="23">
        <v>5.375</v>
      </c>
      <c r="AA698" s="23">
        <v>5.5750000000000002</v>
      </c>
      <c r="AD698" s="20">
        <v>46177</v>
      </c>
      <c r="AE698" t="s">
        <v>557</v>
      </c>
      <c r="AF698">
        <v>3532.7246753139998</v>
      </c>
      <c r="AG698" s="84">
        <f>DATE(YEAR(His53_DataTT[[#This Row],[RptDate]]),MONTH(His53_DataTT[[#This Row],[RptDate]]),1)</f>
        <v>46174</v>
      </c>
      <c r="AO698" s="14"/>
    </row>
    <row r="699" spans="17:41" x14ac:dyDescent="0.3">
      <c r="Q699" s="93">
        <v>46226</v>
      </c>
      <c r="R699" t="s">
        <v>479</v>
      </c>
      <c r="S699" t="s">
        <v>399</v>
      </c>
      <c r="T699" s="14">
        <v>11389.297859202599</v>
      </c>
      <c r="W699" s="20">
        <v>45943</v>
      </c>
      <c r="X699" t="s">
        <v>271</v>
      </c>
      <c r="Y699" s="23">
        <v>6.0166666666666702</v>
      </c>
      <c r="Z699" s="23">
        <v>5.5166666666666702</v>
      </c>
      <c r="AA699" s="23">
        <v>5.7666666666666702</v>
      </c>
      <c r="AD699" s="20">
        <v>46178</v>
      </c>
      <c r="AE699" t="s">
        <v>479</v>
      </c>
      <c r="AF699">
        <v>2671.335172824</v>
      </c>
      <c r="AG699" s="84">
        <f>DATE(YEAR(His53_DataTT[[#This Row],[RptDate]]),MONTH(His53_DataTT[[#This Row],[RptDate]]),1)</f>
        <v>46174</v>
      </c>
      <c r="AO699" s="14"/>
    </row>
    <row r="700" spans="17:41" x14ac:dyDescent="0.3">
      <c r="Q700" s="93">
        <v>46226</v>
      </c>
      <c r="R700" t="s">
        <v>364</v>
      </c>
      <c r="S700" t="s">
        <v>399</v>
      </c>
      <c r="T700" s="14">
        <v>28650</v>
      </c>
      <c r="W700" s="20">
        <v>45943</v>
      </c>
      <c r="X700" t="s">
        <v>272</v>
      </c>
      <c r="Y700" s="23">
        <v>5.9115384615384601</v>
      </c>
      <c r="Z700" s="23">
        <v>5.4730769230769196</v>
      </c>
      <c r="AA700" s="23">
        <v>5.6923076923076898</v>
      </c>
      <c r="AD700" s="20">
        <v>46178</v>
      </c>
      <c r="AE700" t="s">
        <v>557</v>
      </c>
      <c r="AF700">
        <v>4842.1434072510001</v>
      </c>
      <c r="AG700" s="84">
        <f>DATE(YEAR(His53_DataTT[[#This Row],[RptDate]]),MONTH(His53_DataTT[[#This Row],[RptDate]]),1)</f>
        <v>46174</v>
      </c>
      <c r="AO700" s="14"/>
    </row>
    <row r="701" spans="17:41" x14ac:dyDescent="0.3">
      <c r="Q701" s="93">
        <v>46226</v>
      </c>
      <c r="R701" t="s">
        <v>491</v>
      </c>
      <c r="S701" t="s">
        <v>399</v>
      </c>
      <c r="T701" s="14">
        <v>397.61059999999998</v>
      </c>
      <c r="W701" s="20">
        <v>45943</v>
      </c>
      <c r="X701" t="s">
        <v>273</v>
      </c>
      <c r="Y701" s="23">
        <v>5.9692307692307702</v>
      </c>
      <c r="Z701" s="23">
        <v>5.5076923076923103</v>
      </c>
      <c r="AA701" s="23">
        <v>5.7384615384615403</v>
      </c>
      <c r="AD701" s="20">
        <v>46181</v>
      </c>
      <c r="AE701" t="s">
        <v>479</v>
      </c>
      <c r="AF701">
        <v>5038.5214413699996</v>
      </c>
      <c r="AG701" s="84">
        <f>DATE(YEAR(His53_DataTT[[#This Row],[RptDate]]),MONTH(His53_DataTT[[#This Row],[RptDate]]),1)</f>
        <v>46174</v>
      </c>
      <c r="AO701" s="14"/>
    </row>
    <row r="702" spans="17:41" x14ac:dyDescent="0.3">
      <c r="Q702" s="93">
        <v>46226</v>
      </c>
      <c r="R702" t="s">
        <v>492</v>
      </c>
      <c r="S702" t="s">
        <v>399</v>
      </c>
      <c r="T702" s="14">
        <v>10800</v>
      </c>
      <c r="W702" s="20">
        <v>45943</v>
      </c>
      <c r="X702" t="s">
        <v>274</v>
      </c>
      <c r="Y702" s="23">
        <v>6.0461538461538504</v>
      </c>
      <c r="Z702" s="23">
        <v>5.5846153846153896</v>
      </c>
      <c r="AA702" s="23">
        <v>5.8153846153846196</v>
      </c>
      <c r="AD702" s="20">
        <v>46181</v>
      </c>
      <c r="AE702" t="s">
        <v>557</v>
      </c>
      <c r="AF702">
        <v>4153.9745837439996</v>
      </c>
      <c r="AG702" s="84">
        <f>DATE(YEAR(His53_DataTT[[#This Row],[RptDate]]),MONTH(His53_DataTT[[#This Row],[RptDate]]),1)</f>
        <v>46174</v>
      </c>
      <c r="AO702" s="14"/>
    </row>
    <row r="703" spans="17:41" x14ac:dyDescent="0.3">
      <c r="Q703" s="93">
        <v>46226</v>
      </c>
      <c r="R703" t="s">
        <v>1438</v>
      </c>
      <c r="S703" t="s">
        <v>399</v>
      </c>
      <c r="T703" s="14">
        <v>191.68725920260999</v>
      </c>
      <c r="W703" s="20">
        <v>45943</v>
      </c>
      <c r="X703" t="s">
        <v>275</v>
      </c>
      <c r="Y703" s="23">
        <v>6.1192307692307697</v>
      </c>
      <c r="Z703" s="23">
        <v>5.6576923076923098</v>
      </c>
      <c r="AA703" s="23">
        <v>5.8884615384615397</v>
      </c>
      <c r="AD703" s="20">
        <v>46182</v>
      </c>
      <c r="AE703" t="s">
        <v>479</v>
      </c>
      <c r="AF703">
        <v>596.28098008300003</v>
      </c>
      <c r="AG703" s="84">
        <f>DATE(YEAR(His53_DataTT[[#This Row],[RptDate]]),MONTH(His53_DataTT[[#This Row],[RptDate]]),1)</f>
        <v>46174</v>
      </c>
      <c r="AO703" s="14"/>
    </row>
    <row r="704" spans="17:41" x14ac:dyDescent="0.3">
      <c r="Q704" s="93">
        <v>46226</v>
      </c>
      <c r="R704" t="s">
        <v>496</v>
      </c>
      <c r="S704" t="s">
        <v>399</v>
      </c>
      <c r="T704" s="14">
        <v>19115</v>
      </c>
      <c r="W704" s="20">
        <v>45943</v>
      </c>
      <c r="X704" t="s">
        <v>276</v>
      </c>
      <c r="Y704" s="23">
        <v>6.1692307692307704</v>
      </c>
      <c r="Z704" s="23">
        <v>5.7</v>
      </c>
      <c r="AA704" s="23">
        <v>5.9346153846153804</v>
      </c>
      <c r="AD704" s="20">
        <v>46182</v>
      </c>
      <c r="AE704" t="s">
        <v>557</v>
      </c>
      <c r="AF704">
        <v>4551.8501312810004</v>
      </c>
      <c r="AG704" s="84">
        <f>DATE(YEAR(His53_DataTT[[#This Row],[RptDate]]),MONTH(His53_DataTT[[#This Row],[RptDate]]),1)</f>
        <v>46174</v>
      </c>
      <c r="AO704" s="14"/>
    </row>
    <row r="705" spans="17:41" x14ac:dyDescent="0.3">
      <c r="Q705" s="93">
        <v>46226</v>
      </c>
      <c r="R705" t="s">
        <v>497</v>
      </c>
      <c r="S705" t="s">
        <v>399</v>
      </c>
      <c r="T705" s="14">
        <v>397.61059999999998</v>
      </c>
      <c r="W705" s="20">
        <v>45943</v>
      </c>
      <c r="X705" t="s">
        <v>277</v>
      </c>
      <c r="Y705" s="23">
        <v>6.25</v>
      </c>
      <c r="Z705" s="23">
        <v>5.7653846153846198</v>
      </c>
      <c r="AA705" s="23">
        <v>6.0076923076923103</v>
      </c>
      <c r="AD705" s="20">
        <v>46183</v>
      </c>
      <c r="AE705" t="s">
        <v>479</v>
      </c>
      <c r="AF705">
        <v>596.28098008300003</v>
      </c>
      <c r="AG705" s="84">
        <f>DATE(YEAR(His53_DataTT[[#This Row],[RptDate]]),MONTH(His53_DataTT[[#This Row],[RptDate]]),1)</f>
        <v>46174</v>
      </c>
      <c r="AO705" s="14"/>
    </row>
    <row r="706" spans="17:41" x14ac:dyDescent="0.3">
      <c r="Q706" s="93">
        <v>46226</v>
      </c>
      <c r="R706" t="s">
        <v>498</v>
      </c>
      <c r="S706" t="s">
        <v>399</v>
      </c>
      <c r="T706" s="14">
        <v>10800</v>
      </c>
      <c r="W706" s="20">
        <v>45943</v>
      </c>
      <c r="X706" t="s">
        <v>278</v>
      </c>
      <c r="Y706" s="23">
        <v>6.2846153846153898</v>
      </c>
      <c r="Z706" s="23">
        <v>5.8038461538461599</v>
      </c>
      <c r="AA706" s="23">
        <v>6.0442307692307704</v>
      </c>
      <c r="AD706" s="20">
        <v>46183</v>
      </c>
      <c r="AE706" t="s">
        <v>557</v>
      </c>
      <c r="AF706">
        <v>4551.8501312810004</v>
      </c>
      <c r="AG706" s="84">
        <f>DATE(YEAR(His53_DataTT[[#This Row],[RptDate]]),MONTH(His53_DataTT[[#This Row],[RptDate]]),1)</f>
        <v>46174</v>
      </c>
      <c r="AO706" s="14"/>
    </row>
    <row r="707" spans="17:41" x14ac:dyDescent="0.3">
      <c r="Q707" s="93">
        <v>46226</v>
      </c>
      <c r="R707" t="s">
        <v>494</v>
      </c>
      <c r="S707" t="s">
        <v>399</v>
      </c>
      <c r="T707" s="14">
        <v>0</v>
      </c>
      <c r="W707" s="20">
        <v>45943</v>
      </c>
      <c r="X707" t="s">
        <v>279</v>
      </c>
      <c r="Y707" s="23">
        <v>6.3269230769230802</v>
      </c>
      <c r="Z707" s="23">
        <v>5.8461538461538503</v>
      </c>
      <c r="AA707" s="23">
        <v>6.0865384615384599</v>
      </c>
      <c r="AD707" s="20">
        <v>46184</v>
      </c>
      <c r="AE707" t="s">
        <v>479</v>
      </c>
      <c r="AF707">
        <v>3983.1473170139998</v>
      </c>
      <c r="AG707" s="84">
        <f>DATE(YEAR(His53_DataTT[[#This Row],[RptDate]]),MONTH(His53_DataTT[[#This Row],[RptDate]]),1)</f>
        <v>46174</v>
      </c>
      <c r="AO707" s="14"/>
    </row>
    <row r="708" spans="17:41" x14ac:dyDescent="0.3">
      <c r="Q708" s="93">
        <v>46226</v>
      </c>
      <c r="R708" t="s">
        <v>495</v>
      </c>
      <c r="S708" t="s">
        <v>399</v>
      </c>
      <c r="T708" s="14">
        <v>0</v>
      </c>
      <c r="W708" s="20">
        <v>45943</v>
      </c>
      <c r="X708" t="s">
        <v>280</v>
      </c>
      <c r="Y708" s="23">
        <v>6.4230769230769198</v>
      </c>
      <c r="Z708" s="23">
        <v>5.9384615384615396</v>
      </c>
      <c r="AA708" s="23">
        <v>6.1807692307692301</v>
      </c>
      <c r="AD708" s="20">
        <v>46184</v>
      </c>
      <c r="AE708" t="s">
        <v>557</v>
      </c>
      <c r="AF708">
        <v>6266.873808411</v>
      </c>
      <c r="AG708" s="84">
        <f>DATE(YEAR(His53_DataTT[[#This Row],[RptDate]]),MONTH(His53_DataTT[[#This Row],[RptDate]]),1)</f>
        <v>46174</v>
      </c>
      <c r="AO708" s="14"/>
    </row>
    <row r="709" spans="17:41" x14ac:dyDescent="0.3">
      <c r="Q709" s="93">
        <v>46226</v>
      </c>
      <c r="R709" t="s">
        <v>493</v>
      </c>
      <c r="S709" t="s">
        <v>399</v>
      </c>
      <c r="T709" s="14">
        <v>0</v>
      </c>
      <c r="W709" s="20">
        <v>45943</v>
      </c>
      <c r="X709" t="s">
        <v>281</v>
      </c>
      <c r="Y709" s="23">
        <v>6.4692307692307702</v>
      </c>
      <c r="Z709" s="23">
        <v>6.0153846153846198</v>
      </c>
      <c r="AA709" s="23">
        <v>6.2423076923076897</v>
      </c>
      <c r="AD709" s="20">
        <v>46185</v>
      </c>
      <c r="AE709" t="s">
        <v>479</v>
      </c>
      <c r="AF709">
        <v>8867.5946143900001</v>
      </c>
      <c r="AG709" s="84">
        <f>DATE(YEAR(His53_DataTT[[#This Row],[RptDate]]),MONTH(His53_DataTT[[#This Row],[RptDate]]),1)</f>
        <v>46174</v>
      </c>
      <c r="AO709" s="14"/>
    </row>
    <row r="710" spans="17:41" x14ac:dyDescent="0.3">
      <c r="Q710" s="93">
        <v>46226</v>
      </c>
      <c r="R710" t="s">
        <v>593</v>
      </c>
      <c r="S710" t="s">
        <v>399</v>
      </c>
      <c r="T710" s="14">
        <v>9535</v>
      </c>
      <c r="W710" s="20">
        <v>45954</v>
      </c>
      <c r="X710" t="s">
        <v>270</v>
      </c>
      <c r="Y710" s="23">
        <v>5.9833333333333298</v>
      </c>
      <c r="Z710" s="23">
        <v>5.55</v>
      </c>
      <c r="AA710" s="23">
        <v>5.7666666666666702</v>
      </c>
      <c r="AD710" s="20">
        <v>46185</v>
      </c>
      <c r="AE710" t="s">
        <v>557</v>
      </c>
      <c r="AF710">
        <v>5564.2201889369999</v>
      </c>
      <c r="AG710" s="84">
        <f>DATE(YEAR(His53_DataTT[[#This Row],[RptDate]]),MONTH(His53_DataTT[[#This Row],[RptDate]]),1)</f>
        <v>46174</v>
      </c>
      <c r="AO710" s="14"/>
    </row>
    <row r="711" spans="17:41" x14ac:dyDescent="0.3">
      <c r="Q711" s="93">
        <v>46226</v>
      </c>
      <c r="R711" t="s">
        <v>594</v>
      </c>
      <c r="S711" t="s">
        <v>399</v>
      </c>
      <c r="T711" s="14">
        <v>0</v>
      </c>
      <c r="W711" s="20">
        <v>45954</v>
      </c>
      <c r="X711" t="s">
        <v>271</v>
      </c>
      <c r="Y711" s="23">
        <v>6.1</v>
      </c>
      <c r="Z711" s="23">
        <v>5.65</v>
      </c>
      <c r="AA711" s="23">
        <v>5.875</v>
      </c>
      <c r="AD711" s="20">
        <v>46188</v>
      </c>
      <c r="AE711" t="s">
        <v>479</v>
      </c>
      <c r="AF711">
        <v>2153.2469183060002</v>
      </c>
      <c r="AG711" s="84">
        <f>DATE(YEAR(His53_DataTT[[#This Row],[RptDate]]),MONTH(His53_DataTT[[#This Row],[RptDate]]),1)</f>
        <v>46174</v>
      </c>
      <c r="AO711" s="14"/>
    </row>
    <row r="712" spans="17:41" x14ac:dyDescent="0.3">
      <c r="Q712" s="93">
        <v>46226</v>
      </c>
      <c r="R712" t="s">
        <v>595</v>
      </c>
      <c r="S712" t="s">
        <v>399</v>
      </c>
      <c r="T712" s="14">
        <v>0</v>
      </c>
      <c r="W712" s="20">
        <v>45954</v>
      </c>
      <c r="X712" t="s">
        <v>272</v>
      </c>
      <c r="Y712" s="23">
        <v>6.0307692307692298</v>
      </c>
      <c r="Z712" s="23">
        <v>5.5846153846153799</v>
      </c>
      <c r="AA712" s="23">
        <v>5.8076923076923102</v>
      </c>
      <c r="AD712" s="20">
        <v>46188</v>
      </c>
      <c r="AE712" t="s">
        <v>557</v>
      </c>
      <c r="AF712">
        <v>2752.1818692100001</v>
      </c>
      <c r="AG712" s="84">
        <f>DATE(YEAR(His53_DataTT[[#This Row],[RptDate]]),MONTH(His53_DataTT[[#This Row],[RptDate]]),1)</f>
        <v>46174</v>
      </c>
      <c r="AO712" s="14"/>
    </row>
    <row r="713" spans="17:41" x14ac:dyDescent="0.3">
      <c r="Q713" s="93">
        <v>46226</v>
      </c>
      <c r="R713" t="s">
        <v>1439</v>
      </c>
      <c r="S713" t="s">
        <v>399</v>
      </c>
      <c r="T713" s="14">
        <v>191.68725920260999</v>
      </c>
      <c r="W713" s="20">
        <v>45954</v>
      </c>
      <c r="X713" t="s">
        <v>273</v>
      </c>
      <c r="Y713" s="23">
        <v>6.0846153846153799</v>
      </c>
      <c r="Z713" s="23">
        <v>5.6</v>
      </c>
      <c r="AA713" s="23">
        <v>5.8423076923076902</v>
      </c>
      <c r="AD713" s="20">
        <v>46189</v>
      </c>
      <c r="AE713" t="s">
        <v>479</v>
      </c>
      <c r="AF713">
        <v>1945.9669418670001</v>
      </c>
      <c r="AG713" s="84">
        <f>DATE(YEAR(His53_DataTT[[#This Row],[RptDate]]),MONTH(His53_DataTT[[#This Row],[RptDate]]),1)</f>
        <v>46174</v>
      </c>
      <c r="AO713" s="14"/>
    </row>
    <row r="714" spans="17:41" x14ac:dyDescent="0.3">
      <c r="Q714" s="93">
        <v>46226</v>
      </c>
      <c r="R714" t="s">
        <v>479</v>
      </c>
      <c r="S714" t="s">
        <v>395</v>
      </c>
      <c r="T714" s="14">
        <v>10332.4439407842</v>
      </c>
      <c r="W714" s="20">
        <v>45954</v>
      </c>
      <c r="X714" t="s">
        <v>274</v>
      </c>
      <c r="Y714" s="23">
        <v>6.1615384615384601</v>
      </c>
      <c r="Z714" s="23">
        <v>5.6923076923076898</v>
      </c>
      <c r="AA714" s="23">
        <v>5.9269230769230798</v>
      </c>
      <c r="AD714" s="20">
        <v>46189</v>
      </c>
      <c r="AE714" t="s">
        <v>557</v>
      </c>
      <c r="AF714">
        <v>2737.2996230140002</v>
      </c>
      <c r="AG714" s="84">
        <f>DATE(YEAR(His53_DataTT[[#This Row],[RptDate]]),MONTH(His53_DataTT[[#This Row],[RptDate]]),1)</f>
        <v>46174</v>
      </c>
      <c r="AO714" s="14"/>
    </row>
    <row r="715" spans="17:41" x14ac:dyDescent="0.3">
      <c r="Q715" s="93">
        <v>46226</v>
      </c>
      <c r="R715" t="s">
        <v>479</v>
      </c>
      <c r="S715" t="s">
        <v>415</v>
      </c>
      <c r="T715" s="14">
        <v>7.1111348651863997</v>
      </c>
      <c r="W715" s="20">
        <v>45954</v>
      </c>
      <c r="X715" t="s">
        <v>275</v>
      </c>
      <c r="Y715" s="23">
        <v>6.2269230769230797</v>
      </c>
      <c r="Z715" s="23">
        <v>5.7576923076923103</v>
      </c>
      <c r="AA715" s="23">
        <v>5.9923076923076897</v>
      </c>
      <c r="AD715" s="20">
        <v>46190</v>
      </c>
      <c r="AE715" t="s">
        <v>479</v>
      </c>
      <c r="AF715">
        <v>1295.5599511830001</v>
      </c>
      <c r="AG715" s="84">
        <f>DATE(YEAR(His53_DataTT[[#This Row],[RptDate]]),MONTH(His53_DataTT[[#This Row],[RptDate]]),1)</f>
        <v>46174</v>
      </c>
      <c r="AO715" s="14"/>
    </row>
    <row r="716" spans="17:41" x14ac:dyDescent="0.3">
      <c r="Q716" s="93">
        <v>46226</v>
      </c>
      <c r="R716" t="s">
        <v>364</v>
      </c>
      <c r="S716" t="s">
        <v>415</v>
      </c>
      <c r="T716" s="14">
        <v>6.8185847589424604</v>
      </c>
      <c r="W716" s="20">
        <v>45954</v>
      </c>
      <c r="X716" t="s">
        <v>276</v>
      </c>
      <c r="Y716" s="23">
        <v>6.2692307692307701</v>
      </c>
      <c r="Z716" s="23">
        <v>5.7923076923076904</v>
      </c>
      <c r="AA716" s="23">
        <v>6.0307692307692298</v>
      </c>
      <c r="AD716" s="20">
        <v>46190</v>
      </c>
      <c r="AE716" t="s">
        <v>557</v>
      </c>
      <c r="AF716">
        <v>7027.5726391970002</v>
      </c>
      <c r="AG716" s="84">
        <f>DATE(YEAR(His53_DataTT[[#This Row],[RptDate]]),MONTH(His53_DataTT[[#This Row],[RptDate]]),1)</f>
        <v>46174</v>
      </c>
      <c r="AO716" s="14"/>
    </row>
    <row r="717" spans="17:41" x14ac:dyDescent="0.3">
      <c r="Q717" s="93">
        <v>46226</v>
      </c>
      <c r="R717" t="s">
        <v>516</v>
      </c>
      <c r="S717" t="s">
        <v>415</v>
      </c>
      <c r="T717" s="14">
        <v>6.9082012987310302</v>
      </c>
      <c r="W717" s="20">
        <v>45954</v>
      </c>
      <c r="X717" t="s">
        <v>277</v>
      </c>
      <c r="Y717" s="23">
        <v>6.3192307692307699</v>
      </c>
      <c r="Z717" s="23">
        <v>5.8346153846153896</v>
      </c>
      <c r="AA717" s="23">
        <v>6.0769230769230802</v>
      </c>
      <c r="AD717" s="20">
        <v>46191</v>
      </c>
      <c r="AE717" t="s">
        <v>479</v>
      </c>
      <c r="AF717">
        <v>999.42783830799999</v>
      </c>
      <c r="AG717" s="84">
        <f>DATE(YEAR(His53_DataTT[[#This Row],[RptDate]]),MONTH(His53_DataTT[[#This Row],[RptDate]]),1)</f>
        <v>46174</v>
      </c>
      <c r="AO717" s="14"/>
    </row>
    <row r="718" spans="17:41" x14ac:dyDescent="0.3">
      <c r="Q718" s="93">
        <v>46226</v>
      </c>
      <c r="R718" t="s">
        <v>1288</v>
      </c>
      <c r="S718" t="s">
        <v>415</v>
      </c>
      <c r="T718" s="14">
        <v>7.1111348651863997</v>
      </c>
      <c r="W718" s="20">
        <v>45954</v>
      </c>
      <c r="X718" t="s">
        <v>278</v>
      </c>
      <c r="Y718" s="23">
        <v>6.3615384615384603</v>
      </c>
      <c r="Z718" s="23">
        <v>5.8807692307692303</v>
      </c>
      <c r="AA718" s="23">
        <v>6.1211538461538497</v>
      </c>
      <c r="AD718" s="20">
        <v>46191</v>
      </c>
      <c r="AE718" t="s">
        <v>557</v>
      </c>
      <c r="AF718">
        <v>2729.1292787409998</v>
      </c>
      <c r="AG718" s="84">
        <f>DATE(YEAR(His53_DataTT[[#This Row],[RptDate]]),MONTH(His53_DataTT[[#This Row],[RptDate]]),1)</f>
        <v>46174</v>
      </c>
      <c r="AO718" s="14"/>
    </row>
    <row r="719" spans="17:41" x14ac:dyDescent="0.3">
      <c r="Q719" s="93">
        <v>46226</v>
      </c>
      <c r="R719" t="s">
        <v>496</v>
      </c>
      <c r="S719" t="s">
        <v>415</v>
      </c>
      <c r="T719" s="14">
        <v>6.6775502984744604</v>
      </c>
      <c r="W719" s="20">
        <v>45954</v>
      </c>
      <c r="X719" t="s">
        <v>279</v>
      </c>
      <c r="Y719" s="23">
        <v>6.4192307692307704</v>
      </c>
      <c r="Z719" s="23">
        <v>5.9384615384615396</v>
      </c>
      <c r="AA719" s="23">
        <v>6.1788461538461501</v>
      </c>
      <c r="AD719" s="20">
        <v>46192</v>
      </c>
      <c r="AE719" t="s">
        <v>479</v>
      </c>
      <c r="AF719">
        <v>2513.8755908379999</v>
      </c>
      <c r="AG719" s="84">
        <f>DATE(YEAR(His53_DataTT[[#This Row],[RptDate]]),MONTH(His53_DataTT[[#This Row],[RptDate]]),1)</f>
        <v>46174</v>
      </c>
      <c r="AO719" s="14"/>
    </row>
    <row r="720" spans="17:41" x14ac:dyDescent="0.3">
      <c r="Q720" s="93">
        <v>46226</v>
      </c>
      <c r="R720" t="s">
        <v>1290</v>
      </c>
      <c r="S720" t="s">
        <v>415</v>
      </c>
      <c r="T720" s="14">
        <v>6.8447719309534696</v>
      </c>
      <c r="W720" s="20">
        <v>45954</v>
      </c>
      <c r="X720" t="s">
        <v>280</v>
      </c>
      <c r="Y720" s="23">
        <v>6.4923076923076897</v>
      </c>
      <c r="Z720" s="23">
        <v>6.0076923076923103</v>
      </c>
      <c r="AA720" s="23">
        <v>6.25</v>
      </c>
      <c r="AD720" s="20">
        <v>46192</v>
      </c>
      <c r="AE720" t="s">
        <v>557</v>
      </c>
      <c r="AF720">
        <v>1605.31801144</v>
      </c>
      <c r="AG720" s="84">
        <f>DATE(YEAR(His53_DataTT[[#This Row],[RptDate]]),MONTH(His53_DataTT[[#This Row],[RptDate]]),1)</f>
        <v>46174</v>
      </c>
      <c r="AO720" s="14"/>
    </row>
    <row r="721" spans="17:41" x14ac:dyDescent="0.3">
      <c r="Q721" s="93">
        <v>46226</v>
      </c>
      <c r="R721" t="s">
        <v>364</v>
      </c>
      <c r="S721" t="s">
        <v>997</v>
      </c>
      <c r="T721" s="14">
        <v>32150</v>
      </c>
      <c r="W721" s="20">
        <v>45954</v>
      </c>
      <c r="X721" t="s">
        <v>281</v>
      </c>
      <c r="Y721" s="23">
        <v>6.5538461538461501</v>
      </c>
      <c r="Z721" s="23">
        <v>6.0846153846153896</v>
      </c>
      <c r="AA721" s="23">
        <v>6.3192307692307699</v>
      </c>
      <c r="AD721" s="20">
        <v>46195</v>
      </c>
      <c r="AE721" t="s">
        <v>479</v>
      </c>
      <c r="AF721">
        <v>3266.113947629</v>
      </c>
      <c r="AG721" s="84">
        <f>DATE(YEAR(His53_DataTT[[#This Row],[RptDate]]),MONTH(His53_DataTT[[#This Row],[RptDate]]),1)</f>
        <v>46174</v>
      </c>
      <c r="AO721" s="14"/>
    </row>
    <row r="722" spans="17:41" x14ac:dyDescent="0.3">
      <c r="Q722" s="93">
        <v>46226</v>
      </c>
      <c r="R722" t="s">
        <v>496</v>
      </c>
      <c r="S722" t="s">
        <v>997</v>
      </c>
      <c r="T722" s="14">
        <v>22615</v>
      </c>
      <c r="W722" s="20">
        <v>45958</v>
      </c>
      <c r="X722" t="s">
        <v>270</v>
      </c>
      <c r="Y722" s="23">
        <v>5.9714285714285698</v>
      </c>
      <c r="Z722" s="23">
        <v>5.5285714285714302</v>
      </c>
      <c r="AA722" s="23">
        <v>5.75</v>
      </c>
      <c r="AD722" s="20">
        <v>46195</v>
      </c>
      <c r="AE722" t="s">
        <v>557</v>
      </c>
      <c r="AF722">
        <v>6313.8001582970001</v>
      </c>
      <c r="AG722" s="84">
        <f>DATE(YEAR(His53_DataTT[[#This Row],[RptDate]]),MONTH(His53_DataTT[[#This Row],[RptDate]]),1)</f>
        <v>46174</v>
      </c>
      <c r="AO722" s="14"/>
    </row>
    <row r="723" spans="17:41" x14ac:dyDescent="0.3">
      <c r="Q723" s="93">
        <v>46226</v>
      </c>
      <c r="R723" t="s">
        <v>1388</v>
      </c>
      <c r="S723" t="s">
        <v>997</v>
      </c>
      <c r="T723" s="14">
        <v>14197.6106</v>
      </c>
      <c r="W723" s="20">
        <v>45958</v>
      </c>
      <c r="X723" t="s">
        <v>271</v>
      </c>
      <c r="Y723" s="23">
        <v>6.1</v>
      </c>
      <c r="Z723" s="23">
        <v>5.65</v>
      </c>
      <c r="AA723" s="23">
        <v>5.875</v>
      </c>
      <c r="AD723" s="20">
        <v>46196</v>
      </c>
      <c r="AE723" t="s">
        <v>479</v>
      </c>
      <c r="AF723">
        <v>504.75106428800001</v>
      </c>
      <c r="AG723" s="84">
        <f>DATE(YEAR(His53_DataTT[[#This Row],[RptDate]]),MONTH(His53_DataTT[[#This Row],[RptDate]]),1)</f>
        <v>46174</v>
      </c>
      <c r="AO723" s="14"/>
    </row>
    <row r="724" spans="17:41" x14ac:dyDescent="0.3">
      <c r="Q724" s="93">
        <v>46226</v>
      </c>
      <c r="R724" t="s">
        <v>1389</v>
      </c>
      <c r="S724" t="s">
        <v>997</v>
      </c>
      <c r="T724" s="14">
        <v>13800</v>
      </c>
      <c r="W724" s="20">
        <v>45958</v>
      </c>
      <c r="X724" t="s">
        <v>272</v>
      </c>
      <c r="Y724" s="23">
        <v>6.0461538461538504</v>
      </c>
      <c r="Z724" s="23">
        <v>5.6</v>
      </c>
      <c r="AA724" s="23">
        <v>5.8230769230769202</v>
      </c>
      <c r="AD724" s="20">
        <v>46196</v>
      </c>
      <c r="AE724" t="s">
        <v>557</v>
      </c>
      <c r="AF724">
        <v>3453.8615024649998</v>
      </c>
      <c r="AG724" s="84">
        <f>DATE(YEAR(His53_DataTT[[#This Row],[RptDate]]),MONTH(His53_DataTT[[#This Row],[RptDate]]),1)</f>
        <v>46174</v>
      </c>
      <c r="AO724" s="14"/>
    </row>
    <row r="725" spans="17:41" x14ac:dyDescent="0.3">
      <c r="Q725" s="93">
        <v>46226</v>
      </c>
      <c r="R725" t="s">
        <v>1390</v>
      </c>
      <c r="S725" t="s">
        <v>997</v>
      </c>
      <c r="T725" s="14">
        <v>397.61059999999998</v>
      </c>
      <c r="W725" s="20">
        <v>45958</v>
      </c>
      <c r="X725" t="s">
        <v>273</v>
      </c>
      <c r="Y725" s="23">
        <v>6.1</v>
      </c>
      <c r="Z725" s="23">
        <v>5.6153846153846203</v>
      </c>
      <c r="AA725" s="23">
        <v>5.85769230769231</v>
      </c>
      <c r="AD725" s="20">
        <v>46197</v>
      </c>
      <c r="AE725" t="s">
        <v>479</v>
      </c>
      <c r="AF725">
        <v>3062.5907196349999</v>
      </c>
      <c r="AG725" s="84">
        <f>DATE(YEAR(His53_DataTT[[#This Row],[RptDate]]),MONTH(His53_DataTT[[#This Row],[RptDate]]),1)</f>
        <v>46174</v>
      </c>
      <c r="AO725" s="14"/>
    </row>
    <row r="726" spans="17:41" x14ac:dyDescent="0.3">
      <c r="Q726" s="93">
        <v>46226</v>
      </c>
      <c r="R726" t="s">
        <v>303</v>
      </c>
      <c r="S726" t="s">
        <v>303</v>
      </c>
      <c r="T726" s="14">
        <v>0</v>
      </c>
      <c r="W726" s="20">
        <v>45958</v>
      </c>
      <c r="X726" t="s">
        <v>274</v>
      </c>
      <c r="Y726" s="23">
        <v>6.1730769230769198</v>
      </c>
      <c r="Z726" s="23">
        <v>5.6884615384615396</v>
      </c>
      <c r="AA726" s="23">
        <v>5.9307692307692301</v>
      </c>
      <c r="AD726" s="20">
        <v>46197</v>
      </c>
      <c r="AE726" t="s">
        <v>557</v>
      </c>
      <c r="AF726">
        <v>5381.0453999359997</v>
      </c>
      <c r="AG726" s="84">
        <f>DATE(YEAR(His53_DataTT[[#This Row],[RptDate]]),MONTH(His53_DataTT[[#This Row],[RptDate]]),1)</f>
        <v>46174</v>
      </c>
      <c r="AO726" s="14"/>
    </row>
    <row r="727" spans="17:41" x14ac:dyDescent="0.3">
      <c r="Q727" s="93">
        <v>46226</v>
      </c>
      <c r="R727" t="s">
        <v>303</v>
      </c>
      <c r="S727" t="s">
        <v>303</v>
      </c>
      <c r="T727" s="14">
        <v>0</v>
      </c>
      <c r="W727" s="20">
        <v>45958</v>
      </c>
      <c r="X727" t="s">
        <v>275</v>
      </c>
      <c r="Y727" s="23">
        <v>6.2269230769230797</v>
      </c>
      <c r="Z727" s="23">
        <v>5.7423076923076897</v>
      </c>
      <c r="AA727" s="23">
        <v>5.9846153846153802</v>
      </c>
      <c r="AD727" s="20">
        <v>46198</v>
      </c>
      <c r="AE727" t="s">
        <v>479</v>
      </c>
      <c r="AF727">
        <v>1411.730370709</v>
      </c>
      <c r="AG727" s="84">
        <f>DATE(YEAR(His53_DataTT[[#This Row],[RptDate]]),MONTH(His53_DataTT[[#This Row],[RptDate]]),1)</f>
        <v>46174</v>
      </c>
      <c r="AO727" s="14"/>
    </row>
    <row r="728" spans="17:41" x14ac:dyDescent="0.3">
      <c r="Q728" s="93">
        <v>46226</v>
      </c>
      <c r="R728" t="s">
        <v>303</v>
      </c>
      <c r="S728" t="s">
        <v>303</v>
      </c>
      <c r="T728" s="14">
        <v>0</v>
      </c>
      <c r="W728" s="20">
        <v>45958</v>
      </c>
      <c r="X728" t="s">
        <v>276</v>
      </c>
      <c r="Y728" s="23">
        <v>6.2576923076923103</v>
      </c>
      <c r="Z728" s="23">
        <v>5.7730769230769203</v>
      </c>
      <c r="AA728" s="23">
        <v>6.0153846153846198</v>
      </c>
      <c r="AD728" s="20">
        <v>46198</v>
      </c>
      <c r="AE728" t="s">
        <v>557</v>
      </c>
      <c r="AF728">
        <v>7494.3629775709996</v>
      </c>
      <c r="AG728" s="84">
        <f>DATE(YEAR(His53_DataTT[[#This Row],[RptDate]]),MONTH(His53_DataTT[[#This Row],[RptDate]]),1)</f>
        <v>46174</v>
      </c>
      <c r="AO728" s="14"/>
    </row>
    <row r="729" spans="17:41" x14ac:dyDescent="0.3">
      <c r="Q729" s="93">
        <v>46226</v>
      </c>
      <c r="R729" t="s">
        <v>303</v>
      </c>
      <c r="S729" t="s">
        <v>303</v>
      </c>
      <c r="T729" s="14">
        <v>0</v>
      </c>
      <c r="W729" s="20">
        <v>45958</v>
      </c>
      <c r="X729" t="s">
        <v>277</v>
      </c>
      <c r="Y729" s="23">
        <v>6.3076923076923102</v>
      </c>
      <c r="Z729" s="23">
        <v>5.8307692307692296</v>
      </c>
      <c r="AA729" s="23">
        <v>6.0692307692307699</v>
      </c>
      <c r="AD729" s="20">
        <v>46199</v>
      </c>
      <c r="AE729" t="s">
        <v>479</v>
      </c>
      <c r="AF729">
        <v>1584.5069919130001</v>
      </c>
      <c r="AG729" s="84">
        <f>DATE(YEAR(His53_DataTT[[#This Row],[RptDate]]),MONTH(His53_DataTT[[#This Row],[RptDate]]),1)</f>
        <v>46174</v>
      </c>
      <c r="AO729" s="14"/>
    </row>
    <row r="730" spans="17:41" x14ac:dyDescent="0.3">
      <c r="Q730" s="93">
        <v>46226</v>
      </c>
      <c r="R730" t="s">
        <v>303</v>
      </c>
      <c r="S730" t="s">
        <v>303</v>
      </c>
      <c r="T730" s="14">
        <v>0</v>
      </c>
      <c r="W730" s="20">
        <v>45958</v>
      </c>
      <c r="X730" t="s">
        <v>278</v>
      </c>
      <c r="Y730" s="23">
        <v>6.3461538461538503</v>
      </c>
      <c r="Z730" s="23">
        <v>5.8692307692307697</v>
      </c>
      <c r="AA730" s="23">
        <v>6.10769230769231</v>
      </c>
      <c r="AD730" s="20">
        <v>46199</v>
      </c>
      <c r="AE730" t="s">
        <v>557</v>
      </c>
      <c r="AF730">
        <v>10725.445883842</v>
      </c>
      <c r="AG730" s="84">
        <f>DATE(YEAR(His53_DataTT[[#This Row],[RptDate]]),MONTH(His53_DataTT[[#This Row],[RptDate]]),1)</f>
        <v>46174</v>
      </c>
      <c r="AO730" s="14"/>
    </row>
    <row r="731" spans="17:41" x14ac:dyDescent="0.3">
      <c r="Q731" s="93">
        <v>46225</v>
      </c>
      <c r="R731" t="s">
        <v>364</v>
      </c>
      <c r="S731" t="s">
        <v>399</v>
      </c>
      <c r="T731" s="14">
        <v>28650</v>
      </c>
      <c r="W731" s="20">
        <v>45958</v>
      </c>
      <c r="X731" t="s">
        <v>279</v>
      </c>
      <c r="Y731" s="23">
        <v>6.3961538461538501</v>
      </c>
      <c r="Z731" s="23">
        <v>5.9192307692307704</v>
      </c>
      <c r="AA731" s="23">
        <v>6.1576923076923098</v>
      </c>
      <c r="AD731" s="20">
        <v>46202</v>
      </c>
      <c r="AE731" t="s">
        <v>479</v>
      </c>
      <c r="AF731">
        <v>1162.0078942279999</v>
      </c>
      <c r="AG731" s="84">
        <f>DATE(YEAR(His53_DataTT[[#This Row],[RptDate]]),MONTH(His53_DataTT[[#This Row],[RptDate]]),1)</f>
        <v>46174</v>
      </c>
      <c r="AO731" s="14"/>
    </row>
    <row r="732" spans="17:41" x14ac:dyDescent="0.3">
      <c r="Q732" s="93">
        <v>46225</v>
      </c>
      <c r="R732" t="s">
        <v>491</v>
      </c>
      <c r="S732" t="s">
        <v>399</v>
      </c>
      <c r="T732" s="14">
        <v>397.61059999999998</v>
      </c>
      <c r="W732" s="20">
        <v>45958</v>
      </c>
      <c r="X732" t="s">
        <v>280</v>
      </c>
      <c r="Y732" s="23">
        <v>6.4653846153846199</v>
      </c>
      <c r="Z732" s="23">
        <v>5.9807692307692299</v>
      </c>
      <c r="AA732" s="23">
        <v>6.2230769230769196</v>
      </c>
      <c r="AD732" s="20">
        <v>46202</v>
      </c>
      <c r="AE732" t="s">
        <v>557</v>
      </c>
      <c r="AF732">
        <v>19173.004699067998</v>
      </c>
      <c r="AG732" s="84">
        <f>DATE(YEAR(His53_DataTT[[#This Row],[RptDate]]),MONTH(His53_DataTT[[#This Row],[RptDate]]),1)</f>
        <v>46174</v>
      </c>
      <c r="AO732" s="14"/>
    </row>
    <row r="733" spans="17:41" x14ac:dyDescent="0.3">
      <c r="Q733" s="93">
        <v>46225</v>
      </c>
      <c r="R733" t="s">
        <v>492</v>
      </c>
      <c r="S733" t="s">
        <v>399</v>
      </c>
      <c r="T733" s="14">
        <v>10800</v>
      </c>
      <c r="W733" s="20">
        <v>45958</v>
      </c>
      <c r="X733" t="s">
        <v>281</v>
      </c>
      <c r="Y733" s="23">
        <v>6.5192307692307701</v>
      </c>
      <c r="Z733" s="23">
        <v>6.0346153846153801</v>
      </c>
      <c r="AA733" s="23">
        <v>6.2769230769230804</v>
      </c>
      <c r="AD733" s="20">
        <v>46203</v>
      </c>
      <c r="AE733" t="s">
        <v>479</v>
      </c>
      <c r="AF733">
        <v>973.21286858600001</v>
      </c>
      <c r="AG733" s="84">
        <f>DATE(YEAR(His53_DataTT[[#This Row],[RptDate]]),MONTH(His53_DataTT[[#This Row],[RptDate]]),1)</f>
        <v>46174</v>
      </c>
      <c r="AO733" s="14"/>
    </row>
    <row r="734" spans="17:41" x14ac:dyDescent="0.3">
      <c r="Q734" s="93">
        <v>46225</v>
      </c>
      <c r="R734" t="s">
        <v>1438</v>
      </c>
      <c r="S734" t="s">
        <v>399</v>
      </c>
      <c r="T734" s="14">
        <v>191.76300057239999</v>
      </c>
      <c r="W734" s="20">
        <v>45961</v>
      </c>
      <c r="X734" t="s">
        <v>270</v>
      </c>
      <c r="Y734" s="23">
        <v>5.94</v>
      </c>
      <c r="Z734" s="23">
        <v>5.44</v>
      </c>
      <c r="AA734" s="23">
        <v>5.69</v>
      </c>
      <c r="AD734" s="20">
        <v>46203</v>
      </c>
      <c r="AE734" t="s">
        <v>557</v>
      </c>
      <c r="AF734">
        <v>9226.7135338410008</v>
      </c>
      <c r="AG734" s="84">
        <f>DATE(YEAR(His53_DataTT[[#This Row],[RptDate]]),MONTH(His53_DataTT[[#This Row],[RptDate]]),1)</f>
        <v>46174</v>
      </c>
      <c r="AO734" s="14"/>
    </row>
    <row r="735" spans="17:41" x14ac:dyDescent="0.3">
      <c r="Q735" s="93">
        <v>46225</v>
      </c>
      <c r="R735" t="s">
        <v>496</v>
      </c>
      <c r="S735" t="s">
        <v>399</v>
      </c>
      <c r="T735" s="14">
        <v>18115</v>
      </c>
      <c r="W735" s="20">
        <v>45961</v>
      </c>
      <c r="X735" t="s">
        <v>271</v>
      </c>
      <c r="Y735" s="23">
        <v>6.0875000000000004</v>
      </c>
      <c r="Z735" s="23">
        <v>5.6375000000000002</v>
      </c>
      <c r="AA735" s="23">
        <v>5.8624999999999998</v>
      </c>
      <c r="AD735" s="20">
        <v>46204</v>
      </c>
      <c r="AE735" t="s">
        <v>479</v>
      </c>
      <c r="AF735">
        <v>1923.3399241980001</v>
      </c>
      <c r="AG735" s="84">
        <f>DATE(YEAR(His53_DataTT[[#This Row],[RptDate]]),MONTH(His53_DataTT[[#This Row],[RptDate]]),1)</f>
        <v>46204</v>
      </c>
      <c r="AO735" s="14"/>
    </row>
    <row r="736" spans="17:41" x14ac:dyDescent="0.3">
      <c r="Q736" s="93">
        <v>46225</v>
      </c>
      <c r="R736" t="s">
        <v>497</v>
      </c>
      <c r="S736" t="s">
        <v>399</v>
      </c>
      <c r="T736" s="14">
        <v>397.61059999999998</v>
      </c>
      <c r="W736" s="20">
        <v>45961</v>
      </c>
      <c r="X736" t="s">
        <v>272</v>
      </c>
      <c r="Y736" s="23">
        <v>6.1749999999999998</v>
      </c>
      <c r="Z736" s="23">
        <v>5.7750000000000004</v>
      </c>
      <c r="AA736" s="23">
        <v>5.9749999999999996</v>
      </c>
      <c r="AD736" s="20">
        <v>46204</v>
      </c>
      <c r="AE736" t="s">
        <v>557</v>
      </c>
      <c r="AF736">
        <v>12163.366492374</v>
      </c>
      <c r="AG736" s="84">
        <f>DATE(YEAR(His53_DataTT[[#This Row],[RptDate]]),MONTH(His53_DataTT[[#This Row],[RptDate]]),1)</f>
        <v>46204</v>
      </c>
      <c r="AO736" s="14"/>
    </row>
    <row r="737" spans="17:41" x14ac:dyDescent="0.3">
      <c r="Q737" s="93">
        <v>46225</v>
      </c>
      <c r="R737" t="s">
        <v>498</v>
      </c>
      <c r="S737" t="s">
        <v>399</v>
      </c>
      <c r="T737" s="14">
        <v>10800</v>
      </c>
      <c r="W737" s="20">
        <v>45961</v>
      </c>
      <c r="X737" t="s">
        <v>273</v>
      </c>
      <c r="Y737" s="23">
        <v>6.2384615384615403</v>
      </c>
      <c r="Z737" s="23">
        <v>5.7846153846153898</v>
      </c>
      <c r="AA737" s="23">
        <v>6.0115384615384597</v>
      </c>
      <c r="AD737" s="20">
        <v>46205</v>
      </c>
      <c r="AE737" t="s">
        <v>479</v>
      </c>
      <c r="AF737">
        <v>1142.8297923319999</v>
      </c>
      <c r="AG737" s="84">
        <f>DATE(YEAR(His53_DataTT[[#This Row],[RptDate]]),MONTH(His53_DataTT[[#This Row],[RptDate]]),1)</f>
        <v>46204</v>
      </c>
      <c r="AO737" s="14"/>
    </row>
    <row r="738" spans="17:41" x14ac:dyDescent="0.3">
      <c r="Q738" s="93">
        <v>46225</v>
      </c>
      <c r="R738" t="s">
        <v>494</v>
      </c>
      <c r="S738" t="s">
        <v>399</v>
      </c>
      <c r="T738" s="14">
        <v>0</v>
      </c>
      <c r="W738" s="20">
        <v>45961</v>
      </c>
      <c r="X738" t="s">
        <v>274</v>
      </c>
      <c r="Y738" s="23">
        <v>6.2576923076923103</v>
      </c>
      <c r="Z738" s="23">
        <v>5.7730769230769203</v>
      </c>
      <c r="AA738" s="23">
        <v>6.0153846153846198</v>
      </c>
      <c r="AD738" s="20">
        <v>46205</v>
      </c>
      <c r="AE738" t="s">
        <v>557</v>
      </c>
      <c r="AF738">
        <v>3445.1128322879999</v>
      </c>
      <c r="AG738" s="84">
        <f>DATE(YEAR(His53_DataTT[[#This Row],[RptDate]]),MONTH(His53_DataTT[[#This Row],[RptDate]]),1)</f>
        <v>46204</v>
      </c>
      <c r="AO738" s="14"/>
    </row>
    <row r="739" spans="17:41" x14ac:dyDescent="0.3">
      <c r="Q739" s="93">
        <v>46225</v>
      </c>
      <c r="R739" t="s">
        <v>495</v>
      </c>
      <c r="S739" t="s">
        <v>399</v>
      </c>
      <c r="T739" s="14">
        <v>0</v>
      </c>
      <c r="W739" s="20">
        <v>45961</v>
      </c>
      <c r="X739" t="s">
        <v>275</v>
      </c>
      <c r="Y739" s="23">
        <v>6.2961538461538504</v>
      </c>
      <c r="Z739" s="23">
        <v>5.8115384615384604</v>
      </c>
      <c r="AA739" s="23">
        <v>6.0538461538461501</v>
      </c>
      <c r="AD739" s="20">
        <v>46206</v>
      </c>
      <c r="AE739" t="s">
        <v>479</v>
      </c>
      <c r="AF739">
        <v>1308.2133558319999</v>
      </c>
      <c r="AG739" s="84">
        <f>DATE(YEAR(His53_DataTT[[#This Row],[RptDate]]),MONTH(His53_DataTT[[#This Row],[RptDate]]),1)</f>
        <v>46204</v>
      </c>
      <c r="AO739" s="14"/>
    </row>
    <row r="740" spans="17:41" x14ac:dyDescent="0.3">
      <c r="Q740" s="93">
        <v>46225</v>
      </c>
      <c r="R740" t="s">
        <v>493</v>
      </c>
      <c r="S740" t="s">
        <v>399</v>
      </c>
      <c r="T740" s="14">
        <v>0</v>
      </c>
      <c r="W740" s="20">
        <v>45961</v>
      </c>
      <c r="X740" t="s">
        <v>276</v>
      </c>
      <c r="Y740" s="23">
        <v>6.3269230769230802</v>
      </c>
      <c r="Z740" s="23">
        <v>5.8423076923076902</v>
      </c>
      <c r="AA740" s="23">
        <v>6.0846153846153799</v>
      </c>
      <c r="AD740" s="20">
        <v>46206</v>
      </c>
      <c r="AE740" t="s">
        <v>557</v>
      </c>
      <c r="AF740">
        <v>2704.2555585720002</v>
      </c>
      <c r="AG740" s="84">
        <f>DATE(YEAR(His53_DataTT[[#This Row],[RptDate]]),MONTH(His53_DataTT[[#This Row],[RptDate]]),1)</f>
        <v>46204</v>
      </c>
      <c r="AO740" s="14"/>
    </row>
    <row r="741" spans="17:41" x14ac:dyDescent="0.3">
      <c r="Q741" s="93">
        <v>46225</v>
      </c>
      <c r="R741" t="s">
        <v>593</v>
      </c>
      <c r="S741" t="s">
        <v>399</v>
      </c>
      <c r="T741" s="14">
        <v>10535</v>
      </c>
      <c r="W741" s="20">
        <v>45961</v>
      </c>
      <c r="X741" t="s">
        <v>277</v>
      </c>
      <c r="Y741" s="23">
        <v>6.3692307692307697</v>
      </c>
      <c r="Z741" s="23">
        <v>5.89230769230769</v>
      </c>
      <c r="AA741" s="23">
        <v>6.1307692307692303</v>
      </c>
      <c r="AD741" s="20">
        <v>46209</v>
      </c>
      <c r="AE741" t="s">
        <v>479</v>
      </c>
      <c r="AF741">
        <v>984.36411574199997</v>
      </c>
      <c r="AG741" s="84">
        <f>DATE(YEAR(His53_DataTT[[#This Row],[RptDate]]),MONTH(His53_DataTT[[#This Row],[RptDate]]),1)</f>
        <v>46204</v>
      </c>
      <c r="AO741" s="14"/>
    </row>
    <row r="742" spans="17:41" x14ac:dyDescent="0.3">
      <c r="Q742" s="93">
        <v>46225</v>
      </c>
      <c r="R742" t="s">
        <v>594</v>
      </c>
      <c r="S742" t="s">
        <v>399</v>
      </c>
      <c r="T742" s="14">
        <v>0</v>
      </c>
      <c r="W742" s="20">
        <v>45961</v>
      </c>
      <c r="X742" t="s">
        <v>278</v>
      </c>
      <c r="Y742" s="23">
        <v>6.39230769230769</v>
      </c>
      <c r="Z742" s="23">
        <v>5.9153846153846201</v>
      </c>
      <c r="AA742" s="23">
        <v>6.1538461538461497</v>
      </c>
      <c r="AD742" s="20">
        <v>46209</v>
      </c>
      <c r="AE742" t="s">
        <v>557</v>
      </c>
      <c r="AF742">
        <v>9315.5409363529998</v>
      </c>
      <c r="AG742" s="84">
        <f>DATE(YEAR(His53_DataTT[[#This Row],[RptDate]]),MONTH(His53_DataTT[[#This Row],[RptDate]]),1)</f>
        <v>46204</v>
      </c>
      <c r="AO742" s="14"/>
    </row>
    <row r="743" spans="17:41" x14ac:dyDescent="0.3">
      <c r="Q743" s="93">
        <v>46225</v>
      </c>
      <c r="R743" t="s">
        <v>595</v>
      </c>
      <c r="S743" t="s">
        <v>399</v>
      </c>
      <c r="T743" s="14">
        <v>0</v>
      </c>
      <c r="W743" s="20">
        <v>45961</v>
      </c>
      <c r="X743" t="s">
        <v>279</v>
      </c>
      <c r="Y743" s="23">
        <v>6.45</v>
      </c>
      <c r="Z743" s="23">
        <v>5.9730769230769196</v>
      </c>
      <c r="AA743" s="23">
        <v>6.2115384615384599</v>
      </c>
      <c r="AD743" s="20">
        <v>46210</v>
      </c>
      <c r="AE743" t="s">
        <v>479</v>
      </c>
      <c r="AF743">
        <v>436.96721140800003</v>
      </c>
      <c r="AG743" s="84">
        <f>DATE(YEAR(His53_DataTT[[#This Row],[RptDate]]),MONTH(His53_DataTT[[#This Row],[RptDate]]),1)</f>
        <v>46204</v>
      </c>
      <c r="AO743" s="14"/>
    </row>
    <row r="744" spans="17:41" x14ac:dyDescent="0.3">
      <c r="Q744" s="93">
        <v>46225</v>
      </c>
      <c r="R744" t="s">
        <v>1439</v>
      </c>
      <c r="S744" t="s">
        <v>399</v>
      </c>
      <c r="T744" s="14">
        <v>191.76300057239999</v>
      </c>
      <c r="W744" s="20">
        <v>45961</v>
      </c>
      <c r="X744" t="s">
        <v>280</v>
      </c>
      <c r="Y744" s="23">
        <v>6.4961538461538497</v>
      </c>
      <c r="Z744" s="23">
        <v>6.0115384615384597</v>
      </c>
      <c r="AA744" s="23">
        <v>6.2538461538461503</v>
      </c>
      <c r="AD744" s="20">
        <v>46210</v>
      </c>
      <c r="AE744" t="s">
        <v>557</v>
      </c>
      <c r="AF744">
        <v>4676.3304949229996</v>
      </c>
      <c r="AG744" s="84">
        <f>DATE(YEAR(His53_DataTT[[#This Row],[RptDate]]),MONTH(His53_DataTT[[#This Row],[RptDate]]),1)</f>
        <v>46204</v>
      </c>
      <c r="AO744" s="14"/>
    </row>
    <row r="745" spans="17:41" x14ac:dyDescent="0.3">
      <c r="Q745" s="93">
        <v>46225</v>
      </c>
      <c r="R745" t="s">
        <v>479</v>
      </c>
      <c r="S745" t="s">
        <v>395</v>
      </c>
      <c r="T745" s="14">
        <v>10333.8816431175</v>
      </c>
      <c r="W745" s="20">
        <v>45961</v>
      </c>
      <c r="X745" t="s">
        <v>281</v>
      </c>
      <c r="Y745" s="23">
        <v>6.5423076923076904</v>
      </c>
      <c r="Z745" s="23">
        <v>6.0576923076923102</v>
      </c>
      <c r="AA745" s="23">
        <v>6.3</v>
      </c>
      <c r="AD745" s="20">
        <v>46211</v>
      </c>
      <c r="AE745" t="s">
        <v>479</v>
      </c>
      <c r="AF745">
        <v>269.46813235899998</v>
      </c>
      <c r="AG745" s="84">
        <f>DATE(YEAR(His53_DataTT[[#This Row],[RptDate]]),MONTH(His53_DataTT[[#This Row],[RptDate]]),1)</f>
        <v>46204</v>
      </c>
      <c r="AO745" s="14"/>
    </row>
    <row r="746" spans="17:41" x14ac:dyDescent="0.3">
      <c r="Q746" s="93">
        <v>46225</v>
      </c>
      <c r="R746" t="s">
        <v>479</v>
      </c>
      <c r="S746" t="s">
        <v>415</v>
      </c>
      <c r="T746" s="14">
        <v>7.1111348651863997</v>
      </c>
      <c r="W746" s="20">
        <v>45959</v>
      </c>
      <c r="X746" t="s">
        <v>270</v>
      </c>
      <c r="Y746" s="23">
        <v>5.9569999999999999</v>
      </c>
      <c r="Z746" s="23">
        <v>5.5140000000000002</v>
      </c>
      <c r="AA746" s="23">
        <v>5.7359999999999998</v>
      </c>
      <c r="AD746" s="20">
        <v>46211</v>
      </c>
      <c r="AE746" t="s">
        <v>557</v>
      </c>
      <c r="AF746">
        <v>8559.4850307849993</v>
      </c>
      <c r="AG746" s="84">
        <f>DATE(YEAR(His53_DataTT[[#This Row],[RptDate]]),MONTH(His53_DataTT[[#This Row],[RptDate]]),1)</f>
        <v>46204</v>
      </c>
      <c r="AO746" s="14"/>
    </row>
    <row r="747" spans="17:41" x14ac:dyDescent="0.3">
      <c r="Q747" s="93">
        <v>46225</v>
      </c>
      <c r="R747" t="s">
        <v>364</v>
      </c>
      <c r="S747" t="s">
        <v>415</v>
      </c>
      <c r="T747" s="14">
        <v>6.8185847589424604</v>
      </c>
      <c r="W747" s="20">
        <v>45959</v>
      </c>
      <c r="X747" t="s">
        <v>271</v>
      </c>
      <c r="Y747" s="23">
        <v>6.1</v>
      </c>
      <c r="Z747" s="23">
        <v>5.65</v>
      </c>
      <c r="AA747" s="23">
        <v>5.875</v>
      </c>
      <c r="AD747" s="20">
        <v>46212</v>
      </c>
      <c r="AE747" t="s">
        <v>479</v>
      </c>
      <c r="AF747">
        <v>294.27067181899997</v>
      </c>
      <c r="AG747" s="84">
        <f>DATE(YEAR(His53_DataTT[[#This Row],[RptDate]]),MONTH(His53_DataTT[[#This Row],[RptDate]]),1)</f>
        <v>46204</v>
      </c>
      <c r="AO747" s="14"/>
    </row>
    <row r="748" spans="17:41" x14ac:dyDescent="0.3">
      <c r="Q748" s="93">
        <v>46225</v>
      </c>
      <c r="R748" t="s">
        <v>516</v>
      </c>
      <c r="S748" t="s">
        <v>415</v>
      </c>
      <c r="T748" s="14">
        <v>6.9082012987310302</v>
      </c>
      <c r="W748" s="20">
        <v>45959</v>
      </c>
      <c r="X748" t="s">
        <v>272</v>
      </c>
      <c r="Y748" s="23">
        <v>6.0460000000000003</v>
      </c>
      <c r="Z748" s="23">
        <v>5.6</v>
      </c>
      <c r="AA748" s="23">
        <v>5.8230000000000004</v>
      </c>
      <c r="AD748" s="20">
        <v>46212</v>
      </c>
      <c r="AE748" t="s">
        <v>557</v>
      </c>
      <c r="AF748">
        <v>4570.5095693310004</v>
      </c>
      <c r="AG748" s="84">
        <f>DATE(YEAR(His53_DataTT[[#This Row],[RptDate]]),MONTH(His53_DataTT[[#This Row],[RptDate]]),1)</f>
        <v>46204</v>
      </c>
      <c r="AO748" s="14"/>
    </row>
    <row r="749" spans="17:41" x14ac:dyDescent="0.3">
      <c r="Q749" s="93">
        <v>46225</v>
      </c>
      <c r="R749" t="s">
        <v>1288</v>
      </c>
      <c r="S749" t="s">
        <v>415</v>
      </c>
      <c r="T749" s="14">
        <v>7.1111348651863997</v>
      </c>
      <c r="W749" s="20">
        <v>45959</v>
      </c>
      <c r="X749" t="s">
        <v>273</v>
      </c>
      <c r="Y749" s="23">
        <v>6.1</v>
      </c>
      <c r="Z749" s="23">
        <v>5.6150000000000002</v>
      </c>
      <c r="AA749" s="23">
        <v>5.8579999999999997</v>
      </c>
      <c r="AD749" s="20">
        <v>46213</v>
      </c>
      <c r="AE749" t="s">
        <v>479</v>
      </c>
      <c r="AF749">
        <v>2660.1203220090001</v>
      </c>
      <c r="AG749" s="84">
        <f>DATE(YEAR(His53_DataTT[[#This Row],[RptDate]]),MONTH(His53_DataTT[[#This Row],[RptDate]]),1)</f>
        <v>46204</v>
      </c>
      <c r="AO749" s="14"/>
    </row>
    <row r="750" spans="17:41" x14ac:dyDescent="0.3">
      <c r="Q750" s="93">
        <v>46225</v>
      </c>
      <c r="R750" t="s">
        <v>496</v>
      </c>
      <c r="S750" t="s">
        <v>415</v>
      </c>
      <c r="T750" s="14">
        <v>6.7227758501040897</v>
      </c>
      <c r="W750" s="20">
        <v>45959</v>
      </c>
      <c r="X750" t="s">
        <v>274</v>
      </c>
      <c r="Y750" s="23">
        <v>6.173</v>
      </c>
      <c r="Z750" s="23">
        <v>5.6879999999999997</v>
      </c>
      <c r="AA750" s="23">
        <v>5.931</v>
      </c>
      <c r="AD750" s="20">
        <v>46213</v>
      </c>
      <c r="AE750" t="s">
        <v>557</v>
      </c>
      <c r="AF750">
        <v>9081.0530446140001</v>
      </c>
      <c r="AG750" s="84">
        <f>DATE(YEAR(His53_DataTT[[#This Row],[RptDate]]),MONTH(His53_DataTT[[#This Row],[RptDate]]),1)</f>
        <v>46204</v>
      </c>
      <c r="AO750" s="14"/>
    </row>
    <row r="751" spans="17:41" x14ac:dyDescent="0.3">
      <c r="Q751" s="93">
        <v>46225</v>
      </c>
      <c r="R751" t="s">
        <v>1290</v>
      </c>
      <c r="S751" t="s">
        <v>415</v>
      </c>
      <c r="T751" s="14">
        <v>6.8767375406025302</v>
      </c>
      <c r="W751" s="20">
        <v>45959</v>
      </c>
      <c r="X751" t="s">
        <v>275</v>
      </c>
      <c r="Y751" s="23">
        <v>6.2270000000000003</v>
      </c>
      <c r="Z751" s="23">
        <v>5.742</v>
      </c>
      <c r="AA751" s="23">
        <v>5.9850000000000003</v>
      </c>
      <c r="AD751" s="20">
        <v>46216</v>
      </c>
      <c r="AE751" t="s">
        <v>479</v>
      </c>
      <c r="AF751">
        <v>4226.0607397370004</v>
      </c>
      <c r="AG751" s="84">
        <f>DATE(YEAR(His53_DataTT[[#This Row],[RptDate]]),MONTH(His53_DataTT[[#This Row],[RptDate]]),1)</f>
        <v>46204</v>
      </c>
      <c r="AO751" s="14"/>
    </row>
    <row r="752" spans="17:41" x14ac:dyDescent="0.3">
      <c r="Q752" s="93">
        <v>46225</v>
      </c>
      <c r="R752" t="s">
        <v>364</v>
      </c>
      <c r="S752" t="s">
        <v>997</v>
      </c>
      <c r="T752" s="14">
        <v>32150</v>
      </c>
      <c r="W752" s="20">
        <v>45959</v>
      </c>
      <c r="X752" t="s">
        <v>276</v>
      </c>
      <c r="Y752" s="23">
        <v>6.258</v>
      </c>
      <c r="Z752" s="23">
        <v>5.7729999999999997</v>
      </c>
      <c r="AA752" s="23">
        <v>6.0149999999999997</v>
      </c>
      <c r="AD752" s="20">
        <v>46216</v>
      </c>
      <c r="AE752" t="s">
        <v>557</v>
      </c>
      <c r="AF752">
        <v>6692.0882421679999</v>
      </c>
      <c r="AG752" s="84">
        <f>DATE(YEAR(His53_DataTT[[#This Row],[RptDate]]),MONTH(His53_DataTT[[#This Row],[RptDate]]),1)</f>
        <v>46204</v>
      </c>
      <c r="AO752" s="14"/>
    </row>
    <row r="753" spans="17:41" x14ac:dyDescent="0.3">
      <c r="Q753" s="93">
        <v>46225</v>
      </c>
      <c r="R753" t="s">
        <v>496</v>
      </c>
      <c r="S753" t="s">
        <v>997</v>
      </c>
      <c r="T753" s="14">
        <v>21615</v>
      </c>
      <c r="W753" s="20">
        <v>45959</v>
      </c>
      <c r="X753" t="s">
        <v>277</v>
      </c>
      <c r="Y753" s="23">
        <v>6.3079999999999998</v>
      </c>
      <c r="Z753" s="23">
        <v>5.8310000000000004</v>
      </c>
      <c r="AA753" s="23">
        <v>6.069</v>
      </c>
      <c r="AD753" s="20">
        <v>46217</v>
      </c>
      <c r="AE753" t="s">
        <v>479</v>
      </c>
      <c r="AF753">
        <v>422.83933288600002</v>
      </c>
      <c r="AG753" s="84">
        <f>DATE(YEAR(His53_DataTT[[#This Row],[RptDate]]),MONTH(His53_DataTT[[#This Row],[RptDate]]),1)</f>
        <v>46204</v>
      </c>
      <c r="AO753" s="14"/>
    </row>
    <row r="754" spans="17:41" x14ac:dyDescent="0.3">
      <c r="Q754" s="93">
        <v>46225</v>
      </c>
      <c r="R754" t="s">
        <v>1388</v>
      </c>
      <c r="S754" t="s">
        <v>997</v>
      </c>
      <c r="T754" s="14">
        <v>14197.6106</v>
      </c>
      <c r="W754" s="20">
        <v>45959</v>
      </c>
      <c r="X754" t="s">
        <v>278</v>
      </c>
      <c r="Y754" s="23">
        <v>6.3460000000000001</v>
      </c>
      <c r="Z754" s="23">
        <v>5.8689999999999998</v>
      </c>
      <c r="AA754" s="23">
        <v>6.1079999999999997</v>
      </c>
      <c r="AD754" s="20">
        <v>46217</v>
      </c>
      <c r="AE754" t="s">
        <v>557</v>
      </c>
      <c r="AF754">
        <v>2894.5801644580001</v>
      </c>
      <c r="AG754" s="84">
        <f>DATE(YEAR(His53_DataTT[[#This Row],[RptDate]]),MONTH(His53_DataTT[[#This Row],[RptDate]]),1)</f>
        <v>46204</v>
      </c>
      <c r="AO754" s="14"/>
    </row>
    <row r="755" spans="17:41" x14ac:dyDescent="0.3">
      <c r="Q755" s="93">
        <v>46225</v>
      </c>
      <c r="R755" t="s">
        <v>1389</v>
      </c>
      <c r="S755" t="s">
        <v>997</v>
      </c>
      <c r="T755" s="14">
        <v>13800</v>
      </c>
      <c r="W755" s="20">
        <v>45959</v>
      </c>
      <c r="X755" t="s">
        <v>279</v>
      </c>
      <c r="Y755" s="23">
        <v>6.3959999999999999</v>
      </c>
      <c r="Z755" s="23">
        <v>5.9189999999999996</v>
      </c>
      <c r="AA755" s="23">
        <v>6.1580000000000004</v>
      </c>
      <c r="AD755" s="20">
        <v>46218</v>
      </c>
      <c r="AE755" t="s">
        <v>479</v>
      </c>
      <c r="AF755">
        <v>1737.0434972959999</v>
      </c>
      <c r="AG755" s="84">
        <f>DATE(YEAR(His53_DataTT[[#This Row],[RptDate]]),MONTH(His53_DataTT[[#This Row],[RptDate]]),1)</f>
        <v>46204</v>
      </c>
      <c r="AO755" s="14"/>
    </row>
    <row r="756" spans="17:41" x14ac:dyDescent="0.3">
      <c r="Q756" s="93">
        <v>46225</v>
      </c>
      <c r="R756" t="s">
        <v>1390</v>
      </c>
      <c r="S756" t="s">
        <v>997</v>
      </c>
      <c r="T756" s="14">
        <v>397.61059999999998</v>
      </c>
      <c r="W756" s="20">
        <v>45959</v>
      </c>
      <c r="X756" t="s">
        <v>280</v>
      </c>
      <c r="Y756" s="23">
        <v>6.4649999999999999</v>
      </c>
      <c r="Z756" s="23">
        <v>5.9809999999999999</v>
      </c>
      <c r="AA756" s="23">
        <v>6.2229999999999999</v>
      </c>
      <c r="AD756" s="20">
        <v>46218</v>
      </c>
      <c r="AE756" t="s">
        <v>557</v>
      </c>
      <c r="AF756">
        <v>2389.9610695050001</v>
      </c>
      <c r="AG756" s="84">
        <f>DATE(YEAR(His53_DataTT[[#This Row],[RptDate]]),MONTH(His53_DataTT[[#This Row],[RptDate]]),1)</f>
        <v>46204</v>
      </c>
      <c r="AO756" s="14"/>
    </row>
    <row r="757" spans="17:41" x14ac:dyDescent="0.3">
      <c r="Q757" s="93">
        <v>46225</v>
      </c>
      <c r="R757" t="s">
        <v>303</v>
      </c>
      <c r="S757" t="s">
        <v>303</v>
      </c>
      <c r="T757" s="14">
        <v>0</v>
      </c>
      <c r="W757" s="20">
        <v>45959</v>
      </c>
      <c r="X757" t="s">
        <v>281</v>
      </c>
      <c r="Y757" s="23">
        <v>6.5190000000000001</v>
      </c>
      <c r="Z757" s="23">
        <v>6.0350000000000001</v>
      </c>
      <c r="AA757" s="23">
        <v>6.2770000000000001</v>
      </c>
      <c r="AD757" s="20">
        <v>46219</v>
      </c>
      <c r="AE757" t="s">
        <v>479</v>
      </c>
      <c r="AF757">
        <v>2693.6086044590002</v>
      </c>
      <c r="AG757" s="84">
        <f>DATE(YEAR(His53_DataTT[[#This Row],[RptDate]]),MONTH(His53_DataTT[[#This Row],[RptDate]]),1)</f>
        <v>46204</v>
      </c>
      <c r="AO757" s="14"/>
    </row>
    <row r="758" spans="17:41" x14ac:dyDescent="0.3">
      <c r="Q758" s="93">
        <v>46225</v>
      </c>
      <c r="R758" t="s">
        <v>303</v>
      </c>
      <c r="S758" t="s">
        <v>303</v>
      </c>
      <c r="T758" s="14">
        <v>0</v>
      </c>
      <c r="W758" s="20">
        <v>45960</v>
      </c>
      <c r="X758" t="s">
        <v>270</v>
      </c>
      <c r="Y758" s="23">
        <v>5.94</v>
      </c>
      <c r="Z758" s="23">
        <v>5.44</v>
      </c>
      <c r="AA758" s="23">
        <v>5.69</v>
      </c>
      <c r="AD758" s="20">
        <v>46219</v>
      </c>
      <c r="AE758" t="s">
        <v>557</v>
      </c>
      <c r="AF758">
        <v>4034.7837436270001</v>
      </c>
      <c r="AG758" s="84">
        <f>DATE(YEAR(His53_DataTT[[#This Row],[RptDate]]),MONTH(His53_DataTT[[#This Row],[RptDate]]),1)</f>
        <v>46204</v>
      </c>
      <c r="AO758" s="14"/>
    </row>
    <row r="759" spans="17:41" x14ac:dyDescent="0.3">
      <c r="Q759" s="93">
        <v>46225</v>
      </c>
      <c r="R759" t="s">
        <v>303</v>
      </c>
      <c r="S759" t="s">
        <v>303</v>
      </c>
      <c r="T759" s="14">
        <v>0</v>
      </c>
      <c r="W759" s="20">
        <v>45960</v>
      </c>
      <c r="X759" t="s">
        <v>271</v>
      </c>
      <c r="Y759" s="23">
        <v>6.0875000000000004</v>
      </c>
      <c r="Z759" s="23">
        <v>5.6375000000000002</v>
      </c>
      <c r="AA759" s="23">
        <v>5.8624999999999998</v>
      </c>
      <c r="AD759" s="20">
        <v>46220</v>
      </c>
      <c r="AE759" t="s">
        <v>479</v>
      </c>
      <c r="AF759">
        <v>3265.156840051</v>
      </c>
      <c r="AG759" s="84">
        <f>DATE(YEAR(His53_DataTT[[#This Row],[RptDate]]),MONTH(His53_DataTT[[#This Row],[RptDate]]),1)</f>
        <v>46204</v>
      </c>
      <c r="AO759" s="14"/>
    </row>
    <row r="760" spans="17:41" x14ac:dyDescent="0.3">
      <c r="Q760" s="93">
        <v>46225</v>
      </c>
      <c r="R760" t="s">
        <v>303</v>
      </c>
      <c r="S760" t="s">
        <v>303</v>
      </c>
      <c r="T760" s="14">
        <v>0</v>
      </c>
      <c r="W760" s="20">
        <v>45960</v>
      </c>
      <c r="X760" t="s">
        <v>272</v>
      </c>
      <c r="Y760" s="23">
        <v>6.1749999999999998</v>
      </c>
      <c r="Z760" s="23">
        <v>5.875</v>
      </c>
      <c r="AA760" s="23">
        <v>6.0250000000000004</v>
      </c>
      <c r="AD760" s="20">
        <v>46220</v>
      </c>
      <c r="AE760" t="s">
        <v>557</v>
      </c>
      <c r="AF760">
        <v>4846.2753578060001</v>
      </c>
      <c r="AG760" s="84">
        <f>DATE(YEAR(His53_DataTT[[#This Row],[RptDate]]),MONTH(His53_DataTT[[#This Row],[RptDate]]),1)</f>
        <v>46204</v>
      </c>
      <c r="AO760" s="14"/>
    </row>
    <row r="761" spans="17:41" x14ac:dyDescent="0.3">
      <c r="Q761" s="93">
        <v>46225</v>
      </c>
      <c r="R761" t="s">
        <v>303</v>
      </c>
      <c r="S761" t="s">
        <v>303</v>
      </c>
      <c r="T761" s="14">
        <v>0</v>
      </c>
      <c r="W761" s="20">
        <v>45960</v>
      </c>
      <c r="X761" t="s">
        <v>273</v>
      </c>
      <c r="Y761" s="23">
        <v>6.2076923076923096</v>
      </c>
      <c r="Z761" s="23">
        <v>5.7230769230769196</v>
      </c>
      <c r="AA761" s="23">
        <v>5.9653846153846199</v>
      </c>
      <c r="AD761" s="20">
        <v>46223</v>
      </c>
      <c r="AE761" t="s">
        <v>479</v>
      </c>
      <c r="AF761">
        <v>3334.5002096060002</v>
      </c>
      <c r="AG761" s="84">
        <f>DATE(YEAR(His53_DataTT[[#This Row],[RptDate]]),MONTH(His53_DataTT[[#This Row],[RptDate]]),1)</f>
        <v>46204</v>
      </c>
      <c r="AO761" s="14"/>
    </row>
    <row r="762" spans="17:41" x14ac:dyDescent="0.3">
      <c r="Q762" s="93">
        <v>46225</v>
      </c>
      <c r="R762" t="s">
        <v>479</v>
      </c>
      <c r="S762" t="s">
        <v>399</v>
      </c>
      <c r="T762" s="14">
        <v>11389.3736005724</v>
      </c>
      <c r="W762" s="20">
        <v>45960</v>
      </c>
      <c r="X762" t="s">
        <v>274</v>
      </c>
      <c r="Y762" s="23">
        <v>6.2576923076923103</v>
      </c>
      <c r="Z762" s="23">
        <v>5.7730769230769203</v>
      </c>
      <c r="AA762" s="23">
        <v>6.0153846153846198</v>
      </c>
      <c r="AD762" s="20">
        <v>46223</v>
      </c>
      <c r="AE762" t="s">
        <v>557</v>
      </c>
      <c r="AF762">
        <v>5490.5757810249997</v>
      </c>
      <c r="AG762" s="84">
        <f>DATE(YEAR(His53_DataTT[[#This Row],[RptDate]]),MONTH(His53_DataTT[[#This Row],[RptDate]]),1)</f>
        <v>46204</v>
      </c>
      <c r="AO762" s="14"/>
    </row>
    <row r="763" spans="17:41" x14ac:dyDescent="0.3">
      <c r="Q763" s="93">
        <v>46224</v>
      </c>
      <c r="R763" t="s">
        <v>479</v>
      </c>
      <c r="S763" t="s">
        <v>399</v>
      </c>
      <c r="T763" s="14">
        <v>11389.382395110901</v>
      </c>
      <c r="W763" s="20">
        <v>45960</v>
      </c>
      <c r="X763" t="s">
        <v>275</v>
      </c>
      <c r="Y763" s="23">
        <v>6.2961538461538504</v>
      </c>
      <c r="Z763" s="23">
        <v>5.8115384615384604</v>
      </c>
      <c r="AA763" s="23">
        <v>6.0538461538461501</v>
      </c>
      <c r="AD763" s="20">
        <v>46224</v>
      </c>
      <c r="AE763" t="s">
        <v>479</v>
      </c>
      <c r="AF763">
        <v>1904.693111218</v>
      </c>
      <c r="AG763" s="84">
        <f>DATE(YEAR(His53_DataTT[[#This Row],[RptDate]]),MONTH(His53_DataTT[[#This Row],[RptDate]]),1)</f>
        <v>46204</v>
      </c>
      <c r="AO763" s="14"/>
    </row>
    <row r="764" spans="17:41" x14ac:dyDescent="0.3">
      <c r="Q764" s="93">
        <v>46224</v>
      </c>
      <c r="R764" t="s">
        <v>364</v>
      </c>
      <c r="S764" t="s">
        <v>399</v>
      </c>
      <c r="T764" s="14">
        <v>28650</v>
      </c>
      <c r="W764" s="20">
        <v>45960</v>
      </c>
      <c r="X764" t="s">
        <v>276</v>
      </c>
      <c r="Y764" s="23">
        <v>6.3269230769230802</v>
      </c>
      <c r="Z764" s="23">
        <v>5.8423076923076902</v>
      </c>
      <c r="AA764" s="23">
        <v>6.0846153846153799</v>
      </c>
      <c r="AD764" s="20">
        <v>46224</v>
      </c>
      <c r="AE764" t="s">
        <v>557</v>
      </c>
      <c r="AF764">
        <v>5319.5245214070001</v>
      </c>
      <c r="AG764" s="84">
        <f>DATE(YEAR(His53_DataTT[[#This Row],[RptDate]]),MONTH(His53_DataTT[[#This Row],[RptDate]]),1)</f>
        <v>46204</v>
      </c>
      <c r="AO764" s="14"/>
    </row>
    <row r="765" spans="17:41" x14ac:dyDescent="0.3">
      <c r="Q765" s="93">
        <v>46224</v>
      </c>
      <c r="R765" t="s">
        <v>491</v>
      </c>
      <c r="S765" t="s">
        <v>399</v>
      </c>
      <c r="T765" s="14">
        <v>397.61059999999998</v>
      </c>
      <c r="W765" s="20">
        <v>45960</v>
      </c>
      <c r="X765" t="s">
        <v>277</v>
      </c>
      <c r="Y765" s="23">
        <v>6.3692307692307697</v>
      </c>
      <c r="Z765" s="23">
        <v>5.89230769230769</v>
      </c>
      <c r="AA765" s="23">
        <v>6.1307692307692303</v>
      </c>
      <c r="AD765" s="20">
        <v>46225</v>
      </c>
      <c r="AE765" t="s">
        <v>479</v>
      </c>
      <c r="AF765">
        <v>1395.749940491</v>
      </c>
      <c r="AG765" s="84">
        <f>DATE(YEAR(His53_DataTT[[#This Row],[RptDate]]),MONTH(His53_DataTT[[#This Row],[RptDate]]),1)</f>
        <v>46204</v>
      </c>
      <c r="AO765" s="14"/>
    </row>
    <row r="766" spans="17:41" x14ac:dyDescent="0.3">
      <c r="Q766" s="93">
        <v>46224</v>
      </c>
      <c r="R766" t="s">
        <v>492</v>
      </c>
      <c r="S766" t="s">
        <v>399</v>
      </c>
      <c r="T766" s="14">
        <v>10800</v>
      </c>
      <c r="W766" s="20">
        <v>45960</v>
      </c>
      <c r="X766" t="s">
        <v>278</v>
      </c>
      <c r="Y766" s="23">
        <v>6.39230769230769</v>
      </c>
      <c r="Z766" s="23">
        <v>5.9153846153846201</v>
      </c>
      <c r="AA766" s="23">
        <v>6.1538461538461497</v>
      </c>
      <c r="AD766" s="20">
        <v>46225</v>
      </c>
      <c r="AE766" t="s">
        <v>557</v>
      </c>
      <c r="AF766">
        <v>7603.4274836659997</v>
      </c>
      <c r="AG766" s="84">
        <f>DATE(YEAR(His53_DataTT[[#This Row],[RptDate]]),MONTH(His53_DataTT[[#This Row],[RptDate]]),1)</f>
        <v>46204</v>
      </c>
      <c r="AO766" s="14"/>
    </row>
    <row r="767" spans="17:41" x14ac:dyDescent="0.3">
      <c r="Q767" s="93">
        <v>46224</v>
      </c>
      <c r="R767" t="s">
        <v>1438</v>
      </c>
      <c r="S767" t="s">
        <v>399</v>
      </c>
      <c r="T767" s="14">
        <v>191.77179511092001</v>
      </c>
      <c r="W767" s="20">
        <v>45960</v>
      </c>
      <c r="X767" t="s">
        <v>279</v>
      </c>
      <c r="Y767" s="23">
        <v>6.45</v>
      </c>
      <c r="Z767" s="23">
        <v>5.9730769230769196</v>
      </c>
      <c r="AA767" s="23">
        <v>6.2115384615384599</v>
      </c>
      <c r="AD767" s="20">
        <v>46226</v>
      </c>
      <c r="AE767" t="s">
        <v>479</v>
      </c>
      <c r="AF767">
        <v>211.34086251100001</v>
      </c>
      <c r="AG767" s="84">
        <f>DATE(YEAR(His53_DataTT[[#This Row],[RptDate]]),MONTH(His53_DataTT[[#This Row],[RptDate]]),1)</f>
        <v>46204</v>
      </c>
      <c r="AO767" s="14"/>
    </row>
    <row r="768" spans="17:41" x14ac:dyDescent="0.3">
      <c r="Q768" s="93">
        <v>46224</v>
      </c>
      <c r="R768" t="s">
        <v>496</v>
      </c>
      <c r="S768" t="s">
        <v>399</v>
      </c>
      <c r="T768" s="14">
        <v>17055</v>
      </c>
      <c r="W768" s="20">
        <v>45960</v>
      </c>
      <c r="X768" t="s">
        <v>280</v>
      </c>
      <c r="Y768" s="23">
        <v>6.4961538461538497</v>
      </c>
      <c r="Z768" s="23">
        <v>6.0115384615384597</v>
      </c>
      <c r="AA768" s="23">
        <v>6.2538461538461503</v>
      </c>
      <c r="AD768" s="20">
        <v>46226</v>
      </c>
      <c r="AE768" t="s">
        <v>557</v>
      </c>
      <c r="AF768">
        <v>4038.9017449829998</v>
      </c>
      <c r="AG768" s="84">
        <f>DATE(YEAR(His53_DataTT[[#This Row],[RptDate]]),MONTH(His53_DataTT[[#This Row],[RptDate]]),1)</f>
        <v>46204</v>
      </c>
      <c r="AO768" s="14"/>
    </row>
    <row r="769" spans="17:41" x14ac:dyDescent="0.3">
      <c r="Q769" s="93">
        <v>46224</v>
      </c>
      <c r="R769" t="s">
        <v>497</v>
      </c>
      <c r="S769" t="s">
        <v>399</v>
      </c>
      <c r="T769" s="14">
        <v>397.61059999999998</v>
      </c>
      <c r="W769" s="20">
        <v>45960</v>
      </c>
      <c r="X769" t="s">
        <v>281</v>
      </c>
      <c r="Y769" s="23">
        <v>6.5423076923076904</v>
      </c>
      <c r="Z769" s="23">
        <v>6.0576923076923102</v>
      </c>
      <c r="AA769" s="23">
        <v>6.3</v>
      </c>
      <c r="AD769" s="20">
        <v>46227</v>
      </c>
      <c r="AE769" t="s">
        <v>479</v>
      </c>
      <c r="AF769">
        <v>1126.630265018</v>
      </c>
      <c r="AG769" s="84">
        <f>DATE(YEAR(His53_DataTT[[#This Row],[RptDate]]),MONTH(His53_DataTT[[#This Row],[RptDate]]),1)</f>
        <v>46204</v>
      </c>
      <c r="AO769" s="14"/>
    </row>
    <row r="770" spans="17:41" x14ac:dyDescent="0.3">
      <c r="Q770" s="93">
        <v>46224</v>
      </c>
      <c r="R770" t="s">
        <v>498</v>
      </c>
      <c r="S770" t="s">
        <v>399</v>
      </c>
      <c r="T770" s="14">
        <v>10800</v>
      </c>
      <c r="W770" s="20">
        <v>45964</v>
      </c>
      <c r="X770" t="s">
        <v>270</v>
      </c>
      <c r="Y770" s="23">
        <v>5.94</v>
      </c>
      <c r="Z770" s="23">
        <v>5.44</v>
      </c>
      <c r="AA770" s="23">
        <v>5.69</v>
      </c>
      <c r="AD770" s="20">
        <v>46227</v>
      </c>
      <c r="AE770" t="s">
        <v>557</v>
      </c>
      <c r="AF770">
        <v>2823.7101071060001</v>
      </c>
      <c r="AG770" s="84">
        <f>DATE(YEAR(His53_DataTT[[#This Row],[RptDate]]),MONTH(His53_DataTT[[#This Row],[RptDate]]),1)</f>
        <v>46204</v>
      </c>
      <c r="AO770" s="14"/>
    </row>
    <row r="771" spans="17:41" x14ac:dyDescent="0.3">
      <c r="Q771" s="93">
        <v>46224</v>
      </c>
      <c r="R771" t="s">
        <v>494</v>
      </c>
      <c r="S771" t="s">
        <v>399</v>
      </c>
      <c r="T771" s="14">
        <v>0</v>
      </c>
      <c r="W771" s="20">
        <v>45964</v>
      </c>
      <c r="X771" t="s">
        <v>271</v>
      </c>
      <c r="Y771" s="23">
        <v>6.0875000000000004</v>
      </c>
      <c r="Z771" s="23">
        <v>5.6375000000000002</v>
      </c>
      <c r="AA771" s="23">
        <v>5.8624999999999998</v>
      </c>
      <c r="AD771" s="20">
        <v>46230</v>
      </c>
      <c r="AE771" t="s">
        <v>479</v>
      </c>
      <c r="AF771">
        <v>2217.1952861039999</v>
      </c>
      <c r="AG771" s="84">
        <f>DATE(YEAR(His53_DataTT[[#This Row],[RptDate]]),MONTH(His53_DataTT[[#This Row],[RptDate]]),1)</f>
        <v>46204</v>
      </c>
      <c r="AO771" s="14"/>
    </row>
    <row r="772" spans="17:41" x14ac:dyDescent="0.3">
      <c r="Q772" s="93">
        <v>46224</v>
      </c>
      <c r="R772" t="s">
        <v>495</v>
      </c>
      <c r="S772" t="s">
        <v>399</v>
      </c>
      <c r="T772" s="14">
        <v>0</v>
      </c>
      <c r="W772" s="20">
        <v>45964</v>
      </c>
      <c r="X772" t="s">
        <v>272</v>
      </c>
      <c r="Y772" s="23">
        <v>6.2</v>
      </c>
      <c r="Z772" s="23">
        <v>5.8</v>
      </c>
      <c r="AA772" s="23">
        <v>6</v>
      </c>
      <c r="AD772" s="20">
        <v>46230</v>
      </c>
      <c r="AE772" t="s">
        <v>557</v>
      </c>
      <c r="AF772">
        <v>5543.2403475800002</v>
      </c>
      <c r="AG772" s="84">
        <f>DATE(YEAR(His53_DataTT[[#This Row],[RptDate]]),MONTH(His53_DataTT[[#This Row],[RptDate]]),1)</f>
        <v>46204</v>
      </c>
      <c r="AO772" s="14"/>
    </row>
    <row r="773" spans="17:41" x14ac:dyDescent="0.3">
      <c r="Q773" s="93">
        <v>46224</v>
      </c>
      <c r="R773" t="s">
        <v>493</v>
      </c>
      <c r="S773" t="s">
        <v>399</v>
      </c>
      <c r="T773" s="14">
        <v>0</v>
      </c>
      <c r="W773" s="20">
        <v>45964</v>
      </c>
      <c r="X773" t="s">
        <v>273</v>
      </c>
      <c r="Y773" s="23">
        <v>6.2769230769230804</v>
      </c>
      <c r="Z773" s="23">
        <v>5.8230769230769202</v>
      </c>
      <c r="AA773" s="23">
        <v>6.05</v>
      </c>
      <c r="AD773" s="20">
        <v>46231</v>
      </c>
      <c r="AE773" t="s">
        <v>479</v>
      </c>
      <c r="AF773">
        <v>409.15227833699998</v>
      </c>
      <c r="AG773" s="84">
        <f>DATE(YEAR(His53_DataTT[[#This Row],[RptDate]]),MONTH(His53_DataTT[[#This Row],[RptDate]]),1)</f>
        <v>46204</v>
      </c>
      <c r="AO773" s="14"/>
    </row>
    <row r="774" spans="17:41" x14ac:dyDescent="0.3">
      <c r="Q774" s="93">
        <v>46224</v>
      </c>
      <c r="R774" t="s">
        <v>593</v>
      </c>
      <c r="S774" t="s">
        <v>399</v>
      </c>
      <c r="T774" s="14">
        <v>11595</v>
      </c>
      <c r="W774" s="20">
        <v>45964</v>
      </c>
      <c r="X774" t="s">
        <v>274</v>
      </c>
      <c r="Y774" s="23">
        <v>6.3038461538461501</v>
      </c>
      <c r="Z774" s="23">
        <v>5.8192307692307699</v>
      </c>
      <c r="AA774" s="23">
        <v>6.0615384615384604</v>
      </c>
      <c r="AD774" s="20">
        <v>46231</v>
      </c>
      <c r="AE774" t="s">
        <v>557</v>
      </c>
      <c r="AF774">
        <v>5159.2854370169998</v>
      </c>
      <c r="AG774" s="84">
        <f>DATE(YEAR(His53_DataTT[[#This Row],[RptDate]]),MONTH(His53_DataTT[[#This Row],[RptDate]]),1)</f>
        <v>46204</v>
      </c>
      <c r="AO774" s="14"/>
    </row>
    <row r="775" spans="17:41" x14ac:dyDescent="0.3">
      <c r="Q775" s="93">
        <v>46224</v>
      </c>
      <c r="R775" t="s">
        <v>594</v>
      </c>
      <c r="S775" t="s">
        <v>399</v>
      </c>
      <c r="T775" s="14">
        <v>0</v>
      </c>
      <c r="W775" s="20">
        <v>45964</v>
      </c>
      <c r="X775" t="s">
        <v>275</v>
      </c>
      <c r="Y775" s="23">
        <v>6.3423076923076902</v>
      </c>
      <c r="Z775" s="23">
        <v>5.85769230769231</v>
      </c>
      <c r="AA775" s="23">
        <v>6.1</v>
      </c>
      <c r="AD775" s="20">
        <v>46232</v>
      </c>
      <c r="AE775" t="s">
        <v>479</v>
      </c>
      <c r="AF775">
        <v>1131.048002451</v>
      </c>
      <c r="AG775" s="84">
        <f>DATE(YEAR(His53_DataTT[[#This Row],[RptDate]]),MONTH(His53_DataTT[[#This Row],[RptDate]]),1)</f>
        <v>46204</v>
      </c>
      <c r="AO775" s="14"/>
    </row>
    <row r="776" spans="17:41" x14ac:dyDescent="0.3">
      <c r="Q776" s="93">
        <v>46224</v>
      </c>
      <c r="R776" t="s">
        <v>595</v>
      </c>
      <c r="S776" t="s">
        <v>399</v>
      </c>
      <c r="T776" s="14">
        <v>0</v>
      </c>
      <c r="W776" s="20">
        <v>45964</v>
      </c>
      <c r="X776" t="s">
        <v>276</v>
      </c>
      <c r="Y776" s="23">
        <v>6.3653846153846203</v>
      </c>
      <c r="Z776" s="23">
        <v>5.8807692307692303</v>
      </c>
      <c r="AA776" s="23">
        <v>6.12307692307692</v>
      </c>
      <c r="AD776" s="20">
        <v>46232</v>
      </c>
      <c r="AE776" t="s">
        <v>557</v>
      </c>
      <c r="AF776">
        <v>7293.2934239200004</v>
      </c>
      <c r="AG776" s="84">
        <f>DATE(YEAR(His53_DataTT[[#This Row],[RptDate]]),MONTH(His53_DataTT[[#This Row],[RptDate]]),1)</f>
        <v>46204</v>
      </c>
      <c r="AO776" s="14"/>
    </row>
    <row r="777" spans="17:41" x14ac:dyDescent="0.3">
      <c r="Q777" s="93">
        <v>46224</v>
      </c>
      <c r="R777" t="s">
        <v>1439</v>
      </c>
      <c r="S777" t="s">
        <v>399</v>
      </c>
      <c r="T777" s="14">
        <v>191.77179511092001</v>
      </c>
      <c r="W777" s="20">
        <v>45964</v>
      </c>
      <c r="X777" t="s">
        <v>277</v>
      </c>
      <c r="Y777" s="23">
        <v>6.4230769230769198</v>
      </c>
      <c r="Z777" s="23">
        <v>5.9384615384615396</v>
      </c>
      <c r="AA777" s="23">
        <v>6.1807692307692301</v>
      </c>
      <c r="AD777" s="20">
        <v>46233</v>
      </c>
      <c r="AE777" t="s">
        <v>479</v>
      </c>
      <c r="AF777">
        <v>960.39399832599997</v>
      </c>
      <c r="AG777" s="84">
        <f>DATE(YEAR(His53_DataTT[[#This Row],[RptDate]]),MONTH(His53_DataTT[[#This Row],[RptDate]]),1)</f>
        <v>46204</v>
      </c>
      <c r="AO777" s="14"/>
    </row>
    <row r="778" spans="17:41" x14ac:dyDescent="0.3">
      <c r="Q778" s="93">
        <v>46224</v>
      </c>
      <c r="R778" t="s">
        <v>479</v>
      </c>
      <c r="S778" t="s">
        <v>395</v>
      </c>
      <c r="T778" s="14">
        <v>10338.4821249791</v>
      </c>
      <c r="W778" s="20">
        <v>45964</v>
      </c>
      <c r="X778" t="s">
        <v>278</v>
      </c>
      <c r="Y778" s="23">
        <v>6.4384615384615396</v>
      </c>
      <c r="Z778" s="23">
        <v>5.9538461538461496</v>
      </c>
      <c r="AA778" s="23">
        <v>6.1961538461538499</v>
      </c>
      <c r="AD778" s="20">
        <v>46233</v>
      </c>
      <c r="AE778" t="s">
        <v>557</v>
      </c>
      <c r="AF778">
        <v>5922.5295098180004</v>
      </c>
      <c r="AG778" s="84">
        <f>DATE(YEAR(His53_DataTT[[#This Row],[RptDate]]),MONTH(His53_DataTT[[#This Row],[RptDate]]),1)</f>
        <v>46204</v>
      </c>
      <c r="AO778" s="14"/>
    </row>
    <row r="779" spans="17:41" x14ac:dyDescent="0.3">
      <c r="Q779" s="93">
        <v>46224</v>
      </c>
      <c r="R779" t="s">
        <v>479</v>
      </c>
      <c r="S779" t="s">
        <v>415</v>
      </c>
      <c r="T779" s="14">
        <v>7.1111348651863997</v>
      </c>
      <c r="W779" s="20">
        <v>45964</v>
      </c>
      <c r="X779" t="s">
        <v>279</v>
      </c>
      <c r="Y779" s="23">
        <v>6.4961538461538497</v>
      </c>
      <c r="Z779" s="23">
        <v>6.0115384615384597</v>
      </c>
      <c r="AA779" s="23">
        <v>6.2538461538461503</v>
      </c>
      <c r="AD779" s="20">
        <v>46234</v>
      </c>
      <c r="AE779" t="s">
        <v>479</v>
      </c>
      <c r="AF779">
        <v>1039.1113302629999</v>
      </c>
      <c r="AG779" s="84">
        <f>DATE(YEAR(His53_DataTT[[#This Row],[RptDate]]),MONTH(His53_DataTT[[#This Row],[RptDate]]),1)</f>
        <v>46204</v>
      </c>
      <c r="AO779" s="14"/>
    </row>
    <row r="780" spans="17:41" x14ac:dyDescent="0.3">
      <c r="Q780" s="93">
        <v>46224</v>
      </c>
      <c r="R780" t="s">
        <v>364</v>
      </c>
      <c r="S780" t="s">
        <v>415</v>
      </c>
      <c r="T780" s="14">
        <v>6.8185847589424604</v>
      </c>
      <c r="W780" s="20">
        <v>45964</v>
      </c>
      <c r="X780" t="s">
        <v>280</v>
      </c>
      <c r="Y780" s="23">
        <v>6.5346153846153898</v>
      </c>
      <c r="Z780" s="23">
        <v>6.05</v>
      </c>
      <c r="AA780" s="23">
        <v>6.2923076923076904</v>
      </c>
      <c r="AD780" s="20">
        <v>46234</v>
      </c>
      <c r="AE780" t="s">
        <v>557</v>
      </c>
      <c r="AF780">
        <v>4795.8050935749998</v>
      </c>
      <c r="AG780" s="84">
        <f>DATE(YEAR(His53_DataTT[[#This Row],[RptDate]]),MONTH(His53_DataTT[[#This Row],[RptDate]]),1)</f>
        <v>46204</v>
      </c>
      <c r="AO780" s="14"/>
    </row>
    <row r="781" spans="17:41" x14ac:dyDescent="0.3">
      <c r="Q781" s="93">
        <v>46224</v>
      </c>
      <c r="R781" t="s">
        <v>516</v>
      </c>
      <c r="S781" t="s">
        <v>415</v>
      </c>
      <c r="T781" s="14">
        <v>6.9082012987310302</v>
      </c>
      <c r="W781" s="20">
        <v>45964</v>
      </c>
      <c r="X781" t="s">
        <v>281</v>
      </c>
      <c r="Y781" s="23">
        <v>6.55</v>
      </c>
      <c r="Z781" s="23">
        <v>6.0653846153846196</v>
      </c>
      <c r="AA781" s="23">
        <v>6.3076923076923102</v>
      </c>
      <c r="AD781" s="20">
        <v>46237</v>
      </c>
      <c r="AE781" t="s">
        <v>479</v>
      </c>
      <c r="AF781">
        <v>2793.9428773099999</v>
      </c>
      <c r="AG781" s="84">
        <f>DATE(YEAR(His53_DataTT[[#This Row],[RptDate]]),MONTH(His53_DataTT[[#This Row],[RptDate]]),1)</f>
        <v>46235</v>
      </c>
      <c r="AO781" s="14"/>
    </row>
    <row r="782" spans="17:41" x14ac:dyDescent="0.3">
      <c r="Q782" s="93">
        <v>46224</v>
      </c>
      <c r="R782" t="s">
        <v>1288</v>
      </c>
      <c r="S782" t="s">
        <v>415</v>
      </c>
      <c r="T782" s="14">
        <v>7.1111348651863997</v>
      </c>
      <c r="W782" s="20">
        <v>45965</v>
      </c>
      <c r="X782" t="s">
        <v>270</v>
      </c>
      <c r="Y782" s="23">
        <v>5.94</v>
      </c>
      <c r="Z782" s="23">
        <v>5.44</v>
      </c>
      <c r="AA782" s="23">
        <v>5.69</v>
      </c>
      <c r="AD782" s="20">
        <v>46237</v>
      </c>
      <c r="AE782" t="s">
        <v>557</v>
      </c>
      <c r="AF782">
        <v>5914.1868082820001</v>
      </c>
      <c r="AG782" s="84">
        <f>DATE(YEAR(His53_DataTT[[#This Row],[RptDate]]),MONTH(His53_DataTT[[#This Row],[RptDate]]),1)</f>
        <v>46235</v>
      </c>
      <c r="AO782" s="14"/>
    </row>
    <row r="783" spans="17:41" x14ac:dyDescent="0.3">
      <c r="Q783" s="93">
        <v>46224</v>
      </c>
      <c r="R783" t="s">
        <v>496</v>
      </c>
      <c r="S783" t="s">
        <v>415</v>
      </c>
      <c r="T783" s="14">
        <v>6.7644271466796404</v>
      </c>
      <c r="W783" s="20">
        <v>45965</v>
      </c>
      <c r="X783" t="s">
        <v>271</v>
      </c>
      <c r="Y783" s="23">
        <v>6.1124999999999998</v>
      </c>
      <c r="Z783" s="23">
        <v>5.6624999999999996</v>
      </c>
      <c r="AA783" s="23">
        <v>5.8875000000000002</v>
      </c>
      <c r="AD783" s="20">
        <v>46238</v>
      </c>
      <c r="AE783" t="s">
        <v>479</v>
      </c>
      <c r="AF783">
        <v>2690.8042591459998</v>
      </c>
      <c r="AG783" s="84">
        <f>DATE(YEAR(His53_DataTT[[#This Row],[RptDate]]),MONTH(His53_DataTT[[#This Row],[RptDate]]),1)</f>
        <v>46235</v>
      </c>
      <c r="AO783" s="14"/>
    </row>
    <row r="784" spans="17:41" x14ac:dyDescent="0.3">
      <c r="Q784" s="93">
        <v>46224</v>
      </c>
      <c r="R784" t="s">
        <v>1290</v>
      </c>
      <c r="S784" t="s">
        <v>415</v>
      </c>
      <c r="T784" s="14">
        <v>6.9060689138559299</v>
      </c>
      <c r="W784" s="20">
        <v>45965</v>
      </c>
      <c r="X784" t="s">
        <v>272</v>
      </c>
      <c r="Y784" s="23">
        <v>6.2249999999999996</v>
      </c>
      <c r="Z784" s="23">
        <v>5.8250000000000002</v>
      </c>
      <c r="AA784" s="23">
        <v>6.0250000000000004</v>
      </c>
      <c r="AD784" s="20">
        <v>46238</v>
      </c>
      <c r="AE784" t="s">
        <v>557</v>
      </c>
      <c r="AF784">
        <v>3590.1305295550001</v>
      </c>
      <c r="AG784" s="84">
        <f>DATE(YEAR(His53_DataTT[[#This Row],[RptDate]]),MONTH(His53_DataTT[[#This Row],[RptDate]]),1)</f>
        <v>46235</v>
      </c>
      <c r="AO784" s="14"/>
    </row>
    <row r="785" spans="17:41" x14ac:dyDescent="0.3">
      <c r="Q785" s="93">
        <v>46224</v>
      </c>
      <c r="R785" t="s">
        <v>303</v>
      </c>
      <c r="S785" t="s">
        <v>303</v>
      </c>
      <c r="T785" s="14">
        <v>0</v>
      </c>
      <c r="W785" s="20">
        <v>45965</v>
      </c>
      <c r="X785" t="s">
        <v>273</v>
      </c>
      <c r="Y785" s="23">
        <v>6.2923076923076904</v>
      </c>
      <c r="Z785" s="23">
        <v>5.8384615384615399</v>
      </c>
      <c r="AA785" s="23">
        <v>6.0653846153846196</v>
      </c>
      <c r="AD785" s="20">
        <v>46239</v>
      </c>
      <c r="AE785" t="s">
        <v>479</v>
      </c>
      <c r="AF785">
        <v>1576.454315551</v>
      </c>
      <c r="AG785" s="84">
        <f>DATE(YEAR(His53_DataTT[[#This Row],[RptDate]]),MONTH(His53_DataTT[[#This Row],[RptDate]]),1)</f>
        <v>46235</v>
      </c>
      <c r="AO785" s="14"/>
    </row>
    <row r="786" spans="17:41" x14ac:dyDescent="0.3">
      <c r="Q786" s="93">
        <v>46224</v>
      </c>
      <c r="R786" t="s">
        <v>303</v>
      </c>
      <c r="S786" t="s">
        <v>303</v>
      </c>
      <c r="T786" s="14">
        <v>0</v>
      </c>
      <c r="W786" s="20">
        <v>45965</v>
      </c>
      <c r="X786" t="s">
        <v>274</v>
      </c>
      <c r="Y786" s="23">
        <v>6.3115384615384604</v>
      </c>
      <c r="Z786" s="23">
        <v>5.8269230769230802</v>
      </c>
      <c r="AA786" s="23">
        <v>6.0692307692307699</v>
      </c>
      <c r="AD786" s="20">
        <v>46239</v>
      </c>
      <c r="AE786" t="s">
        <v>557</v>
      </c>
      <c r="AF786">
        <v>3955.2676316550001</v>
      </c>
      <c r="AG786" s="84">
        <f>DATE(YEAR(His53_DataTT[[#This Row],[RptDate]]),MONTH(His53_DataTT[[#This Row],[RptDate]]),1)</f>
        <v>46235</v>
      </c>
      <c r="AO786" s="14"/>
    </row>
    <row r="787" spans="17:41" x14ac:dyDescent="0.3">
      <c r="Q787" s="93">
        <v>46224</v>
      </c>
      <c r="R787" t="s">
        <v>303</v>
      </c>
      <c r="S787" t="s">
        <v>303</v>
      </c>
      <c r="T787" s="14">
        <v>0</v>
      </c>
      <c r="W787" s="20">
        <v>45965</v>
      </c>
      <c r="X787" t="s">
        <v>275</v>
      </c>
      <c r="Y787" s="23">
        <v>6.35</v>
      </c>
      <c r="Z787" s="23">
        <v>5.8653846153846096</v>
      </c>
      <c r="AA787" s="23">
        <v>6.10769230769231</v>
      </c>
      <c r="AD787" s="20">
        <v>46240</v>
      </c>
      <c r="AE787" t="s">
        <v>479</v>
      </c>
      <c r="AF787">
        <v>506.44541008099998</v>
      </c>
      <c r="AG787" s="84">
        <f>DATE(YEAR(His53_DataTT[[#This Row],[RptDate]]),MONTH(His53_DataTT[[#This Row],[RptDate]]),1)</f>
        <v>46235</v>
      </c>
      <c r="AO787" s="14"/>
    </row>
    <row r="788" spans="17:41" x14ac:dyDescent="0.3">
      <c r="Q788" s="93">
        <v>46224</v>
      </c>
      <c r="R788" t="s">
        <v>303</v>
      </c>
      <c r="S788" t="s">
        <v>303</v>
      </c>
      <c r="T788" s="14">
        <v>0</v>
      </c>
      <c r="W788" s="20">
        <v>45965</v>
      </c>
      <c r="X788" t="s">
        <v>276</v>
      </c>
      <c r="Y788" s="23">
        <v>6.37307692307692</v>
      </c>
      <c r="Z788" s="23">
        <v>5.8884615384615397</v>
      </c>
      <c r="AA788" s="23">
        <v>6.1307692307692303</v>
      </c>
      <c r="AD788" s="20">
        <v>46240</v>
      </c>
      <c r="AE788" t="s">
        <v>557</v>
      </c>
      <c r="AF788">
        <v>2310.733277453</v>
      </c>
      <c r="AG788" s="84">
        <f>DATE(YEAR(His53_DataTT[[#This Row],[RptDate]]),MONTH(His53_DataTT[[#This Row],[RptDate]]),1)</f>
        <v>46235</v>
      </c>
      <c r="AO788" s="14"/>
    </row>
    <row r="789" spans="17:41" x14ac:dyDescent="0.3">
      <c r="Q789" s="93">
        <v>46224</v>
      </c>
      <c r="R789" t="s">
        <v>303</v>
      </c>
      <c r="S789" t="s">
        <v>303</v>
      </c>
      <c r="T789" s="14">
        <v>0</v>
      </c>
      <c r="W789" s="20">
        <v>45965</v>
      </c>
      <c r="X789" t="s">
        <v>277</v>
      </c>
      <c r="Y789" s="23">
        <v>6.4307692307692301</v>
      </c>
      <c r="Z789" s="23">
        <v>5.9461538461538499</v>
      </c>
      <c r="AA789" s="23">
        <v>6.1884615384615396</v>
      </c>
      <c r="AD789" s="20">
        <v>46241</v>
      </c>
      <c r="AE789" t="s">
        <v>479</v>
      </c>
      <c r="AF789">
        <v>1694.4096093620001</v>
      </c>
      <c r="AG789" s="84">
        <f>DATE(YEAR(His53_DataTT[[#This Row],[RptDate]]),MONTH(His53_DataTT[[#This Row],[RptDate]]),1)</f>
        <v>46235</v>
      </c>
      <c r="AO789" s="14"/>
    </row>
    <row r="790" spans="17:41" x14ac:dyDescent="0.3">
      <c r="Q790" s="93">
        <v>46224</v>
      </c>
      <c r="R790" t="s">
        <v>364</v>
      </c>
      <c r="S790" t="s">
        <v>997</v>
      </c>
      <c r="T790" s="14">
        <v>32150</v>
      </c>
      <c r="W790" s="20">
        <v>45965</v>
      </c>
      <c r="X790" t="s">
        <v>278</v>
      </c>
      <c r="Y790" s="23">
        <v>6.4461538461538499</v>
      </c>
      <c r="Z790" s="23">
        <v>5.9615384615384599</v>
      </c>
      <c r="AA790" s="23">
        <v>6.2038461538461496</v>
      </c>
      <c r="AD790" s="20">
        <v>46241</v>
      </c>
      <c r="AE790" t="s">
        <v>557</v>
      </c>
      <c r="AF790">
        <v>2069.3997412670001</v>
      </c>
      <c r="AG790" s="84">
        <f>DATE(YEAR(His53_DataTT[[#This Row],[RptDate]]),MONTH(His53_DataTT[[#This Row],[RptDate]]),1)</f>
        <v>46235</v>
      </c>
      <c r="AO790" s="14"/>
    </row>
    <row r="791" spans="17:41" x14ac:dyDescent="0.3">
      <c r="Q791" s="93">
        <v>46224</v>
      </c>
      <c r="R791" t="s">
        <v>496</v>
      </c>
      <c r="S791" t="s">
        <v>997</v>
      </c>
      <c r="T791" s="14">
        <v>20555</v>
      </c>
      <c r="W791" s="20">
        <v>45965</v>
      </c>
      <c r="X791" t="s">
        <v>279</v>
      </c>
      <c r="Y791" s="23">
        <v>6.5038461538461503</v>
      </c>
      <c r="Z791" s="23">
        <v>6.0192307692307701</v>
      </c>
      <c r="AA791" s="23">
        <v>6.2615384615384597</v>
      </c>
      <c r="AD791" s="20">
        <v>46244</v>
      </c>
      <c r="AE791" t="s">
        <v>479</v>
      </c>
      <c r="AF791">
        <v>1442.9841540980001</v>
      </c>
      <c r="AG791" s="84">
        <f>DATE(YEAR(His53_DataTT[[#This Row],[RptDate]]),MONTH(His53_DataTT[[#This Row],[RptDate]]),1)</f>
        <v>46235</v>
      </c>
      <c r="AO791" s="14"/>
    </row>
    <row r="792" spans="17:41" x14ac:dyDescent="0.3">
      <c r="Q792" s="93">
        <v>46224</v>
      </c>
      <c r="R792" t="s">
        <v>1388</v>
      </c>
      <c r="S792" t="s">
        <v>997</v>
      </c>
      <c r="T792" s="14">
        <v>14197.6106</v>
      </c>
      <c r="W792" s="20">
        <v>45965</v>
      </c>
      <c r="X792" t="s">
        <v>280</v>
      </c>
      <c r="Y792" s="23">
        <v>6.5423076923076904</v>
      </c>
      <c r="Z792" s="23">
        <v>6.0576923076923102</v>
      </c>
      <c r="AA792" s="23">
        <v>6.3</v>
      </c>
      <c r="AD792" s="20">
        <v>46244</v>
      </c>
      <c r="AE792" t="s">
        <v>557</v>
      </c>
      <c r="AF792">
        <v>2516.7275528539999</v>
      </c>
      <c r="AG792" s="84">
        <f>DATE(YEAR(His53_DataTT[[#This Row],[RptDate]]),MONTH(His53_DataTT[[#This Row],[RptDate]]),1)</f>
        <v>46235</v>
      </c>
      <c r="AO792" s="14"/>
    </row>
    <row r="793" spans="17:41" x14ac:dyDescent="0.3">
      <c r="Q793" s="93">
        <v>46224</v>
      </c>
      <c r="R793" t="s">
        <v>1389</v>
      </c>
      <c r="S793" t="s">
        <v>997</v>
      </c>
      <c r="T793" s="14">
        <v>13800</v>
      </c>
      <c r="W793" s="20">
        <v>45965</v>
      </c>
      <c r="X793" t="s">
        <v>281</v>
      </c>
      <c r="Y793" s="23">
        <v>6.55</v>
      </c>
      <c r="Z793" s="23">
        <v>6.0653846153846196</v>
      </c>
      <c r="AA793" s="23">
        <v>6.3076923076923102</v>
      </c>
      <c r="AD793" s="20">
        <v>46245</v>
      </c>
      <c r="AE793" t="s">
        <v>479</v>
      </c>
      <c r="AF793">
        <v>1203.738104777</v>
      </c>
      <c r="AG793" s="84">
        <f>DATE(YEAR(His53_DataTT[[#This Row],[RptDate]]),MONTH(His53_DataTT[[#This Row],[RptDate]]),1)</f>
        <v>46235</v>
      </c>
      <c r="AO793" s="14"/>
    </row>
    <row r="794" spans="17:41" x14ac:dyDescent="0.3">
      <c r="Q794" s="93">
        <v>46224</v>
      </c>
      <c r="R794" t="s">
        <v>1390</v>
      </c>
      <c r="S794" t="s">
        <v>997</v>
      </c>
      <c r="T794" s="14">
        <v>397.61059999999998</v>
      </c>
      <c r="W794" s="20">
        <v>45966</v>
      </c>
      <c r="X794" t="s">
        <v>270</v>
      </c>
      <c r="Y794" s="23">
        <v>5.96</v>
      </c>
      <c r="Z794" s="23">
        <v>5.46</v>
      </c>
      <c r="AA794" s="23">
        <v>5.71</v>
      </c>
      <c r="AD794" s="20">
        <v>46245</v>
      </c>
      <c r="AE794" t="s">
        <v>557</v>
      </c>
      <c r="AF794">
        <v>2969.9569275899999</v>
      </c>
      <c r="AG794" s="84">
        <f>DATE(YEAR(His53_DataTT[[#This Row],[RptDate]]),MONTH(His53_DataTT[[#This Row],[RptDate]]),1)</f>
        <v>46235</v>
      </c>
      <c r="AO794" s="14"/>
    </row>
    <row r="795" spans="17:41" x14ac:dyDescent="0.3">
      <c r="Q795" s="93">
        <v>46223</v>
      </c>
      <c r="R795" t="s">
        <v>479</v>
      </c>
      <c r="S795" t="s">
        <v>399</v>
      </c>
      <c r="T795" s="14">
        <v>11389.1903810199</v>
      </c>
      <c r="W795" s="20">
        <v>45966</v>
      </c>
      <c r="X795" t="s">
        <v>271</v>
      </c>
      <c r="Y795" s="23">
        <v>6.1124999999999998</v>
      </c>
      <c r="Z795" s="23">
        <v>5.6624999999999996</v>
      </c>
      <c r="AA795" s="23">
        <v>5.8875000000000002</v>
      </c>
      <c r="AD795" s="20">
        <v>46246</v>
      </c>
      <c r="AE795" t="s">
        <v>479</v>
      </c>
      <c r="AF795">
        <v>825.72801297399997</v>
      </c>
      <c r="AG795" s="84">
        <f>DATE(YEAR(His53_DataTT[[#This Row],[RptDate]]),MONTH(His53_DataTT[[#This Row],[RptDate]]),1)</f>
        <v>46235</v>
      </c>
      <c r="AO795" s="14"/>
    </row>
    <row r="796" spans="17:41" x14ac:dyDescent="0.3">
      <c r="Q796" s="93">
        <v>46223</v>
      </c>
      <c r="R796" t="s">
        <v>364</v>
      </c>
      <c r="S796" t="s">
        <v>399</v>
      </c>
      <c r="T796" s="14">
        <v>28650</v>
      </c>
      <c r="W796" s="20">
        <v>45966</v>
      </c>
      <c r="X796" t="s">
        <v>272</v>
      </c>
      <c r="Y796" s="23">
        <v>6.2750000000000004</v>
      </c>
      <c r="Z796" s="23">
        <v>5.875</v>
      </c>
      <c r="AA796" s="23">
        <v>6.0750000000000002</v>
      </c>
      <c r="AD796" s="20">
        <v>46246</v>
      </c>
      <c r="AE796" t="s">
        <v>557</v>
      </c>
      <c r="AF796">
        <v>3469.4197324779998</v>
      </c>
      <c r="AG796" s="84">
        <f>DATE(YEAR(His53_DataTT[[#This Row],[RptDate]]),MONTH(His53_DataTT[[#This Row],[RptDate]]),1)</f>
        <v>46235</v>
      </c>
      <c r="AO796" s="14"/>
    </row>
    <row r="797" spans="17:41" x14ac:dyDescent="0.3">
      <c r="Q797" s="93">
        <v>46223</v>
      </c>
      <c r="R797" t="s">
        <v>491</v>
      </c>
      <c r="S797" t="s">
        <v>399</v>
      </c>
      <c r="T797" s="14">
        <v>397.61059999999998</v>
      </c>
      <c r="W797" s="20">
        <v>45966</v>
      </c>
      <c r="X797" t="s">
        <v>273</v>
      </c>
      <c r="Y797" s="23">
        <v>6.3153846153846098</v>
      </c>
      <c r="Z797" s="23">
        <v>5.8615384615384603</v>
      </c>
      <c r="AA797" s="23">
        <v>6.0884615384615399</v>
      </c>
      <c r="AD797" s="20">
        <v>46247</v>
      </c>
      <c r="AE797" t="s">
        <v>479</v>
      </c>
      <c r="AF797">
        <v>1382.797416845</v>
      </c>
      <c r="AG797" s="84">
        <f>DATE(YEAR(His53_DataTT[[#This Row],[RptDate]]),MONTH(His53_DataTT[[#This Row],[RptDate]]),1)</f>
        <v>46235</v>
      </c>
      <c r="AO797" s="14"/>
    </row>
    <row r="798" spans="17:41" x14ac:dyDescent="0.3">
      <c r="Q798" s="93">
        <v>46223</v>
      </c>
      <c r="R798" t="s">
        <v>492</v>
      </c>
      <c r="S798" t="s">
        <v>399</v>
      </c>
      <c r="T798" s="14">
        <v>10800</v>
      </c>
      <c r="W798" s="20">
        <v>45966</v>
      </c>
      <c r="X798" t="s">
        <v>274</v>
      </c>
      <c r="Y798" s="23">
        <v>6.3269230769230802</v>
      </c>
      <c r="Z798" s="23">
        <v>5.8423076923076902</v>
      </c>
      <c r="AA798" s="23">
        <v>6.0846153846153799</v>
      </c>
      <c r="AD798" s="20">
        <v>46247</v>
      </c>
      <c r="AE798" t="s">
        <v>557</v>
      </c>
      <c r="AF798">
        <v>2429.542170876</v>
      </c>
      <c r="AG798" s="84">
        <f>DATE(YEAR(His53_DataTT[[#This Row],[RptDate]]),MONTH(His53_DataTT[[#This Row],[RptDate]]),1)</f>
        <v>46235</v>
      </c>
      <c r="AO798" s="14"/>
    </row>
    <row r="799" spans="17:41" x14ac:dyDescent="0.3">
      <c r="Q799" s="93">
        <v>46223</v>
      </c>
      <c r="R799" t="s">
        <v>1438</v>
      </c>
      <c r="S799" t="s">
        <v>399</v>
      </c>
      <c r="T799" s="14">
        <v>191.5797810199</v>
      </c>
      <c r="W799" s="20">
        <v>45966</v>
      </c>
      <c r="X799" t="s">
        <v>275</v>
      </c>
      <c r="Y799" s="23">
        <v>6.3653846153846203</v>
      </c>
      <c r="Z799" s="23">
        <v>5.8807692307692303</v>
      </c>
      <c r="AA799" s="23">
        <v>6.12307692307692</v>
      </c>
      <c r="AD799" s="20">
        <v>46248</v>
      </c>
      <c r="AE799" t="s">
        <v>479</v>
      </c>
      <c r="AF799">
        <v>1104.89704712</v>
      </c>
      <c r="AG799" s="84">
        <f>DATE(YEAR(His53_DataTT[[#This Row],[RptDate]]),MONTH(His53_DataTT[[#This Row],[RptDate]]),1)</f>
        <v>46235</v>
      </c>
      <c r="AO799" s="14"/>
    </row>
    <row r="800" spans="17:41" x14ac:dyDescent="0.3">
      <c r="Q800" s="93">
        <v>46223</v>
      </c>
      <c r="R800" t="s">
        <v>496</v>
      </c>
      <c r="S800" t="s">
        <v>399</v>
      </c>
      <c r="T800" s="14">
        <v>16545</v>
      </c>
      <c r="W800" s="20">
        <v>45966</v>
      </c>
      <c r="X800" t="s">
        <v>276</v>
      </c>
      <c r="Y800" s="23">
        <v>6.3884615384615397</v>
      </c>
      <c r="Z800" s="23">
        <v>5.9038461538461604</v>
      </c>
      <c r="AA800" s="23">
        <v>6.1461538461538501</v>
      </c>
      <c r="AD800" s="20">
        <v>46248</v>
      </c>
      <c r="AE800" t="s">
        <v>557</v>
      </c>
      <c r="AF800">
        <v>2794.6828587250002</v>
      </c>
      <c r="AG800" s="84">
        <f>DATE(YEAR(His53_DataTT[[#This Row],[RptDate]]),MONTH(His53_DataTT[[#This Row],[RptDate]]),1)</f>
        <v>46235</v>
      </c>
      <c r="AO800" s="14"/>
    </row>
    <row r="801" spans="17:41" x14ac:dyDescent="0.3">
      <c r="Q801" s="93">
        <v>46223</v>
      </c>
      <c r="R801" t="s">
        <v>497</v>
      </c>
      <c r="S801" t="s">
        <v>399</v>
      </c>
      <c r="T801" s="14">
        <v>397.61059999999998</v>
      </c>
      <c r="W801" s="20">
        <v>45966</v>
      </c>
      <c r="X801" t="s">
        <v>277</v>
      </c>
      <c r="Y801" s="23">
        <v>6.4461538461538499</v>
      </c>
      <c r="Z801" s="23">
        <v>5.9615384615384599</v>
      </c>
      <c r="AA801" s="23">
        <v>6.2038461538461496</v>
      </c>
      <c r="AD801" s="20">
        <v>46251</v>
      </c>
      <c r="AE801" t="s">
        <v>479</v>
      </c>
      <c r="AF801">
        <v>2191.4642256430002</v>
      </c>
      <c r="AG801" s="84">
        <f>DATE(YEAR(His53_DataTT[[#This Row],[RptDate]]),MONTH(His53_DataTT[[#This Row],[RptDate]]),1)</f>
        <v>46235</v>
      </c>
      <c r="AO801" s="14"/>
    </row>
    <row r="802" spans="17:41" x14ac:dyDescent="0.3">
      <c r="Q802" s="93">
        <v>46223</v>
      </c>
      <c r="R802" t="s">
        <v>498</v>
      </c>
      <c r="S802" t="s">
        <v>399</v>
      </c>
      <c r="T802" s="14">
        <v>10800</v>
      </c>
      <c r="W802" s="20">
        <v>45966</v>
      </c>
      <c r="X802" t="s">
        <v>278</v>
      </c>
      <c r="Y802" s="23">
        <v>6.4615384615384599</v>
      </c>
      <c r="Z802" s="23">
        <v>5.9769230769230797</v>
      </c>
      <c r="AA802" s="23">
        <v>6.2192307692307702</v>
      </c>
      <c r="AD802" s="20">
        <v>46251</v>
      </c>
      <c r="AE802" t="s">
        <v>557</v>
      </c>
      <c r="AF802">
        <v>3538.248820542</v>
      </c>
      <c r="AG802" s="84">
        <f>DATE(YEAR(His53_DataTT[[#This Row],[RptDate]]),MONTH(His53_DataTT[[#This Row],[RptDate]]),1)</f>
        <v>46235</v>
      </c>
      <c r="AO802" s="14"/>
    </row>
    <row r="803" spans="17:41" x14ac:dyDescent="0.3">
      <c r="Q803" s="93">
        <v>46223</v>
      </c>
      <c r="R803" t="s">
        <v>494</v>
      </c>
      <c r="S803" t="s">
        <v>399</v>
      </c>
      <c r="T803" s="14">
        <v>0</v>
      </c>
      <c r="W803" s="20">
        <v>45966</v>
      </c>
      <c r="X803" t="s">
        <v>279</v>
      </c>
      <c r="Y803" s="23">
        <v>6.5115384615384597</v>
      </c>
      <c r="Z803" s="23">
        <v>6.0269230769230804</v>
      </c>
      <c r="AA803" s="23">
        <v>6.2692307692307701</v>
      </c>
      <c r="AD803" s="20">
        <v>46252</v>
      </c>
      <c r="AE803" t="s">
        <v>479</v>
      </c>
      <c r="AF803">
        <v>2331.8739162709999</v>
      </c>
      <c r="AG803" s="84">
        <f>DATE(YEAR(His53_DataTT[[#This Row],[RptDate]]),MONTH(His53_DataTT[[#This Row],[RptDate]]),1)</f>
        <v>46235</v>
      </c>
      <c r="AO803" s="14"/>
    </row>
    <row r="804" spans="17:41" x14ac:dyDescent="0.3">
      <c r="Q804" s="93">
        <v>46223</v>
      </c>
      <c r="R804" t="s">
        <v>495</v>
      </c>
      <c r="S804" t="s">
        <v>399</v>
      </c>
      <c r="T804" s="14">
        <v>0</v>
      </c>
      <c r="W804" s="20">
        <v>45966</v>
      </c>
      <c r="X804" t="s">
        <v>280</v>
      </c>
      <c r="Y804" s="23">
        <v>6.5576923076923102</v>
      </c>
      <c r="Z804" s="23">
        <v>6.0730769230769202</v>
      </c>
      <c r="AA804" s="23">
        <v>6.3153846153846098</v>
      </c>
      <c r="AD804" s="20">
        <v>46252</v>
      </c>
      <c r="AE804" t="s">
        <v>557</v>
      </c>
      <c r="AF804">
        <v>2838.3019360369999</v>
      </c>
      <c r="AG804" s="84">
        <f>DATE(YEAR(His53_DataTT[[#This Row],[RptDate]]),MONTH(His53_DataTT[[#This Row],[RptDate]]),1)</f>
        <v>46235</v>
      </c>
      <c r="AO804" s="14"/>
    </row>
    <row r="805" spans="17:41" x14ac:dyDescent="0.3">
      <c r="Q805" s="93">
        <v>46223</v>
      </c>
      <c r="R805" t="s">
        <v>493</v>
      </c>
      <c r="S805" t="s">
        <v>399</v>
      </c>
      <c r="T805" s="14">
        <v>0</v>
      </c>
      <c r="W805" s="20">
        <v>45966</v>
      </c>
      <c r="X805" t="s">
        <v>281</v>
      </c>
      <c r="Y805" s="23">
        <v>6.5576923076923102</v>
      </c>
      <c r="Z805" s="23">
        <v>6.0730769230769202</v>
      </c>
      <c r="AA805" s="23">
        <v>6.3153846153846098</v>
      </c>
      <c r="AD805" s="20">
        <v>46253</v>
      </c>
      <c r="AE805" t="s">
        <v>479</v>
      </c>
      <c r="AF805">
        <v>641.07176372100002</v>
      </c>
      <c r="AG805" s="84">
        <f>DATE(YEAR(His53_DataTT[[#This Row],[RptDate]]),MONTH(His53_DataTT[[#This Row],[RptDate]]),1)</f>
        <v>46235</v>
      </c>
      <c r="AO805" s="14"/>
    </row>
    <row r="806" spans="17:41" x14ac:dyDescent="0.3">
      <c r="Q806" s="93">
        <v>46223</v>
      </c>
      <c r="R806" t="s">
        <v>593</v>
      </c>
      <c r="S806" t="s">
        <v>399</v>
      </c>
      <c r="T806" s="14">
        <v>12105</v>
      </c>
      <c r="W806" s="20">
        <v>45967</v>
      </c>
      <c r="X806" t="s">
        <v>270</v>
      </c>
      <c r="Y806" s="23">
        <v>5.96</v>
      </c>
      <c r="Z806" s="23">
        <v>5.46</v>
      </c>
      <c r="AA806" s="23">
        <v>5.71</v>
      </c>
      <c r="AD806" s="20">
        <v>46253</v>
      </c>
      <c r="AE806" t="s">
        <v>557</v>
      </c>
      <c r="AF806">
        <v>3345.317253142</v>
      </c>
      <c r="AG806" s="84">
        <f>DATE(YEAR(His53_DataTT[[#This Row],[RptDate]]),MONTH(His53_DataTT[[#This Row],[RptDate]]),1)</f>
        <v>46235</v>
      </c>
      <c r="AO806" s="14"/>
    </row>
    <row r="807" spans="17:41" x14ac:dyDescent="0.3">
      <c r="Q807" s="93">
        <v>46223</v>
      </c>
      <c r="R807" t="s">
        <v>594</v>
      </c>
      <c r="S807" t="s">
        <v>399</v>
      </c>
      <c r="T807" s="14">
        <v>0</v>
      </c>
      <c r="W807" s="20">
        <v>45967</v>
      </c>
      <c r="X807" t="s">
        <v>271</v>
      </c>
      <c r="Y807" s="23">
        <v>6.0125000000000002</v>
      </c>
      <c r="Z807" s="23">
        <v>5.5625</v>
      </c>
      <c r="AA807" s="23">
        <v>5.7874999999999996</v>
      </c>
      <c r="AD807" s="20">
        <v>46254</v>
      </c>
      <c r="AE807" t="s">
        <v>479</v>
      </c>
      <c r="AF807">
        <v>1418.7442013259999</v>
      </c>
      <c r="AG807" s="84">
        <f>DATE(YEAR(His53_DataTT[[#This Row],[RptDate]]),MONTH(His53_DataTT[[#This Row],[RptDate]]),1)</f>
        <v>46235</v>
      </c>
      <c r="AO807" s="14"/>
    </row>
    <row r="808" spans="17:41" x14ac:dyDescent="0.3">
      <c r="Q808" s="93">
        <v>46223</v>
      </c>
      <c r="R808" t="s">
        <v>595</v>
      </c>
      <c r="S808" t="s">
        <v>399</v>
      </c>
      <c r="T808" s="14">
        <v>0</v>
      </c>
      <c r="W808" s="20">
        <v>45967</v>
      </c>
      <c r="X808" t="s">
        <v>272</v>
      </c>
      <c r="Y808" s="23">
        <v>6.2750000000000004</v>
      </c>
      <c r="Z808" s="23">
        <v>5.875</v>
      </c>
      <c r="AA808" s="23">
        <v>6.0750000000000002</v>
      </c>
      <c r="AD808" s="20">
        <v>46254</v>
      </c>
      <c r="AE808" t="s">
        <v>557</v>
      </c>
      <c r="AF808">
        <v>5167.5295157889996</v>
      </c>
      <c r="AG808" s="84">
        <f>DATE(YEAR(His53_DataTT[[#This Row],[RptDate]]),MONTH(His53_DataTT[[#This Row],[RptDate]]),1)</f>
        <v>46235</v>
      </c>
      <c r="AO808" s="14"/>
    </row>
    <row r="809" spans="17:41" x14ac:dyDescent="0.3">
      <c r="Q809" s="93">
        <v>46223</v>
      </c>
      <c r="R809" t="s">
        <v>1439</v>
      </c>
      <c r="S809" t="s">
        <v>399</v>
      </c>
      <c r="T809" s="14">
        <v>191.5797810199</v>
      </c>
      <c r="W809" s="20">
        <v>45967</v>
      </c>
      <c r="X809" t="s">
        <v>273</v>
      </c>
      <c r="Y809" s="23">
        <v>6.4666666666666703</v>
      </c>
      <c r="Z809" s="23">
        <v>6.1666666666666696</v>
      </c>
      <c r="AA809" s="23">
        <v>6.31666666666667</v>
      </c>
      <c r="AD809" s="20">
        <v>46255</v>
      </c>
      <c r="AE809" t="s">
        <v>479</v>
      </c>
      <c r="AF809">
        <v>5808.8250954710002</v>
      </c>
      <c r="AG809" s="84">
        <f>DATE(YEAR(His53_DataTT[[#This Row],[RptDate]]),MONTH(His53_DataTT[[#This Row],[RptDate]]),1)</f>
        <v>46235</v>
      </c>
      <c r="AO809" s="14"/>
    </row>
    <row r="810" spans="17:41" x14ac:dyDescent="0.3">
      <c r="Q810" s="93">
        <v>46223</v>
      </c>
      <c r="R810" t="s">
        <v>479</v>
      </c>
      <c r="S810" t="s">
        <v>395</v>
      </c>
      <c r="T810" s="14">
        <v>10342.472068707601</v>
      </c>
      <c r="W810" s="20">
        <v>45967</v>
      </c>
      <c r="X810" t="s">
        <v>274</v>
      </c>
      <c r="Y810" s="23">
        <v>6.35</v>
      </c>
      <c r="Z810" s="23">
        <v>5.8653846153846096</v>
      </c>
      <c r="AA810" s="23">
        <v>6.10769230769231</v>
      </c>
      <c r="AD810" s="20">
        <v>46255</v>
      </c>
      <c r="AE810" t="s">
        <v>557</v>
      </c>
      <c r="AF810">
        <v>6586.9268410029999</v>
      </c>
      <c r="AG810" s="84">
        <f>DATE(YEAR(His53_DataTT[[#This Row],[RptDate]]),MONTH(His53_DataTT[[#This Row],[RptDate]]),1)</f>
        <v>46235</v>
      </c>
      <c r="AO810" s="14"/>
    </row>
    <row r="811" spans="17:41" x14ac:dyDescent="0.3">
      <c r="Q811" s="93">
        <v>46223</v>
      </c>
      <c r="R811" t="s">
        <v>479</v>
      </c>
      <c r="S811" t="s">
        <v>415</v>
      </c>
      <c r="T811" s="14">
        <v>7.1111348651863997</v>
      </c>
      <c r="W811" s="20">
        <v>45967</v>
      </c>
      <c r="X811" t="s">
        <v>275</v>
      </c>
      <c r="Y811" s="23">
        <v>6.3884615384615397</v>
      </c>
      <c r="Z811" s="23">
        <v>5.9038461538461604</v>
      </c>
      <c r="AA811" s="23">
        <v>6.1461538461538501</v>
      </c>
      <c r="AD811" s="20">
        <v>46258</v>
      </c>
      <c r="AE811" t="s">
        <v>479</v>
      </c>
      <c r="AF811">
        <v>2156.7646285830001</v>
      </c>
      <c r="AG811" s="84">
        <f>DATE(YEAR(His53_DataTT[[#This Row],[RptDate]]),MONTH(His53_DataTT[[#This Row],[RptDate]]),1)</f>
        <v>46235</v>
      </c>
      <c r="AO811" s="14"/>
    </row>
    <row r="812" spans="17:41" x14ac:dyDescent="0.3">
      <c r="Q812" s="93">
        <v>46223</v>
      </c>
      <c r="R812" t="s">
        <v>364</v>
      </c>
      <c r="S812" t="s">
        <v>415</v>
      </c>
      <c r="T812" s="14">
        <v>6.8185847589424604</v>
      </c>
      <c r="W812" s="20">
        <v>45967</v>
      </c>
      <c r="X812" t="s">
        <v>276</v>
      </c>
      <c r="Y812" s="23">
        <v>6.4115384615384601</v>
      </c>
      <c r="Z812" s="23">
        <v>5.9269230769230798</v>
      </c>
      <c r="AA812" s="23">
        <v>6.1692307692307704</v>
      </c>
      <c r="AD812" s="20">
        <v>46258</v>
      </c>
      <c r="AE812" t="s">
        <v>557</v>
      </c>
      <c r="AF812">
        <v>10469.881587366001</v>
      </c>
      <c r="AG812" s="84">
        <f>DATE(YEAR(His53_DataTT[[#This Row],[RptDate]]),MONTH(His53_DataTT[[#This Row],[RptDate]]),1)</f>
        <v>46235</v>
      </c>
      <c r="AO812" s="14"/>
    </row>
    <row r="813" spans="17:41" x14ac:dyDescent="0.3">
      <c r="Q813" s="93">
        <v>46223</v>
      </c>
      <c r="R813" t="s">
        <v>516</v>
      </c>
      <c r="S813" t="s">
        <v>415</v>
      </c>
      <c r="T813" s="14">
        <v>6.9082012987310302</v>
      </c>
      <c r="W813" s="20">
        <v>45967</v>
      </c>
      <c r="X813" t="s">
        <v>277</v>
      </c>
      <c r="Y813" s="23">
        <v>6.4692307692307702</v>
      </c>
      <c r="Z813" s="23">
        <v>5.9846153846153802</v>
      </c>
      <c r="AA813" s="23">
        <v>6.2269230769230797</v>
      </c>
      <c r="AD813" s="20">
        <v>46259</v>
      </c>
      <c r="AE813" t="s">
        <v>479</v>
      </c>
      <c r="AF813">
        <v>2109.0394060499998</v>
      </c>
      <c r="AG813" s="84">
        <f>DATE(YEAR(His53_DataTT[[#This Row],[RptDate]]),MONTH(His53_DataTT[[#This Row],[RptDate]]),1)</f>
        <v>46235</v>
      </c>
      <c r="AO813" s="14"/>
    </row>
    <row r="814" spans="17:41" x14ac:dyDescent="0.3">
      <c r="Q814" s="93">
        <v>46223</v>
      </c>
      <c r="R814" t="s">
        <v>1288</v>
      </c>
      <c r="S814" t="s">
        <v>415</v>
      </c>
      <c r="T814" s="14">
        <v>7.1111348651863997</v>
      </c>
      <c r="W814" s="20">
        <v>45967</v>
      </c>
      <c r="X814" t="s">
        <v>278</v>
      </c>
      <c r="Y814" s="23">
        <v>6.4846153846153802</v>
      </c>
      <c r="Z814" s="23">
        <v>6</v>
      </c>
      <c r="AA814" s="23">
        <v>6.2423076923076897</v>
      </c>
      <c r="AD814" s="20">
        <v>46259</v>
      </c>
      <c r="AE814" t="s">
        <v>557</v>
      </c>
      <c r="AF814">
        <v>6481.8725037100003</v>
      </c>
      <c r="AG814" s="84">
        <f>DATE(YEAR(His53_DataTT[[#This Row],[RptDate]]),MONTH(His53_DataTT[[#This Row],[RptDate]]),1)</f>
        <v>46235</v>
      </c>
      <c r="AO814" s="14"/>
    </row>
    <row r="815" spans="17:41" x14ac:dyDescent="0.3">
      <c r="Q815" s="93">
        <v>46223</v>
      </c>
      <c r="R815" t="s">
        <v>496</v>
      </c>
      <c r="S815" t="s">
        <v>415</v>
      </c>
      <c r="T815" s="14">
        <v>6.8270291843352497</v>
      </c>
      <c r="W815" s="20">
        <v>45967</v>
      </c>
      <c r="X815" t="s">
        <v>279</v>
      </c>
      <c r="Y815" s="23">
        <v>6.5346153846153898</v>
      </c>
      <c r="Z815" s="23">
        <v>6.05</v>
      </c>
      <c r="AA815" s="23">
        <v>6.2923076923076904</v>
      </c>
      <c r="AD815" s="20">
        <v>46260</v>
      </c>
      <c r="AE815" t="s">
        <v>479</v>
      </c>
      <c r="AF815">
        <v>1395.522675341</v>
      </c>
      <c r="AG815" s="84">
        <f>DATE(YEAR(His53_DataTT[[#This Row],[RptDate]]),MONTH(His53_DataTT[[#This Row],[RptDate]]),1)</f>
        <v>46235</v>
      </c>
      <c r="AO815" s="14"/>
    </row>
    <row r="816" spans="17:41" x14ac:dyDescent="0.3">
      <c r="Q816" s="93">
        <v>46223</v>
      </c>
      <c r="R816" t="s">
        <v>1290</v>
      </c>
      <c r="S816" t="s">
        <v>415</v>
      </c>
      <c r="T816" s="14">
        <v>6.9448245788830096</v>
      </c>
      <c r="W816" s="20">
        <v>45967</v>
      </c>
      <c r="X816" t="s">
        <v>280</v>
      </c>
      <c r="Y816" s="23">
        <v>6.5807692307692296</v>
      </c>
      <c r="Z816" s="23">
        <v>6.0961538461538503</v>
      </c>
      <c r="AA816" s="23">
        <v>6.3384615384615399</v>
      </c>
      <c r="AD816" s="20">
        <v>46260</v>
      </c>
      <c r="AE816" t="s">
        <v>557</v>
      </c>
      <c r="AF816">
        <v>5058.7019286289997</v>
      </c>
      <c r="AG816" s="84">
        <f>DATE(YEAR(His53_DataTT[[#This Row],[RptDate]]),MONTH(His53_DataTT[[#This Row],[RptDate]]),1)</f>
        <v>46235</v>
      </c>
      <c r="AO816" s="14"/>
    </row>
    <row r="817" spans="17:41" x14ac:dyDescent="0.3">
      <c r="Q817" s="93">
        <v>46223</v>
      </c>
      <c r="R817" t="s">
        <v>364</v>
      </c>
      <c r="S817" t="s">
        <v>997</v>
      </c>
      <c r="T817" s="14">
        <v>32150</v>
      </c>
      <c r="W817" s="20">
        <v>45967</v>
      </c>
      <c r="X817" t="s">
        <v>281</v>
      </c>
      <c r="Y817" s="23">
        <v>6.5807692307692296</v>
      </c>
      <c r="Z817" s="23">
        <v>6.0961538461538503</v>
      </c>
      <c r="AA817" s="23">
        <v>6.3384615384615399</v>
      </c>
      <c r="AD817" s="20">
        <v>46261</v>
      </c>
      <c r="AE817" t="s">
        <v>479</v>
      </c>
      <c r="AF817">
        <v>2332.8721253190001</v>
      </c>
      <c r="AG817" s="84">
        <f>DATE(YEAR(His53_DataTT[[#This Row],[RptDate]]),MONTH(His53_DataTT[[#This Row],[RptDate]]),1)</f>
        <v>46235</v>
      </c>
      <c r="AO817" s="14"/>
    </row>
    <row r="818" spans="17:41" x14ac:dyDescent="0.3">
      <c r="Q818" s="93">
        <v>46223</v>
      </c>
      <c r="R818" t="s">
        <v>496</v>
      </c>
      <c r="S818" t="s">
        <v>997</v>
      </c>
      <c r="T818" s="14">
        <v>20045</v>
      </c>
      <c r="W818" s="20">
        <v>45968</v>
      </c>
      <c r="X818" t="s">
        <v>270</v>
      </c>
      <c r="Y818" s="23">
        <v>5.94</v>
      </c>
      <c r="Z818" s="23">
        <v>5.44</v>
      </c>
      <c r="AA818" s="23">
        <v>5.69</v>
      </c>
      <c r="AD818" s="20">
        <v>46261</v>
      </c>
      <c r="AE818" t="s">
        <v>557</v>
      </c>
      <c r="AF818">
        <v>8423.8876978049993</v>
      </c>
      <c r="AG818" s="84">
        <f>DATE(YEAR(His53_DataTT[[#This Row],[RptDate]]),MONTH(His53_DataTT[[#This Row],[RptDate]]),1)</f>
        <v>46235</v>
      </c>
      <c r="AO818" s="14"/>
    </row>
    <row r="819" spans="17:41" x14ac:dyDescent="0.3">
      <c r="Q819" s="93">
        <v>46223</v>
      </c>
      <c r="R819" t="s">
        <v>1388</v>
      </c>
      <c r="S819" t="s">
        <v>997</v>
      </c>
      <c r="T819" s="14">
        <v>14197.6106</v>
      </c>
      <c r="W819" s="20">
        <v>45968</v>
      </c>
      <c r="X819" t="s">
        <v>271</v>
      </c>
      <c r="Y819" s="23">
        <v>6.1624999999999996</v>
      </c>
      <c r="Z819" s="23">
        <v>5.7125000000000004</v>
      </c>
      <c r="AA819" s="23">
        <v>5.9375</v>
      </c>
      <c r="AD819" s="20">
        <v>46262</v>
      </c>
      <c r="AE819" t="s">
        <v>479</v>
      </c>
      <c r="AF819">
        <v>2898.5830394300001</v>
      </c>
      <c r="AG819" s="84">
        <f>DATE(YEAR(His53_DataTT[[#This Row],[RptDate]]),MONTH(His53_DataTT[[#This Row],[RptDate]]),1)</f>
        <v>46235</v>
      </c>
      <c r="AO819" s="14"/>
    </row>
    <row r="820" spans="17:41" x14ac:dyDescent="0.3">
      <c r="Q820" s="93">
        <v>46223</v>
      </c>
      <c r="R820" t="s">
        <v>1389</v>
      </c>
      <c r="S820" t="s">
        <v>997</v>
      </c>
      <c r="T820" s="14">
        <v>13800</v>
      </c>
      <c r="W820" s="20">
        <v>45968</v>
      </c>
      <c r="X820" t="s">
        <v>272</v>
      </c>
      <c r="Y820" s="23">
        <v>6.2750000000000004</v>
      </c>
      <c r="Z820" s="23">
        <v>5.875</v>
      </c>
      <c r="AA820" s="23">
        <v>6.0750000000000002</v>
      </c>
      <c r="AD820" s="20">
        <v>46262</v>
      </c>
      <c r="AE820" t="s">
        <v>557</v>
      </c>
      <c r="AF820">
        <v>6574.9834855609997</v>
      </c>
      <c r="AG820" s="84">
        <f>DATE(YEAR(His53_DataTT[[#This Row],[RptDate]]),MONTH(His53_DataTT[[#This Row],[RptDate]]),1)</f>
        <v>46235</v>
      </c>
      <c r="AO820" s="14"/>
    </row>
    <row r="821" spans="17:41" x14ac:dyDescent="0.3">
      <c r="Q821" s="93">
        <v>46223</v>
      </c>
      <c r="R821" t="s">
        <v>1390</v>
      </c>
      <c r="S821" t="s">
        <v>997</v>
      </c>
      <c r="T821" s="14">
        <v>397.61059999999998</v>
      </c>
      <c r="W821" s="20">
        <v>45968</v>
      </c>
      <c r="X821" t="s">
        <v>273</v>
      </c>
      <c r="Y821" s="23">
        <v>6.2923076923076904</v>
      </c>
      <c r="Z821" s="23">
        <v>5.8615384615384603</v>
      </c>
      <c r="AA821" s="23">
        <v>6.0769230769230802</v>
      </c>
      <c r="AO821" s="14"/>
    </row>
    <row r="822" spans="17:41" x14ac:dyDescent="0.3">
      <c r="Q822" s="93">
        <v>46223</v>
      </c>
      <c r="R822" t="s">
        <v>303</v>
      </c>
      <c r="S822" t="s">
        <v>303</v>
      </c>
      <c r="T822" s="14">
        <v>0</v>
      </c>
      <c r="W822" s="20">
        <v>45968</v>
      </c>
      <c r="X822" t="s">
        <v>274</v>
      </c>
      <c r="Y822" s="23">
        <v>6.3115384615384604</v>
      </c>
      <c r="Z822" s="23">
        <v>5.8423076923076902</v>
      </c>
      <c r="AA822" s="23">
        <v>6.0769230769230802</v>
      </c>
      <c r="AO822" s="14"/>
    </row>
    <row r="823" spans="17:41" x14ac:dyDescent="0.3">
      <c r="Q823" s="93">
        <v>46223</v>
      </c>
      <c r="R823" t="s">
        <v>303</v>
      </c>
      <c r="S823" t="s">
        <v>303</v>
      </c>
      <c r="T823" s="14">
        <v>0</v>
      </c>
      <c r="W823" s="20">
        <v>45968</v>
      </c>
      <c r="X823" t="s">
        <v>275</v>
      </c>
      <c r="Y823" s="23">
        <v>6.35</v>
      </c>
      <c r="Z823" s="23">
        <v>5.8807692307692303</v>
      </c>
      <c r="AA823" s="23">
        <v>6.1153846153846203</v>
      </c>
      <c r="AO823" s="14"/>
    </row>
    <row r="824" spans="17:41" x14ac:dyDescent="0.3">
      <c r="Q824" s="93">
        <v>46223</v>
      </c>
      <c r="R824" t="s">
        <v>303</v>
      </c>
      <c r="S824" t="s">
        <v>303</v>
      </c>
      <c r="T824" s="14">
        <v>0</v>
      </c>
      <c r="W824" s="20">
        <v>45968</v>
      </c>
      <c r="X824" t="s">
        <v>276</v>
      </c>
      <c r="Y824" s="23">
        <v>6.37307692307692</v>
      </c>
      <c r="Z824" s="23">
        <v>5.9038461538461604</v>
      </c>
      <c r="AA824" s="23">
        <v>6.1384615384615397</v>
      </c>
      <c r="AO824" s="14"/>
    </row>
    <row r="825" spans="17:41" x14ac:dyDescent="0.3">
      <c r="Q825" s="93">
        <v>46223</v>
      </c>
      <c r="R825" t="s">
        <v>303</v>
      </c>
      <c r="S825" t="s">
        <v>303</v>
      </c>
      <c r="T825" s="14">
        <v>0</v>
      </c>
      <c r="W825" s="20">
        <v>45968</v>
      </c>
      <c r="X825" t="s">
        <v>277</v>
      </c>
      <c r="Y825" s="23">
        <v>6.4307692307692301</v>
      </c>
      <c r="Z825" s="23">
        <v>5.9615384615384599</v>
      </c>
      <c r="AA825" s="23">
        <v>6.1961538461538499</v>
      </c>
      <c r="AO825" s="14"/>
    </row>
    <row r="826" spans="17:41" x14ac:dyDescent="0.3">
      <c r="Q826" s="93">
        <v>46223</v>
      </c>
      <c r="R826" t="s">
        <v>303</v>
      </c>
      <c r="S826" t="s">
        <v>303</v>
      </c>
      <c r="T826" s="14">
        <v>0</v>
      </c>
      <c r="W826" s="20">
        <v>45968</v>
      </c>
      <c r="X826" t="s">
        <v>278</v>
      </c>
      <c r="Y826" s="23">
        <v>6.4384615384615396</v>
      </c>
      <c r="Z826" s="23">
        <v>5.9692307692307702</v>
      </c>
      <c r="AA826" s="23">
        <v>6.2038461538461496</v>
      </c>
      <c r="AO826" s="14"/>
    </row>
    <row r="827" spans="17:41" x14ac:dyDescent="0.3">
      <c r="Q827" s="93">
        <v>46220</v>
      </c>
      <c r="R827" t="s">
        <v>479</v>
      </c>
      <c r="S827" t="s">
        <v>399</v>
      </c>
      <c r="T827" s="14">
        <v>11389.1434130859</v>
      </c>
      <c r="W827" s="20">
        <v>45968</v>
      </c>
      <c r="X827" t="s">
        <v>279</v>
      </c>
      <c r="Y827" s="23">
        <v>6.4961538461538497</v>
      </c>
      <c r="Z827" s="23">
        <v>6.0192307692307701</v>
      </c>
      <c r="AA827" s="23">
        <v>6.2576923076923103</v>
      </c>
      <c r="AO827" s="14"/>
    </row>
    <row r="828" spans="17:41" x14ac:dyDescent="0.3">
      <c r="Q828" s="93">
        <v>46220</v>
      </c>
      <c r="R828" t="s">
        <v>364</v>
      </c>
      <c r="S828" t="s">
        <v>399</v>
      </c>
      <c r="T828" s="14">
        <v>28650</v>
      </c>
      <c r="W828" s="20">
        <v>45968</v>
      </c>
      <c r="X828" t="s">
        <v>280</v>
      </c>
      <c r="Y828" s="23">
        <v>6.5423076923076904</v>
      </c>
      <c r="Z828" s="23">
        <v>6.0576923076923102</v>
      </c>
      <c r="AA828" s="23">
        <v>6.3</v>
      </c>
      <c r="AO828" s="14"/>
    </row>
    <row r="829" spans="17:41" x14ac:dyDescent="0.3">
      <c r="Q829" s="93">
        <v>46220</v>
      </c>
      <c r="R829" t="s">
        <v>491</v>
      </c>
      <c r="S829" t="s">
        <v>399</v>
      </c>
      <c r="T829" s="14">
        <v>397.61059999999998</v>
      </c>
      <c r="W829" s="20">
        <v>45968</v>
      </c>
      <c r="X829" t="s">
        <v>281</v>
      </c>
      <c r="Y829" s="23">
        <v>6.55</v>
      </c>
      <c r="Z829" s="23">
        <v>6.0653846153846196</v>
      </c>
      <c r="AA829" s="23">
        <v>6.3076923076923102</v>
      </c>
      <c r="AO829" s="14"/>
    </row>
    <row r="830" spans="17:41" x14ac:dyDescent="0.3">
      <c r="Q830" s="93">
        <v>46220</v>
      </c>
      <c r="R830" t="s">
        <v>492</v>
      </c>
      <c r="S830" t="s">
        <v>399</v>
      </c>
      <c r="T830" s="14">
        <v>10800</v>
      </c>
      <c r="W830" s="20">
        <v>45971</v>
      </c>
      <c r="X830" t="s">
        <v>270</v>
      </c>
      <c r="Y830" s="23">
        <v>5.94</v>
      </c>
      <c r="Z830" s="23">
        <v>5.44</v>
      </c>
      <c r="AA830" s="23">
        <v>5.69</v>
      </c>
      <c r="AO830" s="14"/>
    </row>
    <row r="831" spans="17:41" x14ac:dyDescent="0.3">
      <c r="Q831" s="93">
        <v>46220</v>
      </c>
      <c r="R831" t="s">
        <v>1438</v>
      </c>
      <c r="S831" t="s">
        <v>399</v>
      </c>
      <c r="T831" s="14">
        <v>191.53281308592</v>
      </c>
      <c r="W831" s="20">
        <v>45971</v>
      </c>
      <c r="X831" t="s">
        <v>271</v>
      </c>
      <c r="Y831" s="23">
        <v>6.2125000000000004</v>
      </c>
      <c r="Z831" s="23">
        <v>5.7625000000000002</v>
      </c>
      <c r="AA831" s="23">
        <v>5.9874999999999998</v>
      </c>
      <c r="AO831" s="14"/>
    </row>
    <row r="832" spans="17:41" x14ac:dyDescent="0.3">
      <c r="Q832" s="93">
        <v>46220</v>
      </c>
      <c r="R832" t="s">
        <v>496</v>
      </c>
      <c r="S832" t="s">
        <v>399</v>
      </c>
      <c r="T832" s="14">
        <v>15594</v>
      </c>
      <c r="W832" s="20">
        <v>45971</v>
      </c>
      <c r="X832" t="s">
        <v>272</v>
      </c>
      <c r="Y832" s="23">
        <v>6.3250000000000002</v>
      </c>
      <c r="Z832" s="23">
        <v>5.9249999999999998</v>
      </c>
      <c r="AA832" s="23">
        <v>6.125</v>
      </c>
      <c r="AO832" s="14"/>
    </row>
    <row r="833" spans="17:41" x14ac:dyDescent="0.3">
      <c r="Q833" s="93">
        <v>46220</v>
      </c>
      <c r="R833" t="s">
        <v>497</v>
      </c>
      <c r="S833" t="s">
        <v>399</v>
      </c>
      <c r="T833" s="14">
        <v>397.61059999999998</v>
      </c>
      <c r="W833" s="20">
        <v>45971</v>
      </c>
      <c r="X833" t="s">
        <v>273</v>
      </c>
      <c r="Y833" s="23">
        <v>6.5333333333333297</v>
      </c>
      <c r="Z833" s="23">
        <v>6.2333333333333298</v>
      </c>
      <c r="AA833" s="23">
        <v>6.3833333333333302</v>
      </c>
      <c r="AO833" s="14"/>
    </row>
    <row r="834" spans="17:41" x14ac:dyDescent="0.3">
      <c r="Q834" s="93">
        <v>46220</v>
      </c>
      <c r="R834" t="s">
        <v>498</v>
      </c>
      <c r="S834" t="s">
        <v>399</v>
      </c>
      <c r="T834" s="14">
        <v>10800</v>
      </c>
      <c r="W834" s="20">
        <v>45971</v>
      </c>
      <c r="X834" t="s">
        <v>274</v>
      </c>
      <c r="Y834" s="23">
        <v>6.35769230769231</v>
      </c>
      <c r="Z834" s="23">
        <v>5.8807692307692303</v>
      </c>
      <c r="AA834" s="23">
        <v>6.1192307692307697</v>
      </c>
      <c r="AO834" s="14"/>
    </row>
    <row r="835" spans="17:41" x14ac:dyDescent="0.3">
      <c r="Q835" s="93">
        <v>46220</v>
      </c>
      <c r="R835" t="s">
        <v>494</v>
      </c>
      <c r="S835" t="s">
        <v>399</v>
      </c>
      <c r="T835" s="14">
        <v>0</v>
      </c>
      <c r="W835" s="20">
        <v>45971</v>
      </c>
      <c r="X835" t="s">
        <v>275</v>
      </c>
      <c r="Y835" s="23">
        <v>6.3961538461538501</v>
      </c>
      <c r="Z835" s="23">
        <v>5.9192307692307704</v>
      </c>
      <c r="AA835" s="23">
        <v>6.1576923076923098</v>
      </c>
      <c r="AO835" s="14"/>
    </row>
    <row r="836" spans="17:41" x14ac:dyDescent="0.3">
      <c r="Q836" s="93">
        <v>46220</v>
      </c>
      <c r="R836" t="s">
        <v>495</v>
      </c>
      <c r="S836" t="s">
        <v>399</v>
      </c>
      <c r="T836" s="14">
        <v>0</v>
      </c>
      <c r="W836" s="20">
        <v>45971</v>
      </c>
      <c r="X836" t="s">
        <v>276</v>
      </c>
      <c r="Y836" s="23">
        <v>6.4115384615384601</v>
      </c>
      <c r="Z836" s="23">
        <v>5.9346153846153902</v>
      </c>
      <c r="AA836" s="23">
        <v>6.1730769230769198</v>
      </c>
      <c r="AO836" s="14"/>
    </row>
    <row r="837" spans="17:41" x14ac:dyDescent="0.3">
      <c r="Q837" s="93">
        <v>46220</v>
      </c>
      <c r="R837" t="s">
        <v>493</v>
      </c>
      <c r="S837" t="s">
        <v>399</v>
      </c>
      <c r="T837" s="14">
        <v>0</v>
      </c>
      <c r="W837" s="20">
        <v>45971</v>
      </c>
      <c r="X837" t="s">
        <v>277</v>
      </c>
      <c r="Y837" s="23">
        <v>6.4769230769230797</v>
      </c>
      <c r="Z837" s="23">
        <v>6</v>
      </c>
      <c r="AA837" s="23">
        <v>6.2384615384615403</v>
      </c>
      <c r="AO837" s="14"/>
    </row>
    <row r="838" spans="17:41" x14ac:dyDescent="0.3">
      <c r="Q838" s="93">
        <v>46220</v>
      </c>
      <c r="R838" t="s">
        <v>593</v>
      </c>
      <c r="S838" t="s">
        <v>399</v>
      </c>
      <c r="T838" s="14">
        <v>13056</v>
      </c>
      <c r="W838" s="20">
        <v>45971</v>
      </c>
      <c r="X838" t="s">
        <v>278</v>
      </c>
      <c r="Y838" s="23">
        <v>6.48461538461539</v>
      </c>
      <c r="Z838" s="23">
        <v>6.0076923076923103</v>
      </c>
      <c r="AA838" s="23">
        <v>6.2461538461538497</v>
      </c>
      <c r="AO838" s="14"/>
    </row>
    <row r="839" spans="17:41" x14ac:dyDescent="0.3">
      <c r="Q839" s="93">
        <v>46220</v>
      </c>
      <c r="R839" t="s">
        <v>594</v>
      </c>
      <c r="S839" t="s">
        <v>399</v>
      </c>
      <c r="T839" s="14">
        <v>0</v>
      </c>
      <c r="W839" s="20">
        <v>45971</v>
      </c>
      <c r="X839" t="s">
        <v>279</v>
      </c>
      <c r="Y839" s="23">
        <v>6.5346153846153898</v>
      </c>
      <c r="Z839" s="23">
        <v>6.0576923076923102</v>
      </c>
      <c r="AA839" s="23">
        <v>6.2961538461538504</v>
      </c>
      <c r="AO839" s="14"/>
    </row>
    <row r="840" spans="17:41" x14ac:dyDescent="0.3">
      <c r="Q840" s="93">
        <v>46220</v>
      </c>
      <c r="R840" t="s">
        <v>595</v>
      </c>
      <c r="S840" t="s">
        <v>399</v>
      </c>
      <c r="T840" s="14">
        <v>0</v>
      </c>
      <c r="W840" s="20">
        <v>45971</v>
      </c>
      <c r="X840" t="s">
        <v>280</v>
      </c>
      <c r="Y840" s="23">
        <v>6.5884615384615399</v>
      </c>
      <c r="Z840" s="23">
        <v>6.1115384615384603</v>
      </c>
      <c r="AA840" s="23">
        <v>6.35</v>
      </c>
      <c r="AO840" s="14"/>
    </row>
    <row r="841" spans="17:41" x14ac:dyDescent="0.3">
      <c r="Q841" s="93">
        <v>46220</v>
      </c>
      <c r="R841" t="s">
        <v>1439</v>
      </c>
      <c r="S841" t="s">
        <v>399</v>
      </c>
      <c r="T841" s="14">
        <v>191.53281308592</v>
      </c>
      <c r="W841" s="20">
        <v>45971</v>
      </c>
      <c r="X841" t="s">
        <v>281</v>
      </c>
      <c r="Y841" s="23">
        <v>6.5961538461538503</v>
      </c>
      <c r="Z841" s="23">
        <v>6.1192307692307697</v>
      </c>
      <c r="AA841" s="23">
        <v>6.35769230769231</v>
      </c>
      <c r="AO841" s="14"/>
    </row>
    <row r="842" spans="17:41" x14ac:dyDescent="0.3">
      <c r="Q842" s="93">
        <v>46220</v>
      </c>
      <c r="R842" t="s">
        <v>479</v>
      </c>
      <c r="S842" t="s">
        <v>395</v>
      </c>
      <c r="T842" s="14">
        <v>10348.0272401162</v>
      </c>
      <c r="W842" s="20">
        <v>46001</v>
      </c>
      <c r="X842" t="s">
        <v>270</v>
      </c>
      <c r="Y842" s="23">
        <v>7.1</v>
      </c>
      <c r="Z842" s="23">
        <v>6.6</v>
      </c>
      <c r="AA842" s="23">
        <v>6.85</v>
      </c>
      <c r="AO842" s="14"/>
    </row>
    <row r="843" spans="17:41" x14ac:dyDescent="0.3">
      <c r="Q843" s="93">
        <v>46220</v>
      </c>
      <c r="R843" t="s">
        <v>479</v>
      </c>
      <c r="S843" t="s">
        <v>415</v>
      </c>
      <c r="T843" s="14">
        <v>7.1111348651863997</v>
      </c>
      <c r="W843" s="20">
        <v>46001</v>
      </c>
      <c r="X843" t="s">
        <v>271</v>
      </c>
      <c r="Y843" s="23">
        <v>6.8692307692307697</v>
      </c>
      <c r="Z843" s="23">
        <v>6.39230769230769</v>
      </c>
      <c r="AA843" s="23">
        <v>6.6307692307692303</v>
      </c>
      <c r="AO843" s="14"/>
    </row>
    <row r="844" spans="17:41" x14ac:dyDescent="0.3">
      <c r="Q844" s="93">
        <v>46220</v>
      </c>
      <c r="R844" t="s">
        <v>364</v>
      </c>
      <c r="S844" t="s">
        <v>415</v>
      </c>
      <c r="T844" s="14">
        <v>6.8185847589424604</v>
      </c>
      <c r="W844" s="20">
        <v>46001</v>
      </c>
      <c r="X844" t="s">
        <v>272</v>
      </c>
      <c r="Y844" s="23">
        <v>6.8250000000000002</v>
      </c>
      <c r="Z844" s="23">
        <v>6.5625</v>
      </c>
      <c r="AA844" s="23">
        <v>6.6937499999999996</v>
      </c>
      <c r="AO844" s="14"/>
    </row>
    <row r="845" spans="17:41" x14ac:dyDescent="0.3">
      <c r="Q845" s="93">
        <v>46220</v>
      </c>
      <c r="R845" t="s">
        <v>516</v>
      </c>
      <c r="S845" t="s">
        <v>415</v>
      </c>
      <c r="T845" s="14">
        <v>6.9082012987310302</v>
      </c>
      <c r="W845" s="20">
        <v>46001</v>
      </c>
      <c r="X845" t="s">
        <v>273</v>
      </c>
      <c r="Y845" s="23">
        <v>7.0538461538461599</v>
      </c>
      <c r="Z845" s="23">
        <v>6.5923076923076902</v>
      </c>
      <c r="AA845" s="23">
        <v>6.8230769230769202</v>
      </c>
      <c r="AO845" s="14"/>
    </row>
    <row r="846" spans="17:41" x14ac:dyDescent="0.3">
      <c r="Q846" s="93">
        <v>46220</v>
      </c>
      <c r="R846" t="s">
        <v>1288</v>
      </c>
      <c r="S846" t="s">
        <v>415</v>
      </c>
      <c r="T846" s="14">
        <v>7.1111348651863997</v>
      </c>
      <c r="W846" s="20">
        <v>46001</v>
      </c>
      <c r="X846" t="s">
        <v>274</v>
      </c>
      <c r="Y846" s="23">
        <v>7.0807692307692296</v>
      </c>
      <c r="Z846" s="23">
        <v>6.6038461538461499</v>
      </c>
      <c r="AA846" s="23">
        <v>6.8423076923076902</v>
      </c>
      <c r="AO846" s="14"/>
    </row>
    <row r="847" spans="17:41" x14ac:dyDescent="0.3">
      <c r="Q847" s="93">
        <v>46220</v>
      </c>
      <c r="R847" t="s">
        <v>496</v>
      </c>
      <c r="S847" t="s">
        <v>415</v>
      </c>
      <c r="T847" s="14">
        <v>6.8107625432072902</v>
      </c>
      <c r="W847" s="20">
        <v>46001</v>
      </c>
      <c r="X847" t="s">
        <v>275</v>
      </c>
      <c r="Y847" s="23">
        <v>7.1153846153846096</v>
      </c>
      <c r="Z847" s="23">
        <v>6.6307692307692303</v>
      </c>
      <c r="AA847" s="23">
        <v>6.87307692307692</v>
      </c>
      <c r="AO847" s="14"/>
    </row>
    <row r="848" spans="17:41" x14ac:dyDescent="0.3">
      <c r="Q848" s="93">
        <v>46220</v>
      </c>
      <c r="R848" t="s">
        <v>1290</v>
      </c>
      <c r="S848" t="s">
        <v>415</v>
      </c>
      <c r="T848" s="14">
        <v>6.9388599583103403</v>
      </c>
      <c r="W848" s="20">
        <v>46001</v>
      </c>
      <c r="X848" t="s">
        <v>276</v>
      </c>
      <c r="Y848" s="23">
        <v>7.1538461538461497</v>
      </c>
      <c r="Z848" s="23">
        <v>6.6692307692307704</v>
      </c>
      <c r="AA848" s="23">
        <v>6.9115384615384601</v>
      </c>
      <c r="AO848" s="14"/>
    </row>
    <row r="849" spans="17:41" x14ac:dyDescent="0.3">
      <c r="Q849" s="93">
        <v>46220</v>
      </c>
      <c r="R849" t="s">
        <v>364</v>
      </c>
      <c r="S849" t="s">
        <v>997</v>
      </c>
      <c r="T849" s="14">
        <v>32150</v>
      </c>
      <c r="W849" s="20">
        <v>46001</v>
      </c>
      <c r="X849" t="s">
        <v>277</v>
      </c>
      <c r="Y849" s="23">
        <v>7.1884615384615396</v>
      </c>
      <c r="Z849" s="23">
        <v>6.7038461538461496</v>
      </c>
      <c r="AA849" s="23">
        <v>6.9461538461538499</v>
      </c>
      <c r="AO849" s="14"/>
    </row>
    <row r="850" spans="17:41" x14ac:dyDescent="0.3">
      <c r="Q850" s="93">
        <v>46220</v>
      </c>
      <c r="R850" t="s">
        <v>496</v>
      </c>
      <c r="S850" t="s">
        <v>997</v>
      </c>
      <c r="T850" s="14">
        <v>19094</v>
      </c>
      <c r="W850" s="20">
        <v>46001</v>
      </c>
      <c r="X850" t="s">
        <v>278</v>
      </c>
      <c r="Y850" s="23">
        <v>7.2269230769230797</v>
      </c>
      <c r="Z850" s="23">
        <v>6.7423076923076897</v>
      </c>
      <c r="AA850" s="23">
        <v>6.98461538461539</v>
      </c>
      <c r="AO850" s="14"/>
    </row>
    <row r="851" spans="17:41" x14ac:dyDescent="0.3">
      <c r="Q851" s="93">
        <v>46220</v>
      </c>
      <c r="R851" t="s">
        <v>1388</v>
      </c>
      <c r="S851" t="s">
        <v>997</v>
      </c>
      <c r="T851" s="14">
        <v>14197.6106</v>
      </c>
      <c r="W851" s="20">
        <v>46001</v>
      </c>
      <c r="X851" t="s">
        <v>279</v>
      </c>
      <c r="Y851" s="23">
        <v>7.2576923076923103</v>
      </c>
      <c r="Z851" s="23">
        <v>6.7730769230769203</v>
      </c>
      <c r="AA851" s="23">
        <v>7.0153846153846198</v>
      </c>
      <c r="AO851" s="14"/>
    </row>
    <row r="852" spans="17:41" x14ac:dyDescent="0.3">
      <c r="Q852" s="93">
        <v>46220</v>
      </c>
      <c r="R852" t="s">
        <v>1389</v>
      </c>
      <c r="S852" t="s">
        <v>997</v>
      </c>
      <c r="T852" s="14">
        <v>13800</v>
      </c>
      <c r="W852" s="20">
        <v>46001</v>
      </c>
      <c r="X852" t="s">
        <v>280</v>
      </c>
      <c r="Y852" s="23">
        <v>7.3038461538461501</v>
      </c>
      <c r="Z852" s="23">
        <v>6.8192307692307699</v>
      </c>
      <c r="AA852" s="23">
        <v>7.0615384615384604</v>
      </c>
      <c r="AO852" s="14"/>
    </row>
    <row r="853" spans="17:41" x14ac:dyDescent="0.3">
      <c r="Q853" s="93">
        <v>46220</v>
      </c>
      <c r="R853" t="s">
        <v>1390</v>
      </c>
      <c r="S853" t="s">
        <v>997</v>
      </c>
      <c r="T853" s="14">
        <v>397.61059999999998</v>
      </c>
      <c r="W853" s="20">
        <v>46001</v>
      </c>
      <c r="X853" t="s">
        <v>281</v>
      </c>
      <c r="Y853" s="23">
        <v>7.3192307692307699</v>
      </c>
      <c r="Z853" s="23">
        <v>6.8346153846153896</v>
      </c>
      <c r="AA853" s="23">
        <v>7.0769230769230802</v>
      </c>
      <c r="AO853" s="14"/>
    </row>
    <row r="854" spans="17:41" x14ac:dyDescent="0.3">
      <c r="Q854" s="93">
        <v>46220</v>
      </c>
      <c r="R854" t="s">
        <v>303</v>
      </c>
      <c r="S854" t="s">
        <v>303</v>
      </c>
      <c r="T854" s="14">
        <v>0</v>
      </c>
      <c r="W854" s="20">
        <v>46003</v>
      </c>
      <c r="X854" t="s">
        <v>270</v>
      </c>
      <c r="Y854" s="23">
        <v>7.1571428571428601</v>
      </c>
      <c r="Z854" s="23">
        <v>6.6571428571428601</v>
      </c>
      <c r="AA854" s="23">
        <v>6.9071428571428601</v>
      </c>
      <c r="AO854" s="14"/>
    </row>
    <row r="855" spans="17:41" x14ac:dyDescent="0.3">
      <c r="Q855" s="93">
        <v>46220</v>
      </c>
      <c r="R855" t="s">
        <v>303</v>
      </c>
      <c r="S855" t="s">
        <v>303</v>
      </c>
      <c r="T855" s="14">
        <v>0</v>
      </c>
      <c r="W855" s="20">
        <v>46003</v>
      </c>
      <c r="X855" t="s">
        <v>271</v>
      </c>
      <c r="Y855" s="23">
        <v>6.8846153846153904</v>
      </c>
      <c r="Z855" s="23">
        <v>6.4076923076923098</v>
      </c>
      <c r="AA855" s="23">
        <v>6.6461538461538501</v>
      </c>
      <c r="AO855" s="14"/>
    </row>
    <row r="856" spans="17:41" x14ac:dyDescent="0.3">
      <c r="Q856" s="93">
        <v>46220</v>
      </c>
      <c r="R856" t="s">
        <v>303</v>
      </c>
      <c r="S856" t="s">
        <v>303</v>
      </c>
      <c r="T856" s="14">
        <v>0</v>
      </c>
      <c r="W856" s="20">
        <v>46003</v>
      </c>
      <c r="X856" t="s">
        <v>272</v>
      </c>
      <c r="Y856" s="23">
        <v>6.8875000000000002</v>
      </c>
      <c r="Z856" s="23">
        <v>6.625</v>
      </c>
      <c r="AA856" s="23">
        <v>6.7562499999999996</v>
      </c>
      <c r="AO856" s="14"/>
    </row>
    <row r="857" spans="17:41" x14ac:dyDescent="0.3">
      <c r="Q857" s="93">
        <v>46220</v>
      </c>
      <c r="R857" t="s">
        <v>303</v>
      </c>
      <c r="S857" t="s">
        <v>303</v>
      </c>
      <c r="T857" s="14">
        <v>0</v>
      </c>
      <c r="W857" s="20">
        <v>46003</v>
      </c>
      <c r="X857" t="s">
        <v>273</v>
      </c>
      <c r="Y857" s="23">
        <v>7.0692307692307699</v>
      </c>
      <c r="Z857" s="23">
        <v>6.60769230769231</v>
      </c>
      <c r="AA857" s="23">
        <v>6.8384615384615399</v>
      </c>
      <c r="AO857" s="14"/>
    </row>
    <row r="858" spans="17:41" x14ac:dyDescent="0.3">
      <c r="Q858" s="93">
        <v>46220</v>
      </c>
      <c r="R858" t="s">
        <v>303</v>
      </c>
      <c r="S858" t="s">
        <v>303</v>
      </c>
      <c r="T858" s="14">
        <v>0</v>
      </c>
      <c r="W858" s="20">
        <v>46003</v>
      </c>
      <c r="X858" t="s">
        <v>274</v>
      </c>
      <c r="Y858" s="23">
        <v>7.0961538461538396</v>
      </c>
      <c r="Z858" s="23">
        <v>6.6192307692307697</v>
      </c>
      <c r="AA858" s="23">
        <v>6.85769230769231</v>
      </c>
      <c r="AO858" s="14"/>
    </row>
    <row r="859" spans="17:41" x14ac:dyDescent="0.3">
      <c r="Q859" s="93">
        <v>46219</v>
      </c>
      <c r="R859" t="s">
        <v>479</v>
      </c>
      <c r="S859" t="s">
        <v>399</v>
      </c>
      <c r="T859" s="14">
        <v>11388.898631763799</v>
      </c>
      <c r="W859" s="20">
        <v>46003</v>
      </c>
      <c r="X859" t="s">
        <v>275</v>
      </c>
      <c r="Y859" s="23">
        <v>7.1307692307692303</v>
      </c>
      <c r="Z859" s="23">
        <v>6.6461538461538501</v>
      </c>
      <c r="AA859" s="23">
        <v>6.8884615384615397</v>
      </c>
      <c r="AO859" s="14"/>
    </row>
    <row r="860" spans="17:41" x14ac:dyDescent="0.3">
      <c r="Q860" s="93">
        <v>46219</v>
      </c>
      <c r="R860" t="s">
        <v>364</v>
      </c>
      <c r="S860" t="s">
        <v>399</v>
      </c>
      <c r="T860" s="14">
        <v>28650</v>
      </c>
      <c r="W860" s="20">
        <v>46003</v>
      </c>
      <c r="X860" t="s">
        <v>276</v>
      </c>
      <c r="Y860" s="23">
        <v>7.1692307692307704</v>
      </c>
      <c r="Z860" s="23">
        <v>6.6846153846153902</v>
      </c>
      <c r="AA860" s="23">
        <v>6.9269230769230798</v>
      </c>
      <c r="AO860" s="14"/>
    </row>
    <row r="861" spans="17:41" x14ac:dyDescent="0.3">
      <c r="Q861" s="93">
        <v>46219</v>
      </c>
      <c r="R861" t="s">
        <v>491</v>
      </c>
      <c r="S861" t="s">
        <v>399</v>
      </c>
      <c r="T861" s="14">
        <v>397.61059999999998</v>
      </c>
      <c r="W861" s="20">
        <v>46003</v>
      </c>
      <c r="X861" t="s">
        <v>277</v>
      </c>
      <c r="Y861" s="23">
        <v>7.2038461538461496</v>
      </c>
      <c r="Z861" s="23">
        <v>6.7192307692307702</v>
      </c>
      <c r="AA861" s="23">
        <v>6.9615384615384599</v>
      </c>
      <c r="AO861" s="14"/>
    </row>
    <row r="862" spans="17:41" x14ac:dyDescent="0.3">
      <c r="Q862" s="93">
        <v>46219</v>
      </c>
      <c r="R862" t="s">
        <v>492</v>
      </c>
      <c r="S862" t="s">
        <v>399</v>
      </c>
      <c r="T862" s="14">
        <v>10800</v>
      </c>
      <c r="W862" s="20">
        <v>46003</v>
      </c>
      <c r="X862" t="s">
        <v>278</v>
      </c>
      <c r="Y862" s="23">
        <v>7.2423076923076897</v>
      </c>
      <c r="Z862" s="23">
        <v>6.7576923076923103</v>
      </c>
      <c r="AA862" s="23">
        <v>7</v>
      </c>
      <c r="AO862" s="14"/>
    </row>
    <row r="863" spans="17:41" x14ac:dyDescent="0.3">
      <c r="Q863" s="93">
        <v>46219</v>
      </c>
      <c r="R863" t="s">
        <v>1438</v>
      </c>
      <c r="S863" t="s">
        <v>399</v>
      </c>
      <c r="T863" s="14">
        <v>191.28803176378</v>
      </c>
      <c r="W863" s="20">
        <v>46003</v>
      </c>
      <c r="X863" t="s">
        <v>279</v>
      </c>
      <c r="Y863" s="23">
        <v>7.2730769230769203</v>
      </c>
      <c r="Z863" s="23">
        <v>6.7884615384615401</v>
      </c>
      <c r="AA863" s="23">
        <v>7.0307692307692298</v>
      </c>
      <c r="AO863" s="14"/>
    </row>
    <row r="864" spans="17:41" x14ac:dyDescent="0.3">
      <c r="Q864" s="93">
        <v>46219</v>
      </c>
      <c r="R864" t="s">
        <v>496</v>
      </c>
      <c r="S864" t="s">
        <v>399</v>
      </c>
      <c r="T864" s="14">
        <v>14024</v>
      </c>
      <c r="W864" s="20">
        <v>46003</v>
      </c>
      <c r="X864" t="s">
        <v>280</v>
      </c>
      <c r="Y864" s="23">
        <v>7.3192307692307699</v>
      </c>
      <c r="Z864" s="23">
        <v>6.8346153846153896</v>
      </c>
      <c r="AA864" s="23">
        <v>7.0769230769230802</v>
      </c>
      <c r="AO864" s="14"/>
    </row>
    <row r="865" spans="17:41" x14ac:dyDescent="0.3">
      <c r="Q865" s="93">
        <v>46219</v>
      </c>
      <c r="R865" t="s">
        <v>497</v>
      </c>
      <c r="S865" t="s">
        <v>399</v>
      </c>
      <c r="T865" s="14">
        <v>397.61059999999998</v>
      </c>
      <c r="W865" s="20">
        <v>46003</v>
      </c>
      <c r="X865" t="s">
        <v>281</v>
      </c>
      <c r="Y865" s="23">
        <v>7.3346153846153799</v>
      </c>
      <c r="Z865" s="23">
        <v>6.85</v>
      </c>
      <c r="AA865" s="23">
        <v>7.0923076923076902</v>
      </c>
      <c r="AO865" s="14"/>
    </row>
    <row r="866" spans="17:41" x14ac:dyDescent="0.3">
      <c r="Q866" s="93">
        <v>46219</v>
      </c>
      <c r="R866" t="s">
        <v>498</v>
      </c>
      <c r="S866" t="s">
        <v>399</v>
      </c>
      <c r="T866" s="14">
        <v>10800</v>
      </c>
      <c r="W866" s="20">
        <v>46006</v>
      </c>
      <c r="X866" t="s">
        <v>270</v>
      </c>
      <c r="Y866" s="23">
        <v>7.1428571428571397</v>
      </c>
      <c r="Z866" s="23">
        <v>6.6428571428571397</v>
      </c>
      <c r="AA866" s="23">
        <v>6.8928571428571397</v>
      </c>
      <c r="AO866" s="14"/>
    </row>
    <row r="867" spans="17:41" x14ac:dyDescent="0.3">
      <c r="Q867" s="93">
        <v>46219</v>
      </c>
      <c r="R867" t="s">
        <v>494</v>
      </c>
      <c r="S867" t="s">
        <v>399</v>
      </c>
      <c r="T867" s="14">
        <v>0</v>
      </c>
      <c r="W867" s="20">
        <v>46006</v>
      </c>
      <c r="X867" t="s">
        <v>271</v>
      </c>
      <c r="Y867" s="23">
        <v>6.8846153846153904</v>
      </c>
      <c r="Z867" s="23">
        <v>6.4076923076923098</v>
      </c>
      <c r="AA867" s="23">
        <v>6.6461538461538501</v>
      </c>
      <c r="AO867" s="14"/>
    </row>
    <row r="868" spans="17:41" x14ac:dyDescent="0.3">
      <c r="Q868" s="93">
        <v>46219</v>
      </c>
      <c r="R868" t="s">
        <v>495</v>
      </c>
      <c r="S868" t="s">
        <v>399</v>
      </c>
      <c r="T868" s="14">
        <v>0</v>
      </c>
      <c r="W868" s="20">
        <v>46006</v>
      </c>
      <c r="X868" t="s">
        <v>272</v>
      </c>
      <c r="Y868" s="23">
        <v>6.8875000000000002</v>
      </c>
      <c r="Z868" s="23">
        <v>6.625</v>
      </c>
      <c r="AA868" s="23">
        <v>6.7562499999999996</v>
      </c>
      <c r="AO868" s="14"/>
    </row>
    <row r="869" spans="17:41" x14ac:dyDescent="0.3">
      <c r="Q869" s="93">
        <v>46219</v>
      </c>
      <c r="R869" t="s">
        <v>493</v>
      </c>
      <c r="S869" t="s">
        <v>399</v>
      </c>
      <c r="T869" s="14">
        <v>0</v>
      </c>
      <c r="W869" s="20">
        <v>46006</v>
      </c>
      <c r="X869" t="s">
        <v>273</v>
      </c>
      <c r="Y869" s="23">
        <v>7.0692307692307699</v>
      </c>
      <c r="Z869" s="23">
        <v>6.60769230769231</v>
      </c>
      <c r="AA869" s="23">
        <v>6.8384615384615399</v>
      </c>
      <c r="AO869" s="14"/>
    </row>
    <row r="870" spans="17:41" x14ac:dyDescent="0.3">
      <c r="Q870" s="93">
        <v>46219</v>
      </c>
      <c r="R870" t="s">
        <v>593</v>
      </c>
      <c r="S870" t="s">
        <v>399</v>
      </c>
      <c r="T870" s="14">
        <v>14626</v>
      </c>
      <c r="W870" s="20">
        <v>46006</v>
      </c>
      <c r="X870" t="s">
        <v>274</v>
      </c>
      <c r="Y870" s="23">
        <v>7.0961538461538396</v>
      </c>
      <c r="Z870" s="23">
        <v>6.6192307692307697</v>
      </c>
      <c r="AA870" s="23">
        <v>6.85769230769231</v>
      </c>
      <c r="AO870" s="14"/>
    </row>
    <row r="871" spans="17:41" x14ac:dyDescent="0.3">
      <c r="Q871" s="93">
        <v>46219</v>
      </c>
      <c r="R871" t="s">
        <v>594</v>
      </c>
      <c r="S871" t="s">
        <v>399</v>
      </c>
      <c r="T871" s="14">
        <v>0</v>
      </c>
      <c r="W871" s="20">
        <v>46006</v>
      </c>
      <c r="X871" t="s">
        <v>275</v>
      </c>
      <c r="Y871" s="23">
        <v>7.1307692307692303</v>
      </c>
      <c r="Z871" s="23">
        <v>6.6461538461538501</v>
      </c>
      <c r="AA871" s="23">
        <v>6.8884615384615397</v>
      </c>
      <c r="AO871" s="14"/>
    </row>
    <row r="872" spans="17:41" x14ac:dyDescent="0.3">
      <c r="Q872" s="93">
        <v>46219</v>
      </c>
      <c r="R872" t="s">
        <v>595</v>
      </c>
      <c r="S872" t="s">
        <v>399</v>
      </c>
      <c r="T872" s="14">
        <v>0</v>
      </c>
      <c r="W872" s="20">
        <v>46006</v>
      </c>
      <c r="X872" t="s">
        <v>276</v>
      </c>
      <c r="Y872" s="23">
        <v>7.1692307692307704</v>
      </c>
      <c r="Z872" s="23">
        <v>6.6846153846153902</v>
      </c>
      <c r="AA872" s="23">
        <v>6.9269230769230798</v>
      </c>
      <c r="AO872" s="14"/>
    </row>
    <row r="873" spans="17:41" x14ac:dyDescent="0.3">
      <c r="Q873" s="93">
        <v>46219</v>
      </c>
      <c r="R873" t="s">
        <v>1439</v>
      </c>
      <c r="S873" t="s">
        <v>399</v>
      </c>
      <c r="T873" s="14">
        <v>191.28803176378</v>
      </c>
      <c r="W873" s="20">
        <v>46006</v>
      </c>
      <c r="X873" t="s">
        <v>277</v>
      </c>
      <c r="Y873" s="23">
        <v>7.2115384615384599</v>
      </c>
      <c r="Z873" s="23">
        <v>6.7269230769230797</v>
      </c>
      <c r="AA873" s="23">
        <v>6.9692307692307702</v>
      </c>
      <c r="AO873" s="14"/>
    </row>
    <row r="874" spans="17:41" x14ac:dyDescent="0.3">
      <c r="Q874" s="93">
        <v>46219</v>
      </c>
      <c r="R874" t="s">
        <v>479</v>
      </c>
      <c r="S874" t="s">
        <v>395</v>
      </c>
      <c r="T874" s="14">
        <v>10357.595803407101</v>
      </c>
      <c r="W874" s="20">
        <v>46006</v>
      </c>
      <c r="X874" t="s">
        <v>278</v>
      </c>
      <c r="Y874" s="23">
        <v>7.25</v>
      </c>
      <c r="Z874" s="23">
        <v>6.7653846153846198</v>
      </c>
      <c r="AA874" s="23">
        <v>7.0076923076923103</v>
      </c>
      <c r="AO874" s="14"/>
    </row>
    <row r="875" spans="17:41" x14ac:dyDescent="0.3">
      <c r="Q875" s="93">
        <v>46219</v>
      </c>
      <c r="R875" t="s">
        <v>479</v>
      </c>
      <c r="S875" t="s">
        <v>415</v>
      </c>
      <c r="T875" s="14">
        <v>7.1111348651863997</v>
      </c>
      <c r="W875" s="20">
        <v>46006</v>
      </c>
      <c r="X875" t="s">
        <v>279</v>
      </c>
      <c r="Y875" s="23">
        <v>7.2807692307692298</v>
      </c>
      <c r="Z875" s="23">
        <v>6.7961538461538504</v>
      </c>
      <c r="AA875" s="23">
        <v>7.0384615384615401</v>
      </c>
      <c r="AO875" s="14"/>
    </row>
    <row r="876" spans="17:41" x14ac:dyDescent="0.3">
      <c r="Q876" s="93">
        <v>46219</v>
      </c>
      <c r="R876" t="s">
        <v>364</v>
      </c>
      <c r="S876" t="s">
        <v>415</v>
      </c>
      <c r="T876" s="14">
        <v>6.8185847589424604</v>
      </c>
      <c r="W876" s="20">
        <v>46006</v>
      </c>
      <c r="X876" t="s">
        <v>280</v>
      </c>
      <c r="Y876" s="23">
        <v>7.3269230769230704</v>
      </c>
      <c r="Z876" s="23">
        <v>6.8423076923076902</v>
      </c>
      <c r="AA876" s="23">
        <v>7.0846153846153896</v>
      </c>
      <c r="AO876" s="14"/>
    </row>
    <row r="877" spans="17:41" x14ac:dyDescent="0.3">
      <c r="Q877" s="93">
        <v>46219</v>
      </c>
      <c r="R877" t="s">
        <v>516</v>
      </c>
      <c r="S877" t="s">
        <v>415</v>
      </c>
      <c r="T877" s="14">
        <v>6.9082012987310302</v>
      </c>
      <c r="W877" s="20">
        <v>46006</v>
      </c>
      <c r="X877" t="s">
        <v>281</v>
      </c>
      <c r="Y877" s="23">
        <v>7.35</v>
      </c>
      <c r="Z877" s="23">
        <v>6.8653846153846203</v>
      </c>
      <c r="AA877" s="23">
        <v>7.10769230769231</v>
      </c>
      <c r="AO877" s="14"/>
    </row>
    <row r="878" spans="17:41" x14ac:dyDescent="0.3">
      <c r="Q878" s="93">
        <v>46219</v>
      </c>
      <c r="R878" t="s">
        <v>1288</v>
      </c>
      <c r="S878" t="s">
        <v>415</v>
      </c>
      <c r="T878" s="14">
        <v>7.1111348651863997</v>
      </c>
      <c r="W878" s="20">
        <v>46007</v>
      </c>
      <c r="X878" t="s">
        <v>270</v>
      </c>
      <c r="Y878" s="23">
        <v>7.0857142857142899</v>
      </c>
      <c r="Z878" s="23">
        <v>6.5857142857142899</v>
      </c>
      <c r="AA878" s="23">
        <v>6.8357142857142899</v>
      </c>
      <c r="AO878" s="14"/>
    </row>
    <row r="879" spans="17:41" x14ac:dyDescent="0.3">
      <c r="Q879" s="93">
        <v>46219</v>
      </c>
      <c r="R879" t="s">
        <v>496</v>
      </c>
      <c r="S879" t="s">
        <v>415</v>
      </c>
      <c r="T879" s="14">
        <v>6.6776249714676998</v>
      </c>
      <c r="W879" s="20">
        <v>46007</v>
      </c>
      <c r="X879" t="s">
        <v>271</v>
      </c>
      <c r="Y879" s="23">
        <v>6.8538461538461597</v>
      </c>
      <c r="Z879" s="23">
        <v>6.37692307692308</v>
      </c>
      <c r="AA879" s="23">
        <v>6.6153846153846203</v>
      </c>
      <c r="AO879" s="14"/>
    </row>
    <row r="880" spans="17:41" x14ac:dyDescent="0.3">
      <c r="Q880" s="93">
        <v>46219</v>
      </c>
      <c r="R880" t="s">
        <v>1290</v>
      </c>
      <c r="S880" t="s">
        <v>415</v>
      </c>
      <c r="T880" s="14">
        <v>6.8716505756488901</v>
      </c>
      <c r="W880" s="20">
        <v>46007</v>
      </c>
      <c r="X880" t="s">
        <v>272</v>
      </c>
      <c r="Y880" s="23">
        <v>6.8624999999999998</v>
      </c>
      <c r="Z880" s="23">
        <v>6.6</v>
      </c>
      <c r="AA880" s="23">
        <v>6.7312500000000002</v>
      </c>
      <c r="AO880" s="14"/>
    </row>
    <row r="881" spans="17:41" x14ac:dyDescent="0.3">
      <c r="Q881" s="93">
        <v>46219</v>
      </c>
      <c r="R881" t="s">
        <v>364</v>
      </c>
      <c r="S881" t="s">
        <v>997</v>
      </c>
      <c r="T881" s="14">
        <v>32150</v>
      </c>
      <c r="W881" s="20">
        <v>46007</v>
      </c>
      <c r="X881" t="s">
        <v>273</v>
      </c>
      <c r="Y881" s="23">
        <v>7.0384615384615401</v>
      </c>
      <c r="Z881" s="23">
        <v>6.5769230769230704</v>
      </c>
      <c r="AA881" s="23">
        <v>6.8076923076923102</v>
      </c>
      <c r="AO881" s="14"/>
    </row>
    <row r="882" spans="17:41" x14ac:dyDescent="0.3">
      <c r="Q882" s="93">
        <v>46219</v>
      </c>
      <c r="R882" t="s">
        <v>496</v>
      </c>
      <c r="S882" t="s">
        <v>997</v>
      </c>
      <c r="T882" s="14">
        <v>17524</v>
      </c>
      <c r="W882" s="20">
        <v>46007</v>
      </c>
      <c r="X882" t="s">
        <v>274</v>
      </c>
      <c r="Y882" s="23">
        <v>7.0884615384615399</v>
      </c>
      <c r="Z882" s="23">
        <v>6.6115384615384603</v>
      </c>
      <c r="AA882" s="23">
        <v>6.85</v>
      </c>
      <c r="AO882" s="14"/>
    </row>
    <row r="883" spans="17:41" x14ac:dyDescent="0.3">
      <c r="Q883" s="93">
        <v>46219</v>
      </c>
      <c r="R883" t="s">
        <v>1388</v>
      </c>
      <c r="S883" t="s">
        <v>997</v>
      </c>
      <c r="T883" s="14">
        <v>14197.6106</v>
      </c>
      <c r="W883" s="20">
        <v>46007</v>
      </c>
      <c r="X883" t="s">
        <v>275</v>
      </c>
      <c r="Y883" s="23">
        <v>7.10769230769231</v>
      </c>
      <c r="Z883" s="23">
        <v>6.62307692307692</v>
      </c>
      <c r="AA883" s="23">
        <v>6.8653846153846203</v>
      </c>
      <c r="AO883" s="14"/>
    </row>
    <row r="884" spans="17:41" x14ac:dyDescent="0.3">
      <c r="Q884" s="93">
        <v>46219</v>
      </c>
      <c r="R884" t="s">
        <v>1389</v>
      </c>
      <c r="S884" t="s">
        <v>997</v>
      </c>
      <c r="T884" s="14">
        <v>13800</v>
      </c>
      <c r="W884" s="20">
        <v>46007</v>
      </c>
      <c r="X884" t="s">
        <v>276</v>
      </c>
      <c r="Y884" s="23">
        <v>7.1461538461538501</v>
      </c>
      <c r="Z884" s="23">
        <v>6.6615384615384601</v>
      </c>
      <c r="AA884" s="23">
        <v>6.9038461538461604</v>
      </c>
      <c r="AO884" s="14"/>
    </row>
    <row r="885" spans="17:41" x14ac:dyDescent="0.3">
      <c r="Q885" s="93">
        <v>46219</v>
      </c>
      <c r="R885" t="s">
        <v>1390</v>
      </c>
      <c r="S885" t="s">
        <v>997</v>
      </c>
      <c r="T885" s="14">
        <v>397.61059999999998</v>
      </c>
      <c r="W885" s="20">
        <v>46007</v>
      </c>
      <c r="X885" t="s">
        <v>277</v>
      </c>
      <c r="Y885" s="23">
        <v>7.2038461538461496</v>
      </c>
      <c r="Z885" s="23">
        <v>6.7192307692307702</v>
      </c>
      <c r="AA885" s="23">
        <v>6.9615384615384599</v>
      </c>
      <c r="AO885" s="14"/>
    </row>
    <row r="886" spans="17:41" x14ac:dyDescent="0.3">
      <c r="Q886" s="93">
        <v>46219</v>
      </c>
      <c r="R886" t="s">
        <v>303</v>
      </c>
      <c r="S886" t="s">
        <v>303</v>
      </c>
      <c r="T886" s="14">
        <v>0</v>
      </c>
      <c r="W886" s="20">
        <v>46007</v>
      </c>
      <c r="X886" t="s">
        <v>278</v>
      </c>
      <c r="Y886" s="23">
        <v>7.2423076923076897</v>
      </c>
      <c r="Z886" s="23">
        <v>6.7576923076923103</v>
      </c>
      <c r="AA886" s="23">
        <v>7</v>
      </c>
      <c r="AO886" s="14"/>
    </row>
    <row r="887" spans="17:41" x14ac:dyDescent="0.3">
      <c r="Q887" s="93">
        <v>46219</v>
      </c>
      <c r="R887" t="s">
        <v>303</v>
      </c>
      <c r="S887" t="s">
        <v>303</v>
      </c>
      <c r="T887" s="14">
        <v>0</v>
      </c>
      <c r="W887" s="20">
        <v>46007</v>
      </c>
      <c r="X887" t="s">
        <v>279</v>
      </c>
      <c r="Y887" s="23">
        <v>7.2730769230769203</v>
      </c>
      <c r="Z887" s="23">
        <v>6.7884615384615401</v>
      </c>
      <c r="AA887" s="23">
        <v>7.0307692307692298</v>
      </c>
      <c r="AO887" s="14"/>
    </row>
    <row r="888" spans="17:41" x14ac:dyDescent="0.3">
      <c r="Q888" s="93">
        <v>46219</v>
      </c>
      <c r="R888" t="s">
        <v>303</v>
      </c>
      <c r="S888" t="s">
        <v>303</v>
      </c>
      <c r="T888" s="14">
        <v>0</v>
      </c>
      <c r="W888" s="20">
        <v>46007</v>
      </c>
      <c r="X888" t="s">
        <v>280</v>
      </c>
      <c r="Y888" s="23">
        <v>7.3192307692307699</v>
      </c>
      <c r="Z888" s="23">
        <v>6.8346153846153896</v>
      </c>
      <c r="AA888" s="23">
        <v>7.0769230769230802</v>
      </c>
      <c r="AO888" s="14"/>
    </row>
    <row r="889" spans="17:41" x14ac:dyDescent="0.3">
      <c r="Q889" s="93">
        <v>46219</v>
      </c>
      <c r="R889" t="s">
        <v>303</v>
      </c>
      <c r="S889" t="s">
        <v>303</v>
      </c>
      <c r="T889" s="14">
        <v>0</v>
      </c>
      <c r="W889" s="20">
        <v>46007</v>
      </c>
      <c r="X889" t="s">
        <v>281</v>
      </c>
      <c r="Y889" s="23">
        <v>7.3423076923076902</v>
      </c>
      <c r="Z889" s="23">
        <v>6.85769230769231</v>
      </c>
      <c r="AA889" s="23">
        <v>7.1</v>
      </c>
      <c r="AO889" s="14"/>
    </row>
    <row r="890" spans="17:41" x14ac:dyDescent="0.3">
      <c r="Q890" s="93">
        <v>46219</v>
      </c>
      <c r="R890" t="s">
        <v>303</v>
      </c>
      <c r="S890" t="s">
        <v>303</v>
      </c>
      <c r="T890" s="14">
        <v>0</v>
      </c>
      <c r="W890" s="20">
        <v>46008</v>
      </c>
      <c r="X890" t="s">
        <v>270</v>
      </c>
      <c r="Y890" s="23">
        <v>7.1142857142857103</v>
      </c>
      <c r="Z890" s="23">
        <v>6.6142857142857103</v>
      </c>
      <c r="AA890" s="23">
        <v>6.8642857142857103</v>
      </c>
      <c r="AO890" s="14"/>
    </row>
    <row r="891" spans="17:41" x14ac:dyDescent="0.3">
      <c r="Q891" s="93">
        <v>46218</v>
      </c>
      <c r="R891" t="s">
        <v>303</v>
      </c>
      <c r="S891" t="s">
        <v>303</v>
      </c>
      <c r="T891" s="14">
        <v>0</v>
      </c>
      <c r="W891" s="20">
        <v>46008</v>
      </c>
      <c r="X891" t="s">
        <v>271</v>
      </c>
      <c r="Y891" s="23">
        <v>6.8615384615384603</v>
      </c>
      <c r="Z891" s="23">
        <v>6.3846153846153904</v>
      </c>
      <c r="AA891" s="23">
        <v>6.62307692307692</v>
      </c>
      <c r="AO891" s="14"/>
    </row>
    <row r="892" spans="17:41" x14ac:dyDescent="0.3">
      <c r="Q892" s="93">
        <v>46218</v>
      </c>
      <c r="R892" t="s">
        <v>303</v>
      </c>
      <c r="S892" t="s">
        <v>303</v>
      </c>
      <c r="T892" s="14">
        <v>0</v>
      </c>
      <c r="W892" s="20">
        <v>46008</v>
      </c>
      <c r="X892" t="s">
        <v>272</v>
      </c>
      <c r="Y892" s="23">
        <v>6.8624999999999998</v>
      </c>
      <c r="Z892" s="23">
        <v>6.6</v>
      </c>
      <c r="AA892" s="23">
        <v>6.7312500000000002</v>
      </c>
      <c r="AO892" s="14"/>
    </row>
    <row r="893" spans="17:41" x14ac:dyDescent="0.3">
      <c r="Q893" s="93">
        <v>46218</v>
      </c>
      <c r="R893" t="s">
        <v>303</v>
      </c>
      <c r="S893" t="s">
        <v>303</v>
      </c>
      <c r="T893" s="14">
        <v>0</v>
      </c>
      <c r="W893" s="20">
        <v>46008</v>
      </c>
      <c r="X893" t="s">
        <v>273</v>
      </c>
      <c r="Y893" s="23">
        <v>7.0461538461538504</v>
      </c>
      <c r="Z893" s="23">
        <v>6.5846153846153799</v>
      </c>
      <c r="AA893" s="23">
        <v>6.8153846153846196</v>
      </c>
      <c r="AO893" s="14"/>
    </row>
    <row r="894" spans="17:41" x14ac:dyDescent="0.3">
      <c r="Q894" s="93">
        <v>46218</v>
      </c>
      <c r="R894" t="s">
        <v>303</v>
      </c>
      <c r="S894" t="s">
        <v>303</v>
      </c>
      <c r="T894" s="14">
        <v>0</v>
      </c>
      <c r="W894" s="20">
        <v>46008</v>
      </c>
      <c r="X894" t="s">
        <v>274</v>
      </c>
      <c r="Y894" s="23">
        <v>7.0961538461538503</v>
      </c>
      <c r="Z894" s="23">
        <v>6.6192307692307697</v>
      </c>
      <c r="AA894" s="23">
        <v>6.85769230769231</v>
      </c>
      <c r="AO894" s="14"/>
    </row>
    <row r="895" spans="17:41" x14ac:dyDescent="0.3">
      <c r="Q895" s="93">
        <v>46218</v>
      </c>
      <c r="R895" t="s">
        <v>303</v>
      </c>
      <c r="S895" t="s">
        <v>303</v>
      </c>
      <c r="T895" s="14">
        <v>0</v>
      </c>
      <c r="W895" s="20">
        <v>46008</v>
      </c>
      <c r="X895" t="s">
        <v>275</v>
      </c>
      <c r="Y895" s="23">
        <v>7.1153846153846096</v>
      </c>
      <c r="Z895" s="23">
        <v>6.6307692307692303</v>
      </c>
      <c r="AA895" s="23">
        <v>6.87307692307692</v>
      </c>
      <c r="AO895" s="14"/>
    </row>
    <row r="896" spans="17:41" x14ac:dyDescent="0.3">
      <c r="Q896" s="93">
        <v>46218</v>
      </c>
      <c r="R896" t="s">
        <v>479</v>
      </c>
      <c r="S896" t="s">
        <v>399</v>
      </c>
      <c r="T896" s="14">
        <v>11388.898631763799</v>
      </c>
      <c r="W896" s="20">
        <v>46008</v>
      </c>
      <c r="X896" t="s">
        <v>276</v>
      </c>
      <c r="Y896" s="23">
        <v>7.1538461538461497</v>
      </c>
      <c r="Z896" s="23">
        <v>6.6692307692307704</v>
      </c>
      <c r="AA896" s="23">
        <v>6.9115384615384601</v>
      </c>
      <c r="AO896" s="14"/>
    </row>
    <row r="897" spans="17:41" x14ac:dyDescent="0.3">
      <c r="Q897" s="93">
        <v>46218</v>
      </c>
      <c r="R897" t="s">
        <v>364</v>
      </c>
      <c r="S897" t="s">
        <v>399</v>
      </c>
      <c r="T897" s="14">
        <v>28650</v>
      </c>
      <c r="W897" s="20">
        <v>46008</v>
      </c>
      <c r="X897" t="s">
        <v>277</v>
      </c>
      <c r="Y897" s="23">
        <v>7.2115384615384599</v>
      </c>
      <c r="Z897" s="23">
        <v>6.7269230769230797</v>
      </c>
      <c r="AA897" s="23">
        <v>6.9692307692307702</v>
      </c>
      <c r="AO897" s="14"/>
    </row>
    <row r="898" spans="17:41" x14ac:dyDescent="0.3">
      <c r="Q898" s="93">
        <v>46218</v>
      </c>
      <c r="R898" t="s">
        <v>491</v>
      </c>
      <c r="S898" t="s">
        <v>399</v>
      </c>
      <c r="T898" s="14">
        <v>397.61059999999998</v>
      </c>
      <c r="W898" s="20">
        <v>46008</v>
      </c>
      <c r="X898" t="s">
        <v>278</v>
      </c>
      <c r="Y898" s="23">
        <v>7.25</v>
      </c>
      <c r="Z898" s="23">
        <v>6.7653846153846198</v>
      </c>
      <c r="AA898" s="23">
        <v>7.0076923076923103</v>
      </c>
      <c r="AO898" s="14"/>
    </row>
    <row r="899" spans="17:41" x14ac:dyDescent="0.3">
      <c r="Q899" s="93">
        <v>46218</v>
      </c>
      <c r="R899" t="s">
        <v>492</v>
      </c>
      <c r="S899" t="s">
        <v>399</v>
      </c>
      <c r="T899" s="14">
        <v>10800</v>
      </c>
      <c r="W899" s="20">
        <v>46008</v>
      </c>
      <c r="X899" t="s">
        <v>279</v>
      </c>
      <c r="Y899" s="23">
        <v>7.2807692307692298</v>
      </c>
      <c r="Z899" s="23">
        <v>6.7961538461538504</v>
      </c>
      <c r="AA899" s="23">
        <v>7.0384615384615401</v>
      </c>
      <c r="AO899" s="14"/>
    </row>
    <row r="900" spans="17:41" x14ac:dyDescent="0.3">
      <c r="Q900" s="93">
        <v>46218</v>
      </c>
      <c r="R900" t="s">
        <v>1438</v>
      </c>
      <c r="S900" t="s">
        <v>399</v>
      </c>
      <c r="T900" s="14">
        <v>191.28803176378</v>
      </c>
      <c r="W900" s="20">
        <v>46008</v>
      </c>
      <c r="X900" t="s">
        <v>280</v>
      </c>
      <c r="Y900" s="23">
        <v>7.3269230769230704</v>
      </c>
      <c r="Z900" s="23">
        <v>6.8423076923076902</v>
      </c>
      <c r="AA900" s="23">
        <v>7.0846153846153896</v>
      </c>
      <c r="AO900" s="14"/>
    </row>
    <row r="901" spans="17:41" x14ac:dyDescent="0.3">
      <c r="Q901" s="93">
        <v>46218</v>
      </c>
      <c r="R901" t="s">
        <v>496</v>
      </c>
      <c r="S901" t="s">
        <v>399</v>
      </c>
      <c r="T901" s="14">
        <v>13714</v>
      </c>
      <c r="W901" s="20">
        <v>46008</v>
      </c>
      <c r="X901" t="s">
        <v>281</v>
      </c>
      <c r="Y901" s="23">
        <v>7.35</v>
      </c>
      <c r="Z901" s="23">
        <v>6.8653846153846203</v>
      </c>
      <c r="AA901" s="23">
        <v>7.10769230769231</v>
      </c>
      <c r="AO901" s="14"/>
    </row>
    <row r="902" spans="17:41" x14ac:dyDescent="0.3">
      <c r="Q902" s="93">
        <v>46218</v>
      </c>
      <c r="R902" t="s">
        <v>497</v>
      </c>
      <c r="S902" t="s">
        <v>399</v>
      </c>
      <c r="T902" s="14">
        <v>397.61059999999998</v>
      </c>
      <c r="W902" s="20">
        <v>45994</v>
      </c>
      <c r="X902" t="s">
        <v>270</v>
      </c>
      <c r="Y902" s="23">
        <v>6.9</v>
      </c>
      <c r="Z902" s="23">
        <v>6.4</v>
      </c>
      <c r="AA902" s="23">
        <v>6.65</v>
      </c>
      <c r="AO902" s="14"/>
    </row>
    <row r="903" spans="17:41" x14ac:dyDescent="0.3">
      <c r="Q903" s="93">
        <v>46218</v>
      </c>
      <c r="R903" t="s">
        <v>498</v>
      </c>
      <c r="S903" t="s">
        <v>399</v>
      </c>
      <c r="T903" s="14">
        <v>10800</v>
      </c>
      <c r="W903" s="20">
        <v>45994</v>
      </c>
      <c r="X903" t="s">
        <v>271</v>
      </c>
      <c r="Y903" s="23">
        <v>6.7076923076923096</v>
      </c>
      <c r="Z903" s="23">
        <v>6.2230769230769196</v>
      </c>
      <c r="AA903" s="23">
        <v>6.4653846153846199</v>
      </c>
      <c r="AO903" s="14"/>
    </row>
    <row r="904" spans="17:41" x14ac:dyDescent="0.3">
      <c r="Q904" s="93">
        <v>46218</v>
      </c>
      <c r="R904" t="s">
        <v>494</v>
      </c>
      <c r="S904" t="s">
        <v>399</v>
      </c>
      <c r="T904" s="14">
        <v>0</v>
      </c>
      <c r="W904" s="20">
        <v>45994</v>
      </c>
      <c r="X904" t="s">
        <v>272</v>
      </c>
      <c r="Y904" s="23">
        <v>6.8</v>
      </c>
      <c r="Z904" s="23">
        <v>6.5125000000000002</v>
      </c>
      <c r="AA904" s="23">
        <v>6.65625</v>
      </c>
      <c r="AO904" s="14"/>
    </row>
    <row r="905" spans="17:41" x14ac:dyDescent="0.3">
      <c r="Q905" s="93">
        <v>46218</v>
      </c>
      <c r="R905" t="s">
        <v>495</v>
      </c>
      <c r="S905" t="s">
        <v>399</v>
      </c>
      <c r="T905" s="14">
        <v>0</v>
      </c>
      <c r="W905" s="20">
        <v>45994</v>
      </c>
      <c r="X905" t="s">
        <v>273</v>
      </c>
      <c r="Y905" s="23">
        <v>6.8846153846153904</v>
      </c>
      <c r="Z905" s="23">
        <v>6.4307692307692301</v>
      </c>
      <c r="AA905" s="23">
        <v>6.6576923076923098</v>
      </c>
      <c r="AO905" s="14"/>
    </row>
    <row r="906" spans="17:41" x14ac:dyDescent="0.3">
      <c r="Q906" s="93">
        <v>46218</v>
      </c>
      <c r="R906" t="s">
        <v>493</v>
      </c>
      <c r="S906" t="s">
        <v>399</v>
      </c>
      <c r="T906" s="14">
        <v>0</v>
      </c>
      <c r="W906" s="20">
        <v>45994</v>
      </c>
      <c r="X906" t="s">
        <v>274</v>
      </c>
      <c r="Y906" s="23">
        <v>6.8884615384615397</v>
      </c>
      <c r="Z906" s="23">
        <v>6.4192307692307704</v>
      </c>
      <c r="AA906" s="23">
        <v>6.6538461538461604</v>
      </c>
      <c r="AO906" s="14"/>
    </row>
    <row r="907" spans="17:41" x14ac:dyDescent="0.3">
      <c r="Q907" s="93">
        <v>46218</v>
      </c>
      <c r="R907" t="s">
        <v>593</v>
      </c>
      <c r="S907" t="s">
        <v>399</v>
      </c>
      <c r="T907" s="14">
        <v>14936</v>
      </c>
      <c r="W907" s="20">
        <v>45994</v>
      </c>
      <c r="X907" t="s">
        <v>275</v>
      </c>
      <c r="Y907" s="23">
        <v>6.9307692307692301</v>
      </c>
      <c r="Z907" s="23">
        <v>6.4538461538461496</v>
      </c>
      <c r="AA907" s="23">
        <v>6.6923076923076898</v>
      </c>
      <c r="AO907" s="14"/>
    </row>
    <row r="908" spans="17:41" x14ac:dyDescent="0.3">
      <c r="Q908" s="93">
        <v>46218</v>
      </c>
      <c r="R908" t="s">
        <v>594</v>
      </c>
      <c r="S908" t="s">
        <v>399</v>
      </c>
      <c r="T908" s="14">
        <v>0</v>
      </c>
      <c r="W908" s="20">
        <v>45994</v>
      </c>
      <c r="X908" t="s">
        <v>276</v>
      </c>
      <c r="Y908" s="23">
        <v>6.9846153846153802</v>
      </c>
      <c r="Z908" s="23">
        <v>6.5076923076923103</v>
      </c>
      <c r="AA908" s="23">
        <v>6.7461538461538497</v>
      </c>
      <c r="AO908" s="14"/>
    </row>
    <row r="909" spans="17:41" x14ac:dyDescent="0.3">
      <c r="Q909" s="93">
        <v>46218</v>
      </c>
      <c r="R909" t="s">
        <v>595</v>
      </c>
      <c r="S909" t="s">
        <v>399</v>
      </c>
      <c r="T909" s="14">
        <v>0</v>
      </c>
      <c r="W909" s="20">
        <v>45994</v>
      </c>
      <c r="X909" t="s">
        <v>277</v>
      </c>
      <c r="Y909" s="23">
        <v>7.0269230769230804</v>
      </c>
      <c r="Z909" s="23">
        <v>6.55</v>
      </c>
      <c r="AA909" s="23">
        <v>6.7884615384615401</v>
      </c>
      <c r="AO909" s="14"/>
    </row>
    <row r="910" spans="17:41" x14ac:dyDescent="0.3">
      <c r="Q910" s="93">
        <v>46218</v>
      </c>
      <c r="R910" t="s">
        <v>1439</v>
      </c>
      <c r="S910" t="s">
        <v>399</v>
      </c>
      <c r="T910" s="14">
        <v>191.28803176378</v>
      </c>
      <c r="W910" s="20">
        <v>45994</v>
      </c>
      <c r="X910" t="s">
        <v>278</v>
      </c>
      <c r="Y910" s="23">
        <v>7.0730769230769202</v>
      </c>
      <c r="Z910" s="23">
        <v>6.5884615384615399</v>
      </c>
      <c r="AA910" s="23">
        <v>6.8307692307692296</v>
      </c>
      <c r="AO910" s="14"/>
    </row>
    <row r="911" spans="17:41" x14ac:dyDescent="0.3">
      <c r="Q911" s="93">
        <v>46218</v>
      </c>
      <c r="R911" t="s">
        <v>479</v>
      </c>
      <c r="S911" t="s">
        <v>395</v>
      </c>
      <c r="T911" s="14">
        <v>10358.985021574499</v>
      </c>
      <c r="W911" s="20">
        <v>45994</v>
      </c>
      <c r="X911" t="s">
        <v>279</v>
      </c>
      <c r="Y911" s="23">
        <v>7.1038461538461499</v>
      </c>
      <c r="Z911" s="23">
        <v>6.6192307692307697</v>
      </c>
      <c r="AA911" s="23">
        <v>6.8615384615384603</v>
      </c>
      <c r="AO911" s="14"/>
    </row>
    <row r="912" spans="17:41" x14ac:dyDescent="0.3">
      <c r="Q912" s="93">
        <v>46218</v>
      </c>
      <c r="R912" t="s">
        <v>479</v>
      </c>
      <c r="S912" t="s">
        <v>415</v>
      </c>
      <c r="T912" s="14">
        <v>7.1111348651863997</v>
      </c>
      <c r="W912" s="20">
        <v>45994</v>
      </c>
      <c r="X912" t="s">
        <v>280</v>
      </c>
      <c r="Y912" s="23">
        <v>7.14230769230769</v>
      </c>
      <c r="Z912" s="23">
        <v>6.6576923076923098</v>
      </c>
      <c r="AA912" s="23">
        <v>6.9</v>
      </c>
      <c r="AO912" s="14"/>
    </row>
    <row r="913" spans="17:41" x14ac:dyDescent="0.3">
      <c r="Q913" s="93">
        <v>46218</v>
      </c>
      <c r="R913" t="s">
        <v>364</v>
      </c>
      <c r="S913" t="s">
        <v>415</v>
      </c>
      <c r="T913" s="14">
        <v>6.8185847589424604</v>
      </c>
      <c r="W913" s="20">
        <v>45994</v>
      </c>
      <c r="X913" t="s">
        <v>281</v>
      </c>
      <c r="Y913" s="23">
        <v>7.1807692307692301</v>
      </c>
      <c r="Z913" s="23">
        <v>6.6961538461538401</v>
      </c>
      <c r="AA913" s="23">
        <v>6.9384615384615396</v>
      </c>
      <c r="AO913" s="14"/>
    </row>
    <row r="914" spans="17:41" x14ac:dyDescent="0.3">
      <c r="Q914" s="93">
        <v>46218</v>
      </c>
      <c r="R914" t="s">
        <v>516</v>
      </c>
      <c r="S914" t="s">
        <v>415</v>
      </c>
      <c r="T914" s="14">
        <v>6.9082012987310302</v>
      </c>
      <c r="W914" s="20">
        <v>45995</v>
      </c>
      <c r="X914" t="s">
        <v>270</v>
      </c>
      <c r="Y914" s="23">
        <v>6.8857142857142897</v>
      </c>
      <c r="Z914" s="23">
        <v>6.3857142857142897</v>
      </c>
      <c r="AA914" s="23">
        <v>6.6357142857142897</v>
      </c>
      <c r="AO914" s="14"/>
    </row>
    <row r="915" spans="17:41" x14ac:dyDescent="0.3">
      <c r="Q915" s="93">
        <v>46218</v>
      </c>
      <c r="R915" t="s">
        <v>1288</v>
      </c>
      <c r="S915" t="s">
        <v>415</v>
      </c>
      <c r="T915" s="14">
        <v>7.1111348651863997</v>
      </c>
      <c r="W915" s="20">
        <v>45995</v>
      </c>
      <c r="X915" t="s">
        <v>271</v>
      </c>
      <c r="Y915" s="23">
        <v>6.7076923076923096</v>
      </c>
      <c r="Z915" s="23">
        <v>6.2230769230769196</v>
      </c>
      <c r="AA915" s="23">
        <v>6.4653846153846199</v>
      </c>
      <c r="AO915" s="14"/>
    </row>
    <row r="916" spans="17:41" x14ac:dyDescent="0.3">
      <c r="Q916" s="93">
        <v>46218</v>
      </c>
      <c r="R916" t="s">
        <v>496</v>
      </c>
      <c r="S916" t="s">
        <v>415</v>
      </c>
      <c r="T916" s="14">
        <v>6.6572266759614296</v>
      </c>
      <c r="W916" s="20">
        <v>45995</v>
      </c>
      <c r="X916" t="s">
        <v>272</v>
      </c>
      <c r="Y916" s="23">
        <v>6.8250000000000002</v>
      </c>
      <c r="Z916" s="23">
        <v>6.5374999999999996</v>
      </c>
      <c r="AA916" s="23">
        <v>6.6812500000000004</v>
      </c>
      <c r="AO916" s="14"/>
    </row>
    <row r="917" spans="17:41" x14ac:dyDescent="0.3">
      <c r="Q917" s="93">
        <v>46218</v>
      </c>
      <c r="R917" t="s">
        <v>1290</v>
      </c>
      <c r="S917" t="s">
        <v>415</v>
      </c>
      <c r="T917" s="14">
        <v>6.8623868570432398</v>
      </c>
      <c r="W917" s="20">
        <v>45995</v>
      </c>
      <c r="X917" t="s">
        <v>273</v>
      </c>
      <c r="Y917" s="23">
        <v>6.89230769230769</v>
      </c>
      <c r="Z917" s="23">
        <v>6.4461538461538499</v>
      </c>
      <c r="AA917" s="23">
        <v>6.6692307692307704</v>
      </c>
      <c r="AO917" s="14"/>
    </row>
    <row r="918" spans="17:41" x14ac:dyDescent="0.3">
      <c r="Q918" s="93">
        <v>46218</v>
      </c>
      <c r="R918" t="s">
        <v>364</v>
      </c>
      <c r="S918" t="s">
        <v>997</v>
      </c>
      <c r="T918" s="14">
        <v>32150</v>
      </c>
      <c r="W918" s="20">
        <v>45995</v>
      </c>
      <c r="X918" t="s">
        <v>274</v>
      </c>
      <c r="Y918" s="23">
        <v>6.8884615384615397</v>
      </c>
      <c r="Z918" s="23">
        <v>6.4192307692307704</v>
      </c>
      <c r="AA918" s="23">
        <v>6.6538461538461604</v>
      </c>
      <c r="AO918" s="14"/>
    </row>
    <row r="919" spans="17:41" x14ac:dyDescent="0.3">
      <c r="Q919" s="93">
        <v>46218</v>
      </c>
      <c r="R919" t="s">
        <v>496</v>
      </c>
      <c r="S919" t="s">
        <v>997</v>
      </c>
      <c r="T919" s="14">
        <v>17214</v>
      </c>
      <c r="W919" s="20">
        <v>45995</v>
      </c>
      <c r="X919" t="s">
        <v>275</v>
      </c>
      <c r="Y919" s="23">
        <v>6.9307692307692301</v>
      </c>
      <c r="Z919" s="23">
        <v>6.4538461538461496</v>
      </c>
      <c r="AA919" s="23">
        <v>6.6923076923076898</v>
      </c>
      <c r="AO919" s="14"/>
    </row>
    <row r="920" spans="17:41" x14ac:dyDescent="0.3">
      <c r="Q920" s="93">
        <v>46218</v>
      </c>
      <c r="R920" t="s">
        <v>1388</v>
      </c>
      <c r="S920" t="s">
        <v>997</v>
      </c>
      <c r="T920" s="14">
        <v>14197.6106</v>
      </c>
      <c r="W920" s="20">
        <v>45995</v>
      </c>
      <c r="X920" t="s">
        <v>276</v>
      </c>
      <c r="Y920" s="23">
        <v>6.9846153846153802</v>
      </c>
      <c r="Z920" s="23">
        <v>6.5076923076923103</v>
      </c>
      <c r="AA920" s="23">
        <v>6.7461538461538497</v>
      </c>
      <c r="AO920" s="14"/>
    </row>
    <row r="921" spans="17:41" x14ac:dyDescent="0.3">
      <c r="Q921" s="93">
        <v>46218</v>
      </c>
      <c r="R921" t="s">
        <v>1389</v>
      </c>
      <c r="S921" t="s">
        <v>997</v>
      </c>
      <c r="T921" s="14">
        <v>13800</v>
      </c>
      <c r="W921" s="20">
        <v>45995</v>
      </c>
      <c r="X921" t="s">
        <v>277</v>
      </c>
      <c r="Y921" s="23">
        <v>7.0269230769230804</v>
      </c>
      <c r="Z921" s="23">
        <v>6.55</v>
      </c>
      <c r="AA921" s="23">
        <v>6.7884615384615401</v>
      </c>
      <c r="AO921" s="14"/>
    </row>
    <row r="922" spans="17:41" x14ac:dyDescent="0.3">
      <c r="Q922" s="93">
        <v>46218</v>
      </c>
      <c r="R922" t="s">
        <v>1390</v>
      </c>
      <c r="S922" t="s">
        <v>997</v>
      </c>
      <c r="T922" s="14">
        <v>397.61059999999998</v>
      </c>
      <c r="W922" s="20">
        <v>45995</v>
      </c>
      <c r="X922" t="s">
        <v>278</v>
      </c>
      <c r="Y922" s="23">
        <v>7.0730769230769202</v>
      </c>
      <c r="Z922" s="23">
        <v>6.5884615384615399</v>
      </c>
      <c r="AA922" s="23">
        <v>6.8307692307692296</v>
      </c>
      <c r="AO922" s="14"/>
    </row>
    <row r="923" spans="17:41" x14ac:dyDescent="0.3">
      <c r="Q923" s="93">
        <v>46217</v>
      </c>
      <c r="R923" t="s">
        <v>595</v>
      </c>
      <c r="S923" t="s">
        <v>399</v>
      </c>
      <c r="T923" s="14">
        <v>0</v>
      </c>
      <c r="W923" s="20">
        <v>45995</v>
      </c>
      <c r="X923" t="s">
        <v>279</v>
      </c>
      <c r="Y923" s="23">
        <v>7.1038461538461499</v>
      </c>
      <c r="Z923" s="23">
        <v>6.6192307692307697</v>
      </c>
      <c r="AA923" s="23">
        <v>6.8615384615384603</v>
      </c>
      <c r="AO923" s="14"/>
    </row>
    <row r="924" spans="17:41" x14ac:dyDescent="0.3">
      <c r="Q924" s="93">
        <v>46217</v>
      </c>
      <c r="R924" t="s">
        <v>1439</v>
      </c>
      <c r="S924" t="s">
        <v>399</v>
      </c>
      <c r="T924" s="14">
        <v>191.31250352314001</v>
      </c>
      <c r="W924" s="20">
        <v>45995</v>
      </c>
      <c r="X924" t="s">
        <v>280</v>
      </c>
      <c r="Y924" s="23">
        <v>7.14230769230769</v>
      </c>
      <c r="Z924" s="23">
        <v>6.6576923076923098</v>
      </c>
      <c r="AA924" s="23">
        <v>6.9</v>
      </c>
      <c r="AO924" s="14"/>
    </row>
    <row r="925" spans="17:41" x14ac:dyDescent="0.3">
      <c r="Q925" s="93">
        <v>46217</v>
      </c>
      <c r="R925" t="s">
        <v>479</v>
      </c>
      <c r="S925" t="s">
        <v>395</v>
      </c>
      <c r="T925" s="14">
        <v>10365.257417483999</v>
      </c>
      <c r="W925" s="20">
        <v>45995</v>
      </c>
      <c r="X925" t="s">
        <v>281</v>
      </c>
      <c r="Y925" s="23">
        <v>7.1807692307692301</v>
      </c>
      <c r="Z925" s="23">
        <v>6.6961538461538401</v>
      </c>
      <c r="AA925" s="23">
        <v>6.9384615384615396</v>
      </c>
      <c r="AO925" s="14"/>
    </row>
    <row r="926" spans="17:41" x14ac:dyDescent="0.3">
      <c r="Q926" s="93">
        <v>46217</v>
      </c>
      <c r="R926" t="s">
        <v>479</v>
      </c>
      <c r="S926" t="s">
        <v>415</v>
      </c>
      <c r="T926" s="14">
        <v>7.1111348651863997</v>
      </c>
      <c r="W926" s="20">
        <v>45996</v>
      </c>
      <c r="X926" t="s">
        <v>270</v>
      </c>
      <c r="Y926" s="23">
        <v>6.9285714285714297</v>
      </c>
      <c r="Z926" s="23">
        <v>6.4285714285714297</v>
      </c>
      <c r="AA926" s="23">
        <v>6.6785714285714297</v>
      </c>
      <c r="AO926" s="14"/>
    </row>
    <row r="927" spans="17:41" x14ac:dyDescent="0.3">
      <c r="Q927" s="93">
        <v>46217</v>
      </c>
      <c r="R927" t="s">
        <v>364</v>
      </c>
      <c r="S927" t="s">
        <v>415</v>
      </c>
      <c r="T927" s="14">
        <v>6.8185847589424604</v>
      </c>
      <c r="W927" s="20">
        <v>45996</v>
      </c>
      <c r="X927" t="s">
        <v>271</v>
      </c>
      <c r="Y927" s="23">
        <v>6.7153846153846199</v>
      </c>
      <c r="Z927" s="23">
        <v>6.2307692307692299</v>
      </c>
      <c r="AA927" s="23">
        <v>6.4730769230769196</v>
      </c>
      <c r="AO927" s="14"/>
    </row>
    <row r="928" spans="17:41" x14ac:dyDescent="0.3">
      <c r="Q928" s="93">
        <v>46217</v>
      </c>
      <c r="R928" t="s">
        <v>516</v>
      </c>
      <c r="S928" t="s">
        <v>415</v>
      </c>
      <c r="T928" s="14">
        <v>6.9082012987310302</v>
      </c>
      <c r="W928" s="20">
        <v>45996</v>
      </c>
      <c r="X928" t="s">
        <v>272</v>
      </c>
      <c r="Y928" s="23">
        <v>6.8250000000000002</v>
      </c>
      <c r="Z928" s="23">
        <v>6.5374999999999996</v>
      </c>
      <c r="AA928" s="23">
        <v>6.6812500000000004</v>
      </c>
      <c r="AO928" s="14"/>
    </row>
    <row r="929" spans="17:41" x14ac:dyDescent="0.3">
      <c r="Q929" s="93">
        <v>46217</v>
      </c>
      <c r="R929" t="s">
        <v>1288</v>
      </c>
      <c r="S929" t="s">
        <v>415</v>
      </c>
      <c r="T929" s="14">
        <v>7.1111348651863997</v>
      </c>
      <c r="W929" s="20">
        <v>45996</v>
      </c>
      <c r="X929" t="s">
        <v>273</v>
      </c>
      <c r="Y929" s="23">
        <v>6.9384615384615396</v>
      </c>
      <c r="Z929" s="23">
        <v>6.4769230769230797</v>
      </c>
      <c r="AA929" s="23">
        <v>6.7076923076923096</v>
      </c>
      <c r="AO929" s="14"/>
    </row>
    <row r="930" spans="17:41" x14ac:dyDescent="0.3">
      <c r="Q930" s="93">
        <v>46217</v>
      </c>
      <c r="R930" t="s">
        <v>496</v>
      </c>
      <c r="S930" t="s">
        <v>415</v>
      </c>
      <c r="T930" s="14">
        <v>6.6807507570220297</v>
      </c>
      <c r="W930" s="20">
        <v>45996</v>
      </c>
      <c r="X930" t="s">
        <v>274</v>
      </c>
      <c r="Y930" s="23">
        <v>6.9269230769230798</v>
      </c>
      <c r="Z930" s="23">
        <v>6.45</v>
      </c>
      <c r="AA930" s="23">
        <v>6.6884615384615396</v>
      </c>
      <c r="AO930" s="14"/>
    </row>
    <row r="931" spans="17:41" x14ac:dyDescent="0.3">
      <c r="Q931" s="93">
        <v>46217</v>
      </c>
      <c r="R931" t="s">
        <v>1290</v>
      </c>
      <c r="S931" t="s">
        <v>415</v>
      </c>
      <c r="T931" s="14">
        <v>6.8639630776931702</v>
      </c>
      <c r="W931" s="20">
        <v>45996</v>
      </c>
      <c r="X931" t="s">
        <v>275</v>
      </c>
      <c r="Y931" s="23">
        <v>6.9769230769230797</v>
      </c>
      <c r="Z931" s="23">
        <v>6.4923076923076897</v>
      </c>
      <c r="AA931" s="23">
        <v>6.7346153846153802</v>
      </c>
      <c r="AO931" s="14"/>
    </row>
    <row r="932" spans="17:41" x14ac:dyDescent="0.3">
      <c r="Q932" s="93">
        <v>46217</v>
      </c>
      <c r="R932" t="s">
        <v>364</v>
      </c>
      <c r="S932" t="s">
        <v>997</v>
      </c>
      <c r="T932" s="14">
        <v>32150</v>
      </c>
      <c r="W932" s="20">
        <v>45996</v>
      </c>
      <c r="X932" t="s">
        <v>276</v>
      </c>
      <c r="Y932" s="23">
        <v>7.0230769230769203</v>
      </c>
      <c r="Z932" s="23">
        <v>6.5384615384615401</v>
      </c>
      <c r="AA932" s="23">
        <v>6.7807692307692298</v>
      </c>
      <c r="AO932" s="14"/>
    </row>
    <row r="933" spans="17:41" x14ac:dyDescent="0.3">
      <c r="Q933" s="93">
        <v>46217</v>
      </c>
      <c r="R933" t="s">
        <v>496</v>
      </c>
      <c r="S933" t="s">
        <v>997</v>
      </c>
      <c r="T933" s="14">
        <v>19154</v>
      </c>
      <c r="W933" s="20">
        <v>45996</v>
      </c>
      <c r="X933" t="s">
        <v>277</v>
      </c>
      <c r="Y933" s="23">
        <v>7.0653846153846196</v>
      </c>
      <c r="Z933" s="23">
        <v>6.5807692307692296</v>
      </c>
      <c r="AA933" s="23">
        <v>6.8230769230769202</v>
      </c>
      <c r="AO933" s="14"/>
    </row>
    <row r="934" spans="17:41" x14ac:dyDescent="0.3">
      <c r="Q934" s="93">
        <v>46217</v>
      </c>
      <c r="R934" t="s">
        <v>1388</v>
      </c>
      <c r="S934" t="s">
        <v>997</v>
      </c>
      <c r="T934" s="14">
        <v>14197.6106</v>
      </c>
      <c r="W934" s="20">
        <v>45996</v>
      </c>
      <c r="X934" t="s">
        <v>278</v>
      </c>
      <c r="Y934" s="23">
        <v>7.1115384615384603</v>
      </c>
      <c r="Z934" s="23">
        <v>6.6192307692307697</v>
      </c>
      <c r="AA934" s="23">
        <v>6.8653846153846203</v>
      </c>
      <c r="AO934" s="14"/>
    </row>
    <row r="935" spans="17:41" x14ac:dyDescent="0.3">
      <c r="Q935" s="93">
        <v>46217</v>
      </c>
      <c r="R935" t="s">
        <v>1389</v>
      </c>
      <c r="S935" t="s">
        <v>997</v>
      </c>
      <c r="T935" s="14">
        <v>13800</v>
      </c>
      <c r="W935" s="20">
        <v>45996</v>
      </c>
      <c r="X935" t="s">
        <v>279</v>
      </c>
      <c r="Y935" s="23">
        <v>7.15</v>
      </c>
      <c r="Z935" s="23">
        <v>6.6576923076923098</v>
      </c>
      <c r="AA935" s="23">
        <v>6.9038461538461604</v>
      </c>
      <c r="AO935" s="14"/>
    </row>
    <row r="936" spans="17:41" x14ac:dyDescent="0.3">
      <c r="Q936" s="93">
        <v>46217</v>
      </c>
      <c r="R936" t="s">
        <v>1390</v>
      </c>
      <c r="S936" t="s">
        <v>997</v>
      </c>
      <c r="T936" s="14">
        <v>397.61059999999998</v>
      </c>
      <c r="W936" s="20">
        <v>45996</v>
      </c>
      <c r="X936" t="s">
        <v>280</v>
      </c>
      <c r="Y936" s="23">
        <v>7.1884615384615396</v>
      </c>
      <c r="Z936" s="23">
        <v>6.6961538461538401</v>
      </c>
      <c r="AA936" s="23">
        <v>6.9423076923076898</v>
      </c>
      <c r="AO936" s="14"/>
    </row>
    <row r="937" spans="17:41" x14ac:dyDescent="0.3">
      <c r="Q937" s="93">
        <v>46217</v>
      </c>
      <c r="R937" t="s">
        <v>303</v>
      </c>
      <c r="S937" t="s">
        <v>303</v>
      </c>
      <c r="T937" s="14">
        <v>0</v>
      </c>
      <c r="W937" s="20">
        <v>45996</v>
      </c>
      <c r="X937" t="s">
        <v>281</v>
      </c>
      <c r="Y937" s="23">
        <v>7.2269230769230797</v>
      </c>
      <c r="Z937" s="23">
        <v>6.7346153846153802</v>
      </c>
      <c r="AA937" s="23">
        <v>6.9807692307692299</v>
      </c>
      <c r="AO937" s="14"/>
    </row>
    <row r="938" spans="17:41" x14ac:dyDescent="0.3">
      <c r="Q938" s="93">
        <v>46217</v>
      </c>
      <c r="R938" t="s">
        <v>303</v>
      </c>
      <c r="S938" t="s">
        <v>303</v>
      </c>
      <c r="T938" s="14">
        <v>0</v>
      </c>
      <c r="W938" s="20">
        <v>45999</v>
      </c>
      <c r="X938" t="s">
        <v>270</v>
      </c>
      <c r="Y938" s="23">
        <v>7.0571428571428596</v>
      </c>
      <c r="Z938" s="23">
        <v>6.5571428571428596</v>
      </c>
      <c r="AA938" s="23">
        <v>6.8071428571428596</v>
      </c>
      <c r="AO938" s="14"/>
    </row>
    <row r="939" spans="17:41" x14ac:dyDescent="0.3">
      <c r="Q939" s="93">
        <v>46217</v>
      </c>
      <c r="R939" t="s">
        <v>303</v>
      </c>
      <c r="S939" t="s">
        <v>303</v>
      </c>
      <c r="T939" s="14">
        <v>0</v>
      </c>
      <c r="W939" s="20">
        <v>45999</v>
      </c>
      <c r="X939" t="s">
        <v>271</v>
      </c>
      <c r="Y939" s="23">
        <v>6.7846153846153898</v>
      </c>
      <c r="Z939" s="23">
        <v>6.3076923076923102</v>
      </c>
      <c r="AA939" s="23">
        <v>6.5461538461538504</v>
      </c>
      <c r="AO939" s="14"/>
    </row>
    <row r="940" spans="17:41" x14ac:dyDescent="0.3">
      <c r="Q940" s="93">
        <v>46217</v>
      </c>
      <c r="R940" t="s">
        <v>303</v>
      </c>
      <c r="S940" t="s">
        <v>303</v>
      </c>
      <c r="T940" s="14">
        <v>0</v>
      </c>
      <c r="W940" s="20">
        <v>45999</v>
      </c>
      <c r="X940" t="s">
        <v>272</v>
      </c>
      <c r="Y940" s="23">
        <v>6.7750000000000004</v>
      </c>
      <c r="Z940" s="23">
        <v>6.5125000000000002</v>
      </c>
      <c r="AA940" s="23">
        <v>6.6437499999999998</v>
      </c>
      <c r="AO940" s="14"/>
    </row>
    <row r="941" spans="17:41" x14ac:dyDescent="0.3">
      <c r="Q941" s="93">
        <v>46217</v>
      </c>
      <c r="R941" t="s">
        <v>303</v>
      </c>
      <c r="S941" t="s">
        <v>303</v>
      </c>
      <c r="T941" s="14">
        <v>0</v>
      </c>
      <c r="W941" s="20">
        <v>45999</v>
      </c>
      <c r="X941" t="s">
        <v>273</v>
      </c>
      <c r="Y941" s="23">
        <v>7.0076923076923103</v>
      </c>
      <c r="Z941" s="23">
        <v>6.5461538461538504</v>
      </c>
      <c r="AA941" s="23">
        <v>6.7769230769230804</v>
      </c>
      <c r="AO941" s="14"/>
    </row>
    <row r="942" spans="17:41" x14ac:dyDescent="0.3">
      <c r="Q942" s="93">
        <v>46217</v>
      </c>
      <c r="R942" t="s">
        <v>479</v>
      </c>
      <c r="S942" t="s">
        <v>399</v>
      </c>
      <c r="T942" s="14">
        <v>11388.923103523101</v>
      </c>
      <c r="W942" s="20">
        <v>45999</v>
      </c>
      <c r="X942" t="s">
        <v>274</v>
      </c>
      <c r="Y942" s="23">
        <v>7.0269230769230804</v>
      </c>
      <c r="Z942" s="23">
        <v>6.55</v>
      </c>
      <c r="AA942" s="23">
        <v>6.7884615384615401</v>
      </c>
      <c r="AO942" s="14"/>
    </row>
    <row r="943" spans="17:41" x14ac:dyDescent="0.3">
      <c r="Q943" s="93">
        <v>46217</v>
      </c>
      <c r="R943" t="s">
        <v>364</v>
      </c>
      <c r="S943" t="s">
        <v>399</v>
      </c>
      <c r="T943" s="14">
        <v>28650</v>
      </c>
      <c r="W943" s="20">
        <v>45999</v>
      </c>
      <c r="X943" t="s">
        <v>275</v>
      </c>
      <c r="Y943" s="23">
        <v>7.0615384615384604</v>
      </c>
      <c r="Z943" s="23">
        <v>6.5769230769230802</v>
      </c>
      <c r="AA943" s="23">
        <v>6.8192307692307699</v>
      </c>
      <c r="AO943" s="14"/>
    </row>
    <row r="944" spans="17:41" x14ac:dyDescent="0.3">
      <c r="Q944" s="93">
        <v>46217</v>
      </c>
      <c r="R944" t="s">
        <v>491</v>
      </c>
      <c r="S944" t="s">
        <v>399</v>
      </c>
      <c r="T944" s="14">
        <v>397.61059999999998</v>
      </c>
      <c r="W944" s="20">
        <v>45999</v>
      </c>
      <c r="X944" t="s">
        <v>276</v>
      </c>
      <c r="Y944" s="23">
        <v>7.10769230769231</v>
      </c>
      <c r="Z944" s="23">
        <v>6.62307692307692</v>
      </c>
      <c r="AA944" s="23">
        <v>6.8653846153846203</v>
      </c>
      <c r="AO944" s="14"/>
    </row>
    <row r="945" spans="17:41" x14ac:dyDescent="0.3">
      <c r="Q945" s="93">
        <v>46217</v>
      </c>
      <c r="R945" t="s">
        <v>492</v>
      </c>
      <c r="S945" t="s">
        <v>399</v>
      </c>
      <c r="T945" s="14">
        <v>10800</v>
      </c>
      <c r="W945" s="20">
        <v>45999</v>
      </c>
      <c r="X945" t="s">
        <v>277</v>
      </c>
      <c r="Y945" s="23">
        <v>7.15</v>
      </c>
      <c r="Z945" s="23">
        <v>6.6653846153846201</v>
      </c>
      <c r="AA945" s="23">
        <v>6.9076923076923098</v>
      </c>
      <c r="AO945" s="14"/>
    </row>
    <row r="946" spans="17:41" x14ac:dyDescent="0.3">
      <c r="Q946" s="93">
        <v>46217</v>
      </c>
      <c r="R946" t="s">
        <v>1438</v>
      </c>
      <c r="S946" t="s">
        <v>399</v>
      </c>
      <c r="T946" s="14">
        <v>191.31250352314001</v>
      </c>
      <c r="W946" s="20">
        <v>45999</v>
      </c>
      <c r="X946" t="s">
        <v>278</v>
      </c>
      <c r="Y946" s="23">
        <v>7.1884615384615396</v>
      </c>
      <c r="Z946" s="23">
        <v>6.7038461538461496</v>
      </c>
      <c r="AA946" s="23">
        <v>6.9461538461538499</v>
      </c>
      <c r="AO946" s="14"/>
    </row>
    <row r="947" spans="17:41" x14ac:dyDescent="0.3">
      <c r="Q947" s="93">
        <v>46217</v>
      </c>
      <c r="R947" t="s">
        <v>496</v>
      </c>
      <c r="S947" t="s">
        <v>399</v>
      </c>
      <c r="T947" s="14">
        <v>15654</v>
      </c>
      <c r="W947" s="20">
        <v>45999</v>
      </c>
      <c r="X947" t="s">
        <v>279</v>
      </c>
      <c r="Y947" s="23">
        <v>7.2192307692307702</v>
      </c>
      <c r="Z947" s="23">
        <v>6.73461538461539</v>
      </c>
      <c r="AA947" s="23">
        <v>6.9769230769230797</v>
      </c>
      <c r="AO947" s="14"/>
    </row>
    <row r="948" spans="17:41" x14ac:dyDescent="0.3">
      <c r="Q948" s="93">
        <v>46217</v>
      </c>
      <c r="R948" t="s">
        <v>497</v>
      </c>
      <c r="S948" t="s">
        <v>399</v>
      </c>
      <c r="T948" s="14">
        <v>397.61059999999998</v>
      </c>
      <c r="W948" s="20">
        <v>45999</v>
      </c>
      <c r="X948" t="s">
        <v>280</v>
      </c>
      <c r="Y948" s="23">
        <v>7.2653846153846198</v>
      </c>
      <c r="Z948" s="23">
        <v>6.7807692307692298</v>
      </c>
      <c r="AA948" s="23">
        <v>7.0230769230769203</v>
      </c>
      <c r="AO948" s="14"/>
    </row>
    <row r="949" spans="17:41" x14ac:dyDescent="0.3">
      <c r="Q949" s="93">
        <v>46217</v>
      </c>
      <c r="R949" t="s">
        <v>498</v>
      </c>
      <c r="S949" t="s">
        <v>399</v>
      </c>
      <c r="T949" s="14">
        <v>10800</v>
      </c>
      <c r="W949" s="20">
        <v>45999</v>
      </c>
      <c r="X949" t="s">
        <v>281</v>
      </c>
      <c r="Y949" s="23">
        <v>7.3038461538461501</v>
      </c>
      <c r="Z949" s="23">
        <v>6.8192307692307699</v>
      </c>
      <c r="AA949" s="23">
        <v>7.0615384615384604</v>
      </c>
      <c r="AO949" s="14"/>
    </row>
    <row r="950" spans="17:41" x14ac:dyDescent="0.3">
      <c r="Q950" s="93">
        <v>46217</v>
      </c>
      <c r="R950" t="s">
        <v>494</v>
      </c>
      <c r="S950" t="s">
        <v>399</v>
      </c>
      <c r="T950" s="14">
        <v>0</v>
      </c>
      <c r="W950" s="20">
        <v>46002</v>
      </c>
      <c r="X950" t="s">
        <v>270</v>
      </c>
      <c r="Y950" s="23">
        <v>7.1571428571428601</v>
      </c>
      <c r="Z950" s="23">
        <v>6.6571428571428601</v>
      </c>
      <c r="AA950" s="23">
        <v>6.9071428571428601</v>
      </c>
      <c r="AO950" s="14"/>
    </row>
    <row r="951" spans="17:41" x14ac:dyDescent="0.3">
      <c r="Q951" s="93">
        <v>46217</v>
      </c>
      <c r="R951" t="s">
        <v>495</v>
      </c>
      <c r="S951" t="s">
        <v>399</v>
      </c>
      <c r="T951" s="14">
        <v>0</v>
      </c>
      <c r="W951" s="20">
        <v>46002</v>
      </c>
      <c r="X951" t="s">
        <v>271</v>
      </c>
      <c r="Y951" s="23">
        <v>6.8846153846153904</v>
      </c>
      <c r="Z951" s="23">
        <v>6.4076923076923098</v>
      </c>
      <c r="AA951" s="23">
        <v>6.6461538461538501</v>
      </c>
      <c r="AO951" s="14"/>
    </row>
    <row r="952" spans="17:41" x14ac:dyDescent="0.3">
      <c r="Q952" s="93">
        <v>46217</v>
      </c>
      <c r="R952" t="s">
        <v>493</v>
      </c>
      <c r="S952" t="s">
        <v>399</v>
      </c>
      <c r="T952" s="14">
        <v>0</v>
      </c>
      <c r="W952" s="20">
        <v>46002</v>
      </c>
      <c r="X952" t="s">
        <v>272</v>
      </c>
      <c r="Y952" s="23">
        <v>6.8875000000000002</v>
      </c>
      <c r="Z952" s="23">
        <v>6.625</v>
      </c>
      <c r="AA952" s="23">
        <v>6.7562499999999996</v>
      </c>
      <c r="AO952" s="14"/>
    </row>
    <row r="953" spans="17:41" x14ac:dyDescent="0.3">
      <c r="Q953" s="93">
        <v>46217</v>
      </c>
      <c r="R953" t="s">
        <v>593</v>
      </c>
      <c r="S953" t="s">
        <v>399</v>
      </c>
      <c r="T953" s="14">
        <v>12996</v>
      </c>
      <c r="W953" s="20">
        <v>46002</v>
      </c>
      <c r="X953" t="s">
        <v>273</v>
      </c>
      <c r="Y953" s="23">
        <v>7.0692307692307699</v>
      </c>
      <c r="Z953" s="23">
        <v>6.60769230769231</v>
      </c>
      <c r="AA953" s="23">
        <v>6.8384615384615399</v>
      </c>
      <c r="AO953" s="14"/>
    </row>
    <row r="954" spans="17:41" x14ac:dyDescent="0.3">
      <c r="Q954" s="93">
        <v>46217</v>
      </c>
      <c r="R954" t="s">
        <v>594</v>
      </c>
      <c r="S954" t="s">
        <v>399</v>
      </c>
      <c r="T954" s="14">
        <v>0</v>
      </c>
      <c r="W954" s="20">
        <v>46002</v>
      </c>
      <c r="X954" t="s">
        <v>274</v>
      </c>
      <c r="Y954" s="23">
        <v>7.0961538461538396</v>
      </c>
      <c r="Z954" s="23">
        <v>6.6192307692307697</v>
      </c>
      <c r="AA954" s="23">
        <v>6.85769230769231</v>
      </c>
      <c r="AO954" s="14"/>
    </row>
    <row r="955" spans="17:41" x14ac:dyDescent="0.3">
      <c r="Q955" s="93">
        <v>46216</v>
      </c>
      <c r="R955" t="s">
        <v>479</v>
      </c>
      <c r="S955" t="s">
        <v>399</v>
      </c>
      <c r="T955" s="14">
        <v>11388.919024896601</v>
      </c>
      <c r="W955" s="20">
        <v>46002</v>
      </c>
      <c r="X955" t="s">
        <v>275</v>
      </c>
      <c r="Y955" s="23">
        <v>7.1307692307692303</v>
      </c>
      <c r="Z955" s="23">
        <v>6.6461538461538501</v>
      </c>
      <c r="AA955" s="23">
        <v>6.8884615384615397</v>
      </c>
      <c r="AO955" s="14"/>
    </row>
    <row r="956" spans="17:41" x14ac:dyDescent="0.3">
      <c r="Q956" s="93">
        <v>46216</v>
      </c>
      <c r="R956" t="s">
        <v>364</v>
      </c>
      <c r="S956" t="s">
        <v>399</v>
      </c>
      <c r="T956" s="14">
        <v>28650</v>
      </c>
      <c r="W956" s="20">
        <v>46002</v>
      </c>
      <c r="X956" t="s">
        <v>276</v>
      </c>
      <c r="Y956" s="23">
        <v>7.1692307692307704</v>
      </c>
      <c r="Z956" s="23">
        <v>6.6846153846153902</v>
      </c>
      <c r="AA956" s="23">
        <v>6.9269230769230798</v>
      </c>
      <c r="AO956" s="14"/>
    </row>
    <row r="957" spans="17:41" x14ac:dyDescent="0.3">
      <c r="Q957" s="93">
        <v>46216</v>
      </c>
      <c r="R957" t="s">
        <v>491</v>
      </c>
      <c r="S957" t="s">
        <v>399</v>
      </c>
      <c r="T957" s="14">
        <v>397.61059999999998</v>
      </c>
      <c r="W957" s="20">
        <v>46002</v>
      </c>
      <c r="X957" t="s">
        <v>277</v>
      </c>
      <c r="Y957" s="23">
        <v>7.2038461538461496</v>
      </c>
      <c r="Z957" s="23">
        <v>6.7192307692307702</v>
      </c>
      <c r="AA957" s="23">
        <v>6.9615384615384599</v>
      </c>
      <c r="AO957" s="14"/>
    </row>
    <row r="958" spans="17:41" x14ac:dyDescent="0.3">
      <c r="Q958" s="93">
        <v>46216</v>
      </c>
      <c r="R958" t="s">
        <v>492</v>
      </c>
      <c r="S958" t="s">
        <v>399</v>
      </c>
      <c r="T958" s="14">
        <v>10800</v>
      </c>
      <c r="W958" s="20">
        <v>46002</v>
      </c>
      <c r="X958" t="s">
        <v>278</v>
      </c>
      <c r="Y958" s="23">
        <v>7.2423076923076897</v>
      </c>
      <c r="Z958" s="23">
        <v>6.7576923076923103</v>
      </c>
      <c r="AA958" s="23">
        <v>7</v>
      </c>
      <c r="AO958" s="14"/>
    </row>
    <row r="959" spans="17:41" x14ac:dyDescent="0.3">
      <c r="Q959" s="93">
        <v>46216</v>
      </c>
      <c r="R959" t="s">
        <v>1438</v>
      </c>
      <c r="S959" t="s">
        <v>399</v>
      </c>
      <c r="T959" s="14">
        <v>191.30842489657999</v>
      </c>
      <c r="W959" s="20">
        <v>46002</v>
      </c>
      <c r="X959" t="s">
        <v>279</v>
      </c>
      <c r="Y959" s="23">
        <v>7.2730769230769203</v>
      </c>
      <c r="Z959" s="23">
        <v>6.7884615384615401</v>
      </c>
      <c r="AA959" s="23">
        <v>7.0307692307692298</v>
      </c>
      <c r="AO959" s="14"/>
    </row>
    <row r="960" spans="17:41" x14ac:dyDescent="0.3">
      <c r="Q960" s="93">
        <v>46216</v>
      </c>
      <c r="R960" t="s">
        <v>496</v>
      </c>
      <c r="S960" t="s">
        <v>399</v>
      </c>
      <c r="T960" s="14">
        <v>16619</v>
      </c>
      <c r="W960" s="20">
        <v>46002</v>
      </c>
      <c r="X960" t="s">
        <v>280</v>
      </c>
      <c r="Y960" s="23">
        <v>7.3192307692307699</v>
      </c>
      <c r="Z960" s="23">
        <v>6.8346153846153896</v>
      </c>
      <c r="AA960" s="23">
        <v>7.0769230769230802</v>
      </c>
      <c r="AO960" s="14"/>
    </row>
    <row r="961" spans="17:41" x14ac:dyDescent="0.3">
      <c r="Q961" s="93">
        <v>46216</v>
      </c>
      <c r="R961" t="s">
        <v>497</v>
      </c>
      <c r="S961" t="s">
        <v>399</v>
      </c>
      <c r="T961" s="14">
        <v>397.61059999999998</v>
      </c>
      <c r="W961" s="20">
        <v>46002</v>
      </c>
      <c r="X961" t="s">
        <v>281</v>
      </c>
      <c r="Y961" s="23">
        <v>7.3346153846153799</v>
      </c>
      <c r="Z961" s="23">
        <v>6.85</v>
      </c>
      <c r="AA961" s="23">
        <v>7.0923076923076902</v>
      </c>
      <c r="AO961" s="14"/>
    </row>
    <row r="962" spans="17:41" x14ac:dyDescent="0.3">
      <c r="Q962" s="93">
        <v>46216</v>
      </c>
      <c r="R962" t="s">
        <v>498</v>
      </c>
      <c r="S962" t="s">
        <v>399</v>
      </c>
      <c r="T962" s="14">
        <v>10800</v>
      </c>
      <c r="W962" s="20">
        <v>46000</v>
      </c>
      <c r="X962" t="s">
        <v>270</v>
      </c>
      <c r="Y962" s="23">
        <v>7.1166666666666698</v>
      </c>
      <c r="Z962" s="23">
        <v>6.6166666666666698</v>
      </c>
      <c r="AA962" s="23">
        <v>6.8666666666666698</v>
      </c>
      <c r="AO962" s="14"/>
    </row>
    <row r="963" spans="17:41" x14ac:dyDescent="0.3">
      <c r="Q963" s="93">
        <v>46216</v>
      </c>
      <c r="R963" t="s">
        <v>494</v>
      </c>
      <c r="S963" t="s">
        <v>399</v>
      </c>
      <c r="T963" s="14">
        <v>0</v>
      </c>
      <c r="W963" s="20">
        <v>46000</v>
      </c>
      <c r="X963" t="s">
        <v>271</v>
      </c>
      <c r="Y963" s="23">
        <v>6.8076923076923102</v>
      </c>
      <c r="Z963" s="23">
        <v>6.3538461538461499</v>
      </c>
      <c r="AA963" s="23">
        <v>6.5807692307692296</v>
      </c>
      <c r="AO963" s="14"/>
    </row>
    <row r="964" spans="17:41" x14ac:dyDescent="0.3">
      <c r="Q964" s="93">
        <v>46216</v>
      </c>
      <c r="R964" t="s">
        <v>495</v>
      </c>
      <c r="S964" t="s">
        <v>399</v>
      </c>
      <c r="T964" s="14">
        <v>0</v>
      </c>
      <c r="W964" s="20">
        <v>46000</v>
      </c>
      <c r="X964" t="s">
        <v>272</v>
      </c>
      <c r="Y964" s="23">
        <v>6.8</v>
      </c>
      <c r="Z964" s="23">
        <v>6.5374999999999996</v>
      </c>
      <c r="AA964" s="23">
        <v>6.6687500000000002</v>
      </c>
      <c r="AO964" s="14"/>
    </row>
    <row r="965" spans="17:41" x14ac:dyDescent="0.3">
      <c r="Q965" s="93">
        <v>46216</v>
      </c>
      <c r="R965" t="s">
        <v>493</v>
      </c>
      <c r="S965" t="s">
        <v>399</v>
      </c>
      <c r="T965" s="14">
        <v>0</v>
      </c>
      <c r="W965" s="20">
        <v>46000</v>
      </c>
      <c r="X965" t="s">
        <v>273</v>
      </c>
      <c r="Y965" s="23">
        <v>7.0461538461538504</v>
      </c>
      <c r="Z965" s="23">
        <v>6.60769230769231</v>
      </c>
      <c r="AA965" s="23">
        <v>6.8269230769230802</v>
      </c>
      <c r="AO965" s="14"/>
    </row>
    <row r="966" spans="17:41" x14ac:dyDescent="0.3">
      <c r="Q966" s="93">
        <v>46216</v>
      </c>
      <c r="R966" t="s">
        <v>593</v>
      </c>
      <c r="S966" t="s">
        <v>399</v>
      </c>
      <c r="T966" s="14">
        <v>12031</v>
      </c>
      <c r="W966" s="20">
        <v>46000</v>
      </c>
      <c r="X966" t="s">
        <v>274</v>
      </c>
      <c r="Y966" s="23">
        <v>7.0730769230769202</v>
      </c>
      <c r="Z966" s="23">
        <v>6.6115384615384603</v>
      </c>
      <c r="AA966" s="23">
        <v>6.8423076923076902</v>
      </c>
      <c r="AO966" s="14"/>
    </row>
    <row r="967" spans="17:41" x14ac:dyDescent="0.3">
      <c r="Q967" s="93">
        <v>46216</v>
      </c>
      <c r="R967" t="s">
        <v>594</v>
      </c>
      <c r="S967" t="s">
        <v>399</v>
      </c>
      <c r="T967" s="14">
        <v>0</v>
      </c>
      <c r="W967" s="20">
        <v>46000</v>
      </c>
      <c r="X967" t="s">
        <v>275</v>
      </c>
      <c r="Y967" s="23">
        <v>7.10769230769231</v>
      </c>
      <c r="Z967" s="23">
        <v>6.6384615384615397</v>
      </c>
      <c r="AA967" s="23">
        <v>6.87307692307692</v>
      </c>
      <c r="AO967" s="14"/>
    </row>
    <row r="968" spans="17:41" x14ac:dyDescent="0.3">
      <c r="Q968" s="93">
        <v>46216</v>
      </c>
      <c r="R968" t="s">
        <v>595</v>
      </c>
      <c r="S968" t="s">
        <v>399</v>
      </c>
      <c r="T968" s="14">
        <v>0</v>
      </c>
      <c r="W968" s="20">
        <v>46000</v>
      </c>
      <c r="X968" t="s">
        <v>276</v>
      </c>
      <c r="Y968" s="23">
        <v>7.1461538461538403</v>
      </c>
      <c r="Z968" s="23">
        <v>6.6769230769230798</v>
      </c>
      <c r="AA968" s="23">
        <v>6.9115384615384601</v>
      </c>
      <c r="AO968" s="14"/>
    </row>
    <row r="969" spans="17:41" x14ac:dyDescent="0.3">
      <c r="Q969" s="93">
        <v>46216</v>
      </c>
      <c r="R969" t="s">
        <v>1439</v>
      </c>
      <c r="S969" t="s">
        <v>399</v>
      </c>
      <c r="T969" s="14">
        <v>191.30842489657999</v>
      </c>
      <c r="W969" s="20">
        <v>46000</v>
      </c>
      <c r="X969" t="s">
        <v>277</v>
      </c>
      <c r="Y969" s="23">
        <v>7.1807692307692301</v>
      </c>
      <c r="Z969" s="23">
        <v>6.7115384615384599</v>
      </c>
      <c r="AA969" s="23">
        <v>6.9461538461538499</v>
      </c>
      <c r="AO969" s="14"/>
    </row>
    <row r="970" spans="17:41" x14ac:dyDescent="0.3">
      <c r="Q970" s="93">
        <v>46216</v>
      </c>
      <c r="R970" t="s">
        <v>479</v>
      </c>
      <c r="S970" t="s">
        <v>395</v>
      </c>
      <c r="T970" s="14">
        <v>10364.2348227002</v>
      </c>
      <c r="W970" s="20">
        <v>46000</v>
      </c>
      <c r="X970" t="s">
        <v>278</v>
      </c>
      <c r="Y970" s="23">
        <v>7.2192307692307702</v>
      </c>
      <c r="Z970" s="23">
        <v>6.75</v>
      </c>
      <c r="AA970" s="23">
        <v>6.9846153846153802</v>
      </c>
      <c r="AO970" s="14"/>
    </row>
    <row r="971" spans="17:41" x14ac:dyDescent="0.3">
      <c r="Q971" s="93">
        <v>46216</v>
      </c>
      <c r="R971" t="s">
        <v>479</v>
      </c>
      <c r="S971" t="s">
        <v>415</v>
      </c>
      <c r="T971" s="14">
        <v>7.1111348651863997</v>
      </c>
      <c r="W971" s="20">
        <v>46000</v>
      </c>
      <c r="X971" t="s">
        <v>279</v>
      </c>
      <c r="Y971" s="23">
        <v>7.25</v>
      </c>
      <c r="Z971" s="23">
        <v>6.7807692307692298</v>
      </c>
      <c r="AA971" s="23">
        <v>7.0153846153846198</v>
      </c>
      <c r="AO971" s="14"/>
    </row>
    <row r="972" spans="17:41" x14ac:dyDescent="0.3">
      <c r="Q972" s="93">
        <v>46216</v>
      </c>
      <c r="R972" t="s">
        <v>364</v>
      </c>
      <c r="S972" t="s">
        <v>415</v>
      </c>
      <c r="T972" s="14">
        <v>6.8185847589424604</v>
      </c>
      <c r="W972" s="20">
        <v>46000</v>
      </c>
      <c r="X972" t="s">
        <v>280</v>
      </c>
      <c r="Y972" s="23">
        <v>7.2961538461538398</v>
      </c>
      <c r="Z972" s="23">
        <v>6.8269230769230802</v>
      </c>
      <c r="AA972" s="23">
        <v>7.0615384615384604</v>
      </c>
      <c r="AO972" s="14"/>
    </row>
    <row r="973" spans="17:41" x14ac:dyDescent="0.3">
      <c r="Q973" s="93">
        <v>46216</v>
      </c>
      <c r="R973" t="s">
        <v>516</v>
      </c>
      <c r="S973" t="s">
        <v>415</v>
      </c>
      <c r="T973" s="14">
        <v>6.9082012987310302</v>
      </c>
      <c r="W973" s="20">
        <v>46000</v>
      </c>
      <c r="X973" t="s">
        <v>281</v>
      </c>
      <c r="Y973" s="23">
        <v>7.3115384615384604</v>
      </c>
      <c r="Z973" s="23">
        <v>6.8423076923076902</v>
      </c>
      <c r="AA973" s="23">
        <v>7.0769230769230802</v>
      </c>
      <c r="AO973" s="14"/>
    </row>
    <row r="974" spans="17:41" x14ac:dyDescent="0.3">
      <c r="Q974" s="93">
        <v>46216</v>
      </c>
      <c r="R974" t="s">
        <v>1288</v>
      </c>
      <c r="S974" t="s">
        <v>415</v>
      </c>
      <c r="T974" s="14">
        <v>7.1111348651863997</v>
      </c>
      <c r="W974" s="20">
        <v>46009</v>
      </c>
      <c r="X974" t="s">
        <v>270</v>
      </c>
      <c r="Y974" s="23">
        <v>7.1142857142857103</v>
      </c>
      <c r="Z974" s="23">
        <v>6.6142857142857103</v>
      </c>
      <c r="AA974" s="23">
        <v>6.8642857142857103</v>
      </c>
      <c r="AO974" s="14"/>
    </row>
    <row r="975" spans="17:41" x14ac:dyDescent="0.3">
      <c r="Q975" s="93">
        <v>46216</v>
      </c>
      <c r="R975" t="s">
        <v>496</v>
      </c>
      <c r="S975" t="s">
        <v>415</v>
      </c>
      <c r="T975" s="14">
        <v>6.8243749689348396</v>
      </c>
      <c r="W975" s="20">
        <v>46009</v>
      </c>
      <c r="X975" t="s">
        <v>271</v>
      </c>
      <c r="Y975" s="23">
        <v>6.8615384615384603</v>
      </c>
      <c r="Z975" s="23">
        <v>6.3846153846153904</v>
      </c>
      <c r="AA975" s="23">
        <v>6.62307692307692</v>
      </c>
      <c r="AO975" s="14"/>
    </row>
    <row r="976" spans="17:41" x14ac:dyDescent="0.3">
      <c r="Q976" s="93">
        <v>46216</v>
      </c>
      <c r="R976" t="s">
        <v>1290</v>
      </c>
      <c r="S976" t="s">
        <v>415</v>
      </c>
      <c r="T976" s="14">
        <v>6.9430144636720001</v>
      </c>
      <c r="W976" s="20">
        <v>46009</v>
      </c>
      <c r="X976" t="s">
        <v>272</v>
      </c>
      <c r="Y976" s="23">
        <v>6.8624999999999998</v>
      </c>
      <c r="Z976" s="23">
        <v>6.6</v>
      </c>
      <c r="AA976" s="23">
        <v>6.7312500000000002</v>
      </c>
      <c r="AO976" s="14"/>
    </row>
    <row r="977" spans="17:41" x14ac:dyDescent="0.3">
      <c r="Q977" s="93">
        <v>46216</v>
      </c>
      <c r="R977" t="s">
        <v>364</v>
      </c>
      <c r="S977" t="s">
        <v>997</v>
      </c>
      <c r="T977" s="14">
        <v>32150</v>
      </c>
      <c r="W977" s="20">
        <v>46009</v>
      </c>
      <c r="X977" t="s">
        <v>273</v>
      </c>
      <c r="Y977" s="23">
        <v>7.0384615384615401</v>
      </c>
      <c r="Z977" s="23">
        <v>6.5769230769230704</v>
      </c>
      <c r="AA977" s="23">
        <v>6.8076923076923102</v>
      </c>
      <c r="AO977" s="14"/>
    </row>
    <row r="978" spans="17:41" x14ac:dyDescent="0.3">
      <c r="Q978" s="93">
        <v>46216</v>
      </c>
      <c r="R978" t="s">
        <v>496</v>
      </c>
      <c r="S978" t="s">
        <v>997</v>
      </c>
      <c r="T978" s="14">
        <v>20119</v>
      </c>
      <c r="W978" s="20">
        <v>46009</v>
      </c>
      <c r="X978" t="s">
        <v>274</v>
      </c>
      <c r="Y978" s="23">
        <v>7.0961538461538503</v>
      </c>
      <c r="Z978" s="23">
        <v>6.6192307692307697</v>
      </c>
      <c r="AA978" s="23">
        <v>6.85769230769231</v>
      </c>
      <c r="AO978" s="14"/>
    </row>
    <row r="979" spans="17:41" x14ac:dyDescent="0.3">
      <c r="Q979" s="93">
        <v>46216</v>
      </c>
      <c r="R979" t="s">
        <v>1388</v>
      </c>
      <c r="S979" t="s">
        <v>997</v>
      </c>
      <c r="T979" s="14">
        <v>14197.6106</v>
      </c>
      <c r="W979" s="20">
        <v>46009</v>
      </c>
      <c r="X979" t="s">
        <v>275</v>
      </c>
      <c r="Y979" s="23">
        <v>7.1153846153846096</v>
      </c>
      <c r="Z979" s="23">
        <v>6.6307692307692303</v>
      </c>
      <c r="AA979" s="23">
        <v>6.87307692307692</v>
      </c>
      <c r="AO979" s="14"/>
    </row>
    <row r="980" spans="17:41" x14ac:dyDescent="0.3">
      <c r="Q980" s="93">
        <v>46216</v>
      </c>
      <c r="R980" t="s">
        <v>1389</v>
      </c>
      <c r="S980" t="s">
        <v>997</v>
      </c>
      <c r="T980" s="14">
        <v>13800</v>
      </c>
      <c r="W980" s="20">
        <v>46009</v>
      </c>
      <c r="X980" t="s">
        <v>276</v>
      </c>
      <c r="Y980" s="23">
        <v>7.1538461538461497</v>
      </c>
      <c r="Z980" s="23">
        <v>6.6692307692307704</v>
      </c>
      <c r="AA980" s="23">
        <v>6.9115384615384601</v>
      </c>
      <c r="AO980" s="14"/>
    </row>
    <row r="981" spans="17:41" x14ac:dyDescent="0.3">
      <c r="Q981" s="93">
        <v>46216</v>
      </c>
      <c r="R981" t="s">
        <v>1390</v>
      </c>
      <c r="S981" t="s">
        <v>997</v>
      </c>
      <c r="T981" s="14">
        <v>397.61059999999998</v>
      </c>
      <c r="W981" s="20">
        <v>46009</v>
      </c>
      <c r="X981" t="s">
        <v>277</v>
      </c>
      <c r="Y981" s="23">
        <v>7.2115384615384599</v>
      </c>
      <c r="Z981" s="23">
        <v>6.7269230769230797</v>
      </c>
      <c r="AA981" s="23">
        <v>6.9692307692307702</v>
      </c>
      <c r="AO981" s="14"/>
    </row>
    <row r="982" spans="17:41" x14ac:dyDescent="0.3">
      <c r="Q982" s="93">
        <v>46216</v>
      </c>
      <c r="R982" t="s">
        <v>303</v>
      </c>
      <c r="S982" t="s">
        <v>303</v>
      </c>
      <c r="T982" s="14">
        <v>0</v>
      </c>
      <c r="W982" s="20">
        <v>46009</v>
      </c>
      <c r="X982" t="s">
        <v>278</v>
      </c>
      <c r="Y982" s="23">
        <v>7.25</v>
      </c>
      <c r="Z982" s="23">
        <v>6.7653846153846198</v>
      </c>
      <c r="AA982" s="23">
        <v>7.0076923076923103</v>
      </c>
      <c r="AO982" s="14"/>
    </row>
    <row r="983" spans="17:41" x14ac:dyDescent="0.3">
      <c r="Q983" s="93">
        <v>46216</v>
      </c>
      <c r="R983" t="s">
        <v>303</v>
      </c>
      <c r="S983" t="s">
        <v>303</v>
      </c>
      <c r="T983" s="14">
        <v>0</v>
      </c>
      <c r="W983" s="20">
        <v>46009</v>
      </c>
      <c r="X983" t="s">
        <v>279</v>
      </c>
      <c r="Y983" s="23">
        <v>7.2807692307692298</v>
      </c>
      <c r="Z983" s="23">
        <v>6.7961538461538504</v>
      </c>
      <c r="AA983" s="23">
        <v>7.0384615384615401</v>
      </c>
      <c r="AO983" s="14"/>
    </row>
    <row r="984" spans="17:41" x14ac:dyDescent="0.3">
      <c r="Q984" s="93">
        <v>46216</v>
      </c>
      <c r="R984" t="s">
        <v>303</v>
      </c>
      <c r="S984" t="s">
        <v>303</v>
      </c>
      <c r="T984" s="14">
        <v>0</v>
      </c>
      <c r="W984" s="20">
        <v>46009</v>
      </c>
      <c r="X984" t="s">
        <v>280</v>
      </c>
      <c r="Y984" s="23">
        <v>7.3269230769230704</v>
      </c>
      <c r="Z984" s="23">
        <v>6.8423076923076902</v>
      </c>
      <c r="AA984" s="23">
        <v>7.0846153846153896</v>
      </c>
      <c r="AO984" s="14"/>
    </row>
    <row r="985" spans="17:41" x14ac:dyDescent="0.3">
      <c r="Q985" s="93">
        <v>46216</v>
      </c>
      <c r="R985" t="s">
        <v>303</v>
      </c>
      <c r="S985" t="s">
        <v>303</v>
      </c>
      <c r="T985" s="14">
        <v>0</v>
      </c>
      <c r="W985" s="20">
        <v>46009</v>
      </c>
      <c r="X985" t="s">
        <v>281</v>
      </c>
      <c r="Y985" s="23">
        <v>7.35</v>
      </c>
      <c r="Z985" s="23">
        <v>6.8653846153846203</v>
      </c>
      <c r="AA985" s="23">
        <v>7.10769230769231</v>
      </c>
      <c r="AO985" s="14"/>
    </row>
    <row r="986" spans="17:41" x14ac:dyDescent="0.3">
      <c r="Q986" s="93">
        <v>46216</v>
      </c>
      <c r="R986" t="s">
        <v>303</v>
      </c>
      <c r="S986" t="s">
        <v>303</v>
      </c>
      <c r="T986" s="14">
        <v>0</v>
      </c>
      <c r="W986" s="20">
        <v>46010</v>
      </c>
      <c r="X986" t="s">
        <v>270</v>
      </c>
      <c r="Y986" s="23">
        <v>7.1428571428571397</v>
      </c>
      <c r="Z986" s="23">
        <v>6.6428571428571397</v>
      </c>
      <c r="AA986" s="23">
        <v>6.8928571428571397</v>
      </c>
      <c r="AO986" s="14"/>
    </row>
    <row r="987" spans="17:41" x14ac:dyDescent="0.3">
      <c r="Q987" s="93">
        <v>46216</v>
      </c>
      <c r="R987" t="s">
        <v>303</v>
      </c>
      <c r="S987" t="s">
        <v>303</v>
      </c>
      <c r="T987" s="14">
        <v>0</v>
      </c>
      <c r="W987" s="20">
        <v>46010</v>
      </c>
      <c r="X987" t="s">
        <v>271</v>
      </c>
      <c r="Y987" s="23">
        <v>6.87692307692308</v>
      </c>
      <c r="Z987" s="23">
        <v>6.4</v>
      </c>
      <c r="AA987" s="23">
        <v>6.6384615384615397</v>
      </c>
      <c r="AO987" s="14"/>
    </row>
    <row r="988" spans="17:41" x14ac:dyDescent="0.3">
      <c r="Q988" s="93">
        <v>46213</v>
      </c>
      <c r="R988" t="s">
        <v>479</v>
      </c>
      <c r="S988" t="s">
        <v>399</v>
      </c>
      <c r="T988" s="14">
        <v>11197.6106</v>
      </c>
      <c r="W988" s="20">
        <v>46010</v>
      </c>
      <c r="X988" t="s">
        <v>272</v>
      </c>
      <c r="Y988" s="23">
        <v>6.9124999999999996</v>
      </c>
      <c r="Z988" s="23">
        <v>6.65</v>
      </c>
      <c r="AA988" s="23">
        <v>6.78125</v>
      </c>
      <c r="AO988" s="14"/>
    </row>
    <row r="989" spans="17:41" x14ac:dyDescent="0.3">
      <c r="Q989" s="93">
        <v>46213</v>
      </c>
      <c r="R989" t="s">
        <v>364</v>
      </c>
      <c r="S989" t="s">
        <v>399</v>
      </c>
      <c r="T989" s="14">
        <v>28650</v>
      </c>
      <c r="W989" s="20">
        <v>46010</v>
      </c>
      <c r="X989" t="s">
        <v>273</v>
      </c>
      <c r="Y989" s="23">
        <v>7.0538461538461599</v>
      </c>
      <c r="Z989" s="23">
        <v>6.5923076923076902</v>
      </c>
      <c r="AA989" s="23">
        <v>6.8230769230769202</v>
      </c>
      <c r="AO989" s="14"/>
    </row>
    <row r="990" spans="17:41" x14ac:dyDescent="0.3">
      <c r="Q990" s="93">
        <v>46213</v>
      </c>
      <c r="R990" t="s">
        <v>491</v>
      </c>
      <c r="S990" t="s">
        <v>399</v>
      </c>
      <c r="T990" s="14">
        <v>397.61059999999998</v>
      </c>
      <c r="W990" s="20">
        <v>46010</v>
      </c>
      <c r="X990" t="s">
        <v>274</v>
      </c>
      <c r="Y990" s="23">
        <v>7.1115384615384603</v>
      </c>
      <c r="Z990" s="23">
        <v>6.6346153846153904</v>
      </c>
      <c r="AA990" s="23">
        <v>6.87307692307692</v>
      </c>
      <c r="AO990" s="14"/>
    </row>
    <row r="991" spans="17:41" x14ac:dyDescent="0.3">
      <c r="Q991" s="93">
        <v>46213</v>
      </c>
      <c r="R991" t="s">
        <v>492</v>
      </c>
      <c r="S991" t="s">
        <v>399</v>
      </c>
      <c r="T991" s="14">
        <v>10800</v>
      </c>
      <c r="W991" s="20">
        <v>46010</v>
      </c>
      <c r="X991" t="s">
        <v>275</v>
      </c>
      <c r="Y991" s="23">
        <v>7.1307692307692303</v>
      </c>
      <c r="Z991" s="23">
        <v>6.6461538461538501</v>
      </c>
      <c r="AA991" s="23">
        <v>6.8884615384615397</v>
      </c>
      <c r="AO991" s="14"/>
    </row>
    <row r="992" spans="17:41" x14ac:dyDescent="0.3">
      <c r="Q992" s="93">
        <v>46213</v>
      </c>
      <c r="R992" t="s">
        <v>496</v>
      </c>
      <c r="S992" t="s">
        <v>399</v>
      </c>
      <c r="T992" s="14">
        <v>17469</v>
      </c>
      <c r="W992" s="20">
        <v>46010</v>
      </c>
      <c r="X992" t="s">
        <v>276</v>
      </c>
      <c r="Y992" s="23">
        <v>7.1692307692307704</v>
      </c>
      <c r="Z992" s="23">
        <v>6.6846153846153804</v>
      </c>
      <c r="AA992" s="23">
        <v>6.9269230769230798</v>
      </c>
      <c r="AO992" s="14"/>
    </row>
    <row r="993" spans="17:41" x14ac:dyDescent="0.3">
      <c r="Q993" s="93">
        <v>46213</v>
      </c>
      <c r="R993" t="s">
        <v>497</v>
      </c>
      <c r="S993" t="s">
        <v>399</v>
      </c>
      <c r="T993" s="14">
        <v>397.61059999999998</v>
      </c>
      <c r="W993" s="20">
        <v>46010</v>
      </c>
      <c r="X993" t="s">
        <v>277</v>
      </c>
      <c r="Y993" s="23">
        <v>7.2269230769230797</v>
      </c>
      <c r="Z993" s="23">
        <v>6.7423076923076897</v>
      </c>
      <c r="AA993" s="23">
        <v>6.98461538461539</v>
      </c>
      <c r="AO993" s="14"/>
    </row>
    <row r="994" spans="17:41" x14ac:dyDescent="0.3">
      <c r="Q994" s="93">
        <v>46213</v>
      </c>
      <c r="R994" t="s">
        <v>498</v>
      </c>
      <c r="S994" t="s">
        <v>399</v>
      </c>
      <c r="T994" s="14">
        <v>10800</v>
      </c>
      <c r="W994" s="20">
        <v>46010</v>
      </c>
      <c r="X994" t="s">
        <v>278</v>
      </c>
      <c r="Y994" s="23">
        <v>7.26538461538461</v>
      </c>
      <c r="Z994" s="23">
        <v>6.7807692307692298</v>
      </c>
      <c r="AA994" s="23">
        <v>7.0230769230769203</v>
      </c>
      <c r="AO994" s="14"/>
    </row>
    <row r="995" spans="17:41" x14ac:dyDescent="0.3">
      <c r="Q995" s="93">
        <v>46213</v>
      </c>
      <c r="R995" t="s">
        <v>494</v>
      </c>
      <c r="S995" t="s">
        <v>399</v>
      </c>
      <c r="T995" s="14">
        <v>0</v>
      </c>
      <c r="W995" s="20">
        <v>46010</v>
      </c>
      <c r="X995" t="s">
        <v>279</v>
      </c>
      <c r="Y995" s="23">
        <v>7.2961538461538398</v>
      </c>
      <c r="Z995" s="23">
        <v>6.8115384615384604</v>
      </c>
      <c r="AA995" s="23">
        <v>7.0538461538461599</v>
      </c>
      <c r="AO995" s="14"/>
    </row>
    <row r="996" spans="17:41" x14ac:dyDescent="0.3">
      <c r="Q996" s="93">
        <v>46213</v>
      </c>
      <c r="R996" t="s">
        <v>495</v>
      </c>
      <c r="S996" t="s">
        <v>399</v>
      </c>
      <c r="T996" s="14">
        <v>0</v>
      </c>
      <c r="W996" s="20">
        <v>46010</v>
      </c>
      <c r="X996" t="s">
        <v>280</v>
      </c>
      <c r="Y996" s="23">
        <v>7.3423076923076902</v>
      </c>
      <c r="Z996" s="23">
        <v>6.85769230769231</v>
      </c>
      <c r="AA996" s="23">
        <v>7.1</v>
      </c>
      <c r="AO996" s="14"/>
    </row>
    <row r="997" spans="17:41" x14ac:dyDescent="0.3">
      <c r="Q997" s="93">
        <v>46213</v>
      </c>
      <c r="R997" t="s">
        <v>493</v>
      </c>
      <c r="S997" t="s">
        <v>399</v>
      </c>
      <c r="T997" s="14">
        <v>0</v>
      </c>
      <c r="W997" s="20">
        <v>46010</v>
      </c>
      <c r="X997" t="s">
        <v>281</v>
      </c>
      <c r="Y997" s="23">
        <v>7.3653846153846096</v>
      </c>
      <c r="Z997" s="23">
        <v>6.8807692307692303</v>
      </c>
      <c r="AA997" s="23">
        <v>7.12307692307692</v>
      </c>
      <c r="AO997" s="14"/>
    </row>
    <row r="998" spans="17:41" x14ac:dyDescent="0.3">
      <c r="Q998" s="93">
        <v>46213</v>
      </c>
      <c r="R998" t="s">
        <v>593</v>
      </c>
      <c r="S998" t="s">
        <v>399</v>
      </c>
      <c r="T998" s="14">
        <v>11181</v>
      </c>
      <c r="W998" s="20">
        <v>46013</v>
      </c>
      <c r="X998" t="s">
        <v>270</v>
      </c>
      <c r="Y998" s="23">
        <v>7.2142857142857197</v>
      </c>
      <c r="Z998" s="23">
        <v>6.71428571428571</v>
      </c>
      <c r="AA998" s="23">
        <v>6.96428571428571</v>
      </c>
      <c r="AO998" s="14"/>
    </row>
    <row r="999" spans="17:41" x14ac:dyDescent="0.3">
      <c r="Q999" s="93">
        <v>46213</v>
      </c>
      <c r="R999" t="s">
        <v>594</v>
      </c>
      <c r="S999" t="s">
        <v>399</v>
      </c>
      <c r="T999" s="14">
        <v>0</v>
      </c>
      <c r="W999" s="20">
        <v>46013</v>
      </c>
      <c r="X999" t="s">
        <v>271</v>
      </c>
      <c r="Y999" s="23">
        <v>6.9692307692307702</v>
      </c>
      <c r="Z999" s="23">
        <v>6.4846153846153802</v>
      </c>
      <c r="AA999" s="23">
        <v>6.7269230769230797</v>
      </c>
      <c r="AO999" s="14"/>
    </row>
    <row r="1000" spans="17:41" x14ac:dyDescent="0.3">
      <c r="Q1000" s="93">
        <v>46213</v>
      </c>
      <c r="R1000" t="s">
        <v>595</v>
      </c>
      <c r="S1000" t="s">
        <v>399</v>
      </c>
      <c r="T1000" s="14">
        <v>0</v>
      </c>
      <c r="W1000" s="20">
        <v>46013</v>
      </c>
      <c r="X1000" t="s">
        <v>272</v>
      </c>
      <c r="Y1000" s="23">
        <v>7.0625</v>
      </c>
      <c r="Z1000" s="23">
        <v>6.7750000000000004</v>
      </c>
      <c r="AA1000" s="23">
        <v>6.9187500000000002</v>
      </c>
      <c r="AO1000" s="14"/>
    </row>
    <row r="1001" spans="17:41" x14ac:dyDescent="0.3">
      <c r="Q1001" s="93">
        <v>46213</v>
      </c>
      <c r="R1001" t="s">
        <v>479</v>
      </c>
      <c r="S1001" t="s">
        <v>395</v>
      </c>
      <c r="T1001" s="14">
        <v>10237.747450359</v>
      </c>
      <c r="W1001" s="20">
        <v>46013</v>
      </c>
      <c r="X1001" t="s">
        <v>273</v>
      </c>
      <c r="Y1001" s="23">
        <v>7.10769230769231</v>
      </c>
      <c r="Z1001" s="23">
        <v>6.6384615384615397</v>
      </c>
      <c r="AA1001" s="23">
        <v>6.87307692307692</v>
      </c>
      <c r="AO1001" s="14"/>
    </row>
    <row r="1002" spans="17:41" x14ac:dyDescent="0.3">
      <c r="Q1002" s="93">
        <v>46213</v>
      </c>
      <c r="R1002" t="s">
        <v>479</v>
      </c>
      <c r="S1002" t="s">
        <v>415</v>
      </c>
      <c r="T1002" s="14">
        <v>7.1111348651863997</v>
      </c>
      <c r="W1002" s="20">
        <v>46013</v>
      </c>
      <c r="X1002" t="s">
        <v>274</v>
      </c>
      <c r="Y1002" s="23">
        <v>7.15</v>
      </c>
      <c r="Z1002" s="23">
        <v>6.6730769230769198</v>
      </c>
      <c r="AA1002" s="23">
        <v>6.9115384615384601</v>
      </c>
      <c r="AO1002" s="14"/>
    </row>
    <row r="1003" spans="17:41" x14ac:dyDescent="0.3">
      <c r="Q1003" s="93">
        <v>46213</v>
      </c>
      <c r="R1003" t="s">
        <v>364</v>
      </c>
      <c r="S1003" t="s">
        <v>415</v>
      </c>
      <c r="T1003" s="14">
        <v>6.8185847589424604</v>
      </c>
      <c r="W1003" s="20">
        <v>46013</v>
      </c>
      <c r="X1003" t="s">
        <v>275</v>
      </c>
      <c r="Y1003" s="23">
        <v>7.1692307692307704</v>
      </c>
      <c r="Z1003" s="23">
        <v>6.6846153846153804</v>
      </c>
      <c r="AA1003" s="23">
        <v>6.9269230769230798</v>
      </c>
      <c r="AO1003" s="14"/>
    </row>
    <row r="1004" spans="17:41" x14ac:dyDescent="0.3">
      <c r="Q1004" s="93">
        <v>46213</v>
      </c>
      <c r="R1004" t="s">
        <v>516</v>
      </c>
      <c r="S1004" t="s">
        <v>415</v>
      </c>
      <c r="T1004" s="14">
        <v>6.9082012987310302</v>
      </c>
      <c r="W1004" s="20">
        <v>46013</v>
      </c>
      <c r="X1004" t="s">
        <v>276</v>
      </c>
      <c r="Y1004" s="23">
        <v>7.2153846153846199</v>
      </c>
      <c r="Z1004" s="23">
        <v>6.7307692307692299</v>
      </c>
      <c r="AA1004" s="23">
        <v>6.9730769230769196</v>
      </c>
      <c r="AO1004" s="14"/>
    </row>
    <row r="1005" spans="17:41" x14ac:dyDescent="0.3">
      <c r="Q1005" s="93">
        <v>46213</v>
      </c>
      <c r="R1005" t="s">
        <v>1288</v>
      </c>
      <c r="S1005" t="s">
        <v>415</v>
      </c>
      <c r="T1005" s="14">
        <v>7.1111348651863997</v>
      </c>
      <c r="W1005" s="20">
        <v>46013</v>
      </c>
      <c r="X1005" t="s">
        <v>277</v>
      </c>
      <c r="Y1005" s="23">
        <v>7.2576923076923103</v>
      </c>
      <c r="Z1005" s="23">
        <v>6.7730769230769203</v>
      </c>
      <c r="AA1005" s="23">
        <v>7.0153846153846198</v>
      </c>
      <c r="AO1005" s="14"/>
    </row>
    <row r="1006" spans="17:41" x14ac:dyDescent="0.3">
      <c r="Q1006" s="93">
        <v>46213</v>
      </c>
      <c r="R1006" t="s">
        <v>496</v>
      </c>
      <c r="S1006" t="s">
        <v>415</v>
      </c>
      <c r="T1006" s="14">
        <v>6.7605322142209898</v>
      </c>
      <c r="W1006" s="20">
        <v>46013</v>
      </c>
      <c r="X1006" t="s">
        <v>278</v>
      </c>
      <c r="Y1006" s="23">
        <v>7.3038461538461501</v>
      </c>
      <c r="Z1006" s="23">
        <v>6.8192307692307699</v>
      </c>
      <c r="AA1006" s="23">
        <v>7.0615384615384604</v>
      </c>
      <c r="AO1006" s="14"/>
    </row>
    <row r="1007" spans="17:41" x14ac:dyDescent="0.3">
      <c r="Q1007" s="93">
        <v>46213</v>
      </c>
      <c r="R1007" t="s">
        <v>1290</v>
      </c>
      <c r="S1007" t="s">
        <v>415</v>
      </c>
      <c r="T1007" s="14">
        <v>6.9020789777221196</v>
      </c>
      <c r="W1007" s="20">
        <v>46013</v>
      </c>
      <c r="X1007" t="s">
        <v>279</v>
      </c>
      <c r="Y1007" s="23">
        <v>7.3423076923076902</v>
      </c>
      <c r="Z1007" s="23">
        <v>6.85769230769231</v>
      </c>
      <c r="AA1007" s="23">
        <v>7.1</v>
      </c>
      <c r="AO1007" s="14"/>
    </row>
    <row r="1008" spans="17:41" x14ac:dyDescent="0.3">
      <c r="Q1008" s="93">
        <v>46213</v>
      </c>
      <c r="R1008" t="s">
        <v>364</v>
      </c>
      <c r="S1008" t="s">
        <v>997</v>
      </c>
      <c r="T1008" s="14">
        <v>32150</v>
      </c>
      <c r="W1008" s="20">
        <v>46013</v>
      </c>
      <c r="X1008" t="s">
        <v>280</v>
      </c>
      <c r="Y1008" s="23">
        <v>7.3961538461538403</v>
      </c>
      <c r="Z1008" s="23">
        <v>6.9115384615384601</v>
      </c>
      <c r="AA1008" s="23">
        <v>7.1538461538461497</v>
      </c>
      <c r="AO1008" s="14"/>
    </row>
    <row r="1009" spans="17:41" x14ac:dyDescent="0.3">
      <c r="Q1009" s="93">
        <v>46213</v>
      </c>
      <c r="R1009" t="s">
        <v>496</v>
      </c>
      <c r="S1009" t="s">
        <v>997</v>
      </c>
      <c r="T1009" s="14">
        <v>20969</v>
      </c>
      <c r="W1009" s="20">
        <v>46013</v>
      </c>
      <c r="X1009" t="s">
        <v>281</v>
      </c>
      <c r="Y1009" s="23">
        <v>7.4115384615384601</v>
      </c>
      <c r="Z1009" s="23">
        <v>6.9269230769230798</v>
      </c>
      <c r="AA1009" s="23">
        <v>7.1692307692307704</v>
      </c>
      <c r="AO1009" s="14"/>
    </row>
    <row r="1010" spans="17:41" x14ac:dyDescent="0.3">
      <c r="Q1010" s="93">
        <v>46213</v>
      </c>
      <c r="R1010" t="s">
        <v>1388</v>
      </c>
      <c r="S1010" t="s">
        <v>997</v>
      </c>
      <c r="T1010" s="14">
        <v>14197.6106</v>
      </c>
      <c r="W1010" s="20">
        <v>46014</v>
      </c>
      <c r="X1010" t="s">
        <v>270</v>
      </c>
      <c r="Y1010" s="23">
        <v>7.3285714285714301</v>
      </c>
      <c r="Z1010" s="23">
        <v>6.8285714285714301</v>
      </c>
      <c r="AA1010" s="23">
        <v>7.0785714285714301</v>
      </c>
      <c r="AO1010" s="14"/>
    </row>
    <row r="1011" spans="17:41" x14ac:dyDescent="0.3">
      <c r="Q1011" s="93">
        <v>46213</v>
      </c>
      <c r="R1011" t="s">
        <v>1389</v>
      </c>
      <c r="S1011" t="s">
        <v>997</v>
      </c>
      <c r="T1011" s="14">
        <v>13800</v>
      </c>
      <c r="W1011" s="20">
        <v>46014</v>
      </c>
      <c r="X1011" t="s">
        <v>271</v>
      </c>
      <c r="Y1011" s="23">
        <v>7</v>
      </c>
      <c r="Z1011" s="23">
        <v>6.51538461538461</v>
      </c>
      <c r="AA1011" s="23">
        <v>6.7576923076923103</v>
      </c>
      <c r="AO1011" s="14"/>
    </row>
    <row r="1012" spans="17:41" x14ac:dyDescent="0.3">
      <c r="Q1012" s="93">
        <v>46213</v>
      </c>
      <c r="R1012" t="s">
        <v>1390</v>
      </c>
      <c r="S1012" t="s">
        <v>997</v>
      </c>
      <c r="T1012" s="14">
        <v>397.61059999999998</v>
      </c>
      <c r="W1012" s="20">
        <v>46014</v>
      </c>
      <c r="X1012" t="s">
        <v>272</v>
      </c>
      <c r="Y1012" s="23">
        <v>7.0875000000000004</v>
      </c>
      <c r="Z1012" s="23">
        <v>6.8</v>
      </c>
      <c r="AA1012" s="23">
        <v>6.9437499999999996</v>
      </c>
      <c r="AO1012" s="14"/>
    </row>
    <row r="1013" spans="17:41" x14ac:dyDescent="0.3">
      <c r="Q1013" s="93">
        <v>46213</v>
      </c>
      <c r="R1013" t="s">
        <v>303</v>
      </c>
      <c r="S1013" t="s">
        <v>303</v>
      </c>
      <c r="T1013" s="14">
        <v>0</v>
      </c>
      <c r="W1013" s="20">
        <v>46014</v>
      </c>
      <c r="X1013" t="s">
        <v>273</v>
      </c>
      <c r="Y1013" s="23">
        <v>7.1461538461538501</v>
      </c>
      <c r="Z1013" s="23">
        <v>6.6769230769230798</v>
      </c>
      <c r="AA1013" s="23">
        <v>6.9115384615384601</v>
      </c>
      <c r="AO1013" s="14"/>
    </row>
    <row r="1014" spans="17:41" x14ac:dyDescent="0.3">
      <c r="Q1014" s="93">
        <v>46213</v>
      </c>
      <c r="R1014" t="s">
        <v>303</v>
      </c>
      <c r="S1014" t="s">
        <v>303</v>
      </c>
      <c r="T1014" s="14">
        <v>0</v>
      </c>
      <c r="W1014" s="20">
        <v>46014</v>
      </c>
      <c r="X1014" t="s">
        <v>274</v>
      </c>
      <c r="Y1014" s="23">
        <v>7.1653846153846104</v>
      </c>
      <c r="Z1014" s="23">
        <v>6.6884615384615396</v>
      </c>
      <c r="AA1014" s="23">
        <v>6.9269230769230798</v>
      </c>
      <c r="AO1014" s="14"/>
    </row>
    <row r="1015" spans="17:41" x14ac:dyDescent="0.3">
      <c r="Q1015" s="93">
        <v>46213</v>
      </c>
      <c r="R1015" t="s">
        <v>303</v>
      </c>
      <c r="S1015" t="s">
        <v>303</v>
      </c>
      <c r="T1015" s="14">
        <v>0</v>
      </c>
      <c r="W1015" s="20">
        <v>46014</v>
      </c>
      <c r="X1015" t="s">
        <v>275</v>
      </c>
      <c r="Y1015" s="23">
        <v>7.1846153846153804</v>
      </c>
      <c r="Z1015" s="23">
        <v>6.7</v>
      </c>
      <c r="AA1015" s="23">
        <v>6.9423076923076898</v>
      </c>
      <c r="AO1015" s="14"/>
    </row>
    <row r="1016" spans="17:41" x14ac:dyDescent="0.3">
      <c r="Q1016" s="93">
        <v>46213</v>
      </c>
      <c r="R1016" t="s">
        <v>303</v>
      </c>
      <c r="S1016" t="s">
        <v>303</v>
      </c>
      <c r="T1016" s="14">
        <v>0</v>
      </c>
      <c r="W1016" s="20">
        <v>46014</v>
      </c>
      <c r="X1016" t="s">
        <v>276</v>
      </c>
      <c r="Y1016" s="23">
        <v>7.2307692307692299</v>
      </c>
      <c r="Z1016" s="23">
        <v>6.7461538461538497</v>
      </c>
      <c r="AA1016" s="23">
        <v>6.9884615384615403</v>
      </c>
      <c r="AO1016" s="14"/>
    </row>
    <row r="1017" spans="17:41" x14ac:dyDescent="0.3">
      <c r="Q1017" s="93">
        <v>46213</v>
      </c>
      <c r="R1017" t="s">
        <v>303</v>
      </c>
      <c r="S1017" t="s">
        <v>303</v>
      </c>
      <c r="T1017" s="14">
        <v>0</v>
      </c>
      <c r="W1017" s="20">
        <v>46014</v>
      </c>
      <c r="X1017" t="s">
        <v>277</v>
      </c>
      <c r="Y1017" s="23">
        <v>7.2730769230769203</v>
      </c>
      <c r="Z1017" s="23">
        <v>6.7884615384615401</v>
      </c>
      <c r="AA1017" s="23">
        <v>7.0307692307692298</v>
      </c>
      <c r="AO1017" s="14"/>
    </row>
    <row r="1018" spans="17:41" x14ac:dyDescent="0.3">
      <c r="Q1018" s="93">
        <v>46213</v>
      </c>
      <c r="R1018" t="s">
        <v>303</v>
      </c>
      <c r="S1018" t="s">
        <v>303</v>
      </c>
      <c r="T1018" s="14">
        <v>0</v>
      </c>
      <c r="W1018" s="20">
        <v>46014</v>
      </c>
      <c r="X1018" t="s">
        <v>278</v>
      </c>
      <c r="Y1018" s="23">
        <v>7.3192307692307699</v>
      </c>
      <c r="Z1018" s="23">
        <v>6.8346153846153799</v>
      </c>
      <c r="AA1018" s="23">
        <v>7.0769230769230802</v>
      </c>
      <c r="AO1018" s="14"/>
    </row>
    <row r="1019" spans="17:41" x14ac:dyDescent="0.3">
      <c r="Q1019" s="93">
        <v>46213</v>
      </c>
      <c r="R1019" t="s">
        <v>303</v>
      </c>
      <c r="S1019" t="s">
        <v>303</v>
      </c>
      <c r="T1019" s="14">
        <v>0</v>
      </c>
      <c r="W1019" s="20">
        <v>46014</v>
      </c>
      <c r="X1019" t="s">
        <v>279</v>
      </c>
      <c r="Y1019" s="23">
        <v>7.3653846153846096</v>
      </c>
      <c r="Z1019" s="23">
        <v>6.8807692307692303</v>
      </c>
      <c r="AA1019" s="23">
        <v>7.12307692307692</v>
      </c>
      <c r="AO1019" s="14"/>
    </row>
    <row r="1020" spans="17:41" x14ac:dyDescent="0.3">
      <c r="Q1020" s="93">
        <v>46212</v>
      </c>
      <c r="R1020" t="s">
        <v>303</v>
      </c>
      <c r="S1020" t="s">
        <v>303</v>
      </c>
      <c r="T1020" s="14">
        <v>0</v>
      </c>
      <c r="W1020" s="20">
        <v>46014</v>
      </c>
      <c r="X1020" t="s">
        <v>280</v>
      </c>
      <c r="Y1020" s="23">
        <v>7.4192307692307704</v>
      </c>
      <c r="Z1020" s="23">
        <v>6.9346153846153804</v>
      </c>
      <c r="AA1020" s="23">
        <v>7.1769230769230798</v>
      </c>
      <c r="AO1020" s="14"/>
    </row>
    <row r="1021" spans="17:41" x14ac:dyDescent="0.3">
      <c r="Q1021" s="93">
        <v>46212</v>
      </c>
      <c r="R1021" t="s">
        <v>303</v>
      </c>
      <c r="S1021" t="s">
        <v>303</v>
      </c>
      <c r="T1021" s="14">
        <v>0</v>
      </c>
      <c r="W1021" s="20">
        <v>46014</v>
      </c>
      <c r="X1021" t="s">
        <v>281</v>
      </c>
      <c r="Y1021" s="23">
        <v>7.4346153846153804</v>
      </c>
      <c r="Z1021" s="23">
        <v>6.95</v>
      </c>
      <c r="AA1021" s="23">
        <v>7.1923076923076898</v>
      </c>
      <c r="AO1021" s="14"/>
    </row>
    <row r="1022" spans="17:41" x14ac:dyDescent="0.3">
      <c r="Q1022" s="93">
        <v>46212</v>
      </c>
      <c r="R1022" t="s">
        <v>303</v>
      </c>
      <c r="S1022" t="s">
        <v>303</v>
      </c>
      <c r="T1022" s="14">
        <v>0</v>
      </c>
      <c r="W1022" s="20">
        <v>46021</v>
      </c>
      <c r="X1022" t="s">
        <v>270</v>
      </c>
      <c r="Y1022" s="23">
        <v>7.35</v>
      </c>
      <c r="Z1022" s="23">
        <v>6.85</v>
      </c>
      <c r="AA1022" s="23">
        <v>7.1</v>
      </c>
      <c r="AO1022" s="14"/>
    </row>
    <row r="1023" spans="17:41" x14ac:dyDescent="0.3">
      <c r="Q1023" s="93">
        <v>46212</v>
      </c>
      <c r="R1023" t="s">
        <v>303</v>
      </c>
      <c r="S1023" t="s">
        <v>303</v>
      </c>
      <c r="T1023" s="14">
        <v>0</v>
      </c>
      <c r="W1023" s="20">
        <v>46021</v>
      </c>
      <c r="X1023" t="s">
        <v>271</v>
      </c>
      <c r="Y1023" s="23">
        <v>7.0384615384615401</v>
      </c>
      <c r="Z1023" s="23">
        <v>6.5538461538461501</v>
      </c>
      <c r="AA1023" s="23">
        <v>6.7961538461538504</v>
      </c>
      <c r="AO1023" s="14"/>
    </row>
    <row r="1024" spans="17:41" x14ac:dyDescent="0.3">
      <c r="Q1024" s="93">
        <v>46212</v>
      </c>
      <c r="R1024" t="s">
        <v>303</v>
      </c>
      <c r="S1024" t="s">
        <v>303</v>
      </c>
      <c r="T1024" s="14">
        <v>0</v>
      </c>
      <c r="W1024" s="20">
        <v>46021</v>
      </c>
      <c r="X1024" t="s">
        <v>272</v>
      </c>
      <c r="Y1024" s="23">
        <v>7.0833333333333304</v>
      </c>
      <c r="Z1024" s="23">
        <v>6.8666666666666698</v>
      </c>
      <c r="AA1024" s="23">
        <v>6.9749999999999996</v>
      </c>
      <c r="AO1024" s="14"/>
    </row>
    <row r="1025" spans="17:41" x14ac:dyDescent="0.3">
      <c r="Q1025" s="93">
        <v>46212</v>
      </c>
      <c r="R1025" t="s">
        <v>303</v>
      </c>
      <c r="S1025" t="s">
        <v>303</v>
      </c>
      <c r="T1025" s="14">
        <v>0</v>
      </c>
      <c r="W1025" s="20">
        <v>46021</v>
      </c>
      <c r="X1025" t="s">
        <v>273</v>
      </c>
      <c r="Y1025" s="23">
        <v>7.2</v>
      </c>
      <c r="Z1025" s="23">
        <v>6.7153846153846102</v>
      </c>
      <c r="AA1025" s="23">
        <v>6.9576923076923096</v>
      </c>
      <c r="AO1025" s="14"/>
    </row>
    <row r="1026" spans="17:41" x14ac:dyDescent="0.3">
      <c r="Q1026" s="93">
        <v>46212</v>
      </c>
      <c r="R1026" t="s">
        <v>303</v>
      </c>
      <c r="S1026" t="s">
        <v>303</v>
      </c>
      <c r="T1026" s="14">
        <v>0</v>
      </c>
      <c r="W1026" s="20">
        <v>46021</v>
      </c>
      <c r="X1026" t="s">
        <v>274</v>
      </c>
      <c r="Y1026" s="23">
        <v>7.25</v>
      </c>
      <c r="Z1026" s="23">
        <v>6.7730769230769203</v>
      </c>
      <c r="AA1026" s="23">
        <v>7.0115384615384597</v>
      </c>
      <c r="AO1026" s="14"/>
    </row>
    <row r="1027" spans="17:41" x14ac:dyDescent="0.3">
      <c r="Q1027" s="93">
        <v>46212</v>
      </c>
      <c r="R1027" t="s">
        <v>479</v>
      </c>
      <c r="S1027" t="s">
        <v>399</v>
      </c>
      <c r="T1027" s="14">
        <v>11197.6106</v>
      </c>
      <c r="W1027" s="20">
        <v>46021</v>
      </c>
      <c r="X1027" t="s">
        <v>275</v>
      </c>
      <c r="Y1027" s="23">
        <v>7.2692307692307701</v>
      </c>
      <c r="Z1027" s="23">
        <v>6.7846153846153801</v>
      </c>
      <c r="AA1027" s="23">
        <v>7.0269230769230804</v>
      </c>
      <c r="AO1027" s="14"/>
    </row>
    <row r="1028" spans="17:41" x14ac:dyDescent="0.3">
      <c r="Q1028" s="93">
        <v>46212</v>
      </c>
      <c r="R1028" t="s">
        <v>364</v>
      </c>
      <c r="S1028" t="s">
        <v>399</v>
      </c>
      <c r="T1028" s="14">
        <v>28650</v>
      </c>
      <c r="W1028" s="20">
        <v>46021</v>
      </c>
      <c r="X1028" t="s">
        <v>276</v>
      </c>
      <c r="Y1028" s="23">
        <v>7.3153846153846098</v>
      </c>
      <c r="Z1028" s="23">
        <v>6.8307692307692296</v>
      </c>
      <c r="AA1028" s="23">
        <v>7.0730769230769202</v>
      </c>
      <c r="AO1028" s="14"/>
    </row>
    <row r="1029" spans="17:41" x14ac:dyDescent="0.3">
      <c r="Q1029" s="93">
        <v>46212</v>
      </c>
      <c r="R1029" t="s">
        <v>491</v>
      </c>
      <c r="S1029" t="s">
        <v>399</v>
      </c>
      <c r="T1029" s="14">
        <v>397.61059999999998</v>
      </c>
      <c r="W1029" s="20">
        <v>46021</v>
      </c>
      <c r="X1029" t="s">
        <v>277</v>
      </c>
      <c r="Y1029" s="23">
        <v>7.35769230769231</v>
      </c>
      <c r="Z1029" s="23">
        <v>6.87307692307692</v>
      </c>
      <c r="AA1029" s="23">
        <v>7.1153846153846096</v>
      </c>
      <c r="AO1029" s="14"/>
    </row>
    <row r="1030" spans="17:41" x14ac:dyDescent="0.3">
      <c r="Q1030" s="93">
        <v>46212</v>
      </c>
      <c r="R1030" t="s">
        <v>492</v>
      </c>
      <c r="S1030" t="s">
        <v>399</v>
      </c>
      <c r="T1030" s="14">
        <v>10800</v>
      </c>
      <c r="W1030" s="20">
        <v>46021</v>
      </c>
      <c r="X1030" t="s">
        <v>278</v>
      </c>
      <c r="Y1030" s="23">
        <v>7.3961538461538403</v>
      </c>
      <c r="Z1030" s="23">
        <v>6.9115384615384601</v>
      </c>
      <c r="AA1030" s="23">
        <v>7.1538461538461497</v>
      </c>
      <c r="AO1030" s="14"/>
    </row>
    <row r="1031" spans="17:41" x14ac:dyDescent="0.3">
      <c r="Q1031" s="93">
        <v>46212</v>
      </c>
      <c r="R1031" t="s">
        <v>496</v>
      </c>
      <c r="S1031" t="s">
        <v>399</v>
      </c>
      <c r="T1031" s="14">
        <v>18769</v>
      </c>
      <c r="W1031" s="20">
        <v>46021</v>
      </c>
      <c r="X1031" t="s">
        <v>279</v>
      </c>
      <c r="Y1031" s="23">
        <v>7.4346153846153804</v>
      </c>
      <c r="Z1031" s="23">
        <v>6.95</v>
      </c>
      <c r="AA1031" s="23">
        <v>7.1923076923076898</v>
      </c>
      <c r="AO1031" s="14"/>
    </row>
    <row r="1032" spans="17:41" x14ac:dyDescent="0.3">
      <c r="Q1032" s="93">
        <v>46212</v>
      </c>
      <c r="R1032" t="s">
        <v>497</v>
      </c>
      <c r="S1032" t="s">
        <v>399</v>
      </c>
      <c r="T1032" s="14">
        <v>397.61059999999998</v>
      </c>
      <c r="W1032" s="20">
        <v>46021</v>
      </c>
      <c r="X1032" t="s">
        <v>280</v>
      </c>
      <c r="Y1032" s="23">
        <v>7.4730769230769196</v>
      </c>
      <c r="Z1032" s="23">
        <v>6.9884615384615403</v>
      </c>
      <c r="AA1032" s="23">
        <v>7.2307692307692299</v>
      </c>
      <c r="AO1032" s="14"/>
    </row>
    <row r="1033" spans="17:41" x14ac:dyDescent="0.3">
      <c r="Q1033" s="93">
        <v>46212</v>
      </c>
      <c r="R1033" t="s">
        <v>498</v>
      </c>
      <c r="S1033" t="s">
        <v>399</v>
      </c>
      <c r="T1033" s="14">
        <v>10800</v>
      </c>
      <c r="W1033" s="20">
        <v>46021</v>
      </c>
      <c r="X1033" t="s">
        <v>281</v>
      </c>
      <c r="Y1033" s="23">
        <v>7.5038461538461503</v>
      </c>
      <c r="Z1033" s="23">
        <v>7.0192307692307701</v>
      </c>
      <c r="AA1033" s="23">
        <v>7.2615384615384597</v>
      </c>
      <c r="AO1033" s="14"/>
    </row>
    <row r="1034" spans="17:41" x14ac:dyDescent="0.3">
      <c r="Q1034" s="93">
        <v>46212</v>
      </c>
      <c r="R1034" t="s">
        <v>494</v>
      </c>
      <c r="S1034" t="s">
        <v>399</v>
      </c>
      <c r="T1034" s="14">
        <v>0</v>
      </c>
      <c r="W1034" s="20">
        <v>46015</v>
      </c>
      <c r="X1034" t="s">
        <v>270</v>
      </c>
      <c r="Y1034" s="23">
        <v>7.3857142857142897</v>
      </c>
      <c r="Z1034" s="23">
        <v>6.8857142857142897</v>
      </c>
      <c r="AA1034" s="23">
        <v>7.1357142857142897</v>
      </c>
      <c r="AO1034" s="14"/>
    </row>
    <row r="1035" spans="17:41" x14ac:dyDescent="0.3">
      <c r="Q1035" s="93">
        <v>46212</v>
      </c>
      <c r="R1035" t="s">
        <v>495</v>
      </c>
      <c r="S1035" t="s">
        <v>399</v>
      </c>
      <c r="T1035" s="14">
        <v>0</v>
      </c>
      <c r="W1035" s="20">
        <v>46015</v>
      </c>
      <c r="X1035" t="s">
        <v>271</v>
      </c>
      <c r="Y1035" s="23">
        <v>6.9769230769230797</v>
      </c>
      <c r="Z1035" s="23">
        <v>6.4923076923076897</v>
      </c>
      <c r="AA1035" s="23">
        <v>6.7346153846153802</v>
      </c>
      <c r="AO1035" s="14"/>
    </row>
    <row r="1036" spans="17:41" x14ac:dyDescent="0.3">
      <c r="Q1036" s="93">
        <v>46212</v>
      </c>
      <c r="R1036" t="s">
        <v>493</v>
      </c>
      <c r="S1036" t="s">
        <v>399</v>
      </c>
      <c r="T1036" s="14">
        <v>0</v>
      </c>
      <c r="W1036" s="20">
        <v>46015</v>
      </c>
      <c r="X1036" t="s">
        <v>272</v>
      </c>
      <c r="Y1036" s="23">
        <v>7.1124999999999998</v>
      </c>
      <c r="Z1036" s="23">
        <v>6.8250000000000002</v>
      </c>
      <c r="AA1036" s="23">
        <v>6.96875</v>
      </c>
      <c r="AO1036" s="14"/>
    </row>
    <row r="1037" spans="17:41" x14ac:dyDescent="0.3">
      <c r="Q1037" s="93">
        <v>46212</v>
      </c>
      <c r="R1037" t="s">
        <v>593</v>
      </c>
      <c r="S1037" t="s">
        <v>399</v>
      </c>
      <c r="T1037" s="14">
        <v>9881</v>
      </c>
      <c r="W1037" s="20">
        <v>46015</v>
      </c>
      <c r="X1037" t="s">
        <v>273</v>
      </c>
      <c r="Y1037" s="23">
        <v>7.1538461538461604</v>
      </c>
      <c r="Z1037" s="23">
        <v>6.6846153846153804</v>
      </c>
      <c r="AA1037" s="23">
        <v>6.9192307692307704</v>
      </c>
      <c r="AO1037" s="14"/>
    </row>
    <row r="1038" spans="17:41" x14ac:dyDescent="0.3">
      <c r="Q1038" s="93">
        <v>46212</v>
      </c>
      <c r="R1038" t="s">
        <v>594</v>
      </c>
      <c r="S1038" t="s">
        <v>399</v>
      </c>
      <c r="T1038" s="14">
        <v>0</v>
      </c>
      <c r="W1038" s="20">
        <v>46015</v>
      </c>
      <c r="X1038" t="s">
        <v>274</v>
      </c>
      <c r="Y1038" s="23">
        <v>7.2115384615384599</v>
      </c>
      <c r="Z1038" s="23">
        <v>6.7346153846153802</v>
      </c>
      <c r="AA1038" s="23">
        <v>6.9730769230769196</v>
      </c>
      <c r="AO1038" s="14"/>
    </row>
    <row r="1039" spans="17:41" x14ac:dyDescent="0.3">
      <c r="Q1039" s="93">
        <v>46212</v>
      </c>
      <c r="R1039" t="s">
        <v>595</v>
      </c>
      <c r="S1039" t="s">
        <v>399</v>
      </c>
      <c r="T1039" s="14">
        <v>0</v>
      </c>
      <c r="W1039" s="20">
        <v>46015</v>
      </c>
      <c r="X1039" t="s">
        <v>275</v>
      </c>
      <c r="Y1039" s="23">
        <v>7.2307692307692299</v>
      </c>
      <c r="Z1039" s="23">
        <v>6.7461538461538497</v>
      </c>
      <c r="AA1039" s="23">
        <v>6.9884615384615403</v>
      </c>
      <c r="AO1039" s="14"/>
    </row>
    <row r="1040" spans="17:41" x14ac:dyDescent="0.3">
      <c r="Q1040" s="93">
        <v>46212</v>
      </c>
      <c r="R1040" t="s">
        <v>479</v>
      </c>
      <c r="S1040" t="s">
        <v>395</v>
      </c>
      <c r="T1040" s="14">
        <v>10239.7281777401</v>
      </c>
      <c r="W1040" s="20">
        <v>46015</v>
      </c>
      <c r="X1040" t="s">
        <v>276</v>
      </c>
      <c r="Y1040" s="23">
        <v>7.2769230769230804</v>
      </c>
      <c r="Z1040" s="23">
        <v>6.7923076923076904</v>
      </c>
      <c r="AA1040" s="23">
        <v>7.0346153846153898</v>
      </c>
      <c r="AO1040" s="14"/>
    </row>
    <row r="1041" spans="17:41" x14ac:dyDescent="0.3">
      <c r="Q1041" s="93">
        <v>46212</v>
      </c>
      <c r="R1041" t="s">
        <v>479</v>
      </c>
      <c r="S1041" t="s">
        <v>415</v>
      </c>
      <c r="T1041" s="14">
        <v>7.1111348651863997</v>
      </c>
      <c r="W1041" s="20">
        <v>46015</v>
      </c>
      <c r="X1041" t="s">
        <v>277</v>
      </c>
      <c r="Y1041" s="23">
        <v>7.3192307692307699</v>
      </c>
      <c r="Z1041" s="23">
        <v>6.8346153846153896</v>
      </c>
      <c r="AA1041" s="23">
        <v>7.0769230769230802</v>
      </c>
      <c r="AO1041" s="14"/>
    </row>
    <row r="1042" spans="17:41" x14ac:dyDescent="0.3">
      <c r="Q1042" s="93">
        <v>46212</v>
      </c>
      <c r="R1042" t="s">
        <v>364</v>
      </c>
      <c r="S1042" t="s">
        <v>415</v>
      </c>
      <c r="T1042" s="14">
        <v>6.8185847589424604</v>
      </c>
      <c r="W1042" s="20">
        <v>46015</v>
      </c>
      <c r="X1042" t="s">
        <v>278</v>
      </c>
      <c r="Y1042" s="23">
        <v>7.35769230769231</v>
      </c>
      <c r="Z1042" s="23">
        <v>6.87307692307692</v>
      </c>
      <c r="AA1042" s="23">
        <v>7.1153846153846203</v>
      </c>
      <c r="AO1042" s="14"/>
    </row>
    <row r="1043" spans="17:41" x14ac:dyDescent="0.3">
      <c r="Q1043" s="93">
        <v>46212</v>
      </c>
      <c r="R1043" t="s">
        <v>516</v>
      </c>
      <c r="S1043" t="s">
        <v>415</v>
      </c>
      <c r="T1043" s="14">
        <v>6.9082012987310302</v>
      </c>
      <c r="W1043" s="20">
        <v>46015</v>
      </c>
      <c r="X1043" t="s">
        <v>279</v>
      </c>
      <c r="Y1043" s="23">
        <v>7.3961538461538403</v>
      </c>
      <c r="Z1043" s="23">
        <v>6.9115384615384601</v>
      </c>
      <c r="AA1043" s="23">
        <v>7.1538461538461497</v>
      </c>
      <c r="AO1043" s="14"/>
    </row>
    <row r="1044" spans="17:41" x14ac:dyDescent="0.3">
      <c r="Q1044" s="93">
        <v>46212</v>
      </c>
      <c r="R1044" t="s">
        <v>1288</v>
      </c>
      <c r="S1044" t="s">
        <v>415</v>
      </c>
      <c r="T1044" s="14">
        <v>7.1111348651863997</v>
      </c>
      <c r="W1044" s="20">
        <v>46015</v>
      </c>
      <c r="X1044" t="s">
        <v>280</v>
      </c>
      <c r="Y1044" s="23">
        <v>7.4346153846153804</v>
      </c>
      <c r="Z1044" s="23">
        <v>6.95</v>
      </c>
      <c r="AA1044" s="23">
        <v>7.1923076923076898</v>
      </c>
      <c r="AO1044" s="14"/>
    </row>
    <row r="1045" spans="17:41" x14ac:dyDescent="0.3">
      <c r="Q1045" s="93">
        <v>46212</v>
      </c>
      <c r="R1045" t="s">
        <v>496</v>
      </c>
      <c r="S1045" t="s">
        <v>415</v>
      </c>
      <c r="T1045" s="14">
        <v>6.7246665768557197</v>
      </c>
      <c r="W1045" s="20">
        <v>46015</v>
      </c>
      <c r="X1045" t="s">
        <v>281</v>
      </c>
      <c r="Y1045" s="23">
        <v>7.4653846153846102</v>
      </c>
      <c r="Z1045" s="23">
        <v>6.9807692307692299</v>
      </c>
      <c r="AA1045" s="23">
        <v>7.2230769230769196</v>
      </c>
      <c r="AO1045" s="14"/>
    </row>
    <row r="1046" spans="17:41" x14ac:dyDescent="0.3">
      <c r="Q1046" s="93">
        <v>46212</v>
      </c>
      <c r="R1046" t="s">
        <v>1290</v>
      </c>
      <c r="S1046" t="s">
        <v>415</v>
      </c>
      <c r="T1046" s="14">
        <v>6.8751309654207304</v>
      </c>
      <c r="W1046" s="20">
        <v>46016</v>
      </c>
      <c r="X1046" t="s">
        <v>270</v>
      </c>
      <c r="Y1046" s="23">
        <v>7.3333333333333304</v>
      </c>
      <c r="Z1046" s="23">
        <v>6.8333333333333304</v>
      </c>
      <c r="AA1046" s="23">
        <v>7.0833333333333304</v>
      </c>
      <c r="AO1046" s="14"/>
    </row>
    <row r="1047" spans="17:41" x14ac:dyDescent="0.3">
      <c r="Q1047" s="93">
        <v>46212</v>
      </c>
      <c r="R1047" t="s">
        <v>364</v>
      </c>
      <c r="S1047" t="s">
        <v>997</v>
      </c>
      <c r="T1047" s="14">
        <v>32150</v>
      </c>
      <c r="W1047" s="20">
        <v>46016</v>
      </c>
      <c r="X1047" t="s">
        <v>271</v>
      </c>
      <c r="Y1047" s="23">
        <v>7.0461538461538504</v>
      </c>
      <c r="Z1047" s="23">
        <v>6.5615384615384604</v>
      </c>
      <c r="AA1047" s="23">
        <v>6.8038461538461501</v>
      </c>
      <c r="AO1047" s="14"/>
    </row>
    <row r="1048" spans="17:41" x14ac:dyDescent="0.3">
      <c r="Q1048" s="93">
        <v>46212</v>
      </c>
      <c r="R1048" t="s">
        <v>496</v>
      </c>
      <c r="S1048" t="s">
        <v>997</v>
      </c>
      <c r="T1048" s="14">
        <v>22269</v>
      </c>
      <c r="W1048" s="20">
        <v>46016</v>
      </c>
      <c r="X1048" t="s">
        <v>272</v>
      </c>
      <c r="Y1048" s="23">
        <v>7.1624999999999996</v>
      </c>
      <c r="Z1048" s="23">
        <v>6.875</v>
      </c>
      <c r="AA1048" s="23">
        <v>7.0187499999999998</v>
      </c>
      <c r="AO1048" s="14"/>
    </row>
    <row r="1049" spans="17:41" x14ac:dyDescent="0.3">
      <c r="Q1049" s="93">
        <v>46212</v>
      </c>
      <c r="R1049" t="s">
        <v>1388</v>
      </c>
      <c r="S1049" t="s">
        <v>997</v>
      </c>
      <c r="T1049" s="14">
        <v>14197.6106</v>
      </c>
      <c r="W1049" s="20">
        <v>46016</v>
      </c>
      <c r="X1049" t="s">
        <v>273</v>
      </c>
      <c r="Y1049" s="23">
        <v>7.2461538461538497</v>
      </c>
      <c r="Z1049" s="23">
        <v>6.7769230769230804</v>
      </c>
      <c r="AA1049" s="23">
        <v>7.0115384615384597</v>
      </c>
      <c r="AO1049" s="14"/>
    </row>
    <row r="1050" spans="17:41" x14ac:dyDescent="0.3">
      <c r="Q1050" s="93">
        <v>46212</v>
      </c>
      <c r="R1050" t="s">
        <v>1389</v>
      </c>
      <c r="S1050" t="s">
        <v>997</v>
      </c>
      <c r="T1050" s="14">
        <v>13800</v>
      </c>
      <c r="W1050" s="20">
        <v>46016</v>
      </c>
      <c r="X1050" t="s">
        <v>274</v>
      </c>
      <c r="Y1050" s="23">
        <v>7.25</v>
      </c>
      <c r="Z1050" s="23">
        <v>6.7730769230769203</v>
      </c>
      <c r="AA1050" s="23">
        <v>7.0115384615384597</v>
      </c>
      <c r="AO1050" s="14"/>
    </row>
    <row r="1051" spans="17:41" x14ac:dyDescent="0.3">
      <c r="Q1051" s="93">
        <v>46212</v>
      </c>
      <c r="R1051" t="s">
        <v>1390</v>
      </c>
      <c r="S1051" t="s">
        <v>997</v>
      </c>
      <c r="T1051" s="14">
        <v>397.61059999999998</v>
      </c>
      <c r="W1051" s="20">
        <v>46016</v>
      </c>
      <c r="X1051" t="s">
        <v>275</v>
      </c>
      <c r="Y1051" s="23">
        <v>7.2769230769230804</v>
      </c>
      <c r="Z1051" s="23">
        <v>6.7923076923076904</v>
      </c>
      <c r="AA1051" s="23">
        <v>7.0346153846153898</v>
      </c>
      <c r="AO1051" s="14"/>
    </row>
    <row r="1052" spans="17:41" x14ac:dyDescent="0.3">
      <c r="Q1052" s="93">
        <v>46211</v>
      </c>
      <c r="R1052" t="s">
        <v>479</v>
      </c>
      <c r="S1052" t="s">
        <v>399</v>
      </c>
      <c r="T1052" s="14">
        <v>11197.6106</v>
      </c>
      <c r="W1052" s="20">
        <v>46016</v>
      </c>
      <c r="X1052" t="s">
        <v>276</v>
      </c>
      <c r="Y1052" s="23">
        <v>7.3230769230769202</v>
      </c>
      <c r="Z1052" s="23">
        <v>6.8384615384615399</v>
      </c>
      <c r="AA1052" s="23">
        <v>7.0807692307692296</v>
      </c>
      <c r="AO1052" s="14"/>
    </row>
    <row r="1053" spans="17:41" x14ac:dyDescent="0.3">
      <c r="Q1053" s="93">
        <v>46211</v>
      </c>
      <c r="R1053" t="s">
        <v>364</v>
      </c>
      <c r="S1053" t="s">
        <v>399</v>
      </c>
      <c r="T1053" s="14">
        <v>28650</v>
      </c>
      <c r="W1053" s="20">
        <v>46016</v>
      </c>
      <c r="X1053" t="s">
        <v>277</v>
      </c>
      <c r="Y1053" s="23">
        <v>7.3653846153846096</v>
      </c>
      <c r="Z1053" s="23">
        <v>6.8807692307692303</v>
      </c>
      <c r="AA1053" s="23">
        <v>7.12307692307692</v>
      </c>
      <c r="AO1053" s="14"/>
    </row>
    <row r="1054" spans="17:41" x14ac:dyDescent="0.3">
      <c r="Q1054" s="93">
        <v>46211</v>
      </c>
      <c r="R1054" t="s">
        <v>491</v>
      </c>
      <c r="S1054" t="s">
        <v>399</v>
      </c>
      <c r="T1054" s="14">
        <v>397.61059999999998</v>
      </c>
      <c r="W1054" s="20">
        <v>46016</v>
      </c>
      <c r="X1054" t="s">
        <v>278</v>
      </c>
      <c r="Y1054" s="23">
        <v>7.4038461538461497</v>
      </c>
      <c r="Z1054" s="23">
        <v>6.9192307692307704</v>
      </c>
      <c r="AA1054" s="23">
        <v>7.1615384615384601</v>
      </c>
      <c r="AO1054" s="14"/>
    </row>
    <row r="1055" spans="17:41" x14ac:dyDescent="0.3">
      <c r="Q1055" s="93">
        <v>46211</v>
      </c>
      <c r="R1055" t="s">
        <v>492</v>
      </c>
      <c r="S1055" t="s">
        <v>399</v>
      </c>
      <c r="T1055" s="14">
        <v>10800</v>
      </c>
      <c r="W1055" s="20">
        <v>46016</v>
      </c>
      <c r="X1055" t="s">
        <v>279</v>
      </c>
      <c r="Y1055" s="23">
        <v>7.4423076923076898</v>
      </c>
      <c r="Z1055" s="23">
        <v>6.9576923076923096</v>
      </c>
      <c r="AA1055" s="23">
        <v>7.2</v>
      </c>
      <c r="AO1055" s="14"/>
    </row>
    <row r="1056" spans="17:41" x14ac:dyDescent="0.3">
      <c r="Q1056" s="93">
        <v>46211</v>
      </c>
      <c r="R1056" t="s">
        <v>496</v>
      </c>
      <c r="S1056" t="s">
        <v>399</v>
      </c>
      <c r="T1056" s="14">
        <v>20269</v>
      </c>
      <c r="W1056" s="20">
        <v>46016</v>
      </c>
      <c r="X1056" t="s">
        <v>280</v>
      </c>
      <c r="Y1056" s="23">
        <v>7.4807692307692299</v>
      </c>
      <c r="Z1056" s="23">
        <v>6.9961538461538497</v>
      </c>
      <c r="AA1056" s="23">
        <v>7.2384615384615403</v>
      </c>
      <c r="AO1056" s="14"/>
    </row>
    <row r="1057" spans="17:41" x14ac:dyDescent="0.3">
      <c r="Q1057" s="93">
        <v>46211</v>
      </c>
      <c r="R1057" t="s">
        <v>497</v>
      </c>
      <c r="S1057" t="s">
        <v>399</v>
      </c>
      <c r="T1057" s="14">
        <v>397.61059999999998</v>
      </c>
      <c r="W1057" s="20">
        <v>46016</v>
      </c>
      <c r="X1057" t="s">
        <v>281</v>
      </c>
      <c r="Y1057" s="23">
        <v>7.5115384615384597</v>
      </c>
      <c r="Z1057" s="23">
        <v>7.0269230769230804</v>
      </c>
      <c r="AA1057" s="23">
        <v>7.2692307692307701</v>
      </c>
      <c r="AO1057" s="14"/>
    </row>
    <row r="1058" spans="17:41" x14ac:dyDescent="0.3">
      <c r="Q1058" s="93">
        <v>46211</v>
      </c>
      <c r="R1058" t="s">
        <v>498</v>
      </c>
      <c r="S1058" t="s">
        <v>399</v>
      </c>
      <c r="T1058" s="14">
        <v>10800</v>
      </c>
      <c r="W1058" s="20">
        <v>46017</v>
      </c>
      <c r="X1058" t="s">
        <v>270</v>
      </c>
      <c r="Y1058" s="23">
        <v>7.3250000000000002</v>
      </c>
      <c r="Z1058" s="23">
        <v>6.8250000000000002</v>
      </c>
      <c r="AA1058" s="23">
        <v>7.0750000000000002</v>
      </c>
      <c r="AO1058" s="14"/>
    </row>
    <row r="1059" spans="17:41" x14ac:dyDescent="0.3">
      <c r="Q1059" s="93">
        <v>46211</v>
      </c>
      <c r="R1059" t="s">
        <v>494</v>
      </c>
      <c r="S1059" t="s">
        <v>399</v>
      </c>
      <c r="T1059" s="14">
        <v>0</v>
      </c>
      <c r="W1059" s="20">
        <v>46017</v>
      </c>
      <c r="X1059" t="s">
        <v>271</v>
      </c>
      <c r="Y1059" s="23">
        <v>7.0384615384615401</v>
      </c>
      <c r="Z1059" s="23">
        <v>6.5538461538461501</v>
      </c>
      <c r="AA1059" s="23">
        <v>6.7961538461538504</v>
      </c>
      <c r="AO1059" s="14"/>
    </row>
    <row r="1060" spans="17:41" x14ac:dyDescent="0.3">
      <c r="Q1060" s="93">
        <v>46211</v>
      </c>
      <c r="R1060" t="s">
        <v>495</v>
      </c>
      <c r="S1060" t="s">
        <v>399</v>
      </c>
      <c r="T1060" s="14">
        <v>0</v>
      </c>
      <c r="W1060" s="20">
        <v>46017</v>
      </c>
      <c r="X1060" t="s">
        <v>272</v>
      </c>
      <c r="Y1060" s="23">
        <v>7.1875</v>
      </c>
      <c r="Z1060" s="23">
        <v>6.9</v>
      </c>
      <c r="AA1060" s="23">
        <v>7.0437500000000002</v>
      </c>
      <c r="AO1060" s="14"/>
    </row>
    <row r="1061" spans="17:41" x14ac:dyDescent="0.3">
      <c r="Q1061" s="93">
        <v>46211</v>
      </c>
      <c r="R1061" t="s">
        <v>493</v>
      </c>
      <c r="S1061" t="s">
        <v>399</v>
      </c>
      <c r="T1061" s="14">
        <v>0</v>
      </c>
      <c r="W1061" s="20">
        <v>46017</v>
      </c>
      <c r="X1061" t="s">
        <v>273</v>
      </c>
      <c r="Y1061" s="23">
        <v>7.1846153846153804</v>
      </c>
      <c r="Z1061" s="23">
        <v>6.7</v>
      </c>
      <c r="AA1061" s="23">
        <v>6.9423076923076898</v>
      </c>
      <c r="AO1061" s="14"/>
    </row>
    <row r="1062" spans="17:41" x14ac:dyDescent="0.3">
      <c r="Q1062" s="93">
        <v>46211</v>
      </c>
      <c r="R1062" t="s">
        <v>593</v>
      </c>
      <c r="S1062" t="s">
        <v>399</v>
      </c>
      <c r="T1062" s="14">
        <v>8381</v>
      </c>
      <c r="W1062" s="20">
        <v>46017</v>
      </c>
      <c r="X1062" t="s">
        <v>274</v>
      </c>
      <c r="Y1062" s="23">
        <v>7.2576923076923103</v>
      </c>
      <c r="Z1062" s="23">
        <v>6.7807692307692298</v>
      </c>
      <c r="AA1062" s="23">
        <v>7.0192307692307701</v>
      </c>
      <c r="AO1062" s="14"/>
    </row>
    <row r="1063" spans="17:41" x14ac:dyDescent="0.3">
      <c r="Q1063" s="93">
        <v>46211</v>
      </c>
      <c r="R1063" t="s">
        <v>594</v>
      </c>
      <c r="S1063" t="s">
        <v>399</v>
      </c>
      <c r="T1063" s="14">
        <v>0</v>
      </c>
      <c r="W1063" s="20">
        <v>46017</v>
      </c>
      <c r="X1063" t="s">
        <v>275</v>
      </c>
      <c r="Y1063" s="23">
        <v>7.2769230769230804</v>
      </c>
      <c r="Z1063" s="23">
        <v>6.7923076923076904</v>
      </c>
      <c r="AA1063" s="23">
        <v>7.0346153846153898</v>
      </c>
      <c r="AO1063" s="14"/>
    </row>
    <row r="1064" spans="17:41" x14ac:dyDescent="0.3">
      <c r="Q1064" s="93">
        <v>46211</v>
      </c>
      <c r="R1064" t="s">
        <v>595</v>
      </c>
      <c r="S1064" t="s">
        <v>399</v>
      </c>
      <c r="T1064" s="14">
        <v>0</v>
      </c>
      <c r="W1064" s="20">
        <v>46017</v>
      </c>
      <c r="X1064" t="s">
        <v>276</v>
      </c>
      <c r="Y1064" s="23">
        <v>7.3230769230769202</v>
      </c>
      <c r="Z1064" s="23">
        <v>6.8384615384615399</v>
      </c>
      <c r="AA1064" s="23">
        <v>7.0807692307692296</v>
      </c>
      <c r="AO1064" s="14"/>
    </row>
    <row r="1065" spans="17:41" x14ac:dyDescent="0.3">
      <c r="Q1065" s="93">
        <v>46211</v>
      </c>
      <c r="R1065" t="s">
        <v>479</v>
      </c>
      <c r="S1065" t="s">
        <v>395</v>
      </c>
      <c r="T1065" s="14">
        <v>10240.3480552562</v>
      </c>
      <c r="W1065" s="20">
        <v>46017</v>
      </c>
      <c r="X1065" t="s">
        <v>277</v>
      </c>
      <c r="Y1065" s="23">
        <v>7.3653846153846096</v>
      </c>
      <c r="Z1065" s="23">
        <v>6.8807692307692303</v>
      </c>
      <c r="AA1065" s="23">
        <v>7.12307692307692</v>
      </c>
      <c r="AO1065" s="14"/>
    </row>
    <row r="1066" spans="17:41" x14ac:dyDescent="0.3">
      <c r="Q1066" s="93">
        <v>46211</v>
      </c>
      <c r="R1066" t="s">
        <v>479</v>
      </c>
      <c r="S1066" t="s">
        <v>415</v>
      </c>
      <c r="T1066" s="14">
        <v>7.1111348651863997</v>
      </c>
      <c r="W1066" s="20">
        <v>46017</v>
      </c>
      <c r="X1066" t="s">
        <v>278</v>
      </c>
      <c r="Y1066" s="23">
        <v>7.3961538461538403</v>
      </c>
      <c r="Z1066" s="23">
        <v>6.9115384615384601</v>
      </c>
      <c r="AA1066" s="23">
        <v>7.1538461538461497</v>
      </c>
      <c r="AO1066" s="14"/>
    </row>
    <row r="1067" spans="17:41" x14ac:dyDescent="0.3">
      <c r="Q1067" s="93">
        <v>46211</v>
      </c>
      <c r="R1067" t="s">
        <v>364</v>
      </c>
      <c r="S1067" t="s">
        <v>415</v>
      </c>
      <c r="T1067" s="14">
        <v>6.8185847589424604</v>
      </c>
      <c r="W1067" s="20">
        <v>46017</v>
      </c>
      <c r="X1067" t="s">
        <v>279</v>
      </c>
      <c r="Y1067" s="23">
        <v>7.4346153846153804</v>
      </c>
      <c r="Z1067" s="23">
        <v>6.95</v>
      </c>
      <c r="AA1067" s="23">
        <v>7.1923076923076898</v>
      </c>
      <c r="AO1067" s="14"/>
    </row>
    <row r="1068" spans="17:41" x14ac:dyDescent="0.3">
      <c r="Q1068" s="93">
        <v>46211</v>
      </c>
      <c r="R1068" t="s">
        <v>516</v>
      </c>
      <c r="S1068" t="s">
        <v>415</v>
      </c>
      <c r="T1068" s="14">
        <v>6.9082012987310302</v>
      </c>
      <c r="W1068" s="20">
        <v>46017</v>
      </c>
      <c r="X1068" t="s">
        <v>280</v>
      </c>
      <c r="Y1068" s="23">
        <v>7.4730769230769196</v>
      </c>
      <c r="Z1068" s="23">
        <v>6.9884615384615403</v>
      </c>
      <c r="AA1068" s="23">
        <v>7.2307692307692299</v>
      </c>
      <c r="AO1068" s="14"/>
    </row>
    <row r="1069" spans="17:41" x14ac:dyDescent="0.3">
      <c r="Q1069" s="93">
        <v>46211</v>
      </c>
      <c r="R1069" t="s">
        <v>1288</v>
      </c>
      <c r="S1069" t="s">
        <v>415</v>
      </c>
      <c r="T1069" s="14">
        <v>7.1111348651863997</v>
      </c>
      <c r="W1069" s="20">
        <v>46017</v>
      </c>
      <c r="X1069" t="s">
        <v>281</v>
      </c>
      <c r="Y1069" s="23">
        <v>7.5038461538461503</v>
      </c>
      <c r="Z1069" s="23">
        <v>7.0192307692307701</v>
      </c>
      <c r="AA1069" s="23">
        <v>7.2615384615384597</v>
      </c>
      <c r="AO1069" s="14"/>
    </row>
    <row r="1070" spans="17:41" x14ac:dyDescent="0.3">
      <c r="Q1070" s="93">
        <v>46211</v>
      </c>
      <c r="R1070" t="s">
        <v>496</v>
      </c>
      <c r="S1070" t="s">
        <v>415</v>
      </c>
      <c r="T1070" s="14">
        <v>6.7546636375110403</v>
      </c>
      <c r="W1070" s="20">
        <v>46020</v>
      </c>
      <c r="X1070" t="s">
        <v>270</v>
      </c>
      <c r="Y1070" s="23">
        <v>7.35</v>
      </c>
      <c r="Z1070" s="23">
        <v>6.85</v>
      </c>
      <c r="AA1070" s="23">
        <v>7.1</v>
      </c>
      <c r="AO1070" s="14"/>
    </row>
    <row r="1071" spans="17:41" x14ac:dyDescent="0.3">
      <c r="Q1071" s="93">
        <v>46211</v>
      </c>
      <c r="R1071" t="s">
        <v>1290</v>
      </c>
      <c r="S1071" t="s">
        <v>415</v>
      </c>
      <c r="T1071" s="14">
        <v>6.8879660208593902</v>
      </c>
      <c r="W1071" s="20">
        <v>46020</v>
      </c>
      <c r="X1071" t="s">
        <v>271</v>
      </c>
      <c r="Y1071" s="23">
        <v>7.0384615384615401</v>
      </c>
      <c r="Z1071" s="23">
        <v>6.5538461538461501</v>
      </c>
      <c r="AA1071" s="23">
        <v>6.7961538461538504</v>
      </c>
      <c r="AO1071" s="14"/>
    </row>
    <row r="1072" spans="17:41" x14ac:dyDescent="0.3">
      <c r="Q1072" s="93">
        <v>46211</v>
      </c>
      <c r="R1072" t="s">
        <v>364</v>
      </c>
      <c r="S1072" t="s">
        <v>997</v>
      </c>
      <c r="T1072" s="14">
        <v>32150</v>
      </c>
      <c r="W1072" s="20">
        <v>46020</v>
      </c>
      <c r="X1072" t="s">
        <v>272</v>
      </c>
      <c r="Y1072" s="23">
        <v>7.0833333333333304</v>
      </c>
      <c r="Z1072" s="23">
        <v>6.8666666666666698</v>
      </c>
      <c r="AA1072" s="23">
        <v>6.9749999999999996</v>
      </c>
      <c r="AO1072" s="14"/>
    </row>
    <row r="1073" spans="17:41" x14ac:dyDescent="0.3">
      <c r="Q1073" s="93">
        <v>46211</v>
      </c>
      <c r="R1073" t="s">
        <v>496</v>
      </c>
      <c r="S1073" t="s">
        <v>997</v>
      </c>
      <c r="T1073" s="14">
        <v>23769</v>
      </c>
      <c r="W1073" s="20">
        <v>46020</v>
      </c>
      <c r="X1073" t="s">
        <v>273</v>
      </c>
      <c r="Y1073" s="23">
        <v>7.2</v>
      </c>
      <c r="Z1073" s="23">
        <v>6.7153846153846102</v>
      </c>
      <c r="AA1073" s="23">
        <v>6.9576923076923096</v>
      </c>
      <c r="AO1073" s="14"/>
    </row>
    <row r="1074" spans="17:41" x14ac:dyDescent="0.3">
      <c r="Q1074" s="93">
        <v>46211</v>
      </c>
      <c r="R1074" t="s">
        <v>1388</v>
      </c>
      <c r="S1074" t="s">
        <v>997</v>
      </c>
      <c r="T1074" s="14">
        <v>14197.6106</v>
      </c>
      <c r="W1074" s="20">
        <v>46020</v>
      </c>
      <c r="X1074" t="s">
        <v>274</v>
      </c>
      <c r="Y1074" s="23">
        <v>7.25</v>
      </c>
      <c r="Z1074" s="23">
        <v>6.7730769230769203</v>
      </c>
      <c r="AA1074" s="23">
        <v>7.0115384615384597</v>
      </c>
      <c r="AO1074" s="14"/>
    </row>
    <row r="1075" spans="17:41" x14ac:dyDescent="0.3">
      <c r="Q1075" s="93">
        <v>46211</v>
      </c>
      <c r="R1075" t="s">
        <v>1389</v>
      </c>
      <c r="S1075" t="s">
        <v>997</v>
      </c>
      <c r="T1075" s="14">
        <v>13800</v>
      </c>
      <c r="W1075" s="20">
        <v>46020</v>
      </c>
      <c r="X1075" t="s">
        <v>275</v>
      </c>
      <c r="Y1075" s="23">
        <v>7.2692307692307701</v>
      </c>
      <c r="Z1075" s="23">
        <v>6.7846153846153801</v>
      </c>
      <c r="AA1075" s="23">
        <v>7.0269230769230804</v>
      </c>
      <c r="AO1075" s="14"/>
    </row>
    <row r="1076" spans="17:41" x14ac:dyDescent="0.3">
      <c r="Q1076" s="93">
        <v>46211</v>
      </c>
      <c r="R1076" t="s">
        <v>1390</v>
      </c>
      <c r="S1076" t="s">
        <v>997</v>
      </c>
      <c r="T1076" s="14">
        <v>397.61059999999998</v>
      </c>
      <c r="W1076" s="20">
        <v>46020</v>
      </c>
      <c r="X1076" t="s">
        <v>276</v>
      </c>
      <c r="Y1076" s="23">
        <v>7.3153846153846098</v>
      </c>
      <c r="Z1076" s="23">
        <v>6.8307692307692296</v>
      </c>
      <c r="AA1076" s="23">
        <v>7.0730769230769202</v>
      </c>
      <c r="AO1076" s="14"/>
    </row>
    <row r="1077" spans="17:41" x14ac:dyDescent="0.3">
      <c r="Q1077" s="93">
        <v>46211</v>
      </c>
      <c r="R1077" t="s">
        <v>303</v>
      </c>
      <c r="S1077" t="s">
        <v>303</v>
      </c>
      <c r="T1077" s="14">
        <v>0</v>
      </c>
      <c r="W1077" s="20">
        <v>46020</v>
      </c>
      <c r="X1077" t="s">
        <v>277</v>
      </c>
      <c r="Y1077" s="23">
        <v>7.35769230769231</v>
      </c>
      <c r="Z1077" s="23">
        <v>6.87307692307692</v>
      </c>
      <c r="AA1077" s="23">
        <v>7.1153846153846096</v>
      </c>
      <c r="AO1077" s="14"/>
    </row>
    <row r="1078" spans="17:41" x14ac:dyDescent="0.3">
      <c r="Q1078" s="93">
        <v>46211</v>
      </c>
      <c r="R1078" t="s">
        <v>303</v>
      </c>
      <c r="S1078" t="s">
        <v>303</v>
      </c>
      <c r="T1078" s="14">
        <v>0</v>
      </c>
      <c r="W1078" s="20">
        <v>46020</v>
      </c>
      <c r="X1078" t="s">
        <v>278</v>
      </c>
      <c r="Y1078" s="23">
        <v>7.3961538461538403</v>
      </c>
      <c r="Z1078" s="23">
        <v>6.9115384615384601</v>
      </c>
      <c r="AA1078" s="23">
        <v>7.1538461538461497</v>
      </c>
      <c r="AO1078" s="14"/>
    </row>
    <row r="1079" spans="17:41" x14ac:dyDescent="0.3">
      <c r="Q1079" s="93">
        <v>46211</v>
      </c>
      <c r="R1079" t="s">
        <v>303</v>
      </c>
      <c r="S1079" t="s">
        <v>303</v>
      </c>
      <c r="T1079" s="14">
        <v>0</v>
      </c>
      <c r="W1079" s="20">
        <v>46020</v>
      </c>
      <c r="X1079" t="s">
        <v>279</v>
      </c>
      <c r="Y1079" s="23">
        <v>7.4346153846153804</v>
      </c>
      <c r="Z1079" s="23">
        <v>6.95</v>
      </c>
      <c r="AA1079" s="23">
        <v>7.1923076923076898</v>
      </c>
      <c r="AO1079" s="14"/>
    </row>
    <row r="1080" spans="17:41" x14ac:dyDescent="0.3">
      <c r="Q1080" s="93">
        <v>46211</v>
      </c>
      <c r="R1080" t="s">
        <v>303</v>
      </c>
      <c r="S1080" t="s">
        <v>303</v>
      </c>
      <c r="T1080" s="14">
        <v>0</v>
      </c>
      <c r="W1080" s="20">
        <v>46020</v>
      </c>
      <c r="X1080" t="s">
        <v>280</v>
      </c>
      <c r="Y1080" s="23">
        <v>7.4730769230769196</v>
      </c>
      <c r="Z1080" s="23">
        <v>6.9884615384615403</v>
      </c>
      <c r="AA1080" s="23">
        <v>7.2307692307692299</v>
      </c>
      <c r="AO1080" s="14"/>
    </row>
    <row r="1081" spans="17:41" x14ac:dyDescent="0.3">
      <c r="Q1081" s="93">
        <v>46211</v>
      </c>
      <c r="R1081" t="s">
        <v>303</v>
      </c>
      <c r="S1081" t="s">
        <v>303</v>
      </c>
      <c r="T1081" s="14">
        <v>0</v>
      </c>
      <c r="W1081" s="20">
        <v>46020</v>
      </c>
      <c r="X1081" t="s">
        <v>281</v>
      </c>
      <c r="Y1081" s="23">
        <v>7.5038461538461503</v>
      </c>
      <c r="Z1081" s="23">
        <v>7.0192307692307701</v>
      </c>
      <c r="AA1081" s="23">
        <v>7.2615384615384597</v>
      </c>
      <c r="AO1081" s="14"/>
    </row>
    <row r="1082" spans="17:41" x14ac:dyDescent="0.3">
      <c r="Q1082" s="93">
        <v>46211</v>
      </c>
      <c r="R1082" t="s">
        <v>303</v>
      </c>
      <c r="S1082" t="s">
        <v>303</v>
      </c>
      <c r="T1082" s="14">
        <v>0</v>
      </c>
      <c r="W1082" s="20">
        <v>46027</v>
      </c>
      <c r="X1082" t="s">
        <v>270</v>
      </c>
      <c r="Y1082" s="23">
        <v>7.3624999999999998</v>
      </c>
      <c r="Z1082" s="23">
        <v>6.8624999999999998</v>
      </c>
      <c r="AA1082" s="23">
        <v>7.1124999999999998</v>
      </c>
      <c r="AO1082" s="14"/>
    </row>
    <row r="1083" spans="17:41" x14ac:dyDescent="0.3">
      <c r="Q1083" s="93">
        <v>46211</v>
      </c>
      <c r="R1083" t="s">
        <v>303</v>
      </c>
      <c r="S1083" t="s">
        <v>303</v>
      </c>
      <c r="T1083" s="14">
        <v>0</v>
      </c>
      <c r="W1083" s="20">
        <v>46027</v>
      </c>
      <c r="X1083" t="s">
        <v>271</v>
      </c>
      <c r="Y1083" s="23">
        <v>7.2615384615384597</v>
      </c>
      <c r="Z1083" s="23">
        <v>6.8076923076923102</v>
      </c>
      <c r="AA1083" s="23">
        <v>7.0346153846153898</v>
      </c>
      <c r="AO1083" s="14"/>
    </row>
    <row r="1084" spans="17:41" x14ac:dyDescent="0.3">
      <c r="Q1084" s="93">
        <v>46210</v>
      </c>
      <c r="R1084" t="s">
        <v>479</v>
      </c>
      <c r="S1084" t="s">
        <v>399</v>
      </c>
      <c r="T1084" s="14">
        <v>11197.6106</v>
      </c>
      <c r="W1084" s="20">
        <v>46027</v>
      </c>
      <c r="X1084" t="s">
        <v>272</v>
      </c>
      <c r="Y1084" s="23">
        <v>7.3076923076923102</v>
      </c>
      <c r="Z1084" s="23">
        <v>6.8461538461538396</v>
      </c>
      <c r="AA1084" s="23">
        <v>7.0769230769230802</v>
      </c>
      <c r="AO1084" s="14"/>
    </row>
    <row r="1085" spans="17:41" x14ac:dyDescent="0.3">
      <c r="Q1085" s="93">
        <v>46210</v>
      </c>
      <c r="R1085" t="s">
        <v>364</v>
      </c>
      <c r="S1085" t="s">
        <v>399</v>
      </c>
      <c r="T1085" s="14">
        <v>28650</v>
      </c>
      <c r="W1085" s="20">
        <v>46027</v>
      </c>
      <c r="X1085" t="s">
        <v>273</v>
      </c>
      <c r="Y1085" s="23">
        <v>7.4076923076923098</v>
      </c>
      <c r="Z1085" s="23">
        <v>6.9230769230769198</v>
      </c>
      <c r="AA1085" s="23">
        <v>7.1653846153846201</v>
      </c>
      <c r="AO1085" s="14"/>
    </row>
    <row r="1086" spans="17:41" x14ac:dyDescent="0.3">
      <c r="Q1086" s="93">
        <v>46210</v>
      </c>
      <c r="R1086" t="s">
        <v>491</v>
      </c>
      <c r="S1086" t="s">
        <v>399</v>
      </c>
      <c r="T1086" s="14">
        <v>397.61059999999998</v>
      </c>
      <c r="W1086" s="20">
        <v>46022</v>
      </c>
      <c r="X1086" t="s">
        <v>270</v>
      </c>
      <c r="Y1086" s="23">
        <v>7.4</v>
      </c>
      <c r="Z1086" s="23">
        <v>6.9</v>
      </c>
      <c r="AA1086" s="23">
        <v>7.15</v>
      </c>
      <c r="AO1086" s="14"/>
    </row>
    <row r="1087" spans="17:41" x14ac:dyDescent="0.3">
      <c r="Q1087" s="93">
        <v>46210</v>
      </c>
      <c r="R1087" t="s">
        <v>492</v>
      </c>
      <c r="S1087" t="s">
        <v>399</v>
      </c>
      <c r="T1087" s="14">
        <v>10800</v>
      </c>
      <c r="W1087" s="20">
        <v>46022</v>
      </c>
      <c r="X1087" t="s">
        <v>271</v>
      </c>
      <c r="Y1087" s="23">
        <v>7.0384615384615401</v>
      </c>
      <c r="Z1087" s="23">
        <v>6.5538461538461501</v>
      </c>
      <c r="AA1087" s="23">
        <v>6.7961538461538504</v>
      </c>
      <c r="AO1087" s="14"/>
    </row>
    <row r="1088" spans="17:41" x14ac:dyDescent="0.3">
      <c r="Q1088" s="93">
        <v>46210</v>
      </c>
      <c r="R1088" t="s">
        <v>496</v>
      </c>
      <c r="S1088" t="s">
        <v>399</v>
      </c>
      <c r="T1088" s="14">
        <v>19529</v>
      </c>
      <c r="W1088" s="20">
        <v>46022</v>
      </c>
      <c r="X1088" t="s">
        <v>272</v>
      </c>
      <c r="Y1088" s="23">
        <v>6.9833333333333298</v>
      </c>
      <c r="Z1088" s="23">
        <v>6.7666666666666702</v>
      </c>
      <c r="AA1088" s="23">
        <v>6.875</v>
      </c>
      <c r="AO1088" s="14"/>
    </row>
    <row r="1089" spans="17:41" x14ac:dyDescent="0.3">
      <c r="Q1089" s="93">
        <v>46210</v>
      </c>
      <c r="R1089" t="s">
        <v>497</v>
      </c>
      <c r="S1089" t="s">
        <v>399</v>
      </c>
      <c r="T1089" s="14">
        <v>397.61059999999998</v>
      </c>
      <c r="W1089" s="20">
        <v>46022</v>
      </c>
      <c r="X1089" t="s">
        <v>273</v>
      </c>
      <c r="Y1089" s="23">
        <v>7.2</v>
      </c>
      <c r="Z1089" s="23">
        <v>6.7153846153846102</v>
      </c>
      <c r="AA1089" s="23">
        <v>6.9576923076923096</v>
      </c>
      <c r="AO1089" s="14"/>
    </row>
    <row r="1090" spans="17:41" x14ac:dyDescent="0.3">
      <c r="Q1090" s="93">
        <v>46210</v>
      </c>
      <c r="R1090" t="s">
        <v>498</v>
      </c>
      <c r="S1090" t="s">
        <v>399</v>
      </c>
      <c r="T1090" s="14">
        <v>10800</v>
      </c>
      <c r="W1090" s="20">
        <v>46022</v>
      </c>
      <c r="X1090" t="s">
        <v>274</v>
      </c>
      <c r="Y1090" s="23">
        <v>7.25</v>
      </c>
      <c r="Z1090" s="23">
        <v>6.7730769230769203</v>
      </c>
      <c r="AA1090" s="23">
        <v>7.0115384615384597</v>
      </c>
      <c r="AO1090" s="14"/>
    </row>
    <row r="1091" spans="17:41" x14ac:dyDescent="0.3">
      <c r="Q1091" s="93">
        <v>46210</v>
      </c>
      <c r="R1091" t="s">
        <v>494</v>
      </c>
      <c r="S1091" t="s">
        <v>399</v>
      </c>
      <c r="T1091" s="14">
        <v>0</v>
      </c>
      <c r="W1091" s="20">
        <v>46022</v>
      </c>
      <c r="X1091" t="s">
        <v>275</v>
      </c>
      <c r="Y1091" s="23">
        <v>7.2692307692307701</v>
      </c>
      <c r="Z1091" s="23">
        <v>6.7846153846153801</v>
      </c>
      <c r="AA1091" s="23">
        <v>7.0269230769230804</v>
      </c>
      <c r="AO1091" s="14"/>
    </row>
    <row r="1092" spans="17:41" x14ac:dyDescent="0.3">
      <c r="Q1092" s="93">
        <v>46210</v>
      </c>
      <c r="R1092" t="s">
        <v>495</v>
      </c>
      <c r="S1092" t="s">
        <v>399</v>
      </c>
      <c r="T1092" s="14">
        <v>0</v>
      </c>
      <c r="W1092" s="20">
        <v>46022</v>
      </c>
      <c r="X1092" t="s">
        <v>276</v>
      </c>
      <c r="Y1092" s="23">
        <v>7.3153846153846098</v>
      </c>
      <c r="Z1092" s="23">
        <v>6.8307692307692296</v>
      </c>
      <c r="AA1092" s="23">
        <v>7.0730769230769202</v>
      </c>
      <c r="AO1092" s="14"/>
    </row>
    <row r="1093" spans="17:41" x14ac:dyDescent="0.3">
      <c r="Q1093" s="93">
        <v>46210</v>
      </c>
      <c r="R1093" t="s">
        <v>493</v>
      </c>
      <c r="S1093" t="s">
        <v>399</v>
      </c>
      <c r="T1093" s="14">
        <v>0</v>
      </c>
      <c r="W1093" s="20">
        <v>46022</v>
      </c>
      <c r="X1093" t="s">
        <v>277</v>
      </c>
      <c r="Y1093" s="23">
        <v>7.35769230769231</v>
      </c>
      <c r="Z1093" s="23">
        <v>6.87307692307692</v>
      </c>
      <c r="AA1093" s="23">
        <v>7.1153846153846096</v>
      </c>
      <c r="AO1093" s="14"/>
    </row>
    <row r="1094" spans="17:41" x14ac:dyDescent="0.3">
      <c r="Q1094" s="93">
        <v>46210</v>
      </c>
      <c r="R1094" t="s">
        <v>593</v>
      </c>
      <c r="S1094" t="s">
        <v>399</v>
      </c>
      <c r="T1094" s="14">
        <v>9121</v>
      </c>
      <c r="W1094" s="20">
        <v>46022</v>
      </c>
      <c r="X1094" t="s">
        <v>278</v>
      </c>
      <c r="Y1094" s="23">
        <v>7.3961538461538403</v>
      </c>
      <c r="Z1094" s="23">
        <v>6.9115384615384601</v>
      </c>
      <c r="AA1094" s="23">
        <v>7.1538461538461497</v>
      </c>
      <c r="AO1094" s="14"/>
    </row>
    <row r="1095" spans="17:41" x14ac:dyDescent="0.3">
      <c r="Q1095" s="93">
        <v>46210</v>
      </c>
      <c r="R1095" t="s">
        <v>594</v>
      </c>
      <c r="S1095" t="s">
        <v>399</v>
      </c>
      <c r="T1095" s="14">
        <v>0</v>
      </c>
      <c r="W1095" s="20">
        <v>46022</v>
      </c>
      <c r="X1095" t="s">
        <v>279</v>
      </c>
      <c r="Y1095" s="23">
        <v>7.4346153846153804</v>
      </c>
      <c r="Z1095" s="23">
        <v>6.95</v>
      </c>
      <c r="AA1095" s="23">
        <v>7.1923076923076898</v>
      </c>
      <c r="AO1095" s="14"/>
    </row>
    <row r="1096" spans="17:41" x14ac:dyDescent="0.3">
      <c r="Q1096" s="93">
        <v>46210</v>
      </c>
      <c r="R1096" t="s">
        <v>595</v>
      </c>
      <c r="S1096" t="s">
        <v>399</v>
      </c>
      <c r="T1096" s="14">
        <v>0</v>
      </c>
      <c r="W1096" s="20">
        <v>46022</v>
      </c>
      <c r="X1096" t="s">
        <v>280</v>
      </c>
      <c r="Y1096" s="23">
        <v>7.4730769230769196</v>
      </c>
      <c r="Z1096" s="23">
        <v>6.9884615384615403</v>
      </c>
      <c r="AA1096" s="23">
        <v>7.2307692307692299</v>
      </c>
      <c r="AO1096" s="14"/>
    </row>
    <row r="1097" spans="17:41" x14ac:dyDescent="0.3">
      <c r="Q1097" s="93">
        <v>46210</v>
      </c>
      <c r="R1097" t="s">
        <v>479</v>
      </c>
      <c r="S1097" t="s">
        <v>395</v>
      </c>
      <c r="T1097" s="14">
        <v>10240.5300904738</v>
      </c>
      <c r="W1097" s="20">
        <v>46022</v>
      </c>
      <c r="X1097" t="s">
        <v>281</v>
      </c>
      <c r="Y1097" s="23">
        <v>7.5038461538461503</v>
      </c>
      <c r="Z1097" s="23">
        <v>7.0192307692307701</v>
      </c>
      <c r="AA1097" s="23">
        <v>7.2615384615384597</v>
      </c>
      <c r="AO1097" s="14"/>
    </row>
    <row r="1098" spans="17:41" x14ac:dyDescent="0.3">
      <c r="Q1098" s="93">
        <v>46210</v>
      </c>
      <c r="R1098" t="s">
        <v>479</v>
      </c>
      <c r="S1098" t="s">
        <v>415</v>
      </c>
      <c r="T1098" s="14">
        <v>7.1111348651863997</v>
      </c>
      <c r="W1098" s="20">
        <v>46027</v>
      </c>
      <c r="X1098" t="s">
        <v>274</v>
      </c>
      <c r="Y1098" s="23">
        <v>7.4307692307692301</v>
      </c>
      <c r="Z1098" s="23">
        <v>6.9461538461538499</v>
      </c>
      <c r="AA1098" s="23">
        <v>7.1884615384615396</v>
      </c>
      <c r="AO1098" s="14"/>
    </row>
    <row r="1099" spans="17:41" x14ac:dyDescent="0.3">
      <c r="Q1099" s="93">
        <v>46210</v>
      </c>
      <c r="R1099" t="s">
        <v>364</v>
      </c>
      <c r="S1099" t="s">
        <v>415</v>
      </c>
      <c r="T1099" s="14">
        <v>6.8185847589424604</v>
      </c>
      <c r="W1099" s="20">
        <v>46027</v>
      </c>
      <c r="X1099" t="s">
        <v>275</v>
      </c>
      <c r="Y1099" s="23">
        <v>7.4846153846153802</v>
      </c>
      <c r="Z1099" s="23">
        <v>7</v>
      </c>
      <c r="AA1099" s="23">
        <v>7.2423076923076897</v>
      </c>
      <c r="AO1099" s="14"/>
    </row>
    <row r="1100" spans="17:41" x14ac:dyDescent="0.3">
      <c r="Q1100" s="93">
        <v>46210</v>
      </c>
      <c r="R1100" t="s">
        <v>516</v>
      </c>
      <c r="S1100" t="s">
        <v>415</v>
      </c>
      <c r="T1100" s="14">
        <v>6.9082012987310302</v>
      </c>
      <c r="W1100" s="20">
        <v>46027</v>
      </c>
      <c r="X1100" t="s">
        <v>276</v>
      </c>
      <c r="Y1100" s="23">
        <v>7.5307692307692298</v>
      </c>
      <c r="Z1100" s="23">
        <v>7.0461538461538504</v>
      </c>
      <c r="AA1100" s="23">
        <v>7.2884615384615401</v>
      </c>
      <c r="AO1100" s="14"/>
    </row>
    <row r="1101" spans="17:41" x14ac:dyDescent="0.3">
      <c r="Q1101" s="93">
        <v>46210</v>
      </c>
      <c r="R1101" t="s">
        <v>1288</v>
      </c>
      <c r="S1101" t="s">
        <v>415</v>
      </c>
      <c r="T1101" s="14">
        <v>7.1111348651863997</v>
      </c>
      <c r="W1101" s="20">
        <v>46027</v>
      </c>
      <c r="X1101" t="s">
        <v>277</v>
      </c>
      <c r="Y1101" s="23">
        <v>7.5692307692307699</v>
      </c>
      <c r="Z1101" s="23">
        <v>7.0846153846153896</v>
      </c>
      <c r="AA1101" s="23">
        <v>7.3269230769230802</v>
      </c>
      <c r="AO1101" s="14"/>
    </row>
    <row r="1102" spans="17:41" x14ac:dyDescent="0.3">
      <c r="Q1102" s="93">
        <v>46210</v>
      </c>
      <c r="R1102" t="s">
        <v>496</v>
      </c>
      <c r="S1102" t="s">
        <v>415</v>
      </c>
      <c r="T1102" s="14">
        <v>6.7723305397542202</v>
      </c>
      <c r="W1102" s="20">
        <v>46027</v>
      </c>
      <c r="X1102" t="s">
        <v>278</v>
      </c>
      <c r="Y1102" s="23">
        <v>7.5923076923076902</v>
      </c>
      <c r="Z1102" s="23">
        <v>7.10769230769231</v>
      </c>
      <c r="AA1102" s="23">
        <v>7.35</v>
      </c>
      <c r="AO1102" s="14"/>
    </row>
    <row r="1103" spans="17:41" x14ac:dyDescent="0.3">
      <c r="Q1103" s="93">
        <v>46210</v>
      </c>
      <c r="R1103" t="s">
        <v>1290</v>
      </c>
      <c r="S1103" t="s">
        <v>415</v>
      </c>
      <c r="T1103" s="14">
        <v>6.90154487875939</v>
      </c>
      <c r="W1103" s="20">
        <v>46027</v>
      </c>
      <c r="X1103" t="s">
        <v>279</v>
      </c>
      <c r="Y1103" s="23">
        <v>7.62307692307692</v>
      </c>
      <c r="Z1103" s="23">
        <v>7.1384615384615397</v>
      </c>
      <c r="AA1103" s="23">
        <v>7.3807692307692303</v>
      </c>
      <c r="AO1103" s="14"/>
    </row>
    <row r="1104" spans="17:41" x14ac:dyDescent="0.3">
      <c r="Q1104" s="93">
        <v>46210</v>
      </c>
      <c r="R1104" t="s">
        <v>364</v>
      </c>
      <c r="S1104" t="s">
        <v>997</v>
      </c>
      <c r="T1104" s="14">
        <v>32150</v>
      </c>
      <c r="W1104" s="20">
        <v>46027</v>
      </c>
      <c r="X1104" t="s">
        <v>280</v>
      </c>
      <c r="Y1104" s="23">
        <v>7.6461538461538403</v>
      </c>
      <c r="Z1104" s="23">
        <v>7.1615384615384601</v>
      </c>
      <c r="AA1104" s="23">
        <v>7.4038461538461604</v>
      </c>
      <c r="AO1104" s="14"/>
    </row>
    <row r="1105" spans="17:41" x14ac:dyDescent="0.3">
      <c r="Q1105" s="93">
        <v>46210</v>
      </c>
      <c r="R1105" t="s">
        <v>496</v>
      </c>
      <c r="S1105" t="s">
        <v>997</v>
      </c>
      <c r="T1105" s="14">
        <v>23029</v>
      </c>
      <c r="W1105" s="20">
        <v>46027</v>
      </c>
      <c r="X1105" t="s">
        <v>281</v>
      </c>
      <c r="Y1105" s="23">
        <v>7.6692307692307704</v>
      </c>
      <c r="Z1105" s="23">
        <v>7.1846153846153804</v>
      </c>
      <c r="AA1105" s="23">
        <v>7.4269230769230798</v>
      </c>
      <c r="AO1105" s="14"/>
    </row>
    <row r="1106" spans="17:41" x14ac:dyDescent="0.3">
      <c r="Q1106" s="93">
        <v>46210</v>
      </c>
      <c r="R1106" t="s">
        <v>1388</v>
      </c>
      <c r="S1106" t="s">
        <v>997</v>
      </c>
      <c r="T1106" s="14">
        <v>14197.6106</v>
      </c>
      <c r="W1106" s="20">
        <v>46028</v>
      </c>
      <c r="X1106" t="s">
        <v>270</v>
      </c>
      <c r="Y1106" s="23">
        <v>7.2625000000000002</v>
      </c>
      <c r="Z1106" s="23">
        <v>6.7625000000000002</v>
      </c>
      <c r="AA1106" s="23">
        <v>7.0125000000000002</v>
      </c>
      <c r="AO1106" s="14"/>
    </row>
    <row r="1107" spans="17:41" x14ac:dyDescent="0.3">
      <c r="Q1107" s="93">
        <v>46210</v>
      </c>
      <c r="R1107" t="s">
        <v>1389</v>
      </c>
      <c r="S1107" t="s">
        <v>997</v>
      </c>
      <c r="T1107" s="14">
        <v>13800</v>
      </c>
      <c r="W1107" s="20">
        <v>46028</v>
      </c>
      <c r="X1107" t="s">
        <v>271</v>
      </c>
      <c r="Y1107" s="23">
        <v>7.2384615384615403</v>
      </c>
      <c r="Z1107" s="23">
        <v>6.7846153846153801</v>
      </c>
      <c r="AA1107" s="23">
        <v>7.0115384615384597</v>
      </c>
      <c r="AO1107" s="14"/>
    </row>
    <row r="1108" spans="17:41" x14ac:dyDescent="0.3">
      <c r="Q1108" s="93">
        <v>46210</v>
      </c>
      <c r="R1108" t="s">
        <v>1390</v>
      </c>
      <c r="S1108" t="s">
        <v>997</v>
      </c>
      <c r="T1108" s="14">
        <v>397.61059999999998</v>
      </c>
      <c r="W1108" s="20">
        <v>46028</v>
      </c>
      <c r="X1108" t="s">
        <v>272</v>
      </c>
      <c r="Y1108" s="23">
        <v>7.2846153846153898</v>
      </c>
      <c r="Z1108" s="23">
        <v>6.8307692307692296</v>
      </c>
      <c r="AA1108" s="23">
        <v>7.0576923076923102</v>
      </c>
      <c r="AO1108" s="14"/>
    </row>
    <row r="1109" spans="17:41" x14ac:dyDescent="0.3">
      <c r="Q1109" s="93">
        <v>46210</v>
      </c>
      <c r="R1109" t="s">
        <v>303</v>
      </c>
      <c r="S1109" t="s">
        <v>303</v>
      </c>
      <c r="T1109" s="14">
        <v>0</v>
      </c>
      <c r="W1109" s="20">
        <v>46028</v>
      </c>
      <c r="X1109" t="s">
        <v>273</v>
      </c>
      <c r="Y1109" s="23">
        <v>7.37692307692308</v>
      </c>
      <c r="Z1109" s="23">
        <v>6.89230769230769</v>
      </c>
      <c r="AA1109" s="23">
        <v>7.1346153846153904</v>
      </c>
      <c r="AO1109" s="14"/>
    </row>
    <row r="1110" spans="17:41" x14ac:dyDescent="0.3">
      <c r="Q1110" s="93">
        <v>46210</v>
      </c>
      <c r="R1110" t="s">
        <v>303</v>
      </c>
      <c r="S1110" t="s">
        <v>303</v>
      </c>
      <c r="T1110" s="14">
        <v>0</v>
      </c>
      <c r="W1110" s="20">
        <v>46028</v>
      </c>
      <c r="X1110" t="s">
        <v>274</v>
      </c>
      <c r="Y1110" s="23">
        <v>7.4153846153846104</v>
      </c>
      <c r="Z1110" s="23">
        <v>6.9307692307692301</v>
      </c>
      <c r="AA1110" s="23">
        <v>7.1730769230769198</v>
      </c>
      <c r="AO1110" s="14"/>
    </row>
    <row r="1111" spans="17:41" x14ac:dyDescent="0.3">
      <c r="Q1111" s="93">
        <v>46210</v>
      </c>
      <c r="R1111" t="s">
        <v>303</v>
      </c>
      <c r="S1111" t="s">
        <v>303</v>
      </c>
      <c r="T1111" s="14">
        <v>0</v>
      </c>
      <c r="W1111" s="20">
        <v>46028</v>
      </c>
      <c r="X1111" t="s">
        <v>275</v>
      </c>
      <c r="Y1111" s="23">
        <v>7.4615384615384599</v>
      </c>
      <c r="Z1111" s="23">
        <v>6.9769230769230797</v>
      </c>
      <c r="AA1111" s="23">
        <v>7.2192307692307702</v>
      </c>
      <c r="AO1111" s="14"/>
    </row>
    <row r="1112" spans="17:41" x14ac:dyDescent="0.3">
      <c r="Q1112" s="93">
        <v>46210</v>
      </c>
      <c r="R1112" t="s">
        <v>303</v>
      </c>
      <c r="S1112" t="s">
        <v>303</v>
      </c>
      <c r="T1112" s="14">
        <v>0</v>
      </c>
      <c r="W1112" s="20">
        <v>46028</v>
      </c>
      <c r="X1112" t="s">
        <v>276</v>
      </c>
      <c r="Y1112" s="23">
        <v>7.51538461538461</v>
      </c>
      <c r="Z1112" s="23">
        <v>7.0307692307692298</v>
      </c>
      <c r="AA1112" s="23">
        <v>7.2730769230769203</v>
      </c>
      <c r="AO1112" s="14"/>
    </row>
    <row r="1113" spans="17:41" x14ac:dyDescent="0.3">
      <c r="Q1113" s="93">
        <v>46210</v>
      </c>
      <c r="R1113" t="s">
        <v>303</v>
      </c>
      <c r="S1113" t="s">
        <v>303</v>
      </c>
      <c r="T1113" s="14">
        <v>0</v>
      </c>
      <c r="W1113" s="20">
        <v>46028</v>
      </c>
      <c r="X1113" t="s">
        <v>277</v>
      </c>
      <c r="Y1113" s="23">
        <v>7.5615384615384604</v>
      </c>
      <c r="Z1113" s="23">
        <v>7.0769230769230802</v>
      </c>
      <c r="AA1113" s="23">
        <v>7.3192307692307699</v>
      </c>
      <c r="AO1113" s="14"/>
    </row>
    <row r="1114" spans="17:41" x14ac:dyDescent="0.3">
      <c r="Q1114" s="93">
        <v>46210</v>
      </c>
      <c r="R1114" t="s">
        <v>303</v>
      </c>
      <c r="S1114" t="s">
        <v>303</v>
      </c>
      <c r="T1114" s="14">
        <v>0</v>
      </c>
      <c r="W1114" s="20">
        <v>46028</v>
      </c>
      <c r="X1114" t="s">
        <v>278</v>
      </c>
      <c r="Y1114" s="23">
        <v>7.5692307692307699</v>
      </c>
      <c r="Z1114" s="23">
        <v>7.0846153846153896</v>
      </c>
      <c r="AA1114" s="23">
        <v>7.3269230769230802</v>
      </c>
      <c r="AO1114" s="14"/>
    </row>
    <row r="1115" spans="17:41" x14ac:dyDescent="0.3">
      <c r="Q1115" s="93">
        <v>46210</v>
      </c>
      <c r="R1115" t="s">
        <v>303</v>
      </c>
      <c r="S1115" t="s">
        <v>303</v>
      </c>
      <c r="T1115" s="14">
        <v>0</v>
      </c>
      <c r="W1115" s="20">
        <v>46028</v>
      </c>
      <c r="X1115" t="s">
        <v>279</v>
      </c>
      <c r="Y1115" s="23">
        <v>7.60769230769231</v>
      </c>
      <c r="Z1115" s="23">
        <v>7.12307692307692</v>
      </c>
      <c r="AA1115" s="23">
        <v>7.3653846153846203</v>
      </c>
      <c r="AO1115" s="14"/>
    </row>
    <row r="1116" spans="17:41" x14ac:dyDescent="0.3">
      <c r="Q1116" s="93">
        <v>46209</v>
      </c>
      <c r="R1116" t="s">
        <v>303</v>
      </c>
      <c r="S1116" t="s">
        <v>303</v>
      </c>
      <c r="T1116" s="14">
        <v>0</v>
      </c>
      <c r="W1116" s="20">
        <v>46028</v>
      </c>
      <c r="X1116" t="s">
        <v>280</v>
      </c>
      <c r="Y1116" s="23">
        <v>7.6307692307692303</v>
      </c>
      <c r="Z1116" s="23">
        <v>7.1461538461538501</v>
      </c>
      <c r="AA1116" s="23">
        <v>7.3884615384615397</v>
      </c>
      <c r="AO1116" s="14"/>
    </row>
    <row r="1117" spans="17:41" x14ac:dyDescent="0.3">
      <c r="Q1117" s="93">
        <v>46209</v>
      </c>
      <c r="R1117" t="s">
        <v>303</v>
      </c>
      <c r="S1117" t="s">
        <v>303</v>
      </c>
      <c r="T1117" s="14">
        <v>0</v>
      </c>
      <c r="W1117" s="20">
        <v>46028</v>
      </c>
      <c r="X1117" t="s">
        <v>281</v>
      </c>
      <c r="Y1117" s="23">
        <v>7.6538461538461497</v>
      </c>
      <c r="Z1117" s="23">
        <v>7.1692307692307704</v>
      </c>
      <c r="AA1117" s="23">
        <v>7.4115384615384601</v>
      </c>
      <c r="AO1117" s="14"/>
    </row>
    <row r="1118" spans="17:41" x14ac:dyDescent="0.3">
      <c r="Q1118" s="93">
        <v>46209</v>
      </c>
      <c r="R1118" t="s">
        <v>303</v>
      </c>
      <c r="S1118" t="s">
        <v>303</v>
      </c>
      <c r="T1118" s="14">
        <v>0</v>
      </c>
      <c r="W1118" s="20">
        <v>46029</v>
      </c>
      <c r="X1118" t="s">
        <v>270</v>
      </c>
      <c r="Y1118" s="23">
        <v>7.2625000000000002</v>
      </c>
      <c r="Z1118" s="23">
        <v>6.7625000000000002</v>
      </c>
      <c r="AA1118" s="23">
        <v>7.0125000000000002</v>
      </c>
      <c r="AO1118" s="14"/>
    </row>
    <row r="1119" spans="17:41" x14ac:dyDescent="0.3">
      <c r="Q1119" s="93">
        <v>46209</v>
      </c>
      <c r="R1119" t="s">
        <v>303</v>
      </c>
      <c r="S1119" t="s">
        <v>303</v>
      </c>
      <c r="T1119" s="14">
        <v>0</v>
      </c>
      <c r="W1119" s="20">
        <v>46029</v>
      </c>
      <c r="X1119" t="s">
        <v>271</v>
      </c>
      <c r="Y1119" s="23">
        <v>7.2153846153846199</v>
      </c>
      <c r="Z1119" s="23">
        <v>6.7615384615384597</v>
      </c>
      <c r="AA1119" s="23">
        <v>6.9884615384615403</v>
      </c>
      <c r="AO1119" s="14"/>
    </row>
    <row r="1120" spans="17:41" x14ac:dyDescent="0.3">
      <c r="Q1120" s="93">
        <v>46209</v>
      </c>
      <c r="R1120" t="s">
        <v>303</v>
      </c>
      <c r="S1120" t="s">
        <v>303</v>
      </c>
      <c r="T1120" s="14">
        <v>0</v>
      </c>
      <c r="W1120" s="20">
        <v>46029</v>
      </c>
      <c r="X1120" t="s">
        <v>272</v>
      </c>
      <c r="Y1120" s="23">
        <v>7.2846153846153898</v>
      </c>
      <c r="Z1120" s="23">
        <v>6.8307692307692296</v>
      </c>
      <c r="AA1120" s="23">
        <v>7.0576923076923102</v>
      </c>
      <c r="AO1120" s="14"/>
    </row>
    <row r="1121" spans="17:41" x14ac:dyDescent="0.3">
      <c r="Q1121" s="93">
        <v>46209</v>
      </c>
      <c r="R1121" t="s">
        <v>303</v>
      </c>
      <c r="S1121" t="s">
        <v>303</v>
      </c>
      <c r="T1121" s="14">
        <v>0</v>
      </c>
      <c r="W1121" s="20">
        <v>46029</v>
      </c>
      <c r="X1121" t="s">
        <v>273</v>
      </c>
      <c r="Y1121" s="23">
        <v>7.3461538461538503</v>
      </c>
      <c r="Z1121" s="23">
        <v>6.8615384615384603</v>
      </c>
      <c r="AA1121" s="23">
        <v>7.1038461538461597</v>
      </c>
      <c r="AO1121" s="14"/>
    </row>
    <row r="1122" spans="17:41" x14ac:dyDescent="0.3">
      <c r="Q1122" s="93">
        <v>46209</v>
      </c>
      <c r="R1122" t="s">
        <v>303</v>
      </c>
      <c r="S1122" t="s">
        <v>303</v>
      </c>
      <c r="T1122" s="14">
        <v>0</v>
      </c>
      <c r="W1122" s="20">
        <v>46029</v>
      </c>
      <c r="X1122" t="s">
        <v>274</v>
      </c>
      <c r="Y1122" s="23">
        <v>7.3846153846153797</v>
      </c>
      <c r="Z1122" s="23">
        <v>6.9</v>
      </c>
      <c r="AA1122" s="23">
        <v>7.14230769230769</v>
      </c>
      <c r="AO1122" s="14"/>
    </row>
    <row r="1123" spans="17:41" x14ac:dyDescent="0.3">
      <c r="Q1123" s="93">
        <v>46209</v>
      </c>
      <c r="R1123" t="s">
        <v>364</v>
      </c>
      <c r="S1123" t="s">
        <v>997</v>
      </c>
      <c r="T1123" s="14">
        <v>32150</v>
      </c>
      <c r="W1123" s="20">
        <v>46029</v>
      </c>
      <c r="X1123" t="s">
        <v>275</v>
      </c>
      <c r="Y1123" s="23">
        <v>7.4307692307692301</v>
      </c>
      <c r="Z1123" s="23">
        <v>6.9461538461538499</v>
      </c>
      <c r="AA1123" s="23">
        <v>7.1884615384615396</v>
      </c>
      <c r="AO1123" s="14"/>
    </row>
    <row r="1124" spans="17:41" x14ac:dyDescent="0.3">
      <c r="Q1124" s="93">
        <v>46209</v>
      </c>
      <c r="R1124" t="s">
        <v>496</v>
      </c>
      <c r="S1124" t="s">
        <v>997</v>
      </c>
      <c r="T1124" s="14">
        <v>23603</v>
      </c>
      <c r="W1124" s="20">
        <v>46029</v>
      </c>
      <c r="X1124" t="s">
        <v>276</v>
      </c>
      <c r="Y1124" s="23">
        <v>7.4923076923076897</v>
      </c>
      <c r="Z1124" s="23">
        <v>7.0076923076923103</v>
      </c>
      <c r="AA1124" s="23">
        <v>7.25</v>
      </c>
      <c r="AO1124" s="14"/>
    </row>
    <row r="1125" spans="17:41" x14ac:dyDescent="0.3">
      <c r="Q1125" s="93">
        <v>46209</v>
      </c>
      <c r="R1125" t="s">
        <v>1388</v>
      </c>
      <c r="S1125" t="s">
        <v>997</v>
      </c>
      <c r="T1125" s="14">
        <v>14197.6106</v>
      </c>
      <c r="W1125" s="20">
        <v>46029</v>
      </c>
      <c r="X1125" t="s">
        <v>277</v>
      </c>
      <c r="Y1125" s="23">
        <v>7.5384615384615401</v>
      </c>
      <c r="Z1125" s="23">
        <v>7.0538461538461501</v>
      </c>
      <c r="AA1125" s="23">
        <v>7.2961538461538504</v>
      </c>
      <c r="AO1125" s="14"/>
    </row>
    <row r="1126" spans="17:41" x14ac:dyDescent="0.3">
      <c r="Q1126" s="93">
        <v>46209</v>
      </c>
      <c r="R1126" t="s">
        <v>1389</v>
      </c>
      <c r="S1126" t="s">
        <v>997</v>
      </c>
      <c r="T1126" s="14">
        <v>13800</v>
      </c>
      <c r="W1126" s="20">
        <v>46029</v>
      </c>
      <c r="X1126" t="s">
        <v>278</v>
      </c>
      <c r="Y1126" s="23">
        <v>7.5538461538461501</v>
      </c>
      <c r="Z1126" s="23">
        <v>7.0692307692307699</v>
      </c>
      <c r="AA1126" s="23">
        <v>7.3115384615384604</v>
      </c>
      <c r="AO1126" s="14"/>
    </row>
    <row r="1127" spans="17:41" x14ac:dyDescent="0.3">
      <c r="Q1127" s="93">
        <v>46209</v>
      </c>
      <c r="R1127" t="s">
        <v>1390</v>
      </c>
      <c r="S1127" t="s">
        <v>997</v>
      </c>
      <c r="T1127" s="14">
        <v>397.61059999999998</v>
      </c>
      <c r="W1127" s="20">
        <v>46029</v>
      </c>
      <c r="X1127" t="s">
        <v>279</v>
      </c>
      <c r="Y1127" s="23">
        <v>7.5923076923076902</v>
      </c>
      <c r="Z1127" s="23">
        <v>7.10769230769231</v>
      </c>
      <c r="AA1127" s="23">
        <v>7.35</v>
      </c>
      <c r="AO1127" s="14"/>
    </row>
    <row r="1128" spans="17:41" x14ac:dyDescent="0.3">
      <c r="Q1128" s="93">
        <v>46209</v>
      </c>
      <c r="R1128" t="s">
        <v>479</v>
      </c>
      <c r="S1128" t="s">
        <v>415</v>
      </c>
      <c r="T1128" s="14">
        <v>7.1111348651863997</v>
      </c>
      <c r="W1128" s="20">
        <v>46029</v>
      </c>
      <c r="X1128" t="s">
        <v>280</v>
      </c>
      <c r="Y1128" s="23">
        <v>7.6307692307692303</v>
      </c>
      <c r="Z1128" s="23">
        <v>7.1461538461538501</v>
      </c>
      <c r="AA1128" s="23">
        <v>7.3884615384615397</v>
      </c>
      <c r="AO1128" s="14"/>
    </row>
    <row r="1129" spans="17:41" x14ac:dyDescent="0.3">
      <c r="Q1129" s="93">
        <v>46209</v>
      </c>
      <c r="R1129" t="s">
        <v>364</v>
      </c>
      <c r="S1129" t="s">
        <v>415</v>
      </c>
      <c r="T1129" s="14">
        <v>6.8185847589424604</v>
      </c>
      <c r="W1129" s="20">
        <v>46029</v>
      </c>
      <c r="X1129" t="s">
        <v>281</v>
      </c>
      <c r="Y1129" s="23">
        <v>7.6692307692307704</v>
      </c>
      <c r="Z1129" s="23">
        <v>7.1846153846153804</v>
      </c>
      <c r="AA1129" s="23">
        <v>7.4269230769230798</v>
      </c>
      <c r="AO1129" s="14"/>
    </row>
    <row r="1130" spans="17:41" x14ac:dyDescent="0.3">
      <c r="Q1130" s="93">
        <v>46209</v>
      </c>
      <c r="R1130" t="s">
        <v>516</v>
      </c>
      <c r="S1130" t="s">
        <v>415</v>
      </c>
      <c r="T1130" s="14">
        <v>6.9082012987310302</v>
      </c>
      <c r="W1130" s="20">
        <v>46030</v>
      </c>
      <c r="X1130" t="s">
        <v>270</v>
      </c>
      <c r="Y1130" s="23">
        <v>7.2</v>
      </c>
      <c r="Z1130" s="23">
        <v>6.7</v>
      </c>
      <c r="AA1130" s="23">
        <v>6.95</v>
      </c>
      <c r="AO1130" s="14"/>
    </row>
    <row r="1131" spans="17:41" x14ac:dyDescent="0.3">
      <c r="Q1131" s="93">
        <v>46209</v>
      </c>
      <c r="R1131" t="s">
        <v>1288</v>
      </c>
      <c r="S1131" t="s">
        <v>415</v>
      </c>
      <c r="T1131" s="14">
        <v>7.1111348651863997</v>
      </c>
      <c r="W1131" s="20">
        <v>46030</v>
      </c>
      <c r="X1131" t="s">
        <v>271</v>
      </c>
      <c r="Y1131" s="23">
        <v>7.2076923076923096</v>
      </c>
      <c r="Z1131" s="23">
        <v>6.7538461538461503</v>
      </c>
      <c r="AA1131" s="23">
        <v>6.9807692307692299</v>
      </c>
      <c r="AO1131" s="14"/>
    </row>
    <row r="1132" spans="17:41" x14ac:dyDescent="0.3">
      <c r="Q1132" s="93">
        <v>46209</v>
      </c>
      <c r="R1132" t="s">
        <v>496</v>
      </c>
      <c r="S1132" t="s">
        <v>415</v>
      </c>
      <c r="T1132" s="14">
        <v>6.7472905986527101</v>
      </c>
      <c r="W1132" s="20">
        <v>46030</v>
      </c>
      <c r="X1132" t="s">
        <v>272</v>
      </c>
      <c r="Y1132" s="23">
        <v>7.2769230769230804</v>
      </c>
      <c r="Z1132" s="23">
        <v>6.8230769230769202</v>
      </c>
      <c r="AA1132" s="23">
        <v>7.05</v>
      </c>
      <c r="AO1132" s="14"/>
    </row>
    <row r="1133" spans="17:41" x14ac:dyDescent="0.3">
      <c r="Q1133" s="93">
        <v>46209</v>
      </c>
      <c r="R1133" t="s">
        <v>1290</v>
      </c>
      <c r="S1133" t="s">
        <v>415</v>
      </c>
      <c r="T1133" s="14">
        <v>6.8839476296713604</v>
      </c>
      <c r="W1133" s="20">
        <v>46030</v>
      </c>
      <c r="X1133" t="s">
        <v>273</v>
      </c>
      <c r="Y1133" s="23">
        <v>7.3307692307692296</v>
      </c>
      <c r="Z1133" s="23">
        <v>6.8461538461538396</v>
      </c>
      <c r="AA1133" s="23">
        <v>7.0884615384615399</v>
      </c>
      <c r="AO1133" s="14"/>
    </row>
    <row r="1134" spans="17:41" x14ac:dyDescent="0.3">
      <c r="Q1134" s="93">
        <v>46209</v>
      </c>
      <c r="R1134" t="s">
        <v>479</v>
      </c>
      <c r="S1134" t="s">
        <v>399</v>
      </c>
      <c r="T1134" s="14">
        <v>11197.6106</v>
      </c>
      <c r="W1134" s="20">
        <v>46030</v>
      </c>
      <c r="X1134" t="s">
        <v>274</v>
      </c>
      <c r="Y1134" s="23">
        <v>7.3692307692307697</v>
      </c>
      <c r="Z1134" s="23">
        <v>6.8846153846153904</v>
      </c>
      <c r="AA1134" s="23">
        <v>7.12692307692308</v>
      </c>
      <c r="AO1134" s="14"/>
    </row>
    <row r="1135" spans="17:41" x14ac:dyDescent="0.3">
      <c r="Q1135" s="93">
        <v>46209</v>
      </c>
      <c r="R1135" t="s">
        <v>364</v>
      </c>
      <c r="S1135" t="s">
        <v>399</v>
      </c>
      <c r="T1135" s="14">
        <v>28650</v>
      </c>
      <c r="W1135" s="20">
        <v>46030</v>
      </c>
      <c r="X1135" t="s">
        <v>275</v>
      </c>
      <c r="Y1135" s="23">
        <v>7.4153846153846201</v>
      </c>
      <c r="Z1135" s="23">
        <v>6.9307692307692301</v>
      </c>
      <c r="AA1135" s="23">
        <v>7.1730769230769198</v>
      </c>
      <c r="AO1135" s="14"/>
    </row>
    <row r="1136" spans="17:41" x14ac:dyDescent="0.3">
      <c r="Q1136" s="93">
        <v>46209</v>
      </c>
      <c r="R1136" t="s">
        <v>491</v>
      </c>
      <c r="S1136" t="s">
        <v>399</v>
      </c>
      <c r="T1136" s="14">
        <v>397.61059999999998</v>
      </c>
      <c r="W1136" s="20">
        <v>46030</v>
      </c>
      <c r="X1136" t="s">
        <v>276</v>
      </c>
      <c r="Y1136" s="23">
        <v>7.4769230769230797</v>
      </c>
      <c r="Z1136" s="23">
        <v>6.9923076923076897</v>
      </c>
      <c r="AA1136" s="23">
        <v>7.23461538461539</v>
      </c>
      <c r="AO1136" s="14"/>
    </row>
    <row r="1137" spans="17:41" x14ac:dyDescent="0.3">
      <c r="Q1137" s="93">
        <v>46209</v>
      </c>
      <c r="R1137" t="s">
        <v>492</v>
      </c>
      <c r="S1137" t="s">
        <v>399</v>
      </c>
      <c r="T1137" s="14">
        <v>10800</v>
      </c>
      <c r="W1137" s="20">
        <v>46030</v>
      </c>
      <c r="X1137" t="s">
        <v>277</v>
      </c>
      <c r="Y1137" s="23">
        <v>7.5230769230769203</v>
      </c>
      <c r="Z1137" s="23">
        <v>7.0384615384615401</v>
      </c>
      <c r="AA1137" s="23">
        <v>7.2807692307692298</v>
      </c>
      <c r="AO1137" s="14"/>
    </row>
    <row r="1138" spans="17:41" x14ac:dyDescent="0.3">
      <c r="Q1138" s="93">
        <v>46209</v>
      </c>
      <c r="R1138" t="s">
        <v>496</v>
      </c>
      <c r="S1138" t="s">
        <v>399</v>
      </c>
      <c r="T1138" s="14">
        <v>20103</v>
      </c>
      <c r="W1138" s="20">
        <v>46030</v>
      </c>
      <c r="X1138" t="s">
        <v>278</v>
      </c>
      <c r="Y1138" s="23">
        <v>7.5384615384615401</v>
      </c>
      <c r="Z1138" s="23">
        <v>7.0538461538461501</v>
      </c>
      <c r="AA1138" s="23">
        <v>7.2961538461538504</v>
      </c>
      <c r="AO1138" s="14"/>
    </row>
    <row r="1139" spans="17:41" x14ac:dyDescent="0.3">
      <c r="Q1139" s="93">
        <v>46209</v>
      </c>
      <c r="R1139" t="s">
        <v>497</v>
      </c>
      <c r="S1139" t="s">
        <v>399</v>
      </c>
      <c r="T1139" s="14">
        <v>397.61059999999998</v>
      </c>
      <c r="W1139" s="20">
        <v>46030</v>
      </c>
      <c r="X1139" t="s">
        <v>279</v>
      </c>
      <c r="Y1139" s="23">
        <v>7.5769230769230802</v>
      </c>
      <c r="Z1139" s="23">
        <v>7.0923076923076902</v>
      </c>
      <c r="AA1139" s="23">
        <v>7.3346153846153896</v>
      </c>
      <c r="AO1139" s="14"/>
    </row>
    <row r="1140" spans="17:41" x14ac:dyDescent="0.3">
      <c r="Q1140" s="93">
        <v>46209</v>
      </c>
      <c r="R1140" t="s">
        <v>498</v>
      </c>
      <c r="S1140" t="s">
        <v>399</v>
      </c>
      <c r="T1140" s="14">
        <v>10800</v>
      </c>
      <c r="W1140" s="20">
        <v>46030</v>
      </c>
      <c r="X1140" t="s">
        <v>280</v>
      </c>
      <c r="Y1140" s="23">
        <v>7.6153846153846096</v>
      </c>
      <c r="Z1140" s="23">
        <v>7.1307692307692303</v>
      </c>
      <c r="AA1140" s="23">
        <v>7.37307692307692</v>
      </c>
      <c r="AO1140" s="14"/>
    </row>
    <row r="1141" spans="17:41" x14ac:dyDescent="0.3">
      <c r="Q1141" s="93">
        <v>46209</v>
      </c>
      <c r="R1141" t="s">
        <v>494</v>
      </c>
      <c r="S1141" t="s">
        <v>399</v>
      </c>
      <c r="T1141" s="14">
        <v>0</v>
      </c>
      <c r="W1141" s="20">
        <v>46030</v>
      </c>
      <c r="X1141" t="s">
        <v>281</v>
      </c>
      <c r="Y1141" s="23">
        <v>7.6384615384615397</v>
      </c>
      <c r="Z1141" s="23">
        <v>7.1538461538461604</v>
      </c>
      <c r="AA1141" s="23">
        <v>7.3961538461538501</v>
      </c>
      <c r="AO1141" s="14"/>
    </row>
    <row r="1142" spans="17:41" x14ac:dyDescent="0.3">
      <c r="Q1142" s="93">
        <v>46209</v>
      </c>
      <c r="R1142" t="s">
        <v>495</v>
      </c>
      <c r="S1142" t="s">
        <v>399</v>
      </c>
      <c r="T1142" s="14">
        <v>0</v>
      </c>
      <c r="W1142" s="20">
        <v>46031</v>
      </c>
      <c r="X1142" t="s">
        <v>270</v>
      </c>
      <c r="Y1142" s="23">
        <v>7.125</v>
      </c>
      <c r="Z1142" s="23">
        <v>6.625</v>
      </c>
      <c r="AA1142" s="23">
        <v>6.875</v>
      </c>
      <c r="AO1142" s="14"/>
    </row>
    <row r="1143" spans="17:41" x14ac:dyDescent="0.3">
      <c r="Q1143" s="93">
        <v>46209</v>
      </c>
      <c r="R1143" t="s">
        <v>493</v>
      </c>
      <c r="S1143" t="s">
        <v>399</v>
      </c>
      <c r="T1143" s="14">
        <v>0</v>
      </c>
      <c r="W1143" s="20">
        <v>46031</v>
      </c>
      <c r="X1143" t="s">
        <v>271</v>
      </c>
      <c r="Y1143" s="23">
        <v>7.1846153846153804</v>
      </c>
      <c r="Z1143" s="23">
        <v>6.7307692307692299</v>
      </c>
      <c r="AA1143" s="23">
        <v>6.9576923076923096</v>
      </c>
      <c r="AO1143" s="14"/>
    </row>
    <row r="1144" spans="17:41" x14ac:dyDescent="0.3">
      <c r="Q1144" s="93">
        <v>46209</v>
      </c>
      <c r="R1144" t="s">
        <v>593</v>
      </c>
      <c r="S1144" t="s">
        <v>399</v>
      </c>
      <c r="T1144" s="14">
        <v>8547</v>
      </c>
      <c r="W1144" s="20">
        <v>46031</v>
      </c>
      <c r="X1144" t="s">
        <v>272</v>
      </c>
      <c r="Y1144" s="23">
        <v>7.2538461538461503</v>
      </c>
      <c r="Z1144" s="23">
        <v>6.8</v>
      </c>
      <c r="AA1144" s="23">
        <v>7.0269230769230804</v>
      </c>
      <c r="AO1144" s="14"/>
    </row>
    <row r="1145" spans="17:41" x14ac:dyDescent="0.3">
      <c r="Q1145" s="93">
        <v>46209</v>
      </c>
      <c r="R1145" t="s">
        <v>594</v>
      </c>
      <c r="S1145" t="s">
        <v>399</v>
      </c>
      <c r="T1145" s="14">
        <v>0</v>
      </c>
      <c r="W1145" s="20">
        <v>46031</v>
      </c>
      <c r="X1145" t="s">
        <v>273</v>
      </c>
      <c r="Y1145" s="23">
        <v>7.3307692307692296</v>
      </c>
      <c r="Z1145" s="23">
        <v>6.8461538461538396</v>
      </c>
      <c r="AA1145" s="23">
        <v>7.0884615384615399</v>
      </c>
      <c r="AO1145" s="14"/>
    </row>
    <row r="1146" spans="17:41" x14ac:dyDescent="0.3">
      <c r="Q1146" s="93">
        <v>46209</v>
      </c>
      <c r="R1146" t="s">
        <v>595</v>
      </c>
      <c r="S1146" t="s">
        <v>399</v>
      </c>
      <c r="T1146" s="14">
        <v>0</v>
      </c>
      <c r="W1146" s="20">
        <v>46031</v>
      </c>
      <c r="X1146" t="s">
        <v>274</v>
      </c>
      <c r="Y1146" s="23">
        <v>7.3692307692307697</v>
      </c>
      <c r="Z1146" s="23">
        <v>6.8846153846153904</v>
      </c>
      <c r="AA1146" s="23">
        <v>7.12692307692308</v>
      </c>
      <c r="AO1146" s="14"/>
    </row>
    <row r="1147" spans="17:41" x14ac:dyDescent="0.3">
      <c r="Q1147" s="93">
        <v>46209</v>
      </c>
      <c r="R1147" t="s">
        <v>479</v>
      </c>
      <c r="S1147" t="s">
        <v>395</v>
      </c>
      <c r="T1147" s="14">
        <v>10241.942990604</v>
      </c>
      <c r="W1147" s="20">
        <v>46031</v>
      </c>
      <c r="X1147" t="s">
        <v>275</v>
      </c>
      <c r="Y1147" s="23">
        <v>7.4153846153846201</v>
      </c>
      <c r="Z1147" s="23">
        <v>6.9307692307692301</v>
      </c>
      <c r="AA1147" s="23">
        <v>7.1730769230769198</v>
      </c>
      <c r="AO1147" s="14"/>
    </row>
    <row r="1148" spans="17:41" x14ac:dyDescent="0.3">
      <c r="Q1148" s="93">
        <v>46206</v>
      </c>
      <c r="R1148" t="s">
        <v>364</v>
      </c>
      <c r="S1148" t="s">
        <v>997</v>
      </c>
      <c r="T1148" s="14">
        <v>32150</v>
      </c>
      <c r="W1148" s="20">
        <v>46031</v>
      </c>
      <c r="X1148" t="s">
        <v>276</v>
      </c>
      <c r="Y1148" s="23">
        <v>7.4769230769230797</v>
      </c>
      <c r="Z1148" s="23">
        <v>6.9923076923076897</v>
      </c>
      <c r="AA1148" s="23">
        <v>7.23461538461539</v>
      </c>
      <c r="AO1148" s="14"/>
    </row>
    <row r="1149" spans="17:41" x14ac:dyDescent="0.3">
      <c r="Q1149" s="93">
        <v>46206</v>
      </c>
      <c r="R1149" t="s">
        <v>496</v>
      </c>
      <c r="S1149" t="s">
        <v>997</v>
      </c>
      <c r="T1149" s="14">
        <v>22353</v>
      </c>
      <c r="W1149" s="20">
        <v>46031</v>
      </c>
      <c r="X1149" t="s">
        <v>277</v>
      </c>
      <c r="Y1149" s="23">
        <v>7.5230769230769203</v>
      </c>
      <c r="Z1149" s="23">
        <v>7.0384615384615401</v>
      </c>
      <c r="AA1149" s="23">
        <v>7.2807692307692298</v>
      </c>
      <c r="AO1149" s="14"/>
    </row>
    <row r="1150" spans="17:41" x14ac:dyDescent="0.3">
      <c r="Q1150" s="93">
        <v>46206</v>
      </c>
      <c r="R1150" t="s">
        <v>1388</v>
      </c>
      <c r="S1150" t="s">
        <v>997</v>
      </c>
      <c r="T1150" s="14">
        <v>14197.6106</v>
      </c>
      <c r="W1150" s="20">
        <v>46031</v>
      </c>
      <c r="X1150" t="s">
        <v>278</v>
      </c>
      <c r="Y1150" s="23">
        <v>7.5384615384615401</v>
      </c>
      <c r="Z1150" s="23">
        <v>7.0538461538461501</v>
      </c>
      <c r="AA1150" s="23">
        <v>7.2961538461538504</v>
      </c>
      <c r="AO1150" s="14"/>
    </row>
    <row r="1151" spans="17:41" x14ac:dyDescent="0.3">
      <c r="Q1151" s="93">
        <v>46206</v>
      </c>
      <c r="R1151" t="s">
        <v>1389</v>
      </c>
      <c r="S1151" t="s">
        <v>997</v>
      </c>
      <c r="T1151" s="14">
        <v>13800</v>
      </c>
      <c r="W1151" s="20">
        <v>46031</v>
      </c>
      <c r="X1151" t="s">
        <v>279</v>
      </c>
      <c r="Y1151" s="23">
        <v>7.5769230769230802</v>
      </c>
      <c r="Z1151" s="23">
        <v>7.0923076923076902</v>
      </c>
      <c r="AA1151" s="23">
        <v>7.3346153846153896</v>
      </c>
      <c r="AO1151" s="14"/>
    </row>
    <row r="1152" spans="17:41" x14ac:dyDescent="0.3">
      <c r="Q1152" s="93">
        <v>46206</v>
      </c>
      <c r="R1152" t="s">
        <v>1390</v>
      </c>
      <c r="S1152" t="s">
        <v>997</v>
      </c>
      <c r="T1152" s="14">
        <v>397.61059999999998</v>
      </c>
      <c r="W1152" s="20">
        <v>46031</v>
      </c>
      <c r="X1152" t="s">
        <v>280</v>
      </c>
      <c r="Y1152" s="23">
        <v>7.6153846153846096</v>
      </c>
      <c r="Z1152" s="23">
        <v>7.1307692307692303</v>
      </c>
      <c r="AA1152" s="23">
        <v>7.37307692307692</v>
      </c>
      <c r="AO1152" s="14"/>
    </row>
    <row r="1153" spans="17:41" x14ac:dyDescent="0.3">
      <c r="Q1153" s="93">
        <v>46206</v>
      </c>
      <c r="R1153" t="s">
        <v>303</v>
      </c>
      <c r="S1153" t="s">
        <v>303</v>
      </c>
      <c r="T1153" s="14">
        <v>0</v>
      </c>
      <c r="W1153" s="20">
        <v>46031</v>
      </c>
      <c r="X1153" t="s">
        <v>281</v>
      </c>
      <c r="Y1153" s="23">
        <v>7.6384615384615397</v>
      </c>
      <c r="Z1153" s="23">
        <v>7.1538461538461604</v>
      </c>
      <c r="AA1153" s="23">
        <v>7.3961538461538501</v>
      </c>
      <c r="AO1153" s="14"/>
    </row>
    <row r="1154" spans="17:41" x14ac:dyDescent="0.3">
      <c r="Q1154" s="93">
        <v>46206</v>
      </c>
      <c r="R1154" t="s">
        <v>303</v>
      </c>
      <c r="S1154" t="s">
        <v>303</v>
      </c>
      <c r="T1154" s="14">
        <v>0</v>
      </c>
      <c r="W1154" s="20">
        <v>46034</v>
      </c>
      <c r="X1154" t="s">
        <v>270</v>
      </c>
      <c r="Y1154" s="23">
        <v>7.1375000000000002</v>
      </c>
      <c r="Z1154" s="23">
        <v>6.6375000000000002</v>
      </c>
      <c r="AA1154" s="23">
        <v>6.8875000000000002</v>
      </c>
      <c r="AO1154" s="14"/>
    </row>
    <row r="1155" spans="17:41" x14ac:dyDescent="0.3">
      <c r="Q1155" s="93">
        <v>46206</v>
      </c>
      <c r="R1155" t="s">
        <v>303</v>
      </c>
      <c r="S1155" t="s">
        <v>303</v>
      </c>
      <c r="T1155" s="14">
        <v>0</v>
      </c>
      <c r="W1155" s="20">
        <v>46034</v>
      </c>
      <c r="X1155" t="s">
        <v>271</v>
      </c>
      <c r="Y1155" s="23">
        <v>7.1846153846153804</v>
      </c>
      <c r="Z1155" s="23">
        <v>6.7307692307692299</v>
      </c>
      <c r="AA1155" s="23">
        <v>6.9576923076923096</v>
      </c>
      <c r="AO1155" s="14"/>
    </row>
    <row r="1156" spans="17:41" x14ac:dyDescent="0.3">
      <c r="Q1156" s="93">
        <v>46206</v>
      </c>
      <c r="R1156" t="s">
        <v>303</v>
      </c>
      <c r="S1156" t="s">
        <v>303</v>
      </c>
      <c r="T1156" s="14">
        <v>0</v>
      </c>
      <c r="W1156" s="20">
        <v>46034</v>
      </c>
      <c r="X1156" t="s">
        <v>272</v>
      </c>
      <c r="Y1156" s="23">
        <v>7.3</v>
      </c>
      <c r="Z1156" s="23">
        <v>7</v>
      </c>
      <c r="AA1156" s="23">
        <v>7.15</v>
      </c>
      <c r="AO1156" s="14"/>
    </row>
    <row r="1157" spans="17:41" x14ac:dyDescent="0.3">
      <c r="Q1157" s="93">
        <v>46206</v>
      </c>
      <c r="R1157" t="s">
        <v>303</v>
      </c>
      <c r="S1157" t="s">
        <v>303</v>
      </c>
      <c r="T1157" s="14">
        <v>0</v>
      </c>
      <c r="W1157" s="20">
        <v>46034</v>
      </c>
      <c r="X1157" t="s">
        <v>273</v>
      </c>
      <c r="Y1157" s="23">
        <v>7.3307692307692296</v>
      </c>
      <c r="Z1157" s="23">
        <v>6.8461538461538396</v>
      </c>
      <c r="AA1157" s="23">
        <v>7.0884615384615399</v>
      </c>
      <c r="AO1157" s="14"/>
    </row>
    <row r="1158" spans="17:41" x14ac:dyDescent="0.3">
      <c r="Q1158" s="93">
        <v>46206</v>
      </c>
      <c r="R1158" t="s">
        <v>303</v>
      </c>
      <c r="S1158" t="s">
        <v>303</v>
      </c>
      <c r="T1158" s="14">
        <v>0</v>
      </c>
      <c r="W1158" s="20">
        <v>46034</v>
      </c>
      <c r="X1158" t="s">
        <v>274</v>
      </c>
      <c r="Y1158" s="23">
        <v>7.3692307692307697</v>
      </c>
      <c r="Z1158" s="23">
        <v>6.8846153846153904</v>
      </c>
      <c r="AA1158" s="23">
        <v>7.12692307692308</v>
      </c>
      <c r="AO1158" s="14"/>
    </row>
    <row r="1159" spans="17:41" x14ac:dyDescent="0.3">
      <c r="Q1159" s="93">
        <v>46206</v>
      </c>
      <c r="R1159" t="s">
        <v>303</v>
      </c>
      <c r="S1159" t="s">
        <v>303</v>
      </c>
      <c r="T1159" s="14">
        <v>0</v>
      </c>
      <c r="W1159" s="20">
        <v>46034</v>
      </c>
      <c r="X1159" t="s">
        <v>275</v>
      </c>
      <c r="Y1159" s="23">
        <v>7.4153846153846201</v>
      </c>
      <c r="Z1159" s="23">
        <v>6.9307692307692301</v>
      </c>
      <c r="AA1159" s="23">
        <v>7.1730769230769198</v>
      </c>
      <c r="AO1159" s="14"/>
    </row>
    <row r="1160" spans="17:41" x14ac:dyDescent="0.3">
      <c r="Q1160" s="93">
        <v>46206</v>
      </c>
      <c r="R1160" t="s">
        <v>479</v>
      </c>
      <c r="S1160" t="s">
        <v>399</v>
      </c>
      <c r="T1160" s="14">
        <v>11197.6106</v>
      </c>
      <c r="W1160" s="20">
        <v>46034</v>
      </c>
      <c r="X1160" t="s">
        <v>276</v>
      </c>
      <c r="Y1160" s="23">
        <v>7.4769230769230797</v>
      </c>
      <c r="Z1160" s="23">
        <v>6.9923076923076897</v>
      </c>
      <c r="AA1160" s="23">
        <v>7.23461538461539</v>
      </c>
      <c r="AO1160" s="14"/>
    </row>
    <row r="1161" spans="17:41" x14ac:dyDescent="0.3">
      <c r="Q1161" s="93">
        <v>46206</v>
      </c>
      <c r="R1161" t="s">
        <v>364</v>
      </c>
      <c r="S1161" t="s">
        <v>399</v>
      </c>
      <c r="T1161" s="14">
        <v>28650</v>
      </c>
      <c r="W1161" s="20">
        <v>46034</v>
      </c>
      <c r="X1161" t="s">
        <v>277</v>
      </c>
      <c r="Y1161" s="23">
        <v>7.5230769230769203</v>
      </c>
      <c r="Z1161" s="23">
        <v>7.0384615384615401</v>
      </c>
      <c r="AA1161" s="23">
        <v>7.2807692307692298</v>
      </c>
      <c r="AO1161" s="14"/>
    </row>
    <row r="1162" spans="17:41" x14ac:dyDescent="0.3">
      <c r="Q1162" s="93">
        <v>46206</v>
      </c>
      <c r="R1162" t="s">
        <v>491</v>
      </c>
      <c r="S1162" t="s">
        <v>399</v>
      </c>
      <c r="T1162" s="14">
        <v>397.61059999999998</v>
      </c>
      <c r="W1162" s="20">
        <v>46034</v>
      </c>
      <c r="X1162" t="s">
        <v>278</v>
      </c>
      <c r="Y1162" s="23">
        <v>7.5384615384615401</v>
      </c>
      <c r="Z1162" s="23">
        <v>7.0538461538461501</v>
      </c>
      <c r="AA1162" s="23">
        <v>7.2961538461538504</v>
      </c>
      <c r="AO1162" s="14"/>
    </row>
    <row r="1163" spans="17:41" x14ac:dyDescent="0.3">
      <c r="Q1163" s="93">
        <v>46206</v>
      </c>
      <c r="R1163" t="s">
        <v>492</v>
      </c>
      <c r="S1163" t="s">
        <v>399</v>
      </c>
      <c r="T1163" s="14">
        <v>10800</v>
      </c>
      <c r="W1163" s="20">
        <v>46034</v>
      </c>
      <c r="X1163" t="s">
        <v>279</v>
      </c>
      <c r="Y1163" s="23">
        <v>7.5769230769230802</v>
      </c>
      <c r="Z1163" s="23">
        <v>7.0923076923076902</v>
      </c>
      <c r="AA1163" s="23">
        <v>7.3346153846153896</v>
      </c>
      <c r="AO1163" s="14"/>
    </row>
    <row r="1164" spans="17:41" x14ac:dyDescent="0.3">
      <c r="Q1164" s="93">
        <v>46206</v>
      </c>
      <c r="R1164" t="s">
        <v>496</v>
      </c>
      <c r="S1164" t="s">
        <v>399</v>
      </c>
      <c r="T1164" s="14">
        <v>18853</v>
      </c>
      <c r="W1164" s="20">
        <v>46034</v>
      </c>
      <c r="X1164" t="s">
        <v>280</v>
      </c>
      <c r="Y1164" s="23">
        <v>7.6153846153846096</v>
      </c>
      <c r="Z1164" s="23">
        <v>7.1307692307692303</v>
      </c>
      <c r="AA1164" s="23">
        <v>7.37307692307692</v>
      </c>
      <c r="AO1164" s="14"/>
    </row>
    <row r="1165" spans="17:41" x14ac:dyDescent="0.3">
      <c r="Q1165" s="93">
        <v>46206</v>
      </c>
      <c r="R1165" t="s">
        <v>497</v>
      </c>
      <c r="S1165" t="s">
        <v>399</v>
      </c>
      <c r="T1165" s="14">
        <v>397.61059999999998</v>
      </c>
      <c r="W1165" s="20">
        <v>46034</v>
      </c>
      <c r="X1165" t="s">
        <v>281</v>
      </c>
      <c r="Y1165" s="23">
        <v>7.6384615384615397</v>
      </c>
      <c r="Z1165" s="23">
        <v>7.1538461538461604</v>
      </c>
      <c r="AA1165" s="23">
        <v>7.3961538461538501</v>
      </c>
      <c r="AO1165" s="14"/>
    </row>
    <row r="1166" spans="17:41" x14ac:dyDescent="0.3">
      <c r="Q1166" s="93">
        <v>46206</v>
      </c>
      <c r="R1166" t="s">
        <v>498</v>
      </c>
      <c r="S1166" t="s">
        <v>399</v>
      </c>
      <c r="T1166" s="14">
        <v>10800</v>
      </c>
      <c r="W1166" s="20">
        <v>46035</v>
      </c>
      <c r="X1166" t="s">
        <v>270</v>
      </c>
      <c r="Y1166" s="23">
        <v>7.1375000000000002</v>
      </c>
      <c r="Z1166" s="23">
        <v>6.6375000000000002</v>
      </c>
      <c r="AA1166" s="23">
        <v>6.8875000000000002</v>
      </c>
      <c r="AO1166" s="14"/>
    </row>
    <row r="1167" spans="17:41" x14ac:dyDescent="0.3">
      <c r="Q1167" s="93">
        <v>46206</v>
      </c>
      <c r="R1167" t="s">
        <v>494</v>
      </c>
      <c r="S1167" t="s">
        <v>399</v>
      </c>
      <c r="T1167" s="14">
        <v>0</v>
      </c>
      <c r="W1167" s="20">
        <v>46035</v>
      </c>
      <c r="X1167" t="s">
        <v>271</v>
      </c>
      <c r="Y1167" s="23">
        <v>7.1846153846153804</v>
      </c>
      <c r="Z1167" s="23">
        <v>6.7307692307692299</v>
      </c>
      <c r="AA1167" s="23">
        <v>6.9576923076923096</v>
      </c>
      <c r="AO1167" s="14"/>
    </row>
    <row r="1168" spans="17:41" x14ac:dyDescent="0.3">
      <c r="Q1168" s="93">
        <v>46206</v>
      </c>
      <c r="R1168" t="s">
        <v>495</v>
      </c>
      <c r="S1168" t="s">
        <v>399</v>
      </c>
      <c r="T1168" s="14">
        <v>0</v>
      </c>
      <c r="W1168" s="20">
        <v>46035</v>
      </c>
      <c r="X1168" t="s">
        <v>272</v>
      </c>
      <c r="Y1168" s="23">
        <v>7.3333333333333304</v>
      </c>
      <c r="Z1168" s="23">
        <v>7.0333333333333297</v>
      </c>
      <c r="AA1168" s="23">
        <v>7.18333333333333</v>
      </c>
      <c r="AO1168" s="14"/>
    </row>
    <row r="1169" spans="17:41" x14ac:dyDescent="0.3">
      <c r="Q1169" s="93">
        <v>46206</v>
      </c>
      <c r="R1169" t="s">
        <v>493</v>
      </c>
      <c r="S1169" t="s">
        <v>399</v>
      </c>
      <c r="T1169" s="14">
        <v>0</v>
      </c>
      <c r="W1169" s="20">
        <v>46035</v>
      </c>
      <c r="X1169" t="s">
        <v>273</v>
      </c>
      <c r="Y1169" s="23">
        <v>7.3307692307692296</v>
      </c>
      <c r="Z1169" s="23">
        <v>6.8461538461538396</v>
      </c>
      <c r="AA1169" s="23">
        <v>7.0884615384615399</v>
      </c>
      <c r="AO1169" s="14"/>
    </row>
    <row r="1170" spans="17:41" x14ac:dyDescent="0.3">
      <c r="Q1170" s="93">
        <v>46206</v>
      </c>
      <c r="R1170" t="s">
        <v>593</v>
      </c>
      <c r="S1170" t="s">
        <v>399</v>
      </c>
      <c r="T1170" s="14">
        <v>9797</v>
      </c>
      <c r="W1170" s="20">
        <v>46035</v>
      </c>
      <c r="X1170" t="s">
        <v>274</v>
      </c>
      <c r="Y1170" s="23">
        <v>7.3692307692307697</v>
      </c>
      <c r="Z1170" s="23">
        <v>6.8846153846153904</v>
      </c>
      <c r="AA1170" s="23">
        <v>7.12692307692308</v>
      </c>
      <c r="AO1170" s="14"/>
    </row>
    <row r="1171" spans="17:41" x14ac:dyDescent="0.3">
      <c r="Q1171" s="93">
        <v>46206</v>
      </c>
      <c r="R1171" t="s">
        <v>594</v>
      </c>
      <c r="S1171" t="s">
        <v>399</v>
      </c>
      <c r="T1171" s="14">
        <v>0</v>
      </c>
      <c r="W1171" s="20">
        <v>46035</v>
      </c>
      <c r="X1171" t="s">
        <v>275</v>
      </c>
      <c r="Y1171" s="23">
        <v>7.4153846153846201</v>
      </c>
      <c r="Z1171" s="23">
        <v>6.9307692307692301</v>
      </c>
      <c r="AA1171" s="23">
        <v>7.1730769230769198</v>
      </c>
      <c r="AO1171" s="14"/>
    </row>
    <row r="1172" spans="17:41" x14ac:dyDescent="0.3">
      <c r="Q1172" s="93">
        <v>46206</v>
      </c>
      <c r="R1172" t="s">
        <v>595</v>
      </c>
      <c r="S1172" t="s">
        <v>399</v>
      </c>
      <c r="T1172" s="14">
        <v>0</v>
      </c>
      <c r="W1172" s="20">
        <v>46035</v>
      </c>
      <c r="X1172" t="s">
        <v>276</v>
      </c>
      <c r="Y1172" s="23">
        <v>7.4769230769230797</v>
      </c>
      <c r="Z1172" s="23">
        <v>6.9923076923076897</v>
      </c>
      <c r="AA1172" s="23">
        <v>7.23461538461539</v>
      </c>
      <c r="AO1172" s="14"/>
    </row>
    <row r="1173" spans="17:41" x14ac:dyDescent="0.3">
      <c r="Q1173" s="93">
        <v>46206</v>
      </c>
      <c r="R1173" t="s">
        <v>479</v>
      </c>
      <c r="S1173" t="s">
        <v>395</v>
      </c>
      <c r="T1173" s="14">
        <v>10246.561576619901</v>
      </c>
      <c r="W1173" s="20">
        <v>46035</v>
      </c>
      <c r="X1173" t="s">
        <v>277</v>
      </c>
      <c r="Y1173" s="23">
        <v>7.5230769230769203</v>
      </c>
      <c r="Z1173" s="23">
        <v>7.0384615384615401</v>
      </c>
      <c r="AA1173" s="23">
        <v>7.2807692307692298</v>
      </c>
      <c r="AO1173" s="14"/>
    </row>
    <row r="1174" spans="17:41" x14ac:dyDescent="0.3">
      <c r="Q1174" s="93">
        <v>46206</v>
      </c>
      <c r="R1174" t="s">
        <v>479</v>
      </c>
      <c r="S1174" t="s">
        <v>415</v>
      </c>
      <c r="T1174" s="14">
        <v>7.1111348651863997</v>
      </c>
      <c r="W1174" s="20">
        <v>46035</v>
      </c>
      <c r="X1174" t="s">
        <v>278</v>
      </c>
      <c r="Y1174" s="23">
        <v>7.5384615384615401</v>
      </c>
      <c r="Z1174" s="23">
        <v>7.0538461538461501</v>
      </c>
      <c r="AA1174" s="23">
        <v>7.2961538461538504</v>
      </c>
      <c r="AO1174" s="14"/>
    </row>
    <row r="1175" spans="17:41" x14ac:dyDescent="0.3">
      <c r="Q1175" s="93">
        <v>46206</v>
      </c>
      <c r="R1175" t="s">
        <v>364</v>
      </c>
      <c r="S1175" t="s">
        <v>415</v>
      </c>
      <c r="T1175" s="14">
        <v>6.8185847589424604</v>
      </c>
      <c r="W1175" s="20">
        <v>46035</v>
      </c>
      <c r="X1175" t="s">
        <v>279</v>
      </c>
      <c r="Y1175" s="23">
        <v>7.5769230769230802</v>
      </c>
      <c r="Z1175" s="23">
        <v>7.0923076923076902</v>
      </c>
      <c r="AA1175" s="23">
        <v>7.3346153846153896</v>
      </c>
      <c r="AO1175" s="14"/>
    </row>
    <row r="1176" spans="17:41" x14ac:dyDescent="0.3">
      <c r="Q1176" s="93">
        <v>46206</v>
      </c>
      <c r="R1176" t="s">
        <v>516</v>
      </c>
      <c r="S1176" t="s">
        <v>415</v>
      </c>
      <c r="T1176" s="14">
        <v>6.9082012987310302</v>
      </c>
      <c r="W1176" s="20">
        <v>46035</v>
      </c>
      <c r="X1176" t="s">
        <v>280</v>
      </c>
      <c r="Y1176" s="23">
        <v>7.6153846153846096</v>
      </c>
      <c r="Z1176" s="23">
        <v>7.1307692307692303</v>
      </c>
      <c r="AA1176" s="23">
        <v>7.37307692307692</v>
      </c>
      <c r="AO1176" s="14"/>
    </row>
    <row r="1177" spans="17:41" x14ac:dyDescent="0.3">
      <c r="Q1177" s="93">
        <v>46206</v>
      </c>
      <c r="R1177" t="s">
        <v>1288</v>
      </c>
      <c r="S1177" t="s">
        <v>415</v>
      </c>
      <c r="T1177" s="14">
        <v>7.1111348651863997</v>
      </c>
      <c r="W1177" s="20">
        <v>46035</v>
      </c>
      <c r="X1177" t="s">
        <v>281</v>
      </c>
      <c r="Y1177" s="23">
        <v>7.6384615384615397</v>
      </c>
      <c r="Z1177" s="23">
        <v>7.1538461538461604</v>
      </c>
      <c r="AA1177" s="23">
        <v>7.3961538461538501</v>
      </c>
      <c r="AO1177" s="14"/>
    </row>
    <row r="1178" spans="17:41" x14ac:dyDescent="0.3">
      <c r="Q1178" s="93">
        <v>46206</v>
      </c>
      <c r="R1178" t="s">
        <v>496</v>
      </c>
      <c r="S1178" t="s">
        <v>415</v>
      </c>
      <c r="T1178" s="14">
        <v>6.8064823513622299</v>
      </c>
      <c r="W1178" s="20">
        <v>46036</v>
      </c>
      <c r="X1178" t="s">
        <v>270</v>
      </c>
      <c r="Y1178" s="23">
        <v>7.2374999999999998</v>
      </c>
      <c r="Z1178" s="23">
        <v>6.7374999999999998</v>
      </c>
      <c r="AA1178" s="23">
        <v>6.9874999999999998</v>
      </c>
      <c r="AO1178" s="14"/>
    </row>
    <row r="1179" spans="17:41" x14ac:dyDescent="0.3">
      <c r="Q1179" s="93">
        <v>46206</v>
      </c>
      <c r="R1179" t="s">
        <v>1290</v>
      </c>
      <c r="S1179" t="s">
        <v>415</v>
      </c>
      <c r="T1179" s="14">
        <v>6.9248206687961602</v>
      </c>
      <c r="W1179" s="20">
        <v>46036</v>
      </c>
      <c r="X1179" t="s">
        <v>271</v>
      </c>
      <c r="Y1179" s="23">
        <v>7.1923076923076898</v>
      </c>
      <c r="Z1179" s="23">
        <v>6.7384615384615403</v>
      </c>
      <c r="AA1179" s="23">
        <v>6.9653846153846199</v>
      </c>
      <c r="AO1179" s="14"/>
    </row>
    <row r="1180" spans="17:41" x14ac:dyDescent="0.3">
      <c r="Q1180" s="93">
        <v>46205</v>
      </c>
      <c r="R1180" t="s">
        <v>479</v>
      </c>
      <c r="S1180" t="s">
        <v>399</v>
      </c>
      <c r="T1180" s="14">
        <v>14197.6106</v>
      </c>
      <c r="W1180" s="20">
        <v>46036</v>
      </c>
      <c r="X1180" t="s">
        <v>272</v>
      </c>
      <c r="Y1180" s="23">
        <v>7.3666666666666698</v>
      </c>
      <c r="Z1180" s="23">
        <v>7.06666666666667</v>
      </c>
      <c r="AA1180" s="23">
        <v>7.2166666666666703</v>
      </c>
      <c r="AO1180" s="14"/>
    </row>
    <row r="1181" spans="17:41" x14ac:dyDescent="0.3">
      <c r="Q1181" s="93">
        <v>46205</v>
      </c>
      <c r="R1181" t="s">
        <v>364</v>
      </c>
      <c r="S1181" t="s">
        <v>399</v>
      </c>
      <c r="T1181" s="14">
        <v>28700</v>
      </c>
      <c r="W1181" s="20">
        <v>46036</v>
      </c>
      <c r="X1181" t="s">
        <v>273</v>
      </c>
      <c r="Y1181" s="23">
        <v>7.3307692307692296</v>
      </c>
      <c r="Z1181" s="23">
        <v>6.8461538461538396</v>
      </c>
      <c r="AA1181" s="23">
        <v>7.0884615384615399</v>
      </c>
      <c r="AO1181" s="14"/>
    </row>
    <row r="1182" spans="17:41" x14ac:dyDescent="0.3">
      <c r="Q1182" s="93">
        <v>46205</v>
      </c>
      <c r="R1182" t="s">
        <v>491</v>
      </c>
      <c r="S1182" t="s">
        <v>399</v>
      </c>
      <c r="T1182" s="14">
        <v>397.61059999999998</v>
      </c>
      <c r="W1182" s="20">
        <v>46036</v>
      </c>
      <c r="X1182" t="s">
        <v>274</v>
      </c>
      <c r="Y1182" s="23">
        <v>7.3692307692307697</v>
      </c>
      <c r="Z1182" s="23">
        <v>6.8846153846153904</v>
      </c>
      <c r="AA1182" s="23">
        <v>7.12692307692308</v>
      </c>
      <c r="AO1182" s="14"/>
    </row>
    <row r="1183" spans="17:41" x14ac:dyDescent="0.3">
      <c r="Q1183" s="93">
        <v>46205</v>
      </c>
      <c r="R1183" t="s">
        <v>492</v>
      </c>
      <c r="S1183" t="s">
        <v>399</v>
      </c>
      <c r="T1183" s="14">
        <v>13800</v>
      </c>
      <c r="W1183" s="20">
        <v>46036</v>
      </c>
      <c r="X1183" t="s">
        <v>275</v>
      </c>
      <c r="Y1183" s="23">
        <v>7.4153846153846201</v>
      </c>
      <c r="Z1183" s="23">
        <v>6.9307692307692301</v>
      </c>
      <c r="AA1183" s="23">
        <v>7.1730769230769198</v>
      </c>
      <c r="AO1183" s="14"/>
    </row>
    <row r="1184" spans="17:41" x14ac:dyDescent="0.3">
      <c r="Q1184" s="93">
        <v>46205</v>
      </c>
      <c r="R1184" t="s">
        <v>496</v>
      </c>
      <c r="S1184" t="s">
        <v>399</v>
      </c>
      <c r="T1184" s="14">
        <v>22360</v>
      </c>
      <c r="W1184" s="20">
        <v>46036</v>
      </c>
      <c r="X1184" t="s">
        <v>276</v>
      </c>
      <c r="Y1184" s="23">
        <v>7.4769230769230797</v>
      </c>
      <c r="Z1184" s="23">
        <v>6.9923076923076897</v>
      </c>
      <c r="AA1184" s="23">
        <v>7.23461538461539</v>
      </c>
      <c r="AO1184" s="14"/>
    </row>
    <row r="1185" spans="17:41" x14ac:dyDescent="0.3">
      <c r="Q1185" s="93">
        <v>46205</v>
      </c>
      <c r="R1185" t="s">
        <v>497</v>
      </c>
      <c r="S1185" t="s">
        <v>399</v>
      </c>
      <c r="T1185" s="14">
        <v>397.61059999999998</v>
      </c>
      <c r="W1185" s="20">
        <v>46036</v>
      </c>
      <c r="X1185" t="s">
        <v>277</v>
      </c>
      <c r="Y1185" s="23">
        <v>7.5230769230769203</v>
      </c>
      <c r="Z1185" s="23">
        <v>7.0384615384615401</v>
      </c>
      <c r="AA1185" s="23">
        <v>7.2807692307692298</v>
      </c>
      <c r="AO1185" s="14"/>
    </row>
    <row r="1186" spans="17:41" x14ac:dyDescent="0.3">
      <c r="Q1186" s="93">
        <v>46205</v>
      </c>
      <c r="R1186" t="s">
        <v>498</v>
      </c>
      <c r="S1186" t="s">
        <v>399</v>
      </c>
      <c r="T1186" s="14">
        <v>13800</v>
      </c>
      <c r="W1186" s="20">
        <v>46036</v>
      </c>
      <c r="X1186" t="s">
        <v>278</v>
      </c>
      <c r="Y1186" s="23">
        <v>7.5384615384615401</v>
      </c>
      <c r="Z1186" s="23">
        <v>7.0538461538461501</v>
      </c>
      <c r="AA1186" s="23">
        <v>7.2961538461538504</v>
      </c>
      <c r="AO1186" s="14"/>
    </row>
    <row r="1187" spans="17:41" x14ac:dyDescent="0.3">
      <c r="Q1187" s="93">
        <v>46205</v>
      </c>
      <c r="R1187" t="s">
        <v>494</v>
      </c>
      <c r="S1187" t="s">
        <v>399</v>
      </c>
      <c r="T1187" s="14">
        <v>0</v>
      </c>
      <c r="W1187" s="20">
        <v>46036</v>
      </c>
      <c r="X1187" t="s">
        <v>279</v>
      </c>
      <c r="Y1187" s="23">
        <v>7.5769230769230802</v>
      </c>
      <c r="Z1187" s="23">
        <v>7.0923076923076902</v>
      </c>
      <c r="AA1187" s="23">
        <v>7.3346153846153896</v>
      </c>
      <c r="AO1187" s="14"/>
    </row>
    <row r="1188" spans="17:41" x14ac:dyDescent="0.3">
      <c r="Q1188" s="93">
        <v>46205</v>
      </c>
      <c r="R1188" t="s">
        <v>495</v>
      </c>
      <c r="S1188" t="s">
        <v>399</v>
      </c>
      <c r="T1188" s="14">
        <v>0</v>
      </c>
      <c r="W1188" s="20">
        <v>46036</v>
      </c>
      <c r="X1188" t="s">
        <v>280</v>
      </c>
      <c r="Y1188" s="23">
        <v>7.6153846153846096</v>
      </c>
      <c r="Z1188" s="23">
        <v>7.1307692307692303</v>
      </c>
      <c r="AA1188" s="23">
        <v>7.37307692307692</v>
      </c>
      <c r="AO1188" s="14"/>
    </row>
    <row r="1189" spans="17:41" x14ac:dyDescent="0.3">
      <c r="Q1189" s="93">
        <v>46205</v>
      </c>
      <c r="R1189" t="s">
        <v>493</v>
      </c>
      <c r="S1189" t="s">
        <v>399</v>
      </c>
      <c r="T1189" s="14">
        <v>0</v>
      </c>
      <c r="W1189" s="20">
        <v>46036</v>
      </c>
      <c r="X1189" t="s">
        <v>281</v>
      </c>
      <c r="Y1189" s="23">
        <v>7.6384615384615397</v>
      </c>
      <c r="Z1189" s="23">
        <v>7.1538461538461604</v>
      </c>
      <c r="AA1189" s="23">
        <v>7.3961538461538501</v>
      </c>
      <c r="AO1189" s="14"/>
    </row>
    <row r="1190" spans="17:41" x14ac:dyDescent="0.3">
      <c r="Q1190" s="93">
        <v>46205</v>
      </c>
      <c r="R1190" t="s">
        <v>593</v>
      </c>
      <c r="S1190" t="s">
        <v>399</v>
      </c>
      <c r="T1190" s="14">
        <v>6340</v>
      </c>
      <c r="W1190" s="20">
        <v>46037</v>
      </c>
      <c r="X1190" t="s">
        <v>270</v>
      </c>
      <c r="Y1190" s="23">
        <v>7.2249999999999996</v>
      </c>
      <c r="Z1190" s="23">
        <v>6.7249999999999996</v>
      </c>
      <c r="AA1190" s="23">
        <v>6.9749999999999996</v>
      </c>
      <c r="AO1190" s="14"/>
    </row>
    <row r="1191" spans="17:41" x14ac:dyDescent="0.3">
      <c r="Q1191" s="93">
        <v>46205</v>
      </c>
      <c r="R1191" t="s">
        <v>594</v>
      </c>
      <c r="S1191" t="s">
        <v>399</v>
      </c>
      <c r="T1191" s="14">
        <v>0</v>
      </c>
      <c r="W1191" s="20">
        <v>46037</v>
      </c>
      <c r="X1191" t="s">
        <v>271</v>
      </c>
      <c r="Y1191" s="23">
        <v>7.1615384615384601</v>
      </c>
      <c r="Z1191" s="23">
        <v>6.7076923076923096</v>
      </c>
      <c r="AA1191" s="23">
        <v>6.9346153846153804</v>
      </c>
      <c r="AO1191" s="14"/>
    </row>
    <row r="1192" spans="17:41" x14ac:dyDescent="0.3">
      <c r="Q1192" s="93">
        <v>46205</v>
      </c>
      <c r="R1192" t="s">
        <v>595</v>
      </c>
      <c r="S1192" t="s">
        <v>399</v>
      </c>
      <c r="T1192" s="14">
        <v>0</v>
      </c>
      <c r="W1192" s="20">
        <v>46037</v>
      </c>
      <c r="X1192" t="s">
        <v>272</v>
      </c>
      <c r="Y1192" s="23">
        <v>7.4</v>
      </c>
      <c r="Z1192" s="23">
        <v>7.1</v>
      </c>
      <c r="AA1192" s="23">
        <v>7.25</v>
      </c>
      <c r="AO1192" s="14"/>
    </row>
    <row r="1193" spans="17:41" x14ac:dyDescent="0.3">
      <c r="Q1193" s="93">
        <v>46205</v>
      </c>
      <c r="R1193" t="s">
        <v>479</v>
      </c>
      <c r="S1193" t="s">
        <v>395</v>
      </c>
      <c r="T1193" s="14">
        <v>10248.027446865101</v>
      </c>
      <c r="W1193" s="20">
        <v>46037</v>
      </c>
      <c r="X1193" t="s">
        <v>273</v>
      </c>
      <c r="Y1193" s="23">
        <v>7.3461538461538503</v>
      </c>
      <c r="Z1193" s="23">
        <v>6.8615384615384603</v>
      </c>
      <c r="AA1193" s="23">
        <v>7.1038461538461597</v>
      </c>
      <c r="AO1193" s="14"/>
    </row>
    <row r="1194" spans="17:41" x14ac:dyDescent="0.3">
      <c r="Q1194" s="93">
        <v>46205</v>
      </c>
      <c r="R1194" t="s">
        <v>479</v>
      </c>
      <c r="S1194" t="s">
        <v>415</v>
      </c>
      <c r="T1194" s="14">
        <v>7.1111348651863997</v>
      </c>
      <c r="W1194" s="20">
        <v>46037</v>
      </c>
      <c r="X1194" t="s">
        <v>274</v>
      </c>
      <c r="Y1194" s="23">
        <v>7.3846153846153797</v>
      </c>
      <c r="Z1194" s="23">
        <v>6.9</v>
      </c>
      <c r="AA1194" s="23">
        <v>7.14230769230769</v>
      </c>
      <c r="AO1194" s="14"/>
    </row>
    <row r="1195" spans="17:41" x14ac:dyDescent="0.3">
      <c r="Q1195" s="93">
        <v>46205</v>
      </c>
      <c r="R1195" t="s">
        <v>364</v>
      </c>
      <c r="S1195" t="s">
        <v>415</v>
      </c>
      <c r="T1195" s="14">
        <v>6.7922018348623796</v>
      </c>
      <c r="W1195" s="20">
        <v>46037</v>
      </c>
      <c r="X1195" t="s">
        <v>275</v>
      </c>
      <c r="Y1195" s="23">
        <v>7.4307692307692301</v>
      </c>
      <c r="Z1195" s="23">
        <v>6.9461538461538499</v>
      </c>
      <c r="AA1195" s="23">
        <v>7.1884615384615396</v>
      </c>
      <c r="AO1195" s="14"/>
    </row>
    <row r="1196" spans="17:41" x14ac:dyDescent="0.3">
      <c r="Q1196" s="93">
        <v>46205</v>
      </c>
      <c r="R1196" t="s">
        <v>516</v>
      </c>
      <c r="S1196" t="s">
        <v>415</v>
      </c>
      <c r="T1196" s="14">
        <v>6.8887544505305804</v>
      </c>
      <c r="W1196" s="20">
        <v>46037</v>
      </c>
      <c r="X1196" t="s">
        <v>276</v>
      </c>
      <c r="Y1196" s="23">
        <v>7.4846153846153802</v>
      </c>
      <c r="Z1196" s="23">
        <v>7</v>
      </c>
      <c r="AA1196" s="23">
        <v>7.2423076923076897</v>
      </c>
      <c r="AO1196" s="14"/>
    </row>
    <row r="1197" spans="17:41" x14ac:dyDescent="0.3">
      <c r="Q1197" s="93">
        <v>46205</v>
      </c>
      <c r="R1197" t="s">
        <v>1288</v>
      </c>
      <c r="S1197" t="s">
        <v>415</v>
      </c>
      <c r="T1197" s="14">
        <v>7.1111348651863997</v>
      </c>
      <c r="W1197" s="20">
        <v>46037</v>
      </c>
      <c r="X1197" t="s">
        <v>277</v>
      </c>
      <c r="Y1197" s="23">
        <v>7.5307692307692298</v>
      </c>
      <c r="Z1197" s="23">
        <v>7.0461538461538504</v>
      </c>
      <c r="AA1197" s="23">
        <v>7.2884615384615401</v>
      </c>
      <c r="AO1197" s="14"/>
    </row>
    <row r="1198" spans="17:41" x14ac:dyDescent="0.3">
      <c r="Q1198" s="93">
        <v>46205</v>
      </c>
      <c r="R1198" t="s">
        <v>496</v>
      </c>
      <c r="S1198" t="s">
        <v>415</v>
      </c>
      <c r="T1198" s="14">
        <v>6.7415931941222</v>
      </c>
      <c r="W1198" s="20">
        <v>46037</v>
      </c>
      <c r="X1198" t="s">
        <v>278</v>
      </c>
      <c r="Y1198" s="23">
        <v>7.5384615384615401</v>
      </c>
      <c r="Z1198" s="23">
        <v>7.0538461538461501</v>
      </c>
      <c r="AA1198" s="23">
        <v>7.2961538461538504</v>
      </c>
      <c r="AO1198" s="14"/>
    </row>
    <row r="1199" spans="17:41" x14ac:dyDescent="0.3">
      <c r="Q1199" s="93">
        <v>46205</v>
      </c>
      <c r="R1199" t="s">
        <v>1290</v>
      </c>
      <c r="S1199" t="s">
        <v>415</v>
      </c>
      <c r="T1199" s="14">
        <v>6.87256977179762</v>
      </c>
      <c r="W1199" s="20">
        <v>46037</v>
      </c>
      <c r="X1199" t="s">
        <v>279</v>
      </c>
      <c r="Y1199" s="23">
        <v>7.5769230769230802</v>
      </c>
      <c r="Z1199" s="23">
        <v>7.0923076923076902</v>
      </c>
      <c r="AA1199" s="23">
        <v>7.3346153846153896</v>
      </c>
      <c r="AO1199" s="14"/>
    </row>
    <row r="1200" spans="17:41" x14ac:dyDescent="0.3">
      <c r="Q1200" s="93">
        <v>46205</v>
      </c>
      <c r="R1200" t="s">
        <v>364</v>
      </c>
      <c r="S1200" t="s">
        <v>997</v>
      </c>
      <c r="T1200" s="14">
        <v>32200</v>
      </c>
      <c r="W1200" s="20">
        <v>46037</v>
      </c>
      <c r="X1200" t="s">
        <v>280</v>
      </c>
      <c r="Y1200" s="23">
        <v>7.6153846153846096</v>
      </c>
      <c r="Z1200" s="23">
        <v>7.1307692307692303</v>
      </c>
      <c r="AA1200" s="23">
        <v>7.37307692307692</v>
      </c>
      <c r="AO1200" s="14"/>
    </row>
    <row r="1201" spans="17:41" x14ac:dyDescent="0.3">
      <c r="Q1201" s="93">
        <v>46205</v>
      </c>
      <c r="R1201" t="s">
        <v>496</v>
      </c>
      <c r="S1201" t="s">
        <v>997</v>
      </c>
      <c r="T1201" s="14">
        <v>25860</v>
      </c>
      <c r="W1201" s="20">
        <v>46037</v>
      </c>
      <c r="X1201" t="s">
        <v>281</v>
      </c>
      <c r="Y1201" s="23">
        <v>7.6384615384615397</v>
      </c>
      <c r="Z1201" s="23">
        <v>7.1538461538461604</v>
      </c>
      <c r="AA1201" s="23">
        <v>7.3961538461538501</v>
      </c>
      <c r="AO1201" s="14"/>
    </row>
    <row r="1202" spans="17:41" x14ac:dyDescent="0.3">
      <c r="Q1202" s="93">
        <v>46205</v>
      </c>
      <c r="R1202" t="s">
        <v>303</v>
      </c>
      <c r="S1202" t="s">
        <v>303</v>
      </c>
      <c r="T1202" s="14">
        <v>0</v>
      </c>
      <c r="W1202" s="20">
        <v>46038</v>
      </c>
      <c r="X1202" t="s">
        <v>270</v>
      </c>
      <c r="Y1202" s="23">
        <v>7.2249999999999996</v>
      </c>
      <c r="Z1202" s="23">
        <v>6.7249999999999996</v>
      </c>
      <c r="AA1202" s="23">
        <v>6.9749999999999996</v>
      </c>
      <c r="AO1202" s="14"/>
    </row>
    <row r="1203" spans="17:41" x14ac:dyDescent="0.3">
      <c r="Q1203" s="93">
        <v>46205</v>
      </c>
      <c r="R1203" t="s">
        <v>303</v>
      </c>
      <c r="S1203" t="s">
        <v>303</v>
      </c>
      <c r="T1203" s="14">
        <v>0</v>
      </c>
      <c r="W1203" s="20">
        <v>46038</v>
      </c>
      <c r="X1203" t="s">
        <v>271</v>
      </c>
      <c r="Y1203" s="23">
        <v>7.1615384615384601</v>
      </c>
      <c r="Z1203" s="23">
        <v>6.7076923076923096</v>
      </c>
      <c r="AA1203" s="23">
        <v>6.9346153846153804</v>
      </c>
      <c r="AO1203" s="14"/>
    </row>
    <row r="1204" spans="17:41" x14ac:dyDescent="0.3">
      <c r="Q1204" s="93">
        <v>46205</v>
      </c>
      <c r="R1204" t="s">
        <v>303</v>
      </c>
      <c r="S1204" t="s">
        <v>303</v>
      </c>
      <c r="T1204" s="14">
        <v>0</v>
      </c>
      <c r="W1204" s="20">
        <v>46038</v>
      </c>
      <c r="X1204" t="s">
        <v>272</v>
      </c>
      <c r="Y1204" s="23">
        <v>7.3</v>
      </c>
      <c r="Z1204" s="23">
        <v>7</v>
      </c>
      <c r="AA1204" s="23">
        <v>7.15</v>
      </c>
      <c r="AO1204" s="14"/>
    </row>
    <row r="1205" spans="17:41" x14ac:dyDescent="0.3">
      <c r="Q1205" s="93">
        <v>46205</v>
      </c>
      <c r="R1205" t="s">
        <v>303</v>
      </c>
      <c r="S1205" t="s">
        <v>303</v>
      </c>
      <c r="T1205" s="14">
        <v>0</v>
      </c>
      <c r="W1205" s="20">
        <v>46038</v>
      </c>
      <c r="X1205" t="s">
        <v>273</v>
      </c>
      <c r="Y1205" s="23">
        <v>7.3461538461538503</v>
      </c>
      <c r="Z1205" s="23">
        <v>6.8615384615384603</v>
      </c>
      <c r="AA1205" s="23">
        <v>7.1038461538461597</v>
      </c>
      <c r="AO1205" s="14"/>
    </row>
    <row r="1206" spans="17:41" x14ac:dyDescent="0.3">
      <c r="Q1206" s="93">
        <v>46205</v>
      </c>
      <c r="R1206" t="s">
        <v>303</v>
      </c>
      <c r="S1206" t="s">
        <v>303</v>
      </c>
      <c r="T1206" s="14">
        <v>0</v>
      </c>
      <c r="W1206" s="20">
        <v>46038</v>
      </c>
      <c r="X1206" t="s">
        <v>274</v>
      </c>
      <c r="Y1206" s="23">
        <v>7.3846153846153797</v>
      </c>
      <c r="Z1206" s="23">
        <v>6.9</v>
      </c>
      <c r="AA1206" s="23">
        <v>7.14230769230769</v>
      </c>
      <c r="AO1206" s="14"/>
    </row>
    <row r="1207" spans="17:41" x14ac:dyDescent="0.3">
      <c r="Q1207" s="93">
        <v>46205</v>
      </c>
      <c r="R1207" t="s">
        <v>303</v>
      </c>
      <c r="S1207" t="s">
        <v>303</v>
      </c>
      <c r="T1207" s="14">
        <v>0</v>
      </c>
      <c r="W1207" s="20">
        <v>46038</v>
      </c>
      <c r="X1207" t="s">
        <v>275</v>
      </c>
      <c r="Y1207" s="23">
        <v>7.4307692307692301</v>
      </c>
      <c r="Z1207" s="23">
        <v>6.9461538461538499</v>
      </c>
      <c r="AA1207" s="23">
        <v>7.1884615384615396</v>
      </c>
      <c r="AO1207" s="14"/>
    </row>
    <row r="1208" spans="17:41" x14ac:dyDescent="0.3">
      <c r="Q1208" s="93">
        <v>46205</v>
      </c>
      <c r="R1208" t="s">
        <v>303</v>
      </c>
      <c r="S1208" t="s">
        <v>303</v>
      </c>
      <c r="T1208" s="14">
        <v>0</v>
      </c>
      <c r="W1208" s="20">
        <v>46038</v>
      </c>
      <c r="X1208" t="s">
        <v>276</v>
      </c>
      <c r="Y1208" s="23">
        <v>7.4846153846153802</v>
      </c>
      <c r="Z1208" s="23">
        <v>7</v>
      </c>
      <c r="AA1208" s="23">
        <v>7.2423076923076897</v>
      </c>
      <c r="AO1208" s="14"/>
    </row>
    <row r="1209" spans="17:41" x14ac:dyDescent="0.3">
      <c r="Q1209" s="93">
        <v>46204</v>
      </c>
      <c r="R1209" t="s">
        <v>479</v>
      </c>
      <c r="S1209" t="s">
        <v>399</v>
      </c>
      <c r="T1209" s="14">
        <v>14197.6106</v>
      </c>
      <c r="W1209" s="20">
        <v>46038</v>
      </c>
      <c r="X1209" t="s">
        <v>277</v>
      </c>
      <c r="Y1209" s="23">
        <v>7.5307692307692298</v>
      </c>
      <c r="Z1209" s="23">
        <v>7.0461538461538504</v>
      </c>
      <c r="AA1209" s="23">
        <v>7.2884615384615401</v>
      </c>
      <c r="AO1209" s="14"/>
    </row>
    <row r="1210" spans="17:41" x14ac:dyDescent="0.3">
      <c r="Q1210" s="93">
        <v>46204</v>
      </c>
      <c r="R1210" t="s">
        <v>364</v>
      </c>
      <c r="S1210" t="s">
        <v>399</v>
      </c>
      <c r="T1210" s="14">
        <v>28800</v>
      </c>
      <c r="W1210" s="20">
        <v>46038</v>
      </c>
      <c r="X1210" t="s">
        <v>278</v>
      </c>
      <c r="Y1210" s="23">
        <v>7.5384615384615401</v>
      </c>
      <c r="Z1210" s="23">
        <v>7.0538461538461501</v>
      </c>
      <c r="AA1210" s="23">
        <v>7.2961538461538504</v>
      </c>
      <c r="AO1210" s="14"/>
    </row>
    <row r="1211" spans="17:41" x14ac:dyDescent="0.3">
      <c r="Q1211" s="93">
        <v>46204</v>
      </c>
      <c r="R1211" t="s">
        <v>491</v>
      </c>
      <c r="S1211" t="s">
        <v>399</v>
      </c>
      <c r="T1211" s="14">
        <v>397.61059999999998</v>
      </c>
      <c r="W1211" s="20">
        <v>46038</v>
      </c>
      <c r="X1211" t="s">
        <v>279</v>
      </c>
      <c r="Y1211" s="23">
        <v>7.5769230769230802</v>
      </c>
      <c r="Z1211" s="23">
        <v>7.0923076923076902</v>
      </c>
      <c r="AA1211" s="23">
        <v>7.3346153846153896</v>
      </c>
      <c r="AO1211" s="14"/>
    </row>
    <row r="1212" spans="17:41" x14ac:dyDescent="0.3">
      <c r="Q1212" s="93">
        <v>46204</v>
      </c>
      <c r="R1212" t="s">
        <v>492</v>
      </c>
      <c r="S1212" t="s">
        <v>399</v>
      </c>
      <c r="T1212" s="14">
        <v>13800</v>
      </c>
      <c r="W1212" s="20">
        <v>46038</v>
      </c>
      <c r="X1212" t="s">
        <v>280</v>
      </c>
      <c r="Y1212" s="23">
        <v>7.6153846153846096</v>
      </c>
      <c r="Z1212" s="23">
        <v>7.1307692307692303</v>
      </c>
      <c r="AA1212" s="23">
        <v>7.37307692307692</v>
      </c>
      <c r="AO1212" s="14"/>
    </row>
    <row r="1213" spans="17:41" x14ac:dyDescent="0.3">
      <c r="Q1213" s="93">
        <v>46204</v>
      </c>
      <c r="R1213" t="s">
        <v>496</v>
      </c>
      <c r="S1213" t="s">
        <v>399</v>
      </c>
      <c r="T1213" s="14">
        <v>21730</v>
      </c>
      <c r="W1213" s="20">
        <v>46038</v>
      </c>
      <c r="X1213" t="s">
        <v>281</v>
      </c>
      <c r="Y1213" s="23">
        <v>7.6384615384615397</v>
      </c>
      <c r="Z1213" s="23">
        <v>7.1538461538461604</v>
      </c>
      <c r="AA1213" s="23">
        <v>7.3961538461538501</v>
      </c>
      <c r="AO1213" s="14"/>
    </row>
    <row r="1214" spans="17:41" x14ac:dyDescent="0.3">
      <c r="Q1214" s="93">
        <v>46204</v>
      </c>
      <c r="R1214" t="s">
        <v>497</v>
      </c>
      <c r="S1214" t="s">
        <v>399</v>
      </c>
      <c r="T1214" s="14">
        <v>397.61059999999998</v>
      </c>
      <c r="W1214" s="20">
        <v>46041</v>
      </c>
      <c r="X1214" t="s">
        <v>270</v>
      </c>
      <c r="Y1214" s="23">
        <v>7.2374999999999998</v>
      </c>
      <c r="Z1214" s="23">
        <v>6.7374999999999998</v>
      </c>
      <c r="AA1214" s="23">
        <v>6.9874999999999998</v>
      </c>
      <c r="AO1214" s="14"/>
    </row>
    <row r="1215" spans="17:41" x14ac:dyDescent="0.3">
      <c r="Q1215" s="93">
        <v>46204</v>
      </c>
      <c r="R1215" t="s">
        <v>498</v>
      </c>
      <c r="S1215" t="s">
        <v>399</v>
      </c>
      <c r="T1215" s="14">
        <v>13800</v>
      </c>
      <c r="W1215" s="20">
        <v>46041</v>
      </c>
      <c r="X1215" t="s">
        <v>271</v>
      </c>
      <c r="Y1215" s="23">
        <v>7.1846153846153902</v>
      </c>
      <c r="Z1215" s="23">
        <v>6.7307692307692299</v>
      </c>
      <c r="AA1215" s="23">
        <v>6.9576923076923096</v>
      </c>
      <c r="AO1215" s="14"/>
    </row>
    <row r="1216" spans="17:41" x14ac:dyDescent="0.3">
      <c r="Q1216" s="93">
        <v>46204</v>
      </c>
      <c r="R1216" t="s">
        <v>494</v>
      </c>
      <c r="S1216" t="s">
        <v>399</v>
      </c>
      <c r="T1216" s="14">
        <v>0</v>
      </c>
      <c r="W1216" s="20">
        <v>46041</v>
      </c>
      <c r="X1216" t="s">
        <v>272</v>
      </c>
      <c r="Y1216" s="23">
        <v>7.3333333333333304</v>
      </c>
      <c r="Z1216" s="23">
        <v>7.0333333333333297</v>
      </c>
      <c r="AA1216" s="23">
        <v>7.18333333333333</v>
      </c>
      <c r="AO1216" s="14"/>
    </row>
    <row r="1217" spans="17:41" x14ac:dyDescent="0.3">
      <c r="Q1217" s="93">
        <v>46204</v>
      </c>
      <c r="R1217" t="s">
        <v>495</v>
      </c>
      <c r="S1217" t="s">
        <v>399</v>
      </c>
      <c r="T1217" s="14">
        <v>0</v>
      </c>
      <c r="W1217" s="20">
        <v>46041</v>
      </c>
      <c r="X1217" t="s">
        <v>273</v>
      </c>
      <c r="Y1217" s="23">
        <v>7.3692307692307697</v>
      </c>
      <c r="Z1217" s="23">
        <v>6.8846153846153904</v>
      </c>
      <c r="AA1217" s="23">
        <v>7.12692307692308</v>
      </c>
      <c r="AO1217" s="14"/>
    </row>
    <row r="1218" spans="17:41" x14ac:dyDescent="0.3">
      <c r="Q1218" s="93">
        <v>46204</v>
      </c>
      <c r="R1218" t="s">
        <v>493</v>
      </c>
      <c r="S1218" t="s">
        <v>399</v>
      </c>
      <c r="T1218" s="14">
        <v>0</v>
      </c>
      <c r="W1218" s="20">
        <v>46041</v>
      </c>
      <c r="X1218" t="s">
        <v>274</v>
      </c>
      <c r="Y1218" s="23">
        <v>7.4076923076923098</v>
      </c>
      <c r="Z1218" s="23">
        <v>6.9230769230769198</v>
      </c>
      <c r="AA1218" s="23">
        <v>7.1653846153846201</v>
      </c>
      <c r="AO1218" s="14"/>
    </row>
    <row r="1219" spans="17:41" x14ac:dyDescent="0.3">
      <c r="Q1219" s="93">
        <v>46204</v>
      </c>
      <c r="R1219" t="s">
        <v>593</v>
      </c>
      <c r="S1219" t="s">
        <v>399</v>
      </c>
      <c r="T1219" s="14">
        <v>7470</v>
      </c>
      <c r="W1219" s="20">
        <v>46041</v>
      </c>
      <c r="X1219" t="s">
        <v>275</v>
      </c>
      <c r="Y1219" s="23">
        <v>7.4538461538461496</v>
      </c>
      <c r="Z1219" s="23">
        <v>6.9692307692307702</v>
      </c>
      <c r="AA1219" s="23">
        <v>7.2115384615384599</v>
      </c>
      <c r="AO1219" s="14"/>
    </row>
    <row r="1220" spans="17:41" x14ac:dyDescent="0.3">
      <c r="Q1220" s="93">
        <v>46204</v>
      </c>
      <c r="R1220" t="s">
        <v>594</v>
      </c>
      <c r="S1220" t="s">
        <v>399</v>
      </c>
      <c r="T1220" s="14">
        <v>0</v>
      </c>
      <c r="W1220" s="20">
        <v>46041</v>
      </c>
      <c r="X1220" t="s">
        <v>276</v>
      </c>
      <c r="Y1220" s="23">
        <v>7.5</v>
      </c>
      <c r="Z1220" s="23">
        <v>7.0153846153846198</v>
      </c>
      <c r="AA1220" s="23">
        <v>7.2576923076923103</v>
      </c>
      <c r="AO1220" s="14"/>
    </row>
    <row r="1221" spans="17:41" x14ac:dyDescent="0.3">
      <c r="Q1221" s="93">
        <v>46204</v>
      </c>
      <c r="R1221" t="s">
        <v>595</v>
      </c>
      <c r="S1221" t="s">
        <v>399</v>
      </c>
      <c r="T1221" s="14">
        <v>0</v>
      </c>
      <c r="W1221" s="20">
        <v>46041</v>
      </c>
      <c r="X1221" t="s">
        <v>277</v>
      </c>
      <c r="Y1221" s="23">
        <v>7.5538461538461501</v>
      </c>
      <c r="Z1221" s="23">
        <v>7.0692307692307699</v>
      </c>
      <c r="AA1221" s="23">
        <v>7.3115384615384604</v>
      </c>
      <c r="AO1221" s="14"/>
    </row>
    <row r="1222" spans="17:41" x14ac:dyDescent="0.3">
      <c r="Q1222" s="93">
        <v>46204</v>
      </c>
      <c r="R1222" t="s">
        <v>479</v>
      </c>
      <c r="S1222" t="s">
        <v>395</v>
      </c>
      <c r="T1222" s="14">
        <v>10248.74789728</v>
      </c>
      <c r="W1222" s="20">
        <v>46041</v>
      </c>
      <c r="X1222" t="s">
        <v>278</v>
      </c>
      <c r="Y1222" s="23">
        <v>7.5615384615384604</v>
      </c>
      <c r="Z1222" s="23">
        <v>7.0769230769230802</v>
      </c>
      <c r="AA1222" s="23">
        <v>7.3192307692307699</v>
      </c>
      <c r="AO1222" s="14"/>
    </row>
    <row r="1223" spans="17:41" x14ac:dyDescent="0.3">
      <c r="Q1223" s="93">
        <v>46204</v>
      </c>
      <c r="R1223" t="s">
        <v>303</v>
      </c>
      <c r="S1223" t="s">
        <v>303</v>
      </c>
      <c r="T1223" s="14">
        <v>0</v>
      </c>
      <c r="W1223" s="20">
        <v>46041</v>
      </c>
      <c r="X1223" t="s">
        <v>279</v>
      </c>
      <c r="Y1223" s="23">
        <v>7.5846153846153799</v>
      </c>
      <c r="Z1223" s="23">
        <v>7.1</v>
      </c>
      <c r="AA1223" s="23">
        <v>7.3423076923076902</v>
      </c>
      <c r="AO1223" s="14"/>
    </row>
    <row r="1224" spans="17:41" x14ac:dyDescent="0.3">
      <c r="Q1224" s="93">
        <v>46204</v>
      </c>
      <c r="R1224" t="s">
        <v>303</v>
      </c>
      <c r="S1224" t="s">
        <v>303</v>
      </c>
      <c r="T1224" s="14">
        <v>0</v>
      </c>
      <c r="W1224" s="20">
        <v>46041</v>
      </c>
      <c r="X1224" t="s">
        <v>280</v>
      </c>
      <c r="Y1224" s="23">
        <v>7.6307692307692303</v>
      </c>
      <c r="Z1224" s="23">
        <v>7.1461538461538501</v>
      </c>
      <c r="AA1224" s="23">
        <v>7.3884615384615397</v>
      </c>
      <c r="AO1224" s="14"/>
    </row>
    <row r="1225" spans="17:41" x14ac:dyDescent="0.3">
      <c r="Q1225" s="93">
        <v>46204</v>
      </c>
      <c r="R1225" t="s">
        <v>303</v>
      </c>
      <c r="S1225" t="s">
        <v>303</v>
      </c>
      <c r="T1225" s="14">
        <v>0</v>
      </c>
      <c r="W1225" s="20">
        <v>46041</v>
      </c>
      <c r="X1225" t="s">
        <v>281</v>
      </c>
      <c r="Y1225" s="23">
        <v>7.6461538461538403</v>
      </c>
      <c r="Z1225" s="23">
        <v>7.1615384615384601</v>
      </c>
      <c r="AA1225" s="23">
        <v>7.4038461538461604</v>
      </c>
      <c r="AO1225" s="14"/>
    </row>
    <row r="1226" spans="17:41" x14ac:dyDescent="0.3">
      <c r="Q1226" s="93">
        <v>46204</v>
      </c>
      <c r="R1226" t="s">
        <v>303</v>
      </c>
      <c r="S1226" t="s">
        <v>303</v>
      </c>
      <c r="T1226" s="14">
        <v>0</v>
      </c>
      <c r="W1226" s="20">
        <v>46042</v>
      </c>
      <c r="X1226" t="s">
        <v>270</v>
      </c>
      <c r="Y1226" s="23">
        <v>7.1571428571428601</v>
      </c>
      <c r="Z1226" s="23">
        <v>6.6571428571428601</v>
      </c>
      <c r="AA1226" s="23">
        <v>6.9071428571428601</v>
      </c>
      <c r="AO1226" s="14"/>
    </row>
    <row r="1227" spans="17:41" x14ac:dyDescent="0.3">
      <c r="Q1227" s="93">
        <v>46204</v>
      </c>
      <c r="R1227" t="s">
        <v>303</v>
      </c>
      <c r="S1227" t="s">
        <v>303</v>
      </c>
      <c r="T1227" s="14">
        <v>0</v>
      </c>
      <c r="W1227" s="20">
        <v>46042</v>
      </c>
      <c r="X1227" t="s">
        <v>271</v>
      </c>
      <c r="Y1227" s="23">
        <v>7.1538461538461604</v>
      </c>
      <c r="Z1227" s="23">
        <v>6.7</v>
      </c>
      <c r="AA1227" s="23">
        <v>6.9269230769230798</v>
      </c>
      <c r="AO1227" s="14"/>
    </row>
    <row r="1228" spans="17:41" x14ac:dyDescent="0.3">
      <c r="Q1228" s="93">
        <v>46204</v>
      </c>
      <c r="R1228" t="s">
        <v>303</v>
      </c>
      <c r="S1228" t="s">
        <v>303</v>
      </c>
      <c r="T1228" s="14">
        <v>0</v>
      </c>
      <c r="W1228" s="20">
        <v>46042</v>
      </c>
      <c r="X1228" t="s">
        <v>272</v>
      </c>
      <c r="Y1228" s="23">
        <v>7.3333333333333304</v>
      </c>
      <c r="Z1228" s="23">
        <v>7.0333333333333297</v>
      </c>
      <c r="AA1228" s="23">
        <v>7.18333333333333</v>
      </c>
      <c r="AO1228" s="14"/>
    </row>
    <row r="1229" spans="17:41" x14ac:dyDescent="0.3">
      <c r="Q1229" s="93">
        <v>46204</v>
      </c>
      <c r="R1229" t="s">
        <v>303</v>
      </c>
      <c r="S1229" t="s">
        <v>303</v>
      </c>
      <c r="T1229" s="14">
        <v>0</v>
      </c>
      <c r="W1229" s="20">
        <v>46042</v>
      </c>
      <c r="X1229" t="s">
        <v>273</v>
      </c>
      <c r="Y1229" s="23">
        <v>7.3615384615384603</v>
      </c>
      <c r="Z1229" s="23">
        <v>6.87692307692308</v>
      </c>
      <c r="AA1229" s="23">
        <v>7.1192307692307697</v>
      </c>
      <c r="AO1229" s="14"/>
    </row>
    <row r="1230" spans="17:41" x14ac:dyDescent="0.3">
      <c r="Q1230" s="93">
        <v>46204</v>
      </c>
      <c r="R1230" t="s">
        <v>479</v>
      </c>
      <c r="S1230" t="s">
        <v>415</v>
      </c>
      <c r="T1230" s="14">
        <v>7.1111348651863997</v>
      </c>
      <c r="W1230" s="20">
        <v>46042</v>
      </c>
      <c r="X1230" t="s">
        <v>274</v>
      </c>
      <c r="Y1230" s="23">
        <v>7.4076923076923098</v>
      </c>
      <c r="Z1230" s="23">
        <v>6.9230769230769198</v>
      </c>
      <c r="AA1230" s="23">
        <v>7.1653846153846201</v>
      </c>
      <c r="AO1230" s="14"/>
    </row>
    <row r="1231" spans="17:41" x14ac:dyDescent="0.3">
      <c r="Q1231" s="93">
        <v>46204</v>
      </c>
      <c r="R1231" t="s">
        <v>364</v>
      </c>
      <c r="S1231" t="s">
        <v>415</v>
      </c>
      <c r="T1231" s="14">
        <v>6.6944277108433701</v>
      </c>
      <c r="W1231" s="20">
        <v>46042</v>
      </c>
      <c r="X1231" t="s">
        <v>275</v>
      </c>
      <c r="Y1231" s="23">
        <v>7.4538461538461496</v>
      </c>
      <c r="Z1231" s="23">
        <v>6.9692307692307702</v>
      </c>
      <c r="AA1231" s="23">
        <v>7.2115384615384599</v>
      </c>
      <c r="AO1231" s="14"/>
    </row>
    <row r="1232" spans="17:41" x14ac:dyDescent="0.3">
      <c r="Q1232" s="93">
        <v>46204</v>
      </c>
      <c r="R1232" t="s">
        <v>516</v>
      </c>
      <c r="S1232" t="s">
        <v>415</v>
      </c>
      <c r="T1232" s="14">
        <v>6.8192493176016802</v>
      </c>
      <c r="W1232" s="20">
        <v>46042</v>
      </c>
      <c r="X1232" t="s">
        <v>276</v>
      </c>
      <c r="Y1232" s="23">
        <v>7.5</v>
      </c>
      <c r="Z1232" s="23">
        <v>7.0153846153846198</v>
      </c>
      <c r="AA1232" s="23">
        <v>7.2576923076923103</v>
      </c>
      <c r="AO1232" s="14"/>
    </row>
    <row r="1233" spans="17:41" x14ac:dyDescent="0.3">
      <c r="Q1233" s="93">
        <v>46204</v>
      </c>
      <c r="R1233" t="s">
        <v>1288</v>
      </c>
      <c r="S1233" t="s">
        <v>415</v>
      </c>
      <c r="T1233" s="14">
        <v>7.1111348651863997</v>
      </c>
      <c r="W1233" s="20">
        <v>46042</v>
      </c>
      <c r="X1233" t="s">
        <v>277</v>
      </c>
      <c r="Y1233" s="23">
        <v>7.5538461538461501</v>
      </c>
      <c r="Z1233" s="23">
        <v>7.0692307692307699</v>
      </c>
      <c r="AA1233" s="23">
        <v>7.3115384615384604</v>
      </c>
      <c r="AO1233" s="14"/>
    </row>
    <row r="1234" spans="17:41" x14ac:dyDescent="0.3">
      <c r="Q1234" s="93">
        <v>46204</v>
      </c>
      <c r="R1234" t="s">
        <v>496</v>
      </c>
      <c r="S1234" t="s">
        <v>415</v>
      </c>
      <c r="T1234" s="14">
        <v>6.6726516052318701</v>
      </c>
      <c r="W1234" s="20">
        <v>46042</v>
      </c>
      <c r="X1234" t="s">
        <v>278</v>
      </c>
      <c r="Y1234" s="23">
        <v>7.5615384615384604</v>
      </c>
      <c r="Z1234" s="23">
        <v>7.0769230769230802</v>
      </c>
      <c r="AA1234" s="23">
        <v>7.3192307692307699</v>
      </c>
      <c r="AO1234" s="14"/>
    </row>
    <row r="1235" spans="17:41" x14ac:dyDescent="0.3">
      <c r="Q1235" s="93">
        <v>46204</v>
      </c>
      <c r="R1235" t="s">
        <v>1290</v>
      </c>
      <c r="S1235" t="s">
        <v>415</v>
      </c>
      <c r="T1235" s="14">
        <v>6.8305464024238898</v>
      </c>
      <c r="W1235" s="20">
        <v>46042</v>
      </c>
      <c r="X1235" t="s">
        <v>279</v>
      </c>
      <c r="Y1235" s="23">
        <v>7.5846153846153799</v>
      </c>
      <c r="Z1235" s="23">
        <v>7.1</v>
      </c>
      <c r="AA1235" s="23">
        <v>7.3423076923076902</v>
      </c>
      <c r="AO1235" s="14"/>
    </row>
    <row r="1236" spans="17:41" x14ac:dyDescent="0.3">
      <c r="Q1236" s="93">
        <v>46204</v>
      </c>
      <c r="R1236" t="s">
        <v>364</v>
      </c>
      <c r="S1236" t="s">
        <v>997</v>
      </c>
      <c r="T1236" s="14">
        <v>32700</v>
      </c>
      <c r="W1236" s="20">
        <v>46042</v>
      </c>
      <c r="X1236" t="s">
        <v>280</v>
      </c>
      <c r="Y1236" s="23">
        <v>7.6307692307692303</v>
      </c>
      <c r="Z1236" s="23">
        <v>7.1461538461538501</v>
      </c>
      <c r="AA1236" s="23">
        <v>7.3884615384615397</v>
      </c>
      <c r="AO1236" s="14"/>
    </row>
    <row r="1237" spans="17:41" x14ac:dyDescent="0.3">
      <c r="Q1237" s="93">
        <v>46204</v>
      </c>
      <c r="R1237" t="s">
        <v>496</v>
      </c>
      <c r="S1237" t="s">
        <v>997</v>
      </c>
      <c r="T1237" s="14">
        <v>25230</v>
      </c>
      <c r="W1237" s="20">
        <v>46042</v>
      </c>
      <c r="X1237" t="s">
        <v>281</v>
      </c>
      <c r="Y1237" s="23">
        <v>7.6461538461538403</v>
      </c>
      <c r="Z1237" s="23">
        <v>7.1615384615384601</v>
      </c>
      <c r="AA1237" s="23">
        <v>7.4038461538461604</v>
      </c>
      <c r="AO1237" s="14"/>
    </row>
    <row r="1238" spans="17:41" x14ac:dyDescent="0.3">
      <c r="Q1238" s="93">
        <v>46203</v>
      </c>
      <c r="R1238" t="s">
        <v>303</v>
      </c>
      <c r="S1238" t="s">
        <v>303</v>
      </c>
      <c r="T1238" s="14">
        <v>0</v>
      </c>
      <c r="W1238" s="20">
        <v>46043</v>
      </c>
      <c r="X1238" t="s">
        <v>270</v>
      </c>
      <c r="Y1238" s="23">
        <v>7.1142857142857103</v>
      </c>
      <c r="Z1238" s="23">
        <v>6.6142857142857103</v>
      </c>
      <c r="AA1238" s="23">
        <v>6.8642857142857103</v>
      </c>
      <c r="AO1238" s="14"/>
    </row>
    <row r="1239" spans="17:41" x14ac:dyDescent="0.3">
      <c r="Q1239" s="93">
        <v>46203</v>
      </c>
      <c r="R1239" t="s">
        <v>303</v>
      </c>
      <c r="S1239" t="s">
        <v>303</v>
      </c>
      <c r="T1239" s="14">
        <v>0</v>
      </c>
      <c r="W1239" s="20">
        <v>46043</v>
      </c>
      <c r="X1239" t="s">
        <v>271</v>
      </c>
      <c r="Y1239" s="23">
        <v>7.1461538461538501</v>
      </c>
      <c r="Z1239" s="23">
        <v>6.7</v>
      </c>
      <c r="AA1239" s="23">
        <v>6.9230769230769198</v>
      </c>
      <c r="AO1239" s="14"/>
    </row>
    <row r="1240" spans="17:41" x14ac:dyDescent="0.3">
      <c r="Q1240" s="93">
        <v>46203</v>
      </c>
      <c r="R1240" t="s">
        <v>303</v>
      </c>
      <c r="S1240" t="s">
        <v>303</v>
      </c>
      <c r="T1240" s="14">
        <v>0</v>
      </c>
      <c r="W1240" s="20">
        <v>46043</v>
      </c>
      <c r="X1240" t="s">
        <v>272</v>
      </c>
      <c r="Y1240" s="23">
        <v>7.2666666666666702</v>
      </c>
      <c r="Z1240" s="23">
        <v>7</v>
      </c>
      <c r="AA1240" s="23">
        <v>7.1333333333333302</v>
      </c>
      <c r="AO1240" s="14"/>
    </row>
    <row r="1241" spans="17:41" x14ac:dyDescent="0.3">
      <c r="Q1241" s="93">
        <v>46203</v>
      </c>
      <c r="R1241" t="s">
        <v>303</v>
      </c>
      <c r="S1241" t="s">
        <v>303</v>
      </c>
      <c r="T1241" s="14">
        <v>0</v>
      </c>
      <c r="W1241" s="20">
        <v>46043</v>
      </c>
      <c r="X1241" t="s">
        <v>273</v>
      </c>
      <c r="Y1241" s="23">
        <v>7.3461538461538503</v>
      </c>
      <c r="Z1241" s="23">
        <v>6.8692307692307697</v>
      </c>
      <c r="AA1241" s="23">
        <v>7.10769230769231</v>
      </c>
      <c r="AO1241" s="14"/>
    </row>
    <row r="1242" spans="17:41" x14ac:dyDescent="0.3">
      <c r="Q1242" s="93">
        <v>46203</v>
      </c>
      <c r="R1242" t="s">
        <v>303</v>
      </c>
      <c r="S1242" t="s">
        <v>303</v>
      </c>
      <c r="T1242" s="14">
        <v>0</v>
      </c>
      <c r="W1242" s="20">
        <v>46043</v>
      </c>
      <c r="X1242" t="s">
        <v>274</v>
      </c>
      <c r="Y1242" s="23">
        <v>7.39230769230769</v>
      </c>
      <c r="Z1242" s="23">
        <v>6.9153846153846104</v>
      </c>
      <c r="AA1242" s="23">
        <v>7.1538461538461497</v>
      </c>
      <c r="AO1242" s="14"/>
    </row>
    <row r="1243" spans="17:41" x14ac:dyDescent="0.3">
      <c r="Q1243" s="93">
        <v>46203</v>
      </c>
      <c r="R1243" t="s">
        <v>303</v>
      </c>
      <c r="S1243" t="s">
        <v>303</v>
      </c>
      <c r="T1243" s="14">
        <v>0</v>
      </c>
      <c r="W1243" s="20">
        <v>46043</v>
      </c>
      <c r="X1243" t="s">
        <v>275</v>
      </c>
      <c r="Y1243" s="23">
        <v>7.4384615384615396</v>
      </c>
      <c r="Z1243" s="23">
        <v>6.9615384615384599</v>
      </c>
      <c r="AA1243" s="23">
        <v>7.2</v>
      </c>
      <c r="AO1243" s="14"/>
    </row>
    <row r="1244" spans="17:41" x14ac:dyDescent="0.3">
      <c r="Q1244" s="93">
        <v>46203</v>
      </c>
      <c r="R1244" t="s">
        <v>303</v>
      </c>
      <c r="S1244" t="s">
        <v>303</v>
      </c>
      <c r="T1244" s="14">
        <v>0</v>
      </c>
      <c r="W1244" s="20">
        <v>46043</v>
      </c>
      <c r="X1244" t="s">
        <v>276</v>
      </c>
      <c r="Y1244" s="23">
        <v>7.4846153846153802</v>
      </c>
      <c r="Z1244" s="23">
        <v>7.0076923076923103</v>
      </c>
      <c r="AA1244" s="23">
        <v>7.2461538461538497</v>
      </c>
      <c r="AO1244" s="14"/>
    </row>
    <row r="1245" spans="17:41" x14ac:dyDescent="0.3">
      <c r="Q1245" s="93">
        <v>46203</v>
      </c>
      <c r="R1245" t="s">
        <v>303</v>
      </c>
      <c r="S1245" t="s">
        <v>303</v>
      </c>
      <c r="T1245" s="14">
        <v>0</v>
      </c>
      <c r="W1245" s="20">
        <v>46043</v>
      </c>
      <c r="X1245" t="s">
        <v>277</v>
      </c>
      <c r="Y1245" s="23">
        <v>7.5384615384615401</v>
      </c>
      <c r="Z1245" s="23">
        <v>7.0615384615384604</v>
      </c>
      <c r="AA1245" s="23">
        <v>7.3</v>
      </c>
      <c r="AO1245" s="14"/>
    </row>
    <row r="1246" spans="17:41" x14ac:dyDescent="0.3">
      <c r="Q1246" s="93">
        <v>46203</v>
      </c>
      <c r="R1246" t="s">
        <v>303</v>
      </c>
      <c r="S1246" t="s">
        <v>303</v>
      </c>
      <c r="T1246" s="14">
        <v>0</v>
      </c>
      <c r="W1246" s="20">
        <v>46043</v>
      </c>
      <c r="X1246" t="s">
        <v>278</v>
      </c>
      <c r="Y1246" s="23">
        <v>7.5461538461538398</v>
      </c>
      <c r="Z1246" s="23">
        <v>7.0692307692307699</v>
      </c>
      <c r="AA1246" s="23">
        <v>7.3076923076923102</v>
      </c>
      <c r="AO1246" s="14"/>
    </row>
    <row r="1247" spans="17:41" x14ac:dyDescent="0.3">
      <c r="Q1247" s="93">
        <v>46203</v>
      </c>
      <c r="R1247" t="s">
        <v>364</v>
      </c>
      <c r="S1247" t="s">
        <v>399</v>
      </c>
      <c r="T1247" s="14">
        <v>28300</v>
      </c>
      <c r="W1247" s="20">
        <v>46043</v>
      </c>
      <c r="X1247" t="s">
        <v>279</v>
      </c>
      <c r="Y1247" s="23">
        <v>7.5692307692307699</v>
      </c>
      <c r="Z1247" s="23">
        <v>7.0923076923076902</v>
      </c>
      <c r="AA1247" s="23">
        <v>7.3307692307692296</v>
      </c>
      <c r="AO1247" s="14"/>
    </row>
    <row r="1248" spans="17:41" x14ac:dyDescent="0.3">
      <c r="Q1248" s="93">
        <v>46203</v>
      </c>
      <c r="R1248" t="s">
        <v>491</v>
      </c>
      <c r="S1248" t="s">
        <v>399</v>
      </c>
      <c r="T1248" s="14">
        <v>397.61059999999998</v>
      </c>
      <c r="W1248" s="20">
        <v>46043</v>
      </c>
      <c r="X1248" t="s">
        <v>280</v>
      </c>
      <c r="Y1248" s="23">
        <v>7.6153846153846096</v>
      </c>
      <c r="Z1248" s="23">
        <v>7.1384615384615397</v>
      </c>
      <c r="AA1248" s="23">
        <v>7.37692307692308</v>
      </c>
      <c r="AO1248" s="14"/>
    </row>
    <row r="1249" spans="17:41" x14ac:dyDescent="0.3">
      <c r="Q1249" s="93">
        <v>46203</v>
      </c>
      <c r="R1249" t="s">
        <v>492</v>
      </c>
      <c r="S1249" t="s">
        <v>399</v>
      </c>
      <c r="T1249" s="14">
        <v>10800</v>
      </c>
      <c r="W1249" s="20">
        <v>46043</v>
      </c>
      <c r="X1249" t="s">
        <v>281</v>
      </c>
      <c r="Y1249" s="23">
        <v>7.6307692307692303</v>
      </c>
      <c r="Z1249" s="23">
        <v>7.1538461538461604</v>
      </c>
      <c r="AA1249" s="23">
        <v>7.39230769230769</v>
      </c>
      <c r="AO1249" s="14"/>
    </row>
    <row r="1250" spans="17:41" x14ac:dyDescent="0.3">
      <c r="Q1250" s="93">
        <v>46203</v>
      </c>
      <c r="R1250" t="s">
        <v>496</v>
      </c>
      <c r="S1250" t="s">
        <v>399</v>
      </c>
      <c r="T1250" s="14">
        <v>21530</v>
      </c>
      <c r="W1250" s="20">
        <v>46044</v>
      </c>
      <c r="X1250" t="s">
        <v>270</v>
      </c>
      <c r="Y1250" s="23">
        <v>7.1142857142857103</v>
      </c>
      <c r="Z1250" s="23">
        <v>6.6142857142857103</v>
      </c>
      <c r="AA1250" s="23">
        <v>6.8642857142857103</v>
      </c>
      <c r="AO1250" s="14"/>
    </row>
    <row r="1251" spans="17:41" x14ac:dyDescent="0.3">
      <c r="Q1251" s="93">
        <v>46203</v>
      </c>
      <c r="R1251" t="s">
        <v>497</v>
      </c>
      <c r="S1251" t="s">
        <v>399</v>
      </c>
      <c r="T1251" s="14">
        <v>397.61059999999998</v>
      </c>
      <c r="W1251" s="20">
        <v>46044</v>
      </c>
      <c r="X1251" t="s">
        <v>271</v>
      </c>
      <c r="Y1251" s="23">
        <v>7.1384615384615397</v>
      </c>
      <c r="Z1251" s="23">
        <v>6.6923076923076898</v>
      </c>
      <c r="AA1251" s="23">
        <v>6.9153846153846201</v>
      </c>
      <c r="AO1251" s="14"/>
    </row>
    <row r="1252" spans="17:41" x14ac:dyDescent="0.3">
      <c r="Q1252" s="93">
        <v>46203</v>
      </c>
      <c r="R1252" t="s">
        <v>498</v>
      </c>
      <c r="S1252" t="s">
        <v>399</v>
      </c>
      <c r="T1252" s="14">
        <v>10800</v>
      </c>
      <c r="W1252" s="20">
        <v>46044</v>
      </c>
      <c r="X1252" t="s">
        <v>272</v>
      </c>
      <c r="Y1252" s="23">
        <v>7.2666666666666702</v>
      </c>
      <c r="Z1252" s="23">
        <v>7</v>
      </c>
      <c r="AA1252" s="23">
        <v>7.1333333333333302</v>
      </c>
      <c r="AO1252" s="14"/>
    </row>
    <row r="1253" spans="17:41" x14ac:dyDescent="0.3">
      <c r="Q1253" s="93">
        <v>46203</v>
      </c>
      <c r="R1253" t="s">
        <v>494</v>
      </c>
      <c r="S1253" t="s">
        <v>399</v>
      </c>
      <c r="T1253" s="14">
        <v>0</v>
      </c>
      <c r="W1253" s="20">
        <v>46044</v>
      </c>
      <c r="X1253" t="s">
        <v>273</v>
      </c>
      <c r="Y1253" s="23">
        <v>7.3461538461538503</v>
      </c>
      <c r="Z1253" s="23">
        <v>6.8692307692307697</v>
      </c>
      <c r="AA1253" s="23">
        <v>7.10769230769231</v>
      </c>
      <c r="AO1253" s="14"/>
    </row>
    <row r="1254" spans="17:41" x14ac:dyDescent="0.3">
      <c r="Q1254" s="93">
        <v>46203</v>
      </c>
      <c r="R1254" t="s">
        <v>495</v>
      </c>
      <c r="S1254" t="s">
        <v>399</v>
      </c>
      <c r="T1254" s="14">
        <v>0</v>
      </c>
      <c r="W1254" s="20">
        <v>46044</v>
      </c>
      <c r="X1254" t="s">
        <v>274</v>
      </c>
      <c r="Y1254" s="23">
        <v>7.3846153846153797</v>
      </c>
      <c r="Z1254" s="23">
        <v>6.9076923076923098</v>
      </c>
      <c r="AA1254" s="23">
        <v>7.1461538461538501</v>
      </c>
      <c r="AO1254" s="14"/>
    </row>
    <row r="1255" spans="17:41" x14ac:dyDescent="0.3">
      <c r="Q1255" s="93">
        <v>46203</v>
      </c>
      <c r="R1255" t="s">
        <v>493</v>
      </c>
      <c r="S1255" t="s">
        <v>399</v>
      </c>
      <c r="T1255" s="14">
        <v>0</v>
      </c>
      <c r="W1255" s="20">
        <v>46044</v>
      </c>
      <c r="X1255" t="s">
        <v>275</v>
      </c>
      <c r="Y1255" s="23">
        <v>7.4307692307692301</v>
      </c>
      <c r="Z1255" s="23">
        <v>6.9538461538461496</v>
      </c>
      <c r="AA1255" s="23">
        <v>7.1923076923076898</v>
      </c>
      <c r="AO1255" s="14"/>
    </row>
    <row r="1256" spans="17:41" x14ac:dyDescent="0.3">
      <c r="Q1256" s="93">
        <v>46203</v>
      </c>
      <c r="R1256" t="s">
        <v>593</v>
      </c>
      <c r="S1256" t="s">
        <v>399</v>
      </c>
      <c r="T1256" s="14">
        <v>7170</v>
      </c>
      <c r="W1256" s="20">
        <v>46044</v>
      </c>
      <c r="X1256" t="s">
        <v>276</v>
      </c>
      <c r="Y1256" s="23">
        <v>7.4769230769230797</v>
      </c>
      <c r="Z1256" s="23">
        <v>7</v>
      </c>
      <c r="AA1256" s="23">
        <v>7.2384615384615403</v>
      </c>
      <c r="AO1256" s="14"/>
    </row>
    <row r="1257" spans="17:41" x14ac:dyDescent="0.3">
      <c r="Q1257" s="93">
        <v>46203</v>
      </c>
      <c r="R1257" t="s">
        <v>594</v>
      </c>
      <c r="S1257" t="s">
        <v>399</v>
      </c>
      <c r="T1257" s="14">
        <v>0</v>
      </c>
      <c r="W1257" s="20">
        <v>46044</v>
      </c>
      <c r="X1257" t="s">
        <v>277</v>
      </c>
      <c r="Y1257" s="23">
        <v>7.5307692307692298</v>
      </c>
      <c r="Z1257" s="23">
        <v>7.0538461538461501</v>
      </c>
      <c r="AA1257" s="23">
        <v>7.2923076923076904</v>
      </c>
      <c r="AO1257" s="14"/>
    </row>
    <row r="1258" spans="17:41" x14ac:dyDescent="0.3">
      <c r="Q1258" s="93">
        <v>46203</v>
      </c>
      <c r="R1258" t="s">
        <v>595</v>
      </c>
      <c r="S1258" t="s">
        <v>399</v>
      </c>
      <c r="T1258" s="14">
        <v>0</v>
      </c>
      <c r="W1258" s="20">
        <v>46044</v>
      </c>
      <c r="X1258" t="s">
        <v>278</v>
      </c>
      <c r="Y1258" s="23">
        <v>7.5384615384615401</v>
      </c>
      <c r="Z1258" s="23">
        <v>7.0615384615384604</v>
      </c>
      <c r="AA1258" s="23">
        <v>7.3</v>
      </c>
      <c r="AO1258" s="14"/>
    </row>
    <row r="1259" spans="17:41" x14ac:dyDescent="0.3">
      <c r="Q1259" s="93">
        <v>46203</v>
      </c>
      <c r="R1259" t="s">
        <v>479</v>
      </c>
      <c r="S1259" t="s">
        <v>395</v>
      </c>
      <c r="T1259" s="14">
        <v>10250.939974404801</v>
      </c>
      <c r="W1259" s="20">
        <v>46044</v>
      </c>
      <c r="X1259" t="s">
        <v>279</v>
      </c>
      <c r="Y1259" s="23">
        <v>7.5615384615384604</v>
      </c>
      <c r="Z1259" s="23">
        <v>7.0846153846153896</v>
      </c>
      <c r="AA1259" s="23">
        <v>7.3230769230769202</v>
      </c>
      <c r="AO1259" s="14"/>
    </row>
    <row r="1260" spans="17:41" x14ac:dyDescent="0.3">
      <c r="Q1260" s="93">
        <v>46203</v>
      </c>
      <c r="R1260" t="s">
        <v>479</v>
      </c>
      <c r="S1260" t="s">
        <v>415</v>
      </c>
      <c r="T1260" s="14">
        <v>7.1111348651863997</v>
      </c>
      <c r="W1260" s="20">
        <v>46044</v>
      </c>
      <c r="X1260" t="s">
        <v>280</v>
      </c>
      <c r="Y1260" s="23">
        <v>7.60769230769231</v>
      </c>
      <c r="Z1260" s="23">
        <v>7.1307692307692303</v>
      </c>
      <c r="AA1260" s="23">
        <v>7.3692307692307697</v>
      </c>
      <c r="AO1260" s="14"/>
    </row>
    <row r="1261" spans="17:41" x14ac:dyDescent="0.3">
      <c r="Q1261" s="93">
        <v>46203</v>
      </c>
      <c r="R1261" t="s">
        <v>364</v>
      </c>
      <c r="S1261" t="s">
        <v>415</v>
      </c>
      <c r="T1261" s="14">
        <v>6.6729357798165099</v>
      </c>
      <c r="W1261" s="20">
        <v>46044</v>
      </c>
      <c r="X1261" t="s">
        <v>281</v>
      </c>
      <c r="Y1261" s="23">
        <v>7.62307692307692</v>
      </c>
      <c r="Z1261" s="23">
        <v>7.1461538461538501</v>
      </c>
      <c r="AA1261" s="23">
        <v>7.3846153846153904</v>
      </c>
      <c r="AO1261" s="14"/>
    </row>
    <row r="1262" spans="17:41" x14ac:dyDescent="0.3">
      <c r="Q1262" s="93">
        <v>46203</v>
      </c>
      <c r="R1262" t="s">
        <v>516</v>
      </c>
      <c r="S1262" t="s">
        <v>415</v>
      </c>
      <c r="T1262" s="14">
        <v>6.8055945634893398</v>
      </c>
      <c r="W1262" s="20">
        <v>46048</v>
      </c>
      <c r="X1262" t="s">
        <v>270</v>
      </c>
      <c r="Y1262" s="23">
        <v>7.2428571428571402</v>
      </c>
      <c r="Z1262" s="23">
        <v>6.7428571428571402</v>
      </c>
      <c r="AA1262" s="23">
        <v>6.9928571428571402</v>
      </c>
      <c r="AO1262" s="14"/>
    </row>
    <row r="1263" spans="17:41" x14ac:dyDescent="0.3">
      <c r="Q1263" s="93">
        <v>46203</v>
      </c>
      <c r="R1263" t="s">
        <v>1288</v>
      </c>
      <c r="S1263" t="s">
        <v>415</v>
      </c>
      <c r="T1263" s="14">
        <v>7.1111348651863997</v>
      </c>
      <c r="W1263" s="20">
        <v>46048</v>
      </c>
      <c r="X1263" t="s">
        <v>271</v>
      </c>
      <c r="Y1263" s="23">
        <v>7.2666666666666702</v>
      </c>
      <c r="Z1263" s="23">
        <v>6.9</v>
      </c>
      <c r="AA1263" s="23">
        <v>7.0833333333333304</v>
      </c>
      <c r="AO1263" s="14"/>
    </row>
    <row r="1264" spans="17:41" x14ac:dyDescent="0.3">
      <c r="Q1264" s="93">
        <v>46203</v>
      </c>
      <c r="R1264" t="s">
        <v>496</v>
      </c>
      <c r="S1264" t="s">
        <v>415</v>
      </c>
      <c r="T1264" s="14">
        <v>6.6380743108270099</v>
      </c>
      <c r="W1264" s="20">
        <v>46048</v>
      </c>
      <c r="X1264" t="s">
        <v>272</v>
      </c>
      <c r="Y1264" s="23">
        <v>7.3</v>
      </c>
      <c r="Z1264" s="23">
        <v>7.0333333333333297</v>
      </c>
      <c r="AA1264" s="23">
        <v>7.1666666666666696</v>
      </c>
      <c r="AO1264" s="14"/>
    </row>
    <row r="1265" spans="17:41" x14ac:dyDescent="0.3">
      <c r="Q1265" s="93">
        <v>46203</v>
      </c>
      <c r="R1265" t="s">
        <v>1290</v>
      </c>
      <c r="S1265" t="s">
        <v>415</v>
      </c>
      <c r="T1265" s="14">
        <v>6.8092886529265204</v>
      </c>
      <c r="W1265" s="20">
        <v>46048</v>
      </c>
      <c r="X1265" t="s">
        <v>273</v>
      </c>
      <c r="Y1265" s="23">
        <v>7.3384615384615399</v>
      </c>
      <c r="Z1265" s="23">
        <v>6.8615384615384603</v>
      </c>
      <c r="AA1265" s="23">
        <v>7.1</v>
      </c>
      <c r="AO1265" s="14"/>
    </row>
    <row r="1266" spans="17:41" x14ac:dyDescent="0.3">
      <c r="Q1266" s="93">
        <v>46203</v>
      </c>
      <c r="R1266" t="s">
        <v>364</v>
      </c>
      <c r="S1266" t="s">
        <v>997</v>
      </c>
      <c r="T1266" s="14">
        <v>32200</v>
      </c>
      <c r="W1266" s="20">
        <v>46048</v>
      </c>
      <c r="X1266" t="s">
        <v>274</v>
      </c>
      <c r="Y1266" s="23">
        <v>7.3846153846153797</v>
      </c>
      <c r="Z1266" s="23">
        <v>6.9076923076923098</v>
      </c>
      <c r="AA1266" s="23">
        <v>7.1461538461538501</v>
      </c>
      <c r="AO1266" s="14"/>
    </row>
    <row r="1267" spans="17:41" x14ac:dyDescent="0.3">
      <c r="Q1267" s="93">
        <v>46203</v>
      </c>
      <c r="R1267" t="s">
        <v>496</v>
      </c>
      <c r="S1267" t="s">
        <v>997</v>
      </c>
      <c r="T1267" s="14">
        <v>25030</v>
      </c>
      <c r="W1267" s="20">
        <v>46048</v>
      </c>
      <c r="X1267" t="s">
        <v>275</v>
      </c>
      <c r="Y1267" s="23">
        <v>7.4307692307692301</v>
      </c>
      <c r="Z1267" s="23">
        <v>6.9538461538461496</v>
      </c>
      <c r="AA1267" s="23">
        <v>7.1923076923076898</v>
      </c>
      <c r="AO1267" s="14"/>
    </row>
    <row r="1268" spans="17:41" x14ac:dyDescent="0.3">
      <c r="Q1268" s="93">
        <v>46203</v>
      </c>
      <c r="R1268" t="s">
        <v>479</v>
      </c>
      <c r="S1268" t="s">
        <v>399</v>
      </c>
      <c r="T1268" s="14">
        <v>11197.6106</v>
      </c>
      <c r="W1268" s="20">
        <v>46048</v>
      </c>
      <c r="X1268" t="s">
        <v>276</v>
      </c>
      <c r="Y1268" s="23">
        <v>7.4769230769230797</v>
      </c>
      <c r="Z1268" s="23">
        <v>7</v>
      </c>
      <c r="AA1268" s="23">
        <v>7.2384615384615403</v>
      </c>
      <c r="AO1268" s="14"/>
    </row>
    <row r="1269" spans="17:41" x14ac:dyDescent="0.3">
      <c r="Q1269" s="93">
        <v>46202</v>
      </c>
      <c r="R1269" t="s">
        <v>303</v>
      </c>
      <c r="S1269" t="s">
        <v>303</v>
      </c>
      <c r="T1269" s="14">
        <v>0</v>
      </c>
      <c r="W1269" s="20">
        <v>46048</v>
      </c>
      <c r="X1269" t="s">
        <v>277</v>
      </c>
      <c r="Y1269" s="23">
        <v>7.5307692307692298</v>
      </c>
      <c r="Z1269" s="23">
        <v>7.0538461538461501</v>
      </c>
      <c r="AA1269" s="23">
        <v>7.2923076923076904</v>
      </c>
      <c r="AO1269" s="14"/>
    </row>
    <row r="1270" spans="17:41" x14ac:dyDescent="0.3">
      <c r="Q1270" s="93">
        <v>46202</v>
      </c>
      <c r="R1270" t="s">
        <v>303</v>
      </c>
      <c r="S1270" t="s">
        <v>303</v>
      </c>
      <c r="T1270" s="14">
        <v>0</v>
      </c>
      <c r="W1270" s="20">
        <v>46048</v>
      </c>
      <c r="X1270" t="s">
        <v>278</v>
      </c>
      <c r="Y1270" s="23">
        <v>7.5384615384615401</v>
      </c>
      <c r="Z1270" s="23">
        <v>7.0615384615384604</v>
      </c>
      <c r="AA1270" s="23">
        <v>7.3</v>
      </c>
      <c r="AO1270" s="14"/>
    </row>
    <row r="1271" spans="17:41" x14ac:dyDescent="0.3">
      <c r="Q1271" s="93">
        <v>46202</v>
      </c>
      <c r="R1271" t="s">
        <v>303</v>
      </c>
      <c r="S1271" t="s">
        <v>303</v>
      </c>
      <c r="T1271" s="14">
        <v>0</v>
      </c>
      <c r="W1271" s="20">
        <v>46048</v>
      </c>
      <c r="X1271" t="s">
        <v>279</v>
      </c>
      <c r="Y1271" s="23">
        <v>7.5615384615384604</v>
      </c>
      <c r="Z1271" s="23">
        <v>7.0846153846153896</v>
      </c>
      <c r="AA1271" s="23">
        <v>7.3230769230769202</v>
      </c>
      <c r="AO1271" s="14"/>
    </row>
    <row r="1272" spans="17:41" x14ac:dyDescent="0.3">
      <c r="Q1272" s="93">
        <v>46202</v>
      </c>
      <c r="R1272" t="s">
        <v>303</v>
      </c>
      <c r="S1272" t="s">
        <v>303</v>
      </c>
      <c r="T1272" s="14">
        <v>0</v>
      </c>
      <c r="W1272" s="20">
        <v>46048</v>
      </c>
      <c r="X1272" t="s">
        <v>280</v>
      </c>
      <c r="Y1272" s="23">
        <v>7.60769230769231</v>
      </c>
      <c r="Z1272" s="23">
        <v>7.1307692307692303</v>
      </c>
      <c r="AA1272" s="23">
        <v>7.3692307692307697</v>
      </c>
      <c r="AO1272" s="14"/>
    </row>
    <row r="1273" spans="17:41" x14ac:dyDescent="0.3">
      <c r="Q1273" s="93">
        <v>46202</v>
      </c>
      <c r="R1273" t="s">
        <v>303</v>
      </c>
      <c r="S1273" t="s">
        <v>303</v>
      </c>
      <c r="T1273" s="14">
        <v>0</v>
      </c>
      <c r="W1273" s="20">
        <v>46048</v>
      </c>
      <c r="X1273" t="s">
        <v>281</v>
      </c>
      <c r="Y1273" s="23">
        <v>7.62307692307692</v>
      </c>
      <c r="Z1273" s="23">
        <v>7.1461538461538501</v>
      </c>
      <c r="AA1273" s="23">
        <v>7.3846153846153904</v>
      </c>
      <c r="AO1273" s="14"/>
    </row>
    <row r="1274" spans="17:41" x14ac:dyDescent="0.3">
      <c r="Q1274" s="93">
        <v>46202</v>
      </c>
      <c r="R1274" t="s">
        <v>303</v>
      </c>
      <c r="S1274" t="s">
        <v>303</v>
      </c>
      <c r="T1274" s="14">
        <v>0</v>
      </c>
      <c r="W1274" s="20">
        <v>46045</v>
      </c>
      <c r="X1274" t="s">
        <v>270</v>
      </c>
      <c r="Y1274" s="23">
        <v>7.2</v>
      </c>
      <c r="Z1274" s="23">
        <v>6.7</v>
      </c>
      <c r="AA1274" s="23">
        <v>6.95</v>
      </c>
      <c r="AO1274" s="14"/>
    </row>
    <row r="1275" spans="17:41" x14ac:dyDescent="0.3">
      <c r="Q1275" s="93">
        <v>46202</v>
      </c>
      <c r="R1275" t="s">
        <v>303</v>
      </c>
      <c r="S1275" t="s">
        <v>303</v>
      </c>
      <c r="T1275" s="14">
        <v>0</v>
      </c>
      <c r="W1275" s="20">
        <v>46045</v>
      </c>
      <c r="X1275" t="s">
        <v>271</v>
      </c>
      <c r="Y1275" s="23">
        <v>7.1384615384615397</v>
      </c>
      <c r="Z1275" s="23">
        <v>6.6923076923076898</v>
      </c>
      <c r="AA1275" s="23">
        <v>6.9153846153846201</v>
      </c>
      <c r="AO1275" s="14"/>
    </row>
    <row r="1276" spans="17:41" x14ac:dyDescent="0.3">
      <c r="Q1276" s="93">
        <v>46202</v>
      </c>
      <c r="R1276" t="s">
        <v>303</v>
      </c>
      <c r="S1276" t="s">
        <v>303</v>
      </c>
      <c r="T1276" s="14">
        <v>0</v>
      </c>
      <c r="W1276" s="20">
        <v>46045</v>
      </c>
      <c r="X1276" t="s">
        <v>272</v>
      </c>
      <c r="Y1276" s="23">
        <v>7.2666666666666702</v>
      </c>
      <c r="Z1276" s="23">
        <v>7</v>
      </c>
      <c r="AA1276" s="23">
        <v>7.1333333333333302</v>
      </c>
      <c r="AO1276" s="14"/>
    </row>
    <row r="1277" spans="17:41" x14ac:dyDescent="0.3">
      <c r="Q1277" s="93">
        <v>46202</v>
      </c>
      <c r="R1277" t="s">
        <v>303</v>
      </c>
      <c r="S1277" t="s">
        <v>303</v>
      </c>
      <c r="T1277" s="14">
        <v>0</v>
      </c>
      <c r="W1277" s="20">
        <v>46045</v>
      </c>
      <c r="X1277" t="s">
        <v>273</v>
      </c>
      <c r="Y1277" s="23">
        <v>7.3384615384615399</v>
      </c>
      <c r="Z1277" s="23">
        <v>6.8615384615384603</v>
      </c>
      <c r="AA1277" s="23">
        <v>7.1</v>
      </c>
      <c r="AO1277" s="14"/>
    </row>
    <row r="1278" spans="17:41" x14ac:dyDescent="0.3">
      <c r="Q1278" s="93">
        <v>46202</v>
      </c>
      <c r="R1278" t="s">
        <v>479</v>
      </c>
      <c r="S1278" t="s">
        <v>399</v>
      </c>
      <c r="T1278" s="14">
        <v>11197.6106</v>
      </c>
      <c r="W1278" s="20">
        <v>46045</v>
      </c>
      <c r="X1278" t="s">
        <v>274</v>
      </c>
      <c r="Y1278" s="23">
        <v>7.3846153846153797</v>
      </c>
      <c r="Z1278" s="23">
        <v>6.9076923076923098</v>
      </c>
      <c r="AA1278" s="23">
        <v>7.1461538461538501</v>
      </c>
      <c r="AO1278" s="14"/>
    </row>
    <row r="1279" spans="17:41" x14ac:dyDescent="0.3">
      <c r="Q1279" s="93">
        <v>46202</v>
      </c>
      <c r="R1279" t="s">
        <v>364</v>
      </c>
      <c r="S1279" t="s">
        <v>399</v>
      </c>
      <c r="T1279" s="14">
        <v>28800</v>
      </c>
      <c r="W1279" s="20">
        <v>46045</v>
      </c>
      <c r="X1279" t="s">
        <v>275</v>
      </c>
      <c r="Y1279" s="23">
        <v>7.4307692307692301</v>
      </c>
      <c r="Z1279" s="23">
        <v>6.9538461538461496</v>
      </c>
      <c r="AA1279" s="23">
        <v>7.1923076923076898</v>
      </c>
      <c r="AO1279" s="14"/>
    </row>
    <row r="1280" spans="17:41" x14ac:dyDescent="0.3">
      <c r="Q1280" s="93">
        <v>46202</v>
      </c>
      <c r="R1280" t="s">
        <v>491</v>
      </c>
      <c r="S1280" t="s">
        <v>399</v>
      </c>
      <c r="T1280" s="14">
        <v>397.61059999999998</v>
      </c>
      <c r="W1280" s="20">
        <v>46045</v>
      </c>
      <c r="X1280" t="s">
        <v>276</v>
      </c>
      <c r="Y1280" s="23">
        <v>7.4769230769230797</v>
      </c>
      <c r="Z1280" s="23">
        <v>7</v>
      </c>
      <c r="AA1280" s="23">
        <v>7.2384615384615403</v>
      </c>
      <c r="AO1280" s="14"/>
    </row>
    <row r="1281" spans="17:41" x14ac:dyDescent="0.3">
      <c r="Q1281" s="93">
        <v>46202</v>
      </c>
      <c r="R1281" t="s">
        <v>492</v>
      </c>
      <c r="S1281" t="s">
        <v>399</v>
      </c>
      <c r="T1281" s="14">
        <v>13800</v>
      </c>
      <c r="W1281" s="20">
        <v>46045</v>
      </c>
      <c r="X1281" t="s">
        <v>277</v>
      </c>
      <c r="Y1281" s="23">
        <v>7.5307692307692298</v>
      </c>
      <c r="Z1281" s="23">
        <v>7.0538461538461501</v>
      </c>
      <c r="AA1281" s="23">
        <v>7.2923076923076904</v>
      </c>
      <c r="AO1281" s="14"/>
    </row>
    <row r="1282" spans="17:41" x14ac:dyDescent="0.3">
      <c r="Q1282" s="93">
        <v>46202</v>
      </c>
      <c r="R1282" t="s">
        <v>496</v>
      </c>
      <c r="S1282" t="s">
        <v>399</v>
      </c>
      <c r="T1282" s="14">
        <v>21030</v>
      </c>
      <c r="W1282" s="20">
        <v>46045</v>
      </c>
      <c r="X1282" t="s">
        <v>278</v>
      </c>
      <c r="Y1282" s="23">
        <v>7.5384615384615401</v>
      </c>
      <c r="Z1282" s="23">
        <v>7.0615384615384604</v>
      </c>
      <c r="AA1282" s="23">
        <v>7.3</v>
      </c>
      <c r="AO1282" s="14"/>
    </row>
    <row r="1283" spans="17:41" x14ac:dyDescent="0.3">
      <c r="Q1283" s="93">
        <v>46202</v>
      </c>
      <c r="R1283" t="s">
        <v>497</v>
      </c>
      <c r="S1283" t="s">
        <v>399</v>
      </c>
      <c r="T1283" s="14">
        <v>397.61059999999998</v>
      </c>
      <c r="W1283" s="20">
        <v>46045</v>
      </c>
      <c r="X1283" t="s">
        <v>279</v>
      </c>
      <c r="Y1283" s="23">
        <v>7.5615384615384604</v>
      </c>
      <c r="Z1283" s="23">
        <v>7.0846153846153896</v>
      </c>
      <c r="AA1283" s="23">
        <v>7.3230769230769202</v>
      </c>
      <c r="AO1283" s="14"/>
    </row>
    <row r="1284" spans="17:41" x14ac:dyDescent="0.3">
      <c r="Q1284" s="93">
        <v>46202</v>
      </c>
      <c r="R1284" t="s">
        <v>498</v>
      </c>
      <c r="S1284" t="s">
        <v>399</v>
      </c>
      <c r="T1284" s="14">
        <v>13800</v>
      </c>
      <c r="W1284" s="20">
        <v>46045</v>
      </c>
      <c r="X1284" t="s">
        <v>280</v>
      </c>
      <c r="Y1284" s="23">
        <v>7.60769230769231</v>
      </c>
      <c r="Z1284" s="23">
        <v>7.1307692307692303</v>
      </c>
      <c r="AA1284" s="23">
        <v>7.3692307692307697</v>
      </c>
      <c r="AO1284" s="14"/>
    </row>
    <row r="1285" spans="17:41" x14ac:dyDescent="0.3">
      <c r="Q1285" s="93">
        <v>46202</v>
      </c>
      <c r="R1285" t="s">
        <v>494</v>
      </c>
      <c r="S1285" t="s">
        <v>399</v>
      </c>
      <c r="T1285" s="14">
        <v>0</v>
      </c>
      <c r="W1285" s="20">
        <v>46045</v>
      </c>
      <c r="X1285" t="s">
        <v>281</v>
      </c>
      <c r="Y1285" s="23">
        <v>7.62307692307692</v>
      </c>
      <c r="Z1285" s="23">
        <v>7.1461538461538501</v>
      </c>
      <c r="AA1285" s="23">
        <v>7.3846153846153904</v>
      </c>
      <c r="AO1285" s="14"/>
    </row>
    <row r="1286" spans="17:41" x14ac:dyDescent="0.3">
      <c r="Q1286" s="93">
        <v>46202</v>
      </c>
      <c r="R1286" t="s">
        <v>495</v>
      </c>
      <c r="S1286" t="s">
        <v>399</v>
      </c>
      <c r="T1286" s="14">
        <v>0</v>
      </c>
      <c r="W1286" s="20">
        <v>46049</v>
      </c>
      <c r="X1286" t="s">
        <v>270</v>
      </c>
      <c r="Y1286" s="23">
        <v>7.25</v>
      </c>
      <c r="Z1286" s="23">
        <v>6.75</v>
      </c>
      <c r="AA1286" s="23">
        <v>7</v>
      </c>
      <c r="AO1286" s="14"/>
    </row>
    <row r="1287" spans="17:41" x14ac:dyDescent="0.3">
      <c r="Q1287" s="93">
        <v>46202</v>
      </c>
      <c r="R1287" t="s">
        <v>493</v>
      </c>
      <c r="S1287" t="s">
        <v>399</v>
      </c>
      <c r="T1287" s="14">
        <v>0</v>
      </c>
      <c r="W1287" s="20">
        <v>46049</v>
      </c>
      <c r="X1287" t="s">
        <v>271</v>
      </c>
      <c r="Y1287" s="23">
        <v>7.1692307692307704</v>
      </c>
      <c r="Z1287" s="23">
        <v>6.7230769230769196</v>
      </c>
      <c r="AA1287" s="23">
        <v>6.9461538461538499</v>
      </c>
      <c r="AO1287" s="14"/>
    </row>
    <row r="1288" spans="17:41" x14ac:dyDescent="0.3">
      <c r="Q1288" s="93">
        <v>46202</v>
      </c>
      <c r="R1288" t="s">
        <v>593</v>
      </c>
      <c r="S1288" t="s">
        <v>399</v>
      </c>
      <c r="T1288" s="14">
        <v>8170</v>
      </c>
      <c r="W1288" s="20">
        <v>46049</v>
      </c>
      <c r="X1288" t="s">
        <v>272</v>
      </c>
      <c r="Y1288" s="23">
        <v>7.3</v>
      </c>
      <c r="Z1288" s="23">
        <v>7.0333333333333297</v>
      </c>
      <c r="AA1288" s="23">
        <v>7.1666666666666696</v>
      </c>
      <c r="AO1288" s="14"/>
    </row>
    <row r="1289" spans="17:41" x14ac:dyDescent="0.3">
      <c r="Q1289" s="93">
        <v>46202</v>
      </c>
      <c r="R1289" t="s">
        <v>594</v>
      </c>
      <c r="S1289" t="s">
        <v>399</v>
      </c>
      <c r="T1289" s="14">
        <v>0</v>
      </c>
      <c r="W1289" s="20">
        <v>46049</v>
      </c>
      <c r="X1289" t="s">
        <v>273</v>
      </c>
      <c r="Y1289" s="23">
        <v>7.3461538461538503</v>
      </c>
      <c r="Z1289" s="23">
        <v>6.8692307692307697</v>
      </c>
      <c r="AA1289" s="23">
        <v>7.10769230769231</v>
      </c>
      <c r="AO1289" s="14"/>
    </row>
    <row r="1290" spans="17:41" x14ac:dyDescent="0.3">
      <c r="Q1290" s="93">
        <v>46202</v>
      </c>
      <c r="R1290" t="s">
        <v>595</v>
      </c>
      <c r="S1290" t="s">
        <v>399</v>
      </c>
      <c r="T1290" s="14">
        <v>0</v>
      </c>
      <c r="W1290" s="20">
        <v>46049</v>
      </c>
      <c r="X1290" t="s">
        <v>274</v>
      </c>
      <c r="Y1290" s="23">
        <v>7.3846153846153797</v>
      </c>
      <c r="Z1290" s="23">
        <v>6.9076923076923098</v>
      </c>
      <c r="AA1290" s="23">
        <v>7.1461538461538501</v>
      </c>
      <c r="AO1290" s="14"/>
    </row>
    <row r="1291" spans="17:41" x14ac:dyDescent="0.3">
      <c r="Q1291" s="93">
        <v>46202</v>
      </c>
      <c r="R1291" t="s">
        <v>479</v>
      </c>
      <c r="S1291" t="s">
        <v>395</v>
      </c>
      <c r="T1291" s="14">
        <v>10253.9884573784</v>
      </c>
      <c r="W1291" s="20">
        <v>46049</v>
      </c>
      <c r="X1291" t="s">
        <v>275</v>
      </c>
      <c r="Y1291" s="23">
        <v>7.4307692307692301</v>
      </c>
      <c r="Z1291" s="23">
        <v>6.9538461538461496</v>
      </c>
      <c r="AA1291" s="23">
        <v>7.1923076923076898</v>
      </c>
      <c r="AO1291" s="14"/>
    </row>
    <row r="1292" spans="17:41" x14ac:dyDescent="0.3">
      <c r="Q1292" s="93">
        <v>46202</v>
      </c>
      <c r="R1292" t="s">
        <v>479</v>
      </c>
      <c r="S1292" t="s">
        <v>415</v>
      </c>
      <c r="T1292" s="14">
        <v>7.1111348651863997</v>
      </c>
      <c r="W1292" s="20">
        <v>46049</v>
      </c>
      <c r="X1292" t="s">
        <v>276</v>
      </c>
      <c r="Y1292" s="23">
        <v>7.4769230769230797</v>
      </c>
      <c r="Z1292" s="23">
        <v>7</v>
      </c>
      <c r="AA1292" s="23">
        <v>7.2384615384615403</v>
      </c>
      <c r="AO1292" s="14"/>
    </row>
    <row r="1293" spans="17:41" x14ac:dyDescent="0.3">
      <c r="Q1293" s="93">
        <v>46202</v>
      </c>
      <c r="R1293" t="s">
        <v>364</v>
      </c>
      <c r="S1293" t="s">
        <v>415</v>
      </c>
      <c r="T1293" s="14">
        <v>6.6729357798165099</v>
      </c>
      <c r="W1293" s="20">
        <v>46049</v>
      </c>
      <c r="X1293" t="s">
        <v>277</v>
      </c>
      <c r="Y1293" s="23">
        <v>7.5307692307692298</v>
      </c>
      <c r="Z1293" s="23">
        <v>7.0538461538461501</v>
      </c>
      <c r="AA1293" s="23">
        <v>7.2923076923076904</v>
      </c>
      <c r="AO1293" s="14"/>
    </row>
    <row r="1294" spans="17:41" x14ac:dyDescent="0.3">
      <c r="Q1294" s="93">
        <v>46202</v>
      </c>
      <c r="R1294" t="s">
        <v>516</v>
      </c>
      <c r="S1294" t="s">
        <v>415</v>
      </c>
      <c r="T1294" s="14">
        <v>6.8055945634893398</v>
      </c>
      <c r="W1294" s="20">
        <v>46049</v>
      </c>
      <c r="X1294" t="s">
        <v>278</v>
      </c>
      <c r="Y1294" s="23">
        <v>7.5384615384615401</v>
      </c>
      <c r="Z1294" s="23">
        <v>7.0615384615384604</v>
      </c>
      <c r="AA1294" s="23">
        <v>7.3</v>
      </c>
      <c r="AO1294" s="14"/>
    </row>
    <row r="1295" spans="17:41" x14ac:dyDescent="0.3">
      <c r="Q1295" s="93">
        <v>46202</v>
      </c>
      <c r="R1295" t="s">
        <v>1288</v>
      </c>
      <c r="S1295" t="s">
        <v>415</v>
      </c>
      <c r="T1295" s="14">
        <v>7.1111348651863997</v>
      </c>
      <c r="W1295" s="20">
        <v>46049</v>
      </c>
      <c r="X1295" t="s">
        <v>279</v>
      </c>
      <c r="Y1295" s="23">
        <v>7.5615384615384604</v>
      </c>
      <c r="Z1295" s="23">
        <v>7.0846153846153896</v>
      </c>
      <c r="AA1295" s="23">
        <v>7.3230769230769202</v>
      </c>
      <c r="AO1295" s="14"/>
    </row>
    <row r="1296" spans="17:41" x14ac:dyDescent="0.3">
      <c r="Q1296" s="93">
        <v>46202</v>
      </c>
      <c r="R1296" t="s">
        <v>496</v>
      </c>
      <c r="S1296" t="s">
        <v>415</v>
      </c>
      <c r="T1296" s="14">
        <v>6.6094985731757001</v>
      </c>
      <c r="W1296" s="20">
        <v>46049</v>
      </c>
      <c r="X1296" t="s">
        <v>280</v>
      </c>
      <c r="Y1296" s="23">
        <v>7.60769230769231</v>
      </c>
      <c r="Z1296" s="23">
        <v>7.1307692307692303</v>
      </c>
      <c r="AA1296" s="23">
        <v>7.3692307692307697</v>
      </c>
      <c r="AO1296" s="14"/>
    </row>
    <row r="1297" spans="17:41" x14ac:dyDescent="0.3">
      <c r="Q1297" s="93">
        <v>46202</v>
      </c>
      <c r="R1297" t="s">
        <v>1290</v>
      </c>
      <c r="S1297" t="s">
        <v>415</v>
      </c>
      <c r="T1297" s="14">
        <v>6.7933993258029703</v>
      </c>
      <c r="W1297" s="20">
        <v>46049</v>
      </c>
      <c r="X1297" t="s">
        <v>281</v>
      </c>
      <c r="Y1297" s="23">
        <v>7.62307692307692</v>
      </c>
      <c r="Z1297" s="23">
        <v>7.1461538461538501</v>
      </c>
      <c r="AA1297" s="23">
        <v>7.3846153846153904</v>
      </c>
      <c r="AO1297" s="14"/>
    </row>
    <row r="1298" spans="17:41" x14ac:dyDescent="0.3">
      <c r="Q1298" s="93">
        <v>46202</v>
      </c>
      <c r="R1298" t="s">
        <v>364</v>
      </c>
      <c r="S1298" t="s">
        <v>997</v>
      </c>
      <c r="T1298" s="14">
        <v>32700</v>
      </c>
      <c r="W1298" s="20">
        <v>46056</v>
      </c>
      <c r="X1298" t="s">
        <v>270</v>
      </c>
      <c r="Y1298" s="23">
        <v>8</v>
      </c>
      <c r="Z1298" s="23">
        <v>7.5</v>
      </c>
      <c r="AA1298" s="23">
        <v>7.75</v>
      </c>
      <c r="AO1298" s="14"/>
    </row>
    <row r="1299" spans="17:41" x14ac:dyDescent="0.3">
      <c r="Q1299" s="93">
        <v>46202</v>
      </c>
      <c r="R1299" t="s">
        <v>496</v>
      </c>
      <c r="S1299" t="s">
        <v>997</v>
      </c>
      <c r="T1299" s="14">
        <v>24530</v>
      </c>
      <c r="W1299" s="20">
        <v>46056</v>
      </c>
      <c r="X1299" t="s">
        <v>271</v>
      </c>
      <c r="Y1299" s="23">
        <v>7.3538461538461499</v>
      </c>
      <c r="Z1299" s="23">
        <v>6.9230769230769198</v>
      </c>
      <c r="AA1299" s="23">
        <v>7.1384615384615397</v>
      </c>
      <c r="AO1299" s="14"/>
    </row>
    <row r="1300" spans="17:41" x14ac:dyDescent="0.3">
      <c r="Q1300" s="93">
        <v>46199</v>
      </c>
      <c r="R1300" t="s">
        <v>364</v>
      </c>
      <c r="S1300" t="s">
        <v>997</v>
      </c>
      <c r="T1300" s="14">
        <v>32700</v>
      </c>
      <c r="W1300" s="20">
        <v>46056</v>
      </c>
      <c r="X1300" t="s">
        <v>272</v>
      </c>
      <c r="Y1300" s="23">
        <v>7.4666666666666703</v>
      </c>
      <c r="Z1300" s="23">
        <v>7.1666666666666696</v>
      </c>
      <c r="AA1300" s="23">
        <v>7.31666666666667</v>
      </c>
      <c r="AO1300" s="14"/>
    </row>
    <row r="1301" spans="17:41" x14ac:dyDescent="0.3">
      <c r="Q1301" s="93">
        <v>46199</v>
      </c>
      <c r="R1301" t="s">
        <v>496</v>
      </c>
      <c r="S1301" t="s">
        <v>997</v>
      </c>
      <c r="T1301" s="14">
        <v>24623</v>
      </c>
      <c r="W1301" s="20">
        <v>46056</v>
      </c>
      <c r="X1301" t="s">
        <v>273</v>
      </c>
      <c r="Y1301" s="23">
        <v>7.5</v>
      </c>
      <c r="Z1301" s="23">
        <v>7</v>
      </c>
      <c r="AA1301" s="23">
        <v>7.25</v>
      </c>
      <c r="AO1301" s="14"/>
    </row>
    <row r="1302" spans="17:41" x14ac:dyDescent="0.3">
      <c r="Q1302" s="93">
        <v>46199</v>
      </c>
      <c r="R1302" t="s">
        <v>479</v>
      </c>
      <c r="S1302" t="s">
        <v>399</v>
      </c>
      <c r="T1302" s="14">
        <v>11197.6106</v>
      </c>
      <c r="W1302" s="20">
        <v>46056</v>
      </c>
      <c r="X1302" t="s">
        <v>274</v>
      </c>
      <c r="Y1302" s="23">
        <v>7.5923076923076902</v>
      </c>
      <c r="Z1302" s="23">
        <v>7.10769230769231</v>
      </c>
      <c r="AA1302" s="23">
        <v>7.35</v>
      </c>
      <c r="AO1302" s="14"/>
    </row>
    <row r="1303" spans="17:41" x14ac:dyDescent="0.3">
      <c r="Q1303" s="93">
        <v>46199</v>
      </c>
      <c r="R1303" t="s">
        <v>364</v>
      </c>
      <c r="S1303" t="s">
        <v>399</v>
      </c>
      <c r="T1303" s="14">
        <v>29200</v>
      </c>
      <c r="W1303" s="20">
        <v>46056</v>
      </c>
      <c r="X1303" t="s">
        <v>275</v>
      </c>
      <c r="Y1303" s="23">
        <v>7.62307692307692</v>
      </c>
      <c r="Z1303" s="23">
        <v>7.1384615384615397</v>
      </c>
      <c r="AA1303" s="23">
        <v>7.3807692307692303</v>
      </c>
      <c r="AO1303" s="14"/>
    </row>
    <row r="1304" spans="17:41" x14ac:dyDescent="0.3">
      <c r="Q1304" s="93">
        <v>46199</v>
      </c>
      <c r="R1304" t="s">
        <v>491</v>
      </c>
      <c r="S1304" t="s">
        <v>399</v>
      </c>
      <c r="T1304" s="14">
        <v>397.61059999999998</v>
      </c>
      <c r="W1304" s="20">
        <v>46050</v>
      </c>
      <c r="X1304" t="s">
        <v>270</v>
      </c>
      <c r="Y1304" s="23">
        <v>7.3</v>
      </c>
      <c r="Z1304" s="23">
        <v>6.8</v>
      </c>
      <c r="AA1304" s="23">
        <v>7.05</v>
      </c>
      <c r="AO1304" s="14"/>
    </row>
    <row r="1305" spans="17:41" x14ac:dyDescent="0.3">
      <c r="Q1305" s="93">
        <v>46199</v>
      </c>
      <c r="R1305" t="s">
        <v>492</v>
      </c>
      <c r="S1305" t="s">
        <v>399</v>
      </c>
      <c r="T1305" s="14">
        <v>10800</v>
      </c>
      <c r="W1305" s="20">
        <v>46050</v>
      </c>
      <c r="X1305" t="s">
        <v>271</v>
      </c>
      <c r="Y1305" s="23">
        <v>7.1923076923076898</v>
      </c>
      <c r="Z1305" s="23">
        <v>6.7461538461538497</v>
      </c>
      <c r="AA1305" s="23">
        <v>6.9692307692307702</v>
      </c>
      <c r="AO1305" s="14"/>
    </row>
    <row r="1306" spans="17:41" x14ac:dyDescent="0.3">
      <c r="Q1306" s="93">
        <v>46199</v>
      </c>
      <c r="R1306" t="s">
        <v>496</v>
      </c>
      <c r="S1306" t="s">
        <v>399</v>
      </c>
      <c r="T1306" s="14">
        <v>18123</v>
      </c>
      <c r="W1306" s="20">
        <v>46050</v>
      </c>
      <c r="X1306" t="s">
        <v>272</v>
      </c>
      <c r="Y1306" s="23">
        <v>7.3</v>
      </c>
      <c r="Z1306" s="23">
        <v>7.0333333333333297</v>
      </c>
      <c r="AA1306" s="23">
        <v>7.1666666666666696</v>
      </c>
      <c r="AO1306" s="14"/>
    </row>
    <row r="1307" spans="17:41" x14ac:dyDescent="0.3">
      <c r="Q1307" s="93">
        <v>46199</v>
      </c>
      <c r="R1307" t="s">
        <v>497</v>
      </c>
      <c r="S1307" t="s">
        <v>399</v>
      </c>
      <c r="T1307" s="14">
        <v>397.61059999999998</v>
      </c>
      <c r="W1307" s="20">
        <v>46050</v>
      </c>
      <c r="X1307" t="s">
        <v>273</v>
      </c>
      <c r="Y1307" s="23">
        <v>7.3846153846153797</v>
      </c>
      <c r="Z1307" s="23">
        <v>6.9076923076923098</v>
      </c>
      <c r="AA1307" s="23">
        <v>7.1461538461538501</v>
      </c>
      <c r="AO1307" s="14"/>
    </row>
    <row r="1308" spans="17:41" x14ac:dyDescent="0.3">
      <c r="Q1308" s="93">
        <v>46199</v>
      </c>
      <c r="R1308" t="s">
        <v>498</v>
      </c>
      <c r="S1308" t="s">
        <v>399</v>
      </c>
      <c r="T1308" s="14">
        <v>13800</v>
      </c>
      <c r="W1308" s="20">
        <v>46050</v>
      </c>
      <c r="X1308" t="s">
        <v>274</v>
      </c>
      <c r="Y1308" s="23">
        <v>7.4230769230769198</v>
      </c>
      <c r="Z1308" s="23">
        <v>6.9461538461538499</v>
      </c>
      <c r="AA1308" s="23">
        <v>7.1846153846153804</v>
      </c>
      <c r="AO1308" s="14"/>
    </row>
    <row r="1309" spans="17:41" x14ac:dyDescent="0.3">
      <c r="Q1309" s="93">
        <v>46199</v>
      </c>
      <c r="R1309" t="s">
        <v>494</v>
      </c>
      <c r="S1309" t="s">
        <v>399</v>
      </c>
      <c r="T1309" s="14">
        <v>0</v>
      </c>
      <c r="W1309" s="20">
        <v>46050</v>
      </c>
      <c r="X1309" t="s">
        <v>275</v>
      </c>
      <c r="Y1309" s="23">
        <v>7.4769230769230797</v>
      </c>
      <c r="Z1309" s="23">
        <v>7</v>
      </c>
      <c r="AA1309" s="23">
        <v>7.2384615384615403</v>
      </c>
      <c r="AO1309" s="14"/>
    </row>
    <row r="1310" spans="17:41" x14ac:dyDescent="0.3">
      <c r="Q1310" s="93">
        <v>46199</v>
      </c>
      <c r="R1310" t="s">
        <v>495</v>
      </c>
      <c r="S1310" t="s">
        <v>399</v>
      </c>
      <c r="T1310" s="14">
        <v>0</v>
      </c>
      <c r="W1310" s="20">
        <v>46050</v>
      </c>
      <c r="X1310" t="s">
        <v>276</v>
      </c>
      <c r="Y1310" s="23">
        <v>7.5076923076923103</v>
      </c>
      <c r="Z1310" s="23">
        <v>7.0307692307692298</v>
      </c>
      <c r="AA1310" s="23">
        <v>7.2692307692307701</v>
      </c>
      <c r="AO1310" s="14"/>
    </row>
    <row r="1311" spans="17:41" x14ac:dyDescent="0.3">
      <c r="Q1311" s="93">
        <v>46199</v>
      </c>
      <c r="R1311" t="s">
        <v>493</v>
      </c>
      <c r="S1311" t="s">
        <v>399</v>
      </c>
      <c r="T1311" s="14">
        <v>0</v>
      </c>
      <c r="W1311" s="20">
        <v>46050</v>
      </c>
      <c r="X1311" t="s">
        <v>277</v>
      </c>
      <c r="Y1311" s="23">
        <v>7.5538461538461501</v>
      </c>
      <c r="Z1311" s="23">
        <v>7.0769230769230802</v>
      </c>
      <c r="AA1311" s="23">
        <v>7.3153846153846196</v>
      </c>
      <c r="AO1311" s="14"/>
    </row>
    <row r="1312" spans="17:41" x14ac:dyDescent="0.3">
      <c r="Q1312" s="93">
        <v>46199</v>
      </c>
      <c r="R1312" t="s">
        <v>593</v>
      </c>
      <c r="S1312" t="s">
        <v>399</v>
      </c>
      <c r="T1312" s="14">
        <v>8077</v>
      </c>
      <c r="W1312" s="20">
        <v>46050</v>
      </c>
      <c r="X1312" t="s">
        <v>278</v>
      </c>
      <c r="Y1312" s="23">
        <v>7.5615384615384604</v>
      </c>
      <c r="Z1312" s="23">
        <v>7.0846153846153896</v>
      </c>
      <c r="AA1312" s="23">
        <v>7.3230769230769202</v>
      </c>
      <c r="AO1312" s="14"/>
    </row>
    <row r="1313" spans="17:41" x14ac:dyDescent="0.3">
      <c r="Q1313" s="93">
        <v>46199</v>
      </c>
      <c r="R1313" t="s">
        <v>594</v>
      </c>
      <c r="S1313" t="s">
        <v>399</v>
      </c>
      <c r="T1313" s="14">
        <v>0</v>
      </c>
      <c r="W1313" s="20">
        <v>46050</v>
      </c>
      <c r="X1313" t="s">
        <v>279</v>
      </c>
      <c r="Y1313" s="23">
        <v>7.5846153846153799</v>
      </c>
      <c r="Z1313" s="23">
        <v>7.10769230769231</v>
      </c>
      <c r="AA1313" s="23">
        <v>7.3461538461538503</v>
      </c>
      <c r="AO1313" s="14"/>
    </row>
    <row r="1314" spans="17:41" x14ac:dyDescent="0.3">
      <c r="Q1314" s="93">
        <v>46199</v>
      </c>
      <c r="R1314" t="s">
        <v>595</v>
      </c>
      <c r="S1314" t="s">
        <v>399</v>
      </c>
      <c r="T1314" s="14">
        <v>0</v>
      </c>
      <c r="W1314" s="20">
        <v>46050</v>
      </c>
      <c r="X1314" t="s">
        <v>280</v>
      </c>
      <c r="Y1314" s="23">
        <v>7.62307692307692</v>
      </c>
      <c r="Z1314" s="23">
        <v>7.1461538461538501</v>
      </c>
      <c r="AA1314" s="23">
        <v>7.3846153846153904</v>
      </c>
      <c r="AO1314" s="14"/>
    </row>
    <row r="1315" spans="17:41" x14ac:dyDescent="0.3">
      <c r="Q1315" s="93">
        <v>46199</v>
      </c>
      <c r="R1315" t="s">
        <v>479</v>
      </c>
      <c r="S1315" t="s">
        <v>395</v>
      </c>
      <c r="T1315" s="14">
        <v>10258.8251717817</v>
      </c>
      <c r="W1315" s="20">
        <v>46050</v>
      </c>
      <c r="X1315" t="s">
        <v>281</v>
      </c>
      <c r="Y1315" s="23">
        <v>7.6384615384615397</v>
      </c>
      <c r="Z1315" s="23">
        <v>7.1615384615384601</v>
      </c>
      <c r="AA1315" s="23">
        <v>7.4</v>
      </c>
      <c r="AO1315" s="14"/>
    </row>
    <row r="1316" spans="17:41" x14ac:dyDescent="0.3">
      <c r="Q1316" s="93">
        <v>46199</v>
      </c>
      <c r="R1316" t="s">
        <v>479</v>
      </c>
      <c r="S1316" t="s">
        <v>415</v>
      </c>
      <c r="T1316" s="14">
        <v>7.1111348651863997</v>
      </c>
      <c r="W1316" s="20">
        <v>46056</v>
      </c>
      <c r="X1316" t="s">
        <v>276</v>
      </c>
      <c r="Y1316" s="23">
        <v>7.6538461538461497</v>
      </c>
      <c r="Z1316" s="23">
        <v>7.1692307692307704</v>
      </c>
      <c r="AA1316" s="23">
        <v>7.4115384615384601</v>
      </c>
      <c r="AO1316" s="14"/>
    </row>
    <row r="1317" spans="17:41" x14ac:dyDescent="0.3">
      <c r="Q1317" s="93">
        <v>46199</v>
      </c>
      <c r="R1317" t="s">
        <v>364</v>
      </c>
      <c r="S1317" t="s">
        <v>415</v>
      </c>
      <c r="T1317" s="14">
        <v>6.6729357798165099</v>
      </c>
      <c r="W1317" s="20">
        <v>46056</v>
      </c>
      <c r="X1317" t="s">
        <v>277</v>
      </c>
      <c r="Y1317" s="23">
        <v>7.6923076923076898</v>
      </c>
      <c r="Z1317" s="23">
        <v>7.2076923076923096</v>
      </c>
      <c r="AA1317" s="23">
        <v>7.45</v>
      </c>
      <c r="AO1317" s="14"/>
    </row>
    <row r="1318" spans="17:41" x14ac:dyDescent="0.3">
      <c r="Q1318" s="93">
        <v>46199</v>
      </c>
      <c r="R1318" t="s">
        <v>516</v>
      </c>
      <c r="S1318" t="s">
        <v>415</v>
      </c>
      <c r="T1318" s="14">
        <v>6.8055945634893398</v>
      </c>
      <c r="W1318" s="20">
        <v>46056</v>
      </c>
      <c r="X1318" t="s">
        <v>278</v>
      </c>
      <c r="Y1318" s="23">
        <v>7.7</v>
      </c>
      <c r="Z1318" s="23">
        <v>7.2153846153846199</v>
      </c>
      <c r="AA1318" s="23">
        <v>7.4576923076923096</v>
      </c>
      <c r="AO1318" s="14"/>
    </row>
    <row r="1319" spans="17:41" x14ac:dyDescent="0.3">
      <c r="Q1319" s="93">
        <v>46199</v>
      </c>
      <c r="R1319" t="s">
        <v>1288</v>
      </c>
      <c r="S1319" t="s">
        <v>415</v>
      </c>
      <c r="T1319" s="14">
        <v>7.1111348651863997</v>
      </c>
      <c r="W1319" s="20">
        <v>46056</v>
      </c>
      <c r="X1319" t="s">
        <v>279</v>
      </c>
      <c r="Y1319" s="23">
        <v>7.7230769230769196</v>
      </c>
      <c r="Z1319" s="23">
        <v>7.2384615384615403</v>
      </c>
      <c r="AA1319" s="23">
        <v>7.4807692307692299</v>
      </c>
      <c r="AO1319" s="14"/>
    </row>
    <row r="1320" spans="17:41" x14ac:dyDescent="0.3">
      <c r="Q1320" s="93">
        <v>46199</v>
      </c>
      <c r="R1320" t="s">
        <v>496</v>
      </c>
      <c r="S1320" t="s">
        <v>415</v>
      </c>
      <c r="T1320" s="14">
        <v>6.5275839662104502</v>
      </c>
      <c r="W1320" s="20">
        <v>46056</v>
      </c>
      <c r="X1320" t="s">
        <v>280</v>
      </c>
      <c r="Y1320" s="23">
        <v>7.7615384615384597</v>
      </c>
      <c r="Z1320" s="23">
        <v>7.2769230769230804</v>
      </c>
      <c r="AA1320" s="23">
        <v>7.5192307692307701</v>
      </c>
      <c r="AO1320" s="14"/>
    </row>
    <row r="1321" spans="17:41" x14ac:dyDescent="0.3">
      <c r="Q1321" s="93">
        <v>46199</v>
      </c>
      <c r="R1321" t="s">
        <v>1290</v>
      </c>
      <c r="S1321" t="s">
        <v>415</v>
      </c>
      <c r="T1321" s="14">
        <v>6.7410022587331504</v>
      </c>
      <c r="W1321" s="20">
        <v>46056</v>
      </c>
      <c r="X1321" t="s">
        <v>281</v>
      </c>
      <c r="Y1321" s="23">
        <v>7.7692307692307701</v>
      </c>
      <c r="Z1321" s="23">
        <v>7.2846153846153801</v>
      </c>
      <c r="AA1321" s="23">
        <v>7.5269230769230804</v>
      </c>
      <c r="AO1321" s="14"/>
    </row>
    <row r="1322" spans="17:41" x14ac:dyDescent="0.3">
      <c r="Q1322" s="93">
        <v>46198</v>
      </c>
      <c r="R1322" t="s">
        <v>516</v>
      </c>
      <c r="S1322" t="s">
        <v>415</v>
      </c>
      <c r="T1322" s="14">
        <v>6.8055945634893398</v>
      </c>
      <c r="W1322" s="20">
        <v>46059</v>
      </c>
      <c r="X1322" t="s">
        <v>270</v>
      </c>
      <c r="Y1322" s="23">
        <v>8.0399999999999991</v>
      </c>
      <c r="Z1322" s="23">
        <v>7.54</v>
      </c>
      <c r="AA1322" s="23">
        <v>7.79</v>
      </c>
      <c r="AO1322" s="14"/>
    </row>
    <row r="1323" spans="17:41" x14ac:dyDescent="0.3">
      <c r="Q1323" s="93">
        <v>46198</v>
      </c>
      <c r="R1323" t="s">
        <v>1288</v>
      </c>
      <c r="S1323" t="s">
        <v>415</v>
      </c>
      <c r="T1323" s="14">
        <v>7.1111348651863997</v>
      </c>
      <c r="W1323" s="20">
        <v>46059</v>
      </c>
      <c r="X1323" t="s">
        <v>271</v>
      </c>
      <c r="Y1323" s="23">
        <v>7.4</v>
      </c>
      <c r="Z1323" s="23">
        <v>6.9769230769230797</v>
      </c>
      <c r="AA1323" s="23">
        <v>7.1884615384615396</v>
      </c>
      <c r="AO1323" s="14"/>
    </row>
    <row r="1324" spans="17:41" x14ac:dyDescent="0.3">
      <c r="Q1324" s="93">
        <v>46198</v>
      </c>
      <c r="R1324" t="s">
        <v>496</v>
      </c>
      <c r="S1324" t="s">
        <v>415</v>
      </c>
      <c r="T1324" s="14">
        <v>6.5144875236544504</v>
      </c>
      <c r="W1324" s="20">
        <v>46059</v>
      </c>
      <c r="X1324" t="s">
        <v>272</v>
      </c>
      <c r="Y1324" s="23">
        <v>7.4666666666666703</v>
      </c>
      <c r="Z1324" s="23">
        <v>7.2</v>
      </c>
      <c r="AA1324" s="23">
        <v>7.3333333333333304</v>
      </c>
      <c r="AO1324" s="14"/>
    </row>
    <row r="1325" spans="17:41" x14ac:dyDescent="0.3">
      <c r="Q1325" s="93">
        <v>46198</v>
      </c>
      <c r="R1325" t="s">
        <v>1290</v>
      </c>
      <c r="S1325" t="s">
        <v>415</v>
      </c>
      <c r="T1325" s="14">
        <v>6.7439248618493899</v>
      </c>
      <c r="W1325" s="20">
        <v>46059</v>
      </c>
      <c r="X1325" t="s">
        <v>273</v>
      </c>
      <c r="Y1325" s="23">
        <v>7.4749999999999996</v>
      </c>
      <c r="Z1325" s="23">
        <v>6.9749999999999996</v>
      </c>
      <c r="AA1325" s="23">
        <v>7.2249999999999996</v>
      </c>
      <c r="AO1325" s="14"/>
    </row>
    <row r="1326" spans="17:41" x14ac:dyDescent="0.3">
      <c r="Q1326" s="93">
        <v>46198</v>
      </c>
      <c r="R1326" t="s">
        <v>364</v>
      </c>
      <c r="S1326" t="s">
        <v>997</v>
      </c>
      <c r="T1326" s="14">
        <v>32700</v>
      </c>
      <c r="W1326" s="20">
        <v>46059</v>
      </c>
      <c r="X1326" t="s">
        <v>274</v>
      </c>
      <c r="Y1326" s="23">
        <v>7.5923076923076902</v>
      </c>
      <c r="Z1326" s="23">
        <v>7.1153846153846096</v>
      </c>
      <c r="AA1326" s="23">
        <v>7.3538461538461499</v>
      </c>
      <c r="AO1326" s="14"/>
    </row>
    <row r="1327" spans="17:41" x14ac:dyDescent="0.3">
      <c r="Q1327" s="93">
        <v>46198</v>
      </c>
      <c r="R1327" t="s">
        <v>496</v>
      </c>
      <c r="S1327" t="s">
        <v>997</v>
      </c>
      <c r="T1327" s="14">
        <v>22723</v>
      </c>
      <c r="W1327" s="20">
        <v>46059</v>
      </c>
      <c r="X1327" t="s">
        <v>275</v>
      </c>
      <c r="Y1327" s="23">
        <v>7.6307692307692303</v>
      </c>
      <c r="Z1327" s="23">
        <v>7.1538461538461497</v>
      </c>
      <c r="AA1327" s="23">
        <v>7.39230769230769</v>
      </c>
      <c r="AO1327" s="14"/>
    </row>
    <row r="1328" spans="17:41" x14ac:dyDescent="0.3">
      <c r="Q1328" s="93">
        <v>46198</v>
      </c>
      <c r="R1328" t="s">
        <v>479</v>
      </c>
      <c r="S1328" t="s">
        <v>399</v>
      </c>
      <c r="T1328" s="14">
        <v>11197.6106</v>
      </c>
      <c r="W1328" s="20">
        <v>46059</v>
      </c>
      <c r="X1328" t="s">
        <v>276</v>
      </c>
      <c r="Y1328" s="23">
        <v>7.6769230769230798</v>
      </c>
      <c r="Z1328" s="23">
        <v>7.2</v>
      </c>
      <c r="AA1328" s="23">
        <v>7.4384615384615396</v>
      </c>
      <c r="AO1328" s="14"/>
    </row>
    <row r="1329" spans="17:41" x14ac:dyDescent="0.3">
      <c r="Q1329" s="93">
        <v>46198</v>
      </c>
      <c r="R1329" t="s">
        <v>364</v>
      </c>
      <c r="S1329" t="s">
        <v>399</v>
      </c>
      <c r="T1329" s="14">
        <v>29200</v>
      </c>
      <c r="W1329" s="20">
        <v>46059</v>
      </c>
      <c r="X1329" t="s">
        <v>277</v>
      </c>
      <c r="Y1329" s="23">
        <v>7.7153846153846102</v>
      </c>
      <c r="Z1329" s="23">
        <v>7.2384615384615403</v>
      </c>
      <c r="AA1329" s="23">
        <v>7.4769230769230797</v>
      </c>
      <c r="AO1329" s="14"/>
    </row>
    <row r="1330" spans="17:41" x14ac:dyDescent="0.3">
      <c r="Q1330" s="93">
        <v>46198</v>
      </c>
      <c r="R1330" t="s">
        <v>491</v>
      </c>
      <c r="S1330" t="s">
        <v>399</v>
      </c>
      <c r="T1330" s="14">
        <v>397.61059999999998</v>
      </c>
      <c r="W1330" s="20">
        <v>46059</v>
      </c>
      <c r="X1330" t="s">
        <v>278</v>
      </c>
      <c r="Y1330" s="23">
        <v>7.7384615384615403</v>
      </c>
      <c r="Z1330" s="23">
        <v>7.2615384615384597</v>
      </c>
      <c r="AA1330" s="23">
        <v>7.5</v>
      </c>
      <c r="AO1330" s="14"/>
    </row>
    <row r="1331" spans="17:41" x14ac:dyDescent="0.3">
      <c r="Q1331" s="93">
        <v>46198</v>
      </c>
      <c r="R1331" t="s">
        <v>492</v>
      </c>
      <c r="S1331" t="s">
        <v>399</v>
      </c>
      <c r="T1331" s="14">
        <v>10800</v>
      </c>
      <c r="W1331" s="20">
        <v>46059</v>
      </c>
      <c r="X1331" t="s">
        <v>279</v>
      </c>
      <c r="Y1331" s="23">
        <v>7.7615384615384597</v>
      </c>
      <c r="Z1331" s="23">
        <v>7.2846153846153898</v>
      </c>
      <c r="AA1331" s="23">
        <v>7.5230769230769203</v>
      </c>
      <c r="AO1331" s="14"/>
    </row>
    <row r="1332" spans="17:41" x14ac:dyDescent="0.3">
      <c r="Q1332" s="93">
        <v>46198</v>
      </c>
      <c r="R1332" t="s">
        <v>496</v>
      </c>
      <c r="S1332" t="s">
        <v>399</v>
      </c>
      <c r="T1332" s="14">
        <v>16223</v>
      </c>
      <c r="W1332" s="20">
        <v>46059</v>
      </c>
      <c r="X1332" t="s">
        <v>280</v>
      </c>
      <c r="Y1332" s="23">
        <v>7.8153846153846098</v>
      </c>
      <c r="Z1332" s="23">
        <v>7.3384615384615399</v>
      </c>
      <c r="AA1332" s="23">
        <v>7.5769230769230802</v>
      </c>
      <c r="AO1332" s="14"/>
    </row>
    <row r="1333" spans="17:41" x14ac:dyDescent="0.3">
      <c r="Q1333" s="93">
        <v>46198</v>
      </c>
      <c r="R1333" t="s">
        <v>497</v>
      </c>
      <c r="S1333" t="s">
        <v>399</v>
      </c>
      <c r="T1333" s="14">
        <v>397.61059999999998</v>
      </c>
      <c r="W1333" s="20">
        <v>46059</v>
      </c>
      <c r="X1333" t="s">
        <v>281</v>
      </c>
      <c r="Y1333" s="23">
        <v>7.8307692307692296</v>
      </c>
      <c r="Z1333" s="23">
        <v>7.3538461538461499</v>
      </c>
      <c r="AA1333" s="23">
        <v>7.5923076923076902</v>
      </c>
      <c r="AO1333" s="14"/>
    </row>
    <row r="1334" spans="17:41" x14ac:dyDescent="0.3">
      <c r="Q1334" s="93">
        <v>46198</v>
      </c>
      <c r="R1334" t="s">
        <v>498</v>
      </c>
      <c r="S1334" t="s">
        <v>399</v>
      </c>
      <c r="T1334" s="14">
        <v>13800</v>
      </c>
      <c r="W1334" s="20">
        <v>46051</v>
      </c>
      <c r="X1334" t="s">
        <v>270</v>
      </c>
      <c r="Y1334" s="23">
        <v>7.35</v>
      </c>
      <c r="Z1334" s="23">
        <v>6.85</v>
      </c>
      <c r="AA1334" s="23">
        <v>7.1</v>
      </c>
      <c r="AO1334" s="14"/>
    </row>
    <row r="1335" spans="17:41" x14ac:dyDescent="0.3">
      <c r="Q1335" s="93">
        <v>46198</v>
      </c>
      <c r="R1335" t="s">
        <v>494</v>
      </c>
      <c r="S1335" t="s">
        <v>399</v>
      </c>
      <c r="T1335" s="14">
        <v>0</v>
      </c>
      <c r="W1335" s="20">
        <v>46051</v>
      </c>
      <c r="X1335" t="s">
        <v>271</v>
      </c>
      <c r="Y1335" s="23">
        <v>7.1923076923076898</v>
      </c>
      <c r="Z1335" s="23">
        <v>6.7461538461538497</v>
      </c>
      <c r="AA1335" s="23">
        <v>6.9692307692307702</v>
      </c>
      <c r="AO1335" s="14"/>
    </row>
    <row r="1336" spans="17:41" x14ac:dyDescent="0.3">
      <c r="Q1336" s="93">
        <v>46198</v>
      </c>
      <c r="R1336" t="s">
        <v>495</v>
      </c>
      <c r="S1336" t="s">
        <v>399</v>
      </c>
      <c r="T1336" s="14">
        <v>0</v>
      </c>
      <c r="W1336" s="20">
        <v>46051</v>
      </c>
      <c r="X1336" t="s">
        <v>272</v>
      </c>
      <c r="Y1336" s="23">
        <v>7.3</v>
      </c>
      <c r="Z1336" s="23">
        <v>7.0333333333333297</v>
      </c>
      <c r="AA1336" s="23">
        <v>7.1666666666666696</v>
      </c>
      <c r="AO1336" s="14"/>
    </row>
    <row r="1337" spans="17:41" x14ac:dyDescent="0.3">
      <c r="Q1337" s="93">
        <v>46198</v>
      </c>
      <c r="R1337" t="s">
        <v>493</v>
      </c>
      <c r="S1337" t="s">
        <v>399</v>
      </c>
      <c r="T1337" s="14">
        <v>0</v>
      </c>
      <c r="W1337" s="20">
        <v>46051</v>
      </c>
      <c r="X1337" t="s">
        <v>273</v>
      </c>
      <c r="Y1337" s="23">
        <v>7.4</v>
      </c>
      <c r="Z1337" s="23">
        <v>6.9</v>
      </c>
      <c r="AA1337" s="23">
        <v>7.15</v>
      </c>
      <c r="AO1337" s="14"/>
    </row>
    <row r="1338" spans="17:41" x14ac:dyDescent="0.3">
      <c r="Q1338" s="93">
        <v>46198</v>
      </c>
      <c r="R1338" t="s">
        <v>593</v>
      </c>
      <c r="S1338" t="s">
        <v>399</v>
      </c>
      <c r="T1338" s="14">
        <v>9977</v>
      </c>
      <c r="W1338" s="20">
        <v>46051</v>
      </c>
      <c r="X1338" t="s">
        <v>274</v>
      </c>
      <c r="Y1338" s="23">
        <v>7.4307692307692301</v>
      </c>
      <c r="Z1338" s="23">
        <v>6.9538461538461496</v>
      </c>
      <c r="AA1338" s="23">
        <v>7.1923076923076898</v>
      </c>
      <c r="AO1338" s="14"/>
    </row>
    <row r="1339" spans="17:41" x14ac:dyDescent="0.3">
      <c r="Q1339" s="93">
        <v>46198</v>
      </c>
      <c r="R1339" t="s">
        <v>594</v>
      </c>
      <c r="S1339" t="s">
        <v>399</v>
      </c>
      <c r="T1339" s="14">
        <v>0</v>
      </c>
      <c r="W1339" s="20">
        <v>46051</v>
      </c>
      <c r="X1339" t="s">
        <v>275</v>
      </c>
      <c r="Y1339" s="23">
        <v>7.48461538461539</v>
      </c>
      <c r="Z1339" s="23">
        <v>7.0076923076923103</v>
      </c>
      <c r="AA1339" s="23">
        <v>7.2461538461538497</v>
      </c>
      <c r="AO1339" s="14"/>
    </row>
    <row r="1340" spans="17:41" x14ac:dyDescent="0.3">
      <c r="Q1340" s="93">
        <v>46198</v>
      </c>
      <c r="R1340" t="s">
        <v>595</v>
      </c>
      <c r="S1340" t="s">
        <v>399</v>
      </c>
      <c r="T1340" s="14">
        <v>0</v>
      </c>
      <c r="W1340" s="20">
        <v>46051</v>
      </c>
      <c r="X1340" t="s">
        <v>276</v>
      </c>
      <c r="Y1340" s="23">
        <v>7.5153846153846198</v>
      </c>
      <c r="Z1340" s="23">
        <v>7.0384615384615401</v>
      </c>
      <c r="AA1340" s="23">
        <v>7.2769230769230804</v>
      </c>
      <c r="AO1340" s="14"/>
    </row>
    <row r="1341" spans="17:41" x14ac:dyDescent="0.3">
      <c r="Q1341" s="93">
        <v>46198</v>
      </c>
      <c r="R1341" t="s">
        <v>479</v>
      </c>
      <c r="S1341" t="s">
        <v>395</v>
      </c>
      <c r="T1341" s="14">
        <v>10262.8548652187</v>
      </c>
      <c r="W1341" s="20">
        <v>46051</v>
      </c>
      <c r="X1341" t="s">
        <v>277</v>
      </c>
      <c r="Y1341" s="23">
        <v>7.5615384615384604</v>
      </c>
      <c r="Z1341" s="23">
        <v>7.0846153846153896</v>
      </c>
      <c r="AA1341" s="23">
        <v>7.3230769230769202</v>
      </c>
      <c r="AO1341" s="14"/>
    </row>
    <row r="1342" spans="17:41" x14ac:dyDescent="0.3">
      <c r="Q1342" s="93">
        <v>46198</v>
      </c>
      <c r="R1342" t="s">
        <v>479</v>
      </c>
      <c r="S1342" t="s">
        <v>415</v>
      </c>
      <c r="T1342" s="14">
        <v>7.1111348651863997</v>
      </c>
      <c r="W1342" s="20">
        <v>46051</v>
      </c>
      <c r="X1342" t="s">
        <v>278</v>
      </c>
      <c r="Y1342" s="23">
        <v>7.5692307692307699</v>
      </c>
      <c r="Z1342" s="23">
        <v>7.0923076923076902</v>
      </c>
      <c r="AA1342" s="23">
        <v>7.3307692307692296</v>
      </c>
      <c r="AO1342" s="14"/>
    </row>
    <row r="1343" spans="17:41" x14ac:dyDescent="0.3">
      <c r="Q1343" s="93">
        <v>46198</v>
      </c>
      <c r="R1343" t="s">
        <v>364</v>
      </c>
      <c r="S1343" t="s">
        <v>415</v>
      </c>
      <c r="T1343" s="14">
        <v>6.6729357798165099</v>
      </c>
      <c r="W1343" s="20">
        <v>46051</v>
      </c>
      <c r="X1343" t="s">
        <v>279</v>
      </c>
      <c r="Y1343" s="23">
        <v>7.5923076923076902</v>
      </c>
      <c r="Z1343" s="23">
        <v>7.1153846153846096</v>
      </c>
      <c r="AA1343" s="23">
        <v>7.3538461538461597</v>
      </c>
      <c r="AO1343" s="14"/>
    </row>
    <row r="1344" spans="17:41" x14ac:dyDescent="0.3">
      <c r="Q1344" s="93">
        <v>46197</v>
      </c>
      <c r="R1344" t="s">
        <v>479</v>
      </c>
      <c r="S1344" t="s">
        <v>399</v>
      </c>
      <c r="T1344" s="14">
        <v>11197.6106</v>
      </c>
      <c r="W1344" s="20">
        <v>46051</v>
      </c>
      <c r="X1344" t="s">
        <v>280</v>
      </c>
      <c r="Y1344" s="23">
        <v>7.6307692307692303</v>
      </c>
      <c r="Z1344" s="23">
        <v>7.1538461538461604</v>
      </c>
      <c r="AA1344" s="23">
        <v>7.39230769230769</v>
      </c>
      <c r="AO1344" s="14"/>
    </row>
    <row r="1345" spans="17:41" x14ac:dyDescent="0.3">
      <c r="Q1345" s="93">
        <v>46197</v>
      </c>
      <c r="R1345" t="s">
        <v>364</v>
      </c>
      <c r="S1345" t="s">
        <v>399</v>
      </c>
      <c r="T1345" s="14">
        <v>29200</v>
      </c>
      <c r="W1345" s="20">
        <v>46051</v>
      </c>
      <c r="X1345" t="s">
        <v>281</v>
      </c>
      <c r="Y1345" s="23">
        <v>7.6461538461538501</v>
      </c>
      <c r="Z1345" s="23">
        <v>7.1692307692307704</v>
      </c>
      <c r="AA1345" s="23">
        <v>7.4076923076923098</v>
      </c>
      <c r="AO1345" s="14"/>
    </row>
    <row r="1346" spans="17:41" x14ac:dyDescent="0.3">
      <c r="Q1346" s="93">
        <v>46197</v>
      </c>
      <c r="R1346" t="s">
        <v>491</v>
      </c>
      <c r="S1346" t="s">
        <v>399</v>
      </c>
      <c r="T1346" s="14">
        <v>397.61059999999998</v>
      </c>
      <c r="W1346" s="20">
        <v>46052</v>
      </c>
      <c r="X1346" t="s">
        <v>270</v>
      </c>
      <c r="Y1346" s="23">
        <v>7.3666666666666698</v>
      </c>
      <c r="Z1346" s="23">
        <v>6.8666666666666698</v>
      </c>
      <c r="AA1346" s="23">
        <v>7.1166666666666698</v>
      </c>
      <c r="AO1346" s="14"/>
    </row>
    <row r="1347" spans="17:41" x14ac:dyDescent="0.3">
      <c r="Q1347" s="93">
        <v>46197</v>
      </c>
      <c r="R1347" t="s">
        <v>492</v>
      </c>
      <c r="S1347" t="s">
        <v>399</v>
      </c>
      <c r="T1347" s="14">
        <v>10800</v>
      </c>
      <c r="W1347" s="20">
        <v>46052</v>
      </c>
      <c r="X1347" t="s">
        <v>271</v>
      </c>
      <c r="Y1347" s="23">
        <v>7.1923076923076898</v>
      </c>
      <c r="Z1347" s="23">
        <v>6.7461538461538497</v>
      </c>
      <c r="AA1347" s="23">
        <v>6.9692307692307702</v>
      </c>
      <c r="AO1347" s="14"/>
    </row>
    <row r="1348" spans="17:41" x14ac:dyDescent="0.3">
      <c r="Q1348" s="93">
        <v>46197</v>
      </c>
      <c r="R1348" t="s">
        <v>496</v>
      </c>
      <c r="S1348" t="s">
        <v>399</v>
      </c>
      <c r="T1348" s="14">
        <v>17308</v>
      </c>
      <c r="W1348" s="20">
        <v>46052</v>
      </c>
      <c r="X1348" t="s">
        <v>272</v>
      </c>
      <c r="Y1348" s="23">
        <v>7.3</v>
      </c>
      <c r="Z1348" s="23">
        <v>7.0333333333333297</v>
      </c>
      <c r="AA1348" s="23">
        <v>7.1666666666666696</v>
      </c>
      <c r="AO1348" s="14"/>
    </row>
    <row r="1349" spans="17:41" x14ac:dyDescent="0.3">
      <c r="Q1349" s="93">
        <v>46197</v>
      </c>
      <c r="R1349" t="s">
        <v>497</v>
      </c>
      <c r="S1349" t="s">
        <v>399</v>
      </c>
      <c r="T1349" s="14">
        <v>397.61059999999998</v>
      </c>
      <c r="W1349" s="20">
        <v>46052</v>
      </c>
      <c r="X1349" t="s">
        <v>273</v>
      </c>
      <c r="Y1349" s="23">
        <v>7.4</v>
      </c>
      <c r="Z1349" s="23">
        <v>6.9</v>
      </c>
      <c r="AA1349" s="23">
        <v>7.15</v>
      </c>
      <c r="AO1349" s="14"/>
    </row>
    <row r="1350" spans="17:41" x14ac:dyDescent="0.3">
      <c r="Q1350" s="93">
        <v>46197</v>
      </c>
      <c r="R1350" t="s">
        <v>498</v>
      </c>
      <c r="S1350" t="s">
        <v>399</v>
      </c>
      <c r="T1350" s="14">
        <v>13800</v>
      </c>
      <c r="W1350" s="20">
        <v>46052</v>
      </c>
      <c r="X1350" t="s">
        <v>274</v>
      </c>
      <c r="Y1350" s="23">
        <v>7.4307692307692301</v>
      </c>
      <c r="Z1350" s="23">
        <v>6.9538461538461496</v>
      </c>
      <c r="AA1350" s="23">
        <v>7.1923076923076898</v>
      </c>
      <c r="AO1350" s="14"/>
    </row>
    <row r="1351" spans="17:41" x14ac:dyDescent="0.3">
      <c r="Q1351" s="93">
        <v>46197</v>
      </c>
      <c r="R1351" t="s">
        <v>494</v>
      </c>
      <c r="S1351" t="s">
        <v>399</v>
      </c>
      <c r="T1351" s="14">
        <v>0</v>
      </c>
      <c r="W1351" s="20">
        <v>46052</v>
      </c>
      <c r="X1351" t="s">
        <v>275</v>
      </c>
      <c r="Y1351" s="23">
        <v>7.48461538461539</v>
      </c>
      <c r="Z1351" s="23">
        <v>7.0076923076923103</v>
      </c>
      <c r="AA1351" s="23">
        <v>7.2461538461538497</v>
      </c>
      <c r="AO1351" s="14"/>
    </row>
    <row r="1352" spans="17:41" x14ac:dyDescent="0.3">
      <c r="Q1352" s="93">
        <v>46197</v>
      </c>
      <c r="R1352" t="s">
        <v>495</v>
      </c>
      <c r="S1352" t="s">
        <v>399</v>
      </c>
      <c r="T1352" s="14">
        <v>0</v>
      </c>
      <c r="W1352" s="20">
        <v>46052</v>
      </c>
      <c r="X1352" t="s">
        <v>276</v>
      </c>
      <c r="Y1352" s="23">
        <v>7.5153846153846198</v>
      </c>
      <c r="Z1352" s="23">
        <v>7.0384615384615401</v>
      </c>
      <c r="AA1352" s="23">
        <v>7.2769230769230804</v>
      </c>
      <c r="AO1352" s="14"/>
    </row>
    <row r="1353" spans="17:41" x14ac:dyDescent="0.3">
      <c r="Q1353" s="93">
        <v>46197</v>
      </c>
      <c r="R1353" t="s">
        <v>493</v>
      </c>
      <c r="S1353" t="s">
        <v>399</v>
      </c>
      <c r="T1353" s="14">
        <v>0</v>
      </c>
      <c r="W1353" s="20">
        <v>46052</v>
      </c>
      <c r="X1353" t="s">
        <v>277</v>
      </c>
      <c r="Y1353" s="23">
        <v>7.5615384615384604</v>
      </c>
      <c r="Z1353" s="23">
        <v>7.0846153846153896</v>
      </c>
      <c r="AA1353" s="23">
        <v>7.3230769230769202</v>
      </c>
      <c r="AO1353" s="14"/>
    </row>
    <row r="1354" spans="17:41" x14ac:dyDescent="0.3">
      <c r="Q1354" s="93">
        <v>46197</v>
      </c>
      <c r="R1354" t="s">
        <v>593</v>
      </c>
      <c r="S1354" t="s">
        <v>399</v>
      </c>
      <c r="T1354" s="14">
        <v>8892</v>
      </c>
      <c r="W1354" s="20">
        <v>46052</v>
      </c>
      <c r="X1354" t="s">
        <v>278</v>
      </c>
      <c r="Y1354" s="23">
        <v>7.5692307692307699</v>
      </c>
      <c r="Z1354" s="23">
        <v>7.0923076923076902</v>
      </c>
      <c r="AA1354" s="23">
        <v>7.3307692307692296</v>
      </c>
      <c r="AO1354" s="14"/>
    </row>
    <row r="1355" spans="17:41" x14ac:dyDescent="0.3">
      <c r="Q1355" s="93">
        <v>46197</v>
      </c>
      <c r="R1355" t="s">
        <v>594</v>
      </c>
      <c r="S1355" t="s">
        <v>399</v>
      </c>
      <c r="T1355" s="14">
        <v>0</v>
      </c>
      <c r="W1355" s="20">
        <v>46052</v>
      </c>
      <c r="X1355" t="s">
        <v>279</v>
      </c>
      <c r="Y1355" s="23">
        <v>7.5923076923076902</v>
      </c>
      <c r="Z1355" s="23">
        <v>7.1153846153846096</v>
      </c>
      <c r="AA1355" s="23">
        <v>7.3538461538461597</v>
      </c>
      <c r="AO1355" s="14"/>
    </row>
    <row r="1356" spans="17:41" x14ac:dyDescent="0.3">
      <c r="Q1356" s="93">
        <v>46197</v>
      </c>
      <c r="R1356" t="s">
        <v>595</v>
      </c>
      <c r="S1356" t="s">
        <v>399</v>
      </c>
      <c r="T1356" s="14">
        <v>0</v>
      </c>
      <c r="W1356" s="20">
        <v>46052</v>
      </c>
      <c r="X1356" t="s">
        <v>280</v>
      </c>
      <c r="Y1356" s="23">
        <v>7.6307692307692303</v>
      </c>
      <c r="Z1356" s="23">
        <v>7.1538461538461604</v>
      </c>
      <c r="AA1356" s="23">
        <v>7.39230769230769</v>
      </c>
      <c r="AO1356" s="14"/>
    </row>
    <row r="1357" spans="17:41" x14ac:dyDescent="0.3">
      <c r="Q1357" s="93">
        <v>46197</v>
      </c>
      <c r="R1357" t="s">
        <v>479</v>
      </c>
      <c r="S1357" t="s">
        <v>395</v>
      </c>
      <c r="T1357" s="14">
        <v>10270.881946617201</v>
      </c>
      <c r="W1357" s="20">
        <v>46052</v>
      </c>
      <c r="X1357" t="s">
        <v>281</v>
      </c>
      <c r="Y1357" s="23">
        <v>7.6461538461538501</v>
      </c>
      <c r="Z1357" s="23">
        <v>7.1692307692307704</v>
      </c>
      <c r="AA1357" s="23">
        <v>7.4076923076923098</v>
      </c>
      <c r="AO1357" s="14"/>
    </row>
    <row r="1358" spans="17:41" x14ac:dyDescent="0.3">
      <c r="Q1358" s="93">
        <v>46197</v>
      </c>
      <c r="R1358" t="s">
        <v>479</v>
      </c>
      <c r="S1358" t="s">
        <v>415</v>
      </c>
      <c r="T1358" s="14">
        <v>7.1111348651863997</v>
      </c>
      <c r="W1358" s="20">
        <v>46055</v>
      </c>
      <c r="X1358" t="s">
        <v>270</v>
      </c>
      <c r="Y1358" s="23">
        <v>7.5</v>
      </c>
      <c r="Z1358" s="23">
        <v>7</v>
      </c>
      <c r="AA1358" s="23">
        <v>7.25</v>
      </c>
      <c r="AO1358" s="14"/>
    </row>
    <row r="1359" spans="17:41" x14ac:dyDescent="0.3">
      <c r="Q1359" s="93">
        <v>46197</v>
      </c>
      <c r="R1359" t="s">
        <v>364</v>
      </c>
      <c r="S1359" t="s">
        <v>415</v>
      </c>
      <c r="T1359" s="14">
        <v>6.6729357798165099</v>
      </c>
      <c r="W1359" s="20">
        <v>46055</v>
      </c>
      <c r="X1359" t="s">
        <v>271</v>
      </c>
      <c r="Y1359" s="23">
        <v>7.2384615384615403</v>
      </c>
      <c r="Z1359" s="23">
        <v>6.7923076923076904</v>
      </c>
      <c r="AA1359" s="23">
        <v>7.0153846153846198</v>
      </c>
      <c r="AO1359" s="14"/>
    </row>
    <row r="1360" spans="17:41" x14ac:dyDescent="0.3">
      <c r="Q1360" s="93">
        <v>46197</v>
      </c>
      <c r="R1360" t="s">
        <v>516</v>
      </c>
      <c r="S1360" t="s">
        <v>415</v>
      </c>
      <c r="T1360" s="14">
        <v>6.8055945634893398</v>
      </c>
      <c r="W1360" s="20">
        <v>46055</v>
      </c>
      <c r="X1360" t="s">
        <v>272</v>
      </c>
      <c r="Y1360" s="23">
        <v>7.3333333333333304</v>
      </c>
      <c r="Z1360" s="23">
        <v>7.06666666666667</v>
      </c>
      <c r="AA1360" s="23">
        <v>7.2</v>
      </c>
      <c r="AO1360" s="14"/>
    </row>
    <row r="1361" spans="17:41" x14ac:dyDescent="0.3">
      <c r="Q1361" s="93">
        <v>46197</v>
      </c>
      <c r="R1361" t="s">
        <v>1288</v>
      </c>
      <c r="S1361" t="s">
        <v>415</v>
      </c>
      <c r="T1361" s="14">
        <v>7.1111348651863997</v>
      </c>
      <c r="W1361" s="20">
        <v>46055</v>
      </c>
      <c r="X1361" t="s">
        <v>273</v>
      </c>
      <c r="Y1361" s="23">
        <v>7.56666666666667</v>
      </c>
      <c r="Z1361" s="23">
        <v>7.06666666666667</v>
      </c>
      <c r="AA1361" s="23">
        <v>7.31666666666667</v>
      </c>
      <c r="AO1361" s="14"/>
    </row>
    <row r="1362" spans="17:41" x14ac:dyDescent="0.3">
      <c r="Q1362" s="93">
        <v>46197</v>
      </c>
      <c r="R1362" t="s">
        <v>496</v>
      </c>
      <c r="S1362" t="s">
        <v>415</v>
      </c>
      <c r="T1362" s="14">
        <v>6.5176495295698897</v>
      </c>
      <c r="W1362" s="20">
        <v>46055</v>
      </c>
      <c r="X1362" t="s">
        <v>274</v>
      </c>
      <c r="Y1362" s="23">
        <v>7.4615384615384599</v>
      </c>
      <c r="Z1362" s="23">
        <v>6.98461538461539</v>
      </c>
      <c r="AA1362" s="23">
        <v>7.2230769230769196</v>
      </c>
      <c r="AO1362" s="14"/>
    </row>
    <row r="1363" spans="17:41" x14ac:dyDescent="0.3">
      <c r="Q1363" s="93">
        <v>46197</v>
      </c>
      <c r="R1363" t="s">
        <v>1290</v>
      </c>
      <c r="S1363" t="s">
        <v>415</v>
      </c>
      <c r="T1363" s="14">
        <v>6.7393555766211</v>
      </c>
      <c r="W1363" s="20">
        <v>46055</v>
      </c>
      <c r="X1363" t="s">
        <v>275</v>
      </c>
      <c r="Y1363" s="23">
        <v>7.5076923076923103</v>
      </c>
      <c r="Z1363" s="23">
        <v>7.0307692307692298</v>
      </c>
      <c r="AA1363" s="23">
        <v>7.2692307692307701</v>
      </c>
      <c r="AO1363" s="14"/>
    </row>
    <row r="1364" spans="17:41" x14ac:dyDescent="0.3">
      <c r="Q1364" s="93">
        <v>46197</v>
      </c>
      <c r="R1364" t="s">
        <v>364</v>
      </c>
      <c r="S1364" t="s">
        <v>997</v>
      </c>
      <c r="T1364" s="14">
        <v>32700</v>
      </c>
      <c r="W1364" s="20">
        <v>46055</v>
      </c>
      <c r="X1364" t="s">
        <v>276</v>
      </c>
      <c r="Y1364" s="23">
        <v>7.5384615384615401</v>
      </c>
      <c r="Z1364" s="23">
        <v>7.0615384615384604</v>
      </c>
      <c r="AA1364" s="23">
        <v>7.3</v>
      </c>
      <c r="AO1364" s="14"/>
    </row>
    <row r="1365" spans="17:41" x14ac:dyDescent="0.3">
      <c r="Q1365" s="93">
        <v>46197</v>
      </c>
      <c r="R1365" t="s">
        <v>496</v>
      </c>
      <c r="S1365" t="s">
        <v>997</v>
      </c>
      <c r="T1365" s="14">
        <v>23808</v>
      </c>
      <c r="W1365" s="20">
        <v>46055</v>
      </c>
      <c r="X1365" t="s">
        <v>277</v>
      </c>
      <c r="Y1365" s="23">
        <v>7.5769230769230802</v>
      </c>
      <c r="Z1365" s="23">
        <v>7.1</v>
      </c>
      <c r="AA1365" s="23">
        <v>7.3384615384615399</v>
      </c>
      <c r="AO1365" s="14"/>
    </row>
    <row r="1366" spans="17:41" x14ac:dyDescent="0.3">
      <c r="Q1366" s="93">
        <v>46196</v>
      </c>
      <c r="R1366" t="s">
        <v>479</v>
      </c>
      <c r="S1366" t="s">
        <v>415</v>
      </c>
      <c r="T1366" s="14">
        <v>7.1111348651863997</v>
      </c>
      <c r="W1366" s="20">
        <v>46055</v>
      </c>
      <c r="X1366" t="s">
        <v>278</v>
      </c>
      <c r="Y1366" s="23">
        <v>7.5846153846153799</v>
      </c>
      <c r="Z1366" s="23">
        <v>7.10769230769231</v>
      </c>
      <c r="AA1366" s="23">
        <v>7.3461538461538503</v>
      </c>
      <c r="AO1366" s="14"/>
    </row>
    <row r="1367" spans="17:41" x14ac:dyDescent="0.3">
      <c r="Q1367" s="93">
        <v>46196</v>
      </c>
      <c r="R1367" t="s">
        <v>364</v>
      </c>
      <c r="S1367" t="s">
        <v>415</v>
      </c>
      <c r="T1367" s="14">
        <v>6.6729357798165099</v>
      </c>
      <c r="W1367" s="20">
        <v>46055</v>
      </c>
      <c r="X1367" t="s">
        <v>279</v>
      </c>
      <c r="Y1367" s="23">
        <v>7.60769230769231</v>
      </c>
      <c r="Z1367" s="23">
        <v>7.1307692307692303</v>
      </c>
      <c r="AA1367" s="23">
        <v>7.3692307692307697</v>
      </c>
      <c r="AO1367" s="14"/>
    </row>
    <row r="1368" spans="17:41" x14ac:dyDescent="0.3">
      <c r="Q1368" s="93">
        <v>46196</v>
      </c>
      <c r="R1368" t="s">
        <v>516</v>
      </c>
      <c r="S1368" t="s">
        <v>415</v>
      </c>
      <c r="T1368" s="14">
        <v>6.8055945634893398</v>
      </c>
      <c r="W1368" s="20">
        <v>46055</v>
      </c>
      <c r="X1368" t="s">
        <v>280</v>
      </c>
      <c r="Y1368" s="23">
        <v>7.6461538461538501</v>
      </c>
      <c r="Z1368" s="23">
        <v>7.1692307692307704</v>
      </c>
      <c r="AA1368" s="23">
        <v>7.4076923076923098</v>
      </c>
      <c r="AO1368" s="14"/>
    </row>
    <row r="1369" spans="17:41" x14ac:dyDescent="0.3">
      <c r="Q1369" s="93">
        <v>46196</v>
      </c>
      <c r="R1369" t="s">
        <v>1288</v>
      </c>
      <c r="S1369" t="s">
        <v>415</v>
      </c>
      <c r="T1369" s="14">
        <v>7.1111348651863997</v>
      </c>
      <c r="W1369" s="20">
        <v>46055</v>
      </c>
      <c r="X1369" t="s">
        <v>281</v>
      </c>
      <c r="Y1369" s="23">
        <v>7.6538461538461497</v>
      </c>
      <c r="Z1369" s="23">
        <v>7.1769230769230798</v>
      </c>
      <c r="AA1369" s="23">
        <v>7.4153846153846201</v>
      </c>
      <c r="AO1369" s="14"/>
    </row>
    <row r="1370" spans="17:41" x14ac:dyDescent="0.3">
      <c r="Q1370" s="93">
        <v>46196</v>
      </c>
      <c r="R1370" t="s">
        <v>496</v>
      </c>
      <c r="S1370" t="s">
        <v>415</v>
      </c>
      <c r="T1370" s="14">
        <v>6.5871676186724404</v>
      </c>
      <c r="W1370" s="20">
        <v>46058</v>
      </c>
      <c r="X1370" t="s">
        <v>270</v>
      </c>
      <c r="Y1370" s="23">
        <v>7.86</v>
      </c>
      <c r="Z1370" s="23">
        <v>7.36</v>
      </c>
      <c r="AA1370" s="23">
        <v>7.61</v>
      </c>
      <c r="AO1370" s="14"/>
    </row>
    <row r="1371" spans="17:41" x14ac:dyDescent="0.3">
      <c r="Q1371" s="93">
        <v>46196</v>
      </c>
      <c r="R1371" t="s">
        <v>1290</v>
      </c>
      <c r="S1371" t="s">
        <v>415</v>
      </c>
      <c r="T1371" s="14">
        <v>6.80275815029339</v>
      </c>
      <c r="W1371" s="20">
        <v>46058</v>
      </c>
      <c r="X1371" t="s">
        <v>271</v>
      </c>
      <c r="Y1371" s="23">
        <v>7.3384615384615399</v>
      </c>
      <c r="Z1371" s="23">
        <v>6.9153846153846104</v>
      </c>
      <c r="AA1371" s="23">
        <v>7.12692307692308</v>
      </c>
      <c r="AO1371" s="14"/>
    </row>
    <row r="1372" spans="17:41" x14ac:dyDescent="0.3">
      <c r="Q1372" s="93">
        <v>46196</v>
      </c>
      <c r="R1372" t="s">
        <v>364</v>
      </c>
      <c r="S1372" t="s">
        <v>997</v>
      </c>
      <c r="T1372" s="14">
        <v>32700</v>
      </c>
      <c r="W1372" s="20">
        <v>46058</v>
      </c>
      <c r="X1372" t="s">
        <v>272</v>
      </c>
      <c r="Y1372" s="23">
        <v>7.43333333333333</v>
      </c>
      <c r="Z1372" s="23">
        <v>7.1666666666666696</v>
      </c>
      <c r="AA1372" s="23">
        <v>7.3</v>
      </c>
      <c r="AO1372" s="14"/>
    </row>
    <row r="1373" spans="17:41" x14ac:dyDescent="0.3">
      <c r="Q1373" s="93">
        <v>46196</v>
      </c>
      <c r="R1373" t="s">
        <v>496</v>
      </c>
      <c r="S1373" t="s">
        <v>997</v>
      </c>
      <c r="T1373" s="14">
        <v>20308</v>
      </c>
      <c r="W1373" s="20">
        <v>46058</v>
      </c>
      <c r="X1373" t="s">
        <v>273</v>
      </c>
      <c r="Y1373" s="23">
        <v>7.4749999999999996</v>
      </c>
      <c r="Z1373" s="23">
        <v>6.9749999999999996</v>
      </c>
      <c r="AA1373" s="23">
        <v>7.2249999999999996</v>
      </c>
      <c r="AO1373" s="14"/>
    </row>
    <row r="1374" spans="17:41" x14ac:dyDescent="0.3">
      <c r="Q1374" s="93">
        <v>46196</v>
      </c>
      <c r="R1374" t="s">
        <v>479</v>
      </c>
      <c r="S1374" t="s">
        <v>399</v>
      </c>
      <c r="T1374" s="14">
        <v>11197.6106</v>
      </c>
      <c r="W1374" s="20">
        <v>46058</v>
      </c>
      <c r="X1374" t="s">
        <v>274</v>
      </c>
      <c r="Y1374" s="23">
        <v>7.5692307692307699</v>
      </c>
      <c r="Z1374" s="23">
        <v>7.0923076923076902</v>
      </c>
      <c r="AA1374" s="23">
        <v>7.3307692307692296</v>
      </c>
      <c r="AO1374" s="14"/>
    </row>
    <row r="1375" spans="17:41" x14ac:dyDescent="0.3">
      <c r="Q1375" s="93">
        <v>46196</v>
      </c>
      <c r="R1375" t="s">
        <v>364</v>
      </c>
      <c r="S1375" t="s">
        <v>399</v>
      </c>
      <c r="T1375" s="14">
        <v>29200</v>
      </c>
      <c r="W1375" s="20">
        <v>46058</v>
      </c>
      <c r="X1375" t="s">
        <v>275</v>
      </c>
      <c r="Y1375" s="23">
        <v>7.60769230769231</v>
      </c>
      <c r="Z1375" s="23">
        <v>7.1307692307692303</v>
      </c>
      <c r="AA1375" s="23">
        <v>7.3692307692307697</v>
      </c>
      <c r="AO1375" s="14"/>
    </row>
    <row r="1376" spans="17:41" x14ac:dyDescent="0.3">
      <c r="Q1376" s="93">
        <v>46196</v>
      </c>
      <c r="R1376" t="s">
        <v>491</v>
      </c>
      <c r="S1376" t="s">
        <v>399</v>
      </c>
      <c r="T1376" s="14">
        <v>397.61059999999998</v>
      </c>
      <c r="W1376" s="20">
        <v>46058</v>
      </c>
      <c r="X1376" t="s">
        <v>276</v>
      </c>
      <c r="Y1376" s="23">
        <v>7.6384615384615397</v>
      </c>
      <c r="Z1376" s="23">
        <v>7.1615384615384601</v>
      </c>
      <c r="AA1376" s="23">
        <v>7.4</v>
      </c>
      <c r="AO1376" s="14"/>
    </row>
    <row r="1377" spans="17:41" x14ac:dyDescent="0.3">
      <c r="Q1377" s="93">
        <v>46196</v>
      </c>
      <c r="R1377" t="s">
        <v>492</v>
      </c>
      <c r="S1377" t="s">
        <v>399</v>
      </c>
      <c r="T1377" s="14">
        <v>10800</v>
      </c>
      <c r="W1377" s="20">
        <v>46058</v>
      </c>
      <c r="X1377" t="s">
        <v>277</v>
      </c>
      <c r="Y1377" s="23">
        <v>7.6769230769230798</v>
      </c>
      <c r="Z1377" s="23">
        <v>7.2</v>
      </c>
      <c r="AA1377" s="23">
        <v>7.4384615384615396</v>
      </c>
      <c r="AO1377" s="14"/>
    </row>
    <row r="1378" spans="17:41" x14ac:dyDescent="0.3">
      <c r="Q1378" s="93">
        <v>46196</v>
      </c>
      <c r="R1378" t="s">
        <v>496</v>
      </c>
      <c r="S1378" t="s">
        <v>399</v>
      </c>
      <c r="T1378" s="14">
        <v>13808</v>
      </c>
      <c r="W1378" s="20">
        <v>46058</v>
      </c>
      <c r="X1378" t="s">
        <v>278</v>
      </c>
      <c r="Y1378" s="23">
        <v>7.6923076923076898</v>
      </c>
      <c r="Z1378" s="23">
        <v>7.2153846153846199</v>
      </c>
      <c r="AA1378" s="23">
        <v>7.4538461538461602</v>
      </c>
      <c r="AO1378" s="14"/>
    </row>
    <row r="1379" spans="17:41" x14ac:dyDescent="0.3">
      <c r="Q1379" s="93">
        <v>46196</v>
      </c>
      <c r="R1379" t="s">
        <v>497</v>
      </c>
      <c r="S1379" t="s">
        <v>399</v>
      </c>
      <c r="T1379" s="14">
        <v>397.61059999999998</v>
      </c>
      <c r="W1379" s="20">
        <v>46058</v>
      </c>
      <c r="X1379" t="s">
        <v>279</v>
      </c>
      <c r="Y1379" s="23">
        <v>7.7153846153846102</v>
      </c>
      <c r="Z1379" s="23">
        <v>7.2384615384615403</v>
      </c>
      <c r="AA1379" s="23">
        <v>7.4769230769230797</v>
      </c>
      <c r="AO1379" s="14"/>
    </row>
    <row r="1380" spans="17:41" x14ac:dyDescent="0.3">
      <c r="Q1380" s="93">
        <v>46196</v>
      </c>
      <c r="R1380" t="s">
        <v>498</v>
      </c>
      <c r="S1380" t="s">
        <v>399</v>
      </c>
      <c r="T1380" s="14">
        <v>13800</v>
      </c>
      <c r="W1380" s="20">
        <v>46058</v>
      </c>
      <c r="X1380" t="s">
        <v>280</v>
      </c>
      <c r="Y1380" s="23">
        <v>7.7615384615384597</v>
      </c>
      <c r="Z1380" s="23">
        <v>7.2846153846153898</v>
      </c>
      <c r="AA1380" s="23">
        <v>7.5230769230769203</v>
      </c>
      <c r="AO1380" s="14"/>
    </row>
    <row r="1381" spans="17:41" x14ac:dyDescent="0.3">
      <c r="Q1381" s="93">
        <v>46196</v>
      </c>
      <c r="R1381" t="s">
        <v>494</v>
      </c>
      <c r="S1381" t="s">
        <v>399</v>
      </c>
      <c r="T1381" s="14">
        <v>0</v>
      </c>
      <c r="W1381" s="20">
        <v>46058</v>
      </c>
      <c r="X1381" t="s">
        <v>281</v>
      </c>
      <c r="Y1381" s="23">
        <v>7.7692307692307701</v>
      </c>
      <c r="Z1381" s="23">
        <v>7.2923076923076904</v>
      </c>
      <c r="AA1381" s="23">
        <v>7.5307692307692298</v>
      </c>
      <c r="AO1381" s="14"/>
    </row>
    <row r="1382" spans="17:41" x14ac:dyDescent="0.3">
      <c r="Q1382" s="93">
        <v>46196</v>
      </c>
      <c r="R1382" t="s">
        <v>495</v>
      </c>
      <c r="S1382" t="s">
        <v>399</v>
      </c>
      <c r="T1382" s="14">
        <v>0</v>
      </c>
      <c r="W1382" s="20">
        <v>46057</v>
      </c>
      <c r="X1382" t="s">
        <v>270</v>
      </c>
      <c r="Y1382" s="23">
        <v>7.8</v>
      </c>
      <c r="Z1382" s="23">
        <v>7.3</v>
      </c>
      <c r="AA1382" s="23">
        <v>7.55</v>
      </c>
      <c r="AO1382" s="14"/>
    </row>
    <row r="1383" spans="17:41" x14ac:dyDescent="0.3">
      <c r="Q1383" s="93">
        <v>46196</v>
      </c>
      <c r="R1383" t="s">
        <v>493</v>
      </c>
      <c r="S1383" t="s">
        <v>399</v>
      </c>
      <c r="T1383" s="14">
        <v>0</v>
      </c>
      <c r="W1383" s="20">
        <v>46057</v>
      </c>
      <c r="X1383" t="s">
        <v>271</v>
      </c>
      <c r="Y1383" s="23">
        <v>7.3538461538461499</v>
      </c>
      <c r="Z1383" s="23">
        <v>6.9307692307692301</v>
      </c>
      <c r="AA1383" s="23">
        <v>7.14230769230769</v>
      </c>
      <c r="AO1383" s="14"/>
    </row>
    <row r="1384" spans="17:41" x14ac:dyDescent="0.3">
      <c r="Q1384" s="93">
        <v>46196</v>
      </c>
      <c r="R1384" t="s">
        <v>593</v>
      </c>
      <c r="S1384" t="s">
        <v>399</v>
      </c>
      <c r="T1384" s="14">
        <v>12392</v>
      </c>
      <c r="W1384" s="20">
        <v>46057</v>
      </c>
      <c r="X1384" t="s">
        <v>272</v>
      </c>
      <c r="Y1384" s="23">
        <v>7.4666666666666703</v>
      </c>
      <c r="Z1384" s="23">
        <v>7.1666666666666696</v>
      </c>
      <c r="AA1384" s="23">
        <v>7.31666666666667</v>
      </c>
      <c r="AO1384" s="14"/>
    </row>
    <row r="1385" spans="17:41" x14ac:dyDescent="0.3">
      <c r="Q1385" s="93">
        <v>46196</v>
      </c>
      <c r="R1385" t="s">
        <v>594</v>
      </c>
      <c r="S1385" t="s">
        <v>399</v>
      </c>
      <c r="T1385" s="14">
        <v>0</v>
      </c>
      <c r="W1385" s="20">
        <v>46057</v>
      </c>
      <c r="X1385" t="s">
        <v>273</v>
      </c>
      <c r="Y1385" s="23">
        <v>7.4749999999999996</v>
      </c>
      <c r="Z1385" s="23">
        <v>6.9749999999999996</v>
      </c>
      <c r="AA1385" s="23">
        <v>7.2249999999999996</v>
      </c>
      <c r="AO1385" s="14"/>
    </row>
    <row r="1386" spans="17:41" x14ac:dyDescent="0.3">
      <c r="Q1386" s="93">
        <v>46196</v>
      </c>
      <c r="R1386" t="s">
        <v>595</v>
      </c>
      <c r="S1386" t="s">
        <v>399</v>
      </c>
      <c r="T1386" s="14">
        <v>0</v>
      </c>
      <c r="W1386" s="20">
        <v>46057</v>
      </c>
      <c r="X1386" t="s">
        <v>274</v>
      </c>
      <c r="Y1386" s="23">
        <v>7.5846153846153799</v>
      </c>
      <c r="Z1386" s="23">
        <v>7.1</v>
      </c>
      <c r="AA1386" s="23">
        <v>7.3423076923076902</v>
      </c>
      <c r="AO1386" s="14"/>
    </row>
    <row r="1387" spans="17:41" x14ac:dyDescent="0.3">
      <c r="Q1387" s="93">
        <v>46196</v>
      </c>
      <c r="R1387" t="s">
        <v>479</v>
      </c>
      <c r="S1387" t="s">
        <v>395</v>
      </c>
      <c r="T1387" s="14">
        <v>10273.238962711601</v>
      </c>
      <c r="W1387" s="20">
        <v>46057</v>
      </c>
      <c r="X1387" t="s">
        <v>275</v>
      </c>
      <c r="Y1387" s="23">
        <v>7.62307692307692</v>
      </c>
      <c r="Z1387" s="23">
        <v>7.1384615384615397</v>
      </c>
      <c r="AA1387" s="23">
        <v>7.3807692307692303</v>
      </c>
      <c r="AO1387" s="14"/>
    </row>
    <row r="1388" spans="17:41" x14ac:dyDescent="0.3">
      <c r="Q1388" s="93">
        <v>46195</v>
      </c>
      <c r="R1388" t="s">
        <v>479</v>
      </c>
      <c r="S1388" t="s">
        <v>399</v>
      </c>
      <c r="T1388" s="14">
        <v>11197.6106</v>
      </c>
      <c r="W1388" s="20">
        <v>46057</v>
      </c>
      <c r="X1388" t="s">
        <v>276</v>
      </c>
      <c r="Y1388" s="23">
        <v>7.6538461538461497</v>
      </c>
      <c r="Z1388" s="23">
        <v>7.1692307692307704</v>
      </c>
      <c r="AA1388" s="23">
        <v>7.4115384615384601</v>
      </c>
      <c r="AO1388" s="14"/>
    </row>
    <row r="1389" spans="17:41" x14ac:dyDescent="0.3">
      <c r="Q1389" s="93">
        <v>46195</v>
      </c>
      <c r="R1389" t="s">
        <v>364</v>
      </c>
      <c r="S1389" t="s">
        <v>399</v>
      </c>
      <c r="T1389" s="14">
        <v>29200</v>
      </c>
      <c r="W1389" s="20">
        <v>46057</v>
      </c>
      <c r="X1389" t="s">
        <v>277</v>
      </c>
      <c r="Y1389" s="23">
        <v>7.6923076923076898</v>
      </c>
      <c r="Z1389" s="23">
        <v>7.2076923076923096</v>
      </c>
      <c r="AA1389" s="23">
        <v>7.45</v>
      </c>
      <c r="AO1389" s="14"/>
    </row>
    <row r="1390" spans="17:41" x14ac:dyDescent="0.3">
      <c r="Q1390" s="93">
        <v>46195</v>
      </c>
      <c r="R1390" t="s">
        <v>491</v>
      </c>
      <c r="S1390" t="s">
        <v>399</v>
      </c>
      <c r="T1390" s="14">
        <v>397.61059999999998</v>
      </c>
      <c r="W1390" s="20">
        <v>46057</v>
      </c>
      <c r="X1390" t="s">
        <v>278</v>
      </c>
      <c r="Y1390" s="23">
        <v>7.7076923076923096</v>
      </c>
      <c r="Z1390" s="23">
        <v>7.2230769230769196</v>
      </c>
      <c r="AA1390" s="23">
        <v>7.4653846153846199</v>
      </c>
      <c r="AO1390" s="14"/>
    </row>
    <row r="1391" spans="17:41" x14ac:dyDescent="0.3">
      <c r="Q1391" s="93">
        <v>46195</v>
      </c>
      <c r="R1391" t="s">
        <v>492</v>
      </c>
      <c r="S1391" t="s">
        <v>399</v>
      </c>
      <c r="T1391" s="14">
        <v>10800</v>
      </c>
      <c r="W1391" s="20">
        <v>46057</v>
      </c>
      <c r="X1391" t="s">
        <v>279</v>
      </c>
      <c r="Y1391" s="23">
        <v>7.7307692307692299</v>
      </c>
      <c r="Z1391" s="23">
        <v>7.2461538461538497</v>
      </c>
      <c r="AA1391" s="23">
        <v>7.4884615384615403</v>
      </c>
      <c r="AO1391" s="14"/>
    </row>
    <row r="1392" spans="17:41" x14ac:dyDescent="0.3">
      <c r="Q1392" s="93">
        <v>46195</v>
      </c>
      <c r="R1392" t="s">
        <v>496</v>
      </c>
      <c r="S1392" t="s">
        <v>399</v>
      </c>
      <c r="T1392" s="14">
        <v>14308</v>
      </c>
      <c r="W1392" s="20">
        <v>46057</v>
      </c>
      <c r="X1392" t="s">
        <v>280</v>
      </c>
      <c r="Y1392" s="23">
        <v>7.7769230769230804</v>
      </c>
      <c r="Z1392" s="23">
        <v>7.2923076923076904</v>
      </c>
      <c r="AA1392" s="23">
        <v>7.5346153846153898</v>
      </c>
      <c r="AO1392" s="14"/>
    </row>
    <row r="1393" spans="17:41" x14ac:dyDescent="0.3">
      <c r="Q1393" s="93">
        <v>46195</v>
      </c>
      <c r="R1393" t="s">
        <v>497</v>
      </c>
      <c r="S1393" t="s">
        <v>399</v>
      </c>
      <c r="T1393" s="14">
        <v>397.61059999999998</v>
      </c>
      <c r="W1393" s="20">
        <v>46057</v>
      </c>
      <c r="X1393" t="s">
        <v>281</v>
      </c>
      <c r="Y1393" s="23">
        <v>7.7846153846153801</v>
      </c>
      <c r="Z1393" s="23">
        <v>7.3</v>
      </c>
      <c r="AA1393" s="23">
        <v>7.5423076923076904</v>
      </c>
      <c r="AO1393" s="14"/>
    </row>
    <row r="1394" spans="17:41" x14ac:dyDescent="0.3">
      <c r="Q1394" s="93">
        <v>46195</v>
      </c>
      <c r="R1394" t="s">
        <v>498</v>
      </c>
      <c r="S1394" t="s">
        <v>399</v>
      </c>
      <c r="T1394" s="14">
        <v>13800</v>
      </c>
      <c r="W1394" s="20">
        <v>46062</v>
      </c>
      <c r="X1394" t="s">
        <v>270</v>
      </c>
      <c r="Y1394" s="23">
        <v>8.02</v>
      </c>
      <c r="Z1394" s="23">
        <v>7.52</v>
      </c>
      <c r="AA1394" s="23">
        <v>7.77</v>
      </c>
      <c r="AO1394" s="14"/>
    </row>
    <row r="1395" spans="17:41" x14ac:dyDescent="0.3">
      <c r="Q1395" s="93">
        <v>46195</v>
      </c>
      <c r="R1395" t="s">
        <v>494</v>
      </c>
      <c r="S1395" t="s">
        <v>399</v>
      </c>
      <c r="T1395" s="14">
        <v>0</v>
      </c>
      <c r="W1395" s="20">
        <v>46062</v>
      </c>
      <c r="X1395" t="s">
        <v>271</v>
      </c>
      <c r="Y1395" s="23">
        <v>7.3461538461538396</v>
      </c>
      <c r="Z1395" s="23">
        <v>6.9230769230769198</v>
      </c>
      <c r="AA1395" s="23">
        <v>7.1346153846153904</v>
      </c>
      <c r="AO1395" s="14"/>
    </row>
    <row r="1396" spans="17:41" x14ac:dyDescent="0.3">
      <c r="Q1396" s="93">
        <v>46195</v>
      </c>
      <c r="R1396" t="s">
        <v>495</v>
      </c>
      <c r="S1396" t="s">
        <v>399</v>
      </c>
      <c r="T1396" s="14">
        <v>0</v>
      </c>
      <c r="W1396" s="20">
        <v>46062</v>
      </c>
      <c r="X1396" t="s">
        <v>272</v>
      </c>
      <c r="Y1396" s="23">
        <v>7.5</v>
      </c>
      <c r="Z1396" s="23">
        <v>7.2333333333333298</v>
      </c>
      <c r="AA1396" s="23">
        <v>7.3666666666666698</v>
      </c>
      <c r="AO1396" s="14"/>
    </row>
    <row r="1397" spans="17:41" x14ac:dyDescent="0.3">
      <c r="Q1397" s="93">
        <v>46195</v>
      </c>
      <c r="R1397" t="s">
        <v>493</v>
      </c>
      <c r="S1397" t="s">
        <v>399</v>
      </c>
      <c r="T1397" s="14">
        <v>0</v>
      </c>
      <c r="W1397" s="20">
        <v>46062</v>
      </c>
      <c r="X1397" t="s">
        <v>273</v>
      </c>
      <c r="Y1397" s="23">
        <v>7.4749999999999996</v>
      </c>
      <c r="Z1397" s="23">
        <v>6.9749999999999996</v>
      </c>
      <c r="AA1397" s="23">
        <v>7.2249999999999996</v>
      </c>
      <c r="AO1397" s="14"/>
    </row>
    <row r="1398" spans="17:41" x14ac:dyDescent="0.3">
      <c r="Q1398" s="93">
        <v>46195</v>
      </c>
      <c r="R1398" t="s">
        <v>593</v>
      </c>
      <c r="S1398" t="s">
        <v>399</v>
      </c>
      <c r="T1398" s="14">
        <v>11892</v>
      </c>
      <c r="W1398" s="20">
        <v>46062</v>
      </c>
      <c r="X1398" t="s">
        <v>274</v>
      </c>
      <c r="Y1398" s="23">
        <v>7.5846153846153799</v>
      </c>
      <c r="Z1398" s="23">
        <v>7.10769230769231</v>
      </c>
      <c r="AA1398" s="23">
        <v>7.3461538461538503</v>
      </c>
      <c r="AO1398" s="14"/>
    </row>
    <row r="1399" spans="17:41" x14ac:dyDescent="0.3">
      <c r="Q1399" s="93">
        <v>46195</v>
      </c>
      <c r="R1399" t="s">
        <v>594</v>
      </c>
      <c r="S1399" t="s">
        <v>399</v>
      </c>
      <c r="T1399" s="14">
        <v>0</v>
      </c>
      <c r="W1399" s="20">
        <v>46062</v>
      </c>
      <c r="X1399" t="s">
        <v>275</v>
      </c>
      <c r="Y1399" s="23">
        <v>7.62307692307692</v>
      </c>
      <c r="Z1399" s="23">
        <v>7.1461538461538403</v>
      </c>
      <c r="AA1399" s="23">
        <v>7.3846153846153904</v>
      </c>
      <c r="AO1399" s="14"/>
    </row>
    <row r="1400" spans="17:41" x14ac:dyDescent="0.3">
      <c r="Q1400" s="93">
        <v>46195</v>
      </c>
      <c r="R1400" t="s">
        <v>595</v>
      </c>
      <c r="S1400" t="s">
        <v>399</v>
      </c>
      <c r="T1400" s="14">
        <v>0</v>
      </c>
      <c r="W1400" s="20">
        <v>46062</v>
      </c>
      <c r="X1400" t="s">
        <v>276</v>
      </c>
      <c r="Y1400" s="23">
        <v>7.6615384615384601</v>
      </c>
      <c r="Z1400" s="23">
        <v>7.1846153846153804</v>
      </c>
      <c r="AA1400" s="23">
        <v>7.4230769230769198</v>
      </c>
      <c r="AO1400" s="14"/>
    </row>
    <row r="1401" spans="17:41" x14ac:dyDescent="0.3">
      <c r="Q1401" s="93">
        <v>46195</v>
      </c>
      <c r="R1401" t="s">
        <v>479</v>
      </c>
      <c r="S1401" t="s">
        <v>395</v>
      </c>
      <c r="T1401" s="14">
        <v>10275.2330575097</v>
      </c>
      <c r="W1401" s="20">
        <v>46062</v>
      </c>
      <c r="X1401" t="s">
        <v>277</v>
      </c>
      <c r="Y1401" s="23">
        <v>7.7</v>
      </c>
      <c r="Z1401" s="23">
        <v>7.2230769230769196</v>
      </c>
      <c r="AA1401" s="23">
        <v>7.4615384615384599</v>
      </c>
      <c r="AO1401" s="14"/>
    </row>
    <row r="1402" spans="17:41" x14ac:dyDescent="0.3">
      <c r="Q1402" s="93">
        <v>46195</v>
      </c>
      <c r="R1402" t="s">
        <v>479</v>
      </c>
      <c r="S1402" t="s">
        <v>415</v>
      </c>
      <c r="T1402" s="14">
        <v>7.1111348651863997</v>
      </c>
      <c r="W1402" s="20">
        <v>46062</v>
      </c>
      <c r="X1402" t="s">
        <v>278</v>
      </c>
      <c r="Y1402" s="23">
        <v>7.7153846153846102</v>
      </c>
      <c r="Z1402" s="23">
        <v>7.2384615384615403</v>
      </c>
      <c r="AA1402" s="23">
        <v>7.4769230769230797</v>
      </c>
      <c r="AO1402" s="14"/>
    </row>
    <row r="1403" spans="17:41" x14ac:dyDescent="0.3">
      <c r="Q1403" s="93">
        <v>46195</v>
      </c>
      <c r="R1403" t="s">
        <v>364</v>
      </c>
      <c r="S1403" t="s">
        <v>415</v>
      </c>
      <c r="T1403" s="14">
        <v>6.6729357798165099</v>
      </c>
      <c r="W1403" s="20">
        <v>46062</v>
      </c>
      <c r="X1403" t="s">
        <v>279</v>
      </c>
      <c r="Y1403" s="23">
        <v>7.7384615384615403</v>
      </c>
      <c r="Z1403" s="23">
        <v>7.2615384615384597</v>
      </c>
      <c r="AA1403" s="23">
        <v>7.5</v>
      </c>
      <c r="AO1403" s="14"/>
    </row>
    <row r="1404" spans="17:41" x14ac:dyDescent="0.3">
      <c r="Q1404" s="93">
        <v>46195</v>
      </c>
      <c r="R1404" t="s">
        <v>516</v>
      </c>
      <c r="S1404" t="s">
        <v>415</v>
      </c>
      <c r="T1404" s="14">
        <v>6.8055945634893398</v>
      </c>
      <c r="W1404" s="20">
        <v>46062</v>
      </c>
      <c r="X1404" t="s">
        <v>280</v>
      </c>
      <c r="Y1404" s="23">
        <v>7.7923076923076904</v>
      </c>
      <c r="Z1404" s="23">
        <v>7.3153846153846098</v>
      </c>
      <c r="AA1404" s="23">
        <v>7.5538461538461501</v>
      </c>
      <c r="AO1404" s="14"/>
    </row>
    <row r="1405" spans="17:41" x14ac:dyDescent="0.3">
      <c r="Q1405" s="93">
        <v>46195</v>
      </c>
      <c r="R1405" t="s">
        <v>1288</v>
      </c>
      <c r="S1405" t="s">
        <v>415</v>
      </c>
      <c r="T1405" s="14">
        <v>7.1111348651863997</v>
      </c>
      <c r="W1405" s="20">
        <v>46062</v>
      </c>
      <c r="X1405" t="s">
        <v>281</v>
      </c>
      <c r="Y1405" s="23">
        <v>7.8</v>
      </c>
      <c r="Z1405" s="23">
        <v>7.3230769230769202</v>
      </c>
      <c r="AA1405" s="23">
        <v>7.5615384615384604</v>
      </c>
      <c r="AO1405" s="14"/>
    </row>
    <row r="1406" spans="17:41" x14ac:dyDescent="0.3">
      <c r="Q1406" s="93">
        <v>46195</v>
      </c>
      <c r="R1406" t="s">
        <v>496</v>
      </c>
      <c r="S1406" t="s">
        <v>415</v>
      </c>
      <c r="T1406" s="14">
        <v>6.5716166858900404</v>
      </c>
      <c r="W1406" s="20">
        <v>46063</v>
      </c>
      <c r="X1406" t="s">
        <v>270</v>
      </c>
      <c r="Y1406" s="23">
        <v>8</v>
      </c>
      <c r="Z1406" s="23">
        <v>7.5</v>
      </c>
      <c r="AA1406" s="23">
        <v>7.75</v>
      </c>
      <c r="AO1406" s="14"/>
    </row>
    <row r="1407" spans="17:41" x14ac:dyDescent="0.3">
      <c r="Q1407" s="93">
        <v>46195</v>
      </c>
      <c r="R1407" t="s">
        <v>1290</v>
      </c>
      <c r="S1407" t="s">
        <v>415</v>
      </c>
      <c r="T1407" s="14">
        <v>6.7904350092953401</v>
      </c>
      <c r="W1407" s="20">
        <v>46063</v>
      </c>
      <c r="X1407" t="s">
        <v>271</v>
      </c>
      <c r="Y1407" s="23">
        <v>7.3461538461538396</v>
      </c>
      <c r="Z1407" s="23">
        <v>6.9230769230769198</v>
      </c>
      <c r="AA1407" s="23">
        <v>7.1346153846153904</v>
      </c>
      <c r="AO1407" s="14"/>
    </row>
    <row r="1408" spans="17:41" x14ac:dyDescent="0.3">
      <c r="Q1408" s="93">
        <v>46195</v>
      </c>
      <c r="R1408" t="s">
        <v>364</v>
      </c>
      <c r="S1408" t="s">
        <v>997</v>
      </c>
      <c r="T1408" s="14">
        <v>32700</v>
      </c>
      <c r="W1408" s="20">
        <v>46063</v>
      </c>
      <c r="X1408" t="s">
        <v>272</v>
      </c>
      <c r="Y1408" s="23">
        <v>7.5</v>
      </c>
      <c r="Z1408" s="23">
        <v>7.2333333333333298</v>
      </c>
      <c r="AA1408" s="23">
        <v>7.3666666666666698</v>
      </c>
      <c r="AO1408" s="14"/>
    </row>
    <row r="1409" spans="17:41" x14ac:dyDescent="0.3">
      <c r="Q1409" s="93">
        <v>46195</v>
      </c>
      <c r="R1409" t="s">
        <v>496</v>
      </c>
      <c r="S1409" t="s">
        <v>997</v>
      </c>
      <c r="T1409" s="14">
        <v>20808</v>
      </c>
      <c r="W1409" s="20">
        <v>46063</v>
      </c>
      <c r="X1409" t="s">
        <v>273</v>
      </c>
      <c r="Y1409" s="23">
        <v>7.5</v>
      </c>
      <c r="Z1409" s="23">
        <v>7</v>
      </c>
      <c r="AA1409" s="23">
        <v>7.25</v>
      </c>
      <c r="AO1409" s="14"/>
    </row>
    <row r="1410" spans="17:41" x14ac:dyDescent="0.3">
      <c r="Q1410" s="93">
        <v>46192</v>
      </c>
      <c r="R1410" t="s">
        <v>479</v>
      </c>
      <c r="S1410" t="s">
        <v>399</v>
      </c>
      <c r="T1410" s="14">
        <v>11197.6106</v>
      </c>
      <c r="W1410" s="20">
        <v>46063</v>
      </c>
      <c r="X1410" t="s">
        <v>274</v>
      </c>
      <c r="Y1410" s="23">
        <v>7.5846153846153799</v>
      </c>
      <c r="Z1410" s="23">
        <v>7.10769230769231</v>
      </c>
      <c r="AA1410" s="23">
        <v>7.3461538461538503</v>
      </c>
      <c r="AO1410" s="14"/>
    </row>
    <row r="1411" spans="17:41" x14ac:dyDescent="0.3">
      <c r="Q1411" s="93">
        <v>46192</v>
      </c>
      <c r="R1411" t="s">
        <v>364</v>
      </c>
      <c r="S1411" t="s">
        <v>399</v>
      </c>
      <c r="T1411" s="14">
        <v>30200</v>
      </c>
      <c r="W1411" s="20">
        <v>46063</v>
      </c>
      <c r="X1411" t="s">
        <v>275</v>
      </c>
      <c r="Y1411" s="23">
        <v>7.62307692307692</v>
      </c>
      <c r="Z1411" s="23">
        <v>7.1461538461538403</v>
      </c>
      <c r="AA1411" s="23">
        <v>7.3846153846153904</v>
      </c>
      <c r="AO1411" s="14"/>
    </row>
    <row r="1412" spans="17:41" x14ac:dyDescent="0.3">
      <c r="Q1412" s="93">
        <v>46192</v>
      </c>
      <c r="R1412" t="s">
        <v>491</v>
      </c>
      <c r="S1412" t="s">
        <v>399</v>
      </c>
      <c r="T1412" s="14">
        <v>397.61059999999998</v>
      </c>
      <c r="W1412" s="20">
        <v>46063</v>
      </c>
      <c r="X1412" t="s">
        <v>276</v>
      </c>
      <c r="Y1412" s="23">
        <v>7.6615384615384601</v>
      </c>
      <c r="Z1412" s="23">
        <v>7.1846153846153804</v>
      </c>
      <c r="AA1412" s="23">
        <v>7.4230769230769198</v>
      </c>
      <c r="AO1412" s="14"/>
    </row>
    <row r="1413" spans="17:41" x14ac:dyDescent="0.3">
      <c r="Q1413" s="93">
        <v>46192</v>
      </c>
      <c r="R1413" t="s">
        <v>492</v>
      </c>
      <c r="S1413" t="s">
        <v>399</v>
      </c>
      <c r="T1413" s="14">
        <v>10800</v>
      </c>
      <c r="W1413" s="20">
        <v>46063</v>
      </c>
      <c r="X1413" t="s">
        <v>277</v>
      </c>
      <c r="Y1413" s="23">
        <v>7.7</v>
      </c>
      <c r="Z1413" s="23">
        <v>7.2230769230769196</v>
      </c>
      <c r="AA1413" s="23">
        <v>7.4615384615384599</v>
      </c>
      <c r="AO1413" s="14"/>
    </row>
    <row r="1414" spans="17:41" x14ac:dyDescent="0.3">
      <c r="Q1414" s="93">
        <v>46192</v>
      </c>
      <c r="R1414" t="s">
        <v>496</v>
      </c>
      <c r="S1414" t="s">
        <v>399</v>
      </c>
      <c r="T1414" s="14">
        <v>14958</v>
      </c>
      <c r="W1414" s="20">
        <v>46063</v>
      </c>
      <c r="X1414" t="s">
        <v>278</v>
      </c>
      <c r="Y1414" s="23">
        <v>7.7153846153846102</v>
      </c>
      <c r="Z1414" s="23">
        <v>7.2384615384615403</v>
      </c>
      <c r="AA1414" s="23">
        <v>7.4769230769230797</v>
      </c>
      <c r="AO1414" s="14"/>
    </row>
    <row r="1415" spans="17:41" x14ac:dyDescent="0.3">
      <c r="Q1415" s="93">
        <v>46192</v>
      </c>
      <c r="R1415" t="s">
        <v>497</v>
      </c>
      <c r="S1415" t="s">
        <v>399</v>
      </c>
      <c r="T1415" s="14">
        <v>397.61059999999998</v>
      </c>
      <c r="W1415" s="20">
        <v>46063</v>
      </c>
      <c r="X1415" t="s">
        <v>279</v>
      </c>
      <c r="Y1415" s="23">
        <v>7.7384615384615403</v>
      </c>
      <c r="Z1415" s="23">
        <v>7.2615384615384597</v>
      </c>
      <c r="AA1415" s="23">
        <v>7.5</v>
      </c>
      <c r="AO1415" s="14"/>
    </row>
    <row r="1416" spans="17:41" x14ac:dyDescent="0.3">
      <c r="Q1416" s="93">
        <v>46192</v>
      </c>
      <c r="R1416" t="s">
        <v>498</v>
      </c>
      <c r="S1416" t="s">
        <v>399</v>
      </c>
      <c r="T1416" s="14">
        <v>13800</v>
      </c>
      <c r="W1416" s="20">
        <v>46063</v>
      </c>
      <c r="X1416" t="s">
        <v>280</v>
      </c>
      <c r="Y1416" s="23">
        <v>7.7923076923076904</v>
      </c>
      <c r="Z1416" s="23">
        <v>7.3153846153846098</v>
      </c>
      <c r="AA1416" s="23">
        <v>7.5538461538461501</v>
      </c>
      <c r="AO1416" s="14"/>
    </row>
    <row r="1417" spans="17:41" x14ac:dyDescent="0.3">
      <c r="Q1417" s="93">
        <v>46192</v>
      </c>
      <c r="R1417" t="s">
        <v>494</v>
      </c>
      <c r="S1417" t="s">
        <v>399</v>
      </c>
      <c r="T1417" s="14">
        <v>0</v>
      </c>
      <c r="W1417" s="20">
        <v>46063</v>
      </c>
      <c r="X1417" t="s">
        <v>281</v>
      </c>
      <c r="Y1417" s="23">
        <v>7.8</v>
      </c>
      <c r="Z1417" s="23">
        <v>7.3230769230769202</v>
      </c>
      <c r="AA1417" s="23">
        <v>7.5615384615384604</v>
      </c>
      <c r="AO1417" s="14"/>
    </row>
    <row r="1418" spans="17:41" x14ac:dyDescent="0.3">
      <c r="Q1418" s="93">
        <v>46192</v>
      </c>
      <c r="R1418" t="s">
        <v>495</v>
      </c>
      <c r="S1418" t="s">
        <v>399</v>
      </c>
      <c r="T1418" s="14">
        <v>0</v>
      </c>
      <c r="W1418" s="20">
        <v>46065</v>
      </c>
      <c r="X1418" t="s">
        <v>270</v>
      </c>
      <c r="Y1418" s="23">
        <v>7.64</v>
      </c>
      <c r="Z1418" s="23">
        <v>7.14</v>
      </c>
      <c r="AA1418" s="23">
        <v>7.39</v>
      </c>
      <c r="AO1418" s="14"/>
    </row>
    <row r="1419" spans="17:41" x14ac:dyDescent="0.3">
      <c r="Q1419" s="93">
        <v>46192</v>
      </c>
      <c r="R1419" t="s">
        <v>493</v>
      </c>
      <c r="S1419" t="s">
        <v>399</v>
      </c>
      <c r="T1419" s="14">
        <v>0</v>
      </c>
      <c r="W1419" s="20">
        <v>46065</v>
      </c>
      <c r="X1419" t="s">
        <v>271</v>
      </c>
      <c r="Y1419" s="23">
        <v>7.3230769230769202</v>
      </c>
      <c r="Z1419" s="23">
        <v>6.9</v>
      </c>
      <c r="AA1419" s="23">
        <v>7.1115384615384603</v>
      </c>
      <c r="AO1419" s="14"/>
    </row>
    <row r="1420" spans="17:41" x14ac:dyDescent="0.3">
      <c r="Q1420" s="93">
        <v>46192</v>
      </c>
      <c r="R1420" t="s">
        <v>593</v>
      </c>
      <c r="S1420" t="s">
        <v>399</v>
      </c>
      <c r="T1420" s="14">
        <v>12242</v>
      </c>
      <c r="W1420" s="20">
        <v>46065</v>
      </c>
      <c r="X1420" t="s">
        <v>272</v>
      </c>
      <c r="Y1420" s="23">
        <v>7.4</v>
      </c>
      <c r="Z1420" s="23">
        <v>7.1333333333333302</v>
      </c>
      <c r="AA1420" s="23">
        <v>7.2666666666666702</v>
      </c>
      <c r="AO1420" s="14"/>
    </row>
    <row r="1421" spans="17:41" x14ac:dyDescent="0.3">
      <c r="Q1421" s="93">
        <v>46192</v>
      </c>
      <c r="R1421" t="s">
        <v>594</v>
      </c>
      <c r="S1421" t="s">
        <v>399</v>
      </c>
      <c r="T1421" s="14">
        <v>0</v>
      </c>
      <c r="W1421" s="20">
        <v>46065</v>
      </c>
      <c r="X1421" t="s">
        <v>273</v>
      </c>
      <c r="Y1421" s="23">
        <v>7.5</v>
      </c>
      <c r="Z1421" s="23">
        <v>7</v>
      </c>
      <c r="AA1421" s="23">
        <v>7.25</v>
      </c>
      <c r="AO1421" s="14"/>
    </row>
    <row r="1422" spans="17:41" x14ac:dyDescent="0.3">
      <c r="Q1422" s="93">
        <v>46192</v>
      </c>
      <c r="R1422" t="s">
        <v>595</v>
      </c>
      <c r="S1422" t="s">
        <v>399</v>
      </c>
      <c r="T1422" s="14">
        <v>0</v>
      </c>
      <c r="W1422" s="20">
        <v>46065</v>
      </c>
      <c r="X1422" t="s">
        <v>274</v>
      </c>
      <c r="Y1422" s="23">
        <v>7.5692307692307699</v>
      </c>
      <c r="Z1422" s="23">
        <v>7.0923076923076902</v>
      </c>
      <c r="AA1422" s="23">
        <v>7.3307692307692296</v>
      </c>
      <c r="AO1422" s="14"/>
    </row>
    <row r="1423" spans="17:41" x14ac:dyDescent="0.3">
      <c r="Q1423" s="93">
        <v>46192</v>
      </c>
      <c r="R1423" t="s">
        <v>479</v>
      </c>
      <c r="S1423" t="s">
        <v>395</v>
      </c>
      <c r="T1423" s="14">
        <v>10279.408008631901</v>
      </c>
      <c r="W1423" s="20">
        <v>46065</v>
      </c>
      <c r="X1423" t="s">
        <v>275</v>
      </c>
      <c r="Y1423" s="23">
        <v>7.60769230769231</v>
      </c>
      <c r="Z1423" s="23">
        <v>7.1307692307692303</v>
      </c>
      <c r="AA1423" s="23">
        <v>7.3692307692307697</v>
      </c>
      <c r="AO1423" s="14"/>
    </row>
    <row r="1424" spans="17:41" x14ac:dyDescent="0.3">
      <c r="Q1424" s="93">
        <v>46192</v>
      </c>
      <c r="R1424" t="s">
        <v>479</v>
      </c>
      <c r="S1424" t="s">
        <v>415</v>
      </c>
      <c r="T1424" s="14">
        <v>7.1111348651863997</v>
      </c>
      <c r="W1424" s="20">
        <v>46065</v>
      </c>
      <c r="X1424" t="s">
        <v>276</v>
      </c>
      <c r="Y1424" s="23">
        <v>7.6461538461538403</v>
      </c>
      <c r="Z1424" s="23">
        <v>7.1692307692307704</v>
      </c>
      <c r="AA1424" s="23">
        <v>7.4076923076923098</v>
      </c>
      <c r="AO1424" s="14"/>
    </row>
    <row r="1425" spans="17:41" x14ac:dyDescent="0.3">
      <c r="Q1425" s="93">
        <v>46192</v>
      </c>
      <c r="R1425" t="s">
        <v>364</v>
      </c>
      <c r="S1425" t="s">
        <v>415</v>
      </c>
      <c r="T1425" s="14">
        <v>6.5910511363636397</v>
      </c>
      <c r="W1425" s="20">
        <v>46065</v>
      </c>
      <c r="X1425" t="s">
        <v>277</v>
      </c>
      <c r="Y1425" s="23">
        <v>7.6846153846153804</v>
      </c>
      <c r="Z1425" s="23">
        <v>7.2076923076923096</v>
      </c>
      <c r="AA1425" s="23">
        <v>7.4461538461538499</v>
      </c>
      <c r="AO1425" s="14"/>
    </row>
    <row r="1426" spans="17:41" x14ac:dyDescent="0.3">
      <c r="Q1426" s="93">
        <v>46192</v>
      </c>
      <c r="R1426" t="s">
        <v>516</v>
      </c>
      <c r="S1426" t="s">
        <v>415</v>
      </c>
      <c r="T1426" s="14">
        <v>6.7405309628478296</v>
      </c>
      <c r="W1426" s="20">
        <v>46065</v>
      </c>
      <c r="X1426" t="s">
        <v>278</v>
      </c>
      <c r="Y1426" s="23">
        <v>7.7</v>
      </c>
      <c r="Z1426" s="23">
        <v>7.2230769230769196</v>
      </c>
      <c r="AA1426" s="23">
        <v>7.4615384615384599</v>
      </c>
      <c r="AO1426" s="14"/>
    </row>
    <row r="1427" spans="17:41" x14ac:dyDescent="0.3">
      <c r="Q1427" s="93">
        <v>46192</v>
      </c>
      <c r="R1427" t="s">
        <v>1288</v>
      </c>
      <c r="S1427" t="s">
        <v>415</v>
      </c>
      <c r="T1427" s="14">
        <v>7.1111348651863997</v>
      </c>
      <c r="W1427" s="20">
        <v>46065</v>
      </c>
      <c r="X1427" t="s">
        <v>279</v>
      </c>
      <c r="Y1427" s="23">
        <v>7.7230769230769196</v>
      </c>
      <c r="Z1427" s="23">
        <v>7.2461538461538497</v>
      </c>
      <c r="AA1427" s="23">
        <v>7.48461538461539</v>
      </c>
      <c r="AO1427" s="14"/>
    </row>
    <row r="1428" spans="17:41" x14ac:dyDescent="0.3">
      <c r="Q1428" s="93">
        <v>46192</v>
      </c>
      <c r="R1428" t="s">
        <v>496</v>
      </c>
      <c r="S1428" t="s">
        <v>415</v>
      </c>
      <c r="T1428" s="14">
        <v>6.5934010625407797</v>
      </c>
      <c r="W1428" s="20">
        <v>46065</v>
      </c>
      <c r="X1428" t="s">
        <v>280</v>
      </c>
      <c r="Y1428" s="23">
        <v>7.7769230769230804</v>
      </c>
      <c r="Z1428" s="23">
        <v>7.3</v>
      </c>
      <c r="AA1428" s="23">
        <v>7.5384615384615401</v>
      </c>
      <c r="AO1428" s="14"/>
    </row>
    <row r="1429" spans="17:41" x14ac:dyDescent="0.3">
      <c r="Q1429" s="93">
        <v>46192</v>
      </c>
      <c r="R1429" t="s">
        <v>1290</v>
      </c>
      <c r="S1429" t="s">
        <v>415</v>
      </c>
      <c r="T1429" s="14">
        <v>6.7995560771577397</v>
      </c>
      <c r="W1429" s="20">
        <v>46065</v>
      </c>
      <c r="X1429" t="s">
        <v>281</v>
      </c>
      <c r="Y1429" s="23">
        <v>7.7846153846153801</v>
      </c>
      <c r="Z1429" s="23">
        <v>7.3076923076923102</v>
      </c>
      <c r="AA1429" s="23">
        <v>7.5461538461538504</v>
      </c>
      <c r="AO1429" s="14"/>
    </row>
    <row r="1430" spans="17:41" x14ac:dyDescent="0.3">
      <c r="Q1430" s="93">
        <v>46192</v>
      </c>
      <c r="R1430" t="s">
        <v>364</v>
      </c>
      <c r="S1430" t="s">
        <v>997</v>
      </c>
      <c r="T1430" s="14">
        <v>33700</v>
      </c>
      <c r="W1430" s="20">
        <v>46064</v>
      </c>
      <c r="X1430" t="s">
        <v>270</v>
      </c>
      <c r="Y1430" s="23">
        <v>7.8</v>
      </c>
      <c r="Z1430" s="23">
        <v>7.3</v>
      </c>
      <c r="AA1430" s="23">
        <v>7.55</v>
      </c>
      <c r="AO1430" s="14"/>
    </row>
    <row r="1431" spans="17:41" x14ac:dyDescent="0.3">
      <c r="Q1431" s="93">
        <v>46192</v>
      </c>
      <c r="R1431" t="s">
        <v>496</v>
      </c>
      <c r="S1431" t="s">
        <v>997</v>
      </c>
      <c r="T1431" s="14">
        <v>21458</v>
      </c>
      <c r="W1431" s="20">
        <v>46064</v>
      </c>
      <c r="X1431" t="s">
        <v>271</v>
      </c>
      <c r="Y1431" s="23">
        <v>7.3230769230769202</v>
      </c>
      <c r="Z1431" s="23">
        <v>6.9</v>
      </c>
      <c r="AA1431" s="23">
        <v>7.1115384615384603</v>
      </c>
      <c r="AO1431" s="14"/>
    </row>
    <row r="1432" spans="17:41" x14ac:dyDescent="0.3">
      <c r="Q1432" s="93">
        <v>46191</v>
      </c>
      <c r="R1432" t="s">
        <v>479</v>
      </c>
      <c r="S1432" t="s">
        <v>399</v>
      </c>
      <c r="T1432" s="14">
        <v>11197.6106</v>
      </c>
      <c r="W1432" s="20">
        <v>46064</v>
      </c>
      <c r="X1432" t="s">
        <v>272</v>
      </c>
      <c r="Y1432" s="23">
        <v>7.4</v>
      </c>
      <c r="Z1432" s="23">
        <v>7.1333333333333302</v>
      </c>
      <c r="AA1432" s="23">
        <v>7.2666666666666702</v>
      </c>
      <c r="AO1432" s="14"/>
    </row>
    <row r="1433" spans="17:41" x14ac:dyDescent="0.3">
      <c r="Q1433" s="93">
        <v>46191</v>
      </c>
      <c r="R1433" t="s">
        <v>364</v>
      </c>
      <c r="S1433" t="s">
        <v>399</v>
      </c>
      <c r="T1433" s="14">
        <v>30700</v>
      </c>
      <c r="W1433" s="20">
        <v>46064</v>
      </c>
      <c r="X1433" t="s">
        <v>273</v>
      </c>
      <c r="Y1433" s="23">
        <v>7.5</v>
      </c>
      <c r="Z1433" s="23">
        <v>7</v>
      </c>
      <c r="AA1433" s="23">
        <v>7.25</v>
      </c>
      <c r="AO1433" s="14"/>
    </row>
    <row r="1434" spans="17:41" x14ac:dyDescent="0.3">
      <c r="Q1434" s="93">
        <v>46191</v>
      </c>
      <c r="R1434" t="s">
        <v>491</v>
      </c>
      <c r="S1434" t="s">
        <v>399</v>
      </c>
      <c r="T1434" s="14">
        <v>397.61059999999998</v>
      </c>
      <c r="W1434" s="20">
        <v>46064</v>
      </c>
      <c r="X1434" t="s">
        <v>274</v>
      </c>
      <c r="Y1434" s="23">
        <v>7.5692307692307699</v>
      </c>
      <c r="Z1434" s="23">
        <v>7.0923076923076902</v>
      </c>
      <c r="AA1434" s="23">
        <v>7.3307692307692296</v>
      </c>
      <c r="AO1434" s="14"/>
    </row>
    <row r="1435" spans="17:41" x14ac:dyDescent="0.3">
      <c r="Q1435" s="93">
        <v>46191</v>
      </c>
      <c r="R1435" t="s">
        <v>492</v>
      </c>
      <c r="S1435" t="s">
        <v>399</v>
      </c>
      <c r="T1435" s="14">
        <v>10800</v>
      </c>
      <c r="W1435" s="20">
        <v>46064</v>
      </c>
      <c r="X1435" t="s">
        <v>275</v>
      </c>
      <c r="Y1435" s="23">
        <v>7.60769230769231</v>
      </c>
      <c r="Z1435" s="23">
        <v>7.1307692307692303</v>
      </c>
      <c r="AA1435" s="23">
        <v>7.3692307692307697</v>
      </c>
      <c r="AO1435" s="14"/>
    </row>
    <row r="1436" spans="17:41" x14ac:dyDescent="0.3">
      <c r="Q1436" s="93">
        <v>46191</v>
      </c>
      <c r="R1436" t="s">
        <v>496</v>
      </c>
      <c r="S1436" t="s">
        <v>399</v>
      </c>
      <c r="T1436" s="14">
        <v>18658</v>
      </c>
      <c r="W1436" s="20">
        <v>46064</v>
      </c>
      <c r="X1436" t="s">
        <v>276</v>
      </c>
      <c r="Y1436" s="23">
        <v>7.6461538461538403</v>
      </c>
      <c r="Z1436" s="23">
        <v>7.1692307692307704</v>
      </c>
      <c r="AA1436" s="23">
        <v>7.4076923076923098</v>
      </c>
      <c r="AO1436" s="14"/>
    </row>
    <row r="1437" spans="17:41" x14ac:dyDescent="0.3">
      <c r="Q1437" s="93">
        <v>46191</v>
      </c>
      <c r="R1437" t="s">
        <v>497</v>
      </c>
      <c r="S1437" t="s">
        <v>399</v>
      </c>
      <c r="T1437" s="14">
        <v>397.61059999999998</v>
      </c>
      <c r="W1437" s="20">
        <v>46064</v>
      </c>
      <c r="X1437" t="s">
        <v>277</v>
      </c>
      <c r="Y1437" s="23">
        <v>7.6846153846153804</v>
      </c>
      <c r="Z1437" s="23">
        <v>7.2076923076923096</v>
      </c>
      <c r="AA1437" s="23">
        <v>7.4461538461538499</v>
      </c>
      <c r="AO1437" s="14"/>
    </row>
    <row r="1438" spans="17:41" x14ac:dyDescent="0.3">
      <c r="Q1438" s="93">
        <v>46191</v>
      </c>
      <c r="R1438" t="s">
        <v>498</v>
      </c>
      <c r="S1438" t="s">
        <v>399</v>
      </c>
      <c r="T1438" s="14">
        <v>13800</v>
      </c>
      <c r="W1438" s="20">
        <v>46064</v>
      </c>
      <c r="X1438" t="s">
        <v>278</v>
      </c>
      <c r="Y1438" s="23">
        <v>7.7</v>
      </c>
      <c r="Z1438" s="23">
        <v>7.2230769230769196</v>
      </c>
      <c r="AA1438" s="23">
        <v>7.4615384615384599</v>
      </c>
      <c r="AO1438" s="14"/>
    </row>
    <row r="1439" spans="17:41" x14ac:dyDescent="0.3">
      <c r="Q1439" s="93">
        <v>46191</v>
      </c>
      <c r="R1439" t="s">
        <v>494</v>
      </c>
      <c r="S1439" t="s">
        <v>399</v>
      </c>
      <c r="T1439" s="14">
        <v>0</v>
      </c>
      <c r="W1439" s="20">
        <v>46064</v>
      </c>
      <c r="X1439" t="s">
        <v>279</v>
      </c>
      <c r="Y1439" s="23">
        <v>7.7230769230769196</v>
      </c>
      <c r="Z1439" s="23">
        <v>7.2461538461538497</v>
      </c>
      <c r="AA1439" s="23">
        <v>7.48461538461539</v>
      </c>
      <c r="AO1439" s="14"/>
    </row>
    <row r="1440" spans="17:41" x14ac:dyDescent="0.3">
      <c r="Q1440" s="93">
        <v>46191</v>
      </c>
      <c r="R1440" t="s">
        <v>495</v>
      </c>
      <c r="S1440" t="s">
        <v>399</v>
      </c>
      <c r="T1440" s="14">
        <v>0</v>
      </c>
      <c r="W1440" s="20">
        <v>46064</v>
      </c>
      <c r="X1440" t="s">
        <v>280</v>
      </c>
      <c r="Y1440" s="23">
        <v>7.7769230769230804</v>
      </c>
      <c r="Z1440" s="23">
        <v>7.3</v>
      </c>
      <c r="AA1440" s="23">
        <v>7.5384615384615401</v>
      </c>
      <c r="AO1440" s="14"/>
    </row>
    <row r="1441" spans="17:41" x14ac:dyDescent="0.3">
      <c r="Q1441" s="93">
        <v>46191</v>
      </c>
      <c r="R1441" t="s">
        <v>493</v>
      </c>
      <c r="S1441" t="s">
        <v>399</v>
      </c>
      <c r="T1441" s="14">
        <v>0</v>
      </c>
      <c r="W1441" s="20">
        <v>46064</v>
      </c>
      <c r="X1441" t="s">
        <v>281</v>
      </c>
      <c r="Y1441" s="23">
        <v>7.7846153846153801</v>
      </c>
      <c r="Z1441" s="23">
        <v>7.3076923076923102</v>
      </c>
      <c r="AA1441" s="23">
        <v>7.5461538461538504</v>
      </c>
      <c r="AO1441" s="14"/>
    </row>
    <row r="1442" spans="17:41" x14ac:dyDescent="0.3">
      <c r="Q1442" s="93">
        <v>46191</v>
      </c>
      <c r="R1442" t="s">
        <v>593</v>
      </c>
      <c r="S1442" t="s">
        <v>399</v>
      </c>
      <c r="T1442" s="14">
        <v>9042</v>
      </c>
      <c r="W1442" s="20">
        <v>46066</v>
      </c>
      <c r="X1442" t="s">
        <v>270</v>
      </c>
      <c r="Y1442" s="23">
        <v>7.64</v>
      </c>
      <c r="Z1442" s="23">
        <v>7.14</v>
      </c>
      <c r="AA1442" s="23">
        <v>7.39</v>
      </c>
      <c r="AO1442" s="14"/>
    </row>
    <row r="1443" spans="17:41" x14ac:dyDescent="0.3">
      <c r="Q1443" s="93">
        <v>46191</v>
      </c>
      <c r="R1443" t="s">
        <v>594</v>
      </c>
      <c r="S1443" t="s">
        <v>399</v>
      </c>
      <c r="T1443" s="14">
        <v>0</v>
      </c>
      <c r="W1443" s="20">
        <v>46066</v>
      </c>
      <c r="X1443" t="s">
        <v>271</v>
      </c>
      <c r="Y1443" s="23">
        <v>7.3230769230769202</v>
      </c>
      <c r="Z1443" s="23">
        <v>6.9</v>
      </c>
      <c r="AA1443" s="23">
        <v>7.1115384615384603</v>
      </c>
      <c r="AO1443" s="14"/>
    </row>
    <row r="1444" spans="17:41" x14ac:dyDescent="0.3">
      <c r="Q1444" s="93">
        <v>46191</v>
      </c>
      <c r="R1444" t="s">
        <v>595</v>
      </c>
      <c r="S1444" t="s">
        <v>399</v>
      </c>
      <c r="T1444" s="14">
        <v>0</v>
      </c>
      <c r="W1444" s="20">
        <v>46066</v>
      </c>
      <c r="X1444" t="s">
        <v>272</v>
      </c>
      <c r="Y1444" s="23">
        <v>7.4</v>
      </c>
      <c r="Z1444" s="23">
        <v>7.1333333333333302</v>
      </c>
      <c r="AA1444" s="23">
        <v>7.2666666666666702</v>
      </c>
      <c r="AO1444" s="14"/>
    </row>
    <row r="1445" spans="17:41" x14ac:dyDescent="0.3">
      <c r="Q1445" s="93">
        <v>46191</v>
      </c>
      <c r="R1445" t="s">
        <v>479</v>
      </c>
      <c r="S1445" t="s">
        <v>395</v>
      </c>
      <c r="T1445" s="14">
        <v>10284.7307546761</v>
      </c>
      <c r="W1445" s="20">
        <v>46066</v>
      </c>
      <c r="X1445" t="s">
        <v>273</v>
      </c>
      <c r="Y1445" s="23">
        <v>7.5</v>
      </c>
      <c r="Z1445" s="23">
        <v>7</v>
      </c>
      <c r="AA1445" s="23">
        <v>7.25</v>
      </c>
      <c r="AO1445" s="14"/>
    </row>
    <row r="1446" spans="17:41" x14ac:dyDescent="0.3">
      <c r="Q1446" s="93">
        <v>46191</v>
      </c>
      <c r="R1446" t="s">
        <v>479</v>
      </c>
      <c r="S1446" t="s">
        <v>415</v>
      </c>
      <c r="T1446" s="14">
        <v>7.1111348651863997</v>
      </c>
      <c r="W1446" s="20">
        <v>46066</v>
      </c>
      <c r="X1446" t="s">
        <v>274</v>
      </c>
      <c r="Y1446" s="23">
        <v>7.5692307692307699</v>
      </c>
      <c r="Z1446" s="23">
        <v>7.0923076923076902</v>
      </c>
      <c r="AA1446" s="23">
        <v>7.3307692307692296</v>
      </c>
      <c r="AO1446" s="14"/>
    </row>
    <row r="1447" spans="17:41" x14ac:dyDescent="0.3">
      <c r="Q1447" s="93">
        <v>46191</v>
      </c>
      <c r="R1447" t="s">
        <v>364</v>
      </c>
      <c r="S1447" t="s">
        <v>415</v>
      </c>
      <c r="T1447" s="14">
        <v>6.5659663865546198</v>
      </c>
      <c r="W1447" s="20">
        <v>46066</v>
      </c>
      <c r="X1447" t="s">
        <v>275</v>
      </c>
      <c r="Y1447" s="23">
        <v>7.60769230769231</v>
      </c>
      <c r="Z1447" s="23">
        <v>7.1307692307692303</v>
      </c>
      <c r="AA1447" s="23">
        <v>7.3692307692307697</v>
      </c>
      <c r="AO1447" s="14"/>
    </row>
    <row r="1448" spans="17:41" x14ac:dyDescent="0.3">
      <c r="Q1448" s="93">
        <v>46191</v>
      </c>
      <c r="R1448" t="s">
        <v>516</v>
      </c>
      <c r="S1448" t="s">
        <v>415</v>
      </c>
      <c r="T1448" s="14">
        <v>6.7210858337172601</v>
      </c>
      <c r="W1448" s="20">
        <v>46066</v>
      </c>
      <c r="X1448" t="s">
        <v>276</v>
      </c>
      <c r="Y1448" s="23">
        <v>7.6461538461538403</v>
      </c>
      <c r="Z1448" s="23">
        <v>7.1692307692307704</v>
      </c>
      <c r="AA1448" s="23">
        <v>7.4076923076923098</v>
      </c>
      <c r="AO1448" s="14"/>
    </row>
    <row r="1449" spans="17:41" x14ac:dyDescent="0.3">
      <c r="Q1449" s="93">
        <v>46191</v>
      </c>
      <c r="R1449" t="s">
        <v>1288</v>
      </c>
      <c r="S1449" t="s">
        <v>415</v>
      </c>
      <c r="T1449" s="14">
        <v>7.1111348651863997</v>
      </c>
      <c r="W1449" s="20">
        <v>46066</v>
      </c>
      <c r="X1449" t="s">
        <v>277</v>
      </c>
      <c r="Y1449" s="23">
        <v>7.6846153846153804</v>
      </c>
      <c r="Z1449" s="23">
        <v>7.2076923076923096</v>
      </c>
      <c r="AA1449" s="23">
        <v>7.4461538461538499</v>
      </c>
      <c r="AO1449" s="14"/>
    </row>
    <row r="1450" spans="17:41" x14ac:dyDescent="0.3">
      <c r="Q1450" s="93">
        <v>46191</v>
      </c>
      <c r="R1450" t="s">
        <v>496</v>
      </c>
      <c r="S1450" t="s">
        <v>415</v>
      </c>
      <c r="T1450" s="14">
        <v>6.5065267509340998</v>
      </c>
      <c r="W1450" s="20">
        <v>46066</v>
      </c>
      <c r="X1450" t="s">
        <v>278</v>
      </c>
      <c r="Y1450" s="23">
        <v>7.7</v>
      </c>
      <c r="Z1450" s="23">
        <v>7.2230769230769196</v>
      </c>
      <c r="AA1450" s="23">
        <v>7.4615384615384599</v>
      </c>
      <c r="AO1450" s="14"/>
    </row>
    <row r="1451" spans="17:41" x14ac:dyDescent="0.3">
      <c r="Q1451" s="93">
        <v>46191</v>
      </c>
      <c r="R1451" t="s">
        <v>1290</v>
      </c>
      <c r="S1451" t="s">
        <v>415</v>
      </c>
      <c r="T1451" s="14">
        <v>6.7246402661581399</v>
      </c>
      <c r="W1451" s="20">
        <v>46066</v>
      </c>
      <c r="X1451" t="s">
        <v>279</v>
      </c>
      <c r="Y1451" s="23">
        <v>7.7230769230769196</v>
      </c>
      <c r="Z1451" s="23">
        <v>7.2461538461538497</v>
      </c>
      <c r="AA1451" s="23">
        <v>7.48461538461539</v>
      </c>
      <c r="AO1451" s="14"/>
    </row>
    <row r="1452" spans="17:41" x14ac:dyDescent="0.3">
      <c r="Q1452" s="93">
        <v>46191</v>
      </c>
      <c r="R1452" t="s">
        <v>364</v>
      </c>
      <c r="S1452" t="s">
        <v>997</v>
      </c>
      <c r="T1452" s="14">
        <v>34200</v>
      </c>
      <c r="W1452" s="20">
        <v>46066</v>
      </c>
      <c r="X1452" t="s">
        <v>280</v>
      </c>
      <c r="Y1452" s="23">
        <v>7.7769230769230804</v>
      </c>
      <c r="Z1452" s="23">
        <v>7.3</v>
      </c>
      <c r="AA1452" s="23">
        <v>7.5384615384615401</v>
      </c>
      <c r="AO1452" s="14"/>
    </row>
    <row r="1453" spans="17:41" x14ac:dyDescent="0.3">
      <c r="Q1453" s="93">
        <v>46191</v>
      </c>
      <c r="R1453" t="s">
        <v>496</v>
      </c>
      <c r="S1453" t="s">
        <v>997</v>
      </c>
      <c r="T1453" s="14">
        <v>25158</v>
      </c>
      <c r="W1453" s="20">
        <v>46066</v>
      </c>
      <c r="X1453" t="s">
        <v>281</v>
      </c>
      <c r="Y1453" s="23">
        <v>7.7846153846153801</v>
      </c>
      <c r="Z1453" s="23">
        <v>7.3076923076923102</v>
      </c>
      <c r="AA1453" s="23">
        <v>7.5461538461538504</v>
      </c>
      <c r="AO1453" s="14"/>
    </row>
    <row r="1454" spans="17:41" x14ac:dyDescent="0.3">
      <c r="Q1454" s="93">
        <v>46190</v>
      </c>
      <c r="R1454" t="s">
        <v>479</v>
      </c>
      <c r="S1454" t="s">
        <v>399</v>
      </c>
      <c r="T1454" s="14">
        <v>11197.6106</v>
      </c>
      <c r="W1454" s="20">
        <v>46076</v>
      </c>
      <c r="X1454" t="s">
        <v>270</v>
      </c>
      <c r="Y1454" s="23">
        <v>7.64</v>
      </c>
      <c r="Z1454" s="23">
        <v>7.14</v>
      </c>
      <c r="AA1454" s="23">
        <v>7.39</v>
      </c>
      <c r="AO1454" s="14"/>
    </row>
    <row r="1455" spans="17:41" x14ac:dyDescent="0.3">
      <c r="Q1455" s="93">
        <v>46190</v>
      </c>
      <c r="R1455" t="s">
        <v>364</v>
      </c>
      <c r="S1455" t="s">
        <v>399</v>
      </c>
      <c r="T1455" s="14">
        <v>32200</v>
      </c>
      <c r="W1455" s="20">
        <v>46076</v>
      </c>
      <c r="X1455" t="s">
        <v>271</v>
      </c>
      <c r="Y1455" s="23">
        <v>7.4249999999999998</v>
      </c>
      <c r="Z1455" s="23">
        <v>7.2</v>
      </c>
      <c r="AA1455" s="23">
        <v>7.3125</v>
      </c>
      <c r="AO1455" s="14"/>
    </row>
    <row r="1456" spans="17:41" x14ac:dyDescent="0.3">
      <c r="Q1456" s="93">
        <v>46190</v>
      </c>
      <c r="R1456" t="s">
        <v>491</v>
      </c>
      <c r="S1456" t="s">
        <v>399</v>
      </c>
      <c r="T1456" s="14">
        <v>397.61059999999998</v>
      </c>
      <c r="W1456" s="20">
        <v>46076</v>
      </c>
      <c r="X1456" t="s">
        <v>272</v>
      </c>
      <c r="Y1456" s="23">
        <v>7.4307692307692301</v>
      </c>
      <c r="Z1456" s="23">
        <v>6.9692307692307702</v>
      </c>
      <c r="AA1456" s="23">
        <v>7.2</v>
      </c>
      <c r="AO1456" s="14"/>
    </row>
    <row r="1457" spans="17:41" x14ac:dyDescent="0.3">
      <c r="Q1457" s="93">
        <v>46190</v>
      </c>
      <c r="R1457" t="s">
        <v>492</v>
      </c>
      <c r="S1457" t="s">
        <v>399</v>
      </c>
      <c r="T1457" s="14">
        <v>10800</v>
      </c>
      <c r="W1457" s="20">
        <v>46076</v>
      </c>
      <c r="X1457" t="s">
        <v>273</v>
      </c>
      <c r="Y1457" s="23">
        <v>7.5333333333333297</v>
      </c>
      <c r="Z1457" s="23">
        <v>7.0333333333333297</v>
      </c>
      <c r="AA1457" s="23">
        <v>7.2833333333333297</v>
      </c>
      <c r="AO1457" s="14"/>
    </row>
    <row r="1458" spans="17:41" x14ac:dyDescent="0.3">
      <c r="Q1458" s="93">
        <v>46190</v>
      </c>
      <c r="R1458" t="s">
        <v>496</v>
      </c>
      <c r="S1458" t="s">
        <v>399</v>
      </c>
      <c r="T1458" s="14">
        <v>21778</v>
      </c>
      <c r="W1458" s="20">
        <v>46076</v>
      </c>
      <c r="X1458" t="s">
        <v>274</v>
      </c>
      <c r="Y1458" s="23">
        <v>7.5692307692307699</v>
      </c>
      <c r="Z1458" s="23">
        <v>7.10769230769231</v>
      </c>
      <c r="AA1458" s="23">
        <v>7.3384615384615399</v>
      </c>
      <c r="AO1458" s="14"/>
    </row>
    <row r="1459" spans="17:41" x14ac:dyDescent="0.3">
      <c r="Q1459" s="93">
        <v>46190</v>
      </c>
      <c r="R1459" t="s">
        <v>497</v>
      </c>
      <c r="S1459" t="s">
        <v>399</v>
      </c>
      <c r="T1459" s="14">
        <v>397.61059999999998</v>
      </c>
      <c r="W1459" s="20">
        <v>46076</v>
      </c>
      <c r="X1459" t="s">
        <v>275</v>
      </c>
      <c r="Y1459" s="23">
        <v>7.60769230769231</v>
      </c>
      <c r="Z1459" s="23">
        <v>7.1461538461538403</v>
      </c>
      <c r="AA1459" s="23">
        <v>7.37692307692308</v>
      </c>
      <c r="AO1459" s="14"/>
    </row>
    <row r="1460" spans="17:41" x14ac:dyDescent="0.3">
      <c r="Q1460" s="93">
        <v>46190</v>
      </c>
      <c r="R1460" t="s">
        <v>498</v>
      </c>
      <c r="S1460" t="s">
        <v>399</v>
      </c>
      <c r="T1460" s="14">
        <v>13800</v>
      </c>
      <c r="W1460" s="20">
        <v>46076</v>
      </c>
      <c r="X1460" t="s">
        <v>276</v>
      </c>
      <c r="Y1460" s="23">
        <v>7.6461538461538403</v>
      </c>
      <c r="Z1460" s="23">
        <v>7.1846153846153804</v>
      </c>
      <c r="AA1460" s="23">
        <v>7.4153846153846201</v>
      </c>
      <c r="AO1460" s="14"/>
    </row>
    <row r="1461" spans="17:41" x14ac:dyDescent="0.3">
      <c r="Q1461" s="93">
        <v>46190</v>
      </c>
      <c r="R1461" t="s">
        <v>494</v>
      </c>
      <c r="S1461" t="s">
        <v>399</v>
      </c>
      <c r="T1461" s="14">
        <v>0</v>
      </c>
      <c r="W1461" s="20">
        <v>46076</v>
      </c>
      <c r="X1461" t="s">
        <v>277</v>
      </c>
      <c r="Y1461" s="23">
        <v>7.6846153846153804</v>
      </c>
      <c r="Z1461" s="23">
        <v>7.2230769230769196</v>
      </c>
      <c r="AA1461" s="23">
        <v>7.4538461538461496</v>
      </c>
      <c r="AO1461" s="14"/>
    </row>
    <row r="1462" spans="17:41" x14ac:dyDescent="0.3">
      <c r="Q1462" s="93">
        <v>46190</v>
      </c>
      <c r="R1462" t="s">
        <v>495</v>
      </c>
      <c r="S1462" t="s">
        <v>399</v>
      </c>
      <c r="T1462" s="14">
        <v>0</v>
      </c>
      <c r="W1462" s="20">
        <v>46076</v>
      </c>
      <c r="X1462" t="s">
        <v>278</v>
      </c>
      <c r="Y1462" s="23">
        <v>7.7</v>
      </c>
      <c r="Z1462" s="23">
        <v>7.2384615384615403</v>
      </c>
      <c r="AA1462" s="23">
        <v>7.4692307692307702</v>
      </c>
      <c r="AO1462" s="14"/>
    </row>
    <row r="1463" spans="17:41" x14ac:dyDescent="0.3">
      <c r="Q1463" s="93">
        <v>46190</v>
      </c>
      <c r="R1463" t="s">
        <v>493</v>
      </c>
      <c r="S1463" t="s">
        <v>399</v>
      </c>
      <c r="T1463" s="14">
        <v>0</v>
      </c>
      <c r="W1463" s="20">
        <v>46076</v>
      </c>
      <c r="X1463" t="s">
        <v>279</v>
      </c>
      <c r="Y1463" s="23">
        <v>7.7230769230769196</v>
      </c>
      <c r="Z1463" s="23">
        <v>7.2615384615384597</v>
      </c>
      <c r="AA1463" s="23">
        <v>7.4923076923076897</v>
      </c>
      <c r="AO1463" s="14"/>
    </row>
    <row r="1464" spans="17:41" x14ac:dyDescent="0.3">
      <c r="Q1464" s="93">
        <v>46190</v>
      </c>
      <c r="R1464" t="s">
        <v>593</v>
      </c>
      <c r="S1464" t="s">
        <v>399</v>
      </c>
      <c r="T1464" s="14">
        <v>7422</v>
      </c>
      <c r="W1464" s="20">
        <v>46076</v>
      </c>
      <c r="X1464" t="s">
        <v>280</v>
      </c>
      <c r="Y1464" s="23">
        <v>7.7769230769230804</v>
      </c>
      <c r="Z1464" s="23">
        <v>7.3153846153846098</v>
      </c>
      <c r="AA1464" s="23">
        <v>7.5461538461538504</v>
      </c>
      <c r="AO1464" s="14"/>
    </row>
    <row r="1465" spans="17:41" x14ac:dyDescent="0.3">
      <c r="Q1465" s="93">
        <v>46190</v>
      </c>
      <c r="R1465" t="s">
        <v>594</v>
      </c>
      <c r="S1465" t="s">
        <v>399</v>
      </c>
      <c r="T1465" s="14">
        <v>0</v>
      </c>
      <c r="W1465" s="20">
        <v>46076</v>
      </c>
      <c r="X1465" t="s">
        <v>281</v>
      </c>
      <c r="Y1465" s="23">
        <v>7.7846153846153801</v>
      </c>
      <c r="Z1465" s="23">
        <v>7.3230769230769202</v>
      </c>
      <c r="AA1465" s="23">
        <v>7.5538461538461501</v>
      </c>
      <c r="AO1465" s="14"/>
    </row>
    <row r="1466" spans="17:41" x14ac:dyDescent="0.3">
      <c r="Q1466" s="93">
        <v>46190</v>
      </c>
      <c r="R1466" t="s">
        <v>595</v>
      </c>
      <c r="S1466" t="s">
        <v>399</v>
      </c>
      <c r="T1466" s="14">
        <v>0</v>
      </c>
      <c r="W1466" s="20">
        <v>46077</v>
      </c>
      <c r="X1466" t="s">
        <v>270</v>
      </c>
      <c r="Y1466" s="23">
        <v>7.6</v>
      </c>
      <c r="Z1466" s="23">
        <v>7.1</v>
      </c>
      <c r="AA1466" s="23">
        <v>7.35</v>
      </c>
      <c r="AO1466" s="14"/>
    </row>
    <row r="1467" spans="17:41" x14ac:dyDescent="0.3">
      <c r="Q1467" s="93">
        <v>46190</v>
      </c>
      <c r="R1467" t="s">
        <v>479</v>
      </c>
      <c r="S1467" t="s">
        <v>395</v>
      </c>
      <c r="T1467" s="14">
        <v>10293.0739503891</v>
      </c>
      <c r="W1467" s="20">
        <v>46077</v>
      </c>
      <c r="X1467" t="s">
        <v>271</v>
      </c>
      <c r="Y1467" s="23">
        <v>7.4249999999999998</v>
      </c>
      <c r="Z1467" s="23">
        <v>7.2</v>
      </c>
      <c r="AA1467" s="23">
        <v>7.3125</v>
      </c>
      <c r="AO1467" s="14"/>
    </row>
    <row r="1468" spans="17:41" x14ac:dyDescent="0.3">
      <c r="Q1468" s="93">
        <v>46190</v>
      </c>
      <c r="R1468" t="s">
        <v>479</v>
      </c>
      <c r="S1468" t="s">
        <v>415</v>
      </c>
      <c r="T1468" s="14">
        <v>7.1111348651863997</v>
      </c>
      <c r="W1468" s="20">
        <v>46077</v>
      </c>
      <c r="X1468" t="s">
        <v>272</v>
      </c>
      <c r="Y1468" s="23">
        <v>7.4307692307692301</v>
      </c>
      <c r="Z1468" s="23">
        <v>6.9692307692307702</v>
      </c>
      <c r="AA1468" s="23">
        <v>7.2</v>
      </c>
      <c r="AO1468" s="14"/>
    </row>
    <row r="1469" spans="17:41" x14ac:dyDescent="0.3">
      <c r="Q1469" s="93">
        <v>46190</v>
      </c>
      <c r="R1469" t="s">
        <v>364</v>
      </c>
      <c r="S1469" t="s">
        <v>415</v>
      </c>
      <c r="T1469" s="14">
        <v>6.5659663865546198</v>
      </c>
      <c r="W1469" s="20">
        <v>46077</v>
      </c>
      <c r="X1469" t="s">
        <v>273</v>
      </c>
      <c r="Y1469" s="23">
        <v>7.5333333333333297</v>
      </c>
      <c r="Z1469" s="23">
        <v>7.0333333333333297</v>
      </c>
      <c r="AA1469" s="23">
        <v>7.2833333333333297</v>
      </c>
      <c r="AO1469" s="14"/>
    </row>
    <row r="1470" spans="17:41" x14ac:dyDescent="0.3">
      <c r="Q1470" s="93">
        <v>46190</v>
      </c>
      <c r="R1470" t="s">
        <v>516</v>
      </c>
      <c r="S1470" t="s">
        <v>415</v>
      </c>
      <c r="T1470" s="14">
        <v>6.7210858337172601</v>
      </c>
      <c r="W1470" s="20">
        <v>46077</v>
      </c>
      <c r="X1470" t="s">
        <v>274</v>
      </c>
      <c r="Y1470" s="23">
        <v>7.5615384615384604</v>
      </c>
      <c r="Z1470" s="23">
        <v>7.1</v>
      </c>
      <c r="AA1470" s="23">
        <v>7.3307692307692296</v>
      </c>
      <c r="AO1470" s="14"/>
    </row>
    <row r="1471" spans="17:41" x14ac:dyDescent="0.3">
      <c r="Q1471" s="93">
        <v>46190</v>
      </c>
      <c r="R1471" t="s">
        <v>1288</v>
      </c>
      <c r="S1471" t="s">
        <v>415</v>
      </c>
      <c r="T1471" s="14">
        <v>7.1111348651863997</v>
      </c>
      <c r="W1471" s="20">
        <v>46077</v>
      </c>
      <c r="X1471" t="s">
        <v>275</v>
      </c>
      <c r="Y1471" s="23">
        <v>7.6</v>
      </c>
      <c r="Z1471" s="23">
        <v>7.1384615384615397</v>
      </c>
      <c r="AA1471" s="23">
        <v>7.3692307692307697</v>
      </c>
      <c r="AO1471" s="14"/>
    </row>
    <row r="1472" spans="17:41" x14ac:dyDescent="0.3">
      <c r="Q1472" s="93">
        <v>46190</v>
      </c>
      <c r="R1472" t="s">
        <v>496</v>
      </c>
      <c r="S1472" t="s">
        <v>415</v>
      </c>
      <c r="T1472" s="14">
        <v>6.4877289765895796</v>
      </c>
      <c r="W1472" s="20">
        <v>46077</v>
      </c>
      <c r="X1472" t="s">
        <v>276</v>
      </c>
      <c r="Y1472" s="23">
        <v>7.6384615384615397</v>
      </c>
      <c r="Z1472" s="23">
        <v>7.1769230769230798</v>
      </c>
      <c r="AA1472" s="23">
        <v>7.4076923076923098</v>
      </c>
      <c r="AO1472" s="14"/>
    </row>
    <row r="1473" spans="17:41" x14ac:dyDescent="0.3">
      <c r="Q1473" s="93">
        <v>46190</v>
      </c>
      <c r="R1473" t="s">
        <v>1290</v>
      </c>
      <c r="S1473" t="s">
        <v>415</v>
      </c>
      <c r="T1473" s="14">
        <v>6.6961044166837702</v>
      </c>
      <c r="W1473" s="20">
        <v>46077</v>
      </c>
      <c r="X1473" t="s">
        <v>277</v>
      </c>
      <c r="Y1473" s="23">
        <v>7.6769230769230798</v>
      </c>
      <c r="Z1473" s="23">
        <v>7.2153846153846199</v>
      </c>
      <c r="AA1473" s="23">
        <v>7.4461538461538499</v>
      </c>
      <c r="AO1473" s="14"/>
    </row>
    <row r="1474" spans="17:41" x14ac:dyDescent="0.3">
      <c r="Q1474" s="93">
        <v>46190</v>
      </c>
      <c r="R1474" t="s">
        <v>364</v>
      </c>
      <c r="S1474" t="s">
        <v>997</v>
      </c>
      <c r="T1474" s="14">
        <v>35700</v>
      </c>
      <c r="W1474" s="20">
        <v>46077</v>
      </c>
      <c r="X1474" t="s">
        <v>278</v>
      </c>
      <c r="Y1474" s="23">
        <v>7.6923076923076898</v>
      </c>
      <c r="Z1474" s="23">
        <v>7.2307692307692299</v>
      </c>
      <c r="AA1474" s="23">
        <v>7.4615384615384599</v>
      </c>
      <c r="AO1474" s="14"/>
    </row>
    <row r="1475" spans="17:41" x14ac:dyDescent="0.3">
      <c r="Q1475" s="93">
        <v>46190</v>
      </c>
      <c r="R1475" t="s">
        <v>496</v>
      </c>
      <c r="S1475" t="s">
        <v>997</v>
      </c>
      <c r="T1475" s="14">
        <v>28278</v>
      </c>
      <c r="W1475" s="20">
        <v>46077</v>
      </c>
      <c r="X1475" t="s">
        <v>279</v>
      </c>
      <c r="Y1475" s="23">
        <v>7.7153846153846102</v>
      </c>
      <c r="Z1475" s="23">
        <v>7.2538461538461503</v>
      </c>
      <c r="AA1475" s="23">
        <v>7.48461538461539</v>
      </c>
      <c r="AO1475" s="14"/>
    </row>
    <row r="1476" spans="17:41" x14ac:dyDescent="0.3">
      <c r="Q1476" s="93">
        <v>46189</v>
      </c>
      <c r="R1476" t="s">
        <v>593</v>
      </c>
      <c r="S1476" t="s">
        <v>399</v>
      </c>
      <c r="T1476" s="14">
        <v>6422</v>
      </c>
      <c r="W1476" s="20">
        <v>46077</v>
      </c>
      <c r="X1476" t="s">
        <v>280</v>
      </c>
      <c r="Y1476" s="23">
        <v>7.7692307692307701</v>
      </c>
      <c r="Z1476" s="23">
        <v>7.3076923076923102</v>
      </c>
      <c r="AA1476" s="23">
        <v>7.5384615384615401</v>
      </c>
      <c r="AO1476" s="14"/>
    </row>
    <row r="1477" spans="17:41" x14ac:dyDescent="0.3">
      <c r="Q1477" s="93">
        <v>46189</v>
      </c>
      <c r="R1477" t="s">
        <v>594</v>
      </c>
      <c r="S1477" t="s">
        <v>399</v>
      </c>
      <c r="T1477" s="14">
        <v>0</v>
      </c>
      <c r="W1477" s="20">
        <v>46077</v>
      </c>
      <c r="X1477" t="s">
        <v>281</v>
      </c>
      <c r="Y1477" s="23">
        <v>7.7769230769230804</v>
      </c>
      <c r="Z1477" s="23">
        <v>7.3153846153846196</v>
      </c>
      <c r="AA1477" s="23">
        <v>7.5461538461538504</v>
      </c>
      <c r="AO1477" s="14"/>
    </row>
    <row r="1478" spans="17:41" x14ac:dyDescent="0.3">
      <c r="Q1478" s="93">
        <v>46189</v>
      </c>
      <c r="R1478" t="s">
        <v>595</v>
      </c>
      <c r="S1478" t="s">
        <v>399</v>
      </c>
      <c r="T1478" s="14">
        <v>0</v>
      </c>
      <c r="W1478" s="20">
        <v>46078</v>
      </c>
      <c r="X1478" t="s">
        <v>270</v>
      </c>
      <c r="Y1478" s="23">
        <v>7.6</v>
      </c>
      <c r="Z1478" s="23">
        <v>7.1</v>
      </c>
      <c r="AA1478" s="23">
        <v>7.35</v>
      </c>
      <c r="AO1478" s="14"/>
    </row>
    <row r="1479" spans="17:41" x14ac:dyDescent="0.3">
      <c r="Q1479" s="93">
        <v>46189</v>
      </c>
      <c r="R1479" t="s">
        <v>479</v>
      </c>
      <c r="S1479" t="s">
        <v>395</v>
      </c>
      <c r="T1479" s="14">
        <v>11330.127621523299</v>
      </c>
      <c r="W1479" s="20">
        <v>46078</v>
      </c>
      <c r="X1479" t="s">
        <v>271</v>
      </c>
      <c r="Y1479" s="23">
        <v>7.4249999999999998</v>
      </c>
      <c r="Z1479" s="23">
        <v>7.2</v>
      </c>
      <c r="AA1479" s="23">
        <v>7.3125</v>
      </c>
      <c r="AO1479" s="14"/>
    </row>
    <row r="1480" spans="17:41" x14ac:dyDescent="0.3">
      <c r="Q1480" s="93">
        <v>46189</v>
      </c>
      <c r="R1480" t="s">
        <v>479</v>
      </c>
      <c r="S1480" t="s">
        <v>415</v>
      </c>
      <c r="T1480" s="14">
        <v>7.0248624306770999</v>
      </c>
      <c r="W1480" s="20">
        <v>46078</v>
      </c>
      <c r="X1480" t="s">
        <v>272</v>
      </c>
      <c r="Y1480" s="23">
        <v>7.4461538461538499</v>
      </c>
      <c r="Z1480" s="23">
        <v>6.9846153846153802</v>
      </c>
      <c r="AA1480" s="23">
        <v>7.2153846153846199</v>
      </c>
      <c r="AO1480" s="14"/>
    </row>
    <row r="1481" spans="17:41" x14ac:dyDescent="0.3">
      <c r="Q1481" s="93">
        <v>46189</v>
      </c>
      <c r="R1481" t="s">
        <v>364</v>
      </c>
      <c r="S1481" t="s">
        <v>415</v>
      </c>
      <c r="T1481" s="14">
        <v>6.5659663865546198</v>
      </c>
      <c r="W1481" s="20">
        <v>46078</v>
      </c>
      <c r="X1481" t="s">
        <v>273</v>
      </c>
      <c r="Y1481" s="23">
        <v>7.5333333333333297</v>
      </c>
      <c r="Z1481" s="23">
        <v>7.0333333333333297</v>
      </c>
      <c r="AA1481" s="23">
        <v>7.2833333333333297</v>
      </c>
      <c r="AO1481" s="14"/>
    </row>
    <row r="1482" spans="17:41" x14ac:dyDescent="0.3">
      <c r="Q1482" s="93">
        <v>46189</v>
      </c>
      <c r="R1482" t="s">
        <v>516</v>
      </c>
      <c r="S1482" t="s">
        <v>415</v>
      </c>
      <c r="T1482" s="14">
        <v>6.7029889953223103</v>
      </c>
      <c r="W1482" s="20">
        <v>46078</v>
      </c>
      <c r="X1482" t="s">
        <v>274</v>
      </c>
      <c r="Y1482" s="23">
        <v>7.5615384615384604</v>
      </c>
      <c r="Z1482" s="23">
        <v>7.1</v>
      </c>
      <c r="AA1482" s="23">
        <v>7.3307692307692296</v>
      </c>
      <c r="AO1482" s="14"/>
    </row>
    <row r="1483" spans="17:41" x14ac:dyDescent="0.3">
      <c r="Q1483" s="93">
        <v>46189</v>
      </c>
      <c r="R1483" t="s">
        <v>1288</v>
      </c>
      <c r="S1483" t="s">
        <v>415</v>
      </c>
      <c r="T1483" s="14">
        <v>7.0248624306770999</v>
      </c>
      <c r="W1483" s="20">
        <v>46078</v>
      </c>
      <c r="X1483" t="s">
        <v>275</v>
      </c>
      <c r="Y1483" s="23">
        <v>7.6</v>
      </c>
      <c r="Z1483" s="23">
        <v>7.1384615384615397</v>
      </c>
      <c r="AA1483" s="23">
        <v>7.3692307692307697</v>
      </c>
      <c r="AO1483" s="14"/>
    </row>
    <row r="1484" spans="17:41" x14ac:dyDescent="0.3">
      <c r="Q1484" s="93">
        <v>46189</v>
      </c>
      <c r="R1484" t="s">
        <v>496</v>
      </c>
      <c r="S1484" t="s">
        <v>415</v>
      </c>
      <c r="T1484" s="14">
        <v>6.5281098435685498</v>
      </c>
      <c r="W1484" s="20">
        <v>46078</v>
      </c>
      <c r="X1484" t="s">
        <v>276</v>
      </c>
      <c r="Y1484" s="23">
        <v>7.6384615384615397</v>
      </c>
      <c r="Z1484" s="23">
        <v>7.1769230769230798</v>
      </c>
      <c r="AA1484" s="23">
        <v>7.4076923076923098</v>
      </c>
      <c r="AO1484" s="14"/>
    </row>
    <row r="1485" spans="17:41" x14ac:dyDescent="0.3">
      <c r="Q1485" s="93">
        <v>46189</v>
      </c>
      <c r="R1485" t="s">
        <v>1290</v>
      </c>
      <c r="S1485" t="s">
        <v>415</v>
      </c>
      <c r="T1485" s="14">
        <v>6.6978534914144596</v>
      </c>
      <c r="W1485" s="20">
        <v>46078</v>
      </c>
      <c r="X1485" t="s">
        <v>277</v>
      </c>
      <c r="Y1485" s="23">
        <v>7.6769230769230798</v>
      </c>
      <c r="Z1485" s="23">
        <v>7.2153846153846199</v>
      </c>
      <c r="AA1485" s="23">
        <v>7.4461538461538499</v>
      </c>
      <c r="AO1485" s="14"/>
    </row>
    <row r="1486" spans="17:41" x14ac:dyDescent="0.3">
      <c r="Q1486" s="93">
        <v>46189</v>
      </c>
      <c r="R1486" t="s">
        <v>364</v>
      </c>
      <c r="S1486" t="s">
        <v>997</v>
      </c>
      <c r="T1486" s="14">
        <v>35700</v>
      </c>
      <c r="W1486" s="20">
        <v>46078</v>
      </c>
      <c r="X1486" t="s">
        <v>278</v>
      </c>
      <c r="Y1486" s="23">
        <v>7.6923076923076898</v>
      </c>
      <c r="Z1486" s="23">
        <v>7.2307692307692299</v>
      </c>
      <c r="AA1486" s="23">
        <v>7.4615384615384599</v>
      </c>
      <c r="AO1486" s="14"/>
    </row>
    <row r="1487" spans="17:41" x14ac:dyDescent="0.3">
      <c r="Q1487" s="93">
        <v>46189</v>
      </c>
      <c r="R1487" t="s">
        <v>496</v>
      </c>
      <c r="S1487" t="s">
        <v>997</v>
      </c>
      <c r="T1487" s="14">
        <v>29278</v>
      </c>
      <c r="W1487" s="20">
        <v>46078</v>
      </c>
      <c r="X1487" t="s">
        <v>279</v>
      </c>
      <c r="Y1487" s="23">
        <v>7.7153846153846102</v>
      </c>
      <c r="Z1487" s="23">
        <v>7.2538461538461503</v>
      </c>
      <c r="AA1487" s="23">
        <v>7.48461538461539</v>
      </c>
      <c r="AO1487" s="14"/>
    </row>
    <row r="1488" spans="17:41" x14ac:dyDescent="0.3">
      <c r="Q1488" s="93">
        <v>46189</v>
      </c>
      <c r="R1488" t="s">
        <v>479</v>
      </c>
      <c r="S1488" t="s">
        <v>399</v>
      </c>
      <c r="T1488" s="14">
        <v>12197.6106</v>
      </c>
      <c r="W1488" s="20">
        <v>46078</v>
      </c>
      <c r="X1488" t="s">
        <v>280</v>
      </c>
      <c r="Y1488" s="23">
        <v>7.7692307692307701</v>
      </c>
      <c r="Z1488" s="23">
        <v>7.3076923076923102</v>
      </c>
      <c r="AA1488" s="23">
        <v>7.5384615384615401</v>
      </c>
      <c r="AO1488" s="14"/>
    </row>
    <row r="1489" spans="17:41" x14ac:dyDescent="0.3">
      <c r="Q1489" s="93">
        <v>46189</v>
      </c>
      <c r="R1489" t="s">
        <v>364</v>
      </c>
      <c r="S1489" t="s">
        <v>399</v>
      </c>
      <c r="T1489" s="14">
        <v>32200</v>
      </c>
      <c r="W1489" s="20">
        <v>46078</v>
      </c>
      <c r="X1489" t="s">
        <v>281</v>
      </c>
      <c r="Y1489" s="23">
        <v>7.7769230769230804</v>
      </c>
      <c r="Z1489" s="23">
        <v>7.3153846153846196</v>
      </c>
      <c r="AA1489" s="23">
        <v>7.5461538461538504</v>
      </c>
      <c r="AO1489" s="14"/>
    </row>
    <row r="1490" spans="17:41" x14ac:dyDescent="0.3">
      <c r="Q1490" s="93">
        <v>46189</v>
      </c>
      <c r="R1490" t="s">
        <v>491</v>
      </c>
      <c r="S1490" t="s">
        <v>399</v>
      </c>
      <c r="T1490" s="14">
        <v>397.61059999999998</v>
      </c>
      <c r="W1490" s="20">
        <v>46079</v>
      </c>
      <c r="X1490" t="s">
        <v>270</v>
      </c>
      <c r="Y1490" s="23">
        <v>7.68</v>
      </c>
      <c r="Z1490" s="23">
        <v>7.18</v>
      </c>
      <c r="AA1490" s="23">
        <v>7.43</v>
      </c>
      <c r="AO1490" s="14"/>
    </row>
    <row r="1491" spans="17:41" x14ac:dyDescent="0.3">
      <c r="Q1491" s="93">
        <v>46189</v>
      </c>
      <c r="R1491" t="s">
        <v>492</v>
      </c>
      <c r="S1491" t="s">
        <v>399</v>
      </c>
      <c r="T1491" s="14">
        <v>11800</v>
      </c>
      <c r="W1491" s="20">
        <v>46079</v>
      </c>
      <c r="X1491" t="s">
        <v>271</v>
      </c>
      <c r="Y1491" s="23">
        <v>7.4249999999999998</v>
      </c>
      <c r="Z1491" s="23">
        <v>7.2</v>
      </c>
      <c r="AA1491" s="23">
        <v>7.3125</v>
      </c>
      <c r="AO1491" s="14"/>
    </row>
    <row r="1492" spans="17:41" x14ac:dyDescent="0.3">
      <c r="Q1492" s="93">
        <v>46189</v>
      </c>
      <c r="R1492" t="s">
        <v>496</v>
      </c>
      <c r="S1492" t="s">
        <v>399</v>
      </c>
      <c r="T1492" s="14">
        <v>22778</v>
      </c>
      <c r="W1492" s="20">
        <v>46079</v>
      </c>
      <c r="X1492" t="s">
        <v>272</v>
      </c>
      <c r="Y1492" s="23">
        <v>7.4461538461538499</v>
      </c>
      <c r="Z1492" s="23">
        <v>6.9846153846153802</v>
      </c>
      <c r="AA1492" s="23">
        <v>7.2153846153846199</v>
      </c>
      <c r="AO1492" s="14"/>
    </row>
    <row r="1493" spans="17:41" x14ac:dyDescent="0.3">
      <c r="Q1493" s="93">
        <v>46189</v>
      </c>
      <c r="R1493" t="s">
        <v>497</v>
      </c>
      <c r="S1493" t="s">
        <v>399</v>
      </c>
      <c r="T1493" s="14">
        <v>397.61059999999998</v>
      </c>
      <c r="W1493" s="20">
        <v>46079</v>
      </c>
      <c r="X1493" t="s">
        <v>273</v>
      </c>
      <c r="Y1493" s="23">
        <v>7.5333333333333297</v>
      </c>
      <c r="Z1493" s="23">
        <v>7.0333333333333297</v>
      </c>
      <c r="AA1493" s="23">
        <v>7.2833333333333297</v>
      </c>
      <c r="AO1493" s="14"/>
    </row>
    <row r="1494" spans="17:41" x14ac:dyDescent="0.3">
      <c r="Q1494" s="93">
        <v>46189</v>
      </c>
      <c r="R1494" t="s">
        <v>498</v>
      </c>
      <c r="S1494" t="s">
        <v>399</v>
      </c>
      <c r="T1494" s="14">
        <v>14800</v>
      </c>
      <c r="W1494" s="20">
        <v>46079</v>
      </c>
      <c r="X1494" t="s">
        <v>274</v>
      </c>
      <c r="Y1494" s="23">
        <v>7.5692307692307699</v>
      </c>
      <c r="Z1494" s="23">
        <v>7.10769230769231</v>
      </c>
      <c r="AA1494" s="23">
        <v>7.3384615384615399</v>
      </c>
      <c r="AO1494" s="14"/>
    </row>
    <row r="1495" spans="17:41" x14ac:dyDescent="0.3">
      <c r="Q1495" s="93">
        <v>46189</v>
      </c>
      <c r="R1495" t="s">
        <v>494</v>
      </c>
      <c r="S1495" t="s">
        <v>399</v>
      </c>
      <c r="T1495" s="14">
        <v>0</v>
      </c>
      <c r="W1495" s="20">
        <v>46079</v>
      </c>
      <c r="X1495" t="s">
        <v>275</v>
      </c>
      <c r="Y1495" s="23">
        <v>7.60769230769231</v>
      </c>
      <c r="Z1495" s="23">
        <v>7.1461538461538403</v>
      </c>
      <c r="AA1495" s="23">
        <v>7.37692307692308</v>
      </c>
      <c r="AO1495" s="14"/>
    </row>
    <row r="1496" spans="17:41" x14ac:dyDescent="0.3">
      <c r="Q1496" s="93">
        <v>46189</v>
      </c>
      <c r="R1496" t="s">
        <v>495</v>
      </c>
      <c r="S1496" t="s">
        <v>399</v>
      </c>
      <c r="T1496" s="14">
        <v>0</v>
      </c>
      <c r="W1496" s="20">
        <v>46079</v>
      </c>
      <c r="X1496" t="s">
        <v>276</v>
      </c>
      <c r="Y1496" s="23">
        <v>7.6461538461538403</v>
      </c>
      <c r="Z1496" s="23">
        <v>7.1846153846153804</v>
      </c>
      <c r="AA1496" s="23">
        <v>7.4153846153846201</v>
      </c>
      <c r="AO1496" s="14"/>
    </row>
    <row r="1497" spans="17:41" x14ac:dyDescent="0.3">
      <c r="Q1497" s="93">
        <v>46189</v>
      </c>
      <c r="R1497" t="s">
        <v>493</v>
      </c>
      <c r="S1497" t="s">
        <v>399</v>
      </c>
      <c r="T1497" s="14">
        <v>0</v>
      </c>
      <c r="W1497" s="20">
        <v>46079</v>
      </c>
      <c r="X1497" t="s">
        <v>277</v>
      </c>
      <c r="Y1497" s="23">
        <v>7.6846153846153804</v>
      </c>
      <c r="Z1497" s="23">
        <v>7.2230769230769196</v>
      </c>
      <c r="AA1497" s="23">
        <v>7.4538461538461496</v>
      </c>
      <c r="AO1497" s="14"/>
    </row>
    <row r="1498" spans="17:41" x14ac:dyDescent="0.3">
      <c r="Q1498" s="93">
        <v>46188</v>
      </c>
      <c r="R1498" t="s">
        <v>364</v>
      </c>
      <c r="S1498" t="s">
        <v>997</v>
      </c>
      <c r="T1498" s="14">
        <v>35700</v>
      </c>
      <c r="W1498" s="20">
        <v>46079</v>
      </c>
      <c r="X1498" t="s">
        <v>278</v>
      </c>
      <c r="Y1498" s="23">
        <v>7.7</v>
      </c>
      <c r="Z1498" s="23">
        <v>7.2384615384615403</v>
      </c>
      <c r="AA1498" s="23">
        <v>7.4692307692307702</v>
      </c>
      <c r="AO1498" s="14"/>
    </row>
    <row r="1499" spans="17:41" x14ac:dyDescent="0.3">
      <c r="Q1499" s="93">
        <v>46188</v>
      </c>
      <c r="R1499" t="s">
        <v>496</v>
      </c>
      <c r="S1499" t="s">
        <v>997</v>
      </c>
      <c r="T1499" s="14">
        <v>28678</v>
      </c>
      <c r="W1499" s="20">
        <v>46079</v>
      </c>
      <c r="X1499" t="s">
        <v>279</v>
      </c>
      <c r="Y1499" s="23">
        <v>7.7230769230769196</v>
      </c>
      <c r="Z1499" s="23">
        <v>7.2615384615384597</v>
      </c>
      <c r="AA1499" s="23">
        <v>7.4923076923076897</v>
      </c>
      <c r="AO1499" s="14"/>
    </row>
    <row r="1500" spans="17:41" x14ac:dyDescent="0.3">
      <c r="Q1500" s="93">
        <v>46188</v>
      </c>
      <c r="R1500" t="s">
        <v>479</v>
      </c>
      <c r="S1500" t="s">
        <v>399</v>
      </c>
      <c r="T1500" s="14">
        <v>12197.6106</v>
      </c>
      <c r="W1500" s="20">
        <v>46079</v>
      </c>
      <c r="X1500" t="s">
        <v>280</v>
      </c>
      <c r="Y1500" s="23">
        <v>7.7769230769230804</v>
      </c>
      <c r="Z1500" s="23">
        <v>7.3153846153846098</v>
      </c>
      <c r="AA1500" s="23">
        <v>7.5461538461538504</v>
      </c>
      <c r="AO1500" s="14"/>
    </row>
    <row r="1501" spans="17:41" x14ac:dyDescent="0.3">
      <c r="Q1501" s="93">
        <v>46188</v>
      </c>
      <c r="R1501" t="s">
        <v>364</v>
      </c>
      <c r="S1501" t="s">
        <v>399</v>
      </c>
      <c r="T1501" s="14">
        <v>32200</v>
      </c>
      <c r="W1501" s="20">
        <v>46079</v>
      </c>
      <c r="X1501" t="s">
        <v>281</v>
      </c>
      <c r="Y1501" s="23">
        <v>7.7846153846153801</v>
      </c>
      <c r="Z1501" s="23">
        <v>7.3230769230769202</v>
      </c>
      <c r="AA1501" s="23">
        <v>7.5538461538461501</v>
      </c>
      <c r="AO1501" s="14"/>
    </row>
    <row r="1502" spans="17:41" x14ac:dyDescent="0.3">
      <c r="Q1502" s="93">
        <v>46188</v>
      </c>
      <c r="R1502" t="s">
        <v>491</v>
      </c>
      <c r="S1502" t="s">
        <v>399</v>
      </c>
      <c r="T1502" s="14">
        <v>397.61059999999998</v>
      </c>
      <c r="W1502" s="20">
        <v>46080</v>
      </c>
      <c r="X1502" t="s">
        <v>270</v>
      </c>
      <c r="Y1502" s="23">
        <v>7.75</v>
      </c>
      <c r="Z1502" s="23">
        <v>7.25</v>
      </c>
      <c r="AA1502" s="23">
        <v>7.5</v>
      </c>
      <c r="AO1502" s="14"/>
    </row>
    <row r="1503" spans="17:41" x14ac:dyDescent="0.3">
      <c r="Q1503" s="93">
        <v>46188</v>
      </c>
      <c r="R1503" t="s">
        <v>492</v>
      </c>
      <c r="S1503" t="s">
        <v>399</v>
      </c>
      <c r="T1503" s="14">
        <v>11800</v>
      </c>
      <c r="W1503" s="20">
        <v>46080</v>
      </c>
      <c r="X1503" t="s">
        <v>271</v>
      </c>
      <c r="Y1503" s="23">
        <v>7.44</v>
      </c>
      <c r="Z1503" s="23">
        <v>7.2</v>
      </c>
      <c r="AA1503" s="23">
        <v>7.32</v>
      </c>
      <c r="AO1503" s="14"/>
    </row>
    <row r="1504" spans="17:41" x14ac:dyDescent="0.3">
      <c r="Q1504" s="93">
        <v>46188</v>
      </c>
      <c r="R1504" t="s">
        <v>496</v>
      </c>
      <c r="S1504" t="s">
        <v>399</v>
      </c>
      <c r="T1504" s="14">
        <v>22178</v>
      </c>
      <c r="W1504" s="20">
        <v>46080</v>
      </c>
      <c r="X1504" t="s">
        <v>272</v>
      </c>
      <c r="Y1504" s="23">
        <v>7.4461538461538499</v>
      </c>
      <c r="Z1504" s="23">
        <v>6.9846153846153802</v>
      </c>
      <c r="AA1504" s="23">
        <v>7.2153846153846199</v>
      </c>
      <c r="AO1504" s="14"/>
    </row>
    <row r="1505" spans="17:41" x14ac:dyDescent="0.3">
      <c r="Q1505" s="93">
        <v>46188</v>
      </c>
      <c r="R1505" t="s">
        <v>497</v>
      </c>
      <c r="S1505" t="s">
        <v>399</v>
      </c>
      <c r="T1505" s="14">
        <v>397.61059999999998</v>
      </c>
      <c r="W1505" s="20">
        <v>46080</v>
      </c>
      <c r="X1505" t="s">
        <v>273</v>
      </c>
      <c r="Y1505" s="23">
        <v>7.5333333333333297</v>
      </c>
      <c r="Z1505" s="23">
        <v>7.0333333333333297</v>
      </c>
      <c r="AA1505" s="23">
        <v>7.2833333333333297</v>
      </c>
      <c r="AO1505" s="14"/>
    </row>
    <row r="1506" spans="17:41" x14ac:dyDescent="0.3">
      <c r="Q1506" s="93">
        <v>46188</v>
      </c>
      <c r="R1506" t="s">
        <v>498</v>
      </c>
      <c r="S1506" t="s">
        <v>399</v>
      </c>
      <c r="T1506" s="14">
        <v>14800</v>
      </c>
      <c r="W1506" s="20">
        <v>46080</v>
      </c>
      <c r="X1506" t="s">
        <v>274</v>
      </c>
      <c r="Y1506" s="23">
        <v>7.5692307692307699</v>
      </c>
      <c r="Z1506" s="23">
        <v>7.10769230769231</v>
      </c>
      <c r="AA1506" s="23">
        <v>7.3384615384615399</v>
      </c>
      <c r="AO1506" s="14"/>
    </row>
    <row r="1507" spans="17:41" x14ac:dyDescent="0.3">
      <c r="Q1507" s="93">
        <v>46188</v>
      </c>
      <c r="R1507" t="s">
        <v>494</v>
      </c>
      <c r="S1507" t="s">
        <v>399</v>
      </c>
      <c r="T1507" s="14">
        <v>0</v>
      </c>
      <c r="W1507" s="20">
        <v>46080</v>
      </c>
      <c r="X1507" t="s">
        <v>275</v>
      </c>
      <c r="Y1507" s="23">
        <v>7.60769230769231</v>
      </c>
      <c r="Z1507" s="23">
        <v>7.1461538461538403</v>
      </c>
      <c r="AA1507" s="23">
        <v>7.37692307692308</v>
      </c>
      <c r="AO1507" s="14"/>
    </row>
    <row r="1508" spans="17:41" x14ac:dyDescent="0.3">
      <c r="Q1508" s="93">
        <v>46188</v>
      </c>
      <c r="R1508" t="s">
        <v>495</v>
      </c>
      <c r="S1508" t="s">
        <v>399</v>
      </c>
      <c r="T1508" s="14">
        <v>0</v>
      </c>
      <c r="W1508" s="20">
        <v>46080</v>
      </c>
      <c r="X1508" t="s">
        <v>276</v>
      </c>
      <c r="Y1508" s="23">
        <v>7.6461538461538403</v>
      </c>
      <c r="Z1508" s="23">
        <v>7.1846153846153804</v>
      </c>
      <c r="AA1508" s="23">
        <v>7.4153846153846201</v>
      </c>
      <c r="AO1508" s="14"/>
    </row>
    <row r="1509" spans="17:41" x14ac:dyDescent="0.3">
      <c r="Q1509" s="93">
        <v>46188</v>
      </c>
      <c r="R1509" t="s">
        <v>493</v>
      </c>
      <c r="S1509" t="s">
        <v>399</v>
      </c>
      <c r="T1509" s="14">
        <v>0</v>
      </c>
      <c r="W1509" s="20">
        <v>46080</v>
      </c>
      <c r="X1509" t="s">
        <v>277</v>
      </c>
      <c r="Y1509" s="23">
        <v>7.6846153846153804</v>
      </c>
      <c r="Z1509" s="23">
        <v>7.2230769230769196</v>
      </c>
      <c r="AA1509" s="23">
        <v>7.4538461538461496</v>
      </c>
      <c r="AO1509" s="14"/>
    </row>
    <row r="1510" spans="17:41" x14ac:dyDescent="0.3">
      <c r="Q1510" s="93">
        <v>46188</v>
      </c>
      <c r="R1510" t="s">
        <v>593</v>
      </c>
      <c r="S1510" t="s">
        <v>399</v>
      </c>
      <c r="T1510" s="14">
        <v>7022</v>
      </c>
      <c r="W1510" s="20">
        <v>46080</v>
      </c>
      <c r="X1510" t="s">
        <v>278</v>
      </c>
      <c r="Y1510" s="23">
        <v>7.7</v>
      </c>
      <c r="Z1510" s="23">
        <v>7.2384615384615403</v>
      </c>
      <c r="AA1510" s="23">
        <v>7.4692307692307702</v>
      </c>
      <c r="AO1510" s="14"/>
    </row>
    <row r="1511" spans="17:41" x14ac:dyDescent="0.3">
      <c r="Q1511" s="93">
        <v>46188</v>
      </c>
      <c r="R1511" t="s">
        <v>594</v>
      </c>
      <c r="S1511" t="s">
        <v>399</v>
      </c>
      <c r="T1511" s="14">
        <v>0</v>
      </c>
      <c r="W1511" s="20">
        <v>46080</v>
      </c>
      <c r="X1511" t="s">
        <v>279</v>
      </c>
      <c r="Y1511" s="23">
        <v>7.7230769230769196</v>
      </c>
      <c r="Z1511" s="23">
        <v>7.2615384615384597</v>
      </c>
      <c r="AA1511" s="23">
        <v>7.4923076923076897</v>
      </c>
      <c r="AO1511" s="14"/>
    </row>
    <row r="1512" spans="17:41" x14ac:dyDescent="0.3">
      <c r="Q1512" s="93">
        <v>46188</v>
      </c>
      <c r="R1512" t="s">
        <v>595</v>
      </c>
      <c r="S1512" t="s">
        <v>399</v>
      </c>
      <c r="T1512" s="14">
        <v>0</v>
      </c>
      <c r="W1512" s="20">
        <v>46080</v>
      </c>
      <c r="X1512" t="s">
        <v>280</v>
      </c>
      <c r="Y1512" s="23">
        <v>7.7769230769230804</v>
      </c>
      <c r="Z1512" s="23">
        <v>7.3153846153846098</v>
      </c>
      <c r="AA1512" s="23">
        <v>7.5461538461538504</v>
      </c>
      <c r="AO1512" s="14"/>
    </row>
    <row r="1513" spans="17:41" x14ac:dyDescent="0.3">
      <c r="Q1513" s="93">
        <v>46188</v>
      </c>
      <c r="R1513" t="s">
        <v>479</v>
      </c>
      <c r="S1513" t="s">
        <v>395</v>
      </c>
      <c r="T1513" s="14">
        <v>11332.1683254899</v>
      </c>
      <c r="W1513" s="20">
        <v>46080</v>
      </c>
      <c r="X1513" t="s">
        <v>281</v>
      </c>
      <c r="Y1513" s="23">
        <v>7.7846153846153801</v>
      </c>
      <c r="Z1513" s="23">
        <v>7.3230769230769202</v>
      </c>
      <c r="AA1513" s="23">
        <v>7.5538461538461501</v>
      </c>
      <c r="AO1513" s="14"/>
    </row>
    <row r="1514" spans="17:41" x14ac:dyDescent="0.3">
      <c r="Q1514" s="93">
        <v>46188</v>
      </c>
      <c r="R1514" t="s">
        <v>479</v>
      </c>
      <c r="S1514" t="s">
        <v>415</v>
      </c>
      <c r="T1514" s="14">
        <v>7.0248624306770999</v>
      </c>
      <c r="W1514" s="20">
        <v>46083</v>
      </c>
      <c r="X1514" t="s">
        <v>270</v>
      </c>
      <c r="Y1514" s="23">
        <v>7.9</v>
      </c>
      <c r="Z1514" s="23">
        <v>7.4</v>
      </c>
      <c r="AA1514" s="23">
        <v>7.65</v>
      </c>
      <c r="AO1514" s="14"/>
    </row>
    <row r="1515" spans="17:41" x14ac:dyDescent="0.3">
      <c r="Q1515" s="93">
        <v>46188</v>
      </c>
      <c r="R1515" t="s">
        <v>364</v>
      </c>
      <c r="S1515" t="s">
        <v>415</v>
      </c>
      <c r="T1515" s="14">
        <v>6.5659663865546198</v>
      </c>
      <c r="W1515" s="20">
        <v>46083</v>
      </c>
      <c r="X1515" t="s">
        <v>271</v>
      </c>
      <c r="Y1515" s="23">
        <v>7.65</v>
      </c>
      <c r="Z1515" s="23">
        <v>7.3333333333333304</v>
      </c>
      <c r="AA1515" s="23">
        <v>7.4916666666666698</v>
      </c>
      <c r="AO1515" s="14"/>
    </row>
    <row r="1516" spans="17:41" x14ac:dyDescent="0.3">
      <c r="Q1516" s="93">
        <v>46188</v>
      </c>
      <c r="R1516" t="s">
        <v>516</v>
      </c>
      <c r="S1516" t="s">
        <v>415</v>
      </c>
      <c r="T1516" s="14">
        <v>6.7029889953223103</v>
      </c>
      <c r="W1516" s="20">
        <v>46083</v>
      </c>
      <c r="X1516" t="s">
        <v>272</v>
      </c>
      <c r="Y1516" s="23">
        <v>7.5615384615384604</v>
      </c>
      <c r="Z1516" s="23">
        <v>7.1</v>
      </c>
      <c r="AA1516" s="23">
        <v>7.3307692307692296</v>
      </c>
      <c r="AO1516" s="14"/>
    </row>
    <row r="1517" spans="17:41" x14ac:dyDescent="0.3">
      <c r="Q1517" s="93">
        <v>46188</v>
      </c>
      <c r="R1517" t="s">
        <v>1288</v>
      </c>
      <c r="S1517" t="s">
        <v>415</v>
      </c>
      <c r="T1517" s="14">
        <v>7.0248624306770999</v>
      </c>
      <c r="W1517" s="20">
        <v>46083</v>
      </c>
      <c r="X1517" t="s">
        <v>273</v>
      </c>
      <c r="Y1517" s="23">
        <v>7.56666666666667</v>
      </c>
      <c r="Z1517" s="23">
        <v>7.06666666666667</v>
      </c>
      <c r="AA1517" s="23">
        <v>7.31666666666667</v>
      </c>
      <c r="AO1517" s="14"/>
    </row>
    <row r="1518" spans="17:41" x14ac:dyDescent="0.3">
      <c r="Q1518" s="93">
        <v>46188</v>
      </c>
      <c r="R1518" t="s">
        <v>496</v>
      </c>
      <c r="S1518" t="s">
        <v>415</v>
      </c>
      <c r="T1518" s="14">
        <v>6.5459934444521899</v>
      </c>
      <c r="W1518" s="20">
        <v>46083</v>
      </c>
      <c r="X1518" t="s">
        <v>274</v>
      </c>
      <c r="Y1518" s="23">
        <v>7.6461538461538403</v>
      </c>
      <c r="Z1518" s="23">
        <v>7.1846153846153902</v>
      </c>
      <c r="AA1518" s="23">
        <v>7.4153846153846201</v>
      </c>
      <c r="AO1518" s="14"/>
    </row>
    <row r="1519" spans="17:41" x14ac:dyDescent="0.3">
      <c r="Q1519" s="93">
        <v>46188</v>
      </c>
      <c r="R1519" t="s">
        <v>1290</v>
      </c>
      <c r="S1519" t="s">
        <v>415</v>
      </c>
      <c r="T1519" s="14">
        <v>6.7118638285115999</v>
      </c>
      <c r="W1519" s="20">
        <v>46083</v>
      </c>
      <c r="X1519" t="s">
        <v>275</v>
      </c>
      <c r="Y1519" s="23">
        <v>7.6846153846153804</v>
      </c>
      <c r="Z1519" s="23">
        <v>7.2230769230769196</v>
      </c>
      <c r="AA1519" s="23">
        <v>7.4538461538461496</v>
      </c>
      <c r="AO1519" s="14"/>
    </row>
    <row r="1520" spans="17:41" x14ac:dyDescent="0.3">
      <c r="Q1520" s="93">
        <v>46185</v>
      </c>
      <c r="R1520" t="s">
        <v>479</v>
      </c>
      <c r="S1520" t="s">
        <v>399</v>
      </c>
      <c r="T1520" s="14">
        <v>12197.6106</v>
      </c>
      <c r="W1520" s="20">
        <v>46083</v>
      </c>
      <c r="X1520" t="s">
        <v>276</v>
      </c>
      <c r="Y1520" s="23">
        <v>7.7307692307692299</v>
      </c>
      <c r="Z1520" s="23">
        <v>7.2692307692307701</v>
      </c>
      <c r="AA1520" s="23">
        <v>7.5</v>
      </c>
      <c r="AO1520" s="14"/>
    </row>
    <row r="1521" spans="17:41" x14ac:dyDescent="0.3">
      <c r="Q1521" s="93">
        <v>46185</v>
      </c>
      <c r="R1521" t="s">
        <v>364</v>
      </c>
      <c r="S1521" t="s">
        <v>399</v>
      </c>
      <c r="T1521" s="14">
        <v>32200</v>
      </c>
      <c r="W1521" s="20">
        <v>46083</v>
      </c>
      <c r="X1521" t="s">
        <v>277</v>
      </c>
      <c r="Y1521" s="23">
        <v>7.7846153846153801</v>
      </c>
      <c r="Z1521" s="23">
        <v>7.3230769230769202</v>
      </c>
      <c r="AA1521" s="23">
        <v>7.5538461538461599</v>
      </c>
      <c r="AO1521" s="14"/>
    </row>
    <row r="1522" spans="17:41" x14ac:dyDescent="0.3">
      <c r="Q1522" s="93">
        <v>46185</v>
      </c>
      <c r="R1522" t="s">
        <v>491</v>
      </c>
      <c r="S1522" t="s">
        <v>399</v>
      </c>
      <c r="T1522" s="14">
        <v>397.61059999999998</v>
      </c>
      <c r="W1522" s="20">
        <v>46083</v>
      </c>
      <c r="X1522" t="s">
        <v>278</v>
      </c>
      <c r="Y1522" s="23">
        <v>7.7846153846153801</v>
      </c>
      <c r="Z1522" s="23">
        <v>7.3230769230769202</v>
      </c>
      <c r="AA1522" s="23">
        <v>7.5538461538461599</v>
      </c>
      <c r="AO1522" s="14"/>
    </row>
    <row r="1523" spans="17:41" x14ac:dyDescent="0.3">
      <c r="Q1523" s="93">
        <v>46185</v>
      </c>
      <c r="R1523" t="s">
        <v>492</v>
      </c>
      <c r="S1523" t="s">
        <v>399</v>
      </c>
      <c r="T1523" s="14">
        <v>11800</v>
      </c>
      <c r="W1523" s="20">
        <v>46083</v>
      </c>
      <c r="X1523" t="s">
        <v>279</v>
      </c>
      <c r="Y1523" s="23">
        <v>7.8153846153846098</v>
      </c>
      <c r="Z1523" s="23">
        <v>7.3538461538461597</v>
      </c>
      <c r="AA1523" s="23">
        <v>7.5846153846153896</v>
      </c>
      <c r="AO1523" s="14"/>
    </row>
    <row r="1524" spans="17:41" x14ac:dyDescent="0.3">
      <c r="Q1524" s="93">
        <v>46185</v>
      </c>
      <c r="R1524" t="s">
        <v>496</v>
      </c>
      <c r="S1524" t="s">
        <v>399</v>
      </c>
      <c r="T1524" s="14">
        <v>20078</v>
      </c>
      <c r="W1524" s="20">
        <v>46083</v>
      </c>
      <c r="X1524" t="s">
        <v>280</v>
      </c>
      <c r="Y1524" s="23">
        <v>7.8538461538461499</v>
      </c>
      <c r="Z1524" s="23">
        <v>7.39230769230769</v>
      </c>
      <c r="AA1524" s="23">
        <v>7.62307692307692</v>
      </c>
      <c r="AO1524" s="14"/>
    </row>
    <row r="1525" spans="17:41" x14ac:dyDescent="0.3">
      <c r="Q1525" s="93">
        <v>46185</v>
      </c>
      <c r="R1525" t="s">
        <v>497</v>
      </c>
      <c r="S1525" t="s">
        <v>399</v>
      </c>
      <c r="T1525" s="14">
        <v>397.61059999999998</v>
      </c>
      <c r="W1525" s="20">
        <v>46083</v>
      </c>
      <c r="X1525" t="s">
        <v>281</v>
      </c>
      <c r="Y1525" s="23">
        <v>7.8461538461538396</v>
      </c>
      <c r="Z1525" s="23">
        <v>7.3846153846153797</v>
      </c>
      <c r="AA1525" s="23">
        <v>7.6153846153846203</v>
      </c>
      <c r="AO1525" s="14"/>
    </row>
    <row r="1526" spans="17:41" x14ac:dyDescent="0.3">
      <c r="Q1526" s="93">
        <v>46185</v>
      </c>
      <c r="R1526" t="s">
        <v>498</v>
      </c>
      <c r="S1526" t="s">
        <v>399</v>
      </c>
      <c r="T1526" s="14">
        <v>14800</v>
      </c>
      <c r="W1526" s="20">
        <v>46084</v>
      </c>
      <c r="X1526" t="s">
        <v>270</v>
      </c>
      <c r="Y1526" s="23">
        <v>7.9</v>
      </c>
      <c r="Z1526" s="23">
        <v>7.4</v>
      </c>
      <c r="AA1526" s="23">
        <v>7.65</v>
      </c>
      <c r="AO1526" s="14"/>
    </row>
    <row r="1527" spans="17:41" x14ac:dyDescent="0.3">
      <c r="Q1527" s="93">
        <v>46185</v>
      </c>
      <c r="R1527" t="s">
        <v>494</v>
      </c>
      <c r="S1527" t="s">
        <v>399</v>
      </c>
      <c r="T1527" s="14">
        <v>0</v>
      </c>
      <c r="W1527" s="20">
        <v>46084</v>
      </c>
      <c r="X1527" t="s">
        <v>271</v>
      </c>
      <c r="Y1527" s="23">
        <v>7.6666666666666696</v>
      </c>
      <c r="Z1527" s="23">
        <v>7.35</v>
      </c>
      <c r="AA1527" s="23">
        <v>7.5083333333333302</v>
      </c>
      <c r="AO1527" s="14"/>
    </row>
    <row r="1528" spans="17:41" x14ac:dyDescent="0.3">
      <c r="Q1528" s="93">
        <v>46185</v>
      </c>
      <c r="R1528" t="s">
        <v>495</v>
      </c>
      <c r="S1528" t="s">
        <v>399</v>
      </c>
      <c r="T1528" s="14">
        <v>0</v>
      </c>
      <c r="W1528" s="20">
        <v>46084</v>
      </c>
      <c r="X1528" t="s">
        <v>272</v>
      </c>
      <c r="Y1528" s="23">
        <v>7.5769230769230802</v>
      </c>
      <c r="Z1528" s="23">
        <v>7.1153846153846096</v>
      </c>
      <c r="AA1528" s="23">
        <v>7.3461538461538503</v>
      </c>
      <c r="AO1528" s="14"/>
    </row>
    <row r="1529" spans="17:41" x14ac:dyDescent="0.3">
      <c r="Q1529" s="93">
        <v>46185</v>
      </c>
      <c r="R1529" t="s">
        <v>493</v>
      </c>
      <c r="S1529" t="s">
        <v>399</v>
      </c>
      <c r="T1529" s="14">
        <v>0</v>
      </c>
      <c r="W1529" s="20">
        <v>46084</v>
      </c>
      <c r="X1529" t="s">
        <v>273</v>
      </c>
      <c r="Y1529" s="23">
        <v>7.6333333333333302</v>
      </c>
      <c r="Z1529" s="23">
        <v>7.1333333333333302</v>
      </c>
      <c r="AA1529" s="23">
        <v>7.3833333333333302</v>
      </c>
      <c r="AO1529" s="14"/>
    </row>
    <row r="1530" spans="17:41" x14ac:dyDescent="0.3">
      <c r="Q1530" s="93">
        <v>46185</v>
      </c>
      <c r="R1530" t="s">
        <v>593</v>
      </c>
      <c r="S1530" t="s">
        <v>399</v>
      </c>
      <c r="T1530" s="14">
        <v>9122</v>
      </c>
      <c r="W1530" s="20">
        <v>46084</v>
      </c>
      <c r="X1530" t="s">
        <v>274</v>
      </c>
      <c r="Y1530" s="23">
        <v>7.6769230769230798</v>
      </c>
      <c r="Z1530" s="23">
        <v>7.2153846153846199</v>
      </c>
      <c r="AA1530" s="23">
        <v>7.4461538461538499</v>
      </c>
      <c r="AO1530" s="14"/>
    </row>
    <row r="1531" spans="17:41" x14ac:dyDescent="0.3">
      <c r="Q1531" s="93">
        <v>46185</v>
      </c>
      <c r="R1531" t="s">
        <v>594</v>
      </c>
      <c r="S1531" t="s">
        <v>399</v>
      </c>
      <c r="T1531" s="14">
        <v>0</v>
      </c>
      <c r="W1531" s="20">
        <v>46084</v>
      </c>
      <c r="X1531" t="s">
        <v>275</v>
      </c>
      <c r="Y1531" s="23">
        <v>7.7230769230769196</v>
      </c>
      <c r="Z1531" s="23">
        <v>7.2615384615384597</v>
      </c>
      <c r="AA1531" s="23">
        <v>7.4923076923076897</v>
      </c>
      <c r="AO1531" s="14"/>
    </row>
    <row r="1532" spans="17:41" x14ac:dyDescent="0.3">
      <c r="Q1532" s="93">
        <v>46185</v>
      </c>
      <c r="R1532" t="s">
        <v>595</v>
      </c>
      <c r="S1532" t="s">
        <v>399</v>
      </c>
      <c r="T1532" s="14">
        <v>0</v>
      </c>
      <c r="W1532" s="20">
        <v>46084</v>
      </c>
      <c r="X1532" t="s">
        <v>276</v>
      </c>
      <c r="Y1532" s="23">
        <v>7.7538461538461503</v>
      </c>
      <c r="Z1532" s="23">
        <v>7.2923076923076904</v>
      </c>
      <c r="AA1532" s="23">
        <v>7.5230769230769203</v>
      </c>
      <c r="AO1532" s="14"/>
    </row>
    <row r="1533" spans="17:41" x14ac:dyDescent="0.3">
      <c r="Q1533" s="93">
        <v>46185</v>
      </c>
      <c r="R1533" t="s">
        <v>479</v>
      </c>
      <c r="S1533" t="s">
        <v>395</v>
      </c>
      <c r="T1533" s="14">
        <v>11347.6651750209</v>
      </c>
      <c r="W1533" s="20">
        <v>46084</v>
      </c>
      <c r="X1533" t="s">
        <v>277</v>
      </c>
      <c r="Y1533" s="23">
        <v>7.8076923076923102</v>
      </c>
      <c r="Z1533" s="23">
        <v>7.3461538461538503</v>
      </c>
      <c r="AA1533" s="23">
        <v>7.5769230769230802</v>
      </c>
      <c r="AO1533" s="14"/>
    </row>
    <row r="1534" spans="17:41" x14ac:dyDescent="0.3">
      <c r="Q1534" s="93">
        <v>46185</v>
      </c>
      <c r="R1534" t="s">
        <v>364</v>
      </c>
      <c r="S1534" t="s">
        <v>997</v>
      </c>
      <c r="T1534" s="14">
        <v>35700</v>
      </c>
      <c r="W1534" s="20">
        <v>46084</v>
      </c>
      <c r="X1534" t="s">
        <v>278</v>
      </c>
      <c r="Y1534" s="23">
        <v>7.8076923076923102</v>
      </c>
      <c r="Z1534" s="23">
        <v>7.3461538461538503</v>
      </c>
      <c r="AA1534" s="23">
        <v>7.5769230769230802</v>
      </c>
      <c r="AO1534" s="14"/>
    </row>
    <row r="1535" spans="17:41" x14ac:dyDescent="0.3">
      <c r="Q1535" s="93">
        <v>46185</v>
      </c>
      <c r="R1535" t="s">
        <v>496</v>
      </c>
      <c r="S1535" t="s">
        <v>997</v>
      </c>
      <c r="T1535" s="14">
        <v>26578</v>
      </c>
      <c r="W1535" s="20">
        <v>46084</v>
      </c>
      <c r="X1535" t="s">
        <v>279</v>
      </c>
      <c r="Y1535" s="23">
        <v>7.8384615384615399</v>
      </c>
      <c r="Z1535" s="23">
        <v>7.37692307692308</v>
      </c>
      <c r="AA1535" s="23">
        <v>7.60769230769231</v>
      </c>
      <c r="AO1535" s="14"/>
    </row>
    <row r="1536" spans="17:41" x14ac:dyDescent="0.3">
      <c r="Q1536" s="93">
        <v>46185</v>
      </c>
      <c r="R1536" t="s">
        <v>479</v>
      </c>
      <c r="S1536" t="s">
        <v>415</v>
      </c>
      <c r="T1536" s="14">
        <v>7.1479080889202402</v>
      </c>
      <c r="W1536" s="20">
        <v>46084</v>
      </c>
      <c r="X1536" t="s">
        <v>280</v>
      </c>
      <c r="Y1536" s="23">
        <v>7.8615384615384603</v>
      </c>
      <c r="Z1536" s="23">
        <v>7.4</v>
      </c>
      <c r="AA1536" s="23">
        <v>7.6307692307692303</v>
      </c>
      <c r="AO1536" s="14"/>
    </row>
    <row r="1537" spans="17:41" x14ac:dyDescent="0.3">
      <c r="Q1537" s="93">
        <v>46185</v>
      </c>
      <c r="R1537" t="s">
        <v>364</v>
      </c>
      <c r="S1537" t="s">
        <v>415</v>
      </c>
      <c r="T1537" s="14">
        <v>6.5659663865546198</v>
      </c>
      <c r="W1537" s="20">
        <v>46084</v>
      </c>
      <c r="X1537" t="s">
        <v>281</v>
      </c>
      <c r="Y1537" s="23">
        <v>7.8692307692307697</v>
      </c>
      <c r="Z1537" s="23">
        <v>7.4076923076923098</v>
      </c>
      <c r="AA1537" s="23">
        <v>7.6384615384615397</v>
      </c>
      <c r="AO1537" s="14"/>
    </row>
    <row r="1538" spans="17:41" x14ac:dyDescent="0.3">
      <c r="Q1538" s="93">
        <v>46185</v>
      </c>
      <c r="R1538" t="s">
        <v>516</v>
      </c>
      <c r="S1538" t="s">
        <v>415</v>
      </c>
      <c r="T1538" s="14">
        <v>6.7397294233690399</v>
      </c>
      <c r="W1538" s="20">
        <v>46086</v>
      </c>
      <c r="X1538" t="s">
        <v>270</v>
      </c>
      <c r="Y1538" s="23">
        <v>7.8666666666666698</v>
      </c>
      <c r="Z1538" s="23">
        <v>7.3666666666666698</v>
      </c>
      <c r="AA1538" s="23">
        <v>7.6166666666666698</v>
      </c>
      <c r="AO1538" s="14"/>
    </row>
    <row r="1539" spans="17:41" x14ac:dyDescent="0.3">
      <c r="Q1539" s="93">
        <v>46185</v>
      </c>
      <c r="R1539" t="s">
        <v>1288</v>
      </c>
      <c r="S1539" t="s">
        <v>415</v>
      </c>
      <c r="T1539" s="14">
        <v>7.1479080889202402</v>
      </c>
      <c r="W1539" s="20">
        <v>46086</v>
      </c>
      <c r="X1539" t="s">
        <v>271</v>
      </c>
      <c r="Y1539" s="23">
        <v>7.65</v>
      </c>
      <c r="Z1539" s="23">
        <v>7.3416666666666703</v>
      </c>
      <c r="AA1539" s="23">
        <v>7.49583333333333</v>
      </c>
      <c r="AO1539" s="14"/>
    </row>
    <row r="1540" spans="17:41" x14ac:dyDescent="0.3">
      <c r="Q1540" s="93">
        <v>46185</v>
      </c>
      <c r="R1540" t="s">
        <v>496</v>
      </c>
      <c r="S1540" t="s">
        <v>415</v>
      </c>
      <c r="T1540" s="14">
        <v>6.6425615170441699</v>
      </c>
      <c r="W1540" s="20">
        <v>46086</v>
      </c>
      <c r="X1540" t="s">
        <v>272</v>
      </c>
      <c r="Y1540" s="23">
        <v>7.7</v>
      </c>
      <c r="Z1540" s="23">
        <v>7.2</v>
      </c>
      <c r="AA1540" s="23">
        <v>7.45</v>
      </c>
      <c r="AO1540" s="14"/>
    </row>
    <row r="1541" spans="17:41" x14ac:dyDescent="0.3">
      <c r="Q1541" s="93">
        <v>46185</v>
      </c>
      <c r="R1541" t="s">
        <v>1290</v>
      </c>
      <c r="S1541" t="s">
        <v>415</v>
      </c>
      <c r="T1541" s="14">
        <v>6.8264022869841696</v>
      </c>
      <c r="W1541" s="20">
        <v>46086</v>
      </c>
      <c r="X1541" t="s">
        <v>273</v>
      </c>
      <c r="Y1541" s="23">
        <v>7.7384615384615403</v>
      </c>
      <c r="Z1541" s="23">
        <v>7.2769230769230804</v>
      </c>
      <c r="AA1541" s="23">
        <v>7.5076923076923103</v>
      </c>
      <c r="AO1541" s="14"/>
    </row>
    <row r="1542" spans="17:41" x14ac:dyDescent="0.3">
      <c r="Q1542" s="93">
        <v>46184</v>
      </c>
      <c r="R1542" t="s">
        <v>479</v>
      </c>
      <c r="S1542" t="s">
        <v>399</v>
      </c>
      <c r="T1542" s="14">
        <v>12197.6106</v>
      </c>
      <c r="W1542" s="20">
        <v>46086</v>
      </c>
      <c r="X1542" t="s">
        <v>274</v>
      </c>
      <c r="Y1542" s="23">
        <v>7.7</v>
      </c>
      <c r="Z1542" s="23">
        <v>7.2384615384615403</v>
      </c>
      <c r="AA1542" s="23">
        <v>7.4692307692307702</v>
      </c>
      <c r="AO1542" s="14"/>
    </row>
    <row r="1543" spans="17:41" x14ac:dyDescent="0.3">
      <c r="Q1543" s="93">
        <v>46184</v>
      </c>
      <c r="R1543" t="s">
        <v>364</v>
      </c>
      <c r="S1543" t="s">
        <v>399</v>
      </c>
      <c r="T1543" s="14">
        <v>32200</v>
      </c>
      <c r="W1543" s="20">
        <v>46086</v>
      </c>
      <c r="X1543" t="s">
        <v>275</v>
      </c>
      <c r="Y1543" s="23">
        <v>7.7615384615384597</v>
      </c>
      <c r="Z1543" s="23">
        <v>7.3</v>
      </c>
      <c r="AA1543" s="23">
        <v>7.5307692307692298</v>
      </c>
      <c r="AO1543" s="14"/>
    </row>
    <row r="1544" spans="17:41" x14ac:dyDescent="0.3">
      <c r="Q1544" s="93">
        <v>46184</v>
      </c>
      <c r="R1544" t="s">
        <v>491</v>
      </c>
      <c r="S1544" t="s">
        <v>399</v>
      </c>
      <c r="T1544" s="14">
        <v>397.61059999999998</v>
      </c>
      <c r="W1544" s="20">
        <v>46086</v>
      </c>
      <c r="X1544" t="s">
        <v>276</v>
      </c>
      <c r="Y1544" s="23">
        <v>7.7923076923076904</v>
      </c>
      <c r="Z1544" s="23">
        <v>7.3307692307692296</v>
      </c>
      <c r="AA1544" s="23">
        <v>7.5615384615384604</v>
      </c>
      <c r="AO1544" s="14"/>
    </row>
    <row r="1545" spans="17:41" x14ac:dyDescent="0.3">
      <c r="Q1545" s="93">
        <v>46184</v>
      </c>
      <c r="R1545" t="s">
        <v>492</v>
      </c>
      <c r="S1545" t="s">
        <v>399</v>
      </c>
      <c r="T1545" s="14">
        <v>11800</v>
      </c>
      <c r="W1545" s="20">
        <v>46086</v>
      </c>
      <c r="X1545" t="s">
        <v>277</v>
      </c>
      <c r="Y1545" s="23">
        <v>7.8538461538461499</v>
      </c>
      <c r="Z1545" s="23">
        <v>7.3923076923076998</v>
      </c>
      <c r="AA1545" s="23">
        <v>7.62307692307692</v>
      </c>
      <c r="AO1545" s="14"/>
    </row>
    <row r="1546" spans="17:41" x14ac:dyDescent="0.3">
      <c r="Q1546" s="93">
        <v>46184</v>
      </c>
      <c r="R1546" t="s">
        <v>496</v>
      </c>
      <c r="S1546" t="s">
        <v>399</v>
      </c>
      <c r="T1546" s="14">
        <v>20127</v>
      </c>
      <c r="W1546" s="20">
        <v>46086</v>
      </c>
      <c r="X1546" t="s">
        <v>278</v>
      </c>
      <c r="Y1546" s="23">
        <v>7.8538461538461499</v>
      </c>
      <c r="Z1546" s="23">
        <v>7.3923076923076998</v>
      </c>
      <c r="AA1546" s="23">
        <v>7.62307692307692</v>
      </c>
      <c r="AO1546" s="14"/>
    </row>
    <row r="1547" spans="17:41" x14ac:dyDescent="0.3">
      <c r="Q1547" s="93">
        <v>46184</v>
      </c>
      <c r="R1547" t="s">
        <v>497</v>
      </c>
      <c r="S1547" t="s">
        <v>399</v>
      </c>
      <c r="T1547" s="14">
        <v>397.61059999999998</v>
      </c>
      <c r="W1547" s="20">
        <v>46086</v>
      </c>
      <c r="X1547" t="s">
        <v>279</v>
      </c>
      <c r="Y1547" s="23">
        <v>7.89230769230769</v>
      </c>
      <c r="Z1547" s="23">
        <v>7.4307692307692301</v>
      </c>
      <c r="AA1547" s="23">
        <v>7.6615384615384601</v>
      </c>
      <c r="AO1547" s="14"/>
    </row>
    <row r="1548" spans="17:41" x14ac:dyDescent="0.3">
      <c r="Q1548" s="93">
        <v>46184</v>
      </c>
      <c r="R1548" t="s">
        <v>498</v>
      </c>
      <c r="S1548" t="s">
        <v>399</v>
      </c>
      <c r="T1548" s="14">
        <v>14800</v>
      </c>
      <c r="W1548" s="20">
        <v>46086</v>
      </c>
      <c r="X1548" t="s">
        <v>280</v>
      </c>
      <c r="Y1548" s="23">
        <v>7.9153846153846104</v>
      </c>
      <c r="Z1548" s="23">
        <v>7.4538461538461496</v>
      </c>
      <c r="AA1548" s="23">
        <v>7.6846153846153902</v>
      </c>
      <c r="AO1548" s="14"/>
    </row>
    <row r="1549" spans="17:41" x14ac:dyDescent="0.3">
      <c r="Q1549" s="93">
        <v>46184</v>
      </c>
      <c r="R1549" t="s">
        <v>494</v>
      </c>
      <c r="S1549" t="s">
        <v>399</v>
      </c>
      <c r="T1549" s="14">
        <v>0</v>
      </c>
      <c r="W1549" s="20">
        <v>46086</v>
      </c>
      <c r="X1549" t="s">
        <v>281</v>
      </c>
      <c r="Y1549" s="23">
        <v>7.9230769230769198</v>
      </c>
      <c r="Z1549" s="23">
        <v>7.4615384615384599</v>
      </c>
      <c r="AA1549" s="23">
        <v>7.6923076923076898</v>
      </c>
      <c r="AO1549" s="14"/>
    </row>
    <row r="1550" spans="17:41" x14ac:dyDescent="0.3">
      <c r="Q1550" s="93">
        <v>46184</v>
      </c>
      <c r="R1550" t="s">
        <v>495</v>
      </c>
      <c r="S1550" t="s">
        <v>399</v>
      </c>
      <c r="T1550" s="14">
        <v>0</v>
      </c>
      <c r="W1550" s="20">
        <v>46087</v>
      </c>
      <c r="X1550" t="s">
        <v>270</v>
      </c>
      <c r="Y1550" s="23">
        <v>7.8666666666666698</v>
      </c>
      <c r="Z1550" s="23">
        <v>7.3666666666666698</v>
      </c>
      <c r="AA1550" s="23">
        <v>7.6166666666666698</v>
      </c>
      <c r="AO1550" s="14"/>
    </row>
    <row r="1551" spans="17:41" x14ac:dyDescent="0.3">
      <c r="Q1551" s="93">
        <v>46184</v>
      </c>
      <c r="R1551" t="s">
        <v>493</v>
      </c>
      <c r="S1551" t="s">
        <v>399</v>
      </c>
      <c r="T1551" s="14">
        <v>0</v>
      </c>
      <c r="W1551" s="20">
        <v>46087</v>
      </c>
      <c r="X1551" t="s">
        <v>271</v>
      </c>
      <c r="Y1551" s="23">
        <v>7.65</v>
      </c>
      <c r="Z1551" s="23">
        <v>7.3416666666666703</v>
      </c>
      <c r="AA1551" s="23">
        <v>7.49583333333333</v>
      </c>
      <c r="AO1551" s="14"/>
    </row>
    <row r="1552" spans="17:41" x14ac:dyDescent="0.3">
      <c r="Q1552" s="93">
        <v>46184</v>
      </c>
      <c r="R1552" t="s">
        <v>593</v>
      </c>
      <c r="S1552" t="s">
        <v>399</v>
      </c>
      <c r="T1552" s="14">
        <v>9073</v>
      </c>
      <c r="W1552" s="20">
        <v>46087</v>
      </c>
      <c r="X1552" t="s">
        <v>272</v>
      </c>
      <c r="Y1552" s="23">
        <v>7.6333333333333302</v>
      </c>
      <c r="Z1552" s="23">
        <v>7.1333333333333302</v>
      </c>
      <c r="AA1552" s="23">
        <v>7.3833333333333302</v>
      </c>
      <c r="AO1552" s="14"/>
    </row>
    <row r="1553" spans="17:41" x14ac:dyDescent="0.3">
      <c r="Q1553" s="93">
        <v>46184</v>
      </c>
      <c r="R1553" t="s">
        <v>594</v>
      </c>
      <c r="S1553" t="s">
        <v>399</v>
      </c>
      <c r="T1553" s="14">
        <v>0</v>
      </c>
      <c r="W1553" s="20">
        <v>46087</v>
      </c>
      <c r="X1553" t="s">
        <v>273</v>
      </c>
      <c r="Y1553" s="23">
        <v>7.7384615384615403</v>
      </c>
      <c r="Z1553" s="23">
        <v>7.2769230769230804</v>
      </c>
      <c r="AA1553" s="23">
        <v>7.5076923076923103</v>
      </c>
      <c r="AO1553" s="14"/>
    </row>
    <row r="1554" spans="17:41" x14ac:dyDescent="0.3">
      <c r="Q1554" s="93">
        <v>46184</v>
      </c>
      <c r="R1554" t="s">
        <v>595</v>
      </c>
      <c r="S1554" t="s">
        <v>399</v>
      </c>
      <c r="T1554" s="14">
        <v>0</v>
      </c>
      <c r="W1554" s="20">
        <v>46087</v>
      </c>
      <c r="X1554" t="s">
        <v>274</v>
      </c>
      <c r="Y1554" s="23">
        <v>7.7</v>
      </c>
      <c r="Z1554" s="23">
        <v>7.2384615384615403</v>
      </c>
      <c r="AA1554" s="23">
        <v>7.4692307692307702</v>
      </c>
      <c r="AO1554" s="14"/>
    </row>
    <row r="1555" spans="17:41" x14ac:dyDescent="0.3">
      <c r="Q1555" s="93">
        <v>46184</v>
      </c>
      <c r="R1555" t="s">
        <v>479</v>
      </c>
      <c r="S1555" t="s">
        <v>395</v>
      </c>
      <c r="T1555" s="14">
        <v>11341.1871172877</v>
      </c>
      <c r="W1555" s="20">
        <v>46087</v>
      </c>
      <c r="X1555" t="s">
        <v>275</v>
      </c>
      <c r="Y1555" s="23">
        <v>7.7615384615384597</v>
      </c>
      <c r="Z1555" s="23">
        <v>7.3</v>
      </c>
      <c r="AA1555" s="23">
        <v>7.5307692307692298</v>
      </c>
      <c r="AO1555" s="14"/>
    </row>
    <row r="1556" spans="17:41" x14ac:dyDescent="0.3">
      <c r="Q1556" s="93">
        <v>46184</v>
      </c>
      <c r="R1556" t="s">
        <v>479</v>
      </c>
      <c r="S1556" t="s">
        <v>415</v>
      </c>
      <c r="T1556" s="14">
        <v>7.1479080889202402</v>
      </c>
      <c r="W1556" s="20">
        <v>46087</v>
      </c>
      <c r="X1556" t="s">
        <v>276</v>
      </c>
      <c r="Y1556" s="23">
        <v>7.7923076923076904</v>
      </c>
      <c r="Z1556" s="23">
        <v>7.3307692307692296</v>
      </c>
      <c r="AA1556" s="23">
        <v>7.5615384615384604</v>
      </c>
      <c r="AO1556" s="14"/>
    </row>
    <row r="1557" spans="17:41" x14ac:dyDescent="0.3">
      <c r="Q1557" s="93">
        <v>46184</v>
      </c>
      <c r="R1557" t="s">
        <v>364</v>
      </c>
      <c r="S1557" t="s">
        <v>415</v>
      </c>
      <c r="T1557" s="14">
        <v>6.5659663865546198</v>
      </c>
      <c r="W1557" s="20">
        <v>46087</v>
      </c>
      <c r="X1557" t="s">
        <v>277</v>
      </c>
      <c r="Y1557" s="23">
        <v>7.8538461538461499</v>
      </c>
      <c r="Z1557" s="23">
        <v>7.3923076923076998</v>
      </c>
      <c r="AA1557" s="23">
        <v>7.62307692307692</v>
      </c>
      <c r="AO1557" s="14"/>
    </row>
    <row r="1558" spans="17:41" x14ac:dyDescent="0.3">
      <c r="Q1558" s="93">
        <v>46184</v>
      </c>
      <c r="R1558" t="s">
        <v>516</v>
      </c>
      <c r="S1558" t="s">
        <v>415</v>
      </c>
      <c r="T1558" s="14">
        <v>6.7397294233690399</v>
      </c>
      <c r="W1558" s="20">
        <v>46087</v>
      </c>
      <c r="X1558" t="s">
        <v>278</v>
      </c>
      <c r="Y1558" s="23">
        <v>7.8538461538461499</v>
      </c>
      <c r="Z1558" s="23">
        <v>7.3923076923076998</v>
      </c>
      <c r="AA1558" s="23">
        <v>7.62307692307692</v>
      </c>
      <c r="AO1558" s="14"/>
    </row>
    <row r="1559" spans="17:41" x14ac:dyDescent="0.3">
      <c r="Q1559" s="93">
        <v>46184</v>
      </c>
      <c r="R1559" t="s">
        <v>1288</v>
      </c>
      <c r="S1559" t="s">
        <v>415</v>
      </c>
      <c r="T1559" s="14">
        <v>7.1479080889202402</v>
      </c>
      <c r="W1559" s="20">
        <v>46087</v>
      </c>
      <c r="X1559" t="s">
        <v>279</v>
      </c>
      <c r="Y1559" s="23">
        <v>7.89230769230769</v>
      </c>
      <c r="Z1559" s="23">
        <v>7.4307692307692301</v>
      </c>
      <c r="AA1559" s="23">
        <v>7.6615384615384601</v>
      </c>
      <c r="AO1559" s="14"/>
    </row>
    <row r="1560" spans="17:41" x14ac:dyDescent="0.3">
      <c r="Q1560" s="93">
        <v>46184</v>
      </c>
      <c r="R1560" t="s">
        <v>496</v>
      </c>
      <c r="S1560" t="s">
        <v>415</v>
      </c>
      <c r="T1560" s="14">
        <v>6.5817966725504196</v>
      </c>
      <c r="W1560" s="20">
        <v>46087</v>
      </c>
      <c r="X1560" t="s">
        <v>280</v>
      </c>
      <c r="Y1560" s="23">
        <v>7.9153846153846104</v>
      </c>
      <c r="Z1560" s="23">
        <v>7.4538461538461496</v>
      </c>
      <c r="AA1560" s="23">
        <v>7.6846153846153902</v>
      </c>
      <c r="AO1560" s="14"/>
    </row>
    <row r="1561" spans="17:41" x14ac:dyDescent="0.3">
      <c r="Q1561" s="93">
        <v>46184</v>
      </c>
      <c r="R1561" t="s">
        <v>1290</v>
      </c>
      <c r="S1561" t="s">
        <v>415</v>
      </c>
      <c r="T1561" s="14">
        <v>6.7875018958335502</v>
      </c>
      <c r="W1561" s="20">
        <v>46087</v>
      </c>
      <c r="X1561" t="s">
        <v>281</v>
      </c>
      <c r="Y1561" s="23">
        <v>7.9230769230769198</v>
      </c>
      <c r="Z1561" s="23">
        <v>7.4615384615384599</v>
      </c>
      <c r="AA1561" s="23">
        <v>7.6923076923076898</v>
      </c>
      <c r="AO1561" s="14"/>
    </row>
    <row r="1562" spans="17:41" x14ac:dyDescent="0.3">
      <c r="Q1562" s="93">
        <v>46184</v>
      </c>
      <c r="R1562" t="s">
        <v>364</v>
      </c>
      <c r="S1562" t="s">
        <v>997</v>
      </c>
      <c r="T1562" s="14">
        <v>35700</v>
      </c>
      <c r="W1562" s="20">
        <v>46085</v>
      </c>
      <c r="X1562" t="s">
        <v>270</v>
      </c>
      <c r="Y1562" s="23">
        <v>7.9</v>
      </c>
      <c r="Z1562" s="23">
        <v>7.4</v>
      </c>
      <c r="AA1562" s="23">
        <v>7.65</v>
      </c>
      <c r="AO1562" s="14"/>
    </row>
    <row r="1563" spans="17:41" x14ac:dyDescent="0.3">
      <c r="Q1563" s="93">
        <v>46184</v>
      </c>
      <c r="R1563" t="s">
        <v>496</v>
      </c>
      <c r="S1563" t="s">
        <v>997</v>
      </c>
      <c r="T1563" s="14">
        <v>26627</v>
      </c>
      <c r="W1563" s="20">
        <v>46085</v>
      </c>
      <c r="X1563" t="s">
        <v>271</v>
      </c>
      <c r="Y1563" s="23">
        <v>7.6666666666666696</v>
      </c>
      <c r="Z1563" s="23">
        <v>7.3583333333333396</v>
      </c>
      <c r="AA1563" s="23">
        <v>7.5125000000000002</v>
      </c>
      <c r="AO1563" s="14"/>
    </row>
    <row r="1564" spans="17:41" x14ac:dyDescent="0.3">
      <c r="Q1564" s="93">
        <v>46183</v>
      </c>
      <c r="R1564" t="s">
        <v>594</v>
      </c>
      <c r="S1564" t="s">
        <v>399</v>
      </c>
      <c r="T1564" s="14">
        <v>0</v>
      </c>
      <c r="W1564" s="20">
        <v>46085</v>
      </c>
      <c r="X1564" t="s">
        <v>272</v>
      </c>
      <c r="Y1564" s="23">
        <v>7.7</v>
      </c>
      <c r="Z1564" s="23">
        <v>7.2</v>
      </c>
      <c r="AA1564" s="23">
        <v>7.45</v>
      </c>
      <c r="AO1564" s="14"/>
    </row>
    <row r="1565" spans="17:41" x14ac:dyDescent="0.3">
      <c r="Q1565" s="93">
        <v>46183</v>
      </c>
      <c r="R1565" t="s">
        <v>595</v>
      </c>
      <c r="S1565" t="s">
        <v>399</v>
      </c>
      <c r="T1565" s="14">
        <v>0</v>
      </c>
      <c r="W1565" s="20">
        <v>46085</v>
      </c>
      <c r="X1565" t="s">
        <v>273</v>
      </c>
      <c r="Y1565" s="23">
        <v>7.7153846153846102</v>
      </c>
      <c r="Z1565" s="23">
        <v>7.2538461538461503</v>
      </c>
      <c r="AA1565" s="23">
        <v>7.48461538461539</v>
      </c>
      <c r="AO1565" s="14"/>
    </row>
    <row r="1566" spans="17:41" x14ac:dyDescent="0.3">
      <c r="Q1566" s="93">
        <v>46183</v>
      </c>
      <c r="R1566" t="s">
        <v>479</v>
      </c>
      <c r="S1566" t="s">
        <v>395</v>
      </c>
      <c r="T1566" s="14">
        <v>11344.3697919552</v>
      </c>
      <c r="W1566" s="20">
        <v>46085</v>
      </c>
      <c r="X1566" t="s">
        <v>274</v>
      </c>
      <c r="Y1566" s="23">
        <v>7.6846153846153804</v>
      </c>
      <c r="Z1566" s="23">
        <v>7.2230769230769196</v>
      </c>
      <c r="AA1566" s="23">
        <v>7.4538461538461496</v>
      </c>
      <c r="AO1566" s="14"/>
    </row>
    <row r="1567" spans="17:41" x14ac:dyDescent="0.3">
      <c r="Q1567" s="93">
        <v>46183</v>
      </c>
      <c r="R1567" t="s">
        <v>479</v>
      </c>
      <c r="S1567" t="s">
        <v>415</v>
      </c>
      <c r="T1567" s="14">
        <v>7.1479080889202402</v>
      </c>
      <c r="W1567" s="20">
        <v>46085</v>
      </c>
      <c r="X1567" t="s">
        <v>275</v>
      </c>
      <c r="Y1567" s="23">
        <v>7.7384615384615403</v>
      </c>
      <c r="Z1567" s="23">
        <v>7.2769230769230804</v>
      </c>
      <c r="AA1567" s="23">
        <v>7.5076923076923103</v>
      </c>
      <c r="AO1567" s="14"/>
    </row>
    <row r="1568" spans="17:41" x14ac:dyDescent="0.3">
      <c r="Q1568" s="93">
        <v>46183</v>
      </c>
      <c r="R1568" t="s">
        <v>364</v>
      </c>
      <c r="S1568" t="s">
        <v>415</v>
      </c>
      <c r="T1568" s="14">
        <v>6.5659663865546198</v>
      </c>
      <c r="W1568" s="20">
        <v>46085</v>
      </c>
      <c r="X1568" t="s">
        <v>276</v>
      </c>
      <c r="Y1568" s="23">
        <v>7.7692307692307701</v>
      </c>
      <c r="Z1568" s="23">
        <v>7.3076923076923102</v>
      </c>
      <c r="AA1568" s="23">
        <v>7.5384615384615401</v>
      </c>
      <c r="AO1568" s="14"/>
    </row>
    <row r="1569" spans="17:41" x14ac:dyDescent="0.3">
      <c r="Q1569" s="93">
        <v>46183</v>
      </c>
      <c r="R1569" t="s">
        <v>516</v>
      </c>
      <c r="S1569" t="s">
        <v>415</v>
      </c>
      <c r="T1569" s="14">
        <v>6.7397294233690399</v>
      </c>
      <c r="W1569" s="20">
        <v>46085</v>
      </c>
      <c r="X1569" t="s">
        <v>277</v>
      </c>
      <c r="Y1569" s="23">
        <v>7.8230769230769202</v>
      </c>
      <c r="Z1569" s="23">
        <v>7.3615384615384603</v>
      </c>
      <c r="AA1569" s="23">
        <v>7.5923076923076902</v>
      </c>
      <c r="AO1569" s="14"/>
    </row>
    <row r="1570" spans="17:41" x14ac:dyDescent="0.3">
      <c r="Q1570" s="93">
        <v>46183</v>
      </c>
      <c r="R1570" t="s">
        <v>1288</v>
      </c>
      <c r="S1570" t="s">
        <v>415</v>
      </c>
      <c r="T1570" s="14">
        <v>7.1479080889202402</v>
      </c>
      <c r="W1570" s="20">
        <v>46085</v>
      </c>
      <c r="X1570" t="s">
        <v>278</v>
      </c>
      <c r="Y1570" s="23">
        <v>7.8230769230769202</v>
      </c>
      <c r="Z1570" s="23">
        <v>7.3615384615384603</v>
      </c>
      <c r="AA1570" s="23">
        <v>7.5923076923076902</v>
      </c>
      <c r="AO1570" s="14"/>
    </row>
    <row r="1571" spans="17:41" x14ac:dyDescent="0.3">
      <c r="Q1571" s="93">
        <v>46183</v>
      </c>
      <c r="R1571" t="s">
        <v>496</v>
      </c>
      <c r="S1571" t="s">
        <v>415</v>
      </c>
      <c r="T1571" s="14">
        <v>6.5834061680609297</v>
      </c>
      <c r="W1571" s="20">
        <v>46085</v>
      </c>
      <c r="X1571" t="s">
        <v>279</v>
      </c>
      <c r="Y1571" s="23">
        <v>7.8615384615384603</v>
      </c>
      <c r="Z1571" s="23">
        <v>7.4</v>
      </c>
      <c r="AA1571" s="23">
        <v>7.6307692307692303</v>
      </c>
      <c r="AO1571" s="14"/>
    </row>
    <row r="1572" spans="17:41" x14ac:dyDescent="0.3">
      <c r="Q1572" s="93">
        <v>46183</v>
      </c>
      <c r="R1572" t="s">
        <v>1290</v>
      </c>
      <c r="S1572" t="s">
        <v>415</v>
      </c>
      <c r="T1572" s="14">
        <v>6.8021229442109501</v>
      </c>
      <c r="W1572" s="20">
        <v>46085</v>
      </c>
      <c r="X1572" t="s">
        <v>280</v>
      </c>
      <c r="Y1572" s="23">
        <v>7.87692307692308</v>
      </c>
      <c r="Z1572" s="23">
        <v>7.4153846153846201</v>
      </c>
      <c r="AA1572" s="23">
        <v>7.6461538461538501</v>
      </c>
      <c r="AO1572" s="14"/>
    </row>
    <row r="1573" spans="17:41" x14ac:dyDescent="0.3">
      <c r="Q1573" s="93">
        <v>46183</v>
      </c>
      <c r="R1573" t="s">
        <v>364</v>
      </c>
      <c r="S1573" t="s">
        <v>997</v>
      </c>
      <c r="T1573" s="14">
        <v>35700</v>
      </c>
      <c r="W1573" s="20">
        <v>46085</v>
      </c>
      <c r="X1573" t="s">
        <v>281</v>
      </c>
      <c r="Y1573" s="23">
        <v>7.8846153846153797</v>
      </c>
      <c r="Z1573" s="23">
        <v>7.4230769230769198</v>
      </c>
      <c r="AA1573" s="23">
        <v>7.6538461538461497</v>
      </c>
      <c r="AO1573" s="14"/>
    </row>
    <row r="1574" spans="17:41" x14ac:dyDescent="0.3">
      <c r="Q1574" s="93">
        <v>46183</v>
      </c>
      <c r="R1574" t="s">
        <v>496</v>
      </c>
      <c r="S1574" t="s">
        <v>997</v>
      </c>
      <c r="T1574" s="14">
        <v>24027</v>
      </c>
      <c r="W1574" s="20">
        <v>46090</v>
      </c>
      <c r="X1574" t="s">
        <v>270</v>
      </c>
      <c r="Y1574" s="23">
        <v>7.9</v>
      </c>
      <c r="Z1574" s="23">
        <v>7.4</v>
      </c>
      <c r="AA1574" s="23">
        <v>7.65</v>
      </c>
      <c r="AO1574" s="14"/>
    </row>
    <row r="1575" spans="17:41" x14ac:dyDescent="0.3">
      <c r="Q1575" s="93">
        <v>46183</v>
      </c>
      <c r="R1575" t="s">
        <v>479</v>
      </c>
      <c r="S1575" t="s">
        <v>399</v>
      </c>
      <c r="T1575" s="14">
        <v>12197.6106</v>
      </c>
      <c r="W1575" s="20">
        <v>46090</v>
      </c>
      <c r="X1575" t="s">
        <v>271</v>
      </c>
      <c r="Y1575" s="23">
        <v>7.6833333333333398</v>
      </c>
      <c r="Z1575" s="23">
        <v>7.375</v>
      </c>
      <c r="AA1575" s="23">
        <v>7.5291666666666703</v>
      </c>
      <c r="AO1575" s="14"/>
    </row>
    <row r="1576" spans="17:41" x14ac:dyDescent="0.3">
      <c r="Q1576" s="93">
        <v>46183</v>
      </c>
      <c r="R1576" t="s">
        <v>364</v>
      </c>
      <c r="S1576" t="s">
        <v>399</v>
      </c>
      <c r="T1576" s="14">
        <v>32200</v>
      </c>
      <c r="W1576" s="20">
        <v>46090</v>
      </c>
      <c r="X1576" t="s">
        <v>272</v>
      </c>
      <c r="Y1576" s="23">
        <v>7.7333333333333298</v>
      </c>
      <c r="Z1576" s="23">
        <v>7.2333333333333298</v>
      </c>
      <c r="AA1576" s="23">
        <v>7.4833333333333396</v>
      </c>
      <c r="AO1576" s="14"/>
    </row>
    <row r="1577" spans="17:41" x14ac:dyDescent="0.3">
      <c r="Q1577" s="93">
        <v>46183</v>
      </c>
      <c r="R1577" t="s">
        <v>491</v>
      </c>
      <c r="S1577" t="s">
        <v>399</v>
      </c>
      <c r="T1577" s="14">
        <v>397.61059999999998</v>
      </c>
      <c r="W1577" s="20">
        <v>46090</v>
      </c>
      <c r="X1577" t="s">
        <v>273</v>
      </c>
      <c r="Y1577" s="23">
        <v>7.7461538461538497</v>
      </c>
      <c r="Z1577" s="23">
        <v>7.2846153846153801</v>
      </c>
      <c r="AA1577" s="23">
        <v>7.5153846153846198</v>
      </c>
      <c r="AO1577" s="14"/>
    </row>
    <row r="1578" spans="17:41" x14ac:dyDescent="0.3">
      <c r="Q1578" s="93">
        <v>46183</v>
      </c>
      <c r="R1578" t="s">
        <v>492</v>
      </c>
      <c r="S1578" t="s">
        <v>399</v>
      </c>
      <c r="T1578" s="14">
        <v>11800</v>
      </c>
      <c r="W1578" s="20">
        <v>46090</v>
      </c>
      <c r="X1578" t="s">
        <v>274</v>
      </c>
      <c r="Y1578" s="23">
        <v>7.7076923076923096</v>
      </c>
      <c r="Z1578" s="23">
        <v>7.2461538461538497</v>
      </c>
      <c r="AA1578" s="23">
        <v>7.4769230769230797</v>
      </c>
      <c r="AO1578" s="14"/>
    </row>
    <row r="1579" spans="17:41" x14ac:dyDescent="0.3">
      <c r="Q1579" s="93">
        <v>46183</v>
      </c>
      <c r="R1579" t="s">
        <v>496</v>
      </c>
      <c r="S1579" t="s">
        <v>399</v>
      </c>
      <c r="T1579" s="14">
        <v>17527</v>
      </c>
      <c r="W1579" s="20">
        <v>46090</v>
      </c>
      <c r="X1579" t="s">
        <v>275</v>
      </c>
      <c r="Y1579" s="23">
        <v>7.7692307692307701</v>
      </c>
      <c r="Z1579" s="23">
        <v>7.3076923076923102</v>
      </c>
      <c r="AA1579" s="23">
        <v>7.5384615384615401</v>
      </c>
      <c r="AO1579" s="14"/>
    </row>
    <row r="1580" spans="17:41" x14ac:dyDescent="0.3">
      <c r="Q1580" s="93">
        <v>46183</v>
      </c>
      <c r="R1580" t="s">
        <v>497</v>
      </c>
      <c r="S1580" t="s">
        <v>399</v>
      </c>
      <c r="T1580" s="14">
        <v>397.61059999999998</v>
      </c>
      <c r="W1580" s="20">
        <v>46090</v>
      </c>
      <c r="X1580" t="s">
        <v>276</v>
      </c>
      <c r="Y1580" s="23">
        <v>7.8</v>
      </c>
      <c r="Z1580" s="23">
        <v>7.3384615384615399</v>
      </c>
      <c r="AA1580" s="23">
        <v>7.5692307692307699</v>
      </c>
      <c r="AO1580" s="14"/>
    </row>
    <row r="1581" spans="17:41" x14ac:dyDescent="0.3">
      <c r="Q1581" s="93">
        <v>46183</v>
      </c>
      <c r="R1581" t="s">
        <v>498</v>
      </c>
      <c r="S1581" t="s">
        <v>399</v>
      </c>
      <c r="T1581" s="14">
        <v>14800</v>
      </c>
      <c r="W1581" s="20">
        <v>46090</v>
      </c>
      <c r="X1581" t="s">
        <v>277</v>
      </c>
      <c r="Y1581" s="23">
        <v>7.8615384615384603</v>
      </c>
      <c r="Z1581" s="23">
        <v>7.4</v>
      </c>
      <c r="AA1581" s="23">
        <v>7.6307692307692303</v>
      </c>
      <c r="AO1581" s="14"/>
    </row>
    <row r="1582" spans="17:41" x14ac:dyDescent="0.3">
      <c r="Q1582" s="93">
        <v>46183</v>
      </c>
      <c r="R1582" t="s">
        <v>494</v>
      </c>
      <c r="S1582" t="s">
        <v>399</v>
      </c>
      <c r="T1582" s="14">
        <v>0</v>
      </c>
      <c r="W1582" s="20">
        <v>46090</v>
      </c>
      <c r="X1582" t="s">
        <v>278</v>
      </c>
      <c r="Y1582" s="23">
        <v>7.8615384615384603</v>
      </c>
      <c r="Z1582" s="23">
        <v>7.4</v>
      </c>
      <c r="AA1582" s="23">
        <v>7.6307692307692303</v>
      </c>
      <c r="AO1582" s="14"/>
    </row>
    <row r="1583" spans="17:41" x14ac:dyDescent="0.3">
      <c r="Q1583" s="93">
        <v>46183</v>
      </c>
      <c r="R1583" t="s">
        <v>495</v>
      </c>
      <c r="S1583" t="s">
        <v>399</v>
      </c>
      <c r="T1583" s="14">
        <v>0</v>
      </c>
      <c r="W1583" s="20">
        <v>46090</v>
      </c>
      <c r="X1583" t="s">
        <v>279</v>
      </c>
      <c r="Y1583" s="23">
        <v>7.9</v>
      </c>
      <c r="Z1583" s="23">
        <v>7.4384615384615396</v>
      </c>
      <c r="AA1583" s="23">
        <v>7.6692307692307704</v>
      </c>
      <c r="AO1583" s="14"/>
    </row>
    <row r="1584" spans="17:41" x14ac:dyDescent="0.3">
      <c r="Q1584" s="93">
        <v>46183</v>
      </c>
      <c r="R1584" t="s">
        <v>493</v>
      </c>
      <c r="S1584" t="s">
        <v>399</v>
      </c>
      <c r="T1584" s="14">
        <v>0</v>
      </c>
      <c r="W1584" s="20">
        <v>46090</v>
      </c>
      <c r="X1584" t="s">
        <v>280</v>
      </c>
      <c r="Y1584" s="23">
        <v>7.9230769230769198</v>
      </c>
      <c r="Z1584" s="23">
        <v>7.4615384615384599</v>
      </c>
      <c r="AA1584" s="23">
        <v>7.6923076923076898</v>
      </c>
      <c r="AO1584" s="14"/>
    </row>
    <row r="1585" spans="17:41" x14ac:dyDescent="0.3">
      <c r="Q1585" s="93">
        <v>46183</v>
      </c>
      <c r="R1585" t="s">
        <v>593</v>
      </c>
      <c r="S1585" t="s">
        <v>399</v>
      </c>
      <c r="T1585" s="14">
        <v>11673</v>
      </c>
      <c r="W1585" s="20">
        <v>46090</v>
      </c>
      <c r="X1585" t="s">
        <v>281</v>
      </c>
      <c r="Y1585" s="23">
        <v>7.9307692307692301</v>
      </c>
      <c r="Z1585" s="23">
        <v>7.4692307692307702</v>
      </c>
      <c r="AA1585" s="23">
        <v>7.7</v>
      </c>
      <c r="AO1585" s="14"/>
    </row>
    <row r="1586" spans="17:41" x14ac:dyDescent="0.3">
      <c r="Q1586" s="93">
        <v>46182</v>
      </c>
      <c r="R1586" t="s">
        <v>479</v>
      </c>
      <c r="S1586" t="s">
        <v>399</v>
      </c>
      <c r="T1586" s="14">
        <v>12197.6106</v>
      </c>
      <c r="W1586" s="20">
        <v>46092</v>
      </c>
      <c r="X1586" t="s">
        <v>270</v>
      </c>
      <c r="Y1586" s="23">
        <v>7.9</v>
      </c>
      <c r="Z1586" s="23">
        <v>7.4</v>
      </c>
      <c r="AA1586" s="23">
        <v>7.65</v>
      </c>
      <c r="AO1586" s="14"/>
    </row>
    <row r="1587" spans="17:41" x14ac:dyDescent="0.3">
      <c r="Q1587" s="93">
        <v>46182</v>
      </c>
      <c r="R1587" t="s">
        <v>364</v>
      </c>
      <c r="S1587" t="s">
        <v>399</v>
      </c>
      <c r="T1587" s="14">
        <v>32200</v>
      </c>
      <c r="W1587" s="20">
        <v>46092</v>
      </c>
      <c r="X1587" t="s">
        <v>271</v>
      </c>
      <c r="Y1587" s="23">
        <v>7.6833333333333398</v>
      </c>
      <c r="Z1587" s="23">
        <v>7.375</v>
      </c>
      <c r="AA1587" s="23">
        <v>7.5291666666666703</v>
      </c>
      <c r="AO1587" s="14"/>
    </row>
    <row r="1588" spans="17:41" x14ac:dyDescent="0.3">
      <c r="Q1588" s="93">
        <v>46182</v>
      </c>
      <c r="R1588" t="s">
        <v>491</v>
      </c>
      <c r="S1588" t="s">
        <v>399</v>
      </c>
      <c r="T1588" s="14">
        <v>397.61059999999998</v>
      </c>
      <c r="W1588" s="20">
        <v>46092</v>
      </c>
      <c r="X1588" t="s">
        <v>272</v>
      </c>
      <c r="Y1588" s="23">
        <v>7.7</v>
      </c>
      <c r="Z1588" s="23">
        <v>7.2</v>
      </c>
      <c r="AA1588" s="23">
        <v>7.45</v>
      </c>
      <c r="AO1588" s="14"/>
    </row>
    <row r="1589" spans="17:41" x14ac:dyDescent="0.3">
      <c r="Q1589" s="93">
        <v>46182</v>
      </c>
      <c r="R1589" t="s">
        <v>492</v>
      </c>
      <c r="S1589" t="s">
        <v>399</v>
      </c>
      <c r="T1589" s="14">
        <v>11800</v>
      </c>
      <c r="W1589" s="20">
        <v>46092</v>
      </c>
      <c r="X1589" t="s">
        <v>273</v>
      </c>
      <c r="Y1589" s="23">
        <v>7.7692307692307701</v>
      </c>
      <c r="Z1589" s="23">
        <v>7.3076923076923102</v>
      </c>
      <c r="AA1589" s="23">
        <v>7.5384615384615401</v>
      </c>
      <c r="AO1589" s="14"/>
    </row>
    <row r="1590" spans="17:41" x14ac:dyDescent="0.3">
      <c r="Q1590" s="93">
        <v>46182</v>
      </c>
      <c r="R1590" t="s">
        <v>496</v>
      </c>
      <c r="S1590" t="s">
        <v>399</v>
      </c>
      <c r="T1590" s="14">
        <v>17527</v>
      </c>
      <c r="W1590" s="20">
        <v>46092</v>
      </c>
      <c r="X1590" t="s">
        <v>274</v>
      </c>
      <c r="Y1590" s="23">
        <v>7.7307692307692299</v>
      </c>
      <c r="Z1590" s="23">
        <v>7.2692307692307701</v>
      </c>
      <c r="AA1590" s="23">
        <v>7.5</v>
      </c>
      <c r="AO1590" s="14"/>
    </row>
    <row r="1591" spans="17:41" x14ac:dyDescent="0.3">
      <c r="Q1591" s="93">
        <v>46182</v>
      </c>
      <c r="R1591" t="s">
        <v>497</v>
      </c>
      <c r="S1591" t="s">
        <v>399</v>
      </c>
      <c r="T1591" s="14">
        <v>397.61059999999998</v>
      </c>
      <c r="W1591" s="20">
        <v>46092</v>
      </c>
      <c r="X1591" t="s">
        <v>275</v>
      </c>
      <c r="Y1591" s="23">
        <v>7.7923076923076904</v>
      </c>
      <c r="Z1591" s="23">
        <v>7.3307692307692296</v>
      </c>
      <c r="AA1591" s="23">
        <v>7.5615384615384604</v>
      </c>
      <c r="AO1591" s="14"/>
    </row>
    <row r="1592" spans="17:41" x14ac:dyDescent="0.3">
      <c r="Q1592" s="93">
        <v>46182</v>
      </c>
      <c r="R1592" t="s">
        <v>498</v>
      </c>
      <c r="S1592" t="s">
        <v>399</v>
      </c>
      <c r="T1592" s="14">
        <v>14800</v>
      </c>
      <c r="W1592" s="20">
        <v>46092</v>
      </c>
      <c r="X1592" t="s">
        <v>276</v>
      </c>
      <c r="Y1592" s="23">
        <v>7.8230769230769202</v>
      </c>
      <c r="Z1592" s="23">
        <v>7.3615384615384603</v>
      </c>
      <c r="AA1592" s="23">
        <v>7.5923076923076902</v>
      </c>
      <c r="AO1592" s="14"/>
    </row>
    <row r="1593" spans="17:41" x14ac:dyDescent="0.3">
      <c r="Q1593" s="93">
        <v>46182</v>
      </c>
      <c r="R1593" t="s">
        <v>494</v>
      </c>
      <c r="S1593" t="s">
        <v>399</v>
      </c>
      <c r="T1593" s="14">
        <v>0</v>
      </c>
      <c r="W1593" s="20">
        <v>46092</v>
      </c>
      <c r="X1593" t="s">
        <v>277</v>
      </c>
      <c r="Y1593" s="23">
        <v>7.8846153846153797</v>
      </c>
      <c r="Z1593" s="23">
        <v>7.4230769230769198</v>
      </c>
      <c r="AA1593" s="23">
        <v>7.6538461538461497</v>
      </c>
      <c r="AO1593" s="14"/>
    </row>
    <row r="1594" spans="17:41" x14ac:dyDescent="0.3">
      <c r="Q1594" s="93">
        <v>46182</v>
      </c>
      <c r="R1594" t="s">
        <v>495</v>
      </c>
      <c r="S1594" t="s">
        <v>399</v>
      </c>
      <c r="T1594" s="14">
        <v>0</v>
      </c>
      <c r="W1594" s="20">
        <v>46092</v>
      </c>
      <c r="X1594" t="s">
        <v>278</v>
      </c>
      <c r="Y1594" s="23">
        <v>7.8846153846153797</v>
      </c>
      <c r="Z1594" s="23">
        <v>7.4230769230769198</v>
      </c>
      <c r="AA1594" s="23">
        <v>7.6538461538461497</v>
      </c>
      <c r="AO1594" s="14"/>
    </row>
    <row r="1595" spans="17:41" x14ac:dyDescent="0.3">
      <c r="Q1595" s="93">
        <v>46182</v>
      </c>
      <c r="R1595" t="s">
        <v>493</v>
      </c>
      <c r="S1595" t="s">
        <v>399</v>
      </c>
      <c r="T1595" s="14">
        <v>0</v>
      </c>
      <c r="W1595" s="20">
        <v>46092</v>
      </c>
      <c r="X1595" t="s">
        <v>279</v>
      </c>
      <c r="Y1595" s="23">
        <v>7.9230769230769198</v>
      </c>
      <c r="Z1595" s="23">
        <v>7.4615384615384599</v>
      </c>
      <c r="AA1595" s="23">
        <v>7.6923076923076898</v>
      </c>
      <c r="AO1595" s="14"/>
    </row>
    <row r="1596" spans="17:41" x14ac:dyDescent="0.3">
      <c r="Q1596" s="93">
        <v>46182</v>
      </c>
      <c r="R1596" t="s">
        <v>593</v>
      </c>
      <c r="S1596" t="s">
        <v>399</v>
      </c>
      <c r="T1596" s="14">
        <v>11673</v>
      </c>
      <c r="W1596" s="20">
        <v>46092</v>
      </c>
      <c r="X1596" t="s">
        <v>280</v>
      </c>
      <c r="Y1596" s="23">
        <v>7.9461538461538499</v>
      </c>
      <c r="Z1596" s="23">
        <v>7.4846153846153802</v>
      </c>
      <c r="AA1596" s="23">
        <v>7.7153846153846199</v>
      </c>
      <c r="AO1596" s="14"/>
    </row>
    <row r="1597" spans="17:41" x14ac:dyDescent="0.3">
      <c r="Q1597" s="93">
        <v>46182</v>
      </c>
      <c r="R1597" t="s">
        <v>594</v>
      </c>
      <c r="S1597" t="s">
        <v>399</v>
      </c>
      <c r="T1597" s="14">
        <v>0</v>
      </c>
      <c r="W1597" s="20">
        <v>46092</v>
      </c>
      <c r="X1597" t="s">
        <v>281</v>
      </c>
      <c r="Y1597" s="23">
        <v>7.9538461538461496</v>
      </c>
      <c r="Z1597" s="23">
        <v>7.4923076923076897</v>
      </c>
      <c r="AA1597" s="23">
        <v>7.7230769230769196</v>
      </c>
      <c r="AO1597" s="14"/>
    </row>
    <row r="1598" spans="17:41" x14ac:dyDescent="0.3">
      <c r="Q1598" s="93">
        <v>46182</v>
      </c>
      <c r="R1598" t="s">
        <v>595</v>
      </c>
      <c r="S1598" t="s">
        <v>399</v>
      </c>
      <c r="T1598" s="14">
        <v>0</v>
      </c>
      <c r="W1598" s="20">
        <v>46091</v>
      </c>
      <c r="X1598" t="s">
        <v>270</v>
      </c>
      <c r="Y1598" s="23">
        <v>7.9</v>
      </c>
      <c r="Z1598" s="23">
        <v>7.4</v>
      </c>
      <c r="AA1598" s="23">
        <v>7.65</v>
      </c>
      <c r="AO1598" s="14"/>
    </row>
    <row r="1599" spans="17:41" x14ac:dyDescent="0.3">
      <c r="Q1599" s="93">
        <v>46182</v>
      </c>
      <c r="R1599" t="s">
        <v>479</v>
      </c>
      <c r="S1599" t="s">
        <v>395</v>
      </c>
      <c r="T1599" s="14">
        <v>11344.3697919552</v>
      </c>
      <c r="W1599" s="20">
        <v>46091</v>
      </c>
      <c r="X1599" t="s">
        <v>271</v>
      </c>
      <c r="Y1599" s="23">
        <v>7.6666666666666696</v>
      </c>
      <c r="Z1599" s="23">
        <v>7.3583333333333396</v>
      </c>
      <c r="AA1599" s="23">
        <v>7.5125000000000002</v>
      </c>
      <c r="AO1599" s="14"/>
    </row>
    <row r="1600" spans="17:41" x14ac:dyDescent="0.3">
      <c r="Q1600" s="93">
        <v>46182</v>
      </c>
      <c r="R1600" t="s">
        <v>479</v>
      </c>
      <c r="S1600" t="s">
        <v>415</v>
      </c>
      <c r="T1600" s="14">
        <v>7.1479080889202402</v>
      </c>
      <c r="W1600" s="20">
        <v>46091</v>
      </c>
      <c r="X1600" t="s">
        <v>272</v>
      </c>
      <c r="Y1600" s="23">
        <v>7.7</v>
      </c>
      <c r="Z1600" s="23">
        <v>7.2</v>
      </c>
      <c r="AA1600" s="23">
        <v>7.45</v>
      </c>
      <c r="AO1600" s="14"/>
    </row>
    <row r="1601" spans="17:41" x14ac:dyDescent="0.3">
      <c r="Q1601" s="93">
        <v>46182</v>
      </c>
      <c r="R1601" t="s">
        <v>364</v>
      </c>
      <c r="S1601" t="s">
        <v>415</v>
      </c>
      <c r="T1601" s="14">
        <v>6.5659663865546198</v>
      </c>
      <c r="W1601" s="20">
        <v>46091</v>
      </c>
      <c r="X1601" t="s">
        <v>273</v>
      </c>
      <c r="Y1601" s="23">
        <v>7.7461538461538497</v>
      </c>
      <c r="Z1601" s="23">
        <v>7.2846153846153801</v>
      </c>
      <c r="AA1601" s="23">
        <v>7.5153846153846198</v>
      </c>
      <c r="AO1601" s="14"/>
    </row>
    <row r="1602" spans="17:41" x14ac:dyDescent="0.3">
      <c r="Q1602" s="93">
        <v>46182</v>
      </c>
      <c r="R1602" t="s">
        <v>516</v>
      </c>
      <c r="S1602" t="s">
        <v>415</v>
      </c>
      <c r="T1602" s="14">
        <v>6.7397294233690399</v>
      </c>
      <c r="W1602" s="20">
        <v>46091</v>
      </c>
      <c r="X1602" t="s">
        <v>274</v>
      </c>
      <c r="Y1602" s="23">
        <v>7.7076923076923096</v>
      </c>
      <c r="Z1602" s="23">
        <v>7.2461538461538497</v>
      </c>
      <c r="AA1602" s="23">
        <v>7.4769230769230797</v>
      </c>
      <c r="AO1602" s="14"/>
    </row>
    <row r="1603" spans="17:41" x14ac:dyDescent="0.3">
      <c r="Q1603" s="93">
        <v>46182</v>
      </c>
      <c r="R1603" t="s">
        <v>1288</v>
      </c>
      <c r="S1603" t="s">
        <v>415</v>
      </c>
      <c r="T1603" s="14">
        <v>7.1479080889202402</v>
      </c>
      <c r="W1603" s="20">
        <v>46091</v>
      </c>
      <c r="X1603" t="s">
        <v>275</v>
      </c>
      <c r="Y1603" s="23">
        <v>7.7692307692307701</v>
      </c>
      <c r="Z1603" s="23">
        <v>7.3076923076923102</v>
      </c>
      <c r="AA1603" s="23">
        <v>7.5384615384615401</v>
      </c>
      <c r="AO1603" s="14"/>
    </row>
    <row r="1604" spans="17:41" x14ac:dyDescent="0.3">
      <c r="Q1604" s="93">
        <v>46182</v>
      </c>
      <c r="R1604" t="s">
        <v>496</v>
      </c>
      <c r="S1604" t="s">
        <v>415</v>
      </c>
      <c r="T1604" s="14">
        <v>6.5834061680609297</v>
      </c>
      <c r="W1604" s="20">
        <v>46091</v>
      </c>
      <c r="X1604" t="s">
        <v>276</v>
      </c>
      <c r="Y1604" s="23">
        <v>7.8</v>
      </c>
      <c r="Z1604" s="23">
        <v>7.3384615384615399</v>
      </c>
      <c r="AA1604" s="23">
        <v>7.5692307692307699</v>
      </c>
      <c r="AO1604" s="14"/>
    </row>
    <row r="1605" spans="17:41" x14ac:dyDescent="0.3">
      <c r="Q1605" s="93">
        <v>46182</v>
      </c>
      <c r="R1605" t="s">
        <v>1290</v>
      </c>
      <c r="S1605" t="s">
        <v>415</v>
      </c>
      <c r="T1605" s="14">
        <v>6.8021229442109501</v>
      </c>
      <c r="W1605" s="20">
        <v>46091</v>
      </c>
      <c r="X1605" t="s">
        <v>277</v>
      </c>
      <c r="Y1605" s="23">
        <v>7.8615384615384603</v>
      </c>
      <c r="Z1605" s="23">
        <v>7.4</v>
      </c>
      <c r="AA1605" s="23">
        <v>7.6307692307692303</v>
      </c>
      <c r="AO1605" s="14"/>
    </row>
    <row r="1606" spans="17:41" x14ac:dyDescent="0.3">
      <c r="Q1606" s="93">
        <v>46182</v>
      </c>
      <c r="R1606" t="s">
        <v>364</v>
      </c>
      <c r="S1606" t="s">
        <v>997</v>
      </c>
      <c r="T1606" s="14">
        <v>35700</v>
      </c>
      <c r="W1606" s="20">
        <v>46091</v>
      </c>
      <c r="X1606" t="s">
        <v>278</v>
      </c>
      <c r="Y1606" s="23">
        <v>7.8615384615384603</v>
      </c>
      <c r="Z1606" s="23">
        <v>7.4</v>
      </c>
      <c r="AA1606" s="23">
        <v>7.6307692307692303</v>
      </c>
      <c r="AO1606" s="14"/>
    </row>
    <row r="1607" spans="17:41" x14ac:dyDescent="0.3">
      <c r="Q1607" s="93">
        <v>46182</v>
      </c>
      <c r="R1607" t="s">
        <v>496</v>
      </c>
      <c r="S1607" t="s">
        <v>997</v>
      </c>
      <c r="T1607" s="14">
        <v>24027</v>
      </c>
      <c r="W1607" s="20">
        <v>46091</v>
      </c>
      <c r="X1607" t="s">
        <v>279</v>
      </c>
      <c r="Y1607" s="23">
        <v>7.9</v>
      </c>
      <c r="Z1607" s="23">
        <v>7.4384615384615396</v>
      </c>
      <c r="AA1607" s="23">
        <v>7.6692307692307704</v>
      </c>
      <c r="AO1607" s="14"/>
    </row>
    <row r="1608" spans="17:41" x14ac:dyDescent="0.3">
      <c r="Q1608" s="93">
        <v>46181</v>
      </c>
      <c r="R1608" t="s">
        <v>479</v>
      </c>
      <c r="S1608" t="s">
        <v>399</v>
      </c>
      <c r="T1608" s="14">
        <v>12197.6106</v>
      </c>
      <c r="W1608" s="20">
        <v>46091</v>
      </c>
      <c r="X1608" t="s">
        <v>280</v>
      </c>
      <c r="Y1608" s="23">
        <v>7.9230769230769198</v>
      </c>
      <c r="Z1608" s="23">
        <v>7.4615384615384599</v>
      </c>
      <c r="AA1608" s="23">
        <v>7.6923076923076898</v>
      </c>
      <c r="AO1608" s="14"/>
    </row>
    <row r="1609" spans="17:41" x14ac:dyDescent="0.3">
      <c r="Q1609" s="93">
        <v>46181</v>
      </c>
      <c r="R1609" t="s">
        <v>364</v>
      </c>
      <c r="S1609" t="s">
        <v>399</v>
      </c>
      <c r="T1609" s="14">
        <v>32200</v>
      </c>
      <c r="W1609" s="20">
        <v>46091</v>
      </c>
      <c r="X1609" t="s">
        <v>281</v>
      </c>
      <c r="Y1609" s="23">
        <v>7.9307692307692301</v>
      </c>
      <c r="Z1609" s="23">
        <v>7.4692307692307702</v>
      </c>
      <c r="AA1609" s="23">
        <v>7.7</v>
      </c>
      <c r="AO1609" s="14"/>
    </row>
    <row r="1610" spans="17:41" x14ac:dyDescent="0.3">
      <c r="Q1610" s="93">
        <v>46181</v>
      </c>
      <c r="R1610" t="s">
        <v>491</v>
      </c>
      <c r="S1610" t="s">
        <v>399</v>
      </c>
      <c r="T1610" s="14">
        <v>397.61059999999998</v>
      </c>
      <c r="W1610" s="20">
        <v>46093</v>
      </c>
      <c r="X1610" t="s">
        <v>270</v>
      </c>
      <c r="Y1610" s="23">
        <v>7.9</v>
      </c>
      <c r="Z1610" s="23">
        <v>7.4</v>
      </c>
      <c r="AA1610" s="23">
        <v>7.65</v>
      </c>
      <c r="AO1610" s="14"/>
    </row>
    <row r="1611" spans="17:41" x14ac:dyDescent="0.3">
      <c r="Q1611" s="93">
        <v>46181</v>
      </c>
      <c r="R1611" t="s">
        <v>492</v>
      </c>
      <c r="S1611" t="s">
        <v>399</v>
      </c>
      <c r="T1611" s="14">
        <v>11800</v>
      </c>
      <c r="W1611" s="20">
        <v>46093</v>
      </c>
      <c r="X1611" t="s">
        <v>271</v>
      </c>
      <c r="Y1611" s="23">
        <v>7.7333333333333298</v>
      </c>
      <c r="Z1611" s="23">
        <v>7.4249999999999998</v>
      </c>
      <c r="AA1611" s="23">
        <v>7.5791666666666702</v>
      </c>
      <c r="AO1611" s="14"/>
    </row>
    <row r="1612" spans="17:41" x14ac:dyDescent="0.3">
      <c r="Q1612" s="93">
        <v>46181</v>
      </c>
      <c r="R1612" t="s">
        <v>496</v>
      </c>
      <c r="S1612" t="s">
        <v>399</v>
      </c>
      <c r="T1612" s="14">
        <v>17576</v>
      </c>
      <c r="W1612" s="20">
        <v>46093</v>
      </c>
      <c r="X1612" t="s">
        <v>272</v>
      </c>
      <c r="Y1612" s="23">
        <v>7.7333333333333298</v>
      </c>
      <c r="Z1612" s="23">
        <v>7.2333333333333298</v>
      </c>
      <c r="AA1612" s="23">
        <v>7.4833333333333396</v>
      </c>
      <c r="AO1612" s="14"/>
    </row>
    <row r="1613" spans="17:41" x14ac:dyDescent="0.3">
      <c r="Q1613" s="93">
        <v>46181</v>
      </c>
      <c r="R1613" t="s">
        <v>497</v>
      </c>
      <c r="S1613" t="s">
        <v>399</v>
      </c>
      <c r="T1613" s="14">
        <v>397.61059999999998</v>
      </c>
      <c r="W1613" s="20">
        <v>46093</v>
      </c>
      <c r="X1613" t="s">
        <v>273</v>
      </c>
      <c r="Y1613" s="23">
        <v>7.7692307692307701</v>
      </c>
      <c r="Z1613" s="23">
        <v>7.3076923076923102</v>
      </c>
      <c r="AA1613" s="23">
        <v>7.5384615384615401</v>
      </c>
      <c r="AO1613" s="14"/>
    </row>
    <row r="1614" spans="17:41" x14ac:dyDescent="0.3">
      <c r="Q1614" s="93">
        <v>46181</v>
      </c>
      <c r="R1614" t="s">
        <v>498</v>
      </c>
      <c r="S1614" t="s">
        <v>399</v>
      </c>
      <c r="T1614" s="14">
        <v>14800</v>
      </c>
      <c r="W1614" s="20">
        <v>46093</v>
      </c>
      <c r="X1614" t="s">
        <v>274</v>
      </c>
      <c r="Y1614" s="23">
        <v>7.7307692307692299</v>
      </c>
      <c r="Z1614" s="23">
        <v>7.2692307692307701</v>
      </c>
      <c r="AA1614" s="23">
        <v>7.5</v>
      </c>
      <c r="AO1614" s="14"/>
    </row>
    <row r="1615" spans="17:41" x14ac:dyDescent="0.3">
      <c r="Q1615" s="93">
        <v>46181</v>
      </c>
      <c r="R1615" t="s">
        <v>494</v>
      </c>
      <c r="S1615" t="s">
        <v>399</v>
      </c>
      <c r="T1615" s="14">
        <v>0</v>
      </c>
      <c r="W1615" s="20">
        <v>46093</v>
      </c>
      <c r="X1615" t="s">
        <v>275</v>
      </c>
      <c r="Y1615" s="23">
        <v>7.7923076923076904</v>
      </c>
      <c r="Z1615" s="23">
        <v>7.3307692307692296</v>
      </c>
      <c r="AA1615" s="23">
        <v>7.5615384615384604</v>
      </c>
      <c r="AO1615" s="14"/>
    </row>
    <row r="1616" spans="17:41" x14ac:dyDescent="0.3">
      <c r="Q1616" s="93">
        <v>46181</v>
      </c>
      <c r="R1616" t="s">
        <v>495</v>
      </c>
      <c r="S1616" t="s">
        <v>399</v>
      </c>
      <c r="T1616" s="14">
        <v>0</v>
      </c>
      <c r="W1616" s="20">
        <v>46093</v>
      </c>
      <c r="X1616" t="s">
        <v>276</v>
      </c>
      <c r="Y1616" s="23">
        <v>7.8230769230769202</v>
      </c>
      <c r="Z1616" s="23">
        <v>7.3615384615384603</v>
      </c>
      <c r="AA1616" s="23">
        <v>7.5923076923076902</v>
      </c>
      <c r="AO1616" s="14"/>
    </row>
    <row r="1617" spans="17:41" x14ac:dyDescent="0.3">
      <c r="Q1617" s="93">
        <v>46181</v>
      </c>
      <c r="R1617" t="s">
        <v>493</v>
      </c>
      <c r="S1617" t="s">
        <v>399</v>
      </c>
      <c r="T1617" s="14">
        <v>0</v>
      </c>
      <c r="W1617" s="20">
        <v>46093</v>
      </c>
      <c r="X1617" t="s">
        <v>277</v>
      </c>
      <c r="Y1617" s="23">
        <v>7.8846153846153797</v>
      </c>
      <c r="Z1617" s="23">
        <v>7.4230769230769198</v>
      </c>
      <c r="AA1617" s="23">
        <v>7.6538461538461497</v>
      </c>
      <c r="AO1617" s="14"/>
    </row>
    <row r="1618" spans="17:41" x14ac:dyDescent="0.3">
      <c r="Q1618" s="93">
        <v>46181</v>
      </c>
      <c r="R1618" t="s">
        <v>593</v>
      </c>
      <c r="S1618" t="s">
        <v>399</v>
      </c>
      <c r="T1618" s="14">
        <v>11624</v>
      </c>
      <c r="W1618" s="20">
        <v>46093</v>
      </c>
      <c r="X1618" t="s">
        <v>278</v>
      </c>
      <c r="Y1618" s="23">
        <v>7.8846153846153797</v>
      </c>
      <c r="Z1618" s="23">
        <v>7.4230769230769198</v>
      </c>
      <c r="AA1618" s="23">
        <v>7.6538461538461497</v>
      </c>
      <c r="AO1618" s="14"/>
    </row>
    <row r="1619" spans="17:41" x14ac:dyDescent="0.3">
      <c r="Q1619" s="93">
        <v>46181</v>
      </c>
      <c r="R1619" t="s">
        <v>594</v>
      </c>
      <c r="S1619" t="s">
        <v>399</v>
      </c>
      <c r="T1619" s="14">
        <v>0</v>
      </c>
      <c r="W1619" s="20">
        <v>46093</v>
      </c>
      <c r="X1619" t="s">
        <v>279</v>
      </c>
      <c r="Y1619" s="23">
        <v>7.9230769230769198</v>
      </c>
      <c r="Z1619" s="23">
        <v>7.4615384615384599</v>
      </c>
      <c r="AA1619" s="23">
        <v>7.6923076923076898</v>
      </c>
      <c r="AO1619" s="14"/>
    </row>
    <row r="1620" spans="17:41" x14ac:dyDescent="0.3">
      <c r="Q1620" s="93">
        <v>46181</v>
      </c>
      <c r="R1620" t="s">
        <v>595</v>
      </c>
      <c r="S1620" t="s">
        <v>399</v>
      </c>
      <c r="T1620" s="14">
        <v>0</v>
      </c>
      <c r="W1620" s="20">
        <v>46093</v>
      </c>
      <c r="X1620" t="s">
        <v>280</v>
      </c>
      <c r="Y1620" s="23">
        <v>7.9461538461538499</v>
      </c>
      <c r="Z1620" s="23">
        <v>7.4846153846153802</v>
      </c>
      <c r="AA1620" s="23">
        <v>7.7153846153846199</v>
      </c>
      <c r="AO1620" s="14"/>
    </row>
    <row r="1621" spans="17:41" x14ac:dyDescent="0.3">
      <c r="Q1621" s="93">
        <v>46181</v>
      </c>
      <c r="R1621" t="s">
        <v>479</v>
      </c>
      <c r="S1621" t="s">
        <v>395</v>
      </c>
      <c r="T1621" s="14">
        <v>11328.7955526388</v>
      </c>
      <c r="W1621" s="20">
        <v>46093</v>
      </c>
      <c r="X1621" t="s">
        <v>281</v>
      </c>
      <c r="Y1621" s="23">
        <v>7.9538461538461496</v>
      </c>
      <c r="Z1621" s="23">
        <v>7.4923076923076897</v>
      </c>
      <c r="AA1621" s="23">
        <v>7.7230769230769196</v>
      </c>
      <c r="AO1621" s="14"/>
    </row>
    <row r="1622" spans="17:41" x14ac:dyDescent="0.3">
      <c r="Q1622" s="93">
        <v>46181</v>
      </c>
      <c r="R1622" t="s">
        <v>479</v>
      </c>
      <c r="S1622" t="s">
        <v>415</v>
      </c>
      <c r="T1622" s="14">
        <v>7.1479080889202402</v>
      </c>
      <c r="W1622" s="20">
        <v>46094</v>
      </c>
      <c r="X1622" t="s">
        <v>270</v>
      </c>
      <c r="Y1622" s="23">
        <v>7.9</v>
      </c>
      <c r="Z1622" s="23">
        <v>7.4</v>
      </c>
      <c r="AA1622" s="23">
        <v>7.65</v>
      </c>
      <c r="AO1622" s="14"/>
    </row>
    <row r="1623" spans="17:41" x14ac:dyDescent="0.3">
      <c r="Q1623" s="93">
        <v>46181</v>
      </c>
      <c r="R1623" t="s">
        <v>364</v>
      </c>
      <c r="S1623" t="s">
        <v>415</v>
      </c>
      <c r="T1623" s="14">
        <v>6.5659663865546198</v>
      </c>
      <c r="W1623" s="20">
        <v>46094</v>
      </c>
      <c r="X1623" t="s">
        <v>271</v>
      </c>
      <c r="Y1623" s="23">
        <v>7.7333333333333298</v>
      </c>
      <c r="Z1623" s="23">
        <v>7.4249999999999998</v>
      </c>
      <c r="AA1623" s="23">
        <v>7.5791666666666702</v>
      </c>
      <c r="AO1623" s="14"/>
    </row>
    <row r="1624" spans="17:41" x14ac:dyDescent="0.3">
      <c r="Q1624" s="93">
        <v>46181</v>
      </c>
      <c r="R1624" t="s">
        <v>516</v>
      </c>
      <c r="S1624" t="s">
        <v>415</v>
      </c>
      <c r="T1624" s="14">
        <v>6.7397294233690399</v>
      </c>
      <c r="W1624" s="20">
        <v>46094</v>
      </c>
      <c r="X1624" t="s">
        <v>272</v>
      </c>
      <c r="Y1624" s="23">
        <v>7.7333333333333298</v>
      </c>
      <c r="Z1624" s="23">
        <v>7.2333333333333298</v>
      </c>
      <c r="AA1624" s="23">
        <v>7.4833333333333396</v>
      </c>
      <c r="AO1624" s="14"/>
    </row>
    <row r="1625" spans="17:41" x14ac:dyDescent="0.3">
      <c r="Q1625" s="93">
        <v>46181</v>
      </c>
      <c r="R1625" t="s">
        <v>1288</v>
      </c>
      <c r="S1625" t="s">
        <v>415</v>
      </c>
      <c r="T1625" s="14">
        <v>7.1479080889202402</v>
      </c>
      <c r="W1625" s="20">
        <v>46094</v>
      </c>
      <c r="X1625" t="s">
        <v>273</v>
      </c>
      <c r="Y1625" s="23">
        <v>7.7769230769230804</v>
      </c>
      <c r="Z1625" s="23">
        <v>7.3153846153846098</v>
      </c>
      <c r="AA1625" s="23">
        <v>7.5461538461538504</v>
      </c>
      <c r="AO1625" s="14"/>
    </row>
    <row r="1626" spans="17:41" x14ac:dyDescent="0.3">
      <c r="Q1626" s="93">
        <v>46181</v>
      </c>
      <c r="R1626" t="s">
        <v>496</v>
      </c>
      <c r="S1626" t="s">
        <v>415</v>
      </c>
      <c r="T1626" s="14">
        <v>6.5021182920751004</v>
      </c>
      <c r="W1626" s="20">
        <v>46094</v>
      </c>
      <c r="X1626" t="s">
        <v>274</v>
      </c>
      <c r="Y1626" s="23">
        <v>7.7384615384615403</v>
      </c>
      <c r="Z1626" s="23">
        <v>7.2769230769230804</v>
      </c>
      <c r="AA1626" s="23">
        <v>7.5076923076923103</v>
      </c>
      <c r="AO1626" s="14"/>
    </row>
    <row r="1627" spans="17:41" x14ac:dyDescent="0.3">
      <c r="Q1627" s="93">
        <v>46181</v>
      </c>
      <c r="R1627" t="s">
        <v>1290</v>
      </c>
      <c r="S1627" t="s">
        <v>415</v>
      </c>
      <c r="T1627" s="14">
        <v>6.7520179501907096</v>
      </c>
      <c r="W1627" s="20">
        <v>46094</v>
      </c>
      <c r="X1627" t="s">
        <v>275</v>
      </c>
      <c r="Y1627" s="23">
        <v>7.7923076923076904</v>
      </c>
      <c r="Z1627" s="23">
        <v>7.3307692307692296</v>
      </c>
      <c r="AA1627" s="23">
        <v>7.5615384615384604</v>
      </c>
      <c r="AO1627" s="14"/>
    </row>
    <row r="1628" spans="17:41" x14ac:dyDescent="0.3">
      <c r="Q1628" s="93">
        <v>46181</v>
      </c>
      <c r="R1628" t="s">
        <v>364</v>
      </c>
      <c r="S1628" t="s">
        <v>997</v>
      </c>
      <c r="T1628" s="14">
        <v>35700</v>
      </c>
      <c r="W1628" s="20">
        <v>46094</v>
      </c>
      <c r="X1628" t="s">
        <v>276</v>
      </c>
      <c r="Y1628" s="23">
        <v>7.8230769230769202</v>
      </c>
      <c r="Z1628" s="23">
        <v>7.3615384615384603</v>
      </c>
      <c r="AA1628" s="23">
        <v>7.5923076923076902</v>
      </c>
      <c r="AO1628" s="14"/>
    </row>
    <row r="1629" spans="17:41" x14ac:dyDescent="0.3">
      <c r="Q1629" s="93">
        <v>46181</v>
      </c>
      <c r="R1629" t="s">
        <v>496</v>
      </c>
      <c r="S1629" t="s">
        <v>997</v>
      </c>
      <c r="T1629" s="14">
        <v>24076</v>
      </c>
      <c r="W1629" s="20">
        <v>46094</v>
      </c>
      <c r="X1629" t="s">
        <v>277</v>
      </c>
      <c r="Y1629" s="23">
        <v>7.8846153846153797</v>
      </c>
      <c r="Z1629" s="23">
        <v>7.4230769230769198</v>
      </c>
      <c r="AA1629" s="23">
        <v>7.6538461538461497</v>
      </c>
      <c r="AO1629" s="14"/>
    </row>
    <row r="1630" spans="17:41" x14ac:dyDescent="0.3">
      <c r="Q1630" s="93">
        <v>46178</v>
      </c>
      <c r="R1630" t="s">
        <v>479</v>
      </c>
      <c r="S1630" t="s">
        <v>399</v>
      </c>
      <c r="T1630" s="14">
        <v>15197.6106</v>
      </c>
      <c r="W1630" s="20">
        <v>46094</v>
      </c>
      <c r="X1630" t="s">
        <v>278</v>
      </c>
      <c r="Y1630" s="23">
        <v>7.8846153846153797</v>
      </c>
      <c r="Z1630" s="23">
        <v>7.4230769230769198</v>
      </c>
      <c r="AA1630" s="23">
        <v>7.6538461538461497</v>
      </c>
      <c r="AO1630" s="14"/>
    </row>
    <row r="1631" spans="17:41" x14ac:dyDescent="0.3">
      <c r="Q1631" s="93">
        <v>46178</v>
      </c>
      <c r="R1631" t="s">
        <v>364</v>
      </c>
      <c r="S1631" t="s">
        <v>399</v>
      </c>
      <c r="T1631" s="14">
        <v>21167</v>
      </c>
      <c r="W1631" s="20">
        <v>46094</v>
      </c>
      <c r="X1631" t="s">
        <v>279</v>
      </c>
      <c r="Y1631" s="23">
        <v>7.9230769230769198</v>
      </c>
      <c r="Z1631" s="23">
        <v>7.4615384615384599</v>
      </c>
      <c r="AA1631" s="23">
        <v>7.6923076923076898</v>
      </c>
      <c r="AO1631" s="14"/>
    </row>
    <row r="1632" spans="17:41" x14ac:dyDescent="0.3">
      <c r="Q1632" s="93">
        <v>46178</v>
      </c>
      <c r="R1632" t="s">
        <v>491</v>
      </c>
      <c r="S1632" t="s">
        <v>399</v>
      </c>
      <c r="T1632" s="14">
        <v>397.61059999999998</v>
      </c>
      <c r="W1632" s="20">
        <v>46094</v>
      </c>
      <c r="X1632" t="s">
        <v>280</v>
      </c>
      <c r="Y1632" s="23">
        <v>7.9461538461538499</v>
      </c>
      <c r="Z1632" s="23">
        <v>7.4846153846153802</v>
      </c>
      <c r="AA1632" s="23">
        <v>7.7153846153846199</v>
      </c>
      <c r="AO1632" s="14"/>
    </row>
    <row r="1633" spans="17:41" x14ac:dyDescent="0.3">
      <c r="Q1633" s="93">
        <v>46178</v>
      </c>
      <c r="R1633" t="s">
        <v>492</v>
      </c>
      <c r="S1633" t="s">
        <v>399</v>
      </c>
      <c r="T1633" s="14">
        <v>14800</v>
      </c>
      <c r="W1633" s="20">
        <v>46094</v>
      </c>
      <c r="X1633" t="s">
        <v>281</v>
      </c>
      <c r="Y1633" s="23">
        <v>7.9538461538461496</v>
      </c>
      <c r="Z1633" s="23">
        <v>7.4923076923076897</v>
      </c>
      <c r="AA1633" s="23">
        <v>7.7230769230769196</v>
      </c>
      <c r="AO1633" s="14"/>
    </row>
    <row r="1634" spans="17:41" x14ac:dyDescent="0.3">
      <c r="Q1634" s="93">
        <v>46178</v>
      </c>
      <c r="R1634" t="s">
        <v>496</v>
      </c>
      <c r="S1634" t="s">
        <v>399</v>
      </c>
      <c r="T1634" s="14">
        <v>22167</v>
      </c>
      <c r="W1634" s="20">
        <v>46097</v>
      </c>
      <c r="X1634" t="s">
        <v>270</v>
      </c>
      <c r="Y1634" s="23">
        <v>7.9</v>
      </c>
      <c r="Z1634" s="23">
        <v>7.4</v>
      </c>
      <c r="AA1634" s="23">
        <v>7.65</v>
      </c>
      <c r="AO1634" s="14"/>
    </row>
    <row r="1635" spans="17:41" x14ac:dyDescent="0.3">
      <c r="Q1635" s="93">
        <v>46178</v>
      </c>
      <c r="R1635" t="s">
        <v>497</v>
      </c>
      <c r="S1635" t="s">
        <v>399</v>
      </c>
      <c r="T1635" s="14">
        <v>397.61059999999998</v>
      </c>
      <c r="W1635" s="20">
        <v>46097</v>
      </c>
      <c r="X1635" t="s">
        <v>271</v>
      </c>
      <c r="Y1635" s="23">
        <v>7.7333333333333298</v>
      </c>
      <c r="Z1635" s="23">
        <v>7.4249999999999998</v>
      </c>
      <c r="AA1635" s="23">
        <v>7.5791666666666702</v>
      </c>
      <c r="AO1635" s="14"/>
    </row>
    <row r="1636" spans="17:41" x14ac:dyDescent="0.3">
      <c r="Q1636" s="93">
        <v>46178</v>
      </c>
      <c r="R1636" t="s">
        <v>498</v>
      </c>
      <c r="S1636" t="s">
        <v>399</v>
      </c>
      <c r="T1636" s="14">
        <v>14800</v>
      </c>
      <c r="W1636" s="20">
        <v>46097</v>
      </c>
      <c r="X1636" t="s">
        <v>272</v>
      </c>
      <c r="Y1636" s="23">
        <v>7.7666666666666702</v>
      </c>
      <c r="Z1636" s="23">
        <v>7.2666666666666702</v>
      </c>
      <c r="AA1636" s="23">
        <v>7.5166666666666702</v>
      </c>
      <c r="AO1636" s="14"/>
    </row>
    <row r="1637" spans="17:41" x14ac:dyDescent="0.3">
      <c r="Q1637" s="93">
        <v>46178</v>
      </c>
      <c r="R1637" t="s">
        <v>494</v>
      </c>
      <c r="S1637" t="s">
        <v>399</v>
      </c>
      <c r="T1637" s="14">
        <v>0</v>
      </c>
      <c r="W1637" s="20">
        <v>46097</v>
      </c>
      <c r="X1637" t="s">
        <v>273</v>
      </c>
      <c r="Y1637" s="23">
        <v>7.7846153846153801</v>
      </c>
      <c r="Z1637" s="23">
        <v>7.3230769230769202</v>
      </c>
      <c r="AA1637" s="23">
        <v>7.5538461538461501</v>
      </c>
      <c r="AO1637" s="14"/>
    </row>
    <row r="1638" spans="17:41" x14ac:dyDescent="0.3">
      <c r="Q1638" s="93">
        <v>46178</v>
      </c>
      <c r="R1638" t="s">
        <v>495</v>
      </c>
      <c r="S1638" t="s">
        <v>399</v>
      </c>
      <c r="T1638" s="14">
        <v>0</v>
      </c>
      <c r="W1638" s="20">
        <v>46097</v>
      </c>
      <c r="X1638" t="s">
        <v>274</v>
      </c>
      <c r="Y1638" s="23">
        <v>7.7461538461538497</v>
      </c>
      <c r="Z1638" s="23">
        <v>7.2846153846153898</v>
      </c>
      <c r="AA1638" s="23">
        <v>7.5153846153846198</v>
      </c>
      <c r="AO1638" s="14"/>
    </row>
    <row r="1639" spans="17:41" x14ac:dyDescent="0.3">
      <c r="Q1639" s="93">
        <v>46178</v>
      </c>
      <c r="R1639" t="s">
        <v>493</v>
      </c>
      <c r="S1639" t="s">
        <v>399</v>
      </c>
      <c r="T1639" s="14">
        <v>0</v>
      </c>
      <c r="W1639" s="20">
        <v>46097</v>
      </c>
      <c r="X1639" t="s">
        <v>275</v>
      </c>
      <c r="Y1639" s="23">
        <v>7.8</v>
      </c>
      <c r="Z1639" s="23">
        <v>7.3384615384615399</v>
      </c>
      <c r="AA1639" s="23">
        <v>7.5692307692307699</v>
      </c>
      <c r="AO1639" s="14"/>
    </row>
    <row r="1640" spans="17:41" x14ac:dyDescent="0.3">
      <c r="Q1640" s="93">
        <v>46178</v>
      </c>
      <c r="R1640" t="s">
        <v>593</v>
      </c>
      <c r="S1640" t="s">
        <v>399</v>
      </c>
      <c r="T1640" s="14">
        <v>-1000</v>
      </c>
      <c r="W1640" s="20">
        <v>46097</v>
      </c>
      <c r="X1640" t="s">
        <v>276</v>
      </c>
      <c r="Y1640" s="23">
        <v>7.8307692307692296</v>
      </c>
      <c r="Z1640" s="23">
        <v>7.3692307692307697</v>
      </c>
      <c r="AA1640" s="23">
        <v>7.6</v>
      </c>
      <c r="AO1640" s="14"/>
    </row>
    <row r="1641" spans="17:41" x14ac:dyDescent="0.3">
      <c r="Q1641" s="93">
        <v>46178</v>
      </c>
      <c r="R1641" t="s">
        <v>594</v>
      </c>
      <c r="S1641" t="s">
        <v>399</v>
      </c>
      <c r="T1641" s="14">
        <v>0</v>
      </c>
      <c r="W1641" s="20">
        <v>46097</v>
      </c>
      <c r="X1641" t="s">
        <v>277</v>
      </c>
      <c r="Y1641" s="23">
        <v>7.8846153846153797</v>
      </c>
      <c r="Z1641" s="23">
        <v>7.4230769230769198</v>
      </c>
      <c r="AA1641" s="23">
        <v>7.6538461538461497</v>
      </c>
      <c r="AO1641" s="14"/>
    </row>
    <row r="1642" spans="17:41" x14ac:dyDescent="0.3">
      <c r="Q1642" s="93">
        <v>46178</v>
      </c>
      <c r="R1642" t="s">
        <v>595</v>
      </c>
      <c r="S1642" t="s">
        <v>399</v>
      </c>
      <c r="T1642" s="14">
        <v>0</v>
      </c>
      <c r="W1642" s="20">
        <v>46097</v>
      </c>
      <c r="X1642" t="s">
        <v>278</v>
      </c>
      <c r="Y1642" s="23">
        <v>7.8846153846153797</v>
      </c>
      <c r="Z1642" s="23">
        <v>7.4230769230769198</v>
      </c>
      <c r="AA1642" s="23">
        <v>7.6538461538461497</v>
      </c>
      <c r="AO1642" s="14"/>
    </row>
    <row r="1643" spans="17:41" x14ac:dyDescent="0.3">
      <c r="Q1643" s="93">
        <v>46178</v>
      </c>
      <c r="R1643" t="s">
        <v>479</v>
      </c>
      <c r="S1643" t="s">
        <v>395</v>
      </c>
      <c r="T1643" s="14">
        <v>11334.4631178697</v>
      </c>
      <c r="W1643" s="20">
        <v>46097</v>
      </c>
      <c r="X1643" t="s">
        <v>279</v>
      </c>
      <c r="Y1643" s="23">
        <v>7.9230769230769198</v>
      </c>
      <c r="Z1643" s="23">
        <v>7.4615384615384599</v>
      </c>
      <c r="AA1643" s="23">
        <v>7.6923076923076898</v>
      </c>
      <c r="AO1643" s="14"/>
    </row>
    <row r="1644" spans="17:41" x14ac:dyDescent="0.3">
      <c r="Q1644" s="93">
        <v>46178</v>
      </c>
      <c r="R1644" t="s">
        <v>479</v>
      </c>
      <c r="S1644" t="s">
        <v>415</v>
      </c>
      <c r="T1644" s="14">
        <v>7.1479080889202402</v>
      </c>
      <c r="W1644" s="20">
        <v>46097</v>
      </c>
      <c r="X1644" t="s">
        <v>280</v>
      </c>
      <c r="Y1644" s="23">
        <v>7.9461538461538499</v>
      </c>
      <c r="Z1644" s="23">
        <v>7.4846153846153802</v>
      </c>
      <c r="AA1644" s="23">
        <v>7.7153846153846199</v>
      </c>
      <c r="AO1644" s="14"/>
    </row>
    <row r="1645" spans="17:41" x14ac:dyDescent="0.3">
      <c r="Q1645" s="93">
        <v>46178</v>
      </c>
      <c r="R1645" t="s">
        <v>364</v>
      </c>
      <c r="S1645" t="s">
        <v>415</v>
      </c>
      <c r="T1645" s="14">
        <v>6.47188770488295</v>
      </c>
      <c r="W1645" s="20">
        <v>46097</v>
      </c>
      <c r="X1645" t="s">
        <v>281</v>
      </c>
      <c r="Y1645" s="23">
        <v>7.9538461538461496</v>
      </c>
      <c r="Z1645" s="23">
        <v>7.4923076923076897</v>
      </c>
      <c r="AA1645" s="23">
        <v>7.7230769230769196</v>
      </c>
      <c r="AO1645" s="14"/>
    </row>
    <row r="1646" spans="17:41" x14ac:dyDescent="0.3">
      <c r="Q1646" s="93">
        <v>46178</v>
      </c>
      <c r="R1646" t="s">
        <v>516</v>
      </c>
      <c r="S1646" t="s">
        <v>415</v>
      </c>
      <c r="T1646" s="14">
        <v>6.7382950248173898</v>
      </c>
      <c r="W1646" s="20">
        <v>46098</v>
      </c>
      <c r="X1646" t="s">
        <v>270</v>
      </c>
      <c r="Y1646" s="23">
        <v>7.8666666666666698</v>
      </c>
      <c r="Z1646" s="23">
        <v>7.3666666666666698</v>
      </c>
      <c r="AA1646" s="23">
        <v>7.6166666666666698</v>
      </c>
      <c r="AO1646" s="14"/>
    </row>
    <row r="1647" spans="17:41" x14ac:dyDescent="0.3">
      <c r="Q1647" s="93">
        <v>46178</v>
      </c>
      <c r="R1647" t="s">
        <v>1288</v>
      </c>
      <c r="S1647" t="s">
        <v>415</v>
      </c>
      <c r="T1647" s="14">
        <v>7.1479080889202402</v>
      </c>
      <c r="W1647" s="20">
        <v>46098</v>
      </c>
      <c r="X1647" t="s">
        <v>271</v>
      </c>
      <c r="Y1647" s="23">
        <v>7.7333333333333298</v>
      </c>
      <c r="Z1647" s="23">
        <v>7.4249999999999998</v>
      </c>
      <c r="AA1647" s="23">
        <v>7.5791666666666702</v>
      </c>
      <c r="AO1647" s="14"/>
    </row>
    <row r="1648" spans="17:41" x14ac:dyDescent="0.3">
      <c r="Q1648" s="93">
        <v>46178</v>
      </c>
      <c r="R1648" t="s">
        <v>496</v>
      </c>
      <c r="S1648" t="s">
        <v>415</v>
      </c>
      <c r="T1648" s="14">
        <v>6.5187487069143897</v>
      </c>
      <c r="W1648" s="20">
        <v>46098</v>
      </c>
      <c r="X1648" t="s">
        <v>272</v>
      </c>
      <c r="Y1648" s="23">
        <v>7.7666666666666702</v>
      </c>
      <c r="Z1648" s="23">
        <v>7.2666666666666702</v>
      </c>
      <c r="AA1648" s="23">
        <v>7.5166666666666702</v>
      </c>
      <c r="AO1648" s="14"/>
    </row>
    <row r="1649" spans="17:41" x14ac:dyDescent="0.3">
      <c r="Q1649" s="93">
        <v>46178</v>
      </c>
      <c r="R1649" t="s">
        <v>1290</v>
      </c>
      <c r="S1649" t="s">
        <v>415</v>
      </c>
      <c r="T1649" s="14">
        <v>6.76165011371915</v>
      </c>
      <c r="W1649" s="20">
        <v>46098</v>
      </c>
      <c r="X1649" t="s">
        <v>273</v>
      </c>
      <c r="Y1649" s="23">
        <v>7.7846153846153801</v>
      </c>
      <c r="Z1649" s="23">
        <v>7.3230769230769202</v>
      </c>
      <c r="AA1649" s="23">
        <v>7.5538461538461501</v>
      </c>
      <c r="AO1649" s="14"/>
    </row>
    <row r="1650" spans="17:41" x14ac:dyDescent="0.3">
      <c r="Q1650" s="93">
        <v>46178</v>
      </c>
      <c r="R1650" t="s">
        <v>364</v>
      </c>
      <c r="S1650" t="s">
        <v>997</v>
      </c>
      <c r="T1650" s="14">
        <v>23167</v>
      </c>
      <c r="W1650" s="20">
        <v>46149</v>
      </c>
      <c r="X1650" t="s">
        <v>270</v>
      </c>
      <c r="Y1650" s="23">
        <v>7.81666666666667</v>
      </c>
      <c r="Z1650" s="23">
        <v>7.4583333333333304</v>
      </c>
      <c r="AA1650" s="23">
        <v>7.6375000000000002</v>
      </c>
      <c r="AO1650" s="14"/>
    </row>
    <row r="1651" spans="17:41" x14ac:dyDescent="0.3">
      <c r="Q1651" s="93">
        <v>46178</v>
      </c>
      <c r="R1651" t="s">
        <v>496</v>
      </c>
      <c r="S1651" t="s">
        <v>997</v>
      </c>
      <c r="T1651" s="14">
        <v>24167</v>
      </c>
      <c r="W1651" s="20">
        <v>46149</v>
      </c>
      <c r="X1651" t="s">
        <v>271</v>
      </c>
      <c r="Y1651" s="23">
        <v>7.82</v>
      </c>
      <c r="Z1651" s="23">
        <v>7.42</v>
      </c>
      <c r="AA1651" s="23">
        <v>7.62</v>
      </c>
      <c r="AO1651" s="14"/>
    </row>
    <row r="1652" spans="17:41" x14ac:dyDescent="0.3">
      <c r="Q1652" s="93">
        <v>46177</v>
      </c>
      <c r="R1652" t="s">
        <v>494</v>
      </c>
      <c r="S1652" t="s">
        <v>399</v>
      </c>
      <c r="T1652" s="14">
        <v>0</v>
      </c>
      <c r="W1652" s="20">
        <v>46149</v>
      </c>
      <c r="X1652" t="s">
        <v>272</v>
      </c>
      <c r="Y1652" s="23">
        <v>8</v>
      </c>
      <c r="Z1652" s="23">
        <v>7.5</v>
      </c>
      <c r="AA1652" s="23">
        <v>7.75</v>
      </c>
      <c r="AO1652" s="14"/>
    </row>
    <row r="1653" spans="17:41" x14ac:dyDescent="0.3">
      <c r="Q1653" s="93">
        <v>46177</v>
      </c>
      <c r="R1653" t="s">
        <v>495</v>
      </c>
      <c r="S1653" t="s">
        <v>399</v>
      </c>
      <c r="T1653" s="14">
        <v>0</v>
      </c>
      <c r="W1653" s="20">
        <v>46149</v>
      </c>
      <c r="X1653" t="s">
        <v>273</v>
      </c>
      <c r="Y1653" s="23">
        <v>8.1307692307692303</v>
      </c>
      <c r="Z1653" s="23">
        <v>7.6615384615384601</v>
      </c>
      <c r="AA1653" s="23">
        <v>7.8961538461538501</v>
      </c>
      <c r="AO1653" s="14"/>
    </row>
    <row r="1654" spans="17:41" x14ac:dyDescent="0.3">
      <c r="Q1654" s="93">
        <v>46177</v>
      </c>
      <c r="R1654" t="s">
        <v>493</v>
      </c>
      <c r="S1654" t="s">
        <v>399</v>
      </c>
      <c r="T1654" s="14">
        <v>0</v>
      </c>
      <c r="W1654" s="20">
        <v>46149</v>
      </c>
      <c r="X1654" t="s">
        <v>274</v>
      </c>
      <c r="Y1654" s="23">
        <v>8.1538461538461497</v>
      </c>
      <c r="Z1654" s="23">
        <v>7.6846153846153804</v>
      </c>
      <c r="AA1654" s="23">
        <v>7.9192307692307704</v>
      </c>
      <c r="AO1654" s="14"/>
    </row>
    <row r="1655" spans="17:41" x14ac:dyDescent="0.3">
      <c r="Q1655" s="93">
        <v>46177</v>
      </c>
      <c r="R1655" t="s">
        <v>593</v>
      </c>
      <c r="S1655" t="s">
        <v>399</v>
      </c>
      <c r="T1655" s="14">
        <v>-824</v>
      </c>
      <c r="W1655" s="20">
        <v>46149</v>
      </c>
      <c r="X1655" t="s">
        <v>275</v>
      </c>
      <c r="Y1655" s="23">
        <v>8.1730769230769198</v>
      </c>
      <c r="Z1655" s="23">
        <v>7.7038461538461496</v>
      </c>
      <c r="AA1655" s="23">
        <v>7.9384615384615396</v>
      </c>
      <c r="AO1655" s="14"/>
    </row>
    <row r="1656" spans="17:41" x14ac:dyDescent="0.3">
      <c r="Q1656" s="93">
        <v>46177</v>
      </c>
      <c r="R1656" t="s">
        <v>594</v>
      </c>
      <c r="S1656" t="s">
        <v>399</v>
      </c>
      <c r="T1656" s="14">
        <v>0</v>
      </c>
      <c r="W1656" s="20">
        <v>46149</v>
      </c>
      <c r="X1656" t="s">
        <v>276</v>
      </c>
      <c r="Y1656" s="23">
        <v>8.2115384615384599</v>
      </c>
      <c r="Z1656" s="23">
        <v>7.7346153846153802</v>
      </c>
      <c r="AA1656" s="23">
        <v>7.9730769230769196</v>
      </c>
      <c r="AO1656" s="14"/>
    </row>
    <row r="1657" spans="17:41" x14ac:dyDescent="0.3">
      <c r="Q1657" s="93">
        <v>46177</v>
      </c>
      <c r="R1657" t="s">
        <v>595</v>
      </c>
      <c r="S1657" t="s">
        <v>399</v>
      </c>
      <c r="T1657" s="14">
        <v>0</v>
      </c>
      <c r="W1657" s="20">
        <v>46149</v>
      </c>
      <c r="X1657" t="s">
        <v>277</v>
      </c>
      <c r="Y1657" s="23">
        <v>8.2692307692307701</v>
      </c>
      <c r="Z1657" s="23">
        <v>7.7923076923076904</v>
      </c>
      <c r="AA1657" s="23">
        <v>8.0307692307692307</v>
      </c>
      <c r="AO1657" s="14"/>
    </row>
    <row r="1658" spans="17:41" x14ac:dyDescent="0.3">
      <c r="Q1658" s="93">
        <v>46177</v>
      </c>
      <c r="R1658" t="s">
        <v>479</v>
      </c>
      <c r="S1658" t="s">
        <v>395</v>
      </c>
      <c r="T1658" s="14">
        <v>11337.2162864727</v>
      </c>
      <c r="W1658" s="20">
        <v>46149</v>
      </c>
      <c r="X1658" t="s">
        <v>278</v>
      </c>
      <c r="Y1658" s="23">
        <v>8.2846153846153801</v>
      </c>
      <c r="Z1658" s="23">
        <v>7.8076923076923102</v>
      </c>
      <c r="AA1658" s="23">
        <v>8.0461538461538495</v>
      </c>
      <c r="AO1658" s="14"/>
    </row>
    <row r="1659" spans="17:41" x14ac:dyDescent="0.3">
      <c r="Q1659" s="93">
        <v>46177</v>
      </c>
      <c r="R1659" t="s">
        <v>479</v>
      </c>
      <c r="S1659" t="s">
        <v>415</v>
      </c>
      <c r="T1659" s="14">
        <v>7.1479080889202402</v>
      </c>
      <c r="W1659" s="20">
        <v>46149</v>
      </c>
      <c r="X1659" t="s">
        <v>279</v>
      </c>
      <c r="Y1659" s="23">
        <v>8.3230769230769202</v>
      </c>
      <c r="Z1659" s="23">
        <v>7.8461538461538396</v>
      </c>
      <c r="AA1659" s="23">
        <v>8.0846153846153808</v>
      </c>
      <c r="AO1659" s="14"/>
    </row>
    <row r="1660" spans="17:41" x14ac:dyDescent="0.3">
      <c r="Q1660" s="93">
        <v>46177</v>
      </c>
      <c r="R1660" t="s">
        <v>364</v>
      </c>
      <c r="S1660" t="s">
        <v>415</v>
      </c>
      <c r="T1660" s="14">
        <v>6.4760277013229199</v>
      </c>
      <c r="W1660" s="20">
        <v>46149</v>
      </c>
      <c r="X1660" t="s">
        <v>280</v>
      </c>
      <c r="Y1660" s="23">
        <v>8.3538461538461508</v>
      </c>
      <c r="Z1660" s="23">
        <v>7.87692307692308</v>
      </c>
      <c r="AA1660" s="23">
        <v>8.1153846153846096</v>
      </c>
      <c r="AO1660" s="14"/>
    </row>
    <row r="1661" spans="17:41" x14ac:dyDescent="0.3">
      <c r="Q1661" s="93">
        <v>46177</v>
      </c>
      <c r="R1661" t="s">
        <v>516</v>
      </c>
      <c r="S1661" t="s">
        <v>415</v>
      </c>
      <c r="T1661" s="14">
        <v>6.7467063648462098</v>
      </c>
      <c r="W1661" s="20">
        <v>46149</v>
      </c>
      <c r="X1661" t="s">
        <v>281</v>
      </c>
      <c r="Y1661" s="23">
        <v>8.3692307692307697</v>
      </c>
      <c r="Z1661" s="23">
        <v>7.89230769230769</v>
      </c>
      <c r="AA1661" s="23">
        <v>8.1307692307692303</v>
      </c>
      <c r="AO1661" s="14"/>
    </row>
    <row r="1662" spans="17:41" x14ac:dyDescent="0.3">
      <c r="Q1662" s="93">
        <v>46177</v>
      </c>
      <c r="R1662" t="s">
        <v>1288</v>
      </c>
      <c r="S1662" t="s">
        <v>415</v>
      </c>
      <c r="T1662" s="14">
        <v>7.1479080889202402</v>
      </c>
      <c r="W1662" s="20">
        <v>46150</v>
      </c>
      <c r="X1662" t="s">
        <v>270</v>
      </c>
      <c r="Y1662" s="23">
        <v>7.7833333333333297</v>
      </c>
      <c r="Z1662" s="23">
        <v>7.4249999999999998</v>
      </c>
      <c r="AA1662" s="23">
        <v>7.6041666666666696</v>
      </c>
      <c r="AO1662" s="14"/>
    </row>
    <row r="1663" spans="17:41" x14ac:dyDescent="0.3">
      <c r="Q1663" s="93">
        <v>46177</v>
      </c>
      <c r="R1663" t="s">
        <v>496</v>
      </c>
      <c r="S1663" t="s">
        <v>415</v>
      </c>
      <c r="T1663" s="14">
        <v>6.5311879049675996</v>
      </c>
      <c r="W1663" s="20">
        <v>46150</v>
      </c>
      <c r="X1663" t="s">
        <v>271</v>
      </c>
      <c r="Y1663" s="23">
        <v>7.82</v>
      </c>
      <c r="Z1663" s="23">
        <v>7.42</v>
      </c>
      <c r="AA1663" s="23">
        <v>7.62</v>
      </c>
      <c r="AO1663" s="14"/>
    </row>
    <row r="1664" spans="17:41" x14ac:dyDescent="0.3">
      <c r="Q1664" s="93">
        <v>46177</v>
      </c>
      <c r="R1664" t="s">
        <v>1290</v>
      </c>
      <c r="S1664" t="s">
        <v>415</v>
      </c>
      <c r="T1664" s="14">
        <v>6.7756013914462798</v>
      </c>
      <c r="W1664" s="20">
        <v>46150</v>
      </c>
      <c r="X1664" t="s">
        <v>272</v>
      </c>
      <c r="Y1664" s="23">
        <v>8</v>
      </c>
      <c r="Z1664" s="23">
        <v>7.5</v>
      </c>
      <c r="AA1664" s="23">
        <v>7.75</v>
      </c>
      <c r="AO1664" s="14"/>
    </row>
    <row r="1665" spans="17:41" x14ac:dyDescent="0.3">
      <c r="Q1665" s="93">
        <v>46177</v>
      </c>
      <c r="R1665" t="s">
        <v>364</v>
      </c>
      <c r="S1665" t="s">
        <v>997</v>
      </c>
      <c r="T1665" s="14">
        <v>22326</v>
      </c>
      <c r="W1665" s="20">
        <v>46150</v>
      </c>
      <c r="X1665" t="s">
        <v>273</v>
      </c>
      <c r="Y1665" s="23">
        <v>8.1307692307692303</v>
      </c>
      <c r="Z1665" s="23">
        <v>7.6615384615384601</v>
      </c>
      <c r="AA1665" s="23">
        <v>7.8961538461538501</v>
      </c>
      <c r="AO1665" s="14"/>
    </row>
    <row r="1666" spans="17:41" x14ac:dyDescent="0.3">
      <c r="Q1666" s="93">
        <v>46177</v>
      </c>
      <c r="R1666" t="s">
        <v>496</v>
      </c>
      <c r="S1666" t="s">
        <v>997</v>
      </c>
      <c r="T1666" s="14">
        <v>23150</v>
      </c>
      <c r="W1666" s="20">
        <v>46150</v>
      </c>
      <c r="X1666" t="s">
        <v>274</v>
      </c>
      <c r="Y1666" s="23">
        <v>8.1538461538461497</v>
      </c>
      <c r="Z1666" s="23">
        <v>7.6846153846153804</v>
      </c>
      <c r="AA1666" s="23">
        <v>7.9192307692307704</v>
      </c>
      <c r="AO1666" s="14"/>
    </row>
    <row r="1667" spans="17:41" x14ac:dyDescent="0.3">
      <c r="Q1667" s="93">
        <v>46177</v>
      </c>
      <c r="R1667" t="s">
        <v>479</v>
      </c>
      <c r="S1667" t="s">
        <v>399</v>
      </c>
      <c r="T1667" s="14">
        <v>15197.6106</v>
      </c>
      <c r="W1667" s="20">
        <v>46150</v>
      </c>
      <c r="X1667" t="s">
        <v>275</v>
      </c>
      <c r="Y1667" s="23">
        <v>8.1730769230769198</v>
      </c>
      <c r="Z1667" s="23">
        <v>7.7038461538461496</v>
      </c>
      <c r="AA1667" s="23">
        <v>7.9384615384615396</v>
      </c>
      <c r="AO1667" s="14"/>
    </row>
    <row r="1668" spans="17:41" x14ac:dyDescent="0.3">
      <c r="Q1668" s="93">
        <v>46177</v>
      </c>
      <c r="R1668" t="s">
        <v>364</v>
      </c>
      <c r="S1668" t="s">
        <v>399</v>
      </c>
      <c r="T1668" s="14">
        <v>20326</v>
      </c>
      <c r="W1668" s="20">
        <v>46150</v>
      </c>
      <c r="X1668" t="s">
        <v>276</v>
      </c>
      <c r="Y1668" s="23">
        <v>8.2115384615384599</v>
      </c>
      <c r="Z1668" s="23">
        <v>7.7346153846153802</v>
      </c>
      <c r="AA1668" s="23">
        <v>7.9730769230769196</v>
      </c>
      <c r="AO1668" s="14"/>
    </row>
    <row r="1669" spans="17:41" x14ac:dyDescent="0.3">
      <c r="Q1669" s="93">
        <v>46177</v>
      </c>
      <c r="R1669" t="s">
        <v>491</v>
      </c>
      <c r="S1669" t="s">
        <v>399</v>
      </c>
      <c r="T1669" s="14">
        <v>397.61059999999998</v>
      </c>
      <c r="W1669" s="20">
        <v>46150</v>
      </c>
      <c r="X1669" t="s">
        <v>277</v>
      </c>
      <c r="Y1669" s="23">
        <v>8.2692307692307701</v>
      </c>
      <c r="Z1669" s="23">
        <v>7.7923076923076904</v>
      </c>
      <c r="AA1669" s="23">
        <v>8.0307692307692307</v>
      </c>
      <c r="AO1669" s="14"/>
    </row>
    <row r="1670" spans="17:41" x14ac:dyDescent="0.3">
      <c r="Q1670" s="93">
        <v>46177</v>
      </c>
      <c r="R1670" t="s">
        <v>492</v>
      </c>
      <c r="S1670" t="s">
        <v>399</v>
      </c>
      <c r="T1670" s="14">
        <v>14800</v>
      </c>
      <c r="W1670" s="20">
        <v>46150</v>
      </c>
      <c r="X1670" t="s">
        <v>278</v>
      </c>
      <c r="Y1670" s="23">
        <v>8.2846153846153801</v>
      </c>
      <c r="Z1670" s="23">
        <v>7.8076923076923102</v>
      </c>
      <c r="AA1670" s="23">
        <v>8.0461538461538495</v>
      </c>
      <c r="AO1670" s="14"/>
    </row>
    <row r="1671" spans="17:41" x14ac:dyDescent="0.3">
      <c r="Q1671" s="93">
        <v>46177</v>
      </c>
      <c r="R1671" t="s">
        <v>496</v>
      </c>
      <c r="S1671" t="s">
        <v>399</v>
      </c>
      <c r="T1671" s="14">
        <v>21150</v>
      </c>
      <c r="W1671" s="20">
        <v>46150</v>
      </c>
      <c r="X1671" t="s">
        <v>279</v>
      </c>
      <c r="Y1671" s="23">
        <v>8.3230769230769202</v>
      </c>
      <c r="Z1671" s="23">
        <v>7.8461538461538396</v>
      </c>
      <c r="AA1671" s="23">
        <v>8.0846153846153808</v>
      </c>
      <c r="AO1671" s="14"/>
    </row>
    <row r="1672" spans="17:41" x14ac:dyDescent="0.3">
      <c r="Q1672" s="93">
        <v>46177</v>
      </c>
      <c r="R1672" t="s">
        <v>497</v>
      </c>
      <c r="S1672" t="s">
        <v>399</v>
      </c>
      <c r="T1672" s="14">
        <v>397.61059999999998</v>
      </c>
      <c r="W1672" s="20">
        <v>46150</v>
      </c>
      <c r="X1672" t="s">
        <v>280</v>
      </c>
      <c r="Y1672" s="23">
        <v>8.3538461538461508</v>
      </c>
      <c r="Z1672" s="23">
        <v>7.87692307692308</v>
      </c>
      <c r="AA1672" s="23">
        <v>8.1153846153846096</v>
      </c>
      <c r="AO1672" s="14"/>
    </row>
    <row r="1673" spans="17:41" x14ac:dyDescent="0.3">
      <c r="Q1673" s="93">
        <v>46177</v>
      </c>
      <c r="R1673" t="s">
        <v>498</v>
      </c>
      <c r="S1673" t="s">
        <v>399</v>
      </c>
      <c r="T1673" s="14">
        <v>14800</v>
      </c>
      <c r="W1673" s="20">
        <v>46150</v>
      </c>
      <c r="X1673" t="s">
        <v>281</v>
      </c>
      <c r="Y1673" s="23">
        <v>8.3692307692307697</v>
      </c>
      <c r="Z1673" s="23">
        <v>7.89230769230769</v>
      </c>
      <c r="AA1673" s="23">
        <v>8.1307692307692303</v>
      </c>
      <c r="AO1673" s="14"/>
    </row>
    <row r="1674" spans="17:41" x14ac:dyDescent="0.3">
      <c r="Q1674" s="93">
        <v>46176</v>
      </c>
      <c r="R1674" t="s">
        <v>479</v>
      </c>
      <c r="S1674" t="s">
        <v>399</v>
      </c>
      <c r="T1674" s="14">
        <v>15197.6106</v>
      </c>
      <c r="W1674" s="20">
        <v>46153</v>
      </c>
      <c r="X1674" t="s">
        <v>270</v>
      </c>
      <c r="Y1674" s="23">
        <v>7.7666666666666702</v>
      </c>
      <c r="Z1674" s="23">
        <v>7.4083333333333297</v>
      </c>
      <c r="AA1674" s="23">
        <v>7.5875000000000004</v>
      </c>
      <c r="AO1674" s="14"/>
    </row>
    <row r="1675" spans="17:41" x14ac:dyDescent="0.3">
      <c r="Q1675" s="93">
        <v>46176</v>
      </c>
      <c r="R1675" t="s">
        <v>364</v>
      </c>
      <c r="S1675" t="s">
        <v>399</v>
      </c>
      <c r="T1675" s="14">
        <v>18656</v>
      </c>
      <c r="W1675" s="20">
        <v>46153</v>
      </c>
      <c r="X1675" t="s">
        <v>271</v>
      </c>
      <c r="Y1675" s="23">
        <v>7.82</v>
      </c>
      <c r="Z1675" s="23">
        <v>7.42</v>
      </c>
      <c r="AA1675" s="23">
        <v>7.62</v>
      </c>
      <c r="AO1675" s="14"/>
    </row>
    <row r="1676" spans="17:41" x14ac:dyDescent="0.3">
      <c r="Q1676" s="93">
        <v>46176</v>
      </c>
      <c r="R1676" t="s">
        <v>491</v>
      </c>
      <c r="S1676" t="s">
        <v>399</v>
      </c>
      <c r="T1676" s="14">
        <v>397.61059999999998</v>
      </c>
      <c r="W1676" s="20">
        <v>46153</v>
      </c>
      <c r="X1676" t="s">
        <v>272</v>
      </c>
      <c r="Y1676" s="23">
        <v>8</v>
      </c>
      <c r="Z1676" s="23">
        <v>7.5</v>
      </c>
      <c r="AA1676" s="23">
        <v>7.75</v>
      </c>
      <c r="AO1676" s="14"/>
    </row>
    <row r="1677" spans="17:41" x14ac:dyDescent="0.3">
      <c r="Q1677" s="93">
        <v>46176</v>
      </c>
      <c r="R1677" t="s">
        <v>492</v>
      </c>
      <c r="S1677" t="s">
        <v>399</v>
      </c>
      <c r="T1677" s="14">
        <v>14800</v>
      </c>
      <c r="W1677" s="20">
        <v>46153</v>
      </c>
      <c r="X1677" t="s">
        <v>273</v>
      </c>
      <c r="Y1677" s="23">
        <v>8.1153846153846096</v>
      </c>
      <c r="Z1677" s="23">
        <v>7.6461538461538403</v>
      </c>
      <c r="AA1677" s="23">
        <v>7.8807692307692303</v>
      </c>
      <c r="AO1677" s="14"/>
    </row>
    <row r="1678" spans="17:41" x14ac:dyDescent="0.3">
      <c r="Q1678" s="93">
        <v>46176</v>
      </c>
      <c r="R1678" t="s">
        <v>496</v>
      </c>
      <c r="S1678" t="s">
        <v>399</v>
      </c>
      <c r="T1678" s="14">
        <v>22150</v>
      </c>
      <c r="W1678" s="20">
        <v>46153</v>
      </c>
      <c r="X1678" t="s">
        <v>274</v>
      </c>
      <c r="Y1678" s="23">
        <v>8.1461538461538403</v>
      </c>
      <c r="Z1678" s="23">
        <v>7.6769230769230798</v>
      </c>
      <c r="AA1678" s="23">
        <v>7.9115384615384601</v>
      </c>
      <c r="AO1678" s="14"/>
    </row>
    <row r="1679" spans="17:41" x14ac:dyDescent="0.3">
      <c r="Q1679" s="93">
        <v>46176</v>
      </c>
      <c r="R1679" t="s">
        <v>497</v>
      </c>
      <c r="S1679" t="s">
        <v>399</v>
      </c>
      <c r="T1679" s="14">
        <v>397.61059999999998</v>
      </c>
      <c r="W1679" s="20">
        <v>46153</v>
      </c>
      <c r="X1679" t="s">
        <v>275</v>
      </c>
      <c r="Y1679" s="23">
        <v>8.1653846153846104</v>
      </c>
      <c r="Z1679" s="23">
        <v>7.6961538461538499</v>
      </c>
      <c r="AA1679" s="23">
        <v>7.9307692307692301</v>
      </c>
      <c r="AO1679" s="14"/>
    </row>
    <row r="1680" spans="17:41" x14ac:dyDescent="0.3">
      <c r="Q1680" s="93">
        <v>46176</v>
      </c>
      <c r="R1680" t="s">
        <v>498</v>
      </c>
      <c r="S1680" t="s">
        <v>399</v>
      </c>
      <c r="T1680" s="14">
        <v>14800</v>
      </c>
      <c r="W1680" s="20">
        <v>46153</v>
      </c>
      <c r="X1680" t="s">
        <v>276</v>
      </c>
      <c r="Y1680" s="23">
        <v>8.2038461538461505</v>
      </c>
      <c r="Z1680" s="23">
        <v>7.7269230769230797</v>
      </c>
      <c r="AA1680" s="23">
        <v>7.9653846153846102</v>
      </c>
      <c r="AO1680" s="14"/>
    </row>
    <row r="1681" spans="17:41" x14ac:dyDescent="0.3">
      <c r="Q1681" s="93">
        <v>46176</v>
      </c>
      <c r="R1681" t="s">
        <v>494</v>
      </c>
      <c r="S1681" t="s">
        <v>399</v>
      </c>
      <c r="T1681" s="14">
        <v>0</v>
      </c>
      <c r="W1681" s="20">
        <v>46153</v>
      </c>
      <c r="X1681" t="s">
        <v>277</v>
      </c>
      <c r="Y1681" s="23">
        <v>8.2615384615384606</v>
      </c>
      <c r="Z1681" s="23">
        <v>7.7846153846153801</v>
      </c>
      <c r="AA1681" s="23">
        <v>8.0230769230769194</v>
      </c>
      <c r="AO1681" s="14"/>
    </row>
    <row r="1682" spans="17:41" x14ac:dyDescent="0.3">
      <c r="Q1682" s="93">
        <v>46176</v>
      </c>
      <c r="R1682" t="s">
        <v>495</v>
      </c>
      <c r="S1682" t="s">
        <v>399</v>
      </c>
      <c r="T1682" s="14">
        <v>0</v>
      </c>
      <c r="W1682" s="20">
        <v>46153</v>
      </c>
      <c r="X1682" t="s">
        <v>278</v>
      </c>
      <c r="Y1682" s="23">
        <v>8.2769230769230795</v>
      </c>
      <c r="Z1682" s="23">
        <v>7.8</v>
      </c>
      <c r="AA1682" s="23">
        <v>8.0384615384615401</v>
      </c>
      <c r="AO1682" s="14"/>
    </row>
    <row r="1683" spans="17:41" x14ac:dyDescent="0.3">
      <c r="Q1683" s="93">
        <v>46176</v>
      </c>
      <c r="R1683" t="s">
        <v>493</v>
      </c>
      <c r="S1683" t="s">
        <v>399</v>
      </c>
      <c r="T1683" s="14">
        <v>0</v>
      </c>
      <c r="W1683" s="20">
        <v>46153</v>
      </c>
      <c r="X1683" t="s">
        <v>279</v>
      </c>
      <c r="Y1683" s="23">
        <v>8.3153846153846107</v>
      </c>
      <c r="Z1683" s="23">
        <v>7.8384615384615399</v>
      </c>
      <c r="AA1683" s="23">
        <v>8.0769230769230802</v>
      </c>
      <c r="AO1683" s="14"/>
    </row>
    <row r="1684" spans="17:41" x14ac:dyDescent="0.3">
      <c r="Q1684" s="93">
        <v>46176</v>
      </c>
      <c r="R1684" t="s">
        <v>593</v>
      </c>
      <c r="S1684" t="s">
        <v>399</v>
      </c>
      <c r="T1684" s="14">
        <v>-3494</v>
      </c>
      <c r="W1684" s="20">
        <v>46153</v>
      </c>
      <c r="X1684" t="s">
        <v>280</v>
      </c>
      <c r="Y1684" s="23">
        <v>8.3461538461538396</v>
      </c>
      <c r="Z1684" s="23">
        <v>7.8692307692307697</v>
      </c>
      <c r="AA1684" s="23">
        <v>8.1076923076923109</v>
      </c>
      <c r="AO1684" s="14"/>
    </row>
    <row r="1685" spans="17:41" x14ac:dyDescent="0.3">
      <c r="Q1685" s="93">
        <v>46176</v>
      </c>
      <c r="R1685" t="s">
        <v>594</v>
      </c>
      <c r="S1685" t="s">
        <v>399</v>
      </c>
      <c r="T1685" s="14">
        <v>0</v>
      </c>
      <c r="W1685" s="20">
        <v>46153</v>
      </c>
      <c r="X1685" t="s">
        <v>281</v>
      </c>
      <c r="Y1685" s="23">
        <v>8.3615384615384603</v>
      </c>
      <c r="Z1685" s="23">
        <v>7.8846153846153797</v>
      </c>
      <c r="AA1685" s="23">
        <v>8.1230769230769209</v>
      </c>
      <c r="AO1685" s="14"/>
    </row>
    <row r="1686" spans="17:41" x14ac:dyDescent="0.3">
      <c r="Q1686" s="93">
        <v>46176</v>
      </c>
      <c r="R1686" t="s">
        <v>595</v>
      </c>
      <c r="S1686" t="s">
        <v>399</v>
      </c>
      <c r="T1686" s="14">
        <v>0</v>
      </c>
      <c r="W1686" s="20">
        <v>46098</v>
      </c>
      <c r="X1686" t="s">
        <v>274</v>
      </c>
      <c r="Y1686" s="23">
        <v>7.7461538461538497</v>
      </c>
      <c r="Z1686" s="23">
        <v>7.2846153846153898</v>
      </c>
      <c r="AA1686" s="23">
        <v>7.5153846153846198</v>
      </c>
      <c r="AO1686" s="14"/>
    </row>
    <row r="1687" spans="17:41" x14ac:dyDescent="0.3">
      <c r="Q1687" s="93">
        <v>46176</v>
      </c>
      <c r="R1687" t="s">
        <v>479</v>
      </c>
      <c r="S1687" t="s">
        <v>395</v>
      </c>
      <c r="T1687" s="14">
        <v>11340.0485996066</v>
      </c>
      <c r="W1687" s="20">
        <v>46098</v>
      </c>
      <c r="X1687" t="s">
        <v>275</v>
      </c>
      <c r="Y1687" s="23">
        <v>7.8</v>
      </c>
      <c r="Z1687" s="23">
        <v>7.3384615384615399</v>
      </c>
      <c r="AA1687" s="23">
        <v>7.5692307692307699</v>
      </c>
      <c r="AO1687" s="14"/>
    </row>
    <row r="1688" spans="17:41" x14ac:dyDescent="0.3">
      <c r="Q1688" s="93">
        <v>46176</v>
      </c>
      <c r="R1688" t="s">
        <v>479</v>
      </c>
      <c r="S1688" t="s">
        <v>415</v>
      </c>
      <c r="T1688" s="14">
        <v>7.1479080889202402</v>
      </c>
      <c r="W1688" s="20">
        <v>46098</v>
      </c>
      <c r="X1688" t="s">
        <v>276</v>
      </c>
      <c r="Y1688" s="23">
        <v>7.8307692307692296</v>
      </c>
      <c r="Z1688" s="23">
        <v>7.3692307692307697</v>
      </c>
      <c r="AA1688" s="23">
        <v>7.6</v>
      </c>
      <c r="AO1688" s="14"/>
    </row>
    <row r="1689" spans="17:41" x14ac:dyDescent="0.3">
      <c r="Q1689" s="93">
        <v>46176</v>
      </c>
      <c r="R1689" t="s">
        <v>364</v>
      </c>
      <c r="S1689" t="s">
        <v>415</v>
      </c>
      <c r="T1689" s="14">
        <v>6.4365533801256003</v>
      </c>
      <c r="W1689" s="20">
        <v>46098</v>
      </c>
      <c r="X1689" t="s">
        <v>277</v>
      </c>
      <c r="Y1689" s="23">
        <v>7.8846153846153797</v>
      </c>
      <c r="Z1689" s="23">
        <v>7.4230769230769198</v>
      </c>
      <c r="AA1689" s="23">
        <v>7.6538461538461497</v>
      </c>
      <c r="AO1689" s="14"/>
    </row>
    <row r="1690" spans="17:41" x14ac:dyDescent="0.3">
      <c r="Q1690" s="93">
        <v>46176</v>
      </c>
      <c r="R1690" t="s">
        <v>516</v>
      </c>
      <c r="S1690" t="s">
        <v>415</v>
      </c>
      <c r="T1690" s="14">
        <v>6.72990026491461</v>
      </c>
      <c r="W1690" s="20">
        <v>46098</v>
      </c>
      <c r="X1690" t="s">
        <v>278</v>
      </c>
      <c r="Y1690" s="23">
        <v>7.8846153846153797</v>
      </c>
      <c r="Z1690" s="23">
        <v>7.4230769230769198</v>
      </c>
      <c r="AA1690" s="23">
        <v>7.6538461538461497</v>
      </c>
      <c r="AO1690" s="14"/>
    </row>
    <row r="1691" spans="17:41" x14ac:dyDescent="0.3">
      <c r="Q1691" s="93">
        <v>46176</v>
      </c>
      <c r="R1691" t="s">
        <v>1288</v>
      </c>
      <c r="S1691" t="s">
        <v>415</v>
      </c>
      <c r="T1691" s="14">
        <v>7.1479080889202402</v>
      </c>
      <c r="W1691" s="20">
        <v>46098</v>
      </c>
      <c r="X1691" t="s">
        <v>279</v>
      </c>
      <c r="Y1691" s="23">
        <v>7.9230769230769198</v>
      </c>
      <c r="Z1691" s="23">
        <v>7.4615384615384599</v>
      </c>
      <c r="AA1691" s="23">
        <v>7.6923076923076898</v>
      </c>
      <c r="AO1691" s="14"/>
    </row>
    <row r="1692" spans="17:41" x14ac:dyDescent="0.3">
      <c r="Q1692" s="93">
        <v>46176</v>
      </c>
      <c r="R1692" t="s">
        <v>496</v>
      </c>
      <c r="S1692" t="s">
        <v>415</v>
      </c>
      <c r="T1692" s="14">
        <v>6.3990476190476198</v>
      </c>
      <c r="W1692" s="20">
        <v>46098</v>
      </c>
      <c r="X1692" t="s">
        <v>280</v>
      </c>
      <c r="Y1692" s="23">
        <v>7.9461538461538499</v>
      </c>
      <c r="Z1692" s="23">
        <v>7.4846153846153802</v>
      </c>
      <c r="AA1692" s="23">
        <v>7.7153846153846199</v>
      </c>
      <c r="AO1692" s="14"/>
    </row>
    <row r="1693" spans="17:41" x14ac:dyDescent="0.3">
      <c r="Q1693" s="93">
        <v>46176</v>
      </c>
      <c r="R1693" t="s">
        <v>1290</v>
      </c>
      <c r="S1693" t="s">
        <v>415</v>
      </c>
      <c r="T1693" s="14">
        <v>6.6882872867507697</v>
      </c>
      <c r="W1693" s="20">
        <v>46098</v>
      </c>
      <c r="X1693" t="s">
        <v>281</v>
      </c>
      <c r="Y1693" s="23">
        <v>7.9538461538461496</v>
      </c>
      <c r="Z1693" s="23">
        <v>7.4923076923076897</v>
      </c>
      <c r="AA1693" s="23">
        <v>7.7230769230769196</v>
      </c>
      <c r="AO1693" s="14"/>
    </row>
    <row r="1694" spans="17:41" x14ac:dyDescent="0.3">
      <c r="Q1694" s="93">
        <v>46176</v>
      </c>
      <c r="R1694" t="s">
        <v>364</v>
      </c>
      <c r="S1694" t="s">
        <v>997</v>
      </c>
      <c r="T1694" s="14">
        <v>20656</v>
      </c>
      <c r="W1694" s="20">
        <v>46099</v>
      </c>
      <c r="X1694" t="s">
        <v>270</v>
      </c>
      <c r="Y1694" s="23">
        <v>7.9</v>
      </c>
      <c r="Z1694" s="23">
        <v>7.4</v>
      </c>
      <c r="AA1694" s="23">
        <v>7.65</v>
      </c>
      <c r="AO1694" s="14"/>
    </row>
    <row r="1695" spans="17:41" x14ac:dyDescent="0.3">
      <c r="Q1695" s="93">
        <v>46176</v>
      </c>
      <c r="R1695" t="s">
        <v>496</v>
      </c>
      <c r="S1695" t="s">
        <v>997</v>
      </c>
      <c r="T1695" s="14">
        <v>24150</v>
      </c>
      <c r="W1695" s="20">
        <v>46099</v>
      </c>
      <c r="X1695" t="s">
        <v>271</v>
      </c>
      <c r="Y1695" s="23">
        <v>7.7333333333333298</v>
      </c>
      <c r="Z1695" s="23">
        <v>7.4249999999999998</v>
      </c>
      <c r="AA1695" s="23">
        <v>7.5791666666666702</v>
      </c>
      <c r="AO1695" s="14"/>
    </row>
    <row r="1696" spans="17:41" x14ac:dyDescent="0.3">
      <c r="Q1696" s="93">
        <v>46175</v>
      </c>
      <c r="R1696" t="s">
        <v>479</v>
      </c>
      <c r="S1696" t="s">
        <v>399</v>
      </c>
      <c r="T1696" s="14">
        <v>15197.6106</v>
      </c>
      <c r="W1696" s="20">
        <v>46099</v>
      </c>
      <c r="X1696" t="s">
        <v>272</v>
      </c>
      <c r="Y1696" s="23">
        <v>7.7666666666666702</v>
      </c>
      <c r="Z1696" s="23">
        <v>7.2666666666666702</v>
      </c>
      <c r="AA1696" s="23">
        <v>7.5166666666666702</v>
      </c>
      <c r="AO1696" s="14"/>
    </row>
    <row r="1697" spans="17:41" x14ac:dyDescent="0.3">
      <c r="Q1697" s="93">
        <v>46175</v>
      </c>
      <c r="R1697" t="s">
        <v>364</v>
      </c>
      <c r="S1697" t="s">
        <v>399</v>
      </c>
      <c r="T1697" s="14">
        <v>20726</v>
      </c>
      <c r="W1697" s="20">
        <v>46099</v>
      </c>
      <c r="X1697" t="s">
        <v>273</v>
      </c>
      <c r="Y1697" s="23">
        <v>7.7846153846153801</v>
      </c>
      <c r="Z1697" s="23">
        <v>7.3230769230769202</v>
      </c>
      <c r="AA1697" s="23">
        <v>7.5538461538461501</v>
      </c>
      <c r="AO1697" s="14"/>
    </row>
    <row r="1698" spans="17:41" x14ac:dyDescent="0.3">
      <c r="Q1698" s="93">
        <v>46175</v>
      </c>
      <c r="R1698" t="s">
        <v>491</v>
      </c>
      <c r="S1698" t="s">
        <v>399</v>
      </c>
      <c r="T1698" s="14">
        <v>397.61059999999998</v>
      </c>
      <c r="W1698" s="20">
        <v>46099</v>
      </c>
      <c r="X1698" t="s">
        <v>274</v>
      </c>
      <c r="Y1698" s="23">
        <v>7.7461538461538497</v>
      </c>
      <c r="Z1698" s="23">
        <v>7.2846153846153898</v>
      </c>
      <c r="AA1698" s="23">
        <v>7.5153846153846198</v>
      </c>
      <c r="AO1698" s="14"/>
    </row>
    <row r="1699" spans="17:41" x14ac:dyDescent="0.3">
      <c r="Q1699" s="93">
        <v>46175</v>
      </c>
      <c r="R1699" t="s">
        <v>492</v>
      </c>
      <c r="S1699" t="s">
        <v>399</v>
      </c>
      <c r="T1699" s="14">
        <v>14800</v>
      </c>
      <c r="W1699" s="20">
        <v>46099</v>
      </c>
      <c r="X1699" t="s">
        <v>275</v>
      </c>
      <c r="Y1699" s="23">
        <v>7.8</v>
      </c>
      <c r="Z1699" s="23">
        <v>7.3384615384615399</v>
      </c>
      <c r="AA1699" s="23">
        <v>7.5692307692307699</v>
      </c>
      <c r="AO1699" s="14"/>
    </row>
    <row r="1700" spans="17:41" x14ac:dyDescent="0.3">
      <c r="Q1700" s="93">
        <v>46175</v>
      </c>
      <c r="R1700" t="s">
        <v>496</v>
      </c>
      <c r="S1700" t="s">
        <v>399</v>
      </c>
      <c r="T1700" s="14">
        <v>21950</v>
      </c>
      <c r="W1700" s="20">
        <v>46099</v>
      </c>
      <c r="X1700" t="s">
        <v>276</v>
      </c>
      <c r="Y1700" s="23">
        <v>7.8307692307692296</v>
      </c>
      <c r="Z1700" s="23">
        <v>7.3692307692307697</v>
      </c>
      <c r="AA1700" s="23">
        <v>7.6</v>
      </c>
      <c r="AO1700" s="14"/>
    </row>
    <row r="1701" spans="17:41" x14ac:dyDescent="0.3">
      <c r="Q1701" s="93">
        <v>46175</v>
      </c>
      <c r="R1701" t="s">
        <v>497</v>
      </c>
      <c r="S1701" t="s">
        <v>399</v>
      </c>
      <c r="T1701" s="14">
        <v>397.61059999999998</v>
      </c>
      <c r="W1701" s="20">
        <v>46099</v>
      </c>
      <c r="X1701" t="s">
        <v>277</v>
      </c>
      <c r="Y1701" s="23">
        <v>7.8846153846153797</v>
      </c>
      <c r="Z1701" s="23">
        <v>7.4230769230769198</v>
      </c>
      <c r="AA1701" s="23">
        <v>7.6538461538461497</v>
      </c>
      <c r="AO1701" s="14"/>
    </row>
    <row r="1702" spans="17:41" x14ac:dyDescent="0.3">
      <c r="Q1702" s="93">
        <v>46175</v>
      </c>
      <c r="R1702" t="s">
        <v>498</v>
      </c>
      <c r="S1702" t="s">
        <v>399</v>
      </c>
      <c r="T1702" s="14">
        <v>14800</v>
      </c>
      <c r="W1702" s="20">
        <v>46099</v>
      </c>
      <c r="X1702" t="s">
        <v>278</v>
      </c>
      <c r="Y1702" s="23">
        <v>7.8846153846153797</v>
      </c>
      <c r="Z1702" s="23">
        <v>7.4230769230769198</v>
      </c>
      <c r="AA1702" s="23">
        <v>7.6538461538461497</v>
      </c>
      <c r="AO1702" s="14"/>
    </row>
    <row r="1703" spans="17:41" x14ac:dyDescent="0.3">
      <c r="Q1703" s="93">
        <v>46175</v>
      </c>
      <c r="R1703" t="s">
        <v>494</v>
      </c>
      <c r="S1703" t="s">
        <v>399</v>
      </c>
      <c r="T1703" s="14">
        <v>0</v>
      </c>
      <c r="W1703" s="20">
        <v>46099</v>
      </c>
      <c r="X1703" t="s">
        <v>279</v>
      </c>
      <c r="Y1703" s="23">
        <v>7.9230769230769198</v>
      </c>
      <c r="Z1703" s="23">
        <v>7.4615384615384599</v>
      </c>
      <c r="AA1703" s="23">
        <v>7.6923076923076898</v>
      </c>
      <c r="AO1703" s="14"/>
    </row>
    <row r="1704" spans="17:41" x14ac:dyDescent="0.3">
      <c r="Q1704" s="93">
        <v>46175</v>
      </c>
      <c r="R1704" t="s">
        <v>495</v>
      </c>
      <c r="S1704" t="s">
        <v>399</v>
      </c>
      <c r="T1704" s="14">
        <v>0</v>
      </c>
      <c r="W1704" s="20">
        <v>46099</v>
      </c>
      <c r="X1704" t="s">
        <v>280</v>
      </c>
      <c r="Y1704" s="23">
        <v>7.9461538461538499</v>
      </c>
      <c r="Z1704" s="23">
        <v>7.4846153846153802</v>
      </c>
      <c r="AA1704" s="23">
        <v>7.7153846153846199</v>
      </c>
      <c r="AO1704" s="14"/>
    </row>
    <row r="1705" spans="17:41" x14ac:dyDescent="0.3">
      <c r="Q1705" s="93">
        <v>46175</v>
      </c>
      <c r="R1705" t="s">
        <v>493</v>
      </c>
      <c r="S1705" t="s">
        <v>399</v>
      </c>
      <c r="T1705" s="14">
        <v>0</v>
      </c>
      <c r="W1705" s="20">
        <v>46099</v>
      </c>
      <c r="X1705" t="s">
        <v>281</v>
      </c>
      <c r="Y1705" s="23">
        <v>7.9538461538461496</v>
      </c>
      <c r="Z1705" s="23">
        <v>7.4923076923076897</v>
      </c>
      <c r="AA1705" s="23">
        <v>7.7230769230769196</v>
      </c>
      <c r="AO1705" s="14"/>
    </row>
    <row r="1706" spans="17:41" x14ac:dyDescent="0.3">
      <c r="Q1706" s="93">
        <v>46175</v>
      </c>
      <c r="R1706" t="s">
        <v>593</v>
      </c>
      <c r="S1706" t="s">
        <v>399</v>
      </c>
      <c r="T1706" s="14">
        <v>-1224</v>
      </c>
      <c r="W1706" s="20">
        <v>46100</v>
      </c>
      <c r="X1706" t="s">
        <v>270</v>
      </c>
      <c r="Y1706" s="23">
        <v>7.9</v>
      </c>
      <c r="Z1706" s="23">
        <v>7.4</v>
      </c>
      <c r="AA1706" s="23">
        <v>7.65</v>
      </c>
      <c r="AO1706" s="14"/>
    </row>
    <row r="1707" spans="17:41" x14ac:dyDescent="0.3">
      <c r="Q1707" s="93">
        <v>46175</v>
      </c>
      <c r="R1707" t="s">
        <v>594</v>
      </c>
      <c r="S1707" t="s">
        <v>399</v>
      </c>
      <c r="T1707" s="14">
        <v>0</v>
      </c>
      <c r="W1707" s="20">
        <v>46100</v>
      </c>
      <c r="X1707" t="s">
        <v>271</v>
      </c>
      <c r="Y1707" s="23">
        <v>7.7333333333333298</v>
      </c>
      <c r="Z1707" s="23">
        <v>7.4249999999999998</v>
      </c>
      <c r="AA1707" s="23">
        <v>7.5791666666666702</v>
      </c>
      <c r="AO1707" s="14"/>
    </row>
    <row r="1708" spans="17:41" x14ac:dyDescent="0.3">
      <c r="Q1708" s="93">
        <v>46175</v>
      </c>
      <c r="R1708" t="s">
        <v>595</v>
      </c>
      <c r="S1708" t="s">
        <v>399</v>
      </c>
      <c r="T1708" s="14">
        <v>0</v>
      </c>
      <c r="W1708" s="20">
        <v>46100</v>
      </c>
      <c r="X1708" t="s">
        <v>272</v>
      </c>
      <c r="Y1708" s="23">
        <v>7.8</v>
      </c>
      <c r="Z1708" s="23">
        <v>7.3</v>
      </c>
      <c r="AA1708" s="23">
        <v>7.55</v>
      </c>
      <c r="AO1708" s="14"/>
    </row>
    <row r="1709" spans="17:41" x14ac:dyDescent="0.3">
      <c r="Q1709" s="93">
        <v>46175</v>
      </c>
      <c r="R1709" t="s">
        <v>479</v>
      </c>
      <c r="S1709" t="s">
        <v>395</v>
      </c>
      <c r="T1709" s="14">
        <v>11341.184783176701</v>
      </c>
      <c r="W1709" s="20">
        <v>46100</v>
      </c>
      <c r="X1709" t="s">
        <v>273</v>
      </c>
      <c r="Y1709" s="23">
        <v>7.8076923076923102</v>
      </c>
      <c r="Z1709" s="23">
        <v>7.3461538461538396</v>
      </c>
      <c r="AA1709" s="23">
        <v>7.5769230769230802</v>
      </c>
      <c r="AO1709" s="14"/>
    </row>
    <row r="1710" spans="17:41" x14ac:dyDescent="0.3">
      <c r="Q1710" s="93">
        <v>46175</v>
      </c>
      <c r="R1710" t="s">
        <v>479</v>
      </c>
      <c r="S1710" t="s">
        <v>415</v>
      </c>
      <c r="T1710" s="14">
        <v>7.1479080889202402</v>
      </c>
      <c r="W1710" s="20">
        <v>46100</v>
      </c>
      <c r="X1710" t="s">
        <v>274</v>
      </c>
      <c r="Y1710" s="23">
        <v>7.7692307692307701</v>
      </c>
      <c r="Z1710" s="23">
        <v>7.3076923076923102</v>
      </c>
      <c r="AA1710" s="23">
        <v>7.5384615384615401</v>
      </c>
      <c r="AO1710" s="14"/>
    </row>
    <row r="1711" spans="17:41" x14ac:dyDescent="0.3">
      <c r="Q1711" s="93">
        <v>46175</v>
      </c>
      <c r="R1711" t="s">
        <v>364</v>
      </c>
      <c r="S1711" t="s">
        <v>415</v>
      </c>
      <c r="T1711" s="14">
        <v>6.32751034057907</v>
      </c>
      <c r="W1711" s="20">
        <v>46100</v>
      </c>
      <c r="X1711" t="s">
        <v>275</v>
      </c>
      <c r="Y1711" s="23">
        <v>7.8230769230769202</v>
      </c>
      <c r="Z1711" s="23">
        <v>7.3615384615384603</v>
      </c>
      <c r="AA1711" s="23">
        <v>7.5923076923076902</v>
      </c>
      <c r="AO1711" s="14"/>
    </row>
    <row r="1712" spans="17:41" x14ac:dyDescent="0.3">
      <c r="Q1712" s="93">
        <v>46175</v>
      </c>
      <c r="R1712" t="s">
        <v>516</v>
      </c>
      <c r="S1712" t="s">
        <v>415</v>
      </c>
      <c r="T1712" s="14">
        <v>6.6562787600186999</v>
      </c>
      <c r="W1712" s="20">
        <v>46100</v>
      </c>
      <c r="X1712" t="s">
        <v>276</v>
      </c>
      <c r="Y1712" s="23">
        <v>7.8538461538461499</v>
      </c>
      <c r="Z1712" s="23">
        <v>7.39230769230769</v>
      </c>
      <c r="AA1712" s="23">
        <v>7.62307692307692</v>
      </c>
      <c r="AO1712" s="14"/>
    </row>
    <row r="1713" spans="17:41" x14ac:dyDescent="0.3">
      <c r="Q1713" s="93">
        <v>46175</v>
      </c>
      <c r="R1713" t="s">
        <v>1288</v>
      </c>
      <c r="S1713" t="s">
        <v>415</v>
      </c>
      <c r="T1713" s="14">
        <v>7.1479080889202402</v>
      </c>
      <c r="W1713" s="20">
        <v>46100</v>
      </c>
      <c r="X1713" t="s">
        <v>277</v>
      </c>
      <c r="Y1713" s="23">
        <v>7.9153846153846104</v>
      </c>
      <c r="Z1713" s="23">
        <v>7.4538461538461496</v>
      </c>
      <c r="AA1713" s="23">
        <v>7.6846153846153902</v>
      </c>
      <c r="AO1713" s="14"/>
    </row>
    <row r="1714" spans="17:41" x14ac:dyDescent="0.3">
      <c r="Q1714" s="93">
        <v>46175</v>
      </c>
      <c r="R1714" t="s">
        <v>496</v>
      </c>
      <c r="S1714" t="s">
        <v>415</v>
      </c>
      <c r="T1714" s="14">
        <v>6.3593736951983297</v>
      </c>
      <c r="W1714" s="20">
        <v>46100</v>
      </c>
      <c r="X1714" t="s">
        <v>278</v>
      </c>
      <c r="Y1714" s="23">
        <v>7.9153846153846104</v>
      </c>
      <c r="Z1714" s="23">
        <v>7.4538461538461496</v>
      </c>
      <c r="AA1714" s="23">
        <v>7.6846153846153902</v>
      </c>
      <c r="AO1714" s="14"/>
    </row>
    <row r="1715" spans="17:41" x14ac:dyDescent="0.3">
      <c r="Q1715" s="93">
        <v>46175</v>
      </c>
      <c r="R1715" t="s">
        <v>1290</v>
      </c>
      <c r="S1715" t="s">
        <v>415</v>
      </c>
      <c r="T1715" s="14">
        <v>6.6654929826036398</v>
      </c>
      <c r="W1715" s="20">
        <v>46100</v>
      </c>
      <c r="X1715" t="s">
        <v>279</v>
      </c>
      <c r="Y1715" s="23">
        <v>7.9384615384615396</v>
      </c>
      <c r="Z1715" s="23">
        <v>7.4769230769230797</v>
      </c>
      <c r="AA1715" s="23">
        <v>7.7076923076923096</v>
      </c>
      <c r="AO1715" s="14"/>
    </row>
    <row r="1716" spans="17:41" x14ac:dyDescent="0.3">
      <c r="Q1716" s="93">
        <v>46175</v>
      </c>
      <c r="R1716" t="s">
        <v>364</v>
      </c>
      <c r="S1716" t="s">
        <v>997</v>
      </c>
      <c r="T1716" s="14">
        <v>22726</v>
      </c>
      <c r="W1716" s="20">
        <v>46100</v>
      </c>
      <c r="X1716" t="s">
        <v>280</v>
      </c>
      <c r="Y1716" s="23">
        <v>7.9615384615384599</v>
      </c>
      <c r="Z1716" s="23">
        <v>7.5</v>
      </c>
      <c r="AA1716" s="23">
        <v>7.7307692307692299</v>
      </c>
      <c r="AO1716" s="14"/>
    </row>
    <row r="1717" spans="17:41" x14ac:dyDescent="0.3">
      <c r="Q1717" s="93">
        <v>46175</v>
      </c>
      <c r="R1717" t="s">
        <v>496</v>
      </c>
      <c r="S1717" t="s">
        <v>997</v>
      </c>
      <c r="T1717" s="14">
        <v>23950</v>
      </c>
      <c r="W1717" s="20">
        <v>46100</v>
      </c>
      <c r="X1717" t="s">
        <v>281</v>
      </c>
      <c r="Y1717" s="23">
        <v>7.9692307692307702</v>
      </c>
      <c r="Z1717" s="23">
        <v>7.5076923076923103</v>
      </c>
      <c r="AA1717" s="23">
        <v>7.7384615384615403</v>
      </c>
      <c r="AO1717" s="14"/>
    </row>
    <row r="1718" spans="17:41" x14ac:dyDescent="0.3">
      <c r="Q1718" s="93">
        <v>46174</v>
      </c>
      <c r="R1718" t="s">
        <v>479</v>
      </c>
      <c r="S1718" t="s">
        <v>399</v>
      </c>
      <c r="T1718" s="14">
        <v>15197.6106</v>
      </c>
      <c r="W1718" s="20">
        <v>46101</v>
      </c>
      <c r="X1718" t="s">
        <v>270</v>
      </c>
      <c r="Y1718" s="23">
        <v>7.9</v>
      </c>
      <c r="Z1718" s="23">
        <v>7.4</v>
      </c>
      <c r="AA1718" s="23">
        <v>7.65</v>
      </c>
      <c r="AO1718" s="14"/>
    </row>
    <row r="1719" spans="17:41" x14ac:dyDescent="0.3">
      <c r="Q1719" s="93">
        <v>46174</v>
      </c>
      <c r="R1719" t="s">
        <v>364</v>
      </c>
      <c r="S1719" t="s">
        <v>399</v>
      </c>
      <c r="T1719" s="14">
        <v>20650</v>
      </c>
      <c r="W1719" s="20">
        <v>46101</v>
      </c>
      <c r="X1719" t="s">
        <v>271</v>
      </c>
      <c r="Y1719" s="23">
        <v>7.7333333333333298</v>
      </c>
      <c r="Z1719" s="23">
        <v>7.4249999999999998</v>
      </c>
      <c r="AA1719" s="23">
        <v>7.5791666666666702</v>
      </c>
      <c r="AO1719" s="14"/>
    </row>
    <row r="1720" spans="17:41" x14ac:dyDescent="0.3">
      <c r="Q1720" s="93">
        <v>46174</v>
      </c>
      <c r="R1720" t="s">
        <v>491</v>
      </c>
      <c r="S1720" t="s">
        <v>399</v>
      </c>
      <c r="T1720" s="14">
        <v>397.61059999999998</v>
      </c>
      <c r="W1720" s="20">
        <v>46101</v>
      </c>
      <c r="X1720" t="s">
        <v>272</v>
      </c>
      <c r="Y1720" s="23">
        <v>7.8</v>
      </c>
      <c r="Z1720" s="23">
        <v>7.3</v>
      </c>
      <c r="AA1720" s="23">
        <v>7.55</v>
      </c>
      <c r="AO1720" s="14"/>
    </row>
    <row r="1721" spans="17:41" x14ac:dyDescent="0.3">
      <c r="Q1721" s="93">
        <v>46174</v>
      </c>
      <c r="R1721" t="s">
        <v>492</v>
      </c>
      <c r="S1721" t="s">
        <v>399</v>
      </c>
      <c r="T1721" s="14">
        <v>14800</v>
      </c>
      <c r="W1721" s="20">
        <v>46101</v>
      </c>
      <c r="X1721" t="s">
        <v>273</v>
      </c>
      <c r="Y1721" s="23">
        <v>7.8076923076923102</v>
      </c>
      <c r="Z1721" s="23">
        <v>7.3461538461538396</v>
      </c>
      <c r="AA1721" s="23">
        <v>7.5769230769230802</v>
      </c>
      <c r="AO1721" s="14"/>
    </row>
    <row r="1722" spans="17:41" x14ac:dyDescent="0.3">
      <c r="Q1722" s="93">
        <v>46174</v>
      </c>
      <c r="R1722" t="s">
        <v>496</v>
      </c>
      <c r="S1722" t="s">
        <v>399</v>
      </c>
      <c r="T1722" s="14">
        <v>20850</v>
      </c>
      <c r="W1722" s="20">
        <v>46101</v>
      </c>
      <c r="X1722" t="s">
        <v>274</v>
      </c>
      <c r="Y1722" s="23">
        <v>7.7692307692307701</v>
      </c>
      <c r="Z1722" s="23">
        <v>7.3076923076923102</v>
      </c>
      <c r="AA1722" s="23">
        <v>7.5384615384615401</v>
      </c>
      <c r="AO1722" s="14"/>
    </row>
    <row r="1723" spans="17:41" x14ac:dyDescent="0.3">
      <c r="Q1723" s="93">
        <v>46174</v>
      </c>
      <c r="R1723" t="s">
        <v>497</v>
      </c>
      <c r="S1723" t="s">
        <v>399</v>
      </c>
      <c r="T1723" s="14">
        <v>397.61059999999998</v>
      </c>
      <c r="W1723" s="20">
        <v>46101</v>
      </c>
      <c r="X1723" t="s">
        <v>275</v>
      </c>
      <c r="Y1723" s="23">
        <v>7.8230769230769202</v>
      </c>
      <c r="Z1723" s="23">
        <v>7.3615384615384603</v>
      </c>
      <c r="AA1723" s="23">
        <v>7.5923076923076902</v>
      </c>
      <c r="AO1723" s="14"/>
    </row>
    <row r="1724" spans="17:41" x14ac:dyDescent="0.3">
      <c r="Q1724" s="93">
        <v>46174</v>
      </c>
      <c r="R1724" t="s">
        <v>498</v>
      </c>
      <c r="S1724" t="s">
        <v>399</v>
      </c>
      <c r="T1724" s="14">
        <v>14800</v>
      </c>
      <c r="W1724" s="20">
        <v>46101</v>
      </c>
      <c r="X1724" t="s">
        <v>276</v>
      </c>
      <c r="Y1724" s="23">
        <v>7.8538461538461499</v>
      </c>
      <c r="Z1724" s="23">
        <v>7.39230769230769</v>
      </c>
      <c r="AA1724" s="23">
        <v>7.62307692307692</v>
      </c>
      <c r="AO1724" s="14"/>
    </row>
    <row r="1725" spans="17:41" x14ac:dyDescent="0.3">
      <c r="Q1725" s="93">
        <v>46174</v>
      </c>
      <c r="R1725" t="s">
        <v>494</v>
      </c>
      <c r="S1725" t="s">
        <v>399</v>
      </c>
      <c r="T1725" s="14">
        <v>0</v>
      </c>
      <c r="W1725" s="20">
        <v>46101</v>
      </c>
      <c r="X1725" t="s">
        <v>277</v>
      </c>
      <c r="Y1725" s="23">
        <v>7.9153846153846104</v>
      </c>
      <c r="Z1725" s="23">
        <v>7.4538461538461496</v>
      </c>
      <c r="AA1725" s="23">
        <v>7.6846153846153902</v>
      </c>
      <c r="AO1725" s="14"/>
    </row>
    <row r="1726" spans="17:41" x14ac:dyDescent="0.3">
      <c r="Q1726" s="93">
        <v>46174</v>
      </c>
      <c r="R1726" t="s">
        <v>495</v>
      </c>
      <c r="S1726" t="s">
        <v>399</v>
      </c>
      <c r="T1726" s="14">
        <v>0</v>
      </c>
      <c r="W1726" s="20">
        <v>46101</v>
      </c>
      <c r="X1726" t="s">
        <v>278</v>
      </c>
      <c r="Y1726" s="23">
        <v>7.9153846153846104</v>
      </c>
      <c r="Z1726" s="23">
        <v>7.4538461538461496</v>
      </c>
      <c r="AA1726" s="23">
        <v>7.6846153846153902</v>
      </c>
      <c r="AO1726" s="14"/>
    </row>
    <row r="1727" spans="17:41" x14ac:dyDescent="0.3">
      <c r="Q1727" s="93">
        <v>46174</v>
      </c>
      <c r="R1727" t="s">
        <v>493</v>
      </c>
      <c r="S1727" t="s">
        <v>399</v>
      </c>
      <c r="T1727" s="14">
        <v>0</v>
      </c>
      <c r="W1727" s="20">
        <v>46101</v>
      </c>
      <c r="X1727" t="s">
        <v>279</v>
      </c>
      <c r="Y1727" s="23">
        <v>7.9384615384615396</v>
      </c>
      <c r="Z1727" s="23">
        <v>7.4769230769230797</v>
      </c>
      <c r="AA1727" s="23">
        <v>7.7076923076923096</v>
      </c>
      <c r="AO1727" s="14"/>
    </row>
    <row r="1728" spans="17:41" x14ac:dyDescent="0.3">
      <c r="Q1728" s="93">
        <v>46174</v>
      </c>
      <c r="R1728" t="s">
        <v>593</v>
      </c>
      <c r="S1728" t="s">
        <v>399</v>
      </c>
      <c r="T1728" s="14">
        <v>-200</v>
      </c>
      <c r="W1728" s="20">
        <v>46101</v>
      </c>
      <c r="X1728" t="s">
        <v>280</v>
      </c>
      <c r="Y1728" s="23">
        <v>7.9615384615384599</v>
      </c>
      <c r="Z1728" s="23">
        <v>7.5</v>
      </c>
      <c r="AA1728" s="23">
        <v>7.7307692307692299</v>
      </c>
      <c r="AO1728" s="14"/>
    </row>
    <row r="1729" spans="17:41" x14ac:dyDescent="0.3">
      <c r="Q1729" s="93">
        <v>46174</v>
      </c>
      <c r="R1729" t="s">
        <v>594</v>
      </c>
      <c r="S1729" t="s">
        <v>399</v>
      </c>
      <c r="T1729" s="14">
        <v>0</v>
      </c>
      <c r="W1729" s="20">
        <v>46101</v>
      </c>
      <c r="X1729" t="s">
        <v>281</v>
      </c>
      <c r="Y1729" s="23">
        <v>7.9692307692307702</v>
      </c>
      <c r="Z1729" s="23">
        <v>7.5076923076923103</v>
      </c>
      <c r="AA1729" s="23">
        <v>7.7384615384615403</v>
      </c>
      <c r="AO1729" s="14"/>
    </row>
    <row r="1730" spans="17:41" x14ac:dyDescent="0.3">
      <c r="Q1730" s="93">
        <v>46174</v>
      </c>
      <c r="R1730" t="s">
        <v>595</v>
      </c>
      <c r="S1730" t="s">
        <v>399</v>
      </c>
      <c r="T1730" s="14">
        <v>0</v>
      </c>
      <c r="W1730" s="20">
        <v>46104</v>
      </c>
      <c r="X1730" t="s">
        <v>270</v>
      </c>
      <c r="Y1730" s="23">
        <v>7.9</v>
      </c>
      <c r="Z1730" s="23">
        <v>7.4</v>
      </c>
      <c r="AA1730" s="23">
        <v>7.65</v>
      </c>
      <c r="AO1730" s="14"/>
    </row>
    <row r="1731" spans="17:41" x14ac:dyDescent="0.3">
      <c r="Q1731" s="93">
        <v>46174</v>
      </c>
      <c r="R1731" t="s">
        <v>479</v>
      </c>
      <c r="S1731" t="s">
        <v>395</v>
      </c>
      <c r="T1731" s="14">
        <v>11345.3725913212</v>
      </c>
      <c r="W1731" s="20">
        <v>46104</v>
      </c>
      <c r="X1731" t="s">
        <v>271</v>
      </c>
      <c r="Y1731" s="23">
        <v>7.7333333333333298</v>
      </c>
      <c r="Z1731" s="23">
        <v>7.4249999999999998</v>
      </c>
      <c r="AA1731" s="23">
        <v>7.5791666666666702</v>
      </c>
      <c r="AO1731" s="14"/>
    </row>
    <row r="1732" spans="17:41" x14ac:dyDescent="0.3">
      <c r="Q1732" s="93">
        <v>46174</v>
      </c>
      <c r="R1732" t="s">
        <v>479</v>
      </c>
      <c r="S1732" t="s">
        <v>415</v>
      </c>
      <c r="T1732" s="14">
        <v>7.1479080889202402</v>
      </c>
      <c r="W1732" s="20">
        <v>46104</v>
      </c>
      <c r="X1732" t="s">
        <v>272</v>
      </c>
      <c r="Y1732" s="23">
        <v>7.8</v>
      </c>
      <c r="Z1732" s="23">
        <v>7.3</v>
      </c>
      <c r="AA1732" s="23">
        <v>7.55</v>
      </c>
      <c r="AO1732" s="14"/>
    </row>
    <row r="1733" spans="17:41" x14ac:dyDescent="0.3">
      <c r="Q1733" s="93">
        <v>46174</v>
      </c>
      <c r="R1733" t="s">
        <v>364</v>
      </c>
      <c r="S1733" t="s">
        <v>415</v>
      </c>
      <c r="T1733" s="14">
        <v>6.3539920451718102</v>
      </c>
      <c r="W1733" s="20">
        <v>46104</v>
      </c>
      <c r="X1733" t="s">
        <v>273</v>
      </c>
      <c r="Y1733" s="23">
        <v>7.8076923076923102</v>
      </c>
      <c r="Z1733" s="23">
        <v>7.3461538461538396</v>
      </c>
      <c r="AA1733" s="23">
        <v>7.5769230769230802</v>
      </c>
      <c r="AO1733" s="14"/>
    </row>
    <row r="1734" spans="17:41" x14ac:dyDescent="0.3">
      <c r="Q1734" s="93">
        <v>46174</v>
      </c>
      <c r="R1734" t="s">
        <v>516</v>
      </c>
      <c r="S1734" t="s">
        <v>415</v>
      </c>
      <c r="T1734" s="14">
        <v>6.6717220097789101</v>
      </c>
      <c r="W1734" s="20">
        <v>46104</v>
      </c>
      <c r="X1734" t="s">
        <v>274</v>
      </c>
      <c r="Y1734" s="23">
        <v>7.7692307692307701</v>
      </c>
      <c r="Z1734" s="23">
        <v>7.3076923076923102</v>
      </c>
      <c r="AA1734" s="23">
        <v>7.5384615384615401</v>
      </c>
      <c r="AO1734" s="14"/>
    </row>
    <row r="1735" spans="17:41" x14ac:dyDescent="0.3">
      <c r="Q1735" s="93">
        <v>46174</v>
      </c>
      <c r="R1735" t="s">
        <v>1288</v>
      </c>
      <c r="S1735" t="s">
        <v>415</v>
      </c>
      <c r="T1735" s="14">
        <v>7.1479080889202402</v>
      </c>
      <c r="W1735" s="20">
        <v>46104</v>
      </c>
      <c r="X1735" t="s">
        <v>275</v>
      </c>
      <c r="Y1735" s="23">
        <v>7.8230769230769202</v>
      </c>
      <c r="Z1735" s="23">
        <v>7.3615384615384603</v>
      </c>
      <c r="AA1735" s="23">
        <v>7.5923076923076902</v>
      </c>
      <c r="AO1735" s="14"/>
    </row>
    <row r="1736" spans="17:41" x14ac:dyDescent="0.3">
      <c r="Q1736" s="93">
        <v>46174</v>
      </c>
      <c r="R1736" t="s">
        <v>496</v>
      </c>
      <c r="S1736" t="s">
        <v>415</v>
      </c>
      <c r="T1736" s="14">
        <v>6.3644201312910296</v>
      </c>
      <c r="W1736" s="20">
        <v>46104</v>
      </c>
      <c r="X1736" t="s">
        <v>276</v>
      </c>
      <c r="Y1736" s="23">
        <v>7.8538461538461499</v>
      </c>
      <c r="Z1736" s="23">
        <v>7.39230769230769</v>
      </c>
      <c r="AA1736" s="23">
        <v>7.62307692307692</v>
      </c>
      <c r="AO1736" s="14"/>
    </row>
    <row r="1737" spans="17:41" x14ac:dyDescent="0.3">
      <c r="Q1737" s="93">
        <v>46174</v>
      </c>
      <c r="R1737" t="s">
        <v>1290</v>
      </c>
      <c r="S1737" t="s">
        <v>415</v>
      </c>
      <c r="T1737" s="14">
        <v>6.6773739463155701</v>
      </c>
      <c r="W1737" s="20">
        <v>46104</v>
      </c>
      <c r="X1737" t="s">
        <v>277</v>
      </c>
      <c r="Y1737" s="23">
        <v>7.9153846153846104</v>
      </c>
      <c r="Z1737" s="23">
        <v>7.4538461538461496</v>
      </c>
      <c r="AA1737" s="23">
        <v>7.6846153846153902</v>
      </c>
      <c r="AO1737" s="14"/>
    </row>
    <row r="1738" spans="17:41" x14ac:dyDescent="0.3">
      <c r="Q1738" s="93">
        <v>46174</v>
      </c>
      <c r="R1738" t="s">
        <v>364</v>
      </c>
      <c r="S1738" t="s">
        <v>997</v>
      </c>
      <c r="T1738" s="14">
        <v>22650</v>
      </c>
      <c r="W1738" s="20">
        <v>46104</v>
      </c>
      <c r="X1738" t="s">
        <v>278</v>
      </c>
      <c r="Y1738" s="23">
        <v>7.9153846153846104</v>
      </c>
      <c r="Z1738" s="23">
        <v>7.4538461538461496</v>
      </c>
      <c r="AA1738" s="23">
        <v>7.6846153846153902</v>
      </c>
      <c r="AO1738" s="14"/>
    </row>
    <row r="1739" spans="17:41" x14ac:dyDescent="0.3">
      <c r="Q1739" s="93">
        <v>46174</v>
      </c>
      <c r="R1739" t="s">
        <v>496</v>
      </c>
      <c r="S1739" t="s">
        <v>997</v>
      </c>
      <c r="T1739" s="14">
        <v>22850</v>
      </c>
      <c r="W1739" s="20">
        <v>46104</v>
      </c>
      <c r="X1739" t="s">
        <v>279</v>
      </c>
      <c r="Y1739" s="23">
        <v>7.9384615384615396</v>
      </c>
      <c r="Z1739" s="23">
        <v>7.4769230769230797</v>
      </c>
      <c r="AA1739" s="23">
        <v>7.7076923076923096</v>
      </c>
      <c r="AO1739" s="14"/>
    </row>
    <row r="1740" spans="17:41" x14ac:dyDescent="0.3">
      <c r="Q1740" s="93">
        <v>46171</v>
      </c>
      <c r="R1740" t="s">
        <v>479</v>
      </c>
      <c r="S1740" t="s">
        <v>399</v>
      </c>
      <c r="T1740" s="14">
        <v>15197.6106</v>
      </c>
      <c r="W1740" s="20">
        <v>46104</v>
      </c>
      <c r="X1740" t="s">
        <v>280</v>
      </c>
      <c r="Y1740" s="23">
        <v>7.9615384615384599</v>
      </c>
      <c r="Z1740" s="23">
        <v>7.5</v>
      </c>
      <c r="AA1740" s="23">
        <v>7.7307692307692299</v>
      </c>
      <c r="AO1740" s="14"/>
    </row>
    <row r="1741" spans="17:41" x14ac:dyDescent="0.3">
      <c r="Q1741" s="93">
        <v>46171</v>
      </c>
      <c r="R1741" t="s">
        <v>364</v>
      </c>
      <c r="S1741" t="s">
        <v>399</v>
      </c>
      <c r="T1741" s="14">
        <v>20276.859</v>
      </c>
      <c r="W1741" s="20">
        <v>46104</v>
      </c>
      <c r="X1741" t="s">
        <v>281</v>
      </c>
      <c r="Y1741" s="23">
        <v>7.9692307692307702</v>
      </c>
      <c r="Z1741" s="23">
        <v>7.5076923076923103</v>
      </c>
      <c r="AA1741" s="23">
        <v>7.7384615384615403</v>
      </c>
      <c r="AO1741" s="14"/>
    </row>
    <row r="1742" spans="17:41" x14ac:dyDescent="0.3">
      <c r="Q1742" s="93">
        <v>46171</v>
      </c>
      <c r="R1742" t="s">
        <v>491</v>
      </c>
      <c r="S1742" t="s">
        <v>399</v>
      </c>
      <c r="T1742" s="14">
        <v>397.61059999999998</v>
      </c>
      <c r="W1742" s="20">
        <v>46105</v>
      </c>
      <c r="X1742" t="s">
        <v>270</v>
      </c>
      <c r="Y1742" s="23">
        <v>7.9</v>
      </c>
      <c r="Z1742" s="23">
        <v>7.4</v>
      </c>
      <c r="AA1742" s="23">
        <v>7.65</v>
      </c>
      <c r="AO1742" s="14"/>
    </row>
    <row r="1743" spans="17:41" x14ac:dyDescent="0.3">
      <c r="Q1743" s="93">
        <v>46171</v>
      </c>
      <c r="R1743" t="s">
        <v>492</v>
      </c>
      <c r="S1743" t="s">
        <v>399</v>
      </c>
      <c r="T1743" s="14">
        <v>14800</v>
      </c>
      <c r="W1743" s="20">
        <v>46105</v>
      </c>
      <c r="X1743" t="s">
        <v>271</v>
      </c>
      <c r="Y1743" s="23">
        <v>7.8</v>
      </c>
      <c r="Z1743" s="23">
        <v>7.4749999999999996</v>
      </c>
      <c r="AA1743" s="23">
        <v>7.6375000000000002</v>
      </c>
      <c r="AO1743" s="14"/>
    </row>
    <row r="1744" spans="17:41" x14ac:dyDescent="0.3">
      <c r="Q1744" s="93">
        <v>46171</v>
      </c>
      <c r="R1744" t="s">
        <v>496</v>
      </c>
      <c r="S1744" t="s">
        <v>399</v>
      </c>
      <c r="T1744" s="14">
        <v>20536.859</v>
      </c>
      <c r="W1744" s="20">
        <v>46105</v>
      </c>
      <c r="X1744" t="s">
        <v>272</v>
      </c>
      <c r="Y1744" s="23">
        <v>7.8666666666666698</v>
      </c>
      <c r="Z1744" s="23">
        <v>7.3666666666666698</v>
      </c>
      <c r="AA1744" s="23">
        <v>7.6166666666666698</v>
      </c>
      <c r="AO1744" s="14"/>
    </row>
    <row r="1745" spans="17:41" x14ac:dyDescent="0.3">
      <c r="Q1745" s="93">
        <v>46171</v>
      </c>
      <c r="R1745" t="s">
        <v>497</v>
      </c>
      <c r="S1745" t="s">
        <v>399</v>
      </c>
      <c r="T1745" s="14">
        <v>397.61059999999998</v>
      </c>
      <c r="W1745" s="20">
        <v>46105</v>
      </c>
      <c r="X1745" t="s">
        <v>273</v>
      </c>
      <c r="Y1745" s="23">
        <v>7.8692307692307697</v>
      </c>
      <c r="Z1745" s="23">
        <v>7.4</v>
      </c>
      <c r="AA1745" s="23">
        <v>7.6346153846153904</v>
      </c>
      <c r="AO1745" s="14"/>
    </row>
    <row r="1746" spans="17:41" x14ac:dyDescent="0.3">
      <c r="Q1746" s="93">
        <v>46171</v>
      </c>
      <c r="R1746" t="s">
        <v>498</v>
      </c>
      <c r="S1746" t="s">
        <v>399</v>
      </c>
      <c r="T1746" s="14">
        <v>14800</v>
      </c>
      <c r="W1746" s="20">
        <v>46105</v>
      </c>
      <c r="X1746" t="s">
        <v>274</v>
      </c>
      <c r="Y1746" s="23">
        <v>7.8153846153846098</v>
      </c>
      <c r="Z1746" s="23">
        <v>7.3461538461538503</v>
      </c>
      <c r="AA1746" s="23">
        <v>7.5807692307692296</v>
      </c>
      <c r="AO1746" s="14"/>
    </row>
    <row r="1747" spans="17:41" x14ac:dyDescent="0.3">
      <c r="Q1747" s="93">
        <v>46171</v>
      </c>
      <c r="R1747" t="s">
        <v>494</v>
      </c>
      <c r="S1747" t="s">
        <v>399</v>
      </c>
      <c r="T1747" s="14">
        <v>0</v>
      </c>
      <c r="W1747" s="20">
        <v>46105</v>
      </c>
      <c r="X1747" t="s">
        <v>275</v>
      </c>
      <c r="Y1747" s="23">
        <v>7.8692307692307697</v>
      </c>
      <c r="Z1747" s="23">
        <v>7.4</v>
      </c>
      <c r="AA1747" s="23">
        <v>7.6346153846153904</v>
      </c>
      <c r="AO1747" s="14"/>
    </row>
    <row r="1748" spans="17:41" x14ac:dyDescent="0.3">
      <c r="Q1748" s="93">
        <v>46171</v>
      </c>
      <c r="R1748" t="s">
        <v>495</v>
      </c>
      <c r="S1748" t="s">
        <v>399</v>
      </c>
      <c r="T1748" s="14">
        <v>0</v>
      </c>
      <c r="W1748" s="20">
        <v>46105</v>
      </c>
      <c r="X1748" t="s">
        <v>276</v>
      </c>
      <c r="Y1748" s="23">
        <v>7.9</v>
      </c>
      <c r="Z1748" s="23">
        <v>7.4307692307692301</v>
      </c>
      <c r="AA1748" s="23">
        <v>7.6653846153846201</v>
      </c>
      <c r="AO1748" s="14"/>
    </row>
    <row r="1749" spans="17:41" x14ac:dyDescent="0.3">
      <c r="Q1749" s="93">
        <v>46171</v>
      </c>
      <c r="R1749" t="s">
        <v>493</v>
      </c>
      <c r="S1749" t="s">
        <v>399</v>
      </c>
      <c r="T1749" s="14">
        <v>0</v>
      </c>
      <c r="W1749" s="20">
        <v>46105</v>
      </c>
      <c r="X1749" t="s">
        <v>277</v>
      </c>
      <c r="Y1749" s="23">
        <v>7.9615384615384599</v>
      </c>
      <c r="Z1749" s="23">
        <v>7.4923076923076897</v>
      </c>
      <c r="AA1749" s="23">
        <v>7.7269230769230797</v>
      </c>
      <c r="AO1749" s="14"/>
    </row>
    <row r="1750" spans="17:41" x14ac:dyDescent="0.3">
      <c r="Q1750" s="93">
        <v>46171</v>
      </c>
      <c r="R1750" t="s">
        <v>593</v>
      </c>
      <c r="S1750" t="s">
        <v>399</v>
      </c>
      <c r="T1750" s="14">
        <v>-260</v>
      </c>
      <c r="W1750" s="20">
        <v>46105</v>
      </c>
      <c r="X1750" t="s">
        <v>278</v>
      </c>
      <c r="Y1750" s="23">
        <v>7.9615384615384599</v>
      </c>
      <c r="Z1750" s="23">
        <v>7.4923076923076897</v>
      </c>
      <c r="AA1750" s="23">
        <v>7.7269230769230797</v>
      </c>
      <c r="AO1750" s="14"/>
    </row>
    <row r="1751" spans="17:41" x14ac:dyDescent="0.3">
      <c r="Q1751" s="93">
        <v>46171</v>
      </c>
      <c r="R1751" t="s">
        <v>594</v>
      </c>
      <c r="S1751" t="s">
        <v>399</v>
      </c>
      <c r="T1751" s="14">
        <v>0</v>
      </c>
      <c r="W1751" s="20">
        <v>46105</v>
      </c>
      <c r="X1751" t="s">
        <v>279</v>
      </c>
      <c r="Y1751" s="23">
        <v>7.9846153846153802</v>
      </c>
      <c r="Z1751" s="23">
        <v>7.51538461538461</v>
      </c>
      <c r="AA1751" s="23">
        <v>7.75</v>
      </c>
      <c r="AO1751" s="14"/>
    </row>
    <row r="1752" spans="17:41" x14ac:dyDescent="0.3">
      <c r="Q1752" s="93">
        <v>46171</v>
      </c>
      <c r="R1752" t="s">
        <v>595</v>
      </c>
      <c r="S1752" t="s">
        <v>399</v>
      </c>
      <c r="T1752" s="14">
        <v>0</v>
      </c>
      <c r="W1752" s="20">
        <v>46105</v>
      </c>
      <c r="X1752" t="s">
        <v>280</v>
      </c>
      <c r="Y1752" s="23">
        <v>8.0076923076923094</v>
      </c>
      <c r="Z1752" s="23">
        <v>7.5384615384615401</v>
      </c>
      <c r="AA1752" s="23">
        <v>7.7730769230769203</v>
      </c>
      <c r="AO1752" s="14"/>
    </row>
    <row r="1753" spans="17:41" x14ac:dyDescent="0.3">
      <c r="Q1753" s="93">
        <v>46171</v>
      </c>
      <c r="R1753" t="s">
        <v>479</v>
      </c>
      <c r="S1753" t="s">
        <v>395</v>
      </c>
      <c r="T1753" s="14">
        <v>11350.862524698399</v>
      </c>
      <c r="W1753" s="20">
        <v>46105</v>
      </c>
      <c r="X1753" t="s">
        <v>281</v>
      </c>
      <c r="Y1753" s="23">
        <v>8.0153846153846207</v>
      </c>
      <c r="Z1753" s="23">
        <v>7.5461538461538504</v>
      </c>
      <c r="AA1753" s="23">
        <v>7.7807692307692298</v>
      </c>
      <c r="AO1753" s="14"/>
    </row>
    <row r="1754" spans="17:41" x14ac:dyDescent="0.3">
      <c r="Q1754" s="93">
        <v>46171</v>
      </c>
      <c r="R1754" t="s">
        <v>479</v>
      </c>
      <c r="S1754" t="s">
        <v>415</v>
      </c>
      <c r="T1754" s="14">
        <v>7.1479080889202402</v>
      </c>
      <c r="W1754" s="20">
        <v>46106</v>
      </c>
      <c r="X1754" t="s">
        <v>270</v>
      </c>
      <c r="Y1754" s="23">
        <v>7.9</v>
      </c>
      <c r="Z1754" s="23">
        <v>7.4</v>
      </c>
      <c r="AA1754" s="23">
        <v>7.65</v>
      </c>
      <c r="AO1754" s="14"/>
    </row>
    <row r="1755" spans="17:41" x14ac:dyDescent="0.3">
      <c r="Q1755" s="93">
        <v>46171</v>
      </c>
      <c r="R1755" t="s">
        <v>364</v>
      </c>
      <c r="S1755" t="s">
        <v>415</v>
      </c>
      <c r="T1755" s="14">
        <v>6.3484704419056603</v>
      </c>
      <c r="W1755" s="20">
        <v>46106</v>
      </c>
      <c r="X1755" t="s">
        <v>271</v>
      </c>
      <c r="Y1755" s="23">
        <v>7.81666666666667</v>
      </c>
      <c r="Z1755" s="23">
        <v>7.4916666666666698</v>
      </c>
      <c r="AA1755" s="23">
        <v>7.6541666666666703</v>
      </c>
      <c r="AO1755" s="14"/>
    </row>
    <row r="1756" spans="17:41" x14ac:dyDescent="0.3">
      <c r="Q1756" s="93">
        <v>46171</v>
      </c>
      <c r="R1756" t="s">
        <v>516</v>
      </c>
      <c r="S1756" t="s">
        <v>415</v>
      </c>
      <c r="T1756" s="14">
        <v>6.6726789547409604</v>
      </c>
      <c r="W1756" s="20">
        <v>46106</v>
      </c>
      <c r="X1756" t="s">
        <v>272</v>
      </c>
      <c r="Y1756" s="23">
        <v>7.9</v>
      </c>
      <c r="Z1756" s="23">
        <v>7.4</v>
      </c>
      <c r="AA1756" s="23">
        <v>7.65</v>
      </c>
      <c r="AO1756" s="14"/>
    </row>
    <row r="1757" spans="17:41" x14ac:dyDescent="0.3">
      <c r="Q1757" s="93">
        <v>46171</v>
      </c>
      <c r="R1757" t="s">
        <v>1288</v>
      </c>
      <c r="S1757" t="s">
        <v>415</v>
      </c>
      <c r="T1757" s="14">
        <v>7.1479080889202402</v>
      </c>
      <c r="W1757" s="20">
        <v>46106</v>
      </c>
      <c r="X1757" t="s">
        <v>273</v>
      </c>
      <c r="Y1757" s="23">
        <v>7.89230769230769</v>
      </c>
      <c r="Z1757" s="23">
        <v>7.4230769230769198</v>
      </c>
      <c r="AA1757" s="23">
        <v>7.6576923076923098</v>
      </c>
      <c r="AO1757" s="14"/>
    </row>
    <row r="1758" spans="17:41" x14ac:dyDescent="0.3">
      <c r="Q1758" s="93">
        <v>46171</v>
      </c>
      <c r="R1758" t="s">
        <v>496</v>
      </c>
      <c r="S1758" t="s">
        <v>415</v>
      </c>
      <c r="T1758" s="14">
        <v>6.3544072800916904</v>
      </c>
      <c r="W1758" s="20">
        <v>46106</v>
      </c>
      <c r="X1758" t="s">
        <v>274</v>
      </c>
      <c r="Y1758" s="23">
        <v>7.8384615384615399</v>
      </c>
      <c r="Z1758" s="23">
        <v>7.3692307692307697</v>
      </c>
      <c r="AA1758" s="23">
        <v>7.6038461538461597</v>
      </c>
      <c r="AO1758" s="14"/>
    </row>
    <row r="1759" spans="17:41" x14ac:dyDescent="0.3">
      <c r="Q1759" s="93">
        <v>46171</v>
      </c>
      <c r="R1759" t="s">
        <v>1290</v>
      </c>
      <c r="S1759" t="s">
        <v>415</v>
      </c>
      <c r="T1759" s="14">
        <v>6.6739908446997198</v>
      </c>
      <c r="W1759" s="20">
        <v>46106</v>
      </c>
      <c r="X1759" t="s">
        <v>275</v>
      </c>
      <c r="Y1759" s="23">
        <v>7.89230769230769</v>
      </c>
      <c r="Z1759" s="23">
        <v>7.4230769230769198</v>
      </c>
      <c r="AA1759" s="23">
        <v>7.6576923076923098</v>
      </c>
      <c r="AO1759" s="14"/>
    </row>
    <row r="1760" spans="17:41" x14ac:dyDescent="0.3">
      <c r="Q1760" s="93">
        <v>46171</v>
      </c>
      <c r="R1760" t="s">
        <v>364</v>
      </c>
      <c r="S1760" t="s">
        <v>997</v>
      </c>
      <c r="T1760" s="14">
        <v>22276.859</v>
      </c>
      <c r="W1760" s="20">
        <v>46106</v>
      </c>
      <c r="X1760" t="s">
        <v>276</v>
      </c>
      <c r="Y1760" s="23">
        <v>7.9230769230769198</v>
      </c>
      <c r="Z1760" s="23">
        <v>7.4538461538461496</v>
      </c>
      <c r="AA1760" s="23">
        <v>7.6884615384615396</v>
      </c>
      <c r="AO1760" s="14"/>
    </row>
    <row r="1761" spans="17:41" x14ac:dyDescent="0.3">
      <c r="Q1761" s="93">
        <v>46171</v>
      </c>
      <c r="R1761" t="s">
        <v>496</v>
      </c>
      <c r="S1761" t="s">
        <v>997</v>
      </c>
      <c r="T1761" s="14">
        <v>22536.859</v>
      </c>
      <c r="W1761" s="20">
        <v>46106</v>
      </c>
      <c r="X1761" t="s">
        <v>277</v>
      </c>
      <c r="Y1761" s="23">
        <v>7.9846153846153802</v>
      </c>
      <c r="Z1761" s="23">
        <v>7.5153846153846198</v>
      </c>
      <c r="AA1761" s="23">
        <v>7.75</v>
      </c>
      <c r="AO1761" s="14"/>
    </row>
    <row r="1762" spans="17:41" x14ac:dyDescent="0.3">
      <c r="Q1762" s="93">
        <v>46170</v>
      </c>
      <c r="R1762" t="s">
        <v>364</v>
      </c>
      <c r="S1762" t="s">
        <v>997</v>
      </c>
      <c r="T1762" s="14">
        <v>19816.859</v>
      </c>
      <c r="W1762" s="20">
        <v>46106</v>
      </c>
      <c r="X1762" t="s">
        <v>278</v>
      </c>
      <c r="Y1762" s="23">
        <v>7.9846153846153802</v>
      </c>
      <c r="Z1762" s="23">
        <v>7.5153846153846198</v>
      </c>
      <c r="AA1762" s="23">
        <v>7.75</v>
      </c>
      <c r="AO1762" s="14"/>
    </row>
    <row r="1763" spans="17:41" x14ac:dyDescent="0.3">
      <c r="Q1763" s="93">
        <v>46170</v>
      </c>
      <c r="R1763" t="s">
        <v>496</v>
      </c>
      <c r="S1763" t="s">
        <v>997</v>
      </c>
      <c r="T1763" s="14">
        <v>22906.859</v>
      </c>
      <c r="W1763" s="20">
        <v>46106</v>
      </c>
      <c r="X1763" t="s">
        <v>279</v>
      </c>
      <c r="Y1763" s="23">
        <v>8.0076923076923094</v>
      </c>
      <c r="Z1763" s="23">
        <v>7.5384615384615401</v>
      </c>
      <c r="AA1763" s="23">
        <v>7.7730769230769203</v>
      </c>
      <c r="AO1763" s="14"/>
    </row>
    <row r="1764" spans="17:41" x14ac:dyDescent="0.3">
      <c r="Q1764" s="93">
        <v>46170</v>
      </c>
      <c r="R1764" t="s">
        <v>479</v>
      </c>
      <c r="S1764" t="s">
        <v>399</v>
      </c>
      <c r="T1764" s="14">
        <v>15197.6106</v>
      </c>
      <c r="W1764" s="20">
        <v>46106</v>
      </c>
      <c r="X1764" t="s">
        <v>280</v>
      </c>
      <c r="Y1764" s="23">
        <v>8.0307692307692307</v>
      </c>
      <c r="Z1764" s="23">
        <v>7.5615384615384604</v>
      </c>
      <c r="AA1764" s="23">
        <v>7.7961538461538504</v>
      </c>
      <c r="AO1764" s="14"/>
    </row>
    <row r="1765" spans="17:41" x14ac:dyDescent="0.3">
      <c r="Q1765" s="93">
        <v>46170</v>
      </c>
      <c r="R1765" t="s">
        <v>364</v>
      </c>
      <c r="S1765" t="s">
        <v>399</v>
      </c>
      <c r="T1765" s="14">
        <v>17816.859</v>
      </c>
      <c r="W1765" s="20">
        <v>46106</v>
      </c>
      <c r="X1765" t="s">
        <v>281</v>
      </c>
      <c r="Y1765" s="23">
        <v>8.0307692307692307</v>
      </c>
      <c r="Z1765" s="23">
        <v>7.5615384615384604</v>
      </c>
      <c r="AA1765" s="23">
        <v>7.7961538461538504</v>
      </c>
      <c r="AO1765" s="14"/>
    </row>
    <row r="1766" spans="17:41" x14ac:dyDescent="0.3">
      <c r="Q1766" s="93">
        <v>46170</v>
      </c>
      <c r="R1766" t="s">
        <v>491</v>
      </c>
      <c r="S1766" t="s">
        <v>399</v>
      </c>
      <c r="T1766" s="14">
        <v>397.61059999999998</v>
      </c>
      <c r="W1766" s="20">
        <v>46107</v>
      </c>
      <c r="X1766" t="s">
        <v>270</v>
      </c>
      <c r="Y1766" s="23">
        <v>7.9</v>
      </c>
      <c r="Z1766" s="23">
        <v>7.4</v>
      </c>
      <c r="AA1766" s="23">
        <v>7.65</v>
      </c>
      <c r="AO1766" s="14"/>
    </row>
    <row r="1767" spans="17:41" x14ac:dyDescent="0.3">
      <c r="Q1767" s="93">
        <v>46170</v>
      </c>
      <c r="R1767" t="s">
        <v>492</v>
      </c>
      <c r="S1767" t="s">
        <v>399</v>
      </c>
      <c r="T1767" s="14">
        <v>14800</v>
      </c>
      <c r="W1767" s="20">
        <v>46107</v>
      </c>
      <c r="X1767" t="s">
        <v>271</v>
      </c>
      <c r="Y1767" s="23">
        <v>7.81666666666667</v>
      </c>
      <c r="Z1767" s="23">
        <v>7.4916666666666698</v>
      </c>
      <c r="AA1767" s="23">
        <v>7.6541666666666703</v>
      </c>
      <c r="AO1767" s="14"/>
    </row>
    <row r="1768" spans="17:41" x14ac:dyDescent="0.3">
      <c r="Q1768" s="93">
        <v>46170</v>
      </c>
      <c r="R1768" t="s">
        <v>496</v>
      </c>
      <c r="S1768" t="s">
        <v>399</v>
      </c>
      <c r="T1768" s="14">
        <v>20906.859</v>
      </c>
      <c r="W1768" s="20">
        <v>46107</v>
      </c>
      <c r="X1768" t="s">
        <v>272</v>
      </c>
      <c r="Y1768" s="23">
        <v>7.9</v>
      </c>
      <c r="Z1768" s="23">
        <v>7.4</v>
      </c>
      <c r="AA1768" s="23">
        <v>7.65</v>
      </c>
      <c r="AO1768" s="14"/>
    </row>
    <row r="1769" spans="17:41" x14ac:dyDescent="0.3">
      <c r="Q1769" s="93">
        <v>46170</v>
      </c>
      <c r="R1769" t="s">
        <v>497</v>
      </c>
      <c r="S1769" t="s">
        <v>399</v>
      </c>
      <c r="T1769" s="14">
        <v>397.61059999999998</v>
      </c>
      <c r="W1769" s="20">
        <v>46107</v>
      </c>
      <c r="X1769" t="s">
        <v>273</v>
      </c>
      <c r="Y1769" s="23">
        <v>7.87692307692308</v>
      </c>
      <c r="Z1769" s="23">
        <v>7.4076923076923098</v>
      </c>
      <c r="AA1769" s="23">
        <v>7.64230769230769</v>
      </c>
      <c r="AO1769" s="14"/>
    </row>
    <row r="1770" spans="17:41" x14ac:dyDescent="0.3">
      <c r="Q1770" s="93">
        <v>46170</v>
      </c>
      <c r="R1770" t="s">
        <v>498</v>
      </c>
      <c r="S1770" t="s">
        <v>399</v>
      </c>
      <c r="T1770" s="14">
        <v>14800</v>
      </c>
      <c r="W1770" s="20">
        <v>46107</v>
      </c>
      <c r="X1770" t="s">
        <v>274</v>
      </c>
      <c r="Y1770" s="23">
        <v>7.8384615384615399</v>
      </c>
      <c r="Z1770" s="23">
        <v>7.3692307692307697</v>
      </c>
      <c r="AA1770" s="23">
        <v>7.6038461538461597</v>
      </c>
      <c r="AO1770" s="14"/>
    </row>
    <row r="1771" spans="17:41" x14ac:dyDescent="0.3">
      <c r="Q1771" s="93">
        <v>46170</v>
      </c>
      <c r="R1771" t="s">
        <v>494</v>
      </c>
      <c r="S1771" t="s">
        <v>399</v>
      </c>
      <c r="T1771" s="14">
        <v>0</v>
      </c>
      <c r="W1771" s="20">
        <v>46107</v>
      </c>
      <c r="X1771" t="s">
        <v>275</v>
      </c>
      <c r="Y1771" s="23">
        <v>7.89230769230769</v>
      </c>
      <c r="Z1771" s="23">
        <v>7.4230769230769198</v>
      </c>
      <c r="AA1771" s="23">
        <v>7.6576923076923098</v>
      </c>
      <c r="AO1771" s="14"/>
    </row>
    <row r="1772" spans="17:41" x14ac:dyDescent="0.3">
      <c r="Q1772" s="93">
        <v>46170</v>
      </c>
      <c r="R1772" t="s">
        <v>495</v>
      </c>
      <c r="S1772" t="s">
        <v>399</v>
      </c>
      <c r="T1772" s="14">
        <v>0</v>
      </c>
      <c r="W1772" s="20">
        <v>46107</v>
      </c>
      <c r="X1772" t="s">
        <v>276</v>
      </c>
      <c r="Y1772" s="23">
        <v>7.9230769230769198</v>
      </c>
      <c r="Z1772" s="23">
        <v>7.4538461538461496</v>
      </c>
      <c r="AA1772" s="23">
        <v>7.6884615384615396</v>
      </c>
      <c r="AO1772" s="14"/>
    </row>
    <row r="1773" spans="17:41" x14ac:dyDescent="0.3">
      <c r="Q1773" s="93">
        <v>46170</v>
      </c>
      <c r="R1773" t="s">
        <v>493</v>
      </c>
      <c r="S1773" t="s">
        <v>399</v>
      </c>
      <c r="T1773" s="14">
        <v>0</v>
      </c>
      <c r="W1773" s="20">
        <v>46107</v>
      </c>
      <c r="X1773" t="s">
        <v>277</v>
      </c>
      <c r="Y1773" s="23">
        <v>7.9846153846153802</v>
      </c>
      <c r="Z1773" s="23">
        <v>7.5153846153846198</v>
      </c>
      <c r="AA1773" s="23">
        <v>7.75</v>
      </c>
      <c r="AO1773" s="14"/>
    </row>
    <row r="1774" spans="17:41" x14ac:dyDescent="0.3">
      <c r="Q1774" s="93">
        <v>46170</v>
      </c>
      <c r="R1774" t="s">
        <v>593</v>
      </c>
      <c r="S1774" t="s">
        <v>399</v>
      </c>
      <c r="T1774" s="14">
        <v>-3090</v>
      </c>
      <c r="W1774" s="20">
        <v>46107</v>
      </c>
      <c r="X1774" t="s">
        <v>278</v>
      </c>
      <c r="Y1774" s="23">
        <v>7.9846153846153802</v>
      </c>
      <c r="Z1774" s="23">
        <v>7.5153846153846198</v>
      </c>
      <c r="AA1774" s="23">
        <v>7.75</v>
      </c>
      <c r="AO1774" s="14"/>
    </row>
    <row r="1775" spans="17:41" x14ac:dyDescent="0.3">
      <c r="Q1775" s="93">
        <v>46170</v>
      </c>
      <c r="R1775" t="s">
        <v>594</v>
      </c>
      <c r="S1775" t="s">
        <v>399</v>
      </c>
      <c r="T1775" s="14">
        <v>0</v>
      </c>
      <c r="W1775" s="20">
        <v>46107</v>
      </c>
      <c r="X1775" t="s">
        <v>279</v>
      </c>
      <c r="Y1775" s="23">
        <v>8.0076923076923094</v>
      </c>
      <c r="Z1775" s="23">
        <v>7.5384615384615401</v>
      </c>
      <c r="AA1775" s="23">
        <v>7.7730769230769203</v>
      </c>
      <c r="AO1775" s="14"/>
    </row>
    <row r="1776" spans="17:41" x14ac:dyDescent="0.3">
      <c r="Q1776" s="93">
        <v>46170</v>
      </c>
      <c r="R1776" t="s">
        <v>595</v>
      </c>
      <c r="S1776" t="s">
        <v>399</v>
      </c>
      <c r="T1776" s="14">
        <v>0</v>
      </c>
      <c r="W1776" s="20">
        <v>46107</v>
      </c>
      <c r="X1776" t="s">
        <v>280</v>
      </c>
      <c r="Y1776" s="23">
        <v>8.0307692307692307</v>
      </c>
      <c r="Z1776" s="23">
        <v>7.5615384615384604</v>
      </c>
      <c r="AA1776" s="23">
        <v>7.7961538461538504</v>
      </c>
      <c r="AO1776" s="14"/>
    </row>
    <row r="1777" spans="17:41" x14ac:dyDescent="0.3">
      <c r="Q1777" s="93">
        <v>46170</v>
      </c>
      <c r="R1777" t="s">
        <v>479</v>
      </c>
      <c r="S1777" t="s">
        <v>395</v>
      </c>
      <c r="T1777" s="14">
        <v>11354.3353556864</v>
      </c>
      <c r="W1777" s="20">
        <v>46107</v>
      </c>
      <c r="X1777" t="s">
        <v>281</v>
      </c>
      <c r="Y1777" s="23">
        <v>8.0307692307692307</v>
      </c>
      <c r="Z1777" s="23">
        <v>7.5615384615384604</v>
      </c>
      <c r="AA1777" s="23">
        <v>7.7961538461538504</v>
      </c>
      <c r="AO1777" s="14"/>
    </row>
    <row r="1778" spans="17:41" x14ac:dyDescent="0.3">
      <c r="Q1778" s="93">
        <v>46170</v>
      </c>
      <c r="R1778" t="s">
        <v>479</v>
      </c>
      <c r="S1778" t="s">
        <v>415</v>
      </c>
      <c r="T1778" s="14">
        <v>7.1479080889202402</v>
      </c>
      <c r="W1778" s="20">
        <v>46108</v>
      </c>
      <c r="X1778" t="s">
        <v>270</v>
      </c>
      <c r="Y1778" s="23">
        <v>7.93333333333333</v>
      </c>
      <c r="Z1778" s="23">
        <v>7.43333333333333</v>
      </c>
      <c r="AA1778" s="23">
        <v>7.68333333333333</v>
      </c>
      <c r="AO1778" s="14"/>
    </row>
    <row r="1779" spans="17:41" x14ac:dyDescent="0.3">
      <c r="Q1779" s="93">
        <v>46170</v>
      </c>
      <c r="R1779" t="s">
        <v>364</v>
      </c>
      <c r="S1779" t="s">
        <v>415</v>
      </c>
      <c r="T1779" s="14">
        <v>6.3540280655058003</v>
      </c>
      <c r="W1779" s="20">
        <v>46108</v>
      </c>
      <c r="X1779" t="s">
        <v>271</v>
      </c>
      <c r="Y1779" s="23">
        <v>7.9</v>
      </c>
      <c r="Z1779" s="23">
        <v>7.5750000000000002</v>
      </c>
      <c r="AA1779" s="23">
        <v>7.7374999999999998</v>
      </c>
      <c r="AO1779" s="14"/>
    </row>
    <row r="1780" spans="17:41" x14ac:dyDescent="0.3">
      <c r="Q1780" s="93">
        <v>46170</v>
      </c>
      <c r="R1780" t="s">
        <v>516</v>
      </c>
      <c r="S1780" t="s">
        <v>415</v>
      </c>
      <c r="T1780" s="14">
        <v>6.6936063059441304</v>
      </c>
      <c r="W1780" s="20">
        <v>46108</v>
      </c>
      <c r="X1780" t="s">
        <v>272</v>
      </c>
      <c r="Y1780" s="23">
        <v>7.93333333333333</v>
      </c>
      <c r="Z1780" s="23">
        <v>7.43333333333333</v>
      </c>
      <c r="AA1780" s="23">
        <v>7.6833333333333398</v>
      </c>
      <c r="AO1780" s="14"/>
    </row>
    <row r="1781" spans="17:41" x14ac:dyDescent="0.3">
      <c r="Q1781" s="93">
        <v>46170</v>
      </c>
      <c r="R1781" t="s">
        <v>1288</v>
      </c>
      <c r="S1781" t="s">
        <v>415</v>
      </c>
      <c r="T1781" s="14">
        <v>7.1479080889202402</v>
      </c>
      <c r="W1781" s="20">
        <v>46108</v>
      </c>
      <c r="X1781" t="s">
        <v>273</v>
      </c>
      <c r="Y1781" s="23">
        <v>7.9615384615384599</v>
      </c>
      <c r="Z1781" s="23">
        <v>7.4923076923076897</v>
      </c>
      <c r="AA1781" s="23">
        <v>7.7269230769230797</v>
      </c>
      <c r="AO1781" s="14"/>
    </row>
    <row r="1782" spans="17:41" x14ac:dyDescent="0.3">
      <c r="Q1782" s="93">
        <v>46170</v>
      </c>
      <c r="R1782" t="s">
        <v>496</v>
      </c>
      <c r="S1782" t="s">
        <v>415</v>
      </c>
      <c r="T1782" s="14">
        <v>6.4860040785163999</v>
      </c>
      <c r="W1782" s="20">
        <v>46108</v>
      </c>
      <c r="X1782" t="s">
        <v>274</v>
      </c>
      <c r="Y1782" s="23">
        <v>7.9307692307692301</v>
      </c>
      <c r="Z1782" s="23">
        <v>7.4615384615384599</v>
      </c>
      <c r="AA1782" s="23">
        <v>7.6961538461538499</v>
      </c>
      <c r="AO1782" s="14"/>
    </row>
    <row r="1783" spans="17:41" x14ac:dyDescent="0.3">
      <c r="Q1783" s="93">
        <v>46170</v>
      </c>
      <c r="R1783" t="s">
        <v>1290</v>
      </c>
      <c r="S1783" t="s">
        <v>415</v>
      </c>
      <c r="T1783" s="14">
        <v>6.74999828996439</v>
      </c>
      <c r="W1783" s="20">
        <v>46108</v>
      </c>
      <c r="X1783" t="s">
        <v>275</v>
      </c>
      <c r="Y1783" s="23">
        <v>7.9884615384615403</v>
      </c>
      <c r="Z1783" s="23">
        <v>7.5192307692307701</v>
      </c>
      <c r="AA1783" s="23">
        <v>7.7538461538461503</v>
      </c>
      <c r="AO1783" s="14"/>
    </row>
    <row r="1784" spans="17:41" x14ac:dyDescent="0.3">
      <c r="Q1784" s="93">
        <v>46169</v>
      </c>
      <c r="R1784" t="s">
        <v>364</v>
      </c>
      <c r="S1784" t="s">
        <v>399</v>
      </c>
      <c r="T1784" s="14">
        <v>20266.7906</v>
      </c>
      <c r="W1784" s="20">
        <v>46108</v>
      </c>
      <c r="X1784" t="s">
        <v>276</v>
      </c>
      <c r="Y1784" s="23">
        <v>7.99615384615384</v>
      </c>
      <c r="Z1784" s="23">
        <v>7.5269230769230804</v>
      </c>
      <c r="AA1784" s="23">
        <v>7.7615384615384597</v>
      </c>
      <c r="AO1784" s="14"/>
    </row>
    <row r="1785" spans="17:41" x14ac:dyDescent="0.3">
      <c r="Q1785" s="93">
        <v>46169</v>
      </c>
      <c r="R1785" t="s">
        <v>491</v>
      </c>
      <c r="S1785" t="s">
        <v>399</v>
      </c>
      <c r="T1785" s="14">
        <v>397.61059999999998</v>
      </c>
      <c r="W1785" s="20">
        <v>46108</v>
      </c>
      <c r="X1785" t="s">
        <v>277</v>
      </c>
      <c r="Y1785" s="23">
        <v>8.0538461538461501</v>
      </c>
      <c r="Z1785" s="23">
        <v>7.5846153846153799</v>
      </c>
      <c r="AA1785" s="23">
        <v>7.8192307692307699</v>
      </c>
      <c r="AO1785" s="14"/>
    </row>
    <row r="1786" spans="17:41" x14ac:dyDescent="0.3">
      <c r="Q1786" s="93">
        <v>46169</v>
      </c>
      <c r="R1786" t="s">
        <v>492</v>
      </c>
      <c r="S1786" t="s">
        <v>399</v>
      </c>
      <c r="T1786" s="14">
        <v>14800</v>
      </c>
      <c r="W1786" s="20">
        <v>46108</v>
      </c>
      <c r="X1786" t="s">
        <v>278</v>
      </c>
      <c r="Y1786" s="23">
        <v>8.0538461538461501</v>
      </c>
      <c r="Z1786" s="23">
        <v>7.5846153846153799</v>
      </c>
      <c r="AA1786" s="23">
        <v>7.8192307692307699</v>
      </c>
      <c r="AO1786" s="14"/>
    </row>
    <row r="1787" spans="17:41" x14ac:dyDescent="0.3">
      <c r="Q1787" s="93">
        <v>46169</v>
      </c>
      <c r="R1787" t="s">
        <v>496</v>
      </c>
      <c r="S1787" t="s">
        <v>399</v>
      </c>
      <c r="T1787" s="14">
        <v>21486.7906</v>
      </c>
      <c r="W1787" s="20">
        <v>46108</v>
      </c>
      <c r="X1787" t="s">
        <v>279</v>
      </c>
      <c r="Y1787" s="23">
        <v>8.0769230769230802</v>
      </c>
      <c r="Z1787" s="23">
        <v>7.60769230769231</v>
      </c>
      <c r="AA1787" s="23">
        <v>7.8423076923076902</v>
      </c>
      <c r="AO1787" s="14"/>
    </row>
    <row r="1788" spans="17:41" x14ac:dyDescent="0.3">
      <c r="Q1788" s="93">
        <v>46169</v>
      </c>
      <c r="R1788" t="s">
        <v>497</v>
      </c>
      <c r="S1788" t="s">
        <v>399</v>
      </c>
      <c r="T1788" s="14">
        <v>397.61059999999998</v>
      </c>
      <c r="W1788" s="20">
        <v>46108</v>
      </c>
      <c r="X1788" t="s">
        <v>280</v>
      </c>
      <c r="Y1788" s="23">
        <v>8.1</v>
      </c>
      <c r="Z1788" s="23">
        <v>7.6307692307692303</v>
      </c>
      <c r="AA1788" s="23">
        <v>7.8653846153846203</v>
      </c>
      <c r="AO1788" s="14"/>
    </row>
    <row r="1789" spans="17:41" x14ac:dyDescent="0.3">
      <c r="Q1789" s="93">
        <v>46169</v>
      </c>
      <c r="R1789" t="s">
        <v>498</v>
      </c>
      <c r="S1789" t="s">
        <v>399</v>
      </c>
      <c r="T1789" s="14">
        <v>14800</v>
      </c>
      <c r="W1789" s="20">
        <v>46108</v>
      </c>
      <c r="X1789" t="s">
        <v>281</v>
      </c>
      <c r="Y1789" s="23">
        <v>8.1153846153846096</v>
      </c>
      <c r="Z1789" s="23">
        <v>7.6461538461538403</v>
      </c>
      <c r="AA1789" s="23">
        <v>7.8807692307692303</v>
      </c>
      <c r="AO1789" s="14"/>
    </row>
    <row r="1790" spans="17:41" x14ac:dyDescent="0.3">
      <c r="Q1790" s="93">
        <v>46169</v>
      </c>
      <c r="R1790" t="s">
        <v>494</v>
      </c>
      <c r="S1790" t="s">
        <v>399</v>
      </c>
      <c r="T1790" s="14">
        <v>0</v>
      </c>
      <c r="W1790" s="20">
        <v>46111</v>
      </c>
      <c r="X1790" t="s">
        <v>270</v>
      </c>
      <c r="Y1790" s="23">
        <v>7.95</v>
      </c>
      <c r="Z1790" s="23">
        <v>7.45</v>
      </c>
      <c r="AA1790" s="23">
        <v>7.7</v>
      </c>
      <c r="AO1790" s="14"/>
    </row>
    <row r="1791" spans="17:41" x14ac:dyDescent="0.3">
      <c r="Q1791" s="93">
        <v>46169</v>
      </c>
      <c r="R1791" t="s">
        <v>495</v>
      </c>
      <c r="S1791" t="s">
        <v>399</v>
      </c>
      <c r="T1791" s="14">
        <v>0</v>
      </c>
      <c r="W1791" s="20">
        <v>46111</v>
      </c>
      <c r="X1791" t="s">
        <v>271</v>
      </c>
      <c r="Y1791" s="23">
        <v>7.95</v>
      </c>
      <c r="Z1791" s="23">
        <v>7.625</v>
      </c>
      <c r="AA1791" s="23">
        <v>7.7874999999999996</v>
      </c>
      <c r="AO1791" s="14"/>
    </row>
    <row r="1792" spans="17:41" x14ac:dyDescent="0.3">
      <c r="Q1792" s="93">
        <v>46169</v>
      </c>
      <c r="R1792" t="s">
        <v>493</v>
      </c>
      <c r="S1792" t="s">
        <v>399</v>
      </c>
      <c r="T1792" s="14">
        <v>0</v>
      </c>
      <c r="W1792" s="20">
        <v>46111</v>
      </c>
      <c r="X1792" t="s">
        <v>272</v>
      </c>
      <c r="Y1792" s="23">
        <v>7.8666666666666698</v>
      </c>
      <c r="Z1792" s="23">
        <v>7.3666666666666698</v>
      </c>
      <c r="AA1792" s="23">
        <v>7.6166666666666698</v>
      </c>
      <c r="AO1792" s="14"/>
    </row>
    <row r="1793" spans="17:41" x14ac:dyDescent="0.3">
      <c r="Q1793" s="93">
        <v>46169</v>
      </c>
      <c r="R1793" t="s">
        <v>593</v>
      </c>
      <c r="S1793" t="s">
        <v>399</v>
      </c>
      <c r="T1793" s="14">
        <v>-1220</v>
      </c>
      <c r="W1793" s="20">
        <v>46111</v>
      </c>
      <c r="X1793" t="s">
        <v>273</v>
      </c>
      <c r="Y1793" s="23">
        <v>7.9846153846153802</v>
      </c>
      <c r="Z1793" s="23">
        <v>7.51538461538461</v>
      </c>
      <c r="AA1793" s="23">
        <v>7.75</v>
      </c>
      <c r="AO1793" s="14"/>
    </row>
    <row r="1794" spans="17:41" x14ac:dyDescent="0.3">
      <c r="Q1794" s="93">
        <v>46169</v>
      </c>
      <c r="R1794" t="s">
        <v>594</v>
      </c>
      <c r="S1794" t="s">
        <v>399</v>
      </c>
      <c r="T1794" s="14">
        <v>0</v>
      </c>
      <c r="W1794" s="20">
        <v>46111</v>
      </c>
      <c r="X1794" t="s">
        <v>274</v>
      </c>
      <c r="Y1794" s="23">
        <v>7.9461538461538499</v>
      </c>
      <c r="Z1794" s="23">
        <v>7.4769230769230797</v>
      </c>
      <c r="AA1794" s="23">
        <v>7.7115384615384599</v>
      </c>
      <c r="AO1794" s="14"/>
    </row>
    <row r="1795" spans="17:41" x14ac:dyDescent="0.3">
      <c r="Q1795" s="93">
        <v>46169</v>
      </c>
      <c r="R1795" t="s">
        <v>595</v>
      </c>
      <c r="S1795" t="s">
        <v>399</v>
      </c>
      <c r="T1795" s="14">
        <v>0</v>
      </c>
      <c r="W1795" s="20">
        <v>46111</v>
      </c>
      <c r="X1795" t="s">
        <v>275</v>
      </c>
      <c r="Y1795" s="23">
        <v>8.0038461538461494</v>
      </c>
      <c r="Z1795" s="23">
        <v>7.5346153846153801</v>
      </c>
      <c r="AA1795" s="23">
        <v>7.7692307692307701</v>
      </c>
      <c r="AO1795" s="14"/>
    </row>
    <row r="1796" spans="17:41" x14ac:dyDescent="0.3">
      <c r="Q1796" s="93">
        <v>46169</v>
      </c>
      <c r="R1796" t="s">
        <v>479</v>
      </c>
      <c r="S1796" t="s">
        <v>395</v>
      </c>
      <c r="T1796" s="14">
        <v>11359.756787452399</v>
      </c>
      <c r="W1796" s="20">
        <v>46111</v>
      </c>
      <c r="X1796" t="s">
        <v>276</v>
      </c>
      <c r="Y1796" s="23">
        <v>8.0115384615384606</v>
      </c>
      <c r="Z1796" s="23">
        <v>7.5423076923076904</v>
      </c>
      <c r="AA1796" s="23">
        <v>7.7769230769230804</v>
      </c>
      <c r="AO1796" s="14"/>
    </row>
    <row r="1797" spans="17:41" x14ac:dyDescent="0.3">
      <c r="Q1797" s="93">
        <v>46169</v>
      </c>
      <c r="R1797" t="s">
        <v>479</v>
      </c>
      <c r="S1797" t="s">
        <v>415</v>
      </c>
      <c r="T1797" s="14">
        <v>7.1479080889202402</v>
      </c>
      <c r="W1797" s="20">
        <v>46111</v>
      </c>
      <c r="X1797" t="s">
        <v>277</v>
      </c>
      <c r="Y1797" s="23">
        <v>8.0692307692307708</v>
      </c>
      <c r="Z1797" s="23">
        <v>7.6</v>
      </c>
      <c r="AA1797" s="23">
        <v>7.8346153846153896</v>
      </c>
      <c r="AO1797" s="14"/>
    </row>
    <row r="1798" spans="17:41" x14ac:dyDescent="0.3">
      <c r="Q1798" s="93">
        <v>46169</v>
      </c>
      <c r="R1798" t="s">
        <v>364</v>
      </c>
      <c r="S1798" t="s">
        <v>415</v>
      </c>
      <c r="T1798" s="14">
        <v>6.4899392775535398</v>
      </c>
      <c r="W1798" s="20">
        <v>46111</v>
      </c>
      <c r="X1798" t="s">
        <v>278</v>
      </c>
      <c r="Y1798" s="23">
        <v>8.0692307692307708</v>
      </c>
      <c r="Z1798" s="23">
        <v>7.6</v>
      </c>
      <c r="AA1798" s="23">
        <v>7.8346153846153896</v>
      </c>
      <c r="AO1798" s="14"/>
    </row>
    <row r="1799" spans="17:41" x14ac:dyDescent="0.3">
      <c r="Q1799" s="93">
        <v>46169</v>
      </c>
      <c r="R1799" t="s">
        <v>516</v>
      </c>
      <c r="S1799" t="s">
        <v>415</v>
      </c>
      <c r="T1799" s="14">
        <v>6.7568474213328704</v>
      </c>
      <c r="W1799" s="20">
        <v>46111</v>
      </c>
      <c r="X1799" t="s">
        <v>279</v>
      </c>
      <c r="Y1799" s="23">
        <v>8.0923076923076902</v>
      </c>
      <c r="Z1799" s="23">
        <v>7.62307692307692</v>
      </c>
      <c r="AA1799" s="23">
        <v>7.85769230769231</v>
      </c>
      <c r="AO1799" s="14"/>
    </row>
    <row r="1800" spans="17:41" x14ac:dyDescent="0.3">
      <c r="Q1800" s="93">
        <v>46169</v>
      </c>
      <c r="R1800" t="s">
        <v>1288</v>
      </c>
      <c r="S1800" t="s">
        <v>415</v>
      </c>
      <c r="T1800" s="14">
        <v>7.1479080889202402</v>
      </c>
      <c r="W1800" s="20">
        <v>46111</v>
      </c>
      <c r="X1800" t="s">
        <v>280</v>
      </c>
      <c r="Y1800" s="23">
        <v>8.1153846153846096</v>
      </c>
      <c r="Z1800" s="23">
        <v>7.6461538461538403</v>
      </c>
      <c r="AA1800" s="23">
        <v>7.8807692307692303</v>
      </c>
      <c r="AO1800" s="14"/>
    </row>
    <row r="1801" spans="17:41" x14ac:dyDescent="0.3">
      <c r="Q1801" s="93">
        <v>46169</v>
      </c>
      <c r="R1801" t="s">
        <v>496</v>
      </c>
      <c r="S1801" t="s">
        <v>415</v>
      </c>
      <c r="T1801" s="14">
        <v>6.54811129878256</v>
      </c>
      <c r="W1801" s="20">
        <v>46111</v>
      </c>
      <c r="X1801" t="s">
        <v>281</v>
      </c>
      <c r="Y1801" s="23">
        <v>8.1307692307692303</v>
      </c>
      <c r="Z1801" s="23">
        <v>7.6615384615384601</v>
      </c>
      <c r="AA1801" s="23">
        <v>7.8961538461538501</v>
      </c>
      <c r="AO1801" s="14"/>
    </row>
    <row r="1802" spans="17:41" x14ac:dyDescent="0.3">
      <c r="Q1802" s="93">
        <v>46169</v>
      </c>
      <c r="R1802" t="s">
        <v>1290</v>
      </c>
      <c r="S1802" t="s">
        <v>415</v>
      </c>
      <c r="T1802" s="14">
        <v>6.7837483455734597</v>
      </c>
      <c r="W1802" s="20">
        <v>46112</v>
      </c>
      <c r="X1802" t="s">
        <v>270</v>
      </c>
      <c r="Y1802" s="23">
        <v>7.95</v>
      </c>
      <c r="Z1802" s="23">
        <v>7.45</v>
      </c>
      <c r="AA1802" s="23">
        <v>7.7</v>
      </c>
    </row>
    <row r="1803" spans="17:41" x14ac:dyDescent="0.3">
      <c r="Q1803" s="93">
        <v>46169</v>
      </c>
      <c r="R1803" t="s">
        <v>364</v>
      </c>
      <c r="S1803" t="s">
        <v>997</v>
      </c>
      <c r="T1803" s="14">
        <v>22266.7906</v>
      </c>
      <c r="W1803" s="20">
        <v>46112</v>
      </c>
      <c r="X1803" t="s">
        <v>271</v>
      </c>
      <c r="Y1803" s="23">
        <v>8.0166666666666693</v>
      </c>
      <c r="Z1803" s="23">
        <v>7.69166666666667</v>
      </c>
      <c r="AA1803" s="23">
        <v>7.8541666666666696</v>
      </c>
    </row>
    <row r="1804" spans="17:41" x14ac:dyDescent="0.3">
      <c r="Q1804" s="93">
        <v>46169</v>
      </c>
      <c r="R1804" t="s">
        <v>496</v>
      </c>
      <c r="S1804" t="s">
        <v>997</v>
      </c>
      <c r="T1804" s="14">
        <v>23486.7906</v>
      </c>
      <c r="W1804" s="20">
        <v>46112</v>
      </c>
      <c r="X1804" t="s">
        <v>272</v>
      </c>
      <c r="Y1804" s="23">
        <v>7.8666666666666698</v>
      </c>
      <c r="Z1804" s="23">
        <v>7.3666666666666698</v>
      </c>
      <c r="AA1804" s="23">
        <v>7.6166666666666698</v>
      </c>
    </row>
    <row r="1805" spans="17:41" x14ac:dyDescent="0.3">
      <c r="Q1805" s="93">
        <v>46169</v>
      </c>
      <c r="R1805" t="s">
        <v>479</v>
      </c>
      <c r="S1805" t="s">
        <v>399</v>
      </c>
      <c r="T1805" s="14">
        <v>15197.6106</v>
      </c>
      <c r="W1805" s="20">
        <v>46112</v>
      </c>
      <c r="X1805" t="s">
        <v>273</v>
      </c>
      <c r="Y1805" s="23">
        <v>8.0384615384615401</v>
      </c>
      <c r="Z1805" s="23">
        <v>7.5692307692307699</v>
      </c>
      <c r="AA1805" s="23">
        <v>7.8038461538461599</v>
      </c>
    </row>
    <row r="1806" spans="17:41" x14ac:dyDescent="0.3">
      <c r="Q1806" s="93">
        <v>46168</v>
      </c>
      <c r="R1806" t="s">
        <v>479</v>
      </c>
      <c r="S1806" t="s">
        <v>399</v>
      </c>
      <c r="T1806" s="14">
        <v>14197.6106</v>
      </c>
      <c r="W1806" s="20">
        <v>46112</v>
      </c>
      <c r="X1806" t="s">
        <v>274</v>
      </c>
      <c r="Y1806" s="23">
        <v>8.0153846153846207</v>
      </c>
      <c r="Z1806" s="23">
        <v>7.5461538461538504</v>
      </c>
      <c r="AA1806" s="23">
        <v>7.7807692307692298</v>
      </c>
    </row>
    <row r="1807" spans="17:41" x14ac:dyDescent="0.3">
      <c r="Q1807" s="93">
        <v>46168</v>
      </c>
      <c r="R1807" t="s">
        <v>364</v>
      </c>
      <c r="S1807" t="s">
        <v>399</v>
      </c>
      <c r="T1807" s="14">
        <v>19916.7906</v>
      </c>
      <c r="W1807" s="20">
        <v>46112</v>
      </c>
      <c r="X1807" t="s">
        <v>275</v>
      </c>
      <c r="Y1807" s="23">
        <v>8.0653846153846107</v>
      </c>
      <c r="Z1807" s="23">
        <v>7.5961538461538396</v>
      </c>
      <c r="AA1807" s="23">
        <v>7.8307692307692296</v>
      </c>
    </row>
    <row r="1808" spans="17:41" x14ac:dyDescent="0.3">
      <c r="Q1808" s="93">
        <v>46168</v>
      </c>
      <c r="R1808" t="s">
        <v>491</v>
      </c>
      <c r="S1808" t="s">
        <v>399</v>
      </c>
      <c r="T1808" s="14">
        <v>397.61059999999998</v>
      </c>
      <c r="W1808" s="20">
        <v>46112</v>
      </c>
      <c r="X1808" t="s">
        <v>276</v>
      </c>
      <c r="Y1808" s="23">
        <v>8.0961538461538396</v>
      </c>
      <c r="Z1808" s="23">
        <v>7.62692307692308</v>
      </c>
      <c r="AA1808" s="23">
        <v>7.8615384615384603</v>
      </c>
    </row>
    <row r="1809" spans="17:27" x14ac:dyDescent="0.3">
      <c r="Q1809" s="93">
        <v>46168</v>
      </c>
      <c r="R1809" t="s">
        <v>492</v>
      </c>
      <c r="S1809" t="s">
        <v>399</v>
      </c>
      <c r="T1809" s="14">
        <v>13800</v>
      </c>
      <c r="W1809" s="20">
        <v>46112</v>
      </c>
      <c r="X1809" t="s">
        <v>277</v>
      </c>
      <c r="Y1809" s="23">
        <v>8.1461538461538403</v>
      </c>
      <c r="Z1809" s="23">
        <v>7.6769230769230798</v>
      </c>
      <c r="AA1809" s="23">
        <v>7.9115384615384601</v>
      </c>
    </row>
    <row r="1810" spans="17:27" x14ac:dyDescent="0.3">
      <c r="Q1810" s="93">
        <v>46168</v>
      </c>
      <c r="R1810" t="s">
        <v>496</v>
      </c>
      <c r="S1810" t="s">
        <v>399</v>
      </c>
      <c r="T1810" s="14">
        <v>21856.7906</v>
      </c>
      <c r="W1810" s="20">
        <v>46112</v>
      </c>
      <c r="X1810" t="s">
        <v>278</v>
      </c>
      <c r="Y1810" s="23">
        <v>8.1461538461538403</v>
      </c>
      <c r="Z1810" s="23">
        <v>7.6769230769230798</v>
      </c>
      <c r="AA1810" s="23">
        <v>7.9115384615384601</v>
      </c>
    </row>
    <row r="1811" spans="17:27" x14ac:dyDescent="0.3">
      <c r="Q1811" s="93">
        <v>46168</v>
      </c>
      <c r="R1811" t="s">
        <v>497</v>
      </c>
      <c r="S1811" t="s">
        <v>399</v>
      </c>
      <c r="T1811" s="14">
        <v>397.61059999999998</v>
      </c>
      <c r="W1811" s="20">
        <v>46112</v>
      </c>
      <c r="X1811" t="s">
        <v>279</v>
      </c>
      <c r="Y1811" s="23">
        <v>8.1692307692307704</v>
      </c>
      <c r="Z1811" s="23">
        <v>7.7</v>
      </c>
      <c r="AA1811" s="23">
        <v>7.9346153846153902</v>
      </c>
    </row>
    <row r="1812" spans="17:27" x14ac:dyDescent="0.3">
      <c r="Q1812" s="93">
        <v>46168</v>
      </c>
      <c r="R1812" t="s">
        <v>498</v>
      </c>
      <c r="S1812" t="s">
        <v>399</v>
      </c>
      <c r="T1812" s="14">
        <v>13800</v>
      </c>
      <c r="W1812" s="20">
        <v>46112</v>
      </c>
      <c r="X1812" t="s">
        <v>280</v>
      </c>
      <c r="Y1812" s="23">
        <v>8.1923076923076898</v>
      </c>
      <c r="Z1812" s="23">
        <v>7.7230769230769196</v>
      </c>
      <c r="AA1812" s="23">
        <v>7.9576923076923096</v>
      </c>
    </row>
    <row r="1813" spans="17:27" x14ac:dyDescent="0.3">
      <c r="Q1813" s="93">
        <v>46168</v>
      </c>
      <c r="R1813" t="s">
        <v>494</v>
      </c>
      <c r="S1813" t="s">
        <v>399</v>
      </c>
      <c r="T1813" s="14">
        <v>0</v>
      </c>
      <c r="W1813" s="20">
        <v>46112</v>
      </c>
      <c r="X1813" t="s">
        <v>281</v>
      </c>
      <c r="Y1813" s="23">
        <v>8.2076923076923105</v>
      </c>
      <c r="Z1813" s="23">
        <v>7.7384615384615403</v>
      </c>
      <c r="AA1813" s="23">
        <v>7.9730769230769196</v>
      </c>
    </row>
    <row r="1814" spans="17:27" x14ac:dyDescent="0.3">
      <c r="Q1814" s="93">
        <v>46168</v>
      </c>
      <c r="R1814" t="s">
        <v>495</v>
      </c>
      <c r="S1814" t="s">
        <v>399</v>
      </c>
      <c r="T1814" s="14">
        <v>0</v>
      </c>
      <c r="W1814" s="20">
        <v>46113</v>
      </c>
      <c r="X1814" t="s">
        <v>270</v>
      </c>
      <c r="Y1814" s="23">
        <v>7.95</v>
      </c>
      <c r="Z1814" s="23">
        <v>7.45</v>
      </c>
      <c r="AA1814" s="23">
        <v>7.7</v>
      </c>
    </row>
    <row r="1815" spans="17:27" x14ac:dyDescent="0.3">
      <c r="Q1815" s="93">
        <v>46168</v>
      </c>
      <c r="R1815" t="s">
        <v>493</v>
      </c>
      <c r="S1815" t="s">
        <v>399</v>
      </c>
      <c r="T1815" s="14">
        <v>0</v>
      </c>
      <c r="W1815" s="20">
        <v>46113</v>
      </c>
      <c r="X1815" t="s">
        <v>271</v>
      </c>
      <c r="Y1815" s="23">
        <v>8.0333333333333297</v>
      </c>
      <c r="Z1815" s="23">
        <v>7.7083333333333304</v>
      </c>
      <c r="AA1815" s="23">
        <v>7.87083333333333</v>
      </c>
    </row>
    <row r="1816" spans="17:27" x14ac:dyDescent="0.3">
      <c r="Q1816" s="93">
        <v>46168</v>
      </c>
      <c r="R1816" t="s">
        <v>593</v>
      </c>
      <c r="S1816" t="s">
        <v>399</v>
      </c>
      <c r="T1816" s="14">
        <v>-1940</v>
      </c>
      <c r="W1816" s="20">
        <v>46113</v>
      </c>
      <c r="X1816" t="s">
        <v>272</v>
      </c>
      <c r="Y1816" s="23">
        <v>7.9</v>
      </c>
      <c r="Z1816" s="23">
        <v>7.4</v>
      </c>
      <c r="AA1816" s="23">
        <v>7.65</v>
      </c>
    </row>
    <row r="1817" spans="17:27" x14ac:dyDescent="0.3">
      <c r="Q1817" s="93">
        <v>46168</v>
      </c>
      <c r="R1817" t="s">
        <v>594</v>
      </c>
      <c r="S1817" t="s">
        <v>399</v>
      </c>
      <c r="T1817" s="14">
        <v>0</v>
      </c>
      <c r="W1817" s="20">
        <v>46113</v>
      </c>
      <c r="X1817" t="s">
        <v>273</v>
      </c>
      <c r="Y1817" s="23">
        <v>8</v>
      </c>
      <c r="Z1817" s="23">
        <v>7.5307692307692298</v>
      </c>
      <c r="AA1817" s="23">
        <v>7.7653846153846198</v>
      </c>
    </row>
    <row r="1818" spans="17:27" x14ac:dyDescent="0.3">
      <c r="Q1818" s="93">
        <v>46168</v>
      </c>
      <c r="R1818" t="s">
        <v>595</v>
      </c>
      <c r="S1818" t="s">
        <v>399</v>
      </c>
      <c r="T1818" s="14">
        <v>0</v>
      </c>
      <c r="W1818" s="20">
        <v>46113</v>
      </c>
      <c r="X1818" t="s">
        <v>274</v>
      </c>
      <c r="Y1818" s="23">
        <v>8.0307692307692307</v>
      </c>
      <c r="Z1818" s="23">
        <v>7.5615384615384604</v>
      </c>
      <c r="AA1818" s="23">
        <v>7.7961538461538504</v>
      </c>
    </row>
    <row r="1819" spans="17:27" x14ac:dyDescent="0.3">
      <c r="Q1819" s="93">
        <v>46168</v>
      </c>
      <c r="R1819" t="s">
        <v>479</v>
      </c>
      <c r="S1819" t="s">
        <v>395</v>
      </c>
      <c r="T1819" s="14">
        <v>10197.7660045747</v>
      </c>
      <c r="W1819" s="20">
        <v>46113</v>
      </c>
      <c r="X1819" t="s">
        <v>275</v>
      </c>
      <c r="Y1819" s="23">
        <v>8.0653846153846107</v>
      </c>
      <c r="Z1819" s="23">
        <v>7.5961538461538396</v>
      </c>
      <c r="AA1819" s="23">
        <v>7.8307692307692296</v>
      </c>
    </row>
    <row r="1820" spans="17:27" x14ac:dyDescent="0.3">
      <c r="Q1820" s="93">
        <v>46168</v>
      </c>
      <c r="R1820" t="s">
        <v>479</v>
      </c>
      <c r="S1820" t="s">
        <v>415</v>
      </c>
      <c r="T1820" s="14">
        <v>6.9611096207977399</v>
      </c>
      <c r="W1820" s="20">
        <v>46113</v>
      </c>
      <c r="X1820" t="s">
        <v>276</v>
      </c>
      <c r="Y1820" s="23">
        <v>8.1423076923076891</v>
      </c>
      <c r="Z1820" s="23">
        <v>7.6730769230769198</v>
      </c>
      <c r="AA1820" s="23">
        <v>7.9076923076923098</v>
      </c>
    </row>
    <row r="1821" spans="17:27" x14ac:dyDescent="0.3">
      <c r="Q1821" s="93">
        <v>46168</v>
      </c>
      <c r="R1821" t="s">
        <v>364</v>
      </c>
      <c r="S1821" t="s">
        <v>415</v>
      </c>
      <c r="T1821" s="14">
        <v>6.5381458253951603</v>
      </c>
      <c r="W1821" s="20">
        <v>46113</v>
      </c>
      <c r="X1821" t="s">
        <v>277</v>
      </c>
      <c r="Y1821" s="23">
        <v>8.1846153846153804</v>
      </c>
      <c r="Z1821" s="23">
        <v>7.7153846153846102</v>
      </c>
      <c r="AA1821" s="23">
        <v>7.95</v>
      </c>
    </row>
    <row r="1822" spans="17:27" x14ac:dyDescent="0.3">
      <c r="Q1822" s="93">
        <v>46168</v>
      </c>
      <c r="R1822" t="s">
        <v>516</v>
      </c>
      <c r="S1822" t="s">
        <v>415</v>
      </c>
      <c r="T1822" s="14">
        <v>6.7037871058091003</v>
      </c>
      <c r="W1822" s="20">
        <v>46113</v>
      </c>
      <c r="X1822" t="s">
        <v>278</v>
      </c>
      <c r="Y1822" s="23">
        <v>8.1999999999999993</v>
      </c>
      <c r="Z1822" s="23">
        <v>7.7307692307692299</v>
      </c>
      <c r="AA1822" s="23">
        <v>7.9653846153846199</v>
      </c>
    </row>
    <row r="1823" spans="17:27" x14ac:dyDescent="0.3">
      <c r="Q1823" s="93">
        <v>46168</v>
      </c>
      <c r="R1823" t="s">
        <v>1288</v>
      </c>
      <c r="S1823" t="s">
        <v>415</v>
      </c>
      <c r="T1823" s="14">
        <v>6.9611096207977399</v>
      </c>
      <c r="W1823" s="20">
        <v>46113</v>
      </c>
      <c r="X1823" t="s">
        <v>279</v>
      </c>
      <c r="Y1823" s="23">
        <v>8.2461538461538506</v>
      </c>
      <c r="Z1823" s="23">
        <v>7.7769230769230804</v>
      </c>
      <c r="AA1823" s="23">
        <v>8.0115384615384606</v>
      </c>
    </row>
    <row r="1824" spans="17:27" x14ac:dyDescent="0.3">
      <c r="Q1824" s="93">
        <v>46168</v>
      </c>
      <c r="R1824" t="s">
        <v>496</v>
      </c>
      <c r="S1824" t="s">
        <v>415</v>
      </c>
      <c r="T1824" s="14">
        <v>6.5737727060403497</v>
      </c>
      <c r="W1824" s="20">
        <v>46113</v>
      </c>
      <c r="X1824" t="s">
        <v>280</v>
      </c>
      <c r="Y1824" s="23">
        <v>8.2692307692307701</v>
      </c>
      <c r="Z1824" s="23">
        <v>7.8</v>
      </c>
      <c r="AA1824" s="23">
        <v>8.0346153846153907</v>
      </c>
    </row>
    <row r="1825" spans="17:27" x14ac:dyDescent="0.3">
      <c r="Q1825" s="93">
        <v>46168</v>
      </c>
      <c r="R1825" t="s">
        <v>1290</v>
      </c>
      <c r="S1825" t="s">
        <v>415</v>
      </c>
      <c r="T1825" s="14">
        <v>6.7182831572186199</v>
      </c>
      <c r="W1825" s="20">
        <v>46113</v>
      </c>
      <c r="X1825" t="s">
        <v>281</v>
      </c>
      <c r="Y1825" s="23">
        <v>8.2846153846153801</v>
      </c>
      <c r="Z1825" s="23">
        <v>7.8153846153846098</v>
      </c>
      <c r="AA1825" s="23">
        <v>8.0500000000000007</v>
      </c>
    </row>
    <row r="1826" spans="17:27" x14ac:dyDescent="0.3">
      <c r="Q1826" s="93">
        <v>46168</v>
      </c>
      <c r="R1826" t="s">
        <v>364</v>
      </c>
      <c r="S1826" t="s">
        <v>997</v>
      </c>
      <c r="T1826" s="14">
        <v>21916.7906</v>
      </c>
      <c r="W1826" s="20">
        <v>46114</v>
      </c>
      <c r="X1826" t="s">
        <v>270</v>
      </c>
      <c r="Y1826" s="23">
        <v>7.96</v>
      </c>
      <c r="Z1826" s="23">
        <v>7.55</v>
      </c>
      <c r="AA1826" s="23">
        <v>7.7549999999999999</v>
      </c>
    </row>
    <row r="1827" spans="17:27" x14ac:dyDescent="0.3">
      <c r="Q1827" s="93">
        <v>46168</v>
      </c>
      <c r="R1827" t="s">
        <v>496</v>
      </c>
      <c r="S1827" t="s">
        <v>997</v>
      </c>
      <c r="T1827" s="14">
        <v>23856.7906</v>
      </c>
      <c r="W1827" s="20">
        <v>46114</v>
      </c>
      <c r="X1827" t="s">
        <v>271</v>
      </c>
      <c r="Y1827" s="23">
        <v>8.06</v>
      </c>
      <c r="Z1827" s="23">
        <v>7.68</v>
      </c>
      <c r="AA1827" s="23">
        <v>7.87</v>
      </c>
    </row>
    <row r="1828" spans="17:27" x14ac:dyDescent="0.3">
      <c r="Q1828" s="93">
        <v>46167</v>
      </c>
      <c r="R1828" t="s">
        <v>479</v>
      </c>
      <c r="S1828" t="s">
        <v>415</v>
      </c>
      <c r="T1828" s="14">
        <v>6.9611096207977399</v>
      </c>
      <c r="W1828" s="20">
        <v>46114</v>
      </c>
      <c r="X1828" t="s">
        <v>272</v>
      </c>
      <c r="Y1828" s="23">
        <v>7.9</v>
      </c>
      <c r="Z1828" s="23">
        <v>7.4</v>
      </c>
      <c r="AA1828" s="23">
        <v>7.65</v>
      </c>
    </row>
    <row r="1829" spans="17:27" x14ac:dyDescent="0.3">
      <c r="Q1829" s="93">
        <v>46167</v>
      </c>
      <c r="R1829" t="s">
        <v>364</v>
      </c>
      <c r="S1829" t="s">
        <v>415</v>
      </c>
      <c r="T1829" s="14">
        <v>6.5861123575884601</v>
      </c>
      <c r="W1829" s="20">
        <v>46114</v>
      </c>
      <c r="X1829" t="s">
        <v>273</v>
      </c>
      <c r="Y1829" s="23">
        <v>8.0384615384615401</v>
      </c>
      <c r="Z1829" s="23">
        <v>7.5692307692307699</v>
      </c>
      <c r="AA1829" s="23">
        <v>7.8038461538461599</v>
      </c>
    </row>
    <row r="1830" spans="17:27" x14ac:dyDescent="0.3">
      <c r="Q1830" s="93">
        <v>46167</v>
      </c>
      <c r="R1830" t="s">
        <v>516</v>
      </c>
      <c r="S1830" t="s">
        <v>415</v>
      </c>
      <c r="T1830" s="14">
        <v>6.7324040280539599</v>
      </c>
      <c r="W1830" s="20">
        <v>46114</v>
      </c>
      <c r="X1830" t="s">
        <v>274</v>
      </c>
      <c r="Y1830" s="23">
        <v>8.0538461538461501</v>
      </c>
      <c r="Z1830" s="23">
        <v>7.5846153846153799</v>
      </c>
      <c r="AA1830" s="23">
        <v>7.8192307692307699</v>
      </c>
    </row>
    <row r="1831" spans="17:27" x14ac:dyDescent="0.3">
      <c r="Q1831" s="93">
        <v>46167</v>
      </c>
      <c r="R1831" t="s">
        <v>1288</v>
      </c>
      <c r="S1831" t="s">
        <v>415</v>
      </c>
      <c r="T1831" s="14">
        <v>6.9611096207977399</v>
      </c>
      <c r="W1831" s="20">
        <v>46114</v>
      </c>
      <c r="X1831" t="s">
        <v>275</v>
      </c>
      <c r="Y1831" s="23">
        <v>8.0961538461538396</v>
      </c>
      <c r="Z1831" s="23">
        <v>7.6269230769230703</v>
      </c>
      <c r="AA1831" s="23">
        <v>7.8615384615384603</v>
      </c>
    </row>
    <row r="1832" spans="17:27" x14ac:dyDescent="0.3">
      <c r="Q1832" s="93">
        <v>46167</v>
      </c>
      <c r="R1832" t="s">
        <v>496</v>
      </c>
      <c r="S1832" t="s">
        <v>415</v>
      </c>
      <c r="T1832" s="14">
        <v>6.6979640306361699</v>
      </c>
      <c r="W1832" s="20">
        <v>46114</v>
      </c>
      <c r="X1832" t="s">
        <v>276</v>
      </c>
      <c r="Y1832" s="23">
        <v>8.15</v>
      </c>
      <c r="Z1832" s="23">
        <v>7.6807692307692301</v>
      </c>
      <c r="AA1832" s="23">
        <v>7.9153846153846104</v>
      </c>
    </row>
    <row r="1833" spans="17:27" x14ac:dyDescent="0.3">
      <c r="Q1833" s="93">
        <v>46167</v>
      </c>
      <c r="R1833" t="s">
        <v>1290</v>
      </c>
      <c r="S1833" t="s">
        <v>415</v>
      </c>
      <c r="T1833" s="14">
        <v>6.7970803014905403</v>
      </c>
      <c r="W1833" s="20">
        <v>46114</v>
      </c>
      <c r="X1833" t="s">
        <v>277</v>
      </c>
      <c r="Y1833" s="23">
        <v>8.1923076923076898</v>
      </c>
      <c r="Z1833" s="23">
        <v>7.7230769230769196</v>
      </c>
      <c r="AA1833" s="23">
        <v>7.9576923076923096</v>
      </c>
    </row>
    <row r="1834" spans="17:27" x14ac:dyDescent="0.3">
      <c r="Q1834" s="93">
        <v>46167</v>
      </c>
      <c r="R1834" t="s">
        <v>364</v>
      </c>
      <c r="S1834" t="s">
        <v>997</v>
      </c>
      <c r="T1834" s="14">
        <v>21195.883999999998</v>
      </c>
      <c r="W1834" s="20">
        <v>46114</v>
      </c>
      <c r="X1834" t="s">
        <v>278</v>
      </c>
      <c r="Y1834" s="23">
        <v>8.1999999999999993</v>
      </c>
      <c r="Z1834" s="23">
        <v>7.7307692307692299</v>
      </c>
      <c r="AA1834" s="23">
        <v>7.9653846153846199</v>
      </c>
    </row>
    <row r="1835" spans="17:27" x14ac:dyDescent="0.3">
      <c r="Q1835" s="93">
        <v>46167</v>
      </c>
      <c r="R1835" t="s">
        <v>496</v>
      </c>
      <c r="S1835" t="s">
        <v>997</v>
      </c>
      <c r="T1835" s="14">
        <v>23495.883999999998</v>
      </c>
      <c r="W1835" s="20">
        <v>46114</v>
      </c>
      <c r="X1835" t="s">
        <v>279</v>
      </c>
      <c r="Y1835" s="23">
        <v>8.2307692307692299</v>
      </c>
      <c r="Z1835" s="23">
        <v>7.7615384615384597</v>
      </c>
      <c r="AA1835" s="23">
        <v>7.9961538461538497</v>
      </c>
    </row>
    <row r="1836" spans="17:27" x14ac:dyDescent="0.3">
      <c r="Q1836" s="93">
        <v>46167</v>
      </c>
      <c r="R1836" t="s">
        <v>479</v>
      </c>
      <c r="S1836" t="s">
        <v>399</v>
      </c>
      <c r="T1836" s="14">
        <v>14197.6106</v>
      </c>
      <c r="W1836" s="20">
        <v>46114</v>
      </c>
      <c r="X1836" t="s">
        <v>280</v>
      </c>
      <c r="Y1836" s="23">
        <v>8.2538461538461494</v>
      </c>
      <c r="Z1836" s="23">
        <v>7.7846153846153801</v>
      </c>
      <c r="AA1836" s="23">
        <v>8.0192307692307701</v>
      </c>
    </row>
    <row r="1837" spans="17:27" x14ac:dyDescent="0.3">
      <c r="Q1837" s="93">
        <v>46167</v>
      </c>
      <c r="R1837" t="s">
        <v>364</v>
      </c>
      <c r="S1837" t="s">
        <v>399</v>
      </c>
      <c r="T1837" s="14">
        <v>19195.883999999998</v>
      </c>
      <c r="W1837" s="20">
        <v>46114</v>
      </c>
      <c r="X1837" t="s">
        <v>281</v>
      </c>
      <c r="Y1837" s="23">
        <v>8.2692307692307701</v>
      </c>
      <c r="Z1837" s="23">
        <v>7.8</v>
      </c>
      <c r="AA1837" s="23">
        <v>8.0346153846153907</v>
      </c>
    </row>
    <row r="1838" spans="17:27" x14ac:dyDescent="0.3">
      <c r="Q1838" s="93">
        <v>46167</v>
      </c>
      <c r="R1838" t="s">
        <v>491</v>
      </c>
      <c r="S1838" t="s">
        <v>399</v>
      </c>
      <c r="T1838" s="14">
        <v>397.61059999999998</v>
      </c>
      <c r="W1838" s="20">
        <v>46115</v>
      </c>
      <c r="X1838" t="s">
        <v>270</v>
      </c>
      <c r="Y1838" s="23">
        <v>7.96</v>
      </c>
      <c r="Z1838" s="23">
        <v>7.55</v>
      </c>
      <c r="AA1838" s="23">
        <v>7.7549999999999999</v>
      </c>
    </row>
    <row r="1839" spans="17:27" x14ac:dyDescent="0.3">
      <c r="Q1839" s="93">
        <v>46167</v>
      </c>
      <c r="R1839" t="s">
        <v>492</v>
      </c>
      <c r="S1839" t="s">
        <v>399</v>
      </c>
      <c r="T1839" s="14">
        <v>13800</v>
      </c>
      <c r="W1839" s="20">
        <v>46115</v>
      </c>
      <c r="X1839" t="s">
        <v>271</v>
      </c>
      <c r="Y1839" s="23">
        <v>8</v>
      </c>
      <c r="Z1839" s="23">
        <v>7.62</v>
      </c>
      <c r="AA1839" s="23">
        <v>7.81</v>
      </c>
    </row>
    <row r="1840" spans="17:27" x14ac:dyDescent="0.3">
      <c r="Q1840" s="93">
        <v>46167</v>
      </c>
      <c r="R1840" t="s">
        <v>496</v>
      </c>
      <c r="S1840" t="s">
        <v>399</v>
      </c>
      <c r="T1840" s="14">
        <v>21495.883999999998</v>
      </c>
      <c r="W1840" s="20">
        <v>46115</v>
      </c>
      <c r="X1840" t="s">
        <v>272</v>
      </c>
      <c r="Y1840" s="23">
        <v>7.9</v>
      </c>
      <c r="Z1840" s="23">
        <v>7.4</v>
      </c>
      <c r="AA1840" s="23">
        <v>7.65</v>
      </c>
    </row>
    <row r="1841" spans="17:27" x14ac:dyDescent="0.3">
      <c r="Q1841" s="93">
        <v>46167</v>
      </c>
      <c r="R1841" t="s">
        <v>497</v>
      </c>
      <c r="S1841" t="s">
        <v>399</v>
      </c>
      <c r="T1841" s="14">
        <v>397.61059999999998</v>
      </c>
      <c r="W1841" s="20">
        <v>46115</v>
      </c>
      <c r="X1841" t="s">
        <v>273</v>
      </c>
      <c r="Y1841" s="23">
        <v>8.0307692307692307</v>
      </c>
      <c r="Z1841" s="23">
        <v>7.5692307692307699</v>
      </c>
      <c r="AA1841" s="23">
        <v>7.8</v>
      </c>
    </row>
    <row r="1842" spans="17:27" x14ac:dyDescent="0.3">
      <c r="Q1842" s="93">
        <v>46167</v>
      </c>
      <c r="R1842" t="s">
        <v>498</v>
      </c>
      <c r="S1842" t="s">
        <v>399</v>
      </c>
      <c r="T1842" s="14">
        <v>13800</v>
      </c>
      <c r="W1842" s="20">
        <v>46115</v>
      </c>
      <c r="X1842" t="s">
        <v>274</v>
      </c>
      <c r="Y1842" s="23">
        <v>8.0538461538461501</v>
      </c>
      <c r="Z1842" s="23">
        <v>7.5846153846153799</v>
      </c>
      <c r="AA1842" s="23">
        <v>7.8192307692307699</v>
      </c>
    </row>
    <row r="1843" spans="17:27" x14ac:dyDescent="0.3">
      <c r="Q1843" s="93">
        <v>46167</v>
      </c>
      <c r="R1843" t="s">
        <v>494</v>
      </c>
      <c r="S1843" t="s">
        <v>399</v>
      </c>
      <c r="T1843" s="14">
        <v>0</v>
      </c>
      <c r="W1843" s="20">
        <v>46115</v>
      </c>
      <c r="X1843" t="s">
        <v>275</v>
      </c>
      <c r="Y1843" s="23">
        <v>8.0961538461538396</v>
      </c>
      <c r="Z1843" s="23">
        <v>7.6269230769230703</v>
      </c>
      <c r="AA1843" s="23">
        <v>7.8615384615384603</v>
      </c>
    </row>
    <row r="1844" spans="17:27" x14ac:dyDescent="0.3">
      <c r="Q1844" s="93">
        <v>46167</v>
      </c>
      <c r="R1844" t="s">
        <v>495</v>
      </c>
      <c r="S1844" t="s">
        <v>399</v>
      </c>
      <c r="T1844" s="14">
        <v>0</v>
      </c>
      <c r="W1844" s="20">
        <v>46115</v>
      </c>
      <c r="X1844" t="s">
        <v>276</v>
      </c>
      <c r="Y1844" s="23">
        <v>8.15</v>
      </c>
      <c r="Z1844" s="23">
        <v>7.6807692307692301</v>
      </c>
      <c r="AA1844" s="23">
        <v>7.9153846153846104</v>
      </c>
    </row>
    <row r="1845" spans="17:27" x14ac:dyDescent="0.3">
      <c r="Q1845" s="93">
        <v>46167</v>
      </c>
      <c r="R1845" t="s">
        <v>493</v>
      </c>
      <c r="S1845" t="s">
        <v>399</v>
      </c>
      <c r="T1845" s="14">
        <v>0</v>
      </c>
      <c r="W1845" s="20">
        <v>46115</v>
      </c>
      <c r="X1845" t="s">
        <v>277</v>
      </c>
      <c r="Y1845" s="23">
        <v>8.1923076923076898</v>
      </c>
      <c r="Z1845" s="23">
        <v>7.7230769230769196</v>
      </c>
      <c r="AA1845" s="23">
        <v>7.9576923076923096</v>
      </c>
    </row>
    <row r="1846" spans="17:27" x14ac:dyDescent="0.3">
      <c r="Q1846" s="93">
        <v>46167</v>
      </c>
      <c r="R1846" t="s">
        <v>593</v>
      </c>
      <c r="S1846" t="s">
        <v>399</v>
      </c>
      <c r="T1846" s="14">
        <v>-2300</v>
      </c>
      <c r="W1846" s="20">
        <v>46115</v>
      </c>
      <c r="X1846" t="s">
        <v>278</v>
      </c>
      <c r="Y1846" s="23">
        <v>8.1999999999999993</v>
      </c>
      <c r="Z1846" s="23">
        <v>7.7307692307692299</v>
      </c>
      <c r="AA1846" s="23">
        <v>7.9653846153846199</v>
      </c>
    </row>
    <row r="1847" spans="17:27" x14ac:dyDescent="0.3">
      <c r="Q1847" s="93">
        <v>46167</v>
      </c>
      <c r="R1847" t="s">
        <v>594</v>
      </c>
      <c r="S1847" t="s">
        <v>399</v>
      </c>
      <c r="T1847" s="14">
        <v>0</v>
      </c>
      <c r="W1847" s="20">
        <v>46115</v>
      </c>
      <c r="X1847" t="s">
        <v>279</v>
      </c>
      <c r="Y1847" s="23">
        <v>8.2307692307692299</v>
      </c>
      <c r="Z1847" s="23">
        <v>7.7615384615384597</v>
      </c>
      <c r="AA1847" s="23">
        <v>7.9961538461538497</v>
      </c>
    </row>
    <row r="1848" spans="17:27" x14ac:dyDescent="0.3">
      <c r="Q1848" s="93">
        <v>46167</v>
      </c>
      <c r="R1848" t="s">
        <v>595</v>
      </c>
      <c r="S1848" t="s">
        <v>399</v>
      </c>
      <c r="T1848" s="14">
        <v>0</v>
      </c>
      <c r="W1848" s="20">
        <v>46115</v>
      </c>
      <c r="X1848" t="s">
        <v>280</v>
      </c>
      <c r="Y1848" s="23">
        <v>8.2538461538461494</v>
      </c>
      <c r="Z1848" s="23">
        <v>7.7846153846153801</v>
      </c>
      <c r="AA1848" s="23">
        <v>8.0192307692307701</v>
      </c>
    </row>
    <row r="1849" spans="17:27" x14ac:dyDescent="0.3">
      <c r="Q1849" s="93">
        <v>46167</v>
      </c>
      <c r="R1849" t="s">
        <v>479</v>
      </c>
      <c r="S1849" t="s">
        <v>395</v>
      </c>
      <c r="T1849" s="14">
        <v>11163.897916574</v>
      </c>
      <c r="W1849" s="20">
        <v>46115</v>
      </c>
      <c r="X1849" t="s">
        <v>281</v>
      </c>
      <c r="Y1849" s="23">
        <v>8.2692307692307701</v>
      </c>
      <c r="Z1849" s="23">
        <v>7.8</v>
      </c>
      <c r="AA1849" s="23">
        <v>8.0346153846153907</v>
      </c>
    </row>
    <row r="1850" spans="17:27" x14ac:dyDescent="0.3">
      <c r="Q1850" s="93">
        <v>46164</v>
      </c>
      <c r="R1850" t="s">
        <v>364</v>
      </c>
      <c r="S1850" t="s">
        <v>415</v>
      </c>
      <c r="T1850" s="14">
        <v>6.43534080926214</v>
      </c>
      <c r="W1850" s="20">
        <v>46118</v>
      </c>
      <c r="X1850" t="s">
        <v>270</v>
      </c>
      <c r="Y1850" s="23">
        <v>7.96</v>
      </c>
      <c r="Z1850" s="23">
        <v>7.55</v>
      </c>
      <c r="AA1850" s="23">
        <v>7.7549999999999999</v>
      </c>
    </row>
    <row r="1851" spans="17:27" x14ac:dyDescent="0.3">
      <c r="Q1851" s="93">
        <v>46164</v>
      </c>
      <c r="R1851" t="s">
        <v>516</v>
      </c>
      <c r="S1851" t="s">
        <v>415</v>
      </c>
      <c r="T1851" s="14">
        <v>6.6324129095456197</v>
      </c>
      <c r="W1851" s="20">
        <v>46118</v>
      </c>
      <c r="X1851" t="s">
        <v>271</v>
      </c>
      <c r="Y1851" s="23">
        <v>8.0399999999999991</v>
      </c>
      <c r="Z1851" s="23">
        <v>7.68</v>
      </c>
      <c r="AA1851" s="23">
        <v>7.86</v>
      </c>
    </row>
    <row r="1852" spans="17:27" x14ac:dyDescent="0.3">
      <c r="Q1852" s="93">
        <v>46164</v>
      </c>
      <c r="R1852" t="s">
        <v>1288</v>
      </c>
      <c r="S1852" t="s">
        <v>415</v>
      </c>
      <c r="T1852" s="14">
        <v>6.9611096207977399</v>
      </c>
      <c r="W1852" s="20">
        <v>46118</v>
      </c>
      <c r="X1852" t="s">
        <v>272</v>
      </c>
      <c r="Y1852" s="23">
        <v>7.9749999999999996</v>
      </c>
      <c r="Z1852" s="23">
        <v>7.4749999999999996</v>
      </c>
      <c r="AA1852" s="23">
        <v>7.7249999999999996</v>
      </c>
    </row>
    <row r="1853" spans="17:27" x14ac:dyDescent="0.3">
      <c r="Q1853" s="93">
        <v>46164</v>
      </c>
      <c r="R1853" t="s">
        <v>496</v>
      </c>
      <c r="S1853" t="s">
        <v>415</v>
      </c>
      <c r="T1853" s="14">
        <v>6.6351947881397502</v>
      </c>
      <c r="W1853" s="20">
        <v>46118</v>
      </c>
      <c r="X1853" t="s">
        <v>273</v>
      </c>
      <c r="Y1853" s="23">
        <v>8.0769230769230802</v>
      </c>
      <c r="Z1853" s="23">
        <v>7.6153846153846096</v>
      </c>
      <c r="AA1853" s="23">
        <v>7.8461538461538503</v>
      </c>
    </row>
    <row r="1854" spans="17:27" x14ac:dyDescent="0.3">
      <c r="Q1854" s="93">
        <v>46164</v>
      </c>
      <c r="R1854" t="s">
        <v>1290</v>
      </c>
      <c r="S1854" t="s">
        <v>415</v>
      </c>
      <c r="T1854" s="14">
        <v>6.7597546641903499</v>
      </c>
      <c r="W1854" s="20">
        <v>46118</v>
      </c>
      <c r="X1854" t="s">
        <v>274</v>
      </c>
      <c r="Y1854" s="23">
        <v>8.1076923076923109</v>
      </c>
      <c r="Z1854" s="23">
        <v>7.6384615384615397</v>
      </c>
      <c r="AA1854" s="23">
        <v>7.87307692307692</v>
      </c>
    </row>
    <row r="1855" spans="17:27" x14ac:dyDescent="0.3">
      <c r="Q1855" s="93">
        <v>46164</v>
      </c>
      <c r="R1855" t="s">
        <v>364</v>
      </c>
      <c r="S1855" t="s">
        <v>997</v>
      </c>
      <c r="T1855" s="14">
        <v>21650.883999999998</v>
      </c>
      <c r="W1855" s="20">
        <v>46118</v>
      </c>
      <c r="X1855" t="s">
        <v>275</v>
      </c>
      <c r="Y1855" s="23">
        <v>8.1346153846153797</v>
      </c>
      <c r="Z1855" s="23">
        <v>7.6653846153846104</v>
      </c>
      <c r="AA1855" s="23">
        <v>7.9</v>
      </c>
    </row>
    <row r="1856" spans="17:27" x14ac:dyDescent="0.3">
      <c r="Q1856" s="93">
        <v>46164</v>
      </c>
      <c r="R1856" t="s">
        <v>496</v>
      </c>
      <c r="S1856" t="s">
        <v>997</v>
      </c>
      <c r="T1856" s="14">
        <v>22950.883999999998</v>
      </c>
      <c r="W1856" s="20">
        <v>46118</v>
      </c>
      <c r="X1856" t="s">
        <v>276</v>
      </c>
      <c r="Y1856" s="23">
        <v>8.1884615384615405</v>
      </c>
      <c r="Z1856" s="23">
        <v>7.7192307692307702</v>
      </c>
      <c r="AA1856" s="23">
        <v>7.9538461538461496</v>
      </c>
    </row>
    <row r="1857" spans="17:27" x14ac:dyDescent="0.3">
      <c r="Q1857" s="93">
        <v>46164</v>
      </c>
      <c r="R1857" t="s">
        <v>479</v>
      </c>
      <c r="S1857" t="s">
        <v>399</v>
      </c>
      <c r="T1857" s="14">
        <v>14197.6106</v>
      </c>
      <c r="W1857" s="20">
        <v>46118</v>
      </c>
      <c r="X1857" t="s">
        <v>277</v>
      </c>
      <c r="Y1857" s="23">
        <v>8.2384615384615394</v>
      </c>
      <c r="Z1857" s="23">
        <v>7.7692307692307701</v>
      </c>
      <c r="AA1857" s="23">
        <v>8.00384615384616</v>
      </c>
    </row>
    <row r="1858" spans="17:27" x14ac:dyDescent="0.3">
      <c r="Q1858" s="93">
        <v>46164</v>
      </c>
      <c r="R1858" t="s">
        <v>364</v>
      </c>
      <c r="S1858" t="s">
        <v>399</v>
      </c>
      <c r="T1858" s="14">
        <v>18650.883999999998</v>
      </c>
      <c r="W1858" s="20">
        <v>46118</v>
      </c>
      <c r="X1858" t="s">
        <v>278</v>
      </c>
      <c r="Y1858" s="23">
        <v>8.2461538461538506</v>
      </c>
      <c r="Z1858" s="23">
        <v>7.7769230769230804</v>
      </c>
      <c r="AA1858" s="23">
        <v>8.0115384615384606</v>
      </c>
    </row>
    <row r="1859" spans="17:27" x14ac:dyDescent="0.3">
      <c r="Q1859" s="93">
        <v>46164</v>
      </c>
      <c r="R1859" t="s">
        <v>491</v>
      </c>
      <c r="S1859" t="s">
        <v>399</v>
      </c>
      <c r="T1859" s="14">
        <v>397.61059999999998</v>
      </c>
      <c r="W1859" s="20">
        <v>46118</v>
      </c>
      <c r="X1859" t="s">
        <v>279</v>
      </c>
      <c r="Y1859" s="23">
        <v>8.2769230769230706</v>
      </c>
      <c r="Z1859" s="23">
        <v>7.8076923076923102</v>
      </c>
      <c r="AA1859" s="23">
        <v>8.0423076923076895</v>
      </c>
    </row>
    <row r="1860" spans="17:27" x14ac:dyDescent="0.3">
      <c r="Q1860" s="93">
        <v>46164</v>
      </c>
      <c r="R1860" t="s">
        <v>492</v>
      </c>
      <c r="S1860" t="s">
        <v>399</v>
      </c>
      <c r="T1860" s="14">
        <v>13800</v>
      </c>
      <c r="W1860" s="20">
        <v>46118</v>
      </c>
      <c r="X1860" t="s">
        <v>280</v>
      </c>
      <c r="Y1860" s="23">
        <v>8.3076923076923102</v>
      </c>
      <c r="Z1860" s="23">
        <v>7.8384615384615399</v>
      </c>
      <c r="AA1860" s="23">
        <v>8.0730769230769202</v>
      </c>
    </row>
    <row r="1861" spans="17:27" x14ac:dyDescent="0.3">
      <c r="Q1861" s="93">
        <v>46164</v>
      </c>
      <c r="R1861" t="s">
        <v>496</v>
      </c>
      <c r="S1861" t="s">
        <v>399</v>
      </c>
      <c r="T1861" s="14">
        <v>19950.883999999998</v>
      </c>
      <c r="W1861" s="20">
        <v>46118</v>
      </c>
      <c r="X1861" t="s">
        <v>281</v>
      </c>
      <c r="Y1861" s="23">
        <v>8.3230769230769202</v>
      </c>
      <c r="Z1861" s="23">
        <v>7.8538461538461499</v>
      </c>
      <c r="AA1861" s="23">
        <v>8.0884615384615408</v>
      </c>
    </row>
    <row r="1862" spans="17:27" x14ac:dyDescent="0.3">
      <c r="Q1862" s="93">
        <v>46164</v>
      </c>
      <c r="R1862" t="s">
        <v>497</v>
      </c>
      <c r="S1862" t="s">
        <v>399</v>
      </c>
      <c r="T1862" s="14">
        <v>397.61059999999998</v>
      </c>
      <c r="W1862" s="20">
        <v>46119</v>
      </c>
      <c r="X1862" t="s">
        <v>270</v>
      </c>
      <c r="Y1862" s="23">
        <v>7.96</v>
      </c>
      <c r="Z1862" s="23">
        <v>7.55</v>
      </c>
      <c r="AA1862" s="23">
        <v>7.7549999999999999</v>
      </c>
    </row>
    <row r="1863" spans="17:27" x14ac:dyDescent="0.3">
      <c r="Q1863" s="93">
        <v>46164</v>
      </c>
      <c r="R1863" t="s">
        <v>498</v>
      </c>
      <c r="S1863" t="s">
        <v>399</v>
      </c>
      <c r="T1863" s="14">
        <v>13800</v>
      </c>
      <c r="W1863" s="20">
        <v>46119</v>
      </c>
      <c r="X1863" t="s">
        <v>271</v>
      </c>
      <c r="Y1863" s="23">
        <v>8.02</v>
      </c>
      <c r="Z1863" s="23">
        <v>7.68</v>
      </c>
      <c r="AA1863" s="23">
        <v>7.85</v>
      </c>
    </row>
    <row r="1864" spans="17:27" x14ac:dyDescent="0.3">
      <c r="Q1864" s="93">
        <v>46164</v>
      </c>
      <c r="R1864" t="s">
        <v>494</v>
      </c>
      <c r="S1864" t="s">
        <v>399</v>
      </c>
      <c r="T1864" s="14">
        <v>0</v>
      </c>
      <c r="W1864" s="20">
        <v>46119</v>
      </c>
      <c r="X1864" t="s">
        <v>272</v>
      </c>
      <c r="Y1864" s="23">
        <v>7.9749999999999996</v>
      </c>
      <c r="Z1864" s="23">
        <v>7.4749999999999996</v>
      </c>
      <c r="AA1864" s="23">
        <v>7.7249999999999996</v>
      </c>
    </row>
    <row r="1865" spans="17:27" x14ac:dyDescent="0.3">
      <c r="Q1865" s="93">
        <v>46164</v>
      </c>
      <c r="R1865" t="s">
        <v>495</v>
      </c>
      <c r="S1865" t="s">
        <v>399</v>
      </c>
      <c r="T1865" s="14">
        <v>0</v>
      </c>
      <c r="W1865" s="20">
        <v>46119</v>
      </c>
      <c r="X1865" t="s">
        <v>273</v>
      </c>
      <c r="Y1865" s="23">
        <v>8.1153846153846096</v>
      </c>
      <c r="Z1865" s="23">
        <v>7.6384615384615397</v>
      </c>
      <c r="AA1865" s="23">
        <v>7.87692307692308</v>
      </c>
    </row>
    <row r="1866" spans="17:27" x14ac:dyDescent="0.3">
      <c r="Q1866" s="93">
        <v>46164</v>
      </c>
      <c r="R1866" t="s">
        <v>493</v>
      </c>
      <c r="S1866" t="s">
        <v>399</v>
      </c>
      <c r="T1866" s="14">
        <v>0</v>
      </c>
      <c r="W1866" s="20">
        <v>46119</v>
      </c>
      <c r="X1866" t="s">
        <v>274</v>
      </c>
      <c r="Y1866" s="23">
        <v>8.1461538461538403</v>
      </c>
      <c r="Z1866" s="23">
        <v>7.6615384615384601</v>
      </c>
      <c r="AA1866" s="23">
        <v>7.9038461538461497</v>
      </c>
    </row>
    <row r="1867" spans="17:27" x14ac:dyDescent="0.3">
      <c r="Q1867" s="93">
        <v>46164</v>
      </c>
      <c r="R1867" t="s">
        <v>593</v>
      </c>
      <c r="S1867" t="s">
        <v>399</v>
      </c>
      <c r="T1867" s="14">
        <v>-1300</v>
      </c>
      <c r="W1867" s="20">
        <v>46119</v>
      </c>
      <c r="X1867" t="s">
        <v>275</v>
      </c>
      <c r="Y1867" s="23">
        <v>8.1653846153846104</v>
      </c>
      <c r="Z1867" s="23">
        <v>7.6807692307692301</v>
      </c>
      <c r="AA1867" s="23">
        <v>7.9230769230769198</v>
      </c>
    </row>
    <row r="1868" spans="17:27" x14ac:dyDescent="0.3">
      <c r="Q1868" s="93">
        <v>46164</v>
      </c>
      <c r="R1868" t="s">
        <v>594</v>
      </c>
      <c r="S1868" t="s">
        <v>399</v>
      </c>
      <c r="T1868" s="14">
        <v>0</v>
      </c>
      <c r="W1868" s="20">
        <v>46119</v>
      </c>
      <c r="X1868" t="s">
        <v>276</v>
      </c>
      <c r="Y1868" s="23">
        <v>8.2192307692307693</v>
      </c>
      <c r="Z1868" s="23">
        <v>7.7346153846153802</v>
      </c>
      <c r="AA1868" s="23">
        <v>7.9769230769230797</v>
      </c>
    </row>
    <row r="1869" spans="17:27" x14ac:dyDescent="0.3">
      <c r="Q1869" s="93">
        <v>46164</v>
      </c>
      <c r="R1869" t="s">
        <v>595</v>
      </c>
      <c r="S1869" t="s">
        <v>399</v>
      </c>
      <c r="T1869" s="14">
        <v>0</v>
      </c>
      <c r="W1869" s="20">
        <v>46119</v>
      </c>
      <c r="X1869" t="s">
        <v>277</v>
      </c>
      <c r="Y1869" s="23">
        <v>8.2846153846153801</v>
      </c>
      <c r="Z1869" s="23">
        <v>7.8</v>
      </c>
      <c r="AA1869" s="23">
        <v>8.0423076923076895</v>
      </c>
    </row>
    <row r="1870" spans="17:27" x14ac:dyDescent="0.3">
      <c r="Q1870" s="93">
        <v>46164</v>
      </c>
      <c r="R1870" t="s">
        <v>479</v>
      </c>
      <c r="S1870" t="s">
        <v>395</v>
      </c>
      <c r="T1870" s="14">
        <v>11168.5153764596</v>
      </c>
      <c r="W1870" s="20">
        <v>46119</v>
      </c>
      <c r="X1870" t="s">
        <v>278</v>
      </c>
      <c r="Y1870" s="23">
        <v>8.2923076923076895</v>
      </c>
      <c r="Z1870" s="23">
        <v>7.8076923076923102</v>
      </c>
      <c r="AA1870" s="23">
        <v>8.0500000000000007</v>
      </c>
    </row>
    <row r="1871" spans="17:27" x14ac:dyDescent="0.3">
      <c r="Q1871" s="93">
        <v>46164</v>
      </c>
      <c r="R1871" t="s">
        <v>479</v>
      </c>
      <c r="S1871" t="s">
        <v>415</v>
      </c>
      <c r="T1871" s="14">
        <v>6.9611096207977399</v>
      </c>
      <c r="W1871" s="20">
        <v>46119</v>
      </c>
      <c r="X1871" t="s">
        <v>279</v>
      </c>
      <c r="Y1871" s="23">
        <v>8.3230769230769202</v>
      </c>
      <c r="Z1871" s="23">
        <v>7.8384615384615399</v>
      </c>
      <c r="AA1871" s="23">
        <v>8.0807692307692296</v>
      </c>
    </row>
    <row r="1872" spans="17:27" x14ac:dyDescent="0.3">
      <c r="Q1872" s="93">
        <v>46163</v>
      </c>
      <c r="R1872" t="s">
        <v>364</v>
      </c>
      <c r="S1872" t="s">
        <v>997</v>
      </c>
      <c r="T1872" s="14">
        <v>23180.205900000001</v>
      </c>
      <c r="W1872" s="20">
        <v>46119</v>
      </c>
      <c r="X1872" t="s">
        <v>280</v>
      </c>
      <c r="Y1872" s="23">
        <v>8.3538461538461508</v>
      </c>
      <c r="Z1872" s="23">
        <v>7.8692307692307697</v>
      </c>
      <c r="AA1872" s="23">
        <v>8.1115384615384603</v>
      </c>
    </row>
    <row r="1873" spans="17:27" x14ac:dyDescent="0.3">
      <c r="Q1873" s="93">
        <v>46163</v>
      </c>
      <c r="R1873" t="s">
        <v>496</v>
      </c>
      <c r="S1873" t="s">
        <v>997</v>
      </c>
      <c r="T1873" s="14">
        <v>24980.205900000001</v>
      </c>
      <c r="W1873" s="20">
        <v>46119</v>
      </c>
      <c r="X1873" t="s">
        <v>281</v>
      </c>
      <c r="Y1873" s="23">
        <v>8.3692307692307697</v>
      </c>
      <c r="Z1873" s="23">
        <v>7.8846153846153797</v>
      </c>
      <c r="AA1873" s="23">
        <v>8.1269230769230791</v>
      </c>
    </row>
    <row r="1874" spans="17:27" x14ac:dyDescent="0.3">
      <c r="Q1874" s="93">
        <v>46163</v>
      </c>
      <c r="R1874" t="s">
        <v>479</v>
      </c>
      <c r="S1874" t="s">
        <v>399</v>
      </c>
      <c r="T1874" s="14">
        <v>14197.6106</v>
      </c>
      <c r="W1874" s="20">
        <v>46120</v>
      </c>
      <c r="X1874" t="s">
        <v>270</v>
      </c>
      <c r="Y1874" s="23">
        <v>7.96</v>
      </c>
      <c r="Z1874" s="23">
        <v>7.55</v>
      </c>
      <c r="AA1874" s="23">
        <v>7.7549999999999999</v>
      </c>
    </row>
    <row r="1875" spans="17:27" x14ac:dyDescent="0.3">
      <c r="Q1875" s="93">
        <v>46163</v>
      </c>
      <c r="R1875" t="s">
        <v>364</v>
      </c>
      <c r="S1875" t="s">
        <v>399</v>
      </c>
      <c r="T1875" s="14">
        <v>18180.205900000001</v>
      </c>
      <c r="W1875" s="20">
        <v>46120</v>
      </c>
      <c r="X1875" t="s">
        <v>271</v>
      </c>
      <c r="Y1875" s="23">
        <v>8.02</v>
      </c>
      <c r="Z1875" s="23">
        <v>7.68</v>
      </c>
      <c r="AA1875" s="23">
        <v>7.85</v>
      </c>
    </row>
    <row r="1876" spans="17:27" x14ac:dyDescent="0.3">
      <c r="Q1876" s="93">
        <v>46163</v>
      </c>
      <c r="R1876" t="s">
        <v>491</v>
      </c>
      <c r="S1876" t="s">
        <v>399</v>
      </c>
      <c r="T1876" s="14">
        <v>397.61059999999998</v>
      </c>
      <c r="W1876" s="20">
        <v>46120</v>
      </c>
      <c r="X1876" t="s">
        <v>272</v>
      </c>
      <c r="Y1876" s="23">
        <v>7.9749999999999996</v>
      </c>
      <c r="Z1876" s="23">
        <v>7.4749999999999996</v>
      </c>
      <c r="AA1876" s="23">
        <v>7.7249999999999996</v>
      </c>
    </row>
    <row r="1877" spans="17:27" x14ac:dyDescent="0.3">
      <c r="Q1877" s="93">
        <v>46163</v>
      </c>
      <c r="R1877" t="s">
        <v>492</v>
      </c>
      <c r="S1877" t="s">
        <v>399</v>
      </c>
      <c r="T1877" s="14">
        <v>13800</v>
      </c>
      <c r="W1877" s="20">
        <v>46120</v>
      </c>
      <c r="X1877" t="s">
        <v>273</v>
      </c>
      <c r="Y1877" s="23">
        <v>8.1153846153846096</v>
      </c>
      <c r="Z1877" s="23">
        <v>7.6384615384615397</v>
      </c>
      <c r="AA1877" s="23">
        <v>7.87692307692308</v>
      </c>
    </row>
    <row r="1878" spans="17:27" x14ac:dyDescent="0.3">
      <c r="Q1878" s="93">
        <v>46163</v>
      </c>
      <c r="R1878" t="s">
        <v>496</v>
      </c>
      <c r="S1878" t="s">
        <v>399</v>
      </c>
      <c r="T1878" s="14">
        <v>19980.205900000001</v>
      </c>
      <c r="W1878" s="20">
        <v>46120</v>
      </c>
      <c r="X1878" t="s">
        <v>274</v>
      </c>
      <c r="Y1878" s="23">
        <v>8.1461538461538403</v>
      </c>
      <c r="Z1878" s="23">
        <v>7.6615384615384601</v>
      </c>
      <c r="AA1878" s="23">
        <v>7.9038461538461497</v>
      </c>
    </row>
    <row r="1879" spans="17:27" x14ac:dyDescent="0.3">
      <c r="Q1879" s="93">
        <v>46163</v>
      </c>
      <c r="R1879" t="s">
        <v>497</v>
      </c>
      <c r="S1879" t="s">
        <v>399</v>
      </c>
      <c r="T1879" s="14">
        <v>397.61059999999998</v>
      </c>
      <c r="W1879" s="20">
        <v>46120</v>
      </c>
      <c r="X1879" t="s">
        <v>275</v>
      </c>
      <c r="Y1879" s="23">
        <v>8.1653846153846104</v>
      </c>
      <c r="Z1879" s="23">
        <v>7.6807692307692301</v>
      </c>
      <c r="AA1879" s="23">
        <v>7.9230769230769198</v>
      </c>
    </row>
    <row r="1880" spans="17:27" x14ac:dyDescent="0.3">
      <c r="Q1880" s="93">
        <v>46163</v>
      </c>
      <c r="R1880" t="s">
        <v>498</v>
      </c>
      <c r="S1880" t="s">
        <v>399</v>
      </c>
      <c r="T1880" s="14">
        <v>13800</v>
      </c>
      <c r="W1880" s="20">
        <v>46120</v>
      </c>
      <c r="X1880" t="s">
        <v>276</v>
      </c>
      <c r="Y1880" s="23">
        <v>8.2192307692307693</v>
      </c>
      <c r="Z1880" s="23">
        <v>7.7346153846153802</v>
      </c>
      <c r="AA1880" s="23">
        <v>7.9769230769230797</v>
      </c>
    </row>
    <row r="1881" spans="17:27" x14ac:dyDescent="0.3">
      <c r="Q1881" s="93">
        <v>46163</v>
      </c>
      <c r="R1881" t="s">
        <v>494</v>
      </c>
      <c r="S1881" t="s">
        <v>399</v>
      </c>
      <c r="T1881" s="14">
        <v>0</v>
      </c>
      <c r="W1881" s="20">
        <v>46120</v>
      </c>
      <c r="X1881" t="s">
        <v>277</v>
      </c>
      <c r="Y1881" s="23">
        <v>8.2846153846153801</v>
      </c>
      <c r="Z1881" s="23">
        <v>7.8</v>
      </c>
      <c r="AA1881" s="23">
        <v>8.0423076923076895</v>
      </c>
    </row>
    <row r="1882" spans="17:27" x14ac:dyDescent="0.3">
      <c r="Q1882" s="93">
        <v>46163</v>
      </c>
      <c r="R1882" t="s">
        <v>495</v>
      </c>
      <c r="S1882" t="s">
        <v>399</v>
      </c>
      <c r="T1882" s="14">
        <v>0</v>
      </c>
      <c r="W1882" s="20">
        <v>46120</v>
      </c>
      <c r="X1882" t="s">
        <v>278</v>
      </c>
      <c r="Y1882" s="23">
        <v>8.2923076923076895</v>
      </c>
      <c r="Z1882" s="23">
        <v>7.8076923076923102</v>
      </c>
      <c r="AA1882" s="23">
        <v>8.0500000000000007</v>
      </c>
    </row>
    <row r="1883" spans="17:27" x14ac:dyDescent="0.3">
      <c r="Q1883" s="93">
        <v>46163</v>
      </c>
      <c r="R1883" t="s">
        <v>493</v>
      </c>
      <c r="S1883" t="s">
        <v>399</v>
      </c>
      <c r="T1883" s="14">
        <v>0</v>
      </c>
      <c r="W1883" s="20">
        <v>46120</v>
      </c>
      <c r="X1883" t="s">
        <v>279</v>
      </c>
      <c r="Y1883" s="23">
        <v>8.3230769230769202</v>
      </c>
      <c r="Z1883" s="23">
        <v>7.8384615384615399</v>
      </c>
      <c r="AA1883" s="23">
        <v>8.0807692307692296</v>
      </c>
    </row>
    <row r="1884" spans="17:27" x14ac:dyDescent="0.3">
      <c r="Q1884" s="93">
        <v>46163</v>
      </c>
      <c r="R1884" t="s">
        <v>593</v>
      </c>
      <c r="S1884" t="s">
        <v>399</v>
      </c>
      <c r="T1884" s="14">
        <v>-1800</v>
      </c>
      <c r="W1884" s="20">
        <v>46120</v>
      </c>
      <c r="X1884" t="s">
        <v>280</v>
      </c>
      <c r="Y1884" s="23">
        <v>8.3538461538461508</v>
      </c>
      <c r="Z1884" s="23">
        <v>7.8692307692307697</v>
      </c>
      <c r="AA1884" s="23">
        <v>8.1115384615384603</v>
      </c>
    </row>
    <row r="1885" spans="17:27" x14ac:dyDescent="0.3">
      <c r="Q1885" s="93">
        <v>46163</v>
      </c>
      <c r="R1885" t="s">
        <v>594</v>
      </c>
      <c r="S1885" t="s">
        <v>399</v>
      </c>
      <c r="T1885" s="14">
        <v>0</v>
      </c>
      <c r="W1885" s="20">
        <v>46120</v>
      </c>
      <c r="X1885" t="s">
        <v>281</v>
      </c>
      <c r="Y1885" s="23">
        <v>8.3692307692307697</v>
      </c>
      <c r="Z1885" s="23">
        <v>7.8846153846153797</v>
      </c>
      <c r="AA1885" s="23">
        <v>8.1269230769230791</v>
      </c>
    </row>
    <row r="1886" spans="17:27" x14ac:dyDescent="0.3">
      <c r="Q1886" s="93">
        <v>46163</v>
      </c>
      <c r="R1886" t="s">
        <v>595</v>
      </c>
      <c r="S1886" t="s">
        <v>399</v>
      </c>
      <c r="T1886" s="14">
        <v>0</v>
      </c>
      <c r="W1886" s="20">
        <v>46121</v>
      </c>
      <c r="X1886" t="s">
        <v>270</v>
      </c>
      <c r="Y1886" s="23">
        <v>7.96</v>
      </c>
      <c r="Z1886" s="23">
        <v>7.55</v>
      </c>
      <c r="AA1886" s="23">
        <v>7.7549999999999999</v>
      </c>
    </row>
    <row r="1887" spans="17:27" x14ac:dyDescent="0.3">
      <c r="Q1887" s="93">
        <v>46163</v>
      </c>
      <c r="R1887" t="s">
        <v>479</v>
      </c>
      <c r="S1887" t="s">
        <v>395</v>
      </c>
      <c r="T1887" s="14">
        <v>11168.827625961299</v>
      </c>
      <c r="W1887" s="20">
        <v>46121</v>
      </c>
      <c r="X1887" t="s">
        <v>271</v>
      </c>
      <c r="Y1887" s="23">
        <v>8</v>
      </c>
      <c r="Z1887" s="23">
        <v>7.64</v>
      </c>
      <c r="AA1887" s="23">
        <v>7.82</v>
      </c>
    </row>
    <row r="1888" spans="17:27" x14ac:dyDescent="0.3">
      <c r="Q1888" s="93">
        <v>46163</v>
      </c>
      <c r="R1888" t="s">
        <v>479</v>
      </c>
      <c r="S1888" t="s">
        <v>415</v>
      </c>
      <c r="T1888" s="14">
        <v>6.9611096207977399</v>
      </c>
      <c r="W1888" s="20">
        <v>46121</v>
      </c>
      <c r="X1888" t="s">
        <v>272</v>
      </c>
      <c r="Y1888" s="23">
        <v>7.9749999999999996</v>
      </c>
      <c r="Z1888" s="23">
        <v>7.4749999999999996</v>
      </c>
      <c r="AA1888" s="23">
        <v>7.7249999999999996</v>
      </c>
    </row>
    <row r="1889" spans="17:27" x14ac:dyDescent="0.3">
      <c r="Q1889" s="93">
        <v>46163</v>
      </c>
      <c r="R1889" t="s">
        <v>364</v>
      </c>
      <c r="S1889" t="s">
        <v>415</v>
      </c>
      <c r="T1889" s="14">
        <v>6.3390331410398497</v>
      </c>
      <c r="W1889" s="20">
        <v>46121</v>
      </c>
      <c r="X1889" t="s">
        <v>273</v>
      </c>
      <c r="Y1889" s="23">
        <v>8.1153846153846096</v>
      </c>
      <c r="Z1889" s="23">
        <v>7.6384615384615397</v>
      </c>
      <c r="AA1889" s="23">
        <v>7.87692307692308</v>
      </c>
    </row>
    <row r="1890" spans="17:27" x14ac:dyDescent="0.3">
      <c r="Q1890" s="93">
        <v>46163</v>
      </c>
      <c r="R1890" t="s">
        <v>516</v>
      </c>
      <c r="S1890" t="s">
        <v>415</v>
      </c>
      <c r="T1890" s="14">
        <v>6.5650707293833301</v>
      </c>
      <c r="W1890" s="20">
        <v>46121</v>
      </c>
      <c r="X1890" t="s">
        <v>274</v>
      </c>
      <c r="Y1890" s="23">
        <v>8.1384615384615397</v>
      </c>
      <c r="Z1890" s="23">
        <v>7.6538461538461497</v>
      </c>
      <c r="AA1890" s="23">
        <v>7.8961538461538501</v>
      </c>
    </row>
    <row r="1891" spans="17:27" x14ac:dyDescent="0.3">
      <c r="Q1891" s="93">
        <v>46163</v>
      </c>
      <c r="R1891" t="s">
        <v>1288</v>
      </c>
      <c r="S1891" t="s">
        <v>415</v>
      </c>
      <c r="T1891" s="14">
        <v>6.9611096207977399</v>
      </c>
      <c r="W1891" s="20">
        <v>46121</v>
      </c>
      <c r="X1891" t="s">
        <v>275</v>
      </c>
      <c r="Y1891" s="23">
        <v>8.1576923076923098</v>
      </c>
      <c r="Z1891" s="23">
        <v>7.6730769230769198</v>
      </c>
      <c r="AA1891" s="23">
        <v>7.9153846153846104</v>
      </c>
    </row>
    <row r="1892" spans="17:27" x14ac:dyDescent="0.3">
      <c r="Q1892" s="93">
        <v>46163</v>
      </c>
      <c r="R1892" t="s">
        <v>496</v>
      </c>
      <c r="S1892" t="s">
        <v>415</v>
      </c>
      <c r="T1892" s="14">
        <v>6.5083609018611002</v>
      </c>
      <c r="W1892" s="20">
        <v>46121</v>
      </c>
      <c r="X1892" t="s">
        <v>276</v>
      </c>
      <c r="Y1892" s="23">
        <v>8.1961538461538392</v>
      </c>
      <c r="Z1892" s="23">
        <v>7.7115384615384599</v>
      </c>
      <c r="AA1892" s="23">
        <v>7.9538461538461496</v>
      </c>
    </row>
    <row r="1893" spans="17:27" x14ac:dyDescent="0.3">
      <c r="Q1893" s="93">
        <v>46163</v>
      </c>
      <c r="R1893" t="s">
        <v>1290</v>
      </c>
      <c r="S1893" t="s">
        <v>415</v>
      </c>
      <c r="T1893" s="14">
        <v>6.6724320672643902</v>
      </c>
      <c r="W1893" s="20">
        <v>46121</v>
      </c>
      <c r="X1893" t="s">
        <v>277</v>
      </c>
      <c r="Y1893" s="23">
        <v>8.2615384615384606</v>
      </c>
      <c r="Z1893" s="23">
        <v>7.7769230769230697</v>
      </c>
      <c r="AA1893" s="23">
        <v>8.0192307692307701</v>
      </c>
    </row>
    <row r="1894" spans="17:27" x14ac:dyDescent="0.3">
      <c r="Q1894" s="93">
        <v>46162</v>
      </c>
      <c r="R1894" t="s">
        <v>364</v>
      </c>
      <c r="S1894" t="s">
        <v>997</v>
      </c>
      <c r="T1894" s="14">
        <v>25775.535100000001</v>
      </c>
      <c r="W1894" s="20">
        <v>46121</v>
      </c>
      <c r="X1894" t="s">
        <v>278</v>
      </c>
      <c r="Y1894" s="23">
        <v>8.2692307692307701</v>
      </c>
      <c r="Z1894" s="23">
        <v>7.7846153846153801</v>
      </c>
      <c r="AA1894" s="23">
        <v>8.0269230769230795</v>
      </c>
    </row>
    <row r="1895" spans="17:27" x14ac:dyDescent="0.3">
      <c r="Q1895" s="93">
        <v>46162</v>
      </c>
      <c r="R1895" t="s">
        <v>496</v>
      </c>
      <c r="S1895" t="s">
        <v>997</v>
      </c>
      <c r="T1895" s="14">
        <v>25710.735100000002</v>
      </c>
      <c r="W1895" s="20">
        <v>46121</v>
      </c>
      <c r="X1895" t="s">
        <v>279</v>
      </c>
      <c r="Y1895" s="23">
        <v>8.3076923076923102</v>
      </c>
      <c r="Z1895" s="23">
        <v>7.8230769230769202</v>
      </c>
      <c r="AA1895" s="23">
        <v>8.0653846153846196</v>
      </c>
    </row>
    <row r="1896" spans="17:27" x14ac:dyDescent="0.3">
      <c r="Q1896" s="93">
        <v>46162</v>
      </c>
      <c r="R1896" t="s">
        <v>479</v>
      </c>
      <c r="S1896" t="s">
        <v>399</v>
      </c>
      <c r="T1896" s="14">
        <v>14197.6106</v>
      </c>
      <c r="W1896" s="20">
        <v>46121</v>
      </c>
      <c r="X1896" t="s">
        <v>280</v>
      </c>
      <c r="Y1896" s="23">
        <v>8.3384615384615408</v>
      </c>
      <c r="Z1896" s="23">
        <v>7.8538461538461499</v>
      </c>
      <c r="AA1896" s="23">
        <v>8.0961538461538503</v>
      </c>
    </row>
    <row r="1897" spans="17:27" x14ac:dyDescent="0.3">
      <c r="Q1897" s="93">
        <v>46162</v>
      </c>
      <c r="R1897" t="s">
        <v>364</v>
      </c>
      <c r="S1897" t="s">
        <v>399</v>
      </c>
      <c r="T1897" s="14">
        <v>20775.535100000001</v>
      </c>
      <c r="W1897" s="20">
        <v>46121</v>
      </c>
      <c r="X1897" t="s">
        <v>281</v>
      </c>
      <c r="Y1897" s="23">
        <v>8.3538461538461508</v>
      </c>
      <c r="Z1897" s="23">
        <v>7.8692307692307697</v>
      </c>
      <c r="AA1897" s="23">
        <v>8.1115384615384603</v>
      </c>
    </row>
    <row r="1898" spans="17:27" x14ac:dyDescent="0.3">
      <c r="Q1898" s="93">
        <v>46162</v>
      </c>
      <c r="R1898" t="s">
        <v>491</v>
      </c>
      <c r="S1898" t="s">
        <v>399</v>
      </c>
      <c r="T1898" s="14">
        <v>397.61059999999998</v>
      </c>
      <c r="W1898" s="20">
        <v>46122</v>
      </c>
      <c r="X1898" t="s">
        <v>270</v>
      </c>
      <c r="Y1898" s="23">
        <v>8</v>
      </c>
      <c r="Z1898" s="23">
        <v>7.65</v>
      </c>
      <c r="AA1898" s="23">
        <v>7.8250000000000002</v>
      </c>
    </row>
    <row r="1899" spans="17:27" x14ac:dyDescent="0.3">
      <c r="Q1899" s="93">
        <v>46162</v>
      </c>
      <c r="R1899" t="s">
        <v>492</v>
      </c>
      <c r="S1899" t="s">
        <v>399</v>
      </c>
      <c r="T1899" s="14">
        <v>13800</v>
      </c>
      <c r="W1899" s="20">
        <v>46122</v>
      </c>
      <c r="X1899" t="s">
        <v>271</v>
      </c>
      <c r="Y1899" s="23">
        <v>7.98</v>
      </c>
      <c r="Z1899" s="23">
        <v>7.58</v>
      </c>
      <c r="AA1899" s="23">
        <v>7.78</v>
      </c>
    </row>
    <row r="1900" spans="17:27" x14ac:dyDescent="0.3">
      <c r="Q1900" s="93">
        <v>46162</v>
      </c>
      <c r="R1900" t="s">
        <v>496</v>
      </c>
      <c r="S1900" t="s">
        <v>399</v>
      </c>
      <c r="T1900" s="14">
        <v>20710.735100000002</v>
      </c>
      <c r="W1900" s="20">
        <v>46122</v>
      </c>
      <c r="X1900" t="s">
        <v>272</v>
      </c>
      <c r="Y1900" s="23">
        <v>7.9749999999999996</v>
      </c>
      <c r="Z1900" s="23">
        <v>7.4749999999999996</v>
      </c>
      <c r="AA1900" s="23">
        <v>7.7249999999999996</v>
      </c>
    </row>
    <row r="1901" spans="17:27" x14ac:dyDescent="0.3">
      <c r="Q1901" s="93">
        <v>46162</v>
      </c>
      <c r="R1901" t="s">
        <v>497</v>
      </c>
      <c r="S1901" t="s">
        <v>399</v>
      </c>
      <c r="T1901" s="14">
        <v>397.61059999999998</v>
      </c>
      <c r="W1901" s="20">
        <v>46122</v>
      </c>
      <c r="X1901" t="s">
        <v>273</v>
      </c>
      <c r="Y1901" s="23">
        <v>8.1461538461538492</v>
      </c>
      <c r="Z1901" s="23">
        <v>7.6692307692307704</v>
      </c>
      <c r="AA1901" s="23">
        <v>7.9076923076923098</v>
      </c>
    </row>
    <row r="1902" spans="17:27" x14ac:dyDescent="0.3">
      <c r="Q1902" s="93">
        <v>46162</v>
      </c>
      <c r="R1902" t="s">
        <v>498</v>
      </c>
      <c r="S1902" t="s">
        <v>399</v>
      </c>
      <c r="T1902" s="14">
        <v>13800</v>
      </c>
      <c r="W1902" s="20">
        <v>46122</v>
      </c>
      <c r="X1902" t="s">
        <v>274</v>
      </c>
      <c r="Y1902" s="23">
        <v>8.1615384615384592</v>
      </c>
      <c r="Z1902" s="23">
        <v>7.6846153846153804</v>
      </c>
      <c r="AA1902" s="23">
        <v>7.9230769230769198</v>
      </c>
    </row>
    <row r="1903" spans="17:27" x14ac:dyDescent="0.3">
      <c r="Q1903" s="93">
        <v>46162</v>
      </c>
      <c r="R1903" t="s">
        <v>494</v>
      </c>
      <c r="S1903" t="s">
        <v>399</v>
      </c>
      <c r="T1903" s="14">
        <v>0</v>
      </c>
      <c r="W1903" s="20">
        <v>46122</v>
      </c>
      <c r="X1903" t="s">
        <v>275</v>
      </c>
      <c r="Y1903" s="23">
        <v>8.1807692307692292</v>
      </c>
      <c r="Z1903" s="23">
        <v>7.7038461538461496</v>
      </c>
      <c r="AA1903" s="23">
        <v>7.9423076923076898</v>
      </c>
    </row>
    <row r="1904" spans="17:27" x14ac:dyDescent="0.3">
      <c r="Q1904" s="93">
        <v>46162</v>
      </c>
      <c r="R1904" t="s">
        <v>495</v>
      </c>
      <c r="S1904" t="s">
        <v>399</v>
      </c>
      <c r="T1904" s="14">
        <v>0</v>
      </c>
      <c r="W1904" s="20">
        <v>46122</v>
      </c>
      <c r="X1904" t="s">
        <v>276</v>
      </c>
      <c r="Y1904" s="23">
        <v>8.2192307692307693</v>
      </c>
      <c r="Z1904" s="23">
        <v>7.7346153846153802</v>
      </c>
      <c r="AA1904" s="23">
        <v>7.9769230769230797</v>
      </c>
    </row>
    <row r="1905" spans="17:27" x14ac:dyDescent="0.3">
      <c r="Q1905" s="93">
        <v>46162</v>
      </c>
      <c r="R1905" t="s">
        <v>493</v>
      </c>
      <c r="S1905" t="s">
        <v>399</v>
      </c>
      <c r="T1905" s="14">
        <v>0</v>
      </c>
      <c r="W1905" s="20">
        <v>46122</v>
      </c>
      <c r="X1905" t="s">
        <v>277</v>
      </c>
      <c r="Y1905" s="23">
        <v>8.2846153846153801</v>
      </c>
      <c r="Z1905" s="23">
        <v>7.8</v>
      </c>
      <c r="AA1905" s="23">
        <v>8.0423076923076895</v>
      </c>
    </row>
    <row r="1906" spans="17:27" x14ac:dyDescent="0.3">
      <c r="Q1906" s="93">
        <v>46162</v>
      </c>
      <c r="R1906" t="s">
        <v>593</v>
      </c>
      <c r="S1906" t="s">
        <v>399</v>
      </c>
      <c r="T1906" s="14">
        <v>64.8</v>
      </c>
      <c r="W1906" s="20">
        <v>46122</v>
      </c>
      <c r="X1906" t="s">
        <v>278</v>
      </c>
      <c r="Y1906" s="23">
        <v>8.3000000000000007</v>
      </c>
      <c r="Z1906" s="23">
        <v>7.8153846153846098</v>
      </c>
      <c r="AA1906" s="23">
        <v>8.0576923076923102</v>
      </c>
    </row>
    <row r="1907" spans="17:27" x14ac:dyDescent="0.3">
      <c r="Q1907" s="93">
        <v>46162</v>
      </c>
      <c r="R1907" t="s">
        <v>594</v>
      </c>
      <c r="S1907" t="s">
        <v>399</v>
      </c>
      <c r="T1907" s="14">
        <v>0</v>
      </c>
      <c r="W1907" s="20">
        <v>46122</v>
      </c>
      <c r="X1907" t="s">
        <v>279</v>
      </c>
      <c r="Y1907" s="23">
        <v>8.3384615384615408</v>
      </c>
      <c r="Z1907" s="23">
        <v>7.8538461538461499</v>
      </c>
      <c r="AA1907" s="23">
        <v>8.0961538461538503</v>
      </c>
    </row>
    <row r="1908" spans="17:27" x14ac:dyDescent="0.3">
      <c r="Q1908" s="93">
        <v>46162</v>
      </c>
      <c r="R1908" t="s">
        <v>595</v>
      </c>
      <c r="S1908" t="s">
        <v>399</v>
      </c>
      <c r="T1908" s="14">
        <v>0</v>
      </c>
      <c r="W1908" s="20">
        <v>46122</v>
      </c>
      <c r="X1908" t="s">
        <v>280</v>
      </c>
      <c r="Y1908" s="23">
        <v>8.3692307692307697</v>
      </c>
      <c r="Z1908" s="23">
        <v>7.8846153846153797</v>
      </c>
      <c r="AA1908" s="23">
        <v>8.1269230769230791</v>
      </c>
    </row>
    <row r="1909" spans="17:27" x14ac:dyDescent="0.3">
      <c r="Q1909" s="93">
        <v>46162</v>
      </c>
      <c r="R1909" t="s">
        <v>479</v>
      </c>
      <c r="S1909" t="s">
        <v>395</v>
      </c>
      <c r="T1909" s="14">
        <v>11170.737045550401</v>
      </c>
      <c r="W1909" s="20">
        <v>46122</v>
      </c>
      <c r="X1909" t="s">
        <v>281</v>
      </c>
      <c r="Y1909" s="23">
        <v>8.3846153846153797</v>
      </c>
      <c r="Z1909" s="23">
        <v>7.9</v>
      </c>
      <c r="AA1909" s="23">
        <v>8.1423076923076891</v>
      </c>
    </row>
    <row r="1910" spans="17:27" x14ac:dyDescent="0.3">
      <c r="Q1910" s="93">
        <v>46162</v>
      </c>
      <c r="R1910" t="s">
        <v>479</v>
      </c>
      <c r="S1910" t="s">
        <v>415</v>
      </c>
      <c r="T1910" s="14">
        <v>6.9611096207977399</v>
      </c>
      <c r="W1910" s="20">
        <v>46125</v>
      </c>
      <c r="X1910" t="s">
        <v>270</v>
      </c>
      <c r="Y1910" s="23">
        <v>8</v>
      </c>
      <c r="Z1910" s="23">
        <v>7.65</v>
      </c>
      <c r="AA1910" s="23">
        <v>7.8250000000000002</v>
      </c>
    </row>
    <row r="1911" spans="17:27" x14ac:dyDescent="0.3">
      <c r="Q1911" s="93">
        <v>46162</v>
      </c>
      <c r="R1911" t="s">
        <v>364</v>
      </c>
      <c r="S1911" t="s">
        <v>415</v>
      </c>
      <c r="T1911" s="14">
        <v>6.4234104455119496</v>
      </c>
      <c r="W1911" s="20">
        <v>46125</v>
      </c>
      <c r="X1911" t="s">
        <v>271</v>
      </c>
      <c r="Y1911" s="23">
        <v>7.9</v>
      </c>
      <c r="Z1911" s="23">
        <v>7.5</v>
      </c>
      <c r="AA1911" s="23">
        <v>7.7</v>
      </c>
    </row>
    <row r="1912" spans="17:27" x14ac:dyDescent="0.3">
      <c r="Q1912" s="93">
        <v>46162</v>
      </c>
      <c r="R1912" t="s">
        <v>516</v>
      </c>
      <c r="S1912" t="s">
        <v>415</v>
      </c>
      <c r="T1912" s="14">
        <v>6.6143897486656904</v>
      </c>
      <c r="W1912" s="20">
        <v>46125</v>
      </c>
      <c r="X1912" t="s">
        <v>272</v>
      </c>
      <c r="Y1912" s="23">
        <v>8.0250000000000004</v>
      </c>
      <c r="Z1912" s="23">
        <v>7.5250000000000004</v>
      </c>
      <c r="AA1912" s="23">
        <v>7.7750000000000004</v>
      </c>
    </row>
    <row r="1913" spans="17:27" x14ac:dyDescent="0.3">
      <c r="Q1913" s="93">
        <v>46162</v>
      </c>
      <c r="R1913" t="s">
        <v>1288</v>
      </c>
      <c r="S1913" t="s">
        <v>415</v>
      </c>
      <c r="T1913" s="14">
        <v>6.9611096207977399</v>
      </c>
      <c r="W1913" s="20">
        <v>46125</v>
      </c>
      <c r="X1913" t="s">
        <v>273</v>
      </c>
      <c r="Y1913" s="23">
        <v>8.1461538461538492</v>
      </c>
      <c r="Z1913" s="23">
        <v>7.6692307692307704</v>
      </c>
      <c r="AA1913" s="23">
        <v>7.9076923076923098</v>
      </c>
    </row>
    <row r="1914" spans="17:27" x14ac:dyDescent="0.3">
      <c r="Q1914" s="93">
        <v>46162</v>
      </c>
      <c r="R1914" t="s">
        <v>496</v>
      </c>
      <c r="S1914" t="s">
        <v>415</v>
      </c>
      <c r="T1914" s="14">
        <v>6.2178837274862699</v>
      </c>
      <c r="W1914" s="20">
        <v>46125</v>
      </c>
      <c r="X1914" t="s">
        <v>274</v>
      </c>
      <c r="Y1914" s="23">
        <v>8.1615384615384592</v>
      </c>
      <c r="Z1914" s="23">
        <v>7.6846153846153804</v>
      </c>
      <c r="AA1914" s="23">
        <v>7.9230769230769198</v>
      </c>
    </row>
    <row r="1915" spans="17:27" x14ac:dyDescent="0.3">
      <c r="Q1915" s="93">
        <v>46162</v>
      </c>
      <c r="R1915" t="s">
        <v>1290</v>
      </c>
      <c r="S1915" t="s">
        <v>415</v>
      </c>
      <c r="T1915" s="14">
        <v>6.48229037316373</v>
      </c>
      <c r="W1915" s="20">
        <v>46125</v>
      </c>
      <c r="X1915" t="s">
        <v>275</v>
      </c>
      <c r="Y1915" s="23">
        <v>8.1807692307692292</v>
      </c>
      <c r="Z1915" s="23">
        <v>7.7038461538461496</v>
      </c>
      <c r="AA1915" s="23">
        <v>7.9423076923076898</v>
      </c>
    </row>
    <row r="1916" spans="17:27" x14ac:dyDescent="0.3">
      <c r="Q1916" s="93">
        <v>46161</v>
      </c>
      <c r="R1916" t="s">
        <v>479</v>
      </c>
      <c r="S1916" t="s">
        <v>415</v>
      </c>
      <c r="T1916" s="14">
        <v>6.9611096207977399</v>
      </c>
      <c r="W1916" s="20">
        <v>46125</v>
      </c>
      <c r="X1916" t="s">
        <v>276</v>
      </c>
      <c r="Y1916" s="23">
        <v>8.2192307692307693</v>
      </c>
      <c r="Z1916" s="23">
        <v>7.7346153846153802</v>
      </c>
      <c r="AA1916" s="23">
        <v>7.9769230769230797</v>
      </c>
    </row>
    <row r="1917" spans="17:27" x14ac:dyDescent="0.3">
      <c r="Q1917" s="93">
        <v>46161</v>
      </c>
      <c r="R1917" t="s">
        <v>364</v>
      </c>
      <c r="S1917" t="s">
        <v>415</v>
      </c>
      <c r="T1917" s="14">
        <v>6.1070372754548901</v>
      </c>
      <c r="W1917" s="20">
        <v>46125</v>
      </c>
      <c r="X1917" t="s">
        <v>277</v>
      </c>
      <c r="Y1917" s="23">
        <v>8.2846153846153801</v>
      </c>
      <c r="Z1917" s="23">
        <v>7.8</v>
      </c>
      <c r="AA1917" s="23">
        <v>8.0423076923076895</v>
      </c>
    </row>
    <row r="1918" spans="17:27" x14ac:dyDescent="0.3">
      <c r="Q1918" s="93">
        <v>46161</v>
      </c>
      <c r="R1918" t="s">
        <v>364</v>
      </c>
      <c r="S1918" t="s">
        <v>997</v>
      </c>
      <c r="T1918" s="14">
        <v>22860.735100000002</v>
      </c>
      <c r="W1918" s="20">
        <v>46125</v>
      </c>
      <c r="X1918" t="s">
        <v>278</v>
      </c>
      <c r="Y1918" s="23">
        <v>8.3000000000000007</v>
      </c>
      <c r="Z1918" s="23">
        <v>7.8153846153846098</v>
      </c>
      <c r="AA1918" s="23">
        <v>8.0576923076923102</v>
      </c>
    </row>
    <row r="1919" spans="17:27" x14ac:dyDescent="0.3">
      <c r="Q1919" s="93">
        <v>46161</v>
      </c>
      <c r="R1919" t="s">
        <v>496</v>
      </c>
      <c r="S1919" t="s">
        <v>997</v>
      </c>
      <c r="T1919" s="14">
        <v>25660.735100000002</v>
      </c>
      <c r="W1919" s="20">
        <v>46125</v>
      </c>
      <c r="X1919" t="s">
        <v>279</v>
      </c>
      <c r="Y1919" s="23">
        <v>8.3384615384615408</v>
      </c>
      <c r="Z1919" s="23">
        <v>7.8538461538461499</v>
      </c>
      <c r="AA1919" s="23">
        <v>8.0961538461538503</v>
      </c>
    </row>
    <row r="1920" spans="17:27" x14ac:dyDescent="0.3">
      <c r="Q1920" s="93">
        <v>46161</v>
      </c>
      <c r="R1920" t="s">
        <v>479</v>
      </c>
      <c r="S1920" t="s">
        <v>399</v>
      </c>
      <c r="T1920" s="14">
        <v>14197.6106</v>
      </c>
      <c r="W1920" s="20">
        <v>46125</v>
      </c>
      <c r="X1920" t="s">
        <v>280</v>
      </c>
      <c r="Y1920" s="23">
        <v>8.3692307692307697</v>
      </c>
      <c r="Z1920" s="23">
        <v>7.8846153846153797</v>
      </c>
      <c r="AA1920" s="23">
        <v>8.1269230769230791</v>
      </c>
    </row>
    <row r="1921" spans="17:27" x14ac:dyDescent="0.3">
      <c r="Q1921" s="93">
        <v>46161</v>
      </c>
      <c r="R1921" t="s">
        <v>364</v>
      </c>
      <c r="S1921" t="s">
        <v>399</v>
      </c>
      <c r="T1921" s="14">
        <v>17860.735100000002</v>
      </c>
      <c r="W1921" s="20">
        <v>46125</v>
      </c>
      <c r="X1921" t="s">
        <v>281</v>
      </c>
      <c r="Y1921" s="23">
        <v>8.3846153846153797</v>
      </c>
      <c r="Z1921" s="23">
        <v>7.9</v>
      </c>
      <c r="AA1921" s="23">
        <v>8.1423076923076891</v>
      </c>
    </row>
    <row r="1922" spans="17:27" x14ac:dyDescent="0.3">
      <c r="Q1922" s="93">
        <v>46161</v>
      </c>
      <c r="R1922" t="s">
        <v>491</v>
      </c>
      <c r="S1922" t="s">
        <v>399</v>
      </c>
      <c r="T1922" s="14">
        <v>397.61059999999998</v>
      </c>
      <c r="W1922" s="20">
        <v>46126</v>
      </c>
      <c r="X1922" t="s">
        <v>270</v>
      </c>
      <c r="Y1922" s="23">
        <v>7.98</v>
      </c>
      <c r="Z1922" s="23">
        <v>7.65</v>
      </c>
      <c r="AA1922" s="23">
        <v>7.8150000000000004</v>
      </c>
    </row>
    <row r="1923" spans="17:27" x14ac:dyDescent="0.3">
      <c r="Q1923" s="93">
        <v>46161</v>
      </c>
      <c r="R1923" t="s">
        <v>492</v>
      </c>
      <c r="S1923" t="s">
        <v>399</v>
      </c>
      <c r="T1923" s="14">
        <v>13800</v>
      </c>
      <c r="W1923" s="20">
        <v>46126</v>
      </c>
      <c r="X1923" t="s">
        <v>271</v>
      </c>
      <c r="Y1923" s="23">
        <v>7.9</v>
      </c>
      <c r="Z1923" s="23">
        <v>7.5</v>
      </c>
      <c r="AA1923" s="23">
        <v>7.7</v>
      </c>
    </row>
    <row r="1924" spans="17:27" x14ac:dyDescent="0.3">
      <c r="Q1924" s="93">
        <v>46161</v>
      </c>
      <c r="R1924" t="s">
        <v>496</v>
      </c>
      <c r="S1924" t="s">
        <v>399</v>
      </c>
      <c r="T1924" s="14">
        <v>20660.735100000002</v>
      </c>
      <c r="W1924" s="20">
        <v>46126</v>
      </c>
      <c r="X1924" t="s">
        <v>272</v>
      </c>
      <c r="Y1924" s="23">
        <v>8.0250000000000004</v>
      </c>
      <c r="Z1924" s="23">
        <v>7.5250000000000004</v>
      </c>
      <c r="AA1924" s="23">
        <v>7.7750000000000004</v>
      </c>
    </row>
    <row r="1925" spans="17:27" x14ac:dyDescent="0.3">
      <c r="Q1925" s="93">
        <v>46161</v>
      </c>
      <c r="R1925" t="s">
        <v>497</v>
      </c>
      <c r="S1925" t="s">
        <v>399</v>
      </c>
      <c r="T1925" s="14">
        <v>397.61059999999998</v>
      </c>
      <c r="W1925" s="20">
        <v>46126</v>
      </c>
      <c r="X1925" t="s">
        <v>273</v>
      </c>
      <c r="Y1925" s="23">
        <v>8.1615384615384592</v>
      </c>
      <c r="Z1925" s="23">
        <v>7.6846153846153804</v>
      </c>
      <c r="AA1925" s="23">
        <v>7.9230769230769198</v>
      </c>
    </row>
    <row r="1926" spans="17:27" x14ac:dyDescent="0.3">
      <c r="Q1926" s="93">
        <v>46161</v>
      </c>
      <c r="R1926" t="s">
        <v>498</v>
      </c>
      <c r="S1926" t="s">
        <v>399</v>
      </c>
      <c r="T1926" s="14">
        <v>13800</v>
      </c>
      <c r="W1926" s="20">
        <v>46126</v>
      </c>
      <c r="X1926" t="s">
        <v>274</v>
      </c>
      <c r="Y1926" s="23">
        <v>8.1769230769230692</v>
      </c>
      <c r="Z1926" s="23">
        <v>7.7</v>
      </c>
      <c r="AA1926" s="23">
        <v>7.9384615384615396</v>
      </c>
    </row>
    <row r="1927" spans="17:27" x14ac:dyDescent="0.3">
      <c r="Q1927" s="93">
        <v>46161</v>
      </c>
      <c r="R1927" t="s">
        <v>494</v>
      </c>
      <c r="S1927" t="s">
        <v>399</v>
      </c>
      <c r="T1927" s="14">
        <v>0</v>
      </c>
      <c r="W1927" s="20">
        <v>46126</v>
      </c>
      <c r="X1927" t="s">
        <v>275</v>
      </c>
      <c r="Y1927" s="23">
        <v>8.1961538461538392</v>
      </c>
      <c r="Z1927" s="23">
        <v>7.7192307692307702</v>
      </c>
      <c r="AA1927" s="23">
        <v>7.9576923076923096</v>
      </c>
    </row>
    <row r="1928" spans="17:27" x14ac:dyDescent="0.3">
      <c r="Q1928" s="93">
        <v>46161</v>
      </c>
      <c r="R1928" t="s">
        <v>495</v>
      </c>
      <c r="S1928" t="s">
        <v>399</v>
      </c>
      <c r="T1928" s="14">
        <v>0</v>
      </c>
      <c r="W1928" s="20">
        <v>46126</v>
      </c>
      <c r="X1928" t="s">
        <v>276</v>
      </c>
      <c r="Y1928" s="23">
        <v>8.2346153846153793</v>
      </c>
      <c r="Z1928" s="23">
        <v>7.75</v>
      </c>
      <c r="AA1928" s="23">
        <v>7.9923076923076897</v>
      </c>
    </row>
    <row r="1929" spans="17:27" x14ac:dyDescent="0.3">
      <c r="Q1929" s="93">
        <v>46161</v>
      </c>
      <c r="R1929" t="s">
        <v>493</v>
      </c>
      <c r="S1929" t="s">
        <v>399</v>
      </c>
      <c r="T1929" s="14">
        <v>0</v>
      </c>
      <c r="W1929" s="20">
        <v>46126</v>
      </c>
      <c r="X1929" t="s">
        <v>277</v>
      </c>
      <c r="Y1929" s="23">
        <v>8.3000000000000007</v>
      </c>
      <c r="Z1929" s="23">
        <v>7.8153846153846098</v>
      </c>
      <c r="AA1929" s="23">
        <v>8.0576923076923102</v>
      </c>
    </row>
    <row r="1930" spans="17:27" x14ac:dyDescent="0.3">
      <c r="Q1930" s="93">
        <v>46161</v>
      </c>
      <c r="R1930" t="s">
        <v>593</v>
      </c>
      <c r="S1930" t="s">
        <v>399</v>
      </c>
      <c r="T1930" s="14">
        <v>-2800</v>
      </c>
      <c r="W1930" s="20">
        <v>46126</v>
      </c>
      <c r="X1930" t="s">
        <v>278</v>
      </c>
      <c r="Y1930" s="23">
        <v>8.3153846153846107</v>
      </c>
      <c r="Z1930" s="23">
        <v>7.8307692307692296</v>
      </c>
      <c r="AA1930" s="23">
        <v>8.0730769230769202</v>
      </c>
    </row>
    <row r="1931" spans="17:27" x14ac:dyDescent="0.3">
      <c r="Q1931" s="93">
        <v>46161</v>
      </c>
      <c r="R1931" t="s">
        <v>594</v>
      </c>
      <c r="S1931" t="s">
        <v>399</v>
      </c>
      <c r="T1931" s="14">
        <v>0</v>
      </c>
      <c r="W1931" s="20">
        <v>46126</v>
      </c>
      <c r="X1931" t="s">
        <v>279</v>
      </c>
      <c r="Y1931" s="23">
        <v>8.3538461538461508</v>
      </c>
      <c r="Z1931" s="23">
        <v>7.8692307692307697</v>
      </c>
      <c r="AA1931" s="23">
        <v>8.1115384615384603</v>
      </c>
    </row>
    <row r="1932" spans="17:27" x14ac:dyDescent="0.3">
      <c r="Q1932" s="93">
        <v>46161</v>
      </c>
      <c r="R1932" t="s">
        <v>595</v>
      </c>
      <c r="S1932" t="s">
        <v>399</v>
      </c>
      <c r="T1932" s="14">
        <v>0</v>
      </c>
      <c r="W1932" s="20">
        <v>46126</v>
      </c>
      <c r="X1932" t="s">
        <v>280</v>
      </c>
      <c r="Y1932" s="23">
        <v>8.3846153846153797</v>
      </c>
      <c r="Z1932" s="23">
        <v>7.9</v>
      </c>
      <c r="AA1932" s="23">
        <v>8.1423076923076891</v>
      </c>
    </row>
    <row r="1933" spans="17:27" x14ac:dyDescent="0.3">
      <c r="Q1933" s="93">
        <v>46161</v>
      </c>
      <c r="R1933" t="s">
        <v>479</v>
      </c>
      <c r="S1933" t="s">
        <v>395</v>
      </c>
      <c r="T1933" s="14">
        <v>11173.474530854999</v>
      </c>
      <c r="W1933" s="20">
        <v>46126</v>
      </c>
      <c r="X1933" t="s">
        <v>281</v>
      </c>
      <c r="Y1933" s="23">
        <v>8.4</v>
      </c>
      <c r="Z1933" s="23">
        <v>7.9153846153846104</v>
      </c>
      <c r="AA1933" s="23">
        <v>8.1576923076923098</v>
      </c>
    </row>
    <row r="1934" spans="17:27" x14ac:dyDescent="0.3">
      <c r="Q1934" s="93">
        <v>46160</v>
      </c>
      <c r="R1934" t="s">
        <v>479</v>
      </c>
      <c r="S1934" t="s">
        <v>399</v>
      </c>
      <c r="T1934" s="14">
        <v>14197.6106</v>
      </c>
      <c r="W1934" s="20">
        <v>46127</v>
      </c>
      <c r="X1934" t="s">
        <v>270</v>
      </c>
      <c r="Y1934" s="23">
        <v>7.9</v>
      </c>
      <c r="Z1934" s="23">
        <v>7.55</v>
      </c>
      <c r="AA1934" s="23">
        <v>7.7249999999999996</v>
      </c>
    </row>
    <row r="1935" spans="17:27" x14ac:dyDescent="0.3">
      <c r="Q1935" s="93">
        <v>46160</v>
      </c>
      <c r="R1935" t="s">
        <v>364</v>
      </c>
      <c r="S1935" t="s">
        <v>399</v>
      </c>
      <c r="T1935" s="14">
        <v>19860.735100000002</v>
      </c>
      <c r="W1935" s="20">
        <v>46127</v>
      </c>
      <c r="X1935" t="s">
        <v>271</v>
      </c>
      <c r="Y1935" s="23">
        <v>7.86</v>
      </c>
      <c r="Z1935" s="23">
        <v>7.46</v>
      </c>
      <c r="AA1935" s="23">
        <v>7.66</v>
      </c>
    </row>
    <row r="1936" spans="17:27" x14ac:dyDescent="0.3">
      <c r="Q1936" s="93">
        <v>46160</v>
      </c>
      <c r="R1936" t="s">
        <v>491</v>
      </c>
      <c r="S1936" t="s">
        <v>399</v>
      </c>
      <c r="T1936" s="14">
        <v>397.61059999999998</v>
      </c>
      <c r="W1936" s="20">
        <v>46127</v>
      </c>
      <c r="X1936" t="s">
        <v>272</v>
      </c>
      <c r="Y1936" s="23">
        <v>8.0250000000000004</v>
      </c>
      <c r="Z1936" s="23">
        <v>7.5250000000000004</v>
      </c>
      <c r="AA1936" s="23">
        <v>7.7750000000000004</v>
      </c>
    </row>
    <row r="1937" spans="17:27" x14ac:dyDescent="0.3">
      <c r="Q1937" s="93">
        <v>46160</v>
      </c>
      <c r="R1937" t="s">
        <v>492</v>
      </c>
      <c r="S1937" t="s">
        <v>399</v>
      </c>
      <c r="T1937" s="14">
        <v>13800</v>
      </c>
      <c r="W1937" s="20">
        <v>46127</v>
      </c>
      <c r="X1937" t="s">
        <v>273</v>
      </c>
      <c r="Y1937" s="23">
        <v>8.1461538461538403</v>
      </c>
      <c r="Z1937" s="23">
        <v>7.6692307692307704</v>
      </c>
      <c r="AA1937" s="23">
        <v>7.9076923076923098</v>
      </c>
    </row>
    <row r="1938" spans="17:27" x14ac:dyDescent="0.3">
      <c r="Q1938" s="93">
        <v>46160</v>
      </c>
      <c r="R1938" t="s">
        <v>496</v>
      </c>
      <c r="S1938" t="s">
        <v>399</v>
      </c>
      <c r="T1938" s="14">
        <v>21660.735100000002</v>
      </c>
      <c r="W1938" s="20">
        <v>46127</v>
      </c>
      <c r="X1938" t="s">
        <v>274</v>
      </c>
      <c r="Y1938" s="23">
        <v>8.1692307692307704</v>
      </c>
      <c r="Z1938" s="23">
        <v>7.6923076923076898</v>
      </c>
      <c r="AA1938" s="23">
        <v>7.9307692307692301</v>
      </c>
    </row>
    <row r="1939" spans="17:27" x14ac:dyDescent="0.3">
      <c r="Q1939" s="93">
        <v>46160</v>
      </c>
      <c r="R1939" t="s">
        <v>497</v>
      </c>
      <c r="S1939" t="s">
        <v>399</v>
      </c>
      <c r="T1939" s="14">
        <v>397.61059999999998</v>
      </c>
      <c r="W1939" s="20">
        <v>46127</v>
      </c>
      <c r="X1939" t="s">
        <v>275</v>
      </c>
      <c r="Y1939" s="23">
        <v>8.1807692307692292</v>
      </c>
      <c r="Z1939" s="23">
        <v>7.7038461538461496</v>
      </c>
      <c r="AA1939" s="23">
        <v>7.9423076923076898</v>
      </c>
    </row>
    <row r="1940" spans="17:27" x14ac:dyDescent="0.3">
      <c r="Q1940" s="93">
        <v>46160</v>
      </c>
      <c r="R1940" t="s">
        <v>498</v>
      </c>
      <c r="S1940" t="s">
        <v>399</v>
      </c>
      <c r="T1940" s="14">
        <v>13800</v>
      </c>
      <c r="W1940" s="20">
        <v>46127</v>
      </c>
      <c r="X1940" t="s">
        <v>276</v>
      </c>
      <c r="Y1940" s="23">
        <v>8.2269230769230806</v>
      </c>
      <c r="Z1940" s="23">
        <v>7.7423076923076897</v>
      </c>
      <c r="AA1940" s="23">
        <v>7.9846153846153802</v>
      </c>
    </row>
    <row r="1941" spans="17:27" x14ac:dyDescent="0.3">
      <c r="Q1941" s="93">
        <v>46160</v>
      </c>
      <c r="R1941" t="s">
        <v>494</v>
      </c>
      <c r="S1941" t="s">
        <v>399</v>
      </c>
      <c r="T1941" s="14">
        <v>0</v>
      </c>
      <c r="W1941" s="20">
        <v>46127</v>
      </c>
      <c r="X1941" t="s">
        <v>277</v>
      </c>
      <c r="Y1941" s="23">
        <v>8.2846153846153801</v>
      </c>
      <c r="Z1941" s="23">
        <v>7.8</v>
      </c>
      <c r="AA1941" s="23">
        <v>8.0423076923076895</v>
      </c>
    </row>
    <row r="1942" spans="17:27" x14ac:dyDescent="0.3">
      <c r="Q1942" s="93">
        <v>46160</v>
      </c>
      <c r="R1942" t="s">
        <v>495</v>
      </c>
      <c r="S1942" t="s">
        <v>399</v>
      </c>
      <c r="T1942" s="14">
        <v>0</v>
      </c>
      <c r="W1942" s="20">
        <v>46127</v>
      </c>
      <c r="X1942" t="s">
        <v>278</v>
      </c>
      <c r="Y1942" s="23">
        <v>8.3076923076923102</v>
      </c>
      <c r="Z1942" s="23">
        <v>7.8230769230769202</v>
      </c>
      <c r="AA1942" s="23">
        <v>8.0653846153846196</v>
      </c>
    </row>
    <row r="1943" spans="17:27" x14ac:dyDescent="0.3">
      <c r="Q1943" s="93">
        <v>46160</v>
      </c>
      <c r="R1943" t="s">
        <v>493</v>
      </c>
      <c r="S1943" t="s">
        <v>399</v>
      </c>
      <c r="T1943" s="14">
        <v>0</v>
      </c>
      <c r="W1943" s="20">
        <v>46127</v>
      </c>
      <c r="X1943" t="s">
        <v>279</v>
      </c>
      <c r="Y1943" s="23">
        <v>8.3384615384615408</v>
      </c>
      <c r="Z1943" s="23">
        <v>7.8538461538461499</v>
      </c>
      <c r="AA1943" s="23">
        <v>8.0961538461538503</v>
      </c>
    </row>
    <row r="1944" spans="17:27" x14ac:dyDescent="0.3">
      <c r="Q1944" s="93">
        <v>46160</v>
      </c>
      <c r="R1944" t="s">
        <v>593</v>
      </c>
      <c r="S1944" t="s">
        <v>399</v>
      </c>
      <c r="T1944" s="14">
        <v>-1800</v>
      </c>
      <c r="W1944" s="20">
        <v>46127</v>
      </c>
      <c r="X1944" t="s">
        <v>280</v>
      </c>
      <c r="Y1944" s="23">
        <v>8.3769230769230791</v>
      </c>
      <c r="Z1944" s="23">
        <v>7.89230769230769</v>
      </c>
      <c r="AA1944" s="23">
        <v>8.1346153846153904</v>
      </c>
    </row>
    <row r="1945" spans="17:27" x14ac:dyDescent="0.3">
      <c r="Q1945" s="93">
        <v>46160</v>
      </c>
      <c r="R1945" t="s">
        <v>594</v>
      </c>
      <c r="S1945" t="s">
        <v>399</v>
      </c>
      <c r="T1945" s="14">
        <v>0</v>
      </c>
      <c r="W1945" s="20">
        <v>46127</v>
      </c>
      <c r="X1945" t="s">
        <v>281</v>
      </c>
      <c r="Y1945" s="23">
        <v>8.3846153846153797</v>
      </c>
      <c r="Z1945" s="23">
        <v>7.9</v>
      </c>
      <c r="AA1945" s="23">
        <v>8.1423076923076891</v>
      </c>
    </row>
    <row r="1946" spans="17:27" x14ac:dyDescent="0.3">
      <c r="Q1946" s="93">
        <v>46160</v>
      </c>
      <c r="R1946" t="s">
        <v>595</v>
      </c>
      <c r="S1946" t="s">
        <v>399</v>
      </c>
      <c r="T1946" s="14">
        <v>0</v>
      </c>
      <c r="W1946" s="20">
        <v>46128</v>
      </c>
      <c r="X1946" t="s">
        <v>270</v>
      </c>
      <c r="Y1946" s="23">
        <v>7.8</v>
      </c>
      <c r="Z1946" s="23">
        <v>7.47</v>
      </c>
      <c r="AA1946" s="23">
        <v>7.6349999999999998</v>
      </c>
    </row>
    <row r="1947" spans="17:27" x14ac:dyDescent="0.3">
      <c r="Q1947" s="93">
        <v>46160</v>
      </c>
      <c r="R1947" t="s">
        <v>479</v>
      </c>
      <c r="S1947" t="s">
        <v>395</v>
      </c>
      <c r="T1947" s="14">
        <v>974206.19833504001</v>
      </c>
      <c r="W1947" s="20">
        <v>46128</v>
      </c>
      <c r="X1947" t="s">
        <v>271</v>
      </c>
      <c r="Y1947" s="23">
        <v>7.86</v>
      </c>
      <c r="Z1947" s="23">
        <v>7.46</v>
      </c>
      <c r="AA1947" s="23">
        <v>7.66</v>
      </c>
    </row>
    <row r="1948" spans="17:27" x14ac:dyDescent="0.3">
      <c r="Q1948" s="93">
        <v>46160</v>
      </c>
      <c r="R1948" t="s">
        <v>479</v>
      </c>
      <c r="S1948" t="s">
        <v>415</v>
      </c>
      <c r="T1948" s="14">
        <v>6.9611096207977399</v>
      </c>
      <c r="W1948" s="20">
        <v>46128</v>
      </c>
      <c r="X1948" t="s">
        <v>272</v>
      </c>
      <c r="Y1948" s="23">
        <v>8.0250000000000004</v>
      </c>
      <c r="Z1948" s="23">
        <v>7.5250000000000004</v>
      </c>
      <c r="AA1948" s="23">
        <v>7.7750000000000004</v>
      </c>
    </row>
    <row r="1949" spans="17:27" x14ac:dyDescent="0.3">
      <c r="Q1949" s="93">
        <v>46160</v>
      </c>
      <c r="R1949" t="s">
        <v>364</v>
      </c>
      <c r="S1949" t="s">
        <v>415</v>
      </c>
      <c r="T1949" s="14">
        <v>6.1768632658010203</v>
      </c>
      <c r="W1949" s="20">
        <v>46128</v>
      </c>
      <c r="X1949" t="s">
        <v>273</v>
      </c>
      <c r="Y1949" s="23">
        <v>8.1384615384615397</v>
      </c>
      <c r="Z1949" s="23">
        <v>7.6615384615384601</v>
      </c>
      <c r="AA1949" s="23">
        <v>7.9</v>
      </c>
    </row>
    <row r="1950" spans="17:27" x14ac:dyDescent="0.3">
      <c r="Q1950" s="93">
        <v>46160</v>
      </c>
      <c r="R1950" t="s">
        <v>364</v>
      </c>
      <c r="S1950" t="s">
        <v>997</v>
      </c>
      <c r="T1950" s="14">
        <v>24860.735100000002</v>
      </c>
      <c r="W1950" s="20">
        <v>46128</v>
      </c>
      <c r="X1950" t="s">
        <v>274</v>
      </c>
      <c r="Y1950" s="23">
        <v>8.1615384615384592</v>
      </c>
      <c r="Z1950" s="23">
        <v>7.6846153846153804</v>
      </c>
      <c r="AA1950" s="23">
        <v>7.9230769230769198</v>
      </c>
    </row>
    <row r="1951" spans="17:27" x14ac:dyDescent="0.3">
      <c r="Q1951" s="93">
        <v>46160</v>
      </c>
      <c r="R1951" t="s">
        <v>496</v>
      </c>
      <c r="S1951" t="s">
        <v>997</v>
      </c>
      <c r="T1951" s="14">
        <v>26660.735100000002</v>
      </c>
      <c r="W1951" s="20">
        <v>46128</v>
      </c>
      <c r="X1951" t="s">
        <v>275</v>
      </c>
      <c r="Y1951" s="23">
        <v>8.1807692307692292</v>
      </c>
      <c r="Z1951" s="23">
        <v>7.7038461538461496</v>
      </c>
      <c r="AA1951" s="23">
        <v>7.9423076923076898</v>
      </c>
    </row>
    <row r="1952" spans="17:27" x14ac:dyDescent="0.3">
      <c r="Q1952" s="93">
        <v>46157</v>
      </c>
      <c r="R1952" t="s">
        <v>364</v>
      </c>
      <c r="S1952" t="s">
        <v>997</v>
      </c>
      <c r="T1952" s="14">
        <v>21460.735100000002</v>
      </c>
      <c r="W1952" s="20">
        <v>46128</v>
      </c>
      <c r="X1952" t="s">
        <v>276</v>
      </c>
      <c r="Y1952" s="23">
        <v>8.2192307692307693</v>
      </c>
      <c r="Z1952" s="23">
        <v>7.7346153846153802</v>
      </c>
      <c r="AA1952" s="23">
        <v>7.9769230769230797</v>
      </c>
    </row>
    <row r="1953" spans="17:27" x14ac:dyDescent="0.3">
      <c r="Q1953" s="93">
        <v>46157</v>
      </c>
      <c r="R1953" t="s">
        <v>496</v>
      </c>
      <c r="S1953" t="s">
        <v>997</v>
      </c>
      <c r="T1953" s="14">
        <v>21260.735100000002</v>
      </c>
      <c r="W1953" s="20">
        <v>46128</v>
      </c>
      <c r="X1953" t="s">
        <v>277</v>
      </c>
      <c r="Y1953" s="23">
        <v>8.2846153846153801</v>
      </c>
      <c r="Z1953" s="23">
        <v>7.8</v>
      </c>
      <c r="AA1953" s="23">
        <v>8.0423076923076895</v>
      </c>
    </row>
    <row r="1954" spans="17:27" x14ac:dyDescent="0.3">
      <c r="Q1954" s="93">
        <v>46157</v>
      </c>
      <c r="R1954" t="s">
        <v>479</v>
      </c>
      <c r="S1954" t="s">
        <v>399</v>
      </c>
      <c r="T1954" s="14">
        <v>14197.6106</v>
      </c>
      <c r="W1954" s="20">
        <v>46128</v>
      </c>
      <c r="X1954" t="s">
        <v>278</v>
      </c>
      <c r="Y1954" s="23">
        <v>8.3000000000000007</v>
      </c>
      <c r="Z1954" s="23">
        <v>7.8153846153846098</v>
      </c>
      <c r="AA1954" s="23">
        <v>8.0576923076923102</v>
      </c>
    </row>
    <row r="1955" spans="17:27" x14ac:dyDescent="0.3">
      <c r="Q1955" s="93">
        <v>46157</v>
      </c>
      <c r="R1955" t="s">
        <v>364</v>
      </c>
      <c r="S1955" t="s">
        <v>399</v>
      </c>
      <c r="T1955" s="14">
        <v>16460.735100000002</v>
      </c>
      <c r="W1955" s="20">
        <v>46128</v>
      </c>
      <c r="X1955" t="s">
        <v>279</v>
      </c>
      <c r="Y1955" s="23">
        <v>8.3384615384615408</v>
      </c>
      <c r="Z1955" s="23">
        <v>7.8538461538461499</v>
      </c>
      <c r="AA1955" s="23">
        <v>8.0961538461538503</v>
      </c>
    </row>
    <row r="1956" spans="17:27" x14ac:dyDescent="0.3">
      <c r="Q1956" s="93">
        <v>46157</v>
      </c>
      <c r="R1956" t="s">
        <v>491</v>
      </c>
      <c r="S1956" t="s">
        <v>399</v>
      </c>
      <c r="T1956" s="14">
        <v>397.61059999999998</v>
      </c>
      <c r="W1956" s="20">
        <v>46128</v>
      </c>
      <c r="X1956" t="s">
        <v>280</v>
      </c>
      <c r="Y1956" s="23">
        <v>8.3692307692307697</v>
      </c>
      <c r="Z1956" s="23">
        <v>7.8846153846153797</v>
      </c>
      <c r="AA1956" s="23">
        <v>8.1269230769230791</v>
      </c>
    </row>
    <row r="1957" spans="17:27" x14ac:dyDescent="0.3">
      <c r="Q1957" s="93">
        <v>46157</v>
      </c>
      <c r="R1957" t="s">
        <v>492</v>
      </c>
      <c r="S1957" t="s">
        <v>399</v>
      </c>
      <c r="T1957" s="14">
        <v>13800</v>
      </c>
      <c r="W1957" s="20">
        <v>46128</v>
      </c>
      <c r="X1957" t="s">
        <v>281</v>
      </c>
      <c r="Y1957" s="23">
        <v>8.3846153846153797</v>
      </c>
      <c r="Z1957" s="23">
        <v>7.9</v>
      </c>
      <c r="AA1957" s="23">
        <v>8.1423076923076891</v>
      </c>
    </row>
    <row r="1958" spans="17:27" x14ac:dyDescent="0.3">
      <c r="Q1958" s="93">
        <v>46157</v>
      </c>
      <c r="R1958" t="s">
        <v>496</v>
      </c>
      <c r="S1958" t="s">
        <v>399</v>
      </c>
      <c r="T1958" s="14">
        <v>16260.7351</v>
      </c>
      <c r="W1958" s="20">
        <v>46129</v>
      </c>
      <c r="X1958" t="s">
        <v>270</v>
      </c>
      <c r="Y1958" s="23">
        <v>7.8</v>
      </c>
      <c r="Z1958" s="23">
        <v>7.47</v>
      </c>
      <c r="AA1958" s="23">
        <v>7.6349999999999998</v>
      </c>
    </row>
    <row r="1959" spans="17:27" x14ac:dyDescent="0.3">
      <c r="Q1959" s="93">
        <v>46157</v>
      </c>
      <c r="R1959" t="s">
        <v>497</v>
      </c>
      <c r="S1959" t="s">
        <v>399</v>
      </c>
      <c r="T1959" s="14">
        <v>397.61059999999998</v>
      </c>
      <c r="W1959" s="20">
        <v>46129</v>
      </c>
      <c r="X1959" t="s">
        <v>271</v>
      </c>
      <c r="Y1959" s="23">
        <v>7.86</v>
      </c>
      <c r="Z1959" s="23">
        <v>7.46</v>
      </c>
      <c r="AA1959" s="23">
        <v>7.66</v>
      </c>
    </row>
    <row r="1960" spans="17:27" x14ac:dyDescent="0.3">
      <c r="Q1960" s="93">
        <v>46157</v>
      </c>
      <c r="R1960" t="s">
        <v>498</v>
      </c>
      <c r="S1960" t="s">
        <v>399</v>
      </c>
      <c r="T1960" s="14">
        <v>13800</v>
      </c>
      <c r="W1960" s="20">
        <v>46129</v>
      </c>
      <c r="X1960" t="s">
        <v>272</v>
      </c>
      <c r="Y1960" s="23">
        <v>8.0250000000000004</v>
      </c>
      <c r="Z1960" s="23">
        <v>7.5250000000000004</v>
      </c>
      <c r="AA1960" s="23">
        <v>7.7750000000000004</v>
      </c>
    </row>
    <row r="1961" spans="17:27" x14ac:dyDescent="0.3">
      <c r="Q1961" s="93">
        <v>46157</v>
      </c>
      <c r="R1961" t="s">
        <v>494</v>
      </c>
      <c r="S1961" t="s">
        <v>399</v>
      </c>
      <c r="T1961" s="14">
        <v>0</v>
      </c>
      <c r="W1961" s="20">
        <v>46129</v>
      </c>
      <c r="X1961" t="s">
        <v>273</v>
      </c>
      <c r="Y1961" s="23">
        <v>8.1384615384615397</v>
      </c>
      <c r="Z1961" s="23">
        <v>7.6615384615384601</v>
      </c>
      <c r="AA1961" s="23">
        <v>7.9</v>
      </c>
    </row>
    <row r="1962" spans="17:27" x14ac:dyDescent="0.3">
      <c r="Q1962" s="93">
        <v>46157</v>
      </c>
      <c r="R1962" t="s">
        <v>495</v>
      </c>
      <c r="S1962" t="s">
        <v>399</v>
      </c>
      <c r="T1962" s="14">
        <v>0</v>
      </c>
      <c r="W1962" s="20">
        <v>46129</v>
      </c>
      <c r="X1962" t="s">
        <v>274</v>
      </c>
      <c r="Y1962" s="23">
        <v>8.1615384615384592</v>
      </c>
      <c r="Z1962" s="23">
        <v>7.6846153846153804</v>
      </c>
      <c r="AA1962" s="23">
        <v>7.9230769230769198</v>
      </c>
    </row>
    <row r="1963" spans="17:27" x14ac:dyDescent="0.3">
      <c r="Q1963" s="93">
        <v>46157</v>
      </c>
      <c r="R1963" t="s">
        <v>493</v>
      </c>
      <c r="S1963" t="s">
        <v>399</v>
      </c>
      <c r="T1963" s="14">
        <v>0</v>
      </c>
      <c r="W1963" s="20">
        <v>46129</v>
      </c>
      <c r="X1963" t="s">
        <v>275</v>
      </c>
      <c r="Y1963" s="23">
        <v>8.1807692307692292</v>
      </c>
      <c r="Z1963" s="23">
        <v>7.7038461538461496</v>
      </c>
      <c r="AA1963" s="23">
        <v>7.9423076923076898</v>
      </c>
    </row>
    <row r="1964" spans="17:27" x14ac:dyDescent="0.3">
      <c r="Q1964" s="93">
        <v>46157</v>
      </c>
      <c r="R1964" t="s">
        <v>593</v>
      </c>
      <c r="S1964" t="s">
        <v>399</v>
      </c>
      <c r="T1964" s="14">
        <v>200</v>
      </c>
      <c r="W1964" s="20">
        <v>46129</v>
      </c>
      <c r="X1964" t="s">
        <v>276</v>
      </c>
      <c r="Y1964" s="23">
        <v>8.2192307692307693</v>
      </c>
      <c r="Z1964" s="23">
        <v>7.7346153846153802</v>
      </c>
      <c r="AA1964" s="23">
        <v>7.9769230769230797</v>
      </c>
    </row>
    <row r="1965" spans="17:27" x14ac:dyDescent="0.3">
      <c r="Q1965" s="93">
        <v>46157</v>
      </c>
      <c r="R1965" t="s">
        <v>594</v>
      </c>
      <c r="S1965" t="s">
        <v>399</v>
      </c>
      <c r="T1965" s="14">
        <v>0</v>
      </c>
      <c r="W1965" s="20">
        <v>46129</v>
      </c>
      <c r="X1965" t="s">
        <v>277</v>
      </c>
      <c r="Y1965" s="23">
        <v>8.2846153846153801</v>
      </c>
      <c r="Z1965" s="23">
        <v>7.8</v>
      </c>
      <c r="AA1965" s="23">
        <v>8.0423076923076895</v>
      </c>
    </row>
    <row r="1966" spans="17:27" x14ac:dyDescent="0.3">
      <c r="Q1966" s="93">
        <v>46157</v>
      </c>
      <c r="R1966" t="s">
        <v>595</v>
      </c>
      <c r="S1966" t="s">
        <v>399</v>
      </c>
      <c r="T1966" s="14">
        <v>0</v>
      </c>
      <c r="W1966" s="20">
        <v>46129</v>
      </c>
      <c r="X1966" t="s">
        <v>278</v>
      </c>
      <c r="Y1966" s="23">
        <v>8.3000000000000007</v>
      </c>
      <c r="Z1966" s="23">
        <v>7.8153846153846098</v>
      </c>
      <c r="AA1966" s="23">
        <v>8.0576923076923102</v>
      </c>
    </row>
    <row r="1967" spans="17:27" x14ac:dyDescent="0.3">
      <c r="Q1967" s="93">
        <v>46157</v>
      </c>
      <c r="R1967" t="s">
        <v>479</v>
      </c>
      <c r="S1967" t="s">
        <v>395</v>
      </c>
      <c r="T1967" s="14">
        <v>11179.9436980092</v>
      </c>
      <c r="W1967" s="20">
        <v>46129</v>
      </c>
      <c r="X1967" t="s">
        <v>279</v>
      </c>
      <c r="Y1967" s="23">
        <v>8.3384615384615408</v>
      </c>
      <c r="Z1967" s="23">
        <v>7.8538461538461499</v>
      </c>
      <c r="AA1967" s="23">
        <v>8.0961538461538503</v>
      </c>
    </row>
    <row r="1968" spans="17:27" x14ac:dyDescent="0.3">
      <c r="Q1968" s="93">
        <v>46157</v>
      </c>
      <c r="R1968" t="s">
        <v>479</v>
      </c>
      <c r="S1968" t="s">
        <v>415</v>
      </c>
      <c r="T1968" s="14">
        <v>6.9611096207977399</v>
      </c>
      <c r="W1968" s="20">
        <v>46129</v>
      </c>
      <c r="X1968" t="s">
        <v>280</v>
      </c>
      <c r="Y1968" s="23">
        <v>8.3692307692307697</v>
      </c>
      <c r="Z1968" s="23">
        <v>7.8846153846153797</v>
      </c>
      <c r="AA1968" s="23">
        <v>8.1269230769230791</v>
      </c>
    </row>
    <row r="1969" spans="17:27" x14ac:dyDescent="0.3">
      <c r="Q1969" s="93">
        <v>46157</v>
      </c>
      <c r="R1969" t="s">
        <v>364</v>
      </c>
      <c r="S1969" t="s">
        <v>415</v>
      </c>
      <c r="T1969" s="14">
        <v>6.03387352747297</v>
      </c>
      <c r="W1969" s="20">
        <v>46129</v>
      </c>
      <c r="X1969" t="s">
        <v>281</v>
      </c>
      <c r="Y1969" s="23">
        <v>8.3846153846153797</v>
      </c>
      <c r="Z1969" s="23">
        <v>7.9</v>
      </c>
      <c r="AA1969" s="23">
        <v>8.1423076923076891</v>
      </c>
    </row>
    <row r="1970" spans="17:27" x14ac:dyDescent="0.3">
      <c r="Q1970" s="93">
        <v>46156</v>
      </c>
      <c r="R1970" t="s">
        <v>497</v>
      </c>
      <c r="S1970" t="s">
        <v>399</v>
      </c>
      <c r="T1970" s="14">
        <v>397.61059999999998</v>
      </c>
      <c r="W1970" s="20">
        <v>46134</v>
      </c>
      <c r="X1970" t="s">
        <v>281</v>
      </c>
      <c r="Y1970" s="23">
        <v>8.3846153846153797</v>
      </c>
      <c r="Z1970" s="23">
        <v>7.9</v>
      </c>
      <c r="AA1970" s="23">
        <v>8.1423076923076891</v>
      </c>
    </row>
    <row r="1971" spans="17:27" x14ac:dyDescent="0.3">
      <c r="Q1971" s="93">
        <v>46156</v>
      </c>
      <c r="R1971" t="s">
        <v>498</v>
      </c>
      <c r="S1971" t="s">
        <v>399</v>
      </c>
      <c r="T1971" s="14">
        <v>13800</v>
      </c>
      <c r="W1971" s="20">
        <v>46132</v>
      </c>
      <c r="X1971" t="s">
        <v>270</v>
      </c>
      <c r="Y1971" s="23">
        <v>7.8</v>
      </c>
      <c r="Z1971" s="23">
        <v>7.47</v>
      </c>
      <c r="AA1971" s="23">
        <v>7.6349999999999998</v>
      </c>
    </row>
    <row r="1972" spans="17:27" x14ac:dyDescent="0.3">
      <c r="Q1972" s="93">
        <v>46156</v>
      </c>
      <c r="R1972" t="s">
        <v>494</v>
      </c>
      <c r="S1972" t="s">
        <v>399</v>
      </c>
      <c r="T1972" s="14">
        <v>0</v>
      </c>
      <c r="W1972" s="20">
        <v>46132</v>
      </c>
      <c r="X1972" t="s">
        <v>271</v>
      </c>
      <c r="Y1972" s="23">
        <v>7.86</v>
      </c>
      <c r="Z1972" s="23">
        <v>7.46</v>
      </c>
      <c r="AA1972" s="23">
        <v>7.66</v>
      </c>
    </row>
    <row r="1973" spans="17:27" x14ac:dyDescent="0.3">
      <c r="Q1973" s="93">
        <v>46156</v>
      </c>
      <c r="R1973" t="s">
        <v>495</v>
      </c>
      <c r="S1973" t="s">
        <v>399</v>
      </c>
      <c r="T1973" s="14">
        <v>0</v>
      </c>
      <c r="W1973" s="20">
        <v>46132</v>
      </c>
      <c r="X1973" t="s">
        <v>272</v>
      </c>
      <c r="Y1973" s="23">
        <v>8.0250000000000004</v>
      </c>
      <c r="Z1973" s="23">
        <v>7.5250000000000004</v>
      </c>
      <c r="AA1973" s="23">
        <v>7.7750000000000004</v>
      </c>
    </row>
    <row r="1974" spans="17:27" x14ac:dyDescent="0.3">
      <c r="Q1974" s="93">
        <v>46156</v>
      </c>
      <c r="R1974" t="s">
        <v>493</v>
      </c>
      <c r="S1974" t="s">
        <v>399</v>
      </c>
      <c r="T1974" s="14">
        <v>0</v>
      </c>
      <c r="W1974" s="20">
        <v>46132</v>
      </c>
      <c r="X1974" t="s">
        <v>273</v>
      </c>
      <c r="Y1974" s="23">
        <v>8.1384615384615397</v>
      </c>
      <c r="Z1974" s="23">
        <v>7.6615384615384601</v>
      </c>
      <c r="AA1974" s="23">
        <v>7.9</v>
      </c>
    </row>
    <row r="1975" spans="17:27" x14ac:dyDescent="0.3">
      <c r="Q1975" s="93">
        <v>46156</v>
      </c>
      <c r="R1975" t="s">
        <v>593</v>
      </c>
      <c r="S1975" t="s">
        <v>399</v>
      </c>
      <c r="T1975" s="14">
        <v>-3400</v>
      </c>
      <c r="W1975" s="20">
        <v>46132</v>
      </c>
      <c r="X1975" t="s">
        <v>274</v>
      </c>
      <c r="Y1975" s="23">
        <v>8.1615384615384592</v>
      </c>
      <c r="Z1975" s="23">
        <v>7.6846153846153804</v>
      </c>
      <c r="AA1975" s="23">
        <v>7.9230769230769198</v>
      </c>
    </row>
    <row r="1976" spans="17:27" x14ac:dyDescent="0.3">
      <c r="Q1976" s="93">
        <v>46156</v>
      </c>
      <c r="R1976" t="s">
        <v>594</v>
      </c>
      <c r="S1976" t="s">
        <v>399</v>
      </c>
      <c r="T1976" s="14">
        <v>0</v>
      </c>
      <c r="W1976" s="20">
        <v>46132</v>
      </c>
      <c r="X1976" t="s">
        <v>275</v>
      </c>
      <c r="Y1976" s="23">
        <v>8.1807692307692292</v>
      </c>
      <c r="Z1976" s="23">
        <v>7.7038461538461496</v>
      </c>
      <c r="AA1976" s="23">
        <v>7.9423076923076898</v>
      </c>
    </row>
    <row r="1977" spans="17:27" x14ac:dyDescent="0.3">
      <c r="Q1977" s="93">
        <v>46156</v>
      </c>
      <c r="R1977" t="s">
        <v>595</v>
      </c>
      <c r="S1977" t="s">
        <v>399</v>
      </c>
      <c r="T1977" s="14">
        <v>0</v>
      </c>
      <c r="W1977" s="20">
        <v>46132</v>
      </c>
      <c r="X1977" t="s">
        <v>276</v>
      </c>
      <c r="Y1977" s="23">
        <v>8.2192307692307693</v>
      </c>
      <c r="Z1977" s="23">
        <v>7.7346153846153802</v>
      </c>
      <c r="AA1977" s="23">
        <v>7.9769230769230797</v>
      </c>
    </row>
    <row r="1978" spans="17:27" x14ac:dyDescent="0.3">
      <c r="Q1978" s="93">
        <v>46156</v>
      </c>
      <c r="R1978" t="s">
        <v>479</v>
      </c>
      <c r="S1978" t="s">
        <v>395</v>
      </c>
      <c r="T1978" s="14">
        <v>11182.117613190099</v>
      </c>
      <c r="W1978" s="20">
        <v>46132</v>
      </c>
      <c r="X1978" t="s">
        <v>277</v>
      </c>
      <c r="Y1978" s="23">
        <v>8.2846153846153801</v>
      </c>
      <c r="Z1978" s="23">
        <v>7.8</v>
      </c>
      <c r="AA1978" s="23">
        <v>8.0423076923076895</v>
      </c>
    </row>
    <row r="1979" spans="17:27" x14ac:dyDescent="0.3">
      <c r="Q1979" s="93">
        <v>46156</v>
      </c>
      <c r="R1979" t="s">
        <v>479</v>
      </c>
      <c r="S1979" t="s">
        <v>415</v>
      </c>
      <c r="T1979" s="14">
        <v>6.9611096207977399</v>
      </c>
      <c r="W1979" s="20">
        <v>46132</v>
      </c>
      <c r="X1979" t="s">
        <v>278</v>
      </c>
      <c r="Y1979" s="23">
        <v>8.3000000000000007</v>
      </c>
      <c r="Z1979" s="23">
        <v>7.8153846153846098</v>
      </c>
      <c r="AA1979" s="23">
        <v>8.0576923076923102</v>
      </c>
    </row>
    <row r="1980" spans="17:27" x14ac:dyDescent="0.3">
      <c r="Q1980" s="93">
        <v>46156</v>
      </c>
      <c r="R1980" t="s">
        <v>364</v>
      </c>
      <c r="S1980" t="s">
        <v>415</v>
      </c>
      <c r="T1980" s="14">
        <v>6.0373547451452598</v>
      </c>
      <c r="W1980" s="20">
        <v>46132</v>
      </c>
      <c r="X1980" t="s">
        <v>279</v>
      </c>
      <c r="Y1980" s="23">
        <v>8.3384615384615408</v>
      </c>
      <c r="Z1980" s="23">
        <v>7.8538461538461499</v>
      </c>
      <c r="AA1980" s="23">
        <v>8.0961538461538503</v>
      </c>
    </row>
    <row r="1981" spans="17:27" x14ac:dyDescent="0.3">
      <c r="Q1981" s="93">
        <v>46156</v>
      </c>
      <c r="R1981" t="s">
        <v>364</v>
      </c>
      <c r="S1981" t="s">
        <v>997</v>
      </c>
      <c r="T1981" s="14">
        <v>19460.735100000002</v>
      </c>
      <c r="W1981" s="20">
        <v>46132</v>
      </c>
      <c r="X1981" t="s">
        <v>280</v>
      </c>
      <c r="Y1981" s="23">
        <v>8.3692307692307697</v>
      </c>
      <c r="Z1981" s="23">
        <v>7.8846153846153797</v>
      </c>
      <c r="AA1981" s="23">
        <v>8.1269230769230791</v>
      </c>
    </row>
    <row r="1982" spans="17:27" x14ac:dyDescent="0.3">
      <c r="Q1982" s="93">
        <v>46156</v>
      </c>
      <c r="R1982" t="s">
        <v>496</v>
      </c>
      <c r="S1982" t="s">
        <v>997</v>
      </c>
      <c r="T1982" s="14">
        <v>22860.735100000002</v>
      </c>
      <c r="W1982" s="20">
        <v>46132</v>
      </c>
      <c r="X1982" t="s">
        <v>281</v>
      </c>
      <c r="Y1982" s="23">
        <v>8.3846153846153797</v>
      </c>
      <c r="Z1982" s="23">
        <v>7.9</v>
      </c>
      <c r="AA1982" s="23">
        <v>8.1423076923076891</v>
      </c>
    </row>
    <row r="1983" spans="17:27" x14ac:dyDescent="0.3">
      <c r="Q1983" s="93">
        <v>46156</v>
      </c>
      <c r="R1983" t="s">
        <v>479</v>
      </c>
      <c r="S1983" t="s">
        <v>399</v>
      </c>
      <c r="T1983" s="14">
        <v>14197.6106</v>
      </c>
      <c r="W1983" s="20">
        <v>46133</v>
      </c>
      <c r="X1983" t="s">
        <v>270</v>
      </c>
      <c r="Y1983" s="23">
        <v>7.86</v>
      </c>
      <c r="Z1983" s="23">
        <v>7.51</v>
      </c>
      <c r="AA1983" s="23">
        <v>7.6849999999999996</v>
      </c>
    </row>
    <row r="1984" spans="17:27" x14ac:dyDescent="0.3">
      <c r="Q1984" s="93">
        <v>46156</v>
      </c>
      <c r="R1984" t="s">
        <v>364</v>
      </c>
      <c r="S1984" t="s">
        <v>399</v>
      </c>
      <c r="T1984" s="14">
        <v>14460.7351</v>
      </c>
      <c r="W1984" s="20">
        <v>46133</v>
      </c>
      <c r="X1984" t="s">
        <v>271</v>
      </c>
      <c r="Y1984" s="23">
        <v>7.7833333333333297</v>
      </c>
      <c r="Z1984" s="23">
        <v>7.4166666666666696</v>
      </c>
      <c r="AA1984" s="23">
        <v>7.6</v>
      </c>
    </row>
    <row r="1985" spans="17:27" x14ac:dyDescent="0.3">
      <c r="Q1985" s="93">
        <v>46156</v>
      </c>
      <c r="R1985" t="s">
        <v>491</v>
      </c>
      <c r="S1985" t="s">
        <v>399</v>
      </c>
      <c r="T1985" s="14">
        <v>397.61059999999998</v>
      </c>
      <c r="W1985" s="20">
        <v>46133</v>
      </c>
      <c r="X1985" t="s">
        <v>272</v>
      </c>
      <c r="Y1985" s="23">
        <v>8.0250000000000004</v>
      </c>
      <c r="Z1985" s="23">
        <v>7.5250000000000004</v>
      </c>
      <c r="AA1985" s="23">
        <v>7.7750000000000004</v>
      </c>
    </row>
    <row r="1986" spans="17:27" x14ac:dyDescent="0.3">
      <c r="Q1986" s="93">
        <v>46156</v>
      </c>
      <c r="R1986" t="s">
        <v>492</v>
      </c>
      <c r="S1986" t="s">
        <v>399</v>
      </c>
      <c r="T1986" s="14">
        <v>13800</v>
      </c>
      <c r="W1986" s="20">
        <v>46133</v>
      </c>
      <c r="X1986" t="s">
        <v>273</v>
      </c>
      <c r="Y1986" s="23">
        <v>8.1384615384615397</v>
      </c>
      <c r="Z1986" s="23">
        <v>7.6615384615384601</v>
      </c>
      <c r="AA1986" s="23">
        <v>7.9</v>
      </c>
    </row>
    <row r="1987" spans="17:27" x14ac:dyDescent="0.3">
      <c r="Q1987" s="93">
        <v>46156</v>
      </c>
      <c r="R1987" t="s">
        <v>496</v>
      </c>
      <c r="S1987" t="s">
        <v>399</v>
      </c>
      <c r="T1987" s="14">
        <v>17860.735100000002</v>
      </c>
      <c r="W1987" s="20">
        <v>46133</v>
      </c>
      <c r="X1987" t="s">
        <v>274</v>
      </c>
      <c r="Y1987" s="23">
        <v>8.1615384615384592</v>
      </c>
      <c r="Z1987" s="23">
        <v>7.6846153846153804</v>
      </c>
      <c r="AA1987" s="23">
        <v>7.9230769230769198</v>
      </c>
    </row>
    <row r="1988" spans="17:27" x14ac:dyDescent="0.3">
      <c r="Q1988" s="93">
        <v>46155</v>
      </c>
      <c r="R1988" t="s">
        <v>479</v>
      </c>
      <c r="S1988" t="s">
        <v>399</v>
      </c>
      <c r="T1988" s="14">
        <v>14197.6106</v>
      </c>
      <c r="W1988" s="20">
        <v>46133</v>
      </c>
      <c r="X1988" t="s">
        <v>275</v>
      </c>
      <c r="Y1988" s="23">
        <v>8.1807692307692292</v>
      </c>
      <c r="Z1988" s="23">
        <v>7.7038461538461496</v>
      </c>
      <c r="AA1988" s="23">
        <v>7.9423076923076898</v>
      </c>
    </row>
    <row r="1989" spans="17:27" x14ac:dyDescent="0.3">
      <c r="Q1989" s="93">
        <v>46155</v>
      </c>
      <c r="R1989" t="s">
        <v>364</v>
      </c>
      <c r="S1989" t="s">
        <v>399</v>
      </c>
      <c r="T1989" s="14">
        <v>17060.735100000002</v>
      </c>
      <c r="W1989" s="20">
        <v>46133</v>
      </c>
      <c r="X1989" t="s">
        <v>276</v>
      </c>
      <c r="Y1989" s="23">
        <v>8.2192307692307693</v>
      </c>
      <c r="Z1989" s="23">
        <v>7.7346153846153802</v>
      </c>
      <c r="AA1989" s="23">
        <v>7.9769230769230797</v>
      </c>
    </row>
    <row r="1990" spans="17:27" x14ac:dyDescent="0.3">
      <c r="Q1990" s="93">
        <v>46155</v>
      </c>
      <c r="R1990" t="s">
        <v>491</v>
      </c>
      <c r="S1990" t="s">
        <v>399</v>
      </c>
      <c r="T1990" s="14">
        <v>397.61059999999998</v>
      </c>
      <c r="W1990" s="20">
        <v>46133</v>
      </c>
      <c r="X1990" t="s">
        <v>277</v>
      </c>
      <c r="Y1990" s="23">
        <v>8.2846153846153801</v>
      </c>
      <c r="Z1990" s="23">
        <v>7.8</v>
      </c>
      <c r="AA1990" s="23">
        <v>8.0423076923076895</v>
      </c>
    </row>
    <row r="1991" spans="17:27" x14ac:dyDescent="0.3">
      <c r="Q1991" s="93">
        <v>46155</v>
      </c>
      <c r="R1991" t="s">
        <v>492</v>
      </c>
      <c r="S1991" t="s">
        <v>399</v>
      </c>
      <c r="T1991" s="14">
        <v>13800</v>
      </c>
      <c r="W1991" s="20">
        <v>46133</v>
      </c>
      <c r="X1991" t="s">
        <v>278</v>
      </c>
      <c r="Y1991" s="23">
        <v>8.3000000000000007</v>
      </c>
      <c r="Z1991" s="23">
        <v>7.8153846153846098</v>
      </c>
      <c r="AA1991" s="23">
        <v>8.0576923076923102</v>
      </c>
    </row>
    <row r="1992" spans="17:27" x14ac:dyDescent="0.3">
      <c r="Q1992" s="93">
        <v>46155</v>
      </c>
      <c r="R1992" t="s">
        <v>496</v>
      </c>
      <c r="S1992" t="s">
        <v>399</v>
      </c>
      <c r="T1992" s="14">
        <v>18060.735100000002</v>
      </c>
      <c r="W1992" s="20">
        <v>46133</v>
      </c>
      <c r="X1992" t="s">
        <v>279</v>
      </c>
      <c r="Y1992" s="23">
        <v>8.3384615384615408</v>
      </c>
      <c r="Z1992" s="23">
        <v>7.8538461538461499</v>
      </c>
      <c r="AA1992" s="23">
        <v>8.0961538461538503</v>
      </c>
    </row>
    <row r="1993" spans="17:27" x14ac:dyDescent="0.3">
      <c r="Q1993" s="93">
        <v>46155</v>
      </c>
      <c r="R1993" t="s">
        <v>497</v>
      </c>
      <c r="S1993" t="s">
        <v>399</v>
      </c>
      <c r="T1993" s="14">
        <v>397.61059999999998</v>
      </c>
      <c r="W1993" s="20">
        <v>46133</v>
      </c>
      <c r="X1993" t="s">
        <v>280</v>
      </c>
      <c r="Y1993" s="23">
        <v>8.3692307692307697</v>
      </c>
      <c r="Z1993" s="23">
        <v>7.8846153846153797</v>
      </c>
      <c r="AA1993" s="23">
        <v>8.1269230769230791</v>
      </c>
    </row>
    <row r="1994" spans="17:27" x14ac:dyDescent="0.3">
      <c r="Q1994" s="93">
        <v>46155</v>
      </c>
      <c r="R1994" t="s">
        <v>498</v>
      </c>
      <c r="S1994" t="s">
        <v>399</v>
      </c>
      <c r="T1994" s="14">
        <v>13800</v>
      </c>
      <c r="W1994" s="20">
        <v>46133</v>
      </c>
      <c r="X1994" t="s">
        <v>281</v>
      </c>
      <c r="Y1994" s="23">
        <v>8.3846153846153797</v>
      </c>
      <c r="Z1994" s="23">
        <v>7.9</v>
      </c>
      <c r="AA1994" s="23">
        <v>8.1423076923076891</v>
      </c>
    </row>
    <row r="1995" spans="17:27" x14ac:dyDescent="0.3">
      <c r="Q1995" s="93">
        <v>46155</v>
      </c>
      <c r="R1995" t="s">
        <v>494</v>
      </c>
      <c r="S1995" t="s">
        <v>399</v>
      </c>
      <c r="T1995" s="14">
        <v>0</v>
      </c>
      <c r="W1995" s="20">
        <v>46134</v>
      </c>
      <c r="X1995" t="s">
        <v>270</v>
      </c>
      <c r="Y1995" s="23">
        <v>7.8833333333333302</v>
      </c>
      <c r="Z1995" s="23">
        <v>7.5083333333333302</v>
      </c>
      <c r="AA1995" s="23">
        <v>7.6958333333333302</v>
      </c>
    </row>
    <row r="1996" spans="17:27" x14ac:dyDescent="0.3">
      <c r="Q1996" s="93">
        <v>46155</v>
      </c>
      <c r="R1996" t="s">
        <v>495</v>
      </c>
      <c r="S1996" t="s">
        <v>399</v>
      </c>
      <c r="T1996" s="14">
        <v>0</v>
      </c>
      <c r="W1996" s="20">
        <v>46134</v>
      </c>
      <c r="X1996" t="s">
        <v>271</v>
      </c>
      <c r="Y1996" s="23">
        <v>7.8250000000000002</v>
      </c>
      <c r="Z1996" s="23">
        <v>7.45</v>
      </c>
      <c r="AA1996" s="23">
        <v>7.6375000000000002</v>
      </c>
    </row>
    <row r="1997" spans="17:27" x14ac:dyDescent="0.3">
      <c r="Q1997" s="93">
        <v>46155</v>
      </c>
      <c r="R1997" t="s">
        <v>493</v>
      </c>
      <c r="S1997" t="s">
        <v>399</v>
      </c>
      <c r="T1997" s="14">
        <v>0</v>
      </c>
      <c r="W1997" s="20">
        <v>46134</v>
      </c>
      <c r="X1997" t="s">
        <v>272</v>
      </c>
      <c r="Y1997" s="23">
        <v>8.0250000000000004</v>
      </c>
      <c r="Z1997" s="23">
        <v>7.5250000000000004</v>
      </c>
      <c r="AA1997" s="23">
        <v>7.7750000000000004</v>
      </c>
    </row>
    <row r="1998" spans="17:27" x14ac:dyDescent="0.3">
      <c r="Q1998" s="93">
        <v>46155</v>
      </c>
      <c r="R1998" t="s">
        <v>593</v>
      </c>
      <c r="S1998" t="s">
        <v>399</v>
      </c>
      <c r="T1998" s="14">
        <v>-1000</v>
      </c>
      <c r="W1998" s="20">
        <v>46134</v>
      </c>
      <c r="X1998" t="s">
        <v>273</v>
      </c>
      <c r="Y1998" s="23">
        <v>8.1384615384615397</v>
      </c>
      <c r="Z1998" s="23">
        <v>7.6615384615384601</v>
      </c>
      <c r="AA1998" s="23">
        <v>7.9</v>
      </c>
    </row>
    <row r="1999" spans="17:27" x14ac:dyDescent="0.3">
      <c r="Q1999" s="93">
        <v>46155</v>
      </c>
      <c r="R1999" t="s">
        <v>594</v>
      </c>
      <c r="S1999" t="s">
        <v>399</v>
      </c>
      <c r="T1999" s="14">
        <v>0</v>
      </c>
      <c r="W1999" s="20">
        <v>46134</v>
      </c>
      <c r="X1999" t="s">
        <v>274</v>
      </c>
      <c r="Y1999" s="23">
        <v>8.1615384615384592</v>
      </c>
      <c r="Z1999" s="23">
        <v>7.6846153846153804</v>
      </c>
      <c r="AA1999" s="23">
        <v>7.9230769230769198</v>
      </c>
    </row>
    <row r="2000" spans="17:27" x14ac:dyDescent="0.3">
      <c r="Q2000" s="93">
        <v>46155</v>
      </c>
      <c r="R2000" t="s">
        <v>595</v>
      </c>
      <c r="S2000" t="s">
        <v>399</v>
      </c>
      <c r="T2000" s="14">
        <v>0</v>
      </c>
      <c r="W2000" s="20">
        <v>46134</v>
      </c>
      <c r="X2000" t="s">
        <v>275</v>
      </c>
      <c r="Y2000" s="23">
        <v>8.1807692307692292</v>
      </c>
      <c r="Z2000" s="23">
        <v>7.7038461538461496</v>
      </c>
      <c r="AA2000" s="23">
        <v>7.9423076923076898</v>
      </c>
    </row>
    <row r="2001" spans="17:27" x14ac:dyDescent="0.3">
      <c r="Q2001" s="93">
        <v>46155</v>
      </c>
      <c r="R2001" t="s">
        <v>479</v>
      </c>
      <c r="S2001" t="s">
        <v>395</v>
      </c>
      <c r="T2001" s="14">
        <v>11184.979793692</v>
      </c>
      <c r="W2001" s="20">
        <v>46134</v>
      </c>
      <c r="X2001" t="s">
        <v>276</v>
      </c>
      <c r="Y2001" s="23">
        <v>8.2192307692307693</v>
      </c>
      <c r="Z2001" s="23">
        <v>7.7346153846153802</v>
      </c>
      <c r="AA2001" s="23">
        <v>7.9769230769230797</v>
      </c>
    </row>
    <row r="2002" spans="17:27" x14ac:dyDescent="0.3">
      <c r="Q2002" s="93">
        <v>46155</v>
      </c>
      <c r="R2002" t="s">
        <v>479</v>
      </c>
      <c r="S2002" t="s">
        <v>415</v>
      </c>
      <c r="T2002" s="14">
        <v>6.9611096207977399</v>
      </c>
      <c r="W2002" s="20">
        <v>46134</v>
      </c>
      <c r="X2002" t="s">
        <v>277</v>
      </c>
      <c r="Y2002" s="23">
        <v>8.2846153846153801</v>
      </c>
      <c r="Z2002" s="23">
        <v>7.8</v>
      </c>
      <c r="AA2002" s="23">
        <v>8.0423076923076895</v>
      </c>
    </row>
    <row r="2003" spans="17:27" x14ac:dyDescent="0.3">
      <c r="Q2003" s="93">
        <v>46155</v>
      </c>
      <c r="R2003" t="s">
        <v>364</v>
      </c>
      <c r="S2003" t="s">
        <v>415</v>
      </c>
      <c r="T2003" s="14">
        <v>6.0648617108779401</v>
      </c>
      <c r="W2003" s="20">
        <v>46134</v>
      </c>
      <c r="X2003" t="s">
        <v>278</v>
      </c>
      <c r="Y2003" s="23">
        <v>8.3000000000000007</v>
      </c>
      <c r="Z2003" s="23">
        <v>7.8153846153846098</v>
      </c>
      <c r="AA2003" s="23">
        <v>8.0576923076923102</v>
      </c>
    </row>
    <row r="2004" spans="17:27" x14ac:dyDescent="0.3">
      <c r="Q2004" s="93">
        <v>46155</v>
      </c>
      <c r="R2004" t="s">
        <v>364</v>
      </c>
      <c r="S2004" t="s">
        <v>997</v>
      </c>
      <c r="T2004" s="14">
        <v>22060.735100000002</v>
      </c>
      <c r="W2004" s="20">
        <v>46134</v>
      </c>
      <c r="X2004" t="s">
        <v>279</v>
      </c>
      <c r="Y2004" s="23">
        <v>8.3384615384615408</v>
      </c>
      <c r="Z2004" s="23">
        <v>7.8538461538461499</v>
      </c>
      <c r="AA2004" s="23">
        <v>8.0961538461538503</v>
      </c>
    </row>
    <row r="2005" spans="17:27" x14ac:dyDescent="0.3">
      <c r="Q2005" s="93">
        <v>46155</v>
      </c>
      <c r="R2005" t="s">
        <v>496</v>
      </c>
      <c r="S2005" t="s">
        <v>997</v>
      </c>
      <c r="T2005" s="14">
        <v>23060.735100000002</v>
      </c>
      <c r="W2005" s="20">
        <v>46134</v>
      </c>
      <c r="X2005" t="s">
        <v>280</v>
      </c>
      <c r="Y2005" s="23">
        <v>8.3692307692307697</v>
      </c>
      <c r="Z2005" s="23">
        <v>7.8846153846153797</v>
      </c>
      <c r="AA2005" s="23">
        <v>8.1269230769230791</v>
      </c>
    </row>
    <row r="2006" spans="17:27" x14ac:dyDescent="0.3">
      <c r="Q2006" s="93">
        <v>46154</v>
      </c>
      <c r="R2006" t="s">
        <v>479</v>
      </c>
      <c r="S2006" t="s">
        <v>399</v>
      </c>
      <c r="T2006" s="14">
        <v>14197.6106</v>
      </c>
      <c r="W2006" s="20">
        <v>46135</v>
      </c>
      <c r="X2006" t="s">
        <v>270</v>
      </c>
      <c r="Y2006" s="23">
        <v>7.8833333333333302</v>
      </c>
      <c r="Z2006" s="23">
        <v>7.5250000000000004</v>
      </c>
      <c r="AA2006" s="23">
        <v>7.7041666666666702</v>
      </c>
    </row>
    <row r="2007" spans="17:27" x14ac:dyDescent="0.3">
      <c r="Q2007" s="93">
        <v>46154</v>
      </c>
      <c r="R2007" t="s">
        <v>364</v>
      </c>
      <c r="S2007" t="s">
        <v>399</v>
      </c>
      <c r="T2007" s="14">
        <v>19103.983700000001</v>
      </c>
      <c r="W2007" s="20">
        <v>46135</v>
      </c>
      <c r="X2007" t="s">
        <v>271</v>
      </c>
      <c r="Y2007" s="23">
        <v>7.8250000000000002</v>
      </c>
      <c r="Z2007" s="23">
        <v>7.45</v>
      </c>
      <c r="AA2007" s="23">
        <v>7.6375000000000002</v>
      </c>
    </row>
    <row r="2008" spans="17:27" x14ac:dyDescent="0.3">
      <c r="Q2008" s="93">
        <v>46154</v>
      </c>
      <c r="R2008" t="s">
        <v>491</v>
      </c>
      <c r="S2008" t="s">
        <v>399</v>
      </c>
      <c r="T2008" s="14">
        <v>397.61059999999998</v>
      </c>
      <c r="W2008" s="20">
        <v>46135</v>
      </c>
      <c r="X2008" t="s">
        <v>272</v>
      </c>
      <c r="Y2008" s="23">
        <v>8.0250000000000004</v>
      </c>
      <c r="Z2008" s="23">
        <v>7.5250000000000004</v>
      </c>
      <c r="AA2008" s="23">
        <v>7.7750000000000004</v>
      </c>
    </row>
    <row r="2009" spans="17:27" x14ac:dyDescent="0.3">
      <c r="Q2009" s="93">
        <v>46154</v>
      </c>
      <c r="R2009" t="s">
        <v>492</v>
      </c>
      <c r="S2009" t="s">
        <v>399</v>
      </c>
      <c r="T2009" s="14">
        <v>13800</v>
      </c>
      <c r="W2009" s="20">
        <v>46135</v>
      </c>
      <c r="X2009" t="s">
        <v>273</v>
      </c>
      <c r="Y2009" s="23">
        <v>8.1307692307692303</v>
      </c>
      <c r="Z2009" s="23">
        <v>7.6615384615384601</v>
      </c>
      <c r="AA2009" s="23">
        <v>7.8961538461538501</v>
      </c>
    </row>
    <row r="2010" spans="17:27" x14ac:dyDescent="0.3">
      <c r="Q2010" s="93">
        <v>46154</v>
      </c>
      <c r="R2010" t="s">
        <v>496</v>
      </c>
      <c r="S2010" t="s">
        <v>399</v>
      </c>
      <c r="T2010" s="14">
        <v>19105.983700000001</v>
      </c>
      <c r="W2010" s="20">
        <v>46135</v>
      </c>
      <c r="X2010" t="s">
        <v>274</v>
      </c>
      <c r="Y2010" s="23">
        <v>8.1538461538461497</v>
      </c>
      <c r="Z2010" s="23">
        <v>7.6846153846153804</v>
      </c>
      <c r="AA2010" s="23">
        <v>7.9192307692307704</v>
      </c>
    </row>
    <row r="2011" spans="17:27" x14ac:dyDescent="0.3">
      <c r="Q2011" s="93">
        <v>46154</v>
      </c>
      <c r="R2011" t="s">
        <v>497</v>
      </c>
      <c r="S2011" t="s">
        <v>399</v>
      </c>
      <c r="T2011" s="14">
        <v>397.61059999999998</v>
      </c>
      <c r="W2011" s="20">
        <v>46135</v>
      </c>
      <c r="X2011" t="s">
        <v>275</v>
      </c>
      <c r="Y2011" s="23">
        <v>8.1730769230769198</v>
      </c>
      <c r="Z2011" s="23">
        <v>7.7038461538461496</v>
      </c>
      <c r="AA2011" s="23">
        <v>7.9384615384615396</v>
      </c>
    </row>
    <row r="2012" spans="17:27" x14ac:dyDescent="0.3">
      <c r="Q2012" s="93">
        <v>46154</v>
      </c>
      <c r="R2012" t="s">
        <v>498</v>
      </c>
      <c r="S2012" t="s">
        <v>399</v>
      </c>
      <c r="T2012" s="14">
        <v>12800</v>
      </c>
      <c r="W2012" s="20">
        <v>46135</v>
      </c>
      <c r="X2012" t="s">
        <v>276</v>
      </c>
      <c r="Y2012" s="23">
        <v>8.2115384615384599</v>
      </c>
      <c r="Z2012" s="23">
        <v>7.7346153846153802</v>
      </c>
      <c r="AA2012" s="23">
        <v>7.9730769230769196</v>
      </c>
    </row>
    <row r="2013" spans="17:27" x14ac:dyDescent="0.3">
      <c r="Q2013" s="93">
        <v>46154</v>
      </c>
      <c r="R2013" t="s">
        <v>494</v>
      </c>
      <c r="S2013" t="s">
        <v>399</v>
      </c>
      <c r="T2013" s="14">
        <v>0</v>
      </c>
      <c r="W2013" s="20">
        <v>46135</v>
      </c>
      <c r="X2013" t="s">
        <v>277</v>
      </c>
      <c r="Y2013" s="23">
        <v>8.2769230769230795</v>
      </c>
      <c r="Z2013" s="23">
        <v>7.8</v>
      </c>
      <c r="AA2013" s="23">
        <v>8.0384615384615401</v>
      </c>
    </row>
    <row r="2014" spans="17:27" x14ac:dyDescent="0.3">
      <c r="Q2014" s="93">
        <v>46154</v>
      </c>
      <c r="R2014" t="s">
        <v>495</v>
      </c>
      <c r="S2014" t="s">
        <v>399</v>
      </c>
      <c r="T2014" s="14">
        <v>0</v>
      </c>
      <c r="W2014" s="20">
        <v>46135</v>
      </c>
      <c r="X2014" t="s">
        <v>278</v>
      </c>
      <c r="Y2014" s="23">
        <v>8.2923076923076895</v>
      </c>
      <c r="Z2014" s="23">
        <v>7.8153846153846098</v>
      </c>
      <c r="AA2014" s="23">
        <v>8.0538461538461501</v>
      </c>
    </row>
    <row r="2015" spans="17:27" x14ac:dyDescent="0.3">
      <c r="Q2015" s="93">
        <v>46154</v>
      </c>
      <c r="R2015" t="s">
        <v>493</v>
      </c>
      <c r="S2015" t="s">
        <v>399</v>
      </c>
      <c r="T2015" s="14">
        <v>0</v>
      </c>
      <c r="W2015" s="20">
        <v>46135</v>
      </c>
      <c r="X2015" t="s">
        <v>279</v>
      </c>
      <c r="Y2015" s="23">
        <v>8.3307692307692296</v>
      </c>
      <c r="Z2015" s="23">
        <v>7.8538461538461499</v>
      </c>
      <c r="AA2015" s="23">
        <v>8.0923076923076902</v>
      </c>
    </row>
    <row r="2016" spans="17:27" x14ac:dyDescent="0.3">
      <c r="Q2016" s="93">
        <v>46154</v>
      </c>
      <c r="R2016" t="s">
        <v>593</v>
      </c>
      <c r="S2016" t="s">
        <v>399</v>
      </c>
      <c r="T2016" s="14">
        <v>-2</v>
      </c>
      <c r="W2016" s="20">
        <v>46135</v>
      </c>
      <c r="X2016" t="s">
        <v>280</v>
      </c>
      <c r="Y2016" s="23">
        <v>8.3615384615384603</v>
      </c>
      <c r="Z2016" s="23">
        <v>7.8846153846153797</v>
      </c>
      <c r="AA2016" s="23">
        <v>8.1230769230769209</v>
      </c>
    </row>
    <row r="2017" spans="17:27" x14ac:dyDescent="0.3">
      <c r="Q2017" s="93">
        <v>46154</v>
      </c>
      <c r="R2017" t="s">
        <v>594</v>
      </c>
      <c r="S2017" t="s">
        <v>399</v>
      </c>
      <c r="T2017" s="14">
        <v>0</v>
      </c>
      <c r="W2017" s="20">
        <v>46135</v>
      </c>
      <c r="X2017" t="s">
        <v>281</v>
      </c>
      <c r="Y2017" s="23">
        <v>8.3769230769230791</v>
      </c>
      <c r="Z2017" s="23">
        <v>7.9</v>
      </c>
      <c r="AA2017" s="23">
        <v>8.1384615384615397</v>
      </c>
    </row>
    <row r="2018" spans="17:27" x14ac:dyDescent="0.3">
      <c r="Q2018" s="93">
        <v>46154</v>
      </c>
      <c r="R2018" t="s">
        <v>595</v>
      </c>
      <c r="S2018" t="s">
        <v>399</v>
      </c>
      <c r="T2018" s="14">
        <v>1000</v>
      </c>
      <c r="W2018" s="20">
        <v>46136</v>
      </c>
      <c r="X2018" t="s">
        <v>270</v>
      </c>
      <c r="Y2018" s="23">
        <v>7.8833333333333302</v>
      </c>
      <c r="Z2018" s="23">
        <v>7.5250000000000004</v>
      </c>
      <c r="AA2018" s="23">
        <v>7.7041666666666702</v>
      </c>
    </row>
    <row r="2019" spans="17:27" x14ac:dyDescent="0.3">
      <c r="Q2019" s="93">
        <v>46154</v>
      </c>
      <c r="R2019" t="s">
        <v>479</v>
      </c>
      <c r="S2019" t="s">
        <v>395</v>
      </c>
      <c r="T2019" s="14">
        <v>11185.9427783019</v>
      </c>
      <c r="W2019" s="20">
        <v>46136</v>
      </c>
      <c r="X2019" t="s">
        <v>271</v>
      </c>
      <c r="Y2019" s="23">
        <v>7.8250000000000002</v>
      </c>
      <c r="Z2019" s="23">
        <v>7.45</v>
      </c>
      <c r="AA2019" s="23">
        <v>7.6375000000000002</v>
      </c>
    </row>
    <row r="2020" spans="17:27" x14ac:dyDescent="0.3">
      <c r="Q2020" s="93">
        <v>46154</v>
      </c>
      <c r="R2020" t="s">
        <v>479</v>
      </c>
      <c r="S2020" t="s">
        <v>415</v>
      </c>
      <c r="T2020" s="14">
        <v>6.9611096207977399</v>
      </c>
      <c r="W2020" s="20">
        <v>46136</v>
      </c>
      <c r="X2020" t="s">
        <v>272</v>
      </c>
      <c r="Y2020" s="23">
        <v>8.0250000000000004</v>
      </c>
      <c r="Z2020" s="23">
        <v>7.5250000000000004</v>
      </c>
      <c r="AA2020" s="23">
        <v>7.7750000000000004</v>
      </c>
    </row>
    <row r="2021" spans="17:27" x14ac:dyDescent="0.3">
      <c r="Q2021" s="93">
        <v>46154</v>
      </c>
      <c r="R2021" t="s">
        <v>364</v>
      </c>
      <c r="S2021" t="s">
        <v>415</v>
      </c>
      <c r="T2021" s="14">
        <v>6.0101104532359901</v>
      </c>
      <c r="W2021" s="20">
        <v>46136</v>
      </c>
      <c r="X2021" t="s">
        <v>273</v>
      </c>
      <c r="Y2021" s="23">
        <v>8.1307692307692303</v>
      </c>
      <c r="Z2021" s="23">
        <v>7.6615384615384601</v>
      </c>
      <c r="AA2021" s="23">
        <v>7.8961538461538501</v>
      </c>
    </row>
    <row r="2022" spans="17:27" x14ac:dyDescent="0.3">
      <c r="Q2022" s="93">
        <v>46154</v>
      </c>
      <c r="R2022" t="s">
        <v>364</v>
      </c>
      <c r="S2022" t="s">
        <v>997</v>
      </c>
      <c r="T2022" s="14">
        <v>24103.983700000001</v>
      </c>
      <c r="W2022" s="20">
        <v>46136</v>
      </c>
      <c r="X2022" t="s">
        <v>274</v>
      </c>
      <c r="Y2022" s="23">
        <v>8.1538461538461497</v>
      </c>
      <c r="Z2022" s="23">
        <v>7.6846153846153804</v>
      </c>
      <c r="AA2022" s="23">
        <v>7.9192307692307704</v>
      </c>
    </row>
    <row r="2023" spans="17:27" x14ac:dyDescent="0.3">
      <c r="Q2023" s="93">
        <v>46154</v>
      </c>
      <c r="R2023" t="s">
        <v>496</v>
      </c>
      <c r="S2023" t="s">
        <v>997</v>
      </c>
      <c r="T2023" s="14">
        <v>24105.983700000001</v>
      </c>
      <c r="W2023" s="20">
        <v>46136</v>
      </c>
      <c r="X2023" t="s">
        <v>275</v>
      </c>
      <c r="Y2023" s="23">
        <v>8.1730769230769198</v>
      </c>
      <c r="Z2023" s="23">
        <v>7.7038461538461496</v>
      </c>
      <c r="AA2023" s="23">
        <v>7.9384615384615396</v>
      </c>
    </row>
    <row r="2024" spans="17:27" x14ac:dyDescent="0.3">
      <c r="Q2024" s="93">
        <v>46153</v>
      </c>
      <c r="R2024" t="s">
        <v>479</v>
      </c>
      <c r="S2024" t="s">
        <v>399</v>
      </c>
      <c r="T2024" s="14">
        <v>13197.6106</v>
      </c>
      <c r="W2024" s="20">
        <v>46136</v>
      </c>
      <c r="X2024" t="s">
        <v>276</v>
      </c>
      <c r="Y2024" s="23">
        <v>8.2115384615384599</v>
      </c>
      <c r="Z2024" s="23">
        <v>7.7346153846153802</v>
      </c>
      <c r="AA2024" s="23">
        <v>7.9730769230769196</v>
      </c>
    </row>
    <row r="2025" spans="17:27" x14ac:dyDescent="0.3">
      <c r="Q2025" s="93">
        <v>46153</v>
      </c>
      <c r="R2025" t="s">
        <v>364</v>
      </c>
      <c r="S2025" t="s">
        <v>399</v>
      </c>
      <c r="T2025" s="14">
        <v>16703.983700000001</v>
      </c>
      <c r="W2025" s="20">
        <v>46136</v>
      </c>
      <c r="X2025" t="s">
        <v>277</v>
      </c>
      <c r="Y2025" s="23">
        <v>8.2769230769230795</v>
      </c>
      <c r="Z2025" s="23">
        <v>7.8</v>
      </c>
      <c r="AA2025" s="23">
        <v>8.0384615384615401</v>
      </c>
    </row>
    <row r="2026" spans="17:27" x14ac:dyDescent="0.3">
      <c r="Q2026" s="93">
        <v>46153</v>
      </c>
      <c r="R2026" t="s">
        <v>491</v>
      </c>
      <c r="S2026" t="s">
        <v>399</v>
      </c>
      <c r="T2026" s="14">
        <v>397.61059999999998</v>
      </c>
      <c r="W2026" s="20">
        <v>46136</v>
      </c>
      <c r="X2026" t="s">
        <v>278</v>
      </c>
      <c r="Y2026" s="23">
        <v>8.2923076923076895</v>
      </c>
      <c r="Z2026" s="23">
        <v>7.8153846153846098</v>
      </c>
      <c r="AA2026" s="23">
        <v>8.0538461538461501</v>
      </c>
    </row>
    <row r="2027" spans="17:27" x14ac:dyDescent="0.3">
      <c r="Q2027" s="93">
        <v>46153</v>
      </c>
      <c r="R2027" t="s">
        <v>492</v>
      </c>
      <c r="S2027" t="s">
        <v>399</v>
      </c>
      <c r="T2027" s="14">
        <v>12800</v>
      </c>
      <c r="W2027" s="20">
        <v>46136</v>
      </c>
      <c r="X2027" t="s">
        <v>279</v>
      </c>
      <c r="Y2027" s="23">
        <v>8.3307692307692296</v>
      </c>
      <c r="Z2027" s="23">
        <v>7.8538461538461499</v>
      </c>
      <c r="AA2027" s="23">
        <v>8.0923076923076902</v>
      </c>
    </row>
    <row r="2028" spans="17:27" x14ac:dyDescent="0.3">
      <c r="Q2028" s="93">
        <v>46153</v>
      </c>
      <c r="R2028" t="s">
        <v>496</v>
      </c>
      <c r="S2028" t="s">
        <v>399</v>
      </c>
      <c r="T2028" s="14">
        <v>16805.983700000001</v>
      </c>
      <c r="W2028" s="20">
        <v>46136</v>
      </c>
      <c r="X2028" t="s">
        <v>280</v>
      </c>
      <c r="Y2028" s="23">
        <v>8.3615384615384603</v>
      </c>
      <c r="Z2028" s="23">
        <v>7.8846153846153797</v>
      </c>
      <c r="AA2028" s="23">
        <v>8.1230769230769209</v>
      </c>
    </row>
    <row r="2029" spans="17:27" x14ac:dyDescent="0.3">
      <c r="Q2029" s="93">
        <v>46153</v>
      </c>
      <c r="R2029" t="s">
        <v>497</v>
      </c>
      <c r="S2029" t="s">
        <v>399</v>
      </c>
      <c r="T2029" s="14">
        <v>397.61059999999998</v>
      </c>
      <c r="W2029" s="20">
        <v>46136</v>
      </c>
      <c r="X2029" t="s">
        <v>281</v>
      </c>
      <c r="Y2029" s="23">
        <v>8.3769230769230791</v>
      </c>
      <c r="Z2029" s="23">
        <v>7.9</v>
      </c>
      <c r="AA2029" s="23">
        <v>8.1384615384615397</v>
      </c>
    </row>
    <row r="2030" spans="17:27" x14ac:dyDescent="0.3">
      <c r="Q2030" s="93">
        <v>46153</v>
      </c>
      <c r="R2030" t="s">
        <v>498</v>
      </c>
      <c r="S2030" t="s">
        <v>399</v>
      </c>
      <c r="T2030" s="14">
        <v>12800</v>
      </c>
      <c r="W2030" s="20">
        <v>46140</v>
      </c>
      <c r="X2030" t="s">
        <v>270</v>
      </c>
      <c r="Y2030" s="23">
        <v>7.85</v>
      </c>
      <c r="Z2030" s="23">
        <v>7.4916666666666698</v>
      </c>
      <c r="AA2030" s="23">
        <v>7.6708333333333298</v>
      </c>
    </row>
    <row r="2031" spans="17:27" x14ac:dyDescent="0.3">
      <c r="Q2031" s="93">
        <v>46153</v>
      </c>
      <c r="R2031" t="s">
        <v>494</v>
      </c>
      <c r="S2031" t="s">
        <v>399</v>
      </c>
      <c r="T2031" s="14">
        <v>0</v>
      </c>
      <c r="W2031" s="20">
        <v>46140</v>
      </c>
      <c r="X2031" t="s">
        <v>271</v>
      </c>
      <c r="Y2031" s="23">
        <v>7.86</v>
      </c>
      <c r="Z2031" s="23">
        <v>7.46</v>
      </c>
      <c r="AA2031" s="23">
        <v>7.66</v>
      </c>
    </row>
    <row r="2032" spans="17:27" x14ac:dyDescent="0.3">
      <c r="Q2032" s="93">
        <v>46153</v>
      </c>
      <c r="R2032" t="s">
        <v>495</v>
      </c>
      <c r="S2032" t="s">
        <v>399</v>
      </c>
      <c r="T2032" s="14">
        <v>0</v>
      </c>
      <c r="W2032" s="20">
        <v>46140</v>
      </c>
      <c r="X2032" t="s">
        <v>272</v>
      </c>
      <c r="Y2032" s="23">
        <v>8</v>
      </c>
      <c r="Z2032" s="23">
        <v>7.5</v>
      </c>
      <c r="AA2032" s="23">
        <v>7.75</v>
      </c>
    </row>
    <row r="2033" spans="17:27" x14ac:dyDescent="0.3">
      <c r="Q2033" s="93">
        <v>46153</v>
      </c>
      <c r="R2033" t="s">
        <v>493</v>
      </c>
      <c r="S2033" t="s">
        <v>399</v>
      </c>
      <c r="T2033" s="14">
        <v>0</v>
      </c>
      <c r="W2033" s="20">
        <v>46140</v>
      </c>
      <c r="X2033" t="s">
        <v>273</v>
      </c>
      <c r="Y2033" s="23">
        <v>8.1307692307692303</v>
      </c>
      <c r="Z2033" s="23">
        <v>7.6615384615384601</v>
      </c>
      <c r="AA2033" s="23">
        <v>7.8961538461538501</v>
      </c>
    </row>
    <row r="2034" spans="17:27" x14ac:dyDescent="0.3">
      <c r="Q2034" s="93">
        <v>46153</v>
      </c>
      <c r="R2034" t="s">
        <v>593</v>
      </c>
      <c r="S2034" t="s">
        <v>399</v>
      </c>
      <c r="T2034" s="14">
        <v>-102</v>
      </c>
      <c r="W2034" s="20">
        <v>46140</v>
      </c>
      <c r="X2034" t="s">
        <v>274</v>
      </c>
      <c r="Y2034" s="23">
        <v>8.1538461538461497</v>
      </c>
      <c r="Z2034" s="23">
        <v>7.6846153846153804</v>
      </c>
      <c r="AA2034" s="23">
        <v>7.9192307692307704</v>
      </c>
    </row>
    <row r="2035" spans="17:27" x14ac:dyDescent="0.3">
      <c r="Q2035" s="93">
        <v>46153</v>
      </c>
      <c r="R2035" t="s">
        <v>594</v>
      </c>
      <c r="S2035" t="s">
        <v>399</v>
      </c>
      <c r="T2035" s="14">
        <v>0</v>
      </c>
      <c r="W2035" s="20">
        <v>46140</v>
      </c>
      <c r="X2035" t="s">
        <v>275</v>
      </c>
      <c r="Y2035" s="23">
        <v>8.1730769230769198</v>
      </c>
      <c r="Z2035" s="23">
        <v>7.7038461538461496</v>
      </c>
      <c r="AA2035" s="23">
        <v>7.9384615384615396</v>
      </c>
    </row>
    <row r="2036" spans="17:27" x14ac:dyDescent="0.3">
      <c r="Q2036" s="93">
        <v>46153</v>
      </c>
      <c r="R2036" t="s">
        <v>595</v>
      </c>
      <c r="S2036" t="s">
        <v>399</v>
      </c>
      <c r="T2036" s="14">
        <v>0</v>
      </c>
      <c r="W2036" s="20">
        <v>46140</v>
      </c>
      <c r="X2036" t="s">
        <v>276</v>
      </c>
      <c r="Y2036" s="23">
        <v>8.2115384615384599</v>
      </c>
      <c r="Z2036" s="23">
        <v>7.7346153846153802</v>
      </c>
      <c r="AA2036" s="23">
        <v>7.9730769230769196</v>
      </c>
    </row>
    <row r="2037" spans="17:27" x14ac:dyDescent="0.3">
      <c r="Q2037" s="93">
        <v>46153</v>
      </c>
      <c r="R2037" t="s">
        <v>479</v>
      </c>
      <c r="S2037" t="s">
        <v>395</v>
      </c>
      <c r="T2037" s="14">
        <v>10142.927034300499</v>
      </c>
      <c r="W2037" s="20">
        <v>46140</v>
      </c>
      <c r="X2037" t="s">
        <v>277</v>
      </c>
      <c r="Y2037" s="23">
        <v>8.2692307692307701</v>
      </c>
      <c r="Z2037" s="23">
        <v>7.7923076923076904</v>
      </c>
      <c r="AA2037" s="23">
        <v>8.0307692307692307</v>
      </c>
    </row>
    <row r="2038" spans="17:27" x14ac:dyDescent="0.3">
      <c r="Q2038" s="93">
        <v>46153</v>
      </c>
      <c r="R2038" t="s">
        <v>479</v>
      </c>
      <c r="S2038" t="s">
        <v>415</v>
      </c>
      <c r="T2038" s="14">
        <v>6.8520830384251497</v>
      </c>
      <c r="W2038" s="20">
        <v>46140</v>
      </c>
      <c r="X2038" t="s">
        <v>278</v>
      </c>
      <c r="Y2038" s="23">
        <v>8.2846153846153801</v>
      </c>
      <c r="Z2038" s="23">
        <v>7.8076923076923102</v>
      </c>
      <c r="AA2038" s="23">
        <v>8.0461538461538495</v>
      </c>
    </row>
    <row r="2039" spans="17:27" x14ac:dyDescent="0.3">
      <c r="Q2039" s="93">
        <v>46153</v>
      </c>
      <c r="R2039" t="s">
        <v>364</v>
      </c>
      <c r="S2039" t="s">
        <v>415</v>
      </c>
      <c r="T2039" s="14">
        <v>5.9716818845833997</v>
      </c>
      <c r="W2039" s="20">
        <v>46140</v>
      </c>
      <c r="X2039" t="s">
        <v>279</v>
      </c>
      <c r="Y2039" s="23">
        <v>8.3230769230769202</v>
      </c>
      <c r="Z2039" s="23">
        <v>7.8461538461538396</v>
      </c>
      <c r="AA2039" s="23">
        <v>8.0846153846153808</v>
      </c>
    </row>
    <row r="2040" spans="17:27" x14ac:dyDescent="0.3">
      <c r="Q2040" s="93">
        <v>46153</v>
      </c>
      <c r="R2040" t="s">
        <v>364</v>
      </c>
      <c r="S2040" t="s">
        <v>997</v>
      </c>
      <c r="T2040" s="14">
        <v>20703.983700000001</v>
      </c>
      <c r="W2040" s="20">
        <v>46140</v>
      </c>
      <c r="X2040" t="s">
        <v>280</v>
      </c>
      <c r="Y2040" s="23">
        <v>8.3538461538461508</v>
      </c>
      <c r="Z2040" s="23">
        <v>7.87692307692308</v>
      </c>
      <c r="AA2040" s="23">
        <v>8.1153846153846096</v>
      </c>
    </row>
    <row r="2041" spans="17:27" x14ac:dyDescent="0.3">
      <c r="Q2041" s="93">
        <v>46153</v>
      </c>
      <c r="R2041" t="s">
        <v>496</v>
      </c>
      <c r="S2041" t="s">
        <v>997</v>
      </c>
      <c r="T2041" s="14">
        <v>20805.983700000001</v>
      </c>
      <c r="W2041" s="20">
        <v>46140</v>
      </c>
      <c r="X2041" t="s">
        <v>281</v>
      </c>
      <c r="Y2041" s="23">
        <v>8.3692307692307697</v>
      </c>
      <c r="Z2041" s="23">
        <v>7.89230769230769</v>
      </c>
      <c r="AA2041" s="23">
        <v>8.1307692307692303</v>
      </c>
    </row>
    <row r="2042" spans="17:27" x14ac:dyDescent="0.3">
      <c r="Q2042" s="93">
        <v>46150</v>
      </c>
      <c r="R2042" t="s">
        <v>364</v>
      </c>
      <c r="S2042" t="s">
        <v>997</v>
      </c>
      <c r="T2042" s="14">
        <v>20613.983700000001</v>
      </c>
      <c r="W2042" s="20">
        <v>46141</v>
      </c>
      <c r="X2042" t="s">
        <v>270</v>
      </c>
      <c r="Y2042" s="23">
        <v>7.85</v>
      </c>
      <c r="Z2042" s="23">
        <v>7.4916666666666698</v>
      </c>
      <c r="AA2042" s="23">
        <v>7.6708333333333298</v>
      </c>
    </row>
    <row r="2043" spans="17:27" x14ac:dyDescent="0.3">
      <c r="Q2043" s="93">
        <v>46150</v>
      </c>
      <c r="R2043" t="s">
        <v>496</v>
      </c>
      <c r="S2043" t="s">
        <v>997</v>
      </c>
      <c r="T2043" s="14">
        <v>22115.983700000001</v>
      </c>
      <c r="W2043" s="20">
        <v>46141</v>
      </c>
      <c r="X2043" t="s">
        <v>271</v>
      </c>
      <c r="Y2043" s="23">
        <v>7.86</v>
      </c>
      <c r="Z2043" s="23">
        <v>7.46</v>
      </c>
      <c r="AA2043" s="23">
        <v>7.66</v>
      </c>
    </row>
    <row r="2044" spans="17:27" x14ac:dyDescent="0.3">
      <c r="Q2044" s="93">
        <v>46150</v>
      </c>
      <c r="R2044" t="s">
        <v>479</v>
      </c>
      <c r="S2044" t="s">
        <v>399</v>
      </c>
      <c r="T2044" s="14">
        <v>13197.6106</v>
      </c>
      <c r="W2044" s="20">
        <v>46141</v>
      </c>
      <c r="X2044" t="s">
        <v>272</v>
      </c>
      <c r="Y2044" s="23">
        <v>8</v>
      </c>
      <c r="Z2044" s="23">
        <v>7.5</v>
      </c>
      <c r="AA2044" s="23">
        <v>7.75</v>
      </c>
    </row>
    <row r="2045" spans="17:27" x14ac:dyDescent="0.3">
      <c r="Q2045" s="93">
        <v>46150</v>
      </c>
      <c r="R2045" t="s">
        <v>364</v>
      </c>
      <c r="S2045" t="s">
        <v>399</v>
      </c>
      <c r="T2045" s="14">
        <v>16613.983700000001</v>
      </c>
      <c r="W2045" s="20">
        <v>46141</v>
      </c>
      <c r="X2045" t="s">
        <v>273</v>
      </c>
      <c r="Y2045" s="23">
        <v>8.1307692307692303</v>
      </c>
      <c r="Z2045" s="23">
        <v>7.6615384615384601</v>
      </c>
      <c r="AA2045" s="23">
        <v>7.8961538461538501</v>
      </c>
    </row>
    <row r="2046" spans="17:27" x14ac:dyDescent="0.3">
      <c r="Q2046" s="93">
        <v>46150</v>
      </c>
      <c r="R2046" t="s">
        <v>491</v>
      </c>
      <c r="S2046" t="s">
        <v>399</v>
      </c>
      <c r="T2046" s="14">
        <v>397.61059999999998</v>
      </c>
      <c r="W2046" s="20">
        <v>46141</v>
      </c>
      <c r="X2046" t="s">
        <v>274</v>
      </c>
      <c r="Y2046" s="23">
        <v>8.1538461538461497</v>
      </c>
      <c r="Z2046" s="23">
        <v>7.6846153846153804</v>
      </c>
      <c r="AA2046" s="23">
        <v>7.9192307692307704</v>
      </c>
    </row>
    <row r="2047" spans="17:27" x14ac:dyDescent="0.3">
      <c r="Q2047" s="93">
        <v>46150</v>
      </c>
      <c r="R2047" t="s">
        <v>492</v>
      </c>
      <c r="S2047" t="s">
        <v>399</v>
      </c>
      <c r="T2047" s="14">
        <v>12800</v>
      </c>
      <c r="W2047" s="20">
        <v>46141</v>
      </c>
      <c r="X2047" t="s">
        <v>275</v>
      </c>
      <c r="Y2047" s="23">
        <v>8.1730769230769198</v>
      </c>
      <c r="Z2047" s="23">
        <v>7.7038461538461496</v>
      </c>
      <c r="AA2047" s="23">
        <v>7.9384615384615396</v>
      </c>
    </row>
    <row r="2048" spans="17:27" x14ac:dyDescent="0.3">
      <c r="Q2048" s="93">
        <v>46150</v>
      </c>
      <c r="R2048" t="s">
        <v>496</v>
      </c>
      <c r="S2048" t="s">
        <v>399</v>
      </c>
      <c r="T2048" s="14">
        <v>18115.983700000001</v>
      </c>
      <c r="W2048" s="20">
        <v>46141</v>
      </c>
      <c r="X2048" t="s">
        <v>276</v>
      </c>
      <c r="Y2048" s="23">
        <v>8.2115384615384599</v>
      </c>
      <c r="Z2048" s="23">
        <v>7.7346153846153802</v>
      </c>
      <c r="AA2048" s="23">
        <v>7.9730769230769196</v>
      </c>
    </row>
    <row r="2049" spans="17:27" x14ac:dyDescent="0.3">
      <c r="Q2049" s="93">
        <v>46150</v>
      </c>
      <c r="R2049" t="s">
        <v>497</v>
      </c>
      <c r="S2049" t="s">
        <v>399</v>
      </c>
      <c r="T2049" s="14">
        <v>397.61059999999998</v>
      </c>
      <c r="W2049" s="20">
        <v>46141</v>
      </c>
      <c r="X2049" t="s">
        <v>277</v>
      </c>
      <c r="Y2049" s="23">
        <v>8.2692307692307701</v>
      </c>
      <c r="Z2049" s="23">
        <v>7.7923076923076904</v>
      </c>
      <c r="AA2049" s="23">
        <v>8.0307692307692307</v>
      </c>
    </row>
    <row r="2050" spans="17:27" x14ac:dyDescent="0.3">
      <c r="Q2050" s="93">
        <v>46150</v>
      </c>
      <c r="R2050" t="s">
        <v>498</v>
      </c>
      <c r="S2050" t="s">
        <v>399</v>
      </c>
      <c r="T2050" s="14">
        <v>12800</v>
      </c>
      <c r="W2050" s="20">
        <v>46141</v>
      </c>
      <c r="X2050" t="s">
        <v>278</v>
      </c>
      <c r="Y2050" s="23">
        <v>8.2846153846153801</v>
      </c>
      <c r="Z2050" s="23">
        <v>7.8076923076923102</v>
      </c>
      <c r="AA2050" s="23">
        <v>8.0461538461538495</v>
      </c>
    </row>
    <row r="2051" spans="17:27" x14ac:dyDescent="0.3">
      <c r="Q2051" s="93">
        <v>46150</v>
      </c>
      <c r="R2051" t="s">
        <v>494</v>
      </c>
      <c r="S2051" t="s">
        <v>399</v>
      </c>
      <c r="T2051" s="14">
        <v>0</v>
      </c>
      <c r="W2051" s="20">
        <v>46141</v>
      </c>
      <c r="X2051" t="s">
        <v>279</v>
      </c>
      <c r="Y2051" s="23">
        <v>8.3230769230769202</v>
      </c>
      <c r="Z2051" s="23">
        <v>7.8461538461538396</v>
      </c>
      <c r="AA2051" s="23">
        <v>8.0846153846153808</v>
      </c>
    </row>
    <row r="2052" spans="17:27" x14ac:dyDescent="0.3">
      <c r="Q2052" s="93">
        <v>46150</v>
      </c>
      <c r="R2052" t="s">
        <v>495</v>
      </c>
      <c r="S2052" t="s">
        <v>399</v>
      </c>
      <c r="T2052" s="14">
        <v>0</v>
      </c>
      <c r="W2052" s="20">
        <v>46141</v>
      </c>
      <c r="X2052" t="s">
        <v>280</v>
      </c>
      <c r="Y2052" s="23">
        <v>8.3538461538461508</v>
      </c>
      <c r="Z2052" s="23">
        <v>7.87692307692308</v>
      </c>
      <c r="AA2052" s="23">
        <v>8.1153846153846096</v>
      </c>
    </row>
    <row r="2053" spans="17:27" x14ac:dyDescent="0.3">
      <c r="Q2053" s="93">
        <v>46150</v>
      </c>
      <c r="R2053" t="s">
        <v>493</v>
      </c>
      <c r="S2053" t="s">
        <v>399</v>
      </c>
      <c r="T2053" s="14">
        <v>0</v>
      </c>
      <c r="W2053" s="20">
        <v>46141</v>
      </c>
      <c r="X2053" t="s">
        <v>281</v>
      </c>
      <c r="Y2053" s="23">
        <v>8.3692307692307697</v>
      </c>
      <c r="Z2053" s="23">
        <v>7.89230769230769</v>
      </c>
      <c r="AA2053" s="23">
        <v>8.1307692307692303</v>
      </c>
    </row>
    <row r="2054" spans="17:27" x14ac:dyDescent="0.3">
      <c r="Q2054" s="93">
        <v>46150</v>
      </c>
      <c r="R2054" t="s">
        <v>593</v>
      </c>
      <c r="S2054" t="s">
        <v>399</v>
      </c>
      <c r="T2054" s="14">
        <v>-1502</v>
      </c>
      <c r="W2054" s="20">
        <v>46146</v>
      </c>
      <c r="X2054" t="s">
        <v>270</v>
      </c>
      <c r="Y2054" s="23">
        <v>7.85</v>
      </c>
      <c r="Z2054" s="23">
        <v>7.4916666666666698</v>
      </c>
      <c r="AA2054" s="23">
        <v>7.6708333333333298</v>
      </c>
    </row>
    <row r="2055" spans="17:27" x14ac:dyDescent="0.3">
      <c r="Q2055" s="93">
        <v>46150</v>
      </c>
      <c r="R2055" t="s">
        <v>594</v>
      </c>
      <c r="S2055" t="s">
        <v>399</v>
      </c>
      <c r="T2055" s="14">
        <v>0</v>
      </c>
      <c r="W2055" s="20">
        <v>46146</v>
      </c>
      <c r="X2055" t="s">
        <v>271</v>
      </c>
      <c r="Y2055" s="23">
        <v>7.82</v>
      </c>
      <c r="Z2055" s="23">
        <v>7.42</v>
      </c>
      <c r="AA2055" s="23">
        <v>7.62</v>
      </c>
    </row>
    <row r="2056" spans="17:27" x14ac:dyDescent="0.3">
      <c r="Q2056" s="93">
        <v>46150</v>
      </c>
      <c r="R2056" t="s">
        <v>595</v>
      </c>
      <c r="S2056" t="s">
        <v>399</v>
      </c>
      <c r="T2056" s="14">
        <v>0</v>
      </c>
      <c r="W2056" s="20">
        <v>46146</v>
      </c>
      <c r="X2056" t="s">
        <v>272</v>
      </c>
      <c r="Y2056" s="23">
        <v>8</v>
      </c>
      <c r="Z2056" s="23">
        <v>7.5</v>
      </c>
      <c r="AA2056" s="23">
        <v>7.75</v>
      </c>
    </row>
    <row r="2057" spans="17:27" x14ac:dyDescent="0.3">
      <c r="Q2057" s="93">
        <v>46150</v>
      </c>
      <c r="R2057" t="s">
        <v>479</v>
      </c>
      <c r="S2057" t="s">
        <v>395</v>
      </c>
      <c r="T2057" s="14">
        <v>10145.1439244917</v>
      </c>
      <c r="W2057" s="20">
        <v>46146</v>
      </c>
      <c r="X2057" t="s">
        <v>273</v>
      </c>
      <c r="Y2057" s="23">
        <v>8.1307692307692303</v>
      </c>
      <c r="Z2057" s="23">
        <v>7.6615384615384601</v>
      </c>
      <c r="AA2057" s="23">
        <v>7.8961538461538501</v>
      </c>
    </row>
    <row r="2058" spans="17:27" x14ac:dyDescent="0.3">
      <c r="Q2058" s="93">
        <v>46150</v>
      </c>
      <c r="R2058" t="s">
        <v>479</v>
      </c>
      <c r="S2058" t="s">
        <v>415</v>
      </c>
      <c r="T2058" s="14">
        <v>6.8520830384251497</v>
      </c>
      <c r="W2058" s="20">
        <v>46146</v>
      </c>
      <c r="X2058" t="s">
        <v>274</v>
      </c>
      <c r="Y2058" s="23">
        <v>8.1538461538461497</v>
      </c>
      <c r="Z2058" s="23">
        <v>7.6846153846153804</v>
      </c>
      <c r="AA2058" s="23">
        <v>7.9192307692307704</v>
      </c>
    </row>
    <row r="2059" spans="17:27" x14ac:dyDescent="0.3">
      <c r="Q2059" s="93">
        <v>46150</v>
      </c>
      <c r="R2059" t="s">
        <v>364</v>
      </c>
      <c r="S2059" t="s">
        <v>415</v>
      </c>
      <c r="T2059" s="14">
        <v>5.9333137124461004</v>
      </c>
      <c r="W2059" s="20">
        <v>46146</v>
      </c>
      <c r="X2059" t="s">
        <v>275</v>
      </c>
      <c r="Y2059" s="23">
        <v>8.1730769230769198</v>
      </c>
      <c r="Z2059" s="23">
        <v>7.7038461538461496</v>
      </c>
      <c r="AA2059" s="23">
        <v>7.9384615384615396</v>
      </c>
    </row>
    <row r="2060" spans="17:27" x14ac:dyDescent="0.3">
      <c r="Q2060" s="93">
        <v>46149</v>
      </c>
      <c r="R2060" t="s">
        <v>479</v>
      </c>
      <c r="S2060" t="s">
        <v>399</v>
      </c>
      <c r="T2060" s="14">
        <v>12697.6106</v>
      </c>
      <c r="W2060" s="20">
        <v>46146</v>
      </c>
      <c r="X2060" t="s">
        <v>276</v>
      </c>
      <c r="Y2060" s="23">
        <v>8.2115384615384599</v>
      </c>
      <c r="Z2060" s="23">
        <v>7.7346153846153802</v>
      </c>
      <c r="AA2060" s="23">
        <v>7.9730769230769196</v>
      </c>
    </row>
    <row r="2061" spans="17:27" x14ac:dyDescent="0.3">
      <c r="Q2061" s="93">
        <v>46149</v>
      </c>
      <c r="R2061" t="s">
        <v>364</v>
      </c>
      <c r="S2061" t="s">
        <v>399</v>
      </c>
      <c r="T2061" s="14">
        <v>20326.5677</v>
      </c>
      <c r="W2061" s="20">
        <v>46146</v>
      </c>
      <c r="X2061" t="s">
        <v>277</v>
      </c>
      <c r="Y2061" s="23">
        <v>8.2692307692307701</v>
      </c>
      <c r="Z2061" s="23">
        <v>7.7923076923076904</v>
      </c>
      <c r="AA2061" s="23">
        <v>8.0307692307692307</v>
      </c>
    </row>
    <row r="2062" spans="17:27" x14ac:dyDescent="0.3">
      <c r="Q2062" s="93">
        <v>46149</v>
      </c>
      <c r="R2062" t="s">
        <v>491</v>
      </c>
      <c r="S2062" t="s">
        <v>399</v>
      </c>
      <c r="T2062" s="14">
        <v>397.61059999999998</v>
      </c>
      <c r="W2062" s="20">
        <v>46146</v>
      </c>
      <c r="X2062" t="s">
        <v>278</v>
      </c>
      <c r="Y2062" s="23">
        <v>8.2846153846153801</v>
      </c>
      <c r="Z2062" s="23">
        <v>7.8076923076923102</v>
      </c>
      <c r="AA2062" s="23">
        <v>8.0461538461538495</v>
      </c>
    </row>
    <row r="2063" spans="17:27" x14ac:dyDescent="0.3">
      <c r="Q2063" s="93">
        <v>46149</v>
      </c>
      <c r="R2063" t="s">
        <v>492</v>
      </c>
      <c r="S2063" t="s">
        <v>399</v>
      </c>
      <c r="T2063" s="14">
        <v>12300</v>
      </c>
      <c r="W2063" s="20">
        <v>46146</v>
      </c>
      <c r="X2063" t="s">
        <v>279</v>
      </c>
      <c r="Y2063" s="23">
        <v>8.3230769230769202</v>
      </c>
      <c r="Z2063" s="23">
        <v>7.8461538461538396</v>
      </c>
      <c r="AA2063" s="23">
        <v>8.0846153846153808</v>
      </c>
    </row>
    <row r="2064" spans="17:27" x14ac:dyDescent="0.3">
      <c r="Q2064" s="93">
        <v>46149</v>
      </c>
      <c r="R2064" t="s">
        <v>496</v>
      </c>
      <c r="S2064" t="s">
        <v>399</v>
      </c>
      <c r="T2064" s="14">
        <v>19828.5677</v>
      </c>
      <c r="W2064" s="20">
        <v>46146</v>
      </c>
      <c r="X2064" t="s">
        <v>280</v>
      </c>
      <c r="Y2064" s="23">
        <v>8.3538461538461508</v>
      </c>
      <c r="Z2064" s="23">
        <v>7.87692307692308</v>
      </c>
      <c r="AA2064" s="23">
        <v>8.1153846153846096</v>
      </c>
    </row>
    <row r="2065" spans="17:27" x14ac:dyDescent="0.3">
      <c r="Q2065" s="93">
        <v>46149</v>
      </c>
      <c r="R2065" t="s">
        <v>497</v>
      </c>
      <c r="S2065" t="s">
        <v>399</v>
      </c>
      <c r="T2065" s="14">
        <v>397.61059999999998</v>
      </c>
      <c r="W2065" s="20">
        <v>46146</v>
      </c>
      <c r="X2065" t="s">
        <v>281</v>
      </c>
      <c r="Y2065" s="23">
        <v>8.3692307692307697</v>
      </c>
      <c r="Z2065" s="23">
        <v>7.89230769230769</v>
      </c>
      <c r="AA2065" s="23">
        <v>8.1307692307692303</v>
      </c>
    </row>
    <row r="2066" spans="17:27" x14ac:dyDescent="0.3">
      <c r="Q2066" s="93">
        <v>46149</v>
      </c>
      <c r="R2066" t="s">
        <v>498</v>
      </c>
      <c r="S2066" t="s">
        <v>399</v>
      </c>
      <c r="T2066" s="14">
        <v>12300</v>
      </c>
      <c r="W2066" s="20">
        <v>46147</v>
      </c>
      <c r="X2066" t="s">
        <v>270</v>
      </c>
      <c r="Y2066" s="23">
        <v>7.8333333333333304</v>
      </c>
      <c r="Z2066" s="23">
        <v>7.4749999999999996</v>
      </c>
      <c r="AA2066" s="23">
        <v>7.6541666666666703</v>
      </c>
    </row>
    <row r="2067" spans="17:27" x14ac:dyDescent="0.3">
      <c r="Q2067" s="93">
        <v>46149</v>
      </c>
      <c r="R2067" t="s">
        <v>494</v>
      </c>
      <c r="S2067" t="s">
        <v>399</v>
      </c>
      <c r="T2067" s="14">
        <v>0</v>
      </c>
      <c r="W2067" s="20">
        <v>46147</v>
      </c>
      <c r="X2067" t="s">
        <v>271</v>
      </c>
      <c r="Y2067" s="23">
        <v>7.82</v>
      </c>
      <c r="Z2067" s="23">
        <v>7.42</v>
      </c>
      <c r="AA2067" s="23">
        <v>7.62</v>
      </c>
    </row>
    <row r="2068" spans="17:27" x14ac:dyDescent="0.3">
      <c r="Q2068" s="93">
        <v>46149</v>
      </c>
      <c r="R2068" t="s">
        <v>495</v>
      </c>
      <c r="S2068" t="s">
        <v>399</v>
      </c>
      <c r="T2068" s="14">
        <v>0</v>
      </c>
      <c r="W2068" s="20">
        <v>46147</v>
      </c>
      <c r="X2068" t="s">
        <v>272</v>
      </c>
      <c r="Y2068" s="23">
        <v>8</v>
      </c>
      <c r="Z2068" s="23">
        <v>7.5</v>
      </c>
      <c r="AA2068" s="23">
        <v>7.75</v>
      </c>
    </row>
    <row r="2069" spans="17:27" x14ac:dyDescent="0.3">
      <c r="Q2069" s="93">
        <v>46149</v>
      </c>
      <c r="R2069" t="s">
        <v>493</v>
      </c>
      <c r="S2069" t="s">
        <v>399</v>
      </c>
      <c r="T2069" s="14">
        <v>0</v>
      </c>
      <c r="W2069" s="20">
        <v>46147</v>
      </c>
      <c r="X2069" t="s">
        <v>273</v>
      </c>
      <c r="Y2069" s="23">
        <v>8.1307692307692303</v>
      </c>
      <c r="Z2069" s="23">
        <v>7.6615384615384601</v>
      </c>
      <c r="AA2069" s="23">
        <v>7.8961538461538501</v>
      </c>
    </row>
    <row r="2070" spans="17:27" x14ac:dyDescent="0.3">
      <c r="Q2070" s="93">
        <v>46149</v>
      </c>
      <c r="R2070" t="s">
        <v>593</v>
      </c>
      <c r="S2070" t="s">
        <v>399</v>
      </c>
      <c r="T2070" s="14">
        <v>498</v>
      </c>
      <c r="W2070" s="20">
        <v>46147</v>
      </c>
      <c r="X2070" t="s">
        <v>274</v>
      </c>
      <c r="Y2070" s="23">
        <v>8.1538461538461497</v>
      </c>
      <c r="Z2070" s="23">
        <v>7.6846153846153804</v>
      </c>
      <c r="AA2070" s="23">
        <v>7.9192307692307704</v>
      </c>
    </row>
    <row r="2071" spans="17:27" x14ac:dyDescent="0.3">
      <c r="Q2071" s="93">
        <v>46149</v>
      </c>
      <c r="R2071" t="s">
        <v>594</v>
      </c>
      <c r="S2071" t="s">
        <v>399</v>
      </c>
      <c r="T2071" s="14">
        <v>0</v>
      </c>
      <c r="W2071" s="20">
        <v>46147</v>
      </c>
      <c r="X2071" t="s">
        <v>275</v>
      </c>
      <c r="Y2071" s="23">
        <v>8.1730769230769198</v>
      </c>
      <c r="Z2071" s="23">
        <v>7.7038461538461496</v>
      </c>
      <c r="AA2071" s="23">
        <v>7.9384615384615396</v>
      </c>
    </row>
    <row r="2072" spans="17:27" x14ac:dyDescent="0.3">
      <c r="Q2072" s="93">
        <v>46149</v>
      </c>
      <c r="R2072" t="s">
        <v>595</v>
      </c>
      <c r="S2072" t="s">
        <v>399</v>
      </c>
      <c r="T2072" s="14">
        <v>0</v>
      </c>
      <c r="W2072" s="20">
        <v>46147</v>
      </c>
      <c r="X2072" t="s">
        <v>276</v>
      </c>
      <c r="Y2072" s="23">
        <v>8.2115384615384599</v>
      </c>
      <c r="Z2072" s="23">
        <v>7.7346153846153802</v>
      </c>
      <c r="AA2072" s="23">
        <v>7.9730769230769196</v>
      </c>
    </row>
    <row r="2073" spans="17:27" x14ac:dyDescent="0.3">
      <c r="Q2073" s="93">
        <v>46149</v>
      </c>
      <c r="R2073" t="s">
        <v>479</v>
      </c>
      <c r="S2073" t="s">
        <v>395</v>
      </c>
      <c r="T2073" s="14">
        <v>9627.4585058149405</v>
      </c>
      <c r="W2073" s="20">
        <v>46147</v>
      </c>
      <c r="X2073" t="s">
        <v>277</v>
      </c>
      <c r="Y2073" s="23">
        <v>8.2692307692307701</v>
      </c>
      <c r="Z2073" s="23">
        <v>7.7923076923076904</v>
      </c>
      <c r="AA2073" s="23">
        <v>8.0307692307692307</v>
      </c>
    </row>
    <row r="2074" spans="17:27" x14ac:dyDescent="0.3">
      <c r="Q2074" s="93">
        <v>46149</v>
      </c>
      <c r="R2074" t="s">
        <v>479</v>
      </c>
      <c r="S2074" t="s">
        <v>415</v>
      </c>
      <c r="T2074" s="14">
        <v>6.8935114248975298</v>
      </c>
      <c r="W2074" s="20">
        <v>46147</v>
      </c>
      <c r="X2074" t="s">
        <v>278</v>
      </c>
      <c r="Y2074" s="23">
        <v>8.2846153846153801</v>
      </c>
      <c r="Z2074" s="23">
        <v>7.8076923076923102</v>
      </c>
      <c r="AA2074" s="23">
        <v>8.0461538461538495</v>
      </c>
    </row>
    <row r="2075" spans="17:27" x14ac:dyDescent="0.3">
      <c r="Q2075" s="93">
        <v>46149</v>
      </c>
      <c r="R2075" t="s">
        <v>364</v>
      </c>
      <c r="S2075" t="s">
        <v>415</v>
      </c>
      <c r="T2075" s="14">
        <v>5.9958829884813802</v>
      </c>
      <c r="W2075" s="20">
        <v>46147</v>
      </c>
      <c r="X2075" t="s">
        <v>279</v>
      </c>
      <c r="Y2075" s="23">
        <v>8.3230769230769202</v>
      </c>
      <c r="Z2075" s="23">
        <v>7.8461538461538396</v>
      </c>
      <c r="AA2075" s="23">
        <v>8.0846153846153808</v>
      </c>
    </row>
    <row r="2076" spans="17:27" x14ac:dyDescent="0.3">
      <c r="Q2076" s="93">
        <v>46149</v>
      </c>
      <c r="R2076" t="s">
        <v>364</v>
      </c>
      <c r="S2076" t="s">
        <v>997</v>
      </c>
      <c r="T2076" s="14">
        <v>24326.5677</v>
      </c>
      <c r="W2076" s="20">
        <v>46147</v>
      </c>
      <c r="X2076" t="s">
        <v>280</v>
      </c>
      <c r="Y2076" s="23">
        <v>8.3538461538461508</v>
      </c>
      <c r="Z2076" s="23">
        <v>7.87692307692308</v>
      </c>
      <c r="AA2076" s="23">
        <v>8.1153846153846096</v>
      </c>
    </row>
    <row r="2077" spans="17:27" x14ac:dyDescent="0.3">
      <c r="Q2077" s="93">
        <v>46149</v>
      </c>
      <c r="R2077" t="s">
        <v>496</v>
      </c>
      <c r="S2077" t="s">
        <v>997</v>
      </c>
      <c r="T2077" s="14">
        <v>23828.5677</v>
      </c>
      <c r="W2077" s="20">
        <v>46147</v>
      </c>
      <c r="X2077" t="s">
        <v>281</v>
      </c>
      <c r="Y2077" s="23">
        <v>8.3692307692307697</v>
      </c>
      <c r="Z2077" s="23">
        <v>7.89230769230769</v>
      </c>
      <c r="AA2077" s="23">
        <v>8.1307692307692303</v>
      </c>
    </row>
    <row r="2078" spans="17:27" x14ac:dyDescent="0.3">
      <c r="Q2078" s="93">
        <v>46148</v>
      </c>
      <c r="R2078" t="s">
        <v>479</v>
      </c>
      <c r="S2078" t="s">
        <v>399</v>
      </c>
      <c r="T2078" s="14">
        <v>12697.6106</v>
      </c>
      <c r="W2078" s="20">
        <v>46148</v>
      </c>
      <c r="X2078" t="s">
        <v>270</v>
      </c>
      <c r="Y2078" s="23">
        <v>7.8333333333333304</v>
      </c>
      <c r="Z2078" s="23">
        <v>7.4749999999999996</v>
      </c>
      <c r="AA2078" s="23">
        <v>7.6541666666666703</v>
      </c>
    </row>
    <row r="2079" spans="17:27" x14ac:dyDescent="0.3">
      <c r="Q2079" s="93">
        <v>46148</v>
      </c>
      <c r="R2079" t="s">
        <v>364</v>
      </c>
      <c r="S2079" t="s">
        <v>399</v>
      </c>
      <c r="T2079" s="14">
        <v>18767.158100000001</v>
      </c>
      <c r="W2079" s="20">
        <v>46148</v>
      </c>
      <c r="X2079" t="s">
        <v>271</v>
      </c>
      <c r="Y2079" s="23">
        <v>7.82</v>
      </c>
      <c r="Z2079" s="23">
        <v>7.42</v>
      </c>
      <c r="AA2079" s="23">
        <v>7.62</v>
      </c>
    </row>
    <row r="2080" spans="17:27" x14ac:dyDescent="0.3">
      <c r="Q2080" s="93">
        <v>46148</v>
      </c>
      <c r="R2080" t="s">
        <v>491</v>
      </c>
      <c r="S2080" t="s">
        <v>399</v>
      </c>
      <c r="T2080" s="14">
        <v>397.61059999999998</v>
      </c>
      <c r="W2080" s="20">
        <v>46148</v>
      </c>
      <c r="X2080" t="s">
        <v>272</v>
      </c>
      <c r="Y2080" s="23">
        <v>8</v>
      </c>
      <c r="Z2080" s="23">
        <v>7.5</v>
      </c>
      <c r="AA2080" s="23">
        <v>7.75</v>
      </c>
    </row>
    <row r="2081" spans="17:27" x14ac:dyDescent="0.3">
      <c r="Q2081" s="93">
        <v>46148</v>
      </c>
      <c r="R2081" t="s">
        <v>492</v>
      </c>
      <c r="S2081" t="s">
        <v>399</v>
      </c>
      <c r="T2081" s="14">
        <v>12300</v>
      </c>
      <c r="W2081" s="20">
        <v>46148</v>
      </c>
      <c r="X2081" t="s">
        <v>273</v>
      </c>
      <c r="Y2081" s="23">
        <v>8.1307692307692303</v>
      </c>
      <c r="Z2081" s="23">
        <v>7.6615384615384601</v>
      </c>
      <c r="AA2081" s="23">
        <v>7.8961538461538501</v>
      </c>
    </row>
    <row r="2082" spans="17:27" x14ac:dyDescent="0.3">
      <c r="Q2082" s="93">
        <v>46148</v>
      </c>
      <c r="R2082" t="s">
        <v>496</v>
      </c>
      <c r="S2082" t="s">
        <v>399</v>
      </c>
      <c r="T2082" s="14">
        <v>19114.158100000001</v>
      </c>
      <c r="W2082" s="20">
        <v>46148</v>
      </c>
      <c r="X2082" t="s">
        <v>274</v>
      </c>
      <c r="Y2082" s="23">
        <v>8.1538461538461497</v>
      </c>
      <c r="Z2082" s="23">
        <v>7.6846153846153804</v>
      </c>
      <c r="AA2082" s="23">
        <v>7.9192307692307704</v>
      </c>
    </row>
    <row r="2083" spans="17:27" x14ac:dyDescent="0.3">
      <c r="Q2083" s="93">
        <v>46148</v>
      </c>
      <c r="R2083" t="s">
        <v>497</v>
      </c>
      <c r="S2083" t="s">
        <v>399</v>
      </c>
      <c r="T2083" s="14">
        <v>397.61059999999998</v>
      </c>
      <c r="W2083" s="20">
        <v>46148</v>
      </c>
      <c r="X2083" t="s">
        <v>275</v>
      </c>
      <c r="Y2083" s="23">
        <v>8.1730769230769198</v>
      </c>
      <c r="Z2083" s="23">
        <v>7.7038461538461496</v>
      </c>
      <c r="AA2083" s="23">
        <v>7.9384615384615396</v>
      </c>
    </row>
    <row r="2084" spans="17:27" x14ac:dyDescent="0.3">
      <c r="Q2084" s="93">
        <v>46148</v>
      </c>
      <c r="R2084" t="s">
        <v>498</v>
      </c>
      <c r="S2084" t="s">
        <v>399</v>
      </c>
      <c r="T2084" s="14">
        <v>12300</v>
      </c>
      <c r="W2084" s="20">
        <v>46148</v>
      </c>
      <c r="X2084" t="s">
        <v>276</v>
      </c>
      <c r="Y2084" s="23">
        <v>8.2115384615384599</v>
      </c>
      <c r="Z2084" s="23">
        <v>7.7346153846153802</v>
      </c>
      <c r="AA2084" s="23">
        <v>7.9730769230769196</v>
      </c>
    </row>
    <row r="2085" spans="17:27" x14ac:dyDescent="0.3">
      <c r="Q2085" s="93">
        <v>46148</v>
      </c>
      <c r="R2085" t="s">
        <v>494</v>
      </c>
      <c r="S2085" t="s">
        <v>399</v>
      </c>
      <c r="T2085" s="14">
        <v>0</v>
      </c>
      <c r="W2085" s="20">
        <v>46148</v>
      </c>
      <c r="X2085" t="s">
        <v>277</v>
      </c>
      <c r="Y2085" s="23">
        <v>8.2692307692307701</v>
      </c>
      <c r="Z2085" s="23">
        <v>7.7923076923076904</v>
      </c>
      <c r="AA2085" s="23">
        <v>8.0307692307692307</v>
      </c>
    </row>
    <row r="2086" spans="17:27" x14ac:dyDescent="0.3">
      <c r="Q2086" s="93">
        <v>46148</v>
      </c>
      <c r="R2086" t="s">
        <v>495</v>
      </c>
      <c r="S2086" t="s">
        <v>399</v>
      </c>
      <c r="T2086" s="14">
        <v>0</v>
      </c>
      <c r="W2086" s="20">
        <v>46148</v>
      </c>
      <c r="X2086" t="s">
        <v>278</v>
      </c>
      <c r="Y2086" s="23">
        <v>8.2846153846153801</v>
      </c>
      <c r="Z2086" s="23">
        <v>7.8076923076923102</v>
      </c>
      <c r="AA2086" s="23">
        <v>8.0461538461538495</v>
      </c>
    </row>
    <row r="2087" spans="17:27" x14ac:dyDescent="0.3">
      <c r="Q2087" s="93">
        <v>46148</v>
      </c>
      <c r="R2087" t="s">
        <v>493</v>
      </c>
      <c r="S2087" t="s">
        <v>399</v>
      </c>
      <c r="T2087" s="14">
        <v>0</v>
      </c>
      <c r="W2087" s="20">
        <v>46148</v>
      </c>
      <c r="X2087" t="s">
        <v>279</v>
      </c>
      <c r="Y2087" s="23">
        <v>8.3230769230769202</v>
      </c>
      <c r="Z2087" s="23">
        <v>7.8461538461538396</v>
      </c>
      <c r="AA2087" s="23">
        <v>8.0846153846153808</v>
      </c>
    </row>
    <row r="2088" spans="17:27" x14ac:dyDescent="0.3">
      <c r="Q2088" s="93">
        <v>46148</v>
      </c>
      <c r="R2088" t="s">
        <v>593</v>
      </c>
      <c r="S2088" t="s">
        <v>399</v>
      </c>
      <c r="T2088" s="14">
        <v>-347</v>
      </c>
      <c r="W2088" s="20">
        <v>46148</v>
      </c>
      <c r="X2088" t="s">
        <v>280</v>
      </c>
      <c r="Y2088" s="23">
        <v>8.3538461538461508</v>
      </c>
      <c r="Z2088" s="23">
        <v>7.87692307692308</v>
      </c>
      <c r="AA2088" s="23">
        <v>8.1153846153846096</v>
      </c>
    </row>
    <row r="2089" spans="17:27" x14ac:dyDescent="0.3">
      <c r="Q2089" s="93">
        <v>46148</v>
      </c>
      <c r="R2089" t="s">
        <v>594</v>
      </c>
      <c r="S2089" t="s">
        <v>399</v>
      </c>
      <c r="T2089" s="14">
        <v>0</v>
      </c>
      <c r="W2089" s="20">
        <v>46148</v>
      </c>
      <c r="X2089" t="s">
        <v>281</v>
      </c>
      <c r="Y2089" s="23">
        <v>8.3692307692307697</v>
      </c>
      <c r="Z2089" s="23">
        <v>7.89230769230769</v>
      </c>
      <c r="AA2089" s="23">
        <v>8.1307692307692303</v>
      </c>
    </row>
    <row r="2090" spans="17:27" x14ac:dyDescent="0.3">
      <c r="Q2090" s="93">
        <v>46148</v>
      </c>
      <c r="R2090" t="s">
        <v>595</v>
      </c>
      <c r="S2090" t="s">
        <v>399</v>
      </c>
      <c r="T2090" s="14">
        <v>0</v>
      </c>
      <c r="W2090" s="20">
        <v>46154</v>
      </c>
      <c r="X2090" t="s">
        <v>270</v>
      </c>
      <c r="Y2090" s="23">
        <v>7.8</v>
      </c>
      <c r="Z2090" s="23">
        <v>7.44166666666667</v>
      </c>
      <c r="AA2090" s="23">
        <v>7.62083333333333</v>
      </c>
    </row>
    <row r="2091" spans="17:27" x14ac:dyDescent="0.3">
      <c r="Q2091" s="93">
        <v>46148</v>
      </c>
      <c r="R2091" t="s">
        <v>479</v>
      </c>
      <c r="S2091" t="s">
        <v>395</v>
      </c>
      <c r="T2091" s="14">
        <v>9631.7100846231206</v>
      </c>
      <c r="W2091" s="20">
        <v>46154</v>
      </c>
      <c r="X2091" t="s">
        <v>271</v>
      </c>
      <c r="Y2091" s="23">
        <v>7.8</v>
      </c>
      <c r="Z2091" s="23">
        <v>7.4</v>
      </c>
      <c r="AA2091" s="23">
        <v>7.6</v>
      </c>
    </row>
    <row r="2092" spans="17:27" x14ac:dyDescent="0.3">
      <c r="Q2092" s="93">
        <v>46148</v>
      </c>
      <c r="R2092" t="s">
        <v>479</v>
      </c>
      <c r="S2092" t="s">
        <v>415</v>
      </c>
      <c r="T2092" s="14">
        <v>6.8935114248975298</v>
      </c>
      <c r="W2092" s="20">
        <v>46154</v>
      </c>
      <c r="X2092" t="s">
        <v>272</v>
      </c>
      <c r="Y2092" s="23">
        <v>8</v>
      </c>
      <c r="Z2092" s="23">
        <v>7.5</v>
      </c>
      <c r="AA2092" s="23">
        <v>7.75</v>
      </c>
    </row>
    <row r="2093" spans="17:27" x14ac:dyDescent="0.3">
      <c r="Q2093" s="93">
        <v>46148</v>
      </c>
      <c r="R2093" t="s">
        <v>364</v>
      </c>
      <c r="S2093" t="s">
        <v>415</v>
      </c>
      <c r="T2093" s="14">
        <v>6.0430983874091897</v>
      </c>
      <c r="W2093" s="20">
        <v>46154</v>
      </c>
      <c r="X2093" t="s">
        <v>273</v>
      </c>
      <c r="Y2093" s="23">
        <v>8.1153846153846096</v>
      </c>
      <c r="Z2093" s="23">
        <v>7.6461538461538403</v>
      </c>
      <c r="AA2093" s="23">
        <v>7.8807692307692303</v>
      </c>
    </row>
    <row r="2094" spans="17:27" x14ac:dyDescent="0.3">
      <c r="Q2094" s="93">
        <v>46148</v>
      </c>
      <c r="R2094" t="s">
        <v>364</v>
      </c>
      <c r="S2094" t="s">
        <v>997</v>
      </c>
      <c r="T2094" s="14">
        <v>22767.158100000001</v>
      </c>
      <c r="W2094" s="20">
        <v>46154</v>
      </c>
      <c r="X2094" t="s">
        <v>274</v>
      </c>
      <c r="Y2094" s="23">
        <v>8.1538461538461497</v>
      </c>
      <c r="Z2094" s="23">
        <v>7.6923076923076898</v>
      </c>
      <c r="AA2094" s="23">
        <v>7.9230769230769198</v>
      </c>
    </row>
    <row r="2095" spans="17:27" x14ac:dyDescent="0.3">
      <c r="Q2095" s="93">
        <v>46148</v>
      </c>
      <c r="R2095" t="s">
        <v>496</v>
      </c>
      <c r="S2095" t="s">
        <v>997</v>
      </c>
      <c r="T2095" s="14">
        <v>23114.158100000001</v>
      </c>
      <c r="W2095" s="20">
        <v>46154</v>
      </c>
      <c r="X2095" t="s">
        <v>275</v>
      </c>
      <c r="Y2095" s="23">
        <v>8.1730769230769198</v>
      </c>
      <c r="Z2095" s="23">
        <v>7.7115384615384599</v>
      </c>
      <c r="AA2095" s="23">
        <v>7.9423076923076898</v>
      </c>
    </row>
    <row r="2096" spans="17:27" x14ac:dyDescent="0.3">
      <c r="Q2096" s="93">
        <v>46147</v>
      </c>
      <c r="R2096" t="s">
        <v>479</v>
      </c>
      <c r="S2096" t="s">
        <v>399</v>
      </c>
      <c r="T2096" s="14">
        <v>12697.6106</v>
      </c>
      <c r="W2096" s="20">
        <v>46154</v>
      </c>
      <c r="X2096" t="s">
        <v>276</v>
      </c>
      <c r="Y2096" s="23">
        <v>8.2115384615384599</v>
      </c>
      <c r="Z2096" s="23">
        <v>7.7423076923076897</v>
      </c>
      <c r="AA2096" s="23">
        <v>7.9769230769230797</v>
      </c>
    </row>
    <row r="2097" spans="17:27" x14ac:dyDescent="0.3">
      <c r="Q2097" s="93">
        <v>46147</v>
      </c>
      <c r="R2097" t="s">
        <v>364</v>
      </c>
      <c r="S2097" t="s">
        <v>399</v>
      </c>
      <c r="T2097" s="14">
        <v>19112.158100000001</v>
      </c>
      <c r="W2097" s="20">
        <v>46154</v>
      </c>
      <c r="X2097" t="s">
        <v>277</v>
      </c>
      <c r="Y2097" s="23">
        <v>8.2692307692307701</v>
      </c>
      <c r="Z2097" s="23">
        <v>7.8</v>
      </c>
      <c r="AA2097" s="23">
        <v>8.0346153846153907</v>
      </c>
    </row>
    <row r="2098" spans="17:27" x14ac:dyDescent="0.3">
      <c r="Q2098" s="93">
        <v>46147</v>
      </c>
      <c r="R2098" t="s">
        <v>491</v>
      </c>
      <c r="S2098" t="s">
        <v>399</v>
      </c>
      <c r="T2098" s="14">
        <v>397.61059999999998</v>
      </c>
      <c r="W2098" s="20">
        <v>46154</v>
      </c>
      <c r="X2098" t="s">
        <v>278</v>
      </c>
      <c r="Y2098" s="23">
        <v>8.2846153846153801</v>
      </c>
      <c r="Z2098" s="23">
        <v>7.8153846153846098</v>
      </c>
      <c r="AA2098" s="23">
        <v>8.0500000000000007</v>
      </c>
    </row>
    <row r="2099" spans="17:27" x14ac:dyDescent="0.3">
      <c r="Q2099" s="93">
        <v>46147</v>
      </c>
      <c r="R2099" t="s">
        <v>492</v>
      </c>
      <c r="S2099" t="s">
        <v>399</v>
      </c>
      <c r="T2099" s="14">
        <v>12300</v>
      </c>
      <c r="W2099" s="20">
        <v>46154</v>
      </c>
      <c r="X2099" t="s">
        <v>279</v>
      </c>
      <c r="Y2099" s="23">
        <v>8.3230769230769202</v>
      </c>
      <c r="Z2099" s="23">
        <v>7.8538461538461499</v>
      </c>
      <c r="AA2099" s="23">
        <v>8.0884615384615408</v>
      </c>
    </row>
    <row r="2100" spans="17:27" x14ac:dyDescent="0.3">
      <c r="Q2100" s="93">
        <v>46147</v>
      </c>
      <c r="R2100" t="s">
        <v>496</v>
      </c>
      <c r="S2100" t="s">
        <v>399</v>
      </c>
      <c r="T2100" s="14">
        <v>18244.158100000001</v>
      </c>
      <c r="W2100" s="20">
        <v>46154</v>
      </c>
      <c r="X2100" t="s">
        <v>280</v>
      </c>
      <c r="Y2100" s="23">
        <v>8.3538461538461508</v>
      </c>
      <c r="Z2100" s="23">
        <v>7.8846153846153797</v>
      </c>
      <c r="AA2100" s="23">
        <v>8.1192307692307697</v>
      </c>
    </row>
    <row r="2101" spans="17:27" x14ac:dyDescent="0.3">
      <c r="Q2101" s="93">
        <v>46147</v>
      </c>
      <c r="R2101" t="s">
        <v>497</v>
      </c>
      <c r="S2101" t="s">
        <v>399</v>
      </c>
      <c r="T2101" s="14">
        <v>397.61059999999998</v>
      </c>
      <c r="W2101" s="20">
        <v>46154</v>
      </c>
      <c r="X2101" t="s">
        <v>281</v>
      </c>
      <c r="Y2101" s="23">
        <v>8.3692307692307697</v>
      </c>
      <c r="Z2101" s="23">
        <v>7.9</v>
      </c>
      <c r="AA2101" s="23">
        <v>8.1346153846153904</v>
      </c>
    </row>
    <row r="2102" spans="17:27" x14ac:dyDescent="0.3">
      <c r="Q2102" s="93">
        <v>46147</v>
      </c>
      <c r="R2102" t="s">
        <v>498</v>
      </c>
      <c r="S2102" t="s">
        <v>399</v>
      </c>
      <c r="T2102" s="14">
        <v>12300</v>
      </c>
      <c r="W2102" s="20">
        <v>46155</v>
      </c>
      <c r="X2102" t="s">
        <v>270</v>
      </c>
      <c r="Y2102" s="23">
        <v>7.81666666666667</v>
      </c>
      <c r="Z2102" s="23">
        <v>7.4583333333333304</v>
      </c>
      <c r="AA2102" s="23">
        <v>7.6375000000000002</v>
      </c>
    </row>
    <row r="2103" spans="17:27" x14ac:dyDescent="0.3">
      <c r="Q2103" s="93">
        <v>46147</v>
      </c>
      <c r="R2103" t="s">
        <v>494</v>
      </c>
      <c r="S2103" t="s">
        <v>399</v>
      </c>
      <c r="T2103" s="14">
        <v>0</v>
      </c>
      <c r="W2103" s="20">
        <v>46155</v>
      </c>
      <c r="X2103" t="s">
        <v>271</v>
      </c>
      <c r="Y2103" s="23">
        <v>7.8</v>
      </c>
      <c r="Z2103" s="23">
        <v>7.4</v>
      </c>
      <c r="AA2103" s="23">
        <v>7.6</v>
      </c>
    </row>
    <row r="2104" spans="17:27" x14ac:dyDescent="0.3">
      <c r="Q2104" s="93">
        <v>46147</v>
      </c>
      <c r="R2104" t="s">
        <v>495</v>
      </c>
      <c r="S2104" t="s">
        <v>399</v>
      </c>
      <c r="T2104" s="14">
        <v>0</v>
      </c>
      <c r="W2104" s="20">
        <v>46155</v>
      </c>
      <c r="X2104" t="s">
        <v>272</v>
      </c>
      <c r="Y2104" s="23">
        <v>8</v>
      </c>
      <c r="Z2104" s="23">
        <v>7.5</v>
      </c>
      <c r="AA2104" s="23">
        <v>7.75</v>
      </c>
    </row>
    <row r="2105" spans="17:27" x14ac:dyDescent="0.3">
      <c r="Q2105" s="93">
        <v>46147</v>
      </c>
      <c r="R2105" t="s">
        <v>493</v>
      </c>
      <c r="S2105" t="s">
        <v>399</v>
      </c>
      <c r="T2105" s="14">
        <v>0</v>
      </c>
      <c r="W2105" s="20">
        <v>46155</v>
      </c>
      <c r="X2105" t="s">
        <v>273</v>
      </c>
      <c r="Y2105" s="23">
        <v>8.1153846153846096</v>
      </c>
      <c r="Z2105" s="23">
        <v>7.6461538461538403</v>
      </c>
      <c r="AA2105" s="23">
        <v>7.8807692307692303</v>
      </c>
    </row>
    <row r="2106" spans="17:27" x14ac:dyDescent="0.3">
      <c r="Q2106" s="93">
        <v>46147</v>
      </c>
      <c r="R2106" t="s">
        <v>593</v>
      </c>
      <c r="S2106" t="s">
        <v>399</v>
      </c>
      <c r="T2106" s="14">
        <v>868</v>
      </c>
      <c r="W2106" s="20">
        <v>46155</v>
      </c>
      <c r="X2106" t="s">
        <v>274</v>
      </c>
      <c r="Y2106" s="23">
        <v>8.1538461538461497</v>
      </c>
      <c r="Z2106" s="23">
        <v>7.6923076923076898</v>
      </c>
      <c r="AA2106" s="23">
        <v>7.9230769230769198</v>
      </c>
    </row>
    <row r="2107" spans="17:27" x14ac:dyDescent="0.3">
      <c r="Q2107" s="93">
        <v>46147</v>
      </c>
      <c r="R2107" t="s">
        <v>594</v>
      </c>
      <c r="S2107" t="s">
        <v>399</v>
      </c>
      <c r="T2107" s="14">
        <v>0</v>
      </c>
      <c r="W2107" s="20">
        <v>46155</v>
      </c>
      <c r="X2107" t="s">
        <v>275</v>
      </c>
      <c r="Y2107" s="23">
        <v>8.1730769230769198</v>
      </c>
      <c r="Z2107" s="23">
        <v>7.7115384615384599</v>
      </c>
      <c r="AA2107" s="23">
        <v>7.9423076923076898</v>
      </c>
    </row>
    <row r="2108" spans="17:27" x14ac:dyDescent="0.3">
      <c r="Q2108" s="93">
        <v>46147</v>
      </c>
      <c r="R2108" t="s">
        <v>595</v>
      </c>
      <c r="S2108" t="s">
        <v>399</v>
      </c>
      <c r="T2108" s="14">
        <v>0</v>
      </c>
      <c r="W2108" s="20">
        <v>46155</v>
      </c>
      <c r="X2108" t="s">
        <v>276</v>
      </c>
      <c r="Y2108" s="23">
        <v>8.2115384615384599</v>
      </c>
      <c r="Z2108" s="23">
        <v>7.7423076923076897</v>
      </c>
      <c r="AA2108" s="23">
        <v>7.9769230769230797</v>
      </c>
    </row>
    <row r="2109" spans="17:27" x14ac:dyDescent="0.3">
      <c r="Q2109" s="93">
        <v>46147</v>
      </c>
      <c r="R2109" t="s">
        <v>479</v>
      </c>
      <c r="S2109" t="s">
        <v>395</v>
      </c>
      <c r="T2109" s="14">
        <v>9633.6156369782293</v>
      </c>
      <c r="W2109" s="20">
        <v>46155</v>
      </c>
      <c r="X2109" t="s">
        <v>277</v>
      </c>
      <c r="Y2109" s="23">
        <v>8.2692307692307701</v>
      </c>
      <c r="Z2109" s="23">
        <v>7.8</v>
      </c>
      <c r="AA2109" s="23">
        <v>8.0346153846153907</v>
      </c>
    </row>
    <row r="2110" spans="17:27" x14ac:dyDescent="0.3">
      <c r="Q2110" s="93">
        <v>46147</v>
      </c>
      <c r="R2110" t="s">
        <v>479</v>
      </c>
      <c r="S2110" t="s">
        <v>415</v>
      </c>
      <c r="T2110" s="14">
        <v>6.8935114248975298</v>
      </c>
      <c r="W2110" s="20">
        <v>46155</v>
      </c>
      <c r="X2110" t="s">
        <v>278</v>
      </c>
      <c r="Y2110" s="23">
        <v>8.2846153846153801</v>
      </c>
      <c r="Z2110" s="23">
        <v>7.8153846153846098</v>
      </c>
      <c r="AA2110" s="23">
        <v>8.0500000000000007</v>
      </c>
    </row>
    <row r="2111" spans="17:27" x14ac:dyDescent="0.3">
      <c r="Q2111" s="93">
        <v>46147</v>
      </c>
      <c r="R2111" t="s">
        <v>364</v>
      </c>
      <c r="S2111" t="s">
        <v>415</v>
      </c>
      <c r="T2111" s="14">
        <v>6.0608436388292102</v>
      </c>
      <c r="W2111" s="20">
        <v>46155</v>
      </c>
      <c r="X2111" t="s">
        <v>279</v>
      </c>
      <c r="Y2111" s="23">
        <v>8.3230769230769202</v>
      </c>
      <c r="Z2111" s="23">
        <v>7.8538461538461499</v>
      </c>
      <c r="AA2111" s="23">
        <v>8.0884615384615408</v>
      </c>
    </row>
    <row r="2112" spans="17:27" x14ac:dyDescent="0.3">
      <c r="Q2112" s="93">
        <v>46147</v>
      </c>
      <c r="R2112" t="s">
        <v>364</v>
      </c>
      <c r="S2112" t="s">
        <v>997</v>
      </c>
      <c r="T2112" s="14">
        <v>23112.158100000001</v>
      </c>
      <c r="W2112" s="20">
        <v>46155</v>
      </c>
      <c r="X2112" t="s">
        <v>280</v>
      </c>
      <c r="Y2112" s="23">
        <v>8.3538461538461508</v>
      </c>
      <c r="Z2112" s="23">
        <v>7.8846153846153797</v>
      </c>
      <c r="AA2112" s="23">
        <v>8.1192307692307697</v>
      </c>
    </row>
    <row r="2113" spans="17:27" x14ac:dyDescent="0.3">
      <c r="Q2113" s="93">
        <v>46147</v>
      </c>
      <c r="R2113" t="s">
        <v>496</v>
      </c>
      <c r="S2113" t="s">
        <v>997</v>
      </c>
      <c r="T2113" s="14">
        <v>22244.158100000001</v>
      </c>
      <c r="W2113" s="20">
        <v>46155</v>
      </c>
      <c r="X2113" t="s">
        <v>281</v>
      </c>
      <c r="Y2113" s="23">
        <v>8.3692307692307697</v>
      </c>
      <c r="Z2113" s="23">
        <v>7.9</v>
      </c>
      <c r="AA2113" s="23">
        <v>8.1346153846153904</v>
      </c>
    </row>
    <row r="2114" spans="17:27" x14ac:dyDescent="0.3">
      <c r="Q2114" s="93">
        <v>46146</v>
      </c>
      <c r="R2114" t="s">
        <v>479</v>
      </c>
      <c r="S2114" t="s">
        <v>399</v>
      </c>
      <c r="T2114" s="14">
        <v>12697.6106</v>
      </c>
      <c r="W2114" s="20">
        <v>46156</v>
      </c>
      <c r="X2114" t="s">
        <v>270</v>
      </c>
      <c r="Y2114" s="23">
        <v>7.85</v>
      </c>
      <c r="Z2114" s="23">
        <v>7.4916666666666698</v>
      </c>
      <c r="AA2114" s="23">
        <v>7.6708333333333298</v>
      </c>
    </row>
    <row r="2115" spans="17:27" x14ac:dyDescent="0.3">
      <c r="Q2115" s="93">
        <v>46146</v>
      </c>
      <c r="R2115" t="s">
        <v>364</v>
      </c>
      <c r="S2115" t="s">
        <v>399</v>
      </c>
      <c r="T2115" s="14">
        <v>18014.158100000001</v>
      </c>
      <c r="W2115" s="20">
        <v>46156</v>
      </c>
      <c r="X2115" t="s">
        <v>271</v>
      </c>
      <c r="Y2115" s="23">
        <v>7.78</v>
      </c>
      <c r="Z2115" s="23">
        <v>7.38</v>
      </c>
      <c r="AA2115" s="23">
        <v>7.58</v>
      </c>
    </row>
    <row r="2116" spans="17:27" x14ac:dyDescent="0.3">
      <c r="Q2116" s="93">
        <v>46146</v>
      </c>
      <c r="R2116" t="s">
        <v>491</v>
      </c>
      <c r="S2116" t="s">
        <v>399</v>
      </c>
      <c r="T2116" s="14">
        <v>397.61059999999998</v>
      </c>
      <c r="W2116" s="20">
        <v>46156</v>
      </c>
      <c r="X2116" t="s">
        <v>272</v>
      </c>
      <c r="Y2116" s="23">
        <v>8</v>
      </c>
      <c r="Z2116" s="23">
        <v>7.5</v>
      </c>
      <c r="AA2116" s="23">
        <v>7.75</v>
      </c>
    </row>
    <row r="2117" spans="17:27" x14ac:dyDescent="0.3">
      <c r="Q2117" s="93">
        <v>46146</v>
      </c>
      <c r="R2117" t="s">
        <v>492</v>
      </c>
      <c r="S2117" t="s">
        <v>399</v>
      </c>
      <c r="T2117" s="14">
        <v>12300</v>
      </c>
      <c r="W2117" s="20">
        <v>46156</v>
      </c>
      <c r="X2117" t="s">
        <v>273</v>
      </c>
      <c r="Y2117" s="23">
        <v>8.1153846153846096</v>
      </c>
      <c r="Z2117" s="23">
        <v>7.6461538461538403</v>
      </c>
      <c r="AA2117" s="23">
        <v>7.8807692307692303</v>
      </c>
    </row>
    <row r="2118" spans="17:27" x14ac:dyDescent="0.3">
      <c r="Q2118" s="93">
        <v>46146</v>
      </c>
      <c r="R2118" t="s">
        <v>496</v>
      </c>
      <c r="S2118" t="s">
        <v>399</v>
      </c>
      <c r="T2118" s="14">
        <v>16844.158100000001</v>
      </c>
      <c r="W2118" s="20">
        <v>46156</v>
      </c>
      <c r="X2118" t="s">
        <v>274</v>
      </c>
      <c r="Y2118" s="23">
        <v>8.1538461538461497</v>
      </c>
      <c r="Z2118" s="23">
        <v>7.6923076923076898</v>
      </c>
      <c r="AA2118" s="23">
        <v>7.9230769230769198</v>
      </c>
    </row>
    <row r="2119" spans="17:27" x14ac:dyDescent="0.3">
      <c r="Q2119" s="93">
        <v>46146</v>
      </c>
      <c r="R2119" t="s">
        <v>497</v>
      </c>
      <c r="S2119" t="s">
        <v>399</v>
      </c>
      <c r="T2119" s="14">
        <v>397.61059999999998</v>
      </c>
      <c r="W2119" s="20">
        <v>46156</v>
      </c>
      <c r="X2119" t="s">
        <v>275</v>
      </c>
      <c r="Y2119" s="23">
        <v>8.1730769230769198</v>
      </c>
      <c r="Z2119" s="23">
        <v>7.7115384615384599</v>
      </c>
      <c r="AA2119" s="23">
        <v>7.9423076923076898</v>
      </c>
    </row>
    <row r="2120" spans="17:27" x14ac:dyDescent="0.3">
      <c r="Q2120" s="93">
        <v>46146</v>
      </c>
      <c r="R2120" t="s">
        <v>498</v>
      </c>
      <c r="S2120" t="s">
        <v>399</v>
      </c>
      <c r="T2120" s="14">
        <v>12300</v>
      </c>
      <c r="W2120" s="20">
        <v>46156</v>
      </c>
      <c r="X2120" t="s">
        <v>276</v>
      </c>
      <c r="Y2120" s="23">
        <v>8.2115384615384599</v>
      </c>
      <c r="Z2120" s="23">
        <v>7.7423076923076897</v>
      </c>
      <c r="AA2120" s="23">
        <v>7.9769230769230797</v>
      </c>
    </row>
    <row r="2121" spans="17:27" x14ac:dyDescent="0.3">
      <c r="Q2121" s="93">
        <v>46146</v>
      </c>
      <c r="R2121" t="s">
        <v>494</v>
      </c>
      <c r="S2121" t="s">
        <v>399</v>
      </c>
      <c r="T2121" s="14">
        <v>0</v>
      </c>
      <c r="W2121" s="20">
        <v>46156</v>
      </c>
      <c r="X2121" t="s">
        <v>277</v>
      </c>
      <c r="Y2121" s="23">
        <v>8.2692307692307701</v>
      </c>
      <c r="Z2121" s="23">
        <v>7.8</v>
      </c>
      <c r="AA2121" s="23">
        <v>8.0346153846153907</v>
      </c>
    </row>
    <row r="2122" spans="17:27" x14ac:dyDescent="0.3">
      <c r="Q2122" s="93">
        <v>46146</v>
      </c>
      <c r="R2122" t="s">
        <v>495</v>
      </c>
      <c r="S2122" t="s">
        <v>399</v>
      </c>
      <c r="T2122" s="14">
        <v>0</v>
      </c>
      <c r="W2122" s="20">
        <v>46156</v>
      </c>
      <c r="X2122" t="s">
        <v>278</v>
      </c>
      <c r="Y2122" s="23">
        <v>8.2846153846153801</v>
      </c>
      <c r="Z2122" s="23">
        <v>7.8153846153846098</v>
      </c>
      <c r="AA2122" s="23">
        <v>8.0500000000000007</v>
      </c>
    </row>
    <row r="2123" spans="17:27" x14ac:dyDescent="0.3">
      <c r="Q2123" s="93">
        <v>46146</v>
      </c>
      <c r="R2123" t="s">
        <v>493</v>
      </c>
      <c r="S2123" t="s">
        <v>399</v>
      </c>
      <c r="T2123" s="14">
        <v>0</v>
      </c>
      <c r="W2123" s="20">
        <v>46156</v>
      </c>
      <c r="X2123" t="s">
        <v>279</v>
      </c>
      <c r="Y2123" s="23">
        <v>8.3230769230769202</v>
      </c>
      <c r="Z2123" s="23">
        <v>7.8538461538461499</v>
      </c>
      <c r="AA2123" s="23">
        <v>8.0884615384615408</v>
      </c>
    </row>
    <row r="2124" spans="17:27" x14ac:dyDescent="0.3">
      <c r="Q2124" s="93">
        <v>46146</v>
      </c>
      <c r="R2124" t="s">
        <v>593</v>
      </c>
      <c r="S2124" t="s">
        <v>399</v>
      </c>
      <c r="T2124" s="14">
        <v>1170</v>
      </c>
      <c r="W2124" s="20">
        <v>46156</v>
      </c>
      <c r="X2124" t="s">
        <v>280</v>
      </c>
      <c r="Y2124" s="23">
        <v>8.3538461538461508</v>
      </c>
      <c r="Z2124" s="23">
        <v>7.8846153846153797</v>
      </c>
      <c r="AA2124" s="23">
        <v>8.1192307692307697</v>
      </c>
    </row>
    <row r="2125" spans="17:27" x14ac:dyDescent="0.3">
      <c r="Q2125" s="93">
        <v>46146</v>
      </c>
      <c r="R2125" t="s">
        <v>594</v>
      </c>
      <c r="S2125" t="s">
        <v>399</v>
      </c>
      <c r="T2125" s="14">
        <v>0</v>
      </c>
      <c r="W2125" s="20">
        <v>46156</v>
      </c>
      <c r="X2125" t="s">
        <v>281</v>
      </c>
      <c r="Y2125" s="23">
        <v>8.3692307692307697</v>
      </c>
      <c r="Z2125" s="23">
        <v>7.9</v>
      </c>
      <c r="AA2125" s="23">
        <v>8.1346153846153904</v>
      </c>
    </row>
    <row r="2126" spans="17:27" x14ac:dyDescent="0.3">
      <c r="Q2126" s="93">
        <v>46146</v>
      </c>
      <c r="R2126" t="s">
        <v>595</v>
      </c>
      <c r="S2126" t="s">
        <v>399</v>
      </c>
      <c r="T2126" s="14">
        <v>0</v>
      </c>
      <c r="W2126" s="20">
        <v>46157</v>
      </c>
      <c r="X2126" t="s">
        <v>270</v>
      </c>
      <c r="Y2126" s="23">
        <v>7.88</v>
      </c>
      <c r="Z2126" s="23">
        <v>7.47</v>
      </c>
      <c r="AA2126" s="23">
        <v>7.6749999999999998</v>
      </c>
    </row>
    <row r="2127" spans="17:27" x14ac:dyDescent="0.3">
      <c r="Q2127" s="93">
        <v>46146</v>
      </c>
      <c r="R2127" t="s">
        <v>479</v>
      </c>
      <c r="S2127" t="s">
        <v>395</v>
      </c>
      <c r="T2127" s="14">
        <v>9633.8375476748206</v>
      </c>
      <c r="W2127" s="20">
        <v>46157</v>
      </c>
      <c r="X2127" t="s">
        <v>271</v>
      </c>
      <c r="Y2127" s="23">
        <v>7.8</v>
      </c>
      <c r="Z2127" s="23">
        <v>7.45</v>
      </c>
      <c r="AA2127" s="23">
        <v>7.625</v>
      </c>
    </row>
    <row r="2128" spans="17:27" x14ac:dyDescent="0.3">
      <c r="Q2128" s="93">
        <v>46146</v>
      </c>
      <c r="R2128" t="s">
        <v>479</v>
      </c>
      <c r="S2128" t="s">
        <v>415</v>
      </c>
      <c r="T2128" s="14">
        <v>6.8935114248975298</v>
      </c>
      <c r="W2128" s="20">
        <v>46157</v>
      </c>
      <c r="X2128" t="s">
        <v>272</v>
      </c>
      <c r="Y2128" s="23">
        <v>8</v>
      </c>
      <c r="Z2128" s="23">
        <v>7.5</v>
      </c>
      <c r="AA2128" s="23">
        <v>7.75</v>
      </c>
    </row>
    <row r="2129" spans="17:27" x14ac:dyDescent="0.3">
      <c r="Q2129" s="93">
        <v>46146</v>
      </c>
      <c r="R2129" t="s">
        <v>364</v>
      </c>
      <c r="S2129" t="s">
        <v>415</v>
      </c>
      <c r="T2129" s="14">
        <v>6.08949821251624</v>
      </c>
      <c r="W2129" s="20">
        <v>46157</v>
      </c>
      <c r="X2129" t="s">
        <v>273</v>
      </c>
      <c r="Y2129" s="23">
        <v>8.1</v>
      </c>
      <c r="Z2129" s="23">
        <v>7.6307692307692303</v>
      </c>
      <c r="AA2129" s="23">
        <v>7.8653846153846203</v>
      </c>
    </row>
    <row r="2130" spans="17:27" x14ac:dyDescent="0.3">
      <c r="Q2130" s="93">
        <v>46146</v>
      </c>
      <c r="R2130" t="s">
        <v>364</v>
      </c>
      <c r="S2130" t="s">
        <v>997</v>
      </c>
      <c r="T2130" s="14">
        <v>22014.158100000001</v>
      </c>
      <c r="W2130" s="20">
        <v>46157</v>
      </c>
      <c r="X2130" t="s">
        <v>274</v>
      </c>
      <c r="Y2130" s="23">
        <v>8.1307692307692303</v>
      </c>
      <c r="Z2130" s="23">
        <v>7.6692307692307704</v>
      </c>
      <c r="AA2130" s="23">
        <v>7.9</v>
      </c>
    </row>
    <row r="2131" spans="17:27" x14ac:dyDescent="0.3">
      <c r="Q2131" s="93">
        <v>46146</v>
      </c>
      <c r="R2131" t="s">
        <v>496</v>
      </c>
      <c r="S2131" t="s">
        <v>997</v>
      </c>
      <c r="T2131" s="14">
        <v>20844.158100000001</v>
      </c>
      <c r="W2131" s="20">
        <v>46157</v>
      </c>
      <c r="X2131" t="s">
        <v>275</v>
      </c>
      <c r="Y2131" s="23">
        <v>8.15</v>
      </c>
      <c r="Z2131" s="23">
        <v>7.6884615384615396</v>
      </c>
      <c r="AA2131" s="23">
        <v>7.9192307692307704</v>
      </c>
    </row>
    <row r="2132" spans="17:27" x14ac:dyDescent="0.3">
      <c r="Q2132" s="93">
        <v>46141</v>
      </c>
      <c r="R2132" t="s">
        <v>479</v>
      </c>
      <c r="S2132" t="s">
        <v>399</v>
      </c>
      <c r="T2132" s="14">
        <v>12697.6106</v>
      </c>
      <c r="W2132" s="20">
        <v>46157</v>
      </c>
      <c r="X2132" t="s">
        <v>276</v>
      </c>
      <c r="Y2132" s="23">
        <v>8.1884615384615405</v>
      </c>
      <c r="Z2132" s="23">
        <v>7.7192307692307702</v>
      </c>
      <c r="AA2132" s="23">
        <v>7.9538461538461496</v>
      </c>
    </row>
    <row r="2133" spans="17:27" x14ac:dyDescent="0.3">
      <c r="Q2133" s="93">
        <v>46141</v>
      </c>
      <c r="R2133" t="s">
        <v>364</v>
      </c>
      <c r="S2133" t="s">
        <v>399</v>
      </c>
      <c r="T2133" s="14">
        <v>17971.858100000001</v>
      </c>
      <c r="W2133" s="20">
        <v>46157</v>
      </c>
      <c r="X2133" t="s">
        <v>277</v>
      </c>
      <c r="Y2133" s="23">
        <v>8.2461538461538506</v>
      </c>
      <c r="Z2133" s="23">
        <v>7.7769230769230804</v>
      </c>
      <c r="AA2133" s="23">
        <v>8.0115384615384606</v>
      </c>
    </row>
    <row r="2134" spans="17:27" x14ac:dyDescent="0.3">
      <c r="Q2134" s="93">
        <v>46141</v>
      </c>
      <c r="R2134" t="s">
        <v>491</v>
      </c>
      <c r="S2134" t="s">
        <v>399</v>
      </c>
      <c r="T2134" s="14">
        <v>397.61059999999998</v>
      </c>
      <c r="W2134" s="20">
        <v>46157</v>
      </c>
      <c r="X2134" t="s">
        <v>278</v>
      </c>
      <c r="Y2134" s="23">
        <v>8.2615384615384606</v>
      </c>
      <c r="Z2134" s="23">
        <v>7.7923076923076904</v>
      </c>
      <c r="AA2134" s="23">
        <v>8.0269230769230795</v>
      </c>
    </row>
    <row r="2135" spans="17:27" x14ac:dyDescent="0.3">
      <c r="Q2135" s="93">
        <v>46141</v>
      </c>
      <c r="R2135" t="s">
        <v>492</v>
      </c>
      <c r="S2135" t="s">
        <v>399</v>
      </c>
      <c r="T2135" s="14">
        <v>12300</v>
      </c>
      <c r="W2135" s="20">
        <v>46157</v>
      </c>
      <c r="X2135" t="s">
        <v>279</v>
      </c>
      <c r="Y2135" s="23">
        <v>8.3000000000000007</v>
      </c>
      <c r="Z2135" s="23">
        <v>7.8307692307692296</v>
      </c>
      <c r="AA2135" s="23">
        <v>8.0653846153846196</v>
      </c>
    </row>
    <row r="2136" spans="17:27" x14ac:dyDescent="0.3">
      <c r="Q2136" s="93">
        <v>46141</v>
      </c>
      <c r="R2136" t="s">
        <v>496</v>
      </c>
      <c r="S2136" t="s">
        <v>399</v>
      </c>
      <c r="T2136" s="14">
        <v>16801.858100000001</v>
      </c>
      <c r="W2136" s="20">
        <v>46157</v>
      </c>
      <c r="X2136" t="s">
        <v>280</v>
      </c>
      <c r="Y2136" s="23">
        <v>8.3230769230769202</v>
      </c>
      <c r="Z2136" s="23">
        <v>7.8538461538461499</v>
      </c>
      <c r="AA2136" s="23">
        <v>8.0884615384615408</v>
      </c>
    </row>
    <row r="2137" spans="17:27" x14ac:dyDescent="0.3">
      <c r="Q2137" s="93">
        <v>46141</v>
      </c>
      <c r="R2137" t="s">
        <v>497</v>
      </c>
      <c r="S2137" t="s">
        <v>399</v>
      </c>
      <c r="T2137" s="14">
        <v>397.61059999999998</v>
      </c>
      <c r="W2137" s="20">
        <v>46157</v>
      </c>
      <c r="X2137" t="s">
        <v>281</v>
      </c>
      <c r="Y2137" s="23">
        <v>8.3384615384615408</v>
      </c>
      <c r="Z2137" s="23">
        <v>7.8692307692307697</v>
      </c>
      <c r="AA2137" s="23">
        <v>8.1038461538461508</v>
      </c>
    </row>
    <row r="2138" spans="17:27" x14ac:dyDescent="0.3">
      <c r="Q2138" s="93">
        <v>46141</v>
      </c>
      <c r="R2138" t="s">
        <v>498</v>
      </c>
      <c r="S2138" t="s">
        <v>399</v>
      </c>
      <c r="T2138" s="14">
        <v>12300</v>
      </c>
      <c r="W2138" s="20">
        <v>46161</v>
      </c>
      <c r="X2138" t="s">
        <v>270</v>
      </c>
      <c r="Y2138" s="23">
        <v>7.9</v>
      </c>
      <c r="Z2138" s="23">
        <v>7.49</v>
      </c>
      <c r="AA2138" s="23">
        <v>7.6950000000000003</v>
      </c>
    </row>
    <row r="2139" spans="17:27" x14ac:dyDescent="0.3">
      <c r="Q2139" s="93">
        <v>46141</v>
      </c>
      <c r="R2139" t="s">
        <v>494</v>
      </c>
      <c r="S2139" t="s">
        <v>399</v>
      </c>
      <c r="T2139" s="14">
        <v>0</v>
      </c>
      <c r="W2139" s="20">
        <v>46161</v>
      </c>
      <c r="X2139" t="s">
        <v>271</v>
      </c>
      <c r="Y2139" s="23">
        <v>7.8</v>
      </c>
      <c r="Z2139" s="23">
        <v>7.45</v>
      </c>
      <c r="AA2139" s="23">
        <v>7.625</v>
      </c>
    </row>
    <row r="2140" spans="17:27" x14ac:dyDescent="0.3">
      <c r="Q2140" s="93">
        <v>46141</v>
      </c>
      <c r="R2140" t="s">
        <v>495</v>
      </c>
      <c r="S2140" t="s">
        <v>399</v>
      </c>
      <c r="T2140" s="14">
        <v>0</v>
      </c>
      <c r="W2140" s="20">
        <v>46161</v>
      </c>
      <c r="X2140" t="s">
        <v>272</v>
      </c>
      <c r="Y2140" s="23">
        <v>8</v>
      </c>
      <c r="Z2140" s="23">
        <v>7.5</v>
      </c>
      <c r="AA2140" s="23">
        <v>7.75</v>
      </c>
    </row>
    <row r="2141" spans="17:27" x14ac:dyDescent="0.3">
      <c r="Q2141" s="93">
        <v>46141</v>
      </c>
      <c r="R2141" t="s">
        <v>493</v>
      </c>
      <c r="S2141" t="s">
        <v>399</v>
      </c>
      <c r="T2141" s="14">
        <v>0</v>
      </c>
      <c r="W2141" s="20">
        <v>46161</v>
      </c>
      <c r="X2141" t="s">
        <v>273</v>
      </c>
      <c r="Y2141" s="23">
        <v>8.1153846153846096</v>
      </c>
      <c r="Z2141" s="23">
        <v>7.6461538461538403</v>
      </c>
      <c r="AA2141" s="23">
        <v>7.8807692307692303</v>
      </c>
    </row>
    <row r="2142" spans="17:27" x14ac:dyDescent="0.3">
      <c r="Q2142" s="93">
        <v>46141</v>
      </c>
      <c r="R2142" t="s">
        <v>593</v>
      </c>
      <c r="S2142" t="s">
        <v>399</v>
      </c>
      <c r="T2142" s="14">
        <v>1170</v>
      </c>
      <c r="W2142" s="20">
        <v>46161</v>
      </c>
      <c r="X2142" t="s">
        <v>274</v>
      </c>
      <c r="Y2142" s="23">
        <v>8.1538461538461497</v>
      </c>
      <c r="Z2142" s="23">
        <v>7.6923076923076898</v>
      </c>
      <c r="AA2142" s="23">
        <v>7.9230769230769198</v>
      </c>
    </row>
    <row r="2143" spans="17:27" x14ac:dyDescent="0.3">
      <c r="Q2143" s="93">
        <v>46141</v>
      </c>
      <c r="R2143" t="s">
        <v>594</v>
      </c>
      <c r="S2143" t="s">
        <v>399</v>
      </c>
      <c r="T2143" s="14">
        <v>0</v>
      </c>
      <c r="W2143" s="20">
        <v>46161</v>
      </c>
      <c r="X2143" t="s">
        <v>275</v>
      </c>
      <c r="Y2143" s="23">
        <v>8.1730769230769198</v>
      </c>
      <c r="Z2143" s="23">
        <v>7.7115384615384599</v>
      </c>
      <c r="AA2143" s="23">
        <v>7.9423076923076898</v>
      </c>
    </row>
    <row r="2144" spans="17:27" x14ac:dyDescent="0.3">
      <c r="Q2144" s="93">
        <v>46141</v>
      </c>
      <c r="R2144" t="s">
        <v>595</v>
      </c>
      <c r="S2144" t="s">
        <v>399</v>
      </c>
      <c r="T2144" s="14">
        <v>0</v>
      </c>
      <c r="W2144" s="20">
        <v>46161</v>
      </c>
      <c r="X2144" t="s">
        <v>276</v>
      </c>
      <c r="Y2144" s="23">
        <v>8.2115384615384599</v>
      </c>
      <c r="Z2144" s="23">
        <v>7.7423076923076897</v>
      </c>
      <c r="AA2144" s="23">
        <v>7.9769230769230797</v>
      </c>
    </row>
    <row r="2145" spans="17:27" x14ac:dyDescent="0.3">
      <c r="Q2145" s="93">
        <v>46141</v>
      </c>
      <c r="R2145" t="s">
        <v>479</v>
      </c>
      <c r="S2145" t="s">
        <v>395</v>
      </c>
      <c r="T2145" s="14">
        <v>9639.9101149672206</v>
      </c>
      <c r="W2145" s="20">
        <v>46160</v>
      </c>
      <c r="X2145" t="s">
        <v>270</v>
      </c>
      <c r="Y2145" s="23">
        <v>7.9</v>
      </c>
      <c r="Z2145" s="23">
        <v>7.49</v>
      </c>
      <c r="AA2145" s="23">
        <v>7.6950000000000003</v>
      </c>
    </row>
    <row r="2146" spans="17:27" x14ac:dyDescent="0.3">
      <c r="Q2146" s="93">
        <v>46141</v>
      </c>
      <c r="R2146" t="s">
        <v>479</v>
      </c>
      <c r="S2146" t="s">
        <v>415</v>
      </c>
      <c r="T2146" s="14">
        <v>6.8935114248975298</v>
      </c>
      <c r="W2146" s="20">
        <v>46160</v>
      </c>
      <c r="X2146" t="s">
        <v>271</v>
      </c>
      <c r="Y2146" s="23">
        <v>7.8</v>
      </c>
      <c r="Z2146" s="23">
        <v>7.45</v>
      </c>
      <c r="AA2146" s="23">
        <v>7.625</v>
      </c>
    </row>
    <row r="2147" spans="17:27" x14ac:dyDescent="0.3">
      <c r="Q2147" s="93">
        <v>46141</v>
      </c>
      <c r="R2147" t="s">
        <v>364</v>
      </c>
      <c r="S2147" t="s">
        <v>415</v>
      </c>
      <c r="T2147" s="14">
        <v>6.0915957035058401</v>
      </c>
      <c r="W2147" s="20">
        <v>46160</v>
      </c>
      <c r="X2147" t="s">
        <v>272</v>
      </c>
      <c r="Y2147" s="23">
        <v>8</v>
      </c>
      <c r="Z2147" s="23">
        <v>7.5</v>
      </c>
      <c r="AA2147" s="23">
        <v>7.75</v>
      </c>
    </row>
    <row r="2148" spans="17:27" x14ac:dyDescent="0.3">
      <c r="Q2148" s="93">
        <v>46141</v>
      </c>
      <c r="R2148" t="s">
        <v>364</v>
      </c>
      <c r="S2148" t="s">
        <v>997</v>
      </c>
      <c r="T2148" s="14">
        <v>21971.858100000001</v>
      </c>
      <c r="W2148" s="20">
        <v>46160</v>
      </c>
      <c r="X2148" t="s">
        <v>273</v>
      </c>
      <c r="Y2148" s="23">
        <v>8.1153846153846096</v>
      </c>
      <c r="Z2148" s="23">
        <v>7.6461538461538403</v>
      </c>
      <c r="AA2148" s="23">
        <v>7.8807692307692303</v>
      </c>
    </row>
    <row r="2149" spans="17:27" x14ac:dyDescent="0.3">
      <c r="Q2149" s="93">
        <v>46141</v>
      </c>
      <c r="R2149" t="s">
        <v>496</v>
      </c>
      <c r="S2149" t="s">
        <v>997</v>
      </c>
      <c r="T2149" s="14">
        <v>20801.858100000001</v>
      </c>
      <c r="W2149" s="20">
        <v>46160</v>
      </c>
      <c r="X2149" t="s">
        <v>274</v>
      </c>
      <c r="Y2149" s="23">
        <v>8.1538461538461497</v>
      </c>
      <c r="Z2149" s="23">
        <v>7.6923076923076898</v>
      </c>
      <c r="AA2149" s="23">
        <v>7.9230769230769198</v>
      </c>
    </row>
    <row r="2150" spans="17:27" x14ac:dyDescent="0.3">
      <c r="Q2150" s="93">
        <v>46141</v>
      </c>
      <c r="R2150" t="s">
        <v>303</v>
      </c>
      <c r="S2150" t="s">
        <v>303</v>
      </c>
      <c r="T2150" s="14">
        <v>0</v>
      </c>
      <c r="W2150" s="20">
        <v>46160</v>
      </c>
      <c r="X2150" t="s">
        <v>275</v>
      </c>
      <c r="Y2150" s="23">
        <v>8.1730769230769198</v>
      </c>
      <c r="Z2150" s="23">
        <v>7.7115384615384599</v>
      </c>
      <c r="AA2150" s="23">
        <v>7.9423076923076898</v>
      </c>
    </row>
    <row r="2151" spans="17:27" x14ac:dyDescent="0.3">
      <c r="Q2151" s="93">
        <v>46140</v>
      </c>
      <c r="R2151" t="s">
        <v>479</v>
      </c>
      <c r="S2151" t="s">
        <v>399</v>
      </c>
      <c r="T2151" s="14">
        <v>12697.6106</v>
      </c>
      <c r="W2151" s="20">
        <v>46160</v>
      </c>
      <c r="X2151" t="s">
        <v>276</v>
      </c>
      <c r="Y2151" s="23">
        <v>8.2115384615384599</v>
      </c>
      <c r="Z2151" s="23">
        <v>7.7423076923076897</v>
      </c>
      <c r="AA2151" s="23">
        <v>7.9769230769230797</v>
      </c>
    </row>
    <row r="2152" spans="17:27" x14ac:dyDescent="0.3">
      <c r="Q2152" s="93">
        <v>46140</v>
      </c>
      <c r="R2152" t="s">
        <v>364</v>
      </c>
      <c r="S2152" t="s">
        <v>399</v>
      </c>
      <c r="T2152" s="14">
        <v>17071.858100000001</v>
      </c>
      <c r="W2152" s="20">
        <v>46160</v>
      </c>
      <c r="X2152" t="s">
        <v>277</v>
      </c>
      <c r="Y2152" s="23">
        <v>8.2692307692307701</v>
      </c>
      <c r="Z2152" s="23">
        <v>7.8</v>
      </c>
      <c r="AA2152" s="23">
        <v>8.0346153846153907</v>
      </c>
    </row>
    <row r="2153" spans="17:27" x14ac:dyDescent="0.3">
      <c r="Q2153" s="93">
        <v>46140</v>
      </c>
      <c r="R2153" t="s">
        <v>491</v>
      </c>
      <c r="S2153" t="s">
        <v>399</v>
      </c>
      <c r="T2153" s="14">
        <v>397.61059999999998</v>
      </c>
      <c r="W2153" s="20">
        <v>46160</v>
      </c>
      <c r="X2153" t="s">
        <v>278</v>
      </c>
      <c r="Y2153" s="23">
        <v>8.2846153846153801</v>
      </c>
      <c r="Z2153" s="23">
        <v>7.8153846153846098</v>
      </c>
      <c r="AA2153" s="23">
        <v>8.0500000000000007</v>
      </c>
    </row>
    <row r="2154" spans="17:27" x14ac:dyDescent="0.3">
      <c r="Q2154" s="93">
        <v>46140</v>
      </c>
      <c r="R2154" t="s">
        <v>492</v>
      </c>
      <c r="S2154" t="s">
        <v>399</v>
      </c>
      <c r="T2154" s="14">
        <v>12300</v>
      </c>
      <c r="W2154" s="20">
        <v>46160</v>
      </c>
      <c r="X2154" t="s">
        <v>279</v>
      </c>
      <c r="Y2154" s="23">
        <v>8.3230769230769202</v>
      </c>
      <c r="Z2154" s="23">
        <v>7.8538461538461499</v>
      </c>
      <c r="AA2154" s="23">
        <v>8.0884615384615408</v>
      </c>
    </row>
    <row r="2155" spans="17:27" x14ac:dyDescent="0.3">
      <c r="Q2155" s="93">
        <v>46140</v>
      </c>
      <c r="R2155" t="s">
        <v>496</v>
      </c>
      <c r="S2155" t="s">
        <v>399</v>
      </c>
      <c r="T2155" s="14">
        <v>16901.858100000001</v>
      </c>
      <c r="W2155" s="20">
        <v>46160</v>
      </c>
      <c r="X2155" t="s">
        <v>280</v>
      </c>
      <c r="Y2155" s="23">
        <v>8.3538461538461508</v>
      </c>
      <c r="Z2155" s="23">
        <v>7.8846153846153797</v>
      </c>
      <c r="AA2155" s="23">
        <v>8.1192307692307697</v>
      </c>
    </row>
    <row r="2156" spans="17:27" x14ac:dyDescent="0.3">
      <c r="Q2156" s="93">
        <v>46140</v>
      </c>
      <c r="R2156" t="s">
        <v>497</v>
      </c>
      <c r="S2156" t="s">
        <v>399</v>
      </c>
      <c r="T2156" s="14">
        <v>397.61059999999998</v>
      </c>
      <c r="W2156" s="20">
        <v>46160</v>
      </c>
      <c r="X2156" t="s">
        <v>281</v>
      </c>
      <c r="Y2156" s="23">
        <v>8.3692307692307697</v>
      </c>
      <c r="Z2156" s="23">
        <v>7.9</v>
      </c>
      <c r="AA2156" s="23">
        <v>8.1346153846153904</v>
      </c>
    </row>
    <row r="2157" spans="17:27" x14ac:dyDescent="0.3">
      <c r="Q2157" s="93">
        <v>46140</v>
      </c>
      <c r="R2157" t="s">
        <v>498</v>
      </c>
      <c r="S2157" t="s">
        <v>399</v>
      </c>
      <c r="T2157" s="14">
        <v>12300</v>
      </c>
      <c r="W2157" s="20">
        <v>46259</v>
      </c>
      <c r="X2157" t="s">
        <v>270</v>
      </c>
      <c r="Y2157" s="23">
        <v>7.9285714285714297</v>
      </c>
      <c r="Z2157" s="23">
        <v>7.4285714285714297</v>
      </c>
      <c r="AA2157" s="23">
        <v>7.6785714285714297</v>
      </c>
    </row>
    <row r="2158" spans="17:27" x14ac:dyDescent="0.3">
      <c r="Q2158" s="93">
        <v>46140</v>
      </c>
      <c r="R2158" t="s">
        <v>494</v>
      </c>
      <c r="S2158" t="s">
        <v>399</v>
      </c>
      <c r="T2158" s="14">
        <v>0</v>
      </c>
      <c r="W2158" s="20">
        <v>46259</v>
      </c>
      <c r="X2158" t="s">
        <v>271</v>
      </c>
      <c r="Y2158" s="23">
        <v>8.3333333333333304</v>
      </c>
      <c r="Z2158" s="23">
        <v>8</v>
      </c>
      <c r="AA2158" s="23">
        <v>8.1666666666666607</v>
      </c>
    </row>
    <row r="2159" spans="17:27" x14ac:dyDescent="0.3">
      <c r="Q2159" s="93">
        <v>46140</v>
      </c>
      <c r="R2159" t="s">
        <v>495</v>
      </c>
      <c r="S2159" t="s">
        <v>399</v>
      </c>
      <c r="T2159" s="14">
        <v>0</v>
      </c>
      <c r="W2159" s="20">
        <v>46259</v>
      </c>
      <c r="X2159" t="s">
        <v>272</v>
      </c>
      <c r="Y2159" s="23">
        <v>8.5950000000000006</v>
      </c>
      <c r="Z2159" s="23">
        <v>8.2825000000000006</v>
      </c>
      <c r="AA2159" s="23">
        <v>8.4387500000000006</v>
      </c>
    </row>
    <row r="2160" spans="17:27" x14ac:dyDescent="0.3">
      <c r="Q2160" s="93">
        <v>46140</v>
      </c>
      <c r="R2160" t="s">
        <v>493</v>
      </c>
      <c r="S2160" t="s">
        <v>399</v>
      </c>
      <c r="T2160" s="14">
        <v>0</v>
      </c>
      <c r="W2160" s="20">
        <v>46259</v>
      </c>
      <c r="X2160" t="s">
        <v>273</v>
      </c>
      <c r="Y2160" s="23">
        <v>8.4538461538461505</v>
      </c>
      <c r="Z2160" s="23">
        <v>7.9846153846153802</v>
      </c>
      <c r="AA2160" s="23">
        <v>8.2192307692307693</v>
      </c>
    </row>
    <row r="2161" spans="17:27" x14ac:dyDescent="0.3">
      <c r="Q2161" s="93">
        <v>46140</v>
      </c>
      <c r="R2161" t="s">
        <v>593</v>
      </c>
      <c r="S2161" t="s">
        <v>399</v>
      </c>
      <c r="T2161" s="14">
        <v>170</v>
      </c>
      <c r="W2161" s="20">
        <v>46259</v>
      </c>
      <c r="X2161" t="s">
        <v>274</v>
      </c>
      <c r="Y2161" s="23">
        <v>8.4769230769230806</v>
      </c>
      <c r="Z2161" s="23">
        <v>8</v>
      </c>
      <c r="AA2161" s="23">
        <v>8.2384615384615394</v>
      </c>
    </row>
    <row r="2162" spans="17:27" x14ac:dyDescent="0.3">
      <c r="Q2162" s="93">
        <v>46140</v>
      </c>
      <c r="R2162" t="s">
        <v>594</v>
      </c>
      <c r="S2162" t="s">
        <v>399</v>
      </c>
      <c r="T2162" s="14">
        <v>0</v>
      </c>
      <c r="W2162" s="20">
        <v>46259</v>
      </c>
      <c r="X2162" t="s">
        <v>275</v>
      </c>
      <c r="Y2162" s="23">
        <v>8.5</v>
      </c>
      <c r="Z2162" s="23">
        <v>8.0153846153846207</v>
      </c>
      <c r="AA2162" s="23">
        <v>8.2576923076923094</v>
      </c>
    </row>
    <row r="2163" spans="17:27" x14ac:dyDescent="0.3">
      <c r="Q2163" s="93">
        <v>46140</v>
      </c>
      <c r="R2163" t="s">
        <v>595</v>
      </c>
      <c r="S2163" t="s">
        <v>399</v>
      </c>
      <c r="T2163" s="14">
        <v>0</v>
      </c>
      <c r="W2163" s="20">
        <v>46259</v>
      </c>
      <c r="X2163" t="s">
        <v>276</v>
      </c>
      <c r="Y2163" s="23">
        <v>8.51538461538461</v>
      </c>
      <c r="Z2163" s="23">
        <v>8.0307692307692307</v>
      </c>
      <c r="AA2163" s="23">
        <v>8.2730769230769194</v>
      </c>
    </row>
    <row r="2164" spans="17:27" x14ac:dyDescent="0.3">
      <c r="Q2164" s="93">
        <v>46140</v>
      </c>
      <c r="R2164" t="s">
        <v>479</v>
      </c>
      <c r="S2164" t="s">
        <v>395</v>
      </c>
      <c r="T2164" s="14">
        <v>9642.1491304104002</v>
      </c>
      <c r="W2164" s="20">
        <v>46259</v>
      </c>
      <c r="X2164" t="s">
        <v>277</v>
      </c>
      <c r="Y2164" s="23">
        <v>8.5615384615384595</v>
      </c>
      <c r="Z2164" s="23">
        <v>8.0769230769230802</v>
      </c>
      <c r="AA2164" s="23">
        <v>8.3192307692307708</v>
      </c>
    </row>
    <row r="2165" spans="17:27" x14ac:dyDescent="0.3">
      <c r="Q2165" s="93">
        <v>46140</v>
      </c>
      <c r="R2165" t="s">
        <v>479</v>
      </c>
      <c r="S2165" t="s">
        <v>415</v>
      </c>
      <c r="T2165" s="14">
        <v>6.8935114248975298</v>
      </c>
      <c r="W2165" s="20">
        <v>46259</v>
      </c>
      <c r="X2165" t="s">
        <v>278</v>
      </c>
      <c r="Y2165" s="23">
        <v>8.5846153846153808</v>
      </c>
      <c r="Z2165" s="23">
        <v>8.1</v>
      </c>
      <c r="AA2165" s="23">
        <v>8.3423076923076902</v>
      </c>
    </row>
    <row r="2166" spans="17:27" x14ac:dyDescent="0.3">
      <c r="Q2166" s="93">
        <v>46140</v>
      </c>
      <c r="R2166" t="s">
        <v>364</v>
      </c>
      <c r="S2166" t="s">
        <v>415</v>
      </c>
      <c r="T2166" s="14">
        <v>6.0993043798069202</v>
      </c>
      <c r="W2166" s="20">
        <v>46259</v>
      </c>
      <c r="X2166" t="s">
        <v>279</v>
      </c>
      <c r="Y2166" s="23">
        <v>8.6230769230769209</v>
      </c>
      <c r="Z2166" s="23">
        <v>8.1384615384615397</v>
      </c>
      <c r="AA2166" s="23">
        <v>8.3807692307692303</v>
      </c>
    </row>
    <row r="2167" spans="17:27" x14ac:dyDescent="0.3">
      <c r="Q2167" s="93">
        <v>46140</v>
      </c>
      <c r="R2167" t="s">
        <v>364</v>
      </c>
      <c r="S2167" t="s">
        <v>997</v>
      </c>
      <c r="T2167" s="14">
        <v>21071.858100000001</v>
      </c>
      <c r="W2167" s="20">
        <v>46259</v>
      </c>
      <c r="X2167" t="s">
        <v>280</v>
      </c>
      <c r="Y2167" s="23">
        <v>8.6384615384615397</v>
      </c>
      <c r="Z2167" s="23">
        <v>8.1538461538461497</v>
      </c>
      <c r="AA2167" s="23">
        <v>8.3961538461538492</v>
      </c>
    </row>
    <row r="2168" spans="17:27" x14ac:dyDescent="0.3">
      <c r="Q2168" s="93">
        <v>46140</v>
      </c>
      <c r="R2168" t="s">
        <v>496</v>
      </c>
      <c r="S2168" t="s">
        <v>997</v>
      </c>
      <c r="T2168" s="14">
        <v>20901.858100000001</v>
      </c>
      <c r="W2168" s="20">
        <v>46259</v>
      </c>
      <c r="X2168" t="s">
        <v>281</v>
      </c>
      <c r="Y2168" s="23">
        <v>8.6538461538461497</v>
      </c>
      <c r="Z2168" s="23">
        <v>8.1692307692307704</v>
      </c>
      <c r="AA2168" s="23">
        <v>8.4115384615384592</v>
      </c>
    </row>
    <row r="2169" spans="17:27" x14ac:dyDescent="0.3">
      <c r="Q2169" s="93">
        <v>46136</v>
      </c>
      <c r="R2169" t="s">
        <v>479</v>
      </c>
      <c r="S2169" t="s">
        <v>399</v>
      </c>
      <c r="T2169" s="14">
        <v>12697.6106</v>
      </c>
      <c r="W2169" s="20">
        <v>46260</v>
      </c>
      <c r="X2169" t="s">
        <v>270</v>
      </c>
      <c r="Y2169" s="23">
        <v>7.9285714285714297</v>
      </c>
      <c r="Z2169" s="23">
        <v>7.4285714285714297</v>
      </c>
      <c r="AA2169" s="23">
        <v>7.6785714285714297</v>
      </c>
    </row>
    <row r="2170" spans="17:27" x14ac:dyDescent="0.3">
      <c r="Q2170" s="93">
        <v>46136</v>
      </c>
      <c r="R2170" t="s">
        <v>364</v>
      </c>
      <c r="S2170" t="s">
        <v>399</v>
      </c>
      <c r="T2170" s="14">
        <v>20071.858100000001</v>
      </c>
      <c r="W2170" s="20">
        <v>46260</v>
      </c>
      <c r="X2170" t="s">
        <v>271</v>
      </c>
      <c r="Y2170" s="23">
        <v>8.3333333333333304</v>
      </c>
      <c r="Z2170" s="23">
        <v>8</v>
      </c>
      <c r="AA2170" s="23">
        <v>8.1666666666666607</v>
      </c>
    </row>
    <row r="2171" spans="17:27" x14ac:dyDescent="0.3">
      <c r="Q2171" s="93">
        <v>46136</v>
      </c>
      <c r="R2171" t="s">
        <v>491</v>
      </c>
      <c r="S2171" t="s">
        <v>399</v>
      </c>
      <c r="T2171" s="14">
        <v>397.61059999999998</v>
      </c>
      <c r="W2171" s="20">
        <v>46260</v>
      </c>
      <c r="X2171" t="s">
        <v>272</v>
      </c>
      <c r="Y2171" s="23">
        <v>8.4499999999999993</v>
      </c>
      <c r="Z2171" s="23">
        <v>8.1999999999999993</v>
      </c>
      <c r="AA2171" s="23">
        <v>8.3249999999999993</v>
      </c>
    </row>
    <row r="2172" spans="17:27" x14ac:dyDescent="0.3">
      <c r="Q2172" s="93">
        <v>46136</v>
      </c>
      <c r="R2172" t="s">
        <v>492</v>
      </c>
      <c r="S2172" t="s">
        <v>399</v>
      </c>
      <c r="T2172" s="14">
        <v>12300</v>
      </c>
      <c r="W2172" s="20">
        <v>46260</v>
      </c>
      <c r="X2172" t="s">
        <v>273</v>
      </c>
      <c r="Y2172" s="23">
        <v>8.4538461538461505</v>
      </c>
      <c r="Z2172" s="23">
        <v>7.9846153846153802</v>
      </c>
      <c r="AA2172" s="23">
        <v>8.2192307692307693</v>
      </c>
    </row>
    <row r="2173" spans="17:27" x14ac:dyDescent="0.3">
      <c r="Q2173" s="93">
        <v>46136</v>
      </c>
      <c r="R2173" t="s">
        <v>496</v>
      </c>
      <c r="S2173" t="s">
        <v>399</v>
      </c>
      <c r="T2173" s="14">
        <v>16801.858100000001</v>
      </c>
      <c r="W2173" s="20">
        <v>46260</v>
      </c>
      <c r="X2173" t="s">
        <v>274</v>
      </c>
      <c r="Y2173" s="23">
        <v>8.4769230769230806</v>
      </c>
      <c r="Z2173" s="23">
        <v>8</v>
      </c>
      <c r="AA2173" s="23">
        <v>8.2384615384615394</v>
      </c>
    </row>
    <row r="2174" spans="17:27" x14ac:dyDescent="0.3">
      <c r="Q2174" s="93">
        <v>46136</v>
      </c>
      <c r="R2174" t="s">
        <v>497</v>
      </c>
      <c r="S2174" t="s">
        <v>399</v>
      </c>
      <c r="T2174" s="14">
        <v>397.61059999999998</v>
      </c>
      <c r="W2174" s="20">
        <v>46260</v>
      </c>
      <c r="X2174" t="s">
        <v>275</v>
      </c>
      <c r="Y2174" s="23">
        <v>8.5</v>
      </c>
      <c r="Z2174" s="23">
        <v>8.0153846153846207</v>
      </c>
      <c r="AA2174" s="23">
        <v>8.2576923076923094</v>
      </c>
    </row>
    <row r="2175" spans="17:27" x14ac:dyDescent="0.3">
      <c r="Q2175" s="93">
        <v>46136</v>
      </c>
      <c r="R2175" t="s">
        <v>498</v>
      </c>
      <c r="S2175" t="s">
        <v>399</v>
      </c>
      <c r="T2175" s="14">
        <v>12300</v>
      </c>
      <c r="W2175" s="20">
        <v>46260</v>
      </c>
      <c r="X2175" t="s">
        <v>276</v>
      </c>
      <c r="Y2175" s="23">
        <v>8.51538461538461</v>
      </c>
      <c r="Z2175" s="23">
        <v>8.0307692307692307</v>
      </c>
      <c r="AA2175" s="23">
        <v>8.2730769230769194</v>
      </c>
    </row>
    <row r="2176" spans="17:27" x14ac:dyDescent="0.3">
      <c r="Q2176" s="93">
        <v>46136</v>
      </c>
      <c r="R2176" t="s">
        <v>494</v>
      </c>
      <c r="S2176" t="s">
        <v>399</v>
      </c>
      <c r="T2176" s="14">
        <v>0</v>
      </c>
      <c r="W2176" s="20">
        <v>46260</v>
      </c>
      <c r="X2176" t="s">
        <v>277</v>
      </c>
      <c r="Y2176" s="23">
        <v>8.5615384615384595</v>
      </c>
      <c r="Z2176" s="23">
        <v>8.0769230769230802</v>
      </c>
      <c r="AA2176" s="23">
        <v>8.3192307692307708</v>
      </c>
    </row>
    <row r="2177" spans="17:27" x14ac:dyDescent="0.3">
      <c r="Q2177" s="93">
        <v>46136</v>
      </c>
      <c r="R2177" t="s">
        <v>495</v>
      </c>
      <c r="S2177" t="s">
        <v>399</v>
      </c>
      <c r="T2177" s="14">
        <v>0</v>
      </c>
      <c r="W2177" s="20">
        <v>46260</v>
      </c>
      <c r="X2177" t="s">
        <v>278</v>
      </c>
      <c r="Y2177" s="23">
        <v>8.5846153846153808</v>
      </c>
      <c r="Z2177" s="23">
        <v>8.1</v>
      </c>
      <c r="AA2177" s="23">
        <v>8.3423076923076902</v>
      </c>
    </row>
    <row r="2178" spans="17:27" x14ac:dyDescent="0.3">
      <c r="Q2178" s="93">
        <v>46136</v>
      </c>
      <c r="R2178" t="s">
        <v>493</v>
      </c>
      <c r="S2178" t="s">
        <v>399</v>
      </c>
      <c r="T2178" s="14">
        <v>0</v>
      </c>
      <c r="W2178" s="20">
        <v>46260</v>
      </c>
      <c r="X2178" t="s">
        <v>279</v>
      </c>
      <c r="Y2178" s="23">
        <v>8.6230769230769209</v>
      </c>
      <c r="Z2178" s="23">
        <v>8.1384615384615397</v>
      </c>
      <c r="AA2178" s="23">
        <v>8.3807692307692303</v>
      </c>
    </row>
    <row r="2179" spans="17:27" x14ac:dyDescent="0.3">
      <c r="Q2179" s="93">
        <v>46136</v>
      </c>
      <c r="R2179" t="s">
        <v>593</v>
      </c>
      <c r="S2179" t="s">
        <v>399</v>
      </c>
      <c r="T2179" s="14">
        <v>3270</v>
      </c>
      <c r="W2179" s="20">
        <v>46260</v>
      </c>
      <c r="X2179" t="s">
        <v>280</v>
      </c>
      <c r="Y2179" s="23">
        <v>8.6384615384615397</v>
      </c>
      <c r="Z2179" s="23">
        <v>8.1538461538461497</v>
      </c>
      <c r="AA2179" s="23">
        <v>8.3961538461538492</v>
      </c>
    </row>
    <row r="2180" spans="17:27" x14ac:dyDescent="0.3">
      <c r="Q2180" s="93">
        <v>46136</v>
      </c>
      <c r="R2180" t="s">
        <v>594</v>
      </c>
      <c r="S2180" t="s">
        <v>399</v>
      </c>
      <c r="T2180" s="14">
        <v>0</v>
      </c>
      <c r="W2180" s="20">
        <v>46260</v>
      </c>
      <c r="X2180" t="s">
        <v>281</v>
      </c>
      <c r="Y2180" s="23">
        <v>8.6538461538461497</v>
      </c>
      <c r="Z2180" s="23">
        <v>8.1692307692307704</v>
      </c>
      <c r="AA2180" s="23">
        <v>8.4115384615384592</v>
      </c>
    </row>
    <row r="2181" spans="17:27" x14ac:dyDescent="0.3">
      <c r="Q2181" s="93">
        <v>46136</v>
      </c>
      <c r="R2181" t="s">
        <v>595</v>
      </c>
      <c r="S2181" t="s">
        <v>399</v>
      </c>
      <c r="T2181" s="14">
        <v>0</v>
      </c>
      <c r="W2181" s="20">
        <v>46161</v>
      </c>
      <c r="X2181" t="s">
        <v>277</v>
      </c>
      <c r="Y2181" s="23">
        <v>8.2692307692307701</v>
      </c>
      <c r="Z2181" s="23">
        <v>7.8</v>
      </c>
      <c r="AA2181" s="23">
        <v>8.0346153846153907</v>
      </c>
    </row>
    <row r="2182" spans="17:27" x14ac:dyDescent="0.3">
      <c r="Q2182" s="93">
        <v>46136</v>
      </c>
      <c r="R2182" t="s">
        <v>479</v>
      </c>
      <c r="S2182" t="s">
        <v>395</v>
      </c>
      <c r="T2182" s="14">
        <v>9646.9041119577796</v>
      </c>
      <c r="W2182" s="20">
        <v>46161</v>
      </c>
      <c r="X2182" t="s">
        <v>278</v>
      </c>
      <c r="Y2182" s="23">
        <v>8.2846153846153801</v>
      </c>
      <c r="Z2182" s="23">
        <v>7.8153846153846098</v>
      </c>
      <c r="AA2182" s="23">
        <v>8.0500000000000007</v>
      </c>
    </row>
    <row r="2183" spans="17:27" x14ac:dyDescent="0.3">
      <c r="Q2183" s="93">
        <v>46136</v>
      </c>
      <c r="R2183" t="s">
        <v>479</v>
      </c>
      <c r="S2183" t="s">
        <v>415</v>
      </c>
      <c r="T2183" s="14">
        <v>6.8935114248975298</v>
      </c>
      <c r="W2183" s="20">
        <v>46161</v>
      </c>
      <c r="X2183" t="s">
        <v>279</v>
      </c>
      <c r="Y2183" s="23">
        <v>8.3230769230769202</v>
      </c>
      <c r="Z2183" s="23">
        <v>7.8538461538461499</v>
      </c>
      <c r="AA2183" s="23">
        <v>8.0884615384615408</v>
      </c>
    </row>
    <row r="2184" spans="17:27" x14ac:dyDescent="0.3">
      <c r="Q2184" s="93">
        <v>46136</v>
      </c>
      <c r="R2184" t="s">
        <v>364</v>
      </c>
      <c r="S2184" t="s">
        <v>415</v>
      </c>
      <c r="T2184" s="14">
        <v>6.0974801276350199</v>
      </c>
      <c r="W2184" s="20">
        <v>46161</v>
      </c>
      <c r="X2184" t="s">
        <v>280</v>
      </c>
      <c r="Y2184" s="23">
        <v>8.3538461538461508</v>
      </c>
      <c r="Z2184" s="23">
        <v>7.8846153846153797</v>
      </c>
      <c r="AA2184" s="23">
        <v>8.1192307692307697</v>
      </c>
    </row>
    <row r="2185" spans="17:27" x14ac:dyDescent="0.3">
      <c r="Q2185" s="93">
        <v>46136</v>
      </c>
      <c r="R2185" t="s">
        <v>364</v>
      </c>
      <c r="S2185" t="s">
        <v>997</v>
      </c>
      <c r="T2185" s="14">
        <v>24071.858100000001</v>
      </c>
      <c r="W2185" s="20">
        <v>46161</v>
      </c>
      <c r="X2185" t="s">
        <v>281</v>
      </c>
      <c r="Y2185" s="23">
        <v>8.3692307692307697</v>
      </c>
      <c r="Z2185" s="23">
        <v>7.9</v>
      </c>
      <c r="AA2185" s="23">
        <v>8.1346153846153904</v>
      </c>
    </row>
    <row r="2186" spans="17:27" x14ac:dyDescent="0.3">
      <c r="Q2186" s="93">
        <v>46136</v>
      </c>
      <c r="R2186" t="s">
        <v>496</v>
      </c>
      <c r="S2186" t="s">
        <v>997</v>
      </c>
      <c r="T2186" s="14">
        <v>20801.858100000001</v>
      </c>
      <c r="W2186" s="20">
        <v>46162</v>
      </c>
      <c r="X2186" t="s">
        <v>270</v>
      </c>
      <c r="Y2186" s="23">
        <v>7.8285714285714301</v>
      </c>
      <c r="Z2186" s="23">
        <v>7.45</v>
      </c>
      <c r="AA2186" s="23">
        <v>7.6392857142857196</v>
      </c>
    </row>
    <row r="2187" spans="17:27" x14ac:dyDescent="0.3">
      <c r="Q2187" s="93">
        <v>46135</v>
      </c>
      <c r="R2187" t="s">
        <v>479</v>
      </c>
      <c r="S2187" t="s">
        <v>399</v>
      </c>
      <c r="T2187" s="14">
        <v>12697.6106</v>
      </c>
      <c r="W2187" s="20">
        <v>46162</v>
      </c>
      <c r="X2187" t="s">
        <v>271</v>
      </c>
      <c r="Y2187" s="23">
        <v>7.9</v>
      </c>
      <c r="Z2187" s="23">
        <v>7.5</v>
      </c>
      <c r="AA2187" s="23">
        <v>7.7</v>
      </c>
    </row>
    <row r="2188" spans="17:27" x14ac:dyDescent="0.3">
      <c r="Q2188" s="93">
        <v>46135</v>
      </c>
      <c r="R2188" t="s">
        <v>364</v>
      </c>
      <c r="S2188" t="s">
        <v>399</v>
      </c>
      <c r="T2188" s="14">
        <v>19921.858100000001</v>
      </c>
      <c r="W2188" s="20">
        <v>46162</v>
      </c>
      <c r="X2188" t="s">
        <v>272</v>
      </c>
      <c r="Y2188" s="23">
        <v>8.0230769230769194</v>
      </c>
      <c r="Z2188" s="23">
        <v>7.5692307692307699</v>
      </c>
      <c r="AA2188" s="23">
        <v>7.7961538461538504</v>
      </c>
    </row>
    <row r="2189" spans="17:27" x14ac:dyDescent="0.3">
      <c r="Q2189" s="93">
        <v>46135</v>
      </c>
      <c r="R2189" t="s">
        <v>491</v>
      </c>
      <c r="S2189" t="s">
        <v>399</v>
      </c>
      <c r="T2189" s="14">
        <v>397.61059999999998</v>
      </c>
      <c r="W2189" s="20">
        <v>46162</v>
      </c>
      <c r="X2189" t="s">
        <v>273</v>
      </c>
      <c r="Y2189" s="23">
        <v>8.1153846153846096</v>
      </c>
      <c r="Z2189" s="23">
        <v>7.6461538461538403</v>
      </c>
      <c r="AA2189" s="23">
        <v>7.8807692307692303</v>
      </c>
    </row>
    <row r="2190" spans="17:27" x14ac:dyDescent="0.3">
      <c r="Q2190" s="93">
        <v>46135</v>
      </c>
      <c r="R2190" t="s">
        <v>492</v>
      </c>
      <c r="S2190" t="s">
        <v>399</v>
      </c>
      <c r="T2190" s="14">
        <v>12300</v>
      </c>
      <c r="W2190" s="20">
        <v>46162</v>
      </c>
      <c r="X2190" t="s">
        <v>274</v>
      </c>
      <c r="Y2190" s="23">
        <v>8.1538461538461497</v>
      </c>
      <c r="Z2190" s="23">
        <v>7.6923076923076898</v>
      </c>
      <c r="AA2190" s="23">
        <v>7.9230769230769198</v>
      </c>
    </row>
    <row r="2191" spans="17:27" x14ac:dyDescent="0.3">
      <c r="Q2191" s="93">
        <v>46135</v>
      </c>
      <c r="R2191" t="s">
        <v>496</v>
      </c>
      <c r="S2191" t="s">
        <v>399</v>
      </c>
      <c r="T2191" s="14">
        <v>15741.858099999999</v>
      </c>
      <c r="W2191" s="20">
        <v>46162</v>
      </c>
      <c r="X2191" t="s">
        <v>275</v>
      </c>
      <c r="Y2191" s="23">
        <v>8.1730769230769198</v>
      </c>
      <c r="Z2191" s="23">
        <v>7.7115384615384599</v>
      </c>
      <c r="AA2191" s="23">
        <v>7.9423076923076898</v>
      </c>
    </row>
    <row r="2192" spans="17:27" x14ac:dyDescent="0.3">
      <c r="Q2192" s="93">
        <v>46135</v>
      </c>
      <c r="R2192" t="s">
        <v>497</v>
      </c>
      <c r="S2192" t="s">
        <v>399</v>
      </c>
      <c r="T2192" s="14">
        <v>397.61059999999998</v>
      </c>
      <c r="W2192" s="20">
        <v>46162</v>
      </c>
      <c r="X2192" t="s">
        <v>276</v>
      </c>
      <c r="Y2192" s="23">
        <v>8.2115384615384599</v>
      </c>
      <c r="Z2192" s="23">
        <v>7.7423076923076897</v>
      </c>
      <c r="AA2192" s="23">
        <v>7.9769230769230797</v>
      </c>
    </row>
    <row r="2193" spans="17:27" x14ac:dyDescent="0.3">
      <c r="Q2193" s="93">
        <v>46135</v>
      </c>
      <c r="R2193" t="s">
        <v>498</v>
      </c>
      <c r="S2193" t="s">
        <v>399</v>
      </c>
      <c r="T2193" s="14">
        <v>10300</v>
      </c>
      <c r="W2193" s="20">
        <v>46162</v>
      </c>
      <c r="X2193" t="s">
        <v>277</v>
      </c>
      <c r="Y2193" s="23">
        <v>8.2692307692307701</v>
      </c>
      <c r="Z2193" s="23">
        <v>7.8</v>
      </c>
      <c r="AA2193" s="23">
        <v>8.0346153846153907</v>
      </c>
    </row>
    <row r="2194" spans="17:27" x14ac:dyDescent="0.3">
      <c r="Q2194" s="93">
        <v>46135</v>
      </c>
      <c r="R2194" t="s">
        <v>494</v>
      </c>
      <c r="S2194" t="s">
        <v>399</v>
      </c>
      <c r="T2194" s="14">
        <v>0</v>
      </c>
      <c r="W2194" s="20">
        <v>46162</v>
      </c>
      <c r="X2194" t="s">
        <v>278</v>
      </c>
      <c r="Y2194" s="23">
        <v>8.2846153846153801</v>
      </c>
      <c r="Z2194" s="23">
        <v>7.8153846153846098</v>
      </c>
      <c r="AA2194" s="23">
        <v>8.0500000000000007</v>
      </c>
    </row>
    <row r="2195" spans="17:27" x14ac:dyDescent="0.3">
      <c r="Q2195" s="93">
        <v>46135</v>
      </c>
      <c r="R2195" t="s">
        <v>495</v>
      </c>
      <c r="S2195" t="s">
        <v>399</v>
      </c>
      <c r="T2195" s="14">
        <v>0</v>
      </c>
      <c r="W2195" s="20">
        <v>46162</v>
      </c>
      <c r="X2195" t="s">
        <v>279</v>
      </c>
      <c r="Y2195" s="23">
        <v>8.3230769230769202</v>
      </c>
      <c r="Z2195" s="23">
        <v>7.8538461538461499</v>
      </c>
      <c r="AA2195" s="23">
        <v>8.0884615384615408</v>
      </c>
    </row>
    <row r="2196" spans="17:27" x14ac:dyDescent="0.3">
      <c r="Q2196" s="93">
        <v>46135</v>
      </c>
      <c r="R2196" t="s">
        <v>493</v>
      </c>
      <c r="S2196" t="s">
        <v>399</v>
      </c>
      <c r="T2196" s="14">
        <v>0</v>
      </c>
      <c r="W2196" s="20">
        <v>46162</v>
      </c>
      <c r="X2196" t="s">
        <v>280</v>
      </c>
      <c r="Y2196" s="23">
        <v>8.3538461538461508</v>
      </c>
      <c r="Z2196" s="23">
        <v>7.8846153846153797</v>
      </c>
      <c r="AA2196" s="23">
        <v>8.1192307692307697</v>
      </c>
    </row>
    <row r="2197" spans="17:27" x14ac:dyDescent="0.3">
      <c r="Q2197" s="93">
        <v>46135</v>
      </c>
      <c r="R2197" t="s">
        <v>593</v>
      </c>
      <c r="S2197" t="s">
        <v>399</v>
      </c>
      <c r="T2197" s="14">
        <v>4180</v>
      </c>
      <c r="W2197" s="20">
        <v>46162</v>
      </c>
      <c r="X2197" t="s">
        <v>281</v>
      </c>
      <c r="Y2197" s="23">
        <v>8.3692307692307697</v>
      </c>
      <c r="Z2197" s="23">
        <v>7.9</v>
      </c>
      <c r="AA2197" s="23">
        <v>8.1346153846153904</v>
      </c>
    </row>
    <row r="2198" spans="17:27" x14ac:dyDescent="0.3">
      <c r="Q2198" s="93">
        <v>46135</v>
      </c>
      <c r="R2198" t="s">
        <v>594</v>
      </c>
      <c r="S2198" t="s">
        <v>399</v>
      </c>
      <c r="T2198" s="14">
        <v>0</v>
      </c>
      <c r="W2198" s="20">
        <v>46163</v>
      </c>
      <c r="X2198" t="s">
        <v>270</v>
      </c>
      <c r="Y2198" s="23">
        <v>7.8285714285714301</v>
      </c>
      <c r="Z2198" s="23">
        <v>7.45</v>
      </c>
      <c r="AA2198" s="23">
        <v>7.6392857142857196</v>
      </c>
    </row>
    <row r="2199" spans="17:27" x14ac:dyDescent="0.3">
      <c r="Q2199" s="93">
        <v>46135</v>
      </c>
      <c r="R2199" t="s">
        <v>595</v>
      </c>
      <c r="S2199" t="s">
        <v>399</v>
      </c>
      <c r="T2199" s="14">
        <v>2000</v>
      </c>
      <c r="W2199" s="20">
        <v>46163</v>
      </c>
      <c r="X2199" t="s">
        <v>271</v>
      </c>
      <c r="Y2199" s="23">
        <v>7.9</v>
      </c>
      <c r="Z2199" s="23">
        <v>7.5</v>
      </c>
      <c r="AA2199" s="23">
        <v>7.7</v>
      </c>
    </row>
    <row r="2200" spans="17:27" x14ac:dyDescent="0.3">
      <c r="Q2200" s="93">
        <v>46135</v>
      </c>
      <c r="R2200" t="s">
        <v>479</v>
      </c>
      <c r="S2200" t="s">
        <v>395</v>
      </c>
      <c r="T2200" s="14">
        <v>11658.002711105</v>
      </c>
      <c r="W2200" s="20">
        <v>46163</v>
      </c>
      <c r="X2200" t="s">
        <v>272</v>
      </c>
      <c r="Y2200" s="23">
        <v>8.0153846153846207</v>
      </c>
      <c r="Z2200" s="23">
        <v>7.5615384615384604</v>
      </c>
      <c r="AA2200" s="23">
        <v>7.7884615384615401</v>
      </c>
    </row>
    <row r="2201" spans="17:27" x14ac:dyDescent="0.3">
      <c r="Q2201" s="93">
        <v>46135</v>
      </c>
      <c r="R2201" t="s">
        <v>479</v>
      </c>
      <c r="S2201" t="s">
        <v>415</v>
      </c>
      <c r="T2201" s="14">
        <v>6.8468271305034003</v>
      </c>
      <c r="W2201" s="20">
        <v>46163</v>
      </c>
      <c r="X2201" t="s">
        <v>273</v>
      </c>
      <c r="Y2201" s="23">
        <v>8.1153846153846096</v>
      </c>
      <c r="Z2201" s="23">
        <v>7.6461538461538403</v>
      </c>
      <c r="AA2201" s="23">
        <v>7.8807692307692303</v>
      </c>
    </row>
    <row r="2202" spans="17:27" x14ac:dyDescent="0.3">
      <c r="Q2202" s="93">
        <v>46135</v>
      </c>
      <c r="R2202" t="s">
        <v>364</v>
      </c>
      <c r="S2202" t="s">
        <v>415</v>
      </c>
      <c r="T2202" s="14">
        <v>6.0522243483923903</v>
      </c>
      <c r="W2202" s="20">
        <v>46163</v>
      </c>
      <c r="X2202" t="s">
        <v>274</v>
      </c>
      <c r="Y2202" s="23">
        <v>8.1538461538461497</v>
      </c>
      <c r="Z2202" s="23">
        <v>7.6923076923076898</v>
      </c>
      <c r="AA2202" s="23">
        <v>7.9230769230769198</v>
      </c>
    </row>
    <row r="2203" spans="17:27" x14ac:dyDescent="0.3">
      <c r="Q2203" s="93">
        <v>46135</v>
      </c>
      <c r="R2203" t="s">
        <v>364</v>
      </c>
      <c r="S2203" t="s">
        <v>997</v>
      </c>
      <c r="T2203" s="14">
        <v>24921.858100000001</v>
      </c>
      <c r="W2203" s="20">
        <v>46163</v>
      </c>
      <c r="X2203" t="s">
        <v>275</v>
      </c>
      <c r="Y2203" s="23">
        <v>8.1730769230769198</v>
      </c>
      <c r="Z2203" s="23">
        <v>7.7115384615384599</v>
      </c>
      <c r="AA2203" s="23">
        <v>7.9423076923076898</v>
      </c>
    </row>
    <row r="2204" spans="17:27" x14ac:dyDescent="0.3">
      <c r="Q2204" s="93">
        <v>46135</v>
      </c>
      <c r="R2204" t="s">
        <v>496</v>
      </c>
      <c r="S2204" t="s">
        <v>997</v>
      </c>
      <c r="T2204" s="14">
        <v>20741.858100000001</v>
      </c>
      <c r="W2204" s="20">
        <v>46163</v>
      </c>
      <c r="X2204" t="s">
        <v>276</v>
      </c>
      <c r="Y2204" s="23">
        <v>8.2115384615384599</v>
      </c>
      <c r="Z2204" s="23">
        <v>7.7423076923076897</v>
      </c>
      <c r="AA2204" s="23">
        <v>7.9769230769230797</v>
      </c>
    </row>
    <row r="2205" spans="17:27" x14ac:dyDescent="0.3">
      <c r="Q2205" s="93">
        <v>46134</v>
      </c>
      <c r="R2205" t="s">
        <v>479</v>
      </c>
      <c r="S2205" t="s">
        <v>399</v>
      </c>
      <c r="T2205" s="14">
        <v>11397.6106</v>
      </c>
      <c r="W2205" s="20">
        <v>46163</v>
      </c>
      <c r="X2205" t="s">
        <v>277</v>
      </c>
      <c r="Y2205" s="23">
        <v>8.2692307692307701</v>
      </c>
      <c r="Z2205" s="23">
        <v>7.8</v>
      </c>
      <c r="AA2205" s="23">
        <v>8.0346153846153907</v>
      </c>
    </row>
    <row r="2206" spans="17:27" x14ac:dyDescent="0.3">
      <c r="Q2206" s="93">
        <v>46134</v>
      </c>
      <c r="R2206" t="s">
        <v>364</v>
      </c>
      <c r="S2206" t="s">
        <v>399</v>
      </c>
      <c r="T2206" s="14">
        <v>19961.858100000001</v>
      </c>
      <c r="W2206" s="20">
        <v>46163</v>
      </c>
      <c r="X2206" t="s">
        <v>278</v>
      </c>
      <c r="Y2206" s="23">
        <v>8.2846153846153801</v>
      </c>
      <c r="Z2206" s="23">
        <v>7.8153846153846098</v>
      </c>
      <c r="AA2206" s="23">
        <v>8.0500000000000007</v>
      </c>
    </row>
    <row r="2207" spans="17:27" x14ac:dyDescent="0.3">
      <c r="Q2207" s="93">
        <v>46134</v>
      </c>
      <c r="R2207" t="s">
        <v>491</v>
      </c>
      <c r="S2207" t="s">
        <v>399</v>
      </c>
      <c r="T2207" s="14">
        <v>397.61059999999998</v>
      </c>
      <c r="W2207" s="20">
        <v>46163</v>
      </c>
      <c r="X2207" t="s">
        <v>279</v>
      </c>
      <c r="Y2207" s="23">
        <v>8.3230769230769202</v>
      </c>
      <c r="Z2207" s="23">
        <v>7.8538461538461499</v>
      </c>
      <c r="AA2207" s="23">
        <v>8.0884615384615408</v>
      </c>
    </row>
    <row r="2208" spans="17:27" x14ac:dyDescent="0.3">
      <c r="Q2208" s="93">
        <v>46134</v>
      </c>
      <c r="R2208" t="s">
        <v>492</v>
      </c>
      <c r="S2208" t="s">
        <v>399</v>
      </c>
      <c r="T2208" s="14">
        <v>11000</v>
      </c>
      <c r="W2208" s="20">
        <v>46163</v>
      </c>
      <c r="X2208" t="s">
        <v>280</v>
      </c>
      <c r="Y2208" s="23">
        <v>8.3538461538461508</v>
      </c>
      <c r="Z2208" s="23">
        <v>7.8846153846153797</v>
      </c>
      <c r="AA2208" s="23">
        <v>8.1192307692307697</v>
      </c>
    </row>
    <row r="2209" spans="17:27" x14ac:dyDescent="0.3">
      <c r="Q2209" s="93">
        <v>46134</v>
      </c>
      <c r="R2209" t="s">
        <v>496</v>
      </c>
      <c r="S2209" t="s">
        <v>399</v>
      </c>
      <c r="T2209" s="14">
        <v>17841.858100000001</v>
      </c>
      <c r="W2209" s="20">
        <v>46163</v>
      </c>
      <c r="X2209" t="s">
        <v>281</v>
      </c>
      <c r="Y2209" s="23">
        <v>8.3692307692307697</v>
      </c>
      <c r="Z2209" s="23">
        <v>7.9</v>
      </c>
      <c r="AA2209" s="23">
        <v>8.1346153846153904</v>
      </c>
    </row>
    <row r="2210" spans="17:27" x14ac:dyDescent="0.3">
      <c r="Q2210" s="93">
        <v>46134</v>
      </c>
      <c r="R2210" t="s">
        <v>497</v>
      </c>
      <c r="S2210" t="s">
        <v>399</v>
      </c>
      <c r="T2210" s="14">
        <v>397.61059999999998</v>
      </c>
      <c r="W2210" s="20">
        <v>46164</v>
      </c>
      <c r="X2210" t="s">
        <v>270</v>
      </c>
      <c r="Y2210" s="23">
        <v>7.8285714285714301</v>
      </c>
      <c r="Z2210" s="23">
        <v>7.45</v>
      </c>
      <c r="AA2210" s="23">
        <v>7.6392857142857196</v>
      </c>
    </row>
    <row r="2211" spans="17:27" x14ac:dyDescent="0.3">
      <c r="Q2211" s="93">
        <v>46134</v>
      </c>
      <c r="R2211" t="s">
        <v>498</v>
      </c>
      <c r="S2211" t="s">
        <v>399</v>
      </c>
      <c r="T2211" s="14">
        <v>11000</v>
      </c>
      <c r="W2211" s="20">
        <v>46164</v>
      </c>
      <c r="X2211" t="s">
        <v>271</v>
      </c>
      <c r="Y2211" s="23">
        <v>7.9</v>
      </c>
      <c r="Z2211" s="23">
        <v>7.5</v>
      </c>
      <c r="AA2211" s="23">
        <v>7.7</v>
      </c>
    </row>
    <row r="2212" spans="17:27" x14ac:dyDescent="0.3">
      <c r="Q2212" s="93">
        <v>46134</v>
      </c>
      <c r="R2212" t="s">
        <v>494</v>
      </c>
      <c r="S2212" t="s">
        <v>399</v>
      </c>
      <c r="T2212" s="14">
        <v>0</v>
      </c>
      <c r="W2212" s="20">
        <v>46164</v>
      </c>
      <c r="X2212" t="s">
        <v>272</v>
      </c>
      <c r="Y2212" s="23">
        <v>8.0153846153846207</v>
      </c>
      <c r="Z2212" s="23">
        <v>7.5615384615384604</v>
      </c>
      <c r="AA2212" s="23">
        <v>7.7884615384615401</v>
      </c>
    </row>
    <row r="2213" spans="17:27" x14ac:dyDescent="0.3">
      <c r="Q2213" s="93">
        <v>46134</v>
      </c>
      <c r="R2213" t="s">
        <v>495</v>
      </c>
      <c r="S2213" t="s">
        <v>399</v>
      </c>
      <c r="T2213" s="14">
        <v>0</v>
      </c>
      <c r="W2213" s="20">
        <v>46164</v>
      </c>
      <c r="X2213" t="s">
        <v>273</v>
      </c>
      <c r="Y2213" s="23">
        <v>8.1153846153846096</v>
      </c>
      <c r="Z2213" s="23">
        <v>7.6461538461538403</v>
      </c>
      <c r="AA2213" s="23">
        <v>7.8807692307692303</v>
      </c>
    </row>
    <row r="2214" spans="17:27" x14ac:dyDescent="0.3">
      <c r="Q2214" s="93">
        <v>46134</v>
      </c>
      <c r="R2214" t="s">
        <v>493</v>
      </c>
      <c r="S2214" t="s">
        <v>399</v>
      </c>
      <c r="T2214" s="14">
        <v>0</v>
      </c>
      <c r="W2214" s="20">
        <v>46164</v>
      </c>
      <c r="X2214" t="s">
        <v>274</v>
      </c>
      <c r="Y2214" s="23">
        <v>8.1538461538461497</v>
      </c>
      <c r="Z2214" s="23">
        <v>7.6923076923076898</v>
      </c>
      <c r="AA2214" s="23">
        <v>7.9230769230769198</v>
      </c>
    </row>
    <row r="2215" spans="17:27" x14ac:dyDescent="0.3">
      <c r="Q2215" s="93">
        <v>46134</v>
      </c>
      <c r="R2215" t="s">
        <v>593</v>
      </c>
      <c r="S2215" t="s">
        <v>399</v>
      </c>
      <c r="T2215" s="14">
        <v>2120</v>
      </c>
      <c r="W2215" s="20">
        <v>46164</v>
      </c>
      <c r="X2215" t="s">
        <v>275</v>
      </c>
      <c r="Y2215" s="23">
        <v>8.1730769230769198</v>
      </c>
      <c r="Z2215" s="23">
        <v>7.7115384615384599</v>
      </c>
      <c r="AA2215" s="23">
        <v>7.9423076923076898</v>
      </c>
    </row>
    <row r="2216" spans="17:27" x14ac:dyDescent="0.3">
      <c r="Q2216" s="93">
        <v>46134</v>
      </c>
      <c r="R2216" t="s">
        <v>594</v>
      </c>
      <c r="S2216" t="s">
        <v>399</v>
      </c>
      <c r="T2216" s="14">
        <v>0</v>
      </c>
      <c r="W2216" s="20">
        <v>46164</v>
      </c>
      <c r="X2216" t="s">
        <v>276</v>
      </c>
      <c r="Y2216" s="23">
        <v>8.2115384615384599</v>
      </c>
      <c r="Z2216" s="23">
        <v>7.7423076923076897</v>
      </c>
      <c r="AA2216" s="23">
        <v>7.9769230769230797</v>
      </c>
    </row>
    <row r="2217" spans="17:27" x14ac:dyDescent="0.3">
      <c r="Q2217" s="93">
        <v>46134</v>
      </c>
      <c r="R2217" t="s">
        <v>595</v>
      </c>
      <c r="S2217" t="s">
        <v>399</v>
      </c>
      <c r="T2217" s="14">
        <v>0</v>
      </c>
      <c r="W2217" s="20">
        <v>46164</v>
      </c>
      <c r="X2217" t="s">
        <v>277</v>
      </c>
      <c r="Y2217" s="23">
        <v>8.2692307692307701</v>
      </c>
      <c r="Z2217" s="23">
        <v>7.8</v>
      </c>
      <c r="AA2217" s="23">
        <v>8.0346153846153907</v>
      </c>
    </row>
    <row r="2218" spans="17:27" x14ac:dyDescent="0.3">
      <c r="Q2218" s="93">
        <v>46134</v>
      </c>
      <c r="R2218" t="s">
        <v>479</v>
      </c>
      <c r="S2218" t="s">
        <v>395</v>
      </c>
      <c r="T2218" s="14">
        <v>9397.5501511263592</v>
      </c>
      <c r="W2218" s="20">
        <v>46164</v>
      </c>
      <c r="X2218" t="s">
        <v>278</v>
      </c>
      <c r="Y2218" s="23">
        <v>8.2846153846153801</v>
      </c>
      <c r="Z2218" s="23">
        <v>7.8153846153846098</v>
      </c>
      <c r="AA2218" s="23">
        <v>8.0500000000000007</v>
      </c>
    </row>
    <row r="2219" spans="17:27" x14ac:dyDescent="0.3">
      <c r="Q2219" s="93">
        <v>46134</v>
      </c>
      <c r="R2219" t="s">
        <v>479</v>
      </c>
      <c r="S2219" t="s">
        <v>415</v>
      </c>
      <c r="T2219" s="14">
        <v>6.53918846288712</v>
      </c>
      <c r="W2219" s="20">
        <v>46164</v>
      </c>
      <c r="X2219" t="s">
        <v>279</v>
      </c>
      <c r="Y2219" s="23">
        <v>8.3230769230769202</v>
      </c>
      <c r="Z2219" s="23">
        <v>7.8538461538461499</v>
      </c>
      <c r="AA2219" s="23">
        <v>8.0884615384615408</v>
      </c>
    </row>
    <row r="2220" spans="17:27" x14ac:dyDescent="0.3">
      <c r="Q2220" s="93">
        <v>46134</v>
      </c>
      <c r="R2220" t="s">
        <v>364</v>
      </c>
      <c r="S2220" t="s">
        <v>415</v>
      </c>
      <c r="T2220" s="14">
        <v>6.0427262984881702</v>
      </c>
      <c r="W2220" s="20">
        <v>46164</v>
      </c>
      <c r="X2220" t="s">
        <v>280</v>
      </c>
      <c r="Y2220" s="23">
        <v>8.3538461538461508</v>
      </c>
      <c r="Z2220" s="23">
        <v>7.8846153846153797</v>
      </c>
      <c r="AA2220" s="23">
        <v>8.1192307692307697</v>
      </c>
    </row>
    <row r="2221" spans="17:27" x14ac:dyDescent="0.3">
      <c r="Q2221" s="93">
        <v>46134</v>
      </c>
      <c r="R2221" t="s">
        <v>364</v>
      </c>
      <c r="S2221" t="s">
        <v>997</v>
      </c>
      <c r="T2221" s="14">
        <v>24961.858100000001</v>
      </c>
      <c r="W2221" s="20">
        <v>46164</v>
      </c>
      <c r="X2221" t="s">
        <v>281</v>
      </c>
      <c r="Y2221" s="23">
        <v>8.3692307692307697</v>
      </c>
      <c r="Z2221" s="23">
        <v>7.9</v>
      </c>
      <c r="AA2221" s="23">
        <v>8.1346153846153904</v>
      </c>
    </row>
    <row r="2222" spans="17:27" x14ac:dyDescent="0.3">
      <c r="Q2222" s="93">
        <v>46134</v>
      </c>
      <c r="R2222" t="s">
        <v>496</v>
      </c>
      <c r="S2222" t="s">
        <v>997</v>
      </c>
      <c r="T2222" s="14">
        <v>22841.858100000001</v>
      </c>
      <c r="W2222" s="20">
        <v>46167</v>
      </c>
      <c r="X2222" t="s">
        <v>270</v>
      </c>
      <c r="Y2222" s="23">
        <v>7.8428571428571399</v>
      </c>
      <c r="Z2222" s="23">
        <v>7.46428571428571</v>
      </c>
      <c r="AA2222" s="23">
        <v>7.6535714285714302</v>
      </c>
    </row>
    <row r="2223" spans="17:27" x14ac:dyDescent="0.3">
      <c r="Q2223" s="93">
        <v>46133</v>
      </c>
      <c r="R2223" t="s">
        <v>479</v>
      </c>
      <c r="S2223" t="s">
        <v>399</v>
      </c>
      <c r="T2223" s="14">
        <v>11397.6106</v>
      </c>
      <c r="W2223" s="20">
        <v>46167</v>
      </c>
      <c r="X2223" t="s">
        <v>271</v>
      </c>
      <c r="Y2223" s="23">
        <v>7.94</v>
      </c>
      <c r="Z2223" s="23">
        <v>7.5</v>
      </c>
      <c r="AA2223" s="23">
        <v>7.72</v>
      </c>
    </row>
    <row r="2224" spans="17:27" x14ac:dyDescent="0.3">
      <c r="Q2224" s="93">
        <v>46133</v>
      </c>
      <c r="R2224" t="s">
        <v>364</v>
      </c>
      <c r="S2224" t="s">
        <v>399</v>
      </c>
      <c r="T2224" s="14">
        <v>22361.858100000001</v>
      </c>
      <c r="W2224" s="20">
        <v>46167</v>
      </c>
      <c r="X2224" t="s">
        <v>272</v>
      </c>
      <c r="Y2224" s="23">
        <v>8.0307692307692307</v>
      </c>
      <c r="Z2224" s="23">
        <v>7.5769230769230802</v>
      </c>
      <c r="AA2224" s="23">
        <v>7.8038461538461599</v>
      </c>
    </row>
    <row r="2225" spans="17:27" x14ac:dyDescent="0.3">
      <c r="Q2225" s="93">
        <v>46133</v>
      </c>
      <c r="R2225" t="s">
        <v>491</v>
      </c>
      <c r="S2225" t="s">
        <v>399</v>
      </c>
      <c r="T2225" s="14">
        <v>397.61059999999998</v>
      </c>
      <c r="W2225" s="20">
        <v>46167</v>
      </c>
      <c r="X2225" t="s">
        <v>273</v>
      </c>
      <c r="Y2225" s="23">
        <v>8.1307692307692303</v>
      </c>
      <c r="Z2225" s="23">
        <v>7.6615384615384601</v>
      </c>
      <c r="AA2225" s="23">
        <v>7.8961538461538501</v>
      </c>
    </row>
    <row r="2226" spans="17:27" x14ac:dyDescent="0.3">
      <c r="Q2226" s="93">
        <v>46133</v>
      </c>
      <c r="R2226" t="s">
        <v>492</v>
      </c>
      <c r="S2226" t="s">
        <v>399</v>
      </c>
      <c r="T2226" s="14">
        <v>11000</v>
      </c>
      <c r="W2226" s="20">
        <v>46167</v>
      </c>
      <c r="X2226" t="s">
        <v>274</v>
      </c>
      <c r="Y2226" s="23">
        <v>8.1692307692307704</v>
      </c>
      <c r="Z2226" s="23">
        <v>7.7076923076923096</v>
      </c>
      <c r="AA2226" s="23">
        <v>7.9384615384615396</v>
      </c>
    </row>
    <row r="2227" spans="17:27" x14ac:dyDescent="0.3">
      <c r="Q2227" s="93">
        <v>46133</v>
      </c>
      <c r="R2227" t="s">
        <v>496</v>
      </c>
      <c r="S2227" t="s">
        <v>399</v>
      </c>
      <c r="T2227" s="14">
        <v>20328.858100000001</v>
      </c>
      <c r="W2227" s="20">
        <v>46167</v>
      </c>
      <c r="X2227" t="s">
        <v>275</v>
      </c>
      <c r="Y2227" s="23">
        <v>8.1884615384615405</v>
      </c>
      <c r="Z2227" s="23">
        <v>7.7269230769230797</v>
      </c>
      <c r="AA2227" s="23">
        <v>7.9576923076923096</v>
      </c>
    </row>
    <row r="2228" spans="17:27" x14ac:dyDescent="0.3">
      <c r="Q2228" s="93">
        <v>46133</v>
      </c>
      <c r="R2228" t="s">
        <v>497</v>
      </c>
      <c r="S2228" t="s">
        <v>399</v>
      </c>
      <c r="T2228" s="14">
        <v>397.61059999999998</v>
      </c>
      <c r="W2228" s="20">
        <v>46167</v>
      </c>
      <c r="X2228" t="s">
        <v>276</v>
      </c>
      <c r="Y2228" s="23">
        <v>8.2269230769230806</v>
      </c>
      <c r="Z2228" s="23">
        <v>7.7576923076923103</v>
      </c>
      <c r="AA2228" s="23">
        <v>7.9923076923076897</v>
      </c>
    </row>
    <row r="2229" spans="17:27" x14ac:dyDescent="0.3">
      <c r="Q2229" s="93">
        <v>46133</v>
      </c>
      <c r="R2229" t="s">
        <v>498</v>
      </c>
      <c r="S2229" t="s">
        <v>399</v>
      </c>
      <c r="T2229" s="14">
        <v>11000</v>
      </c>
      <c r="W2229" s="20">
        <v>46167</v>
      </c>
      <c r="X2229" t="s">
        <v>277</v>
      </c>
      <c r="Y2229" s="23">
        <v>8.2846153846153801</v>
      </c>
      <c r="Z2229" s="23">
        <v>7.8153846153846098</v>
      </c>
      <c r="AA2229" s="23">
        <v>8.0500000000000007</v>
      </c>
    </row>
    <row r="2230" spans="17:27" x14ac:dyDescent="0.3">
      <c r="Q2230" s="93">
        <v>46133</v>
      </c>
      <c r="R2230" t="s">
        <v>494</v>
      </c>
      <c r="S2230" t="s">
        <v>399</v>
      </c>
      <c r="T2230" s="14">
        <v>0</v>
      </c>
      <c r="W2230" s="20">
        <v>46167</v>
      </c>
      <c r="X2230" t="s">
        <v>278</v>
      </c>
      <c r="Y2230" s="23">
        <v>8.3000000000000007</v>
      </c>
      <c r="Z2230" s="23">
        <v>7.8307692307692296</v>
      </c>
      <c r="AA2230" s="23">
        <v>8.0653846153846196</v>
      </c>
    </row>
    <row r="2231" spans="17:27" x14ac:dyDescent="0.3">
      <c r="Q2231" s="93">
        <v>46133</v>
      </c>
      <c r="R2231" t="s">
        <v>495</v>
      </c>
      <c r="S2231" t="s">
        <v>399</v>
      </c>
      <c r="T2231" s="14">
        <v>0</v>
      </c>
      <c r="W2231" s="20">
        <v>46167</v>
      </c>
      <c r="X2231" t="s">
        <v>279</v>
      </c>
      <c r="Y2231" s="23">
        <v>8.3384615384615408</v>
      </c>
      <c r="Z2231" s="23">
        <v>7.8692307692307697</v>
      </c>
      <c r="AA2231" s="23">
        <v>8.1038461538461508</v>
      </c>
    </row>
    <row r="2232" spans="17:27" x14ac:dyDescent="0.3">
      <c r="Q2232" s="93">
        <v>46133</v>
      </c>
      <c r="R2232" t="s">
        <v>493</v>
      </c>
      <c r="S2232" t="s">
        <v>399</v>
      </c>
      <c r="T2232" s="14">
        <v>0</v>
      </c>
      <c r="W2232" s="20">
        <v>46167</v>
      </c>
      <c r="X2232" t="s">
        <v>280</v>
      </c>
      <c r="Y2232" s="23">
        <v>8.3692307692307697</v>
      </c>
      <c r="Z2232" s="23">
        <v>7.9</v>
      </c>
      <c r="AA2232" s="23">
        <v>8.1346153846153904</v>
      </c>
    </row>
    <row r="2233" spans="17:27" x14ac:dyDescent="0.3">
      <c r="Q2233" s="93">
        <v>46133</v>
      </c>
      <c r="R2233" t="s">
        <v>593</v>
      </c>
      <c r="S2233" t="s">
        <v>399</v>
      </c>
      <c r="T2233" s="14">
        <v>2033</v>
      </c>
      <c r="W2233" s="20">
        <v>46167</v>
      </c>
      <c r="X2233" t="s">
        <v>281</v>
      </c>
      <c r="Y2233" s="23">
        <v>8.3846153846153797</v>
      </c>
      <c r="Z2233" s="23">
        <v>7.9153846153846104</v>
      </c>
      <c r="AA2233" s="23">
        <v>8.15</v>
      </c>
    </row>
    <row r="2234" spans="17:27" x14ac:dyDescent="0.3">
      <c r="Q2234" s="93">
        <v>46133</v>
      </c>
      <c r="R2234" t="s">
        <v>594</v>
      </c>
      <c r="S2234" t="s">
        <v>399</v>
      </c>
      <c r="T2234" s="14">
        <v>0</v>
      </c>
      <c r="W2234" s="20">
        <v>46168</v>
      </c>
      <c r="X2234" t="s">
        <v>270</v>
      </c>
      <c r="Y2234" s="23">
        <v>7.9214285714285699</v>
      </c>
      <c r="Z2234" s="23">
        <v>7.54285714285714</v>
      </c>
      <c r="AA2234" s="23">
        <v>7.7321428571428603</v>
      </c>
    </row>
    <row r="2235" spans="17:27" x14ac:dyDescent="0.3">
      <c r="Q2235" s="93">
        <v>46133</v>
      </c>
      <c r="R2235" t="s">
        <v>595</v>
      </c>
      <c r="S2235" t="s">
        <v>399</v>
      </c>
      <c r="T2235" s="14">
        <v>0</v>
      </c>
      <c r="W2235" s="20">
        <v>46168</v>
      </c>
      <c r="X2235" t="s">
        <v>271</v>
      </c>
      <c r="Y2235" s="23">
        <v>7.96</v>
      </c>
      <c r="Z2235" s="23">
        <v>7.56</v>
      </c>
      <c r="AA2235" s="23">
        <v>7.76</v>
      </c>
    </row>
    <row r="2236" spans="17:27" x14ac:dyDescent="0.3">
      <c r="Q2236" s="93">
        <v>46133</v>
      </c>
      <c r="R2236" t="s">
        <v>479</v>
      </c>
      <c r="S2236" t="s">
        <v>395</v>
      </c>
      <c r="T2236" s="14">
        <v>9405.2906804511094</v>
      </c>
      <c r="W2236" s="20">
        <v>46168</v>
      </c>
      <c r="X2236" t="s">
        <v>272</v>
      </c>
      <c r="Y2236" s="23">
        <v>8.0384615384615401</v>
      </c>
      <c r="Z2236" s="23">
        <v>7.5846153846153799</v>
      </c>
      <c r="AA2236" s="23">
        <v>7.8115384615384604</v>
      </c>
    </row>
    <row r="2237" spans="17:27" x14ac:dyDescent="0.3">
      <c r="Q2237" s="93">
        <v>46133</v>
      </c>
      <c r="R2237" t="s">
        <v>479</v>
      </c>
      <c r="S2237" t="s">
        <v>415</v>
      </c>
      <c r="T2237" s="14">
        <v>6.53918846288712</v>
      </c>
      <c r="W2237" s="20">
        <v>46168</v>
      </c>
      <c r="X2237" t="s">
        <v>273</v>
      </c>
      <c r="Y2237" s="23">
        <v>8.1384615384615397</v>
      </c>
      <c r="Z2237" s="23">
        <v>7.6692307692307704</v>
      </c>
      <c r="AA2237" s="23">
        <v>7.9038461538461497</v>
      </c>
    </row>
    <row r="2238" spans="17:27" x14ac:dyDescent="0.3">
      <c r="Q2238" s="93">
        <v>46133</v>
      </c>
      <c r="R2238" t="s">
        <v>364</v>
      </c>
      <c r="S2238" t="s">
        <v>415</v>
      </c>
      <c r="T2238" s="14">
        <v>6.0292453453370101</v>
      </c>
      <c r="W2238" s="20">
        <v>46168</v>
      </c>
      <c r="X2238" t="s">
        <v>274</v>
      </c>
      <c r="Y2238" s="23">
        <v>8.1692307692307704</v>
      </c>
      <c r="Z2238" s="23">
        <v>7.7076923076923096</v>
      </c>
      <c r="AA2238" s="23">
        <v>7.9384615384615396</v>
      </c>
    </row>
    <row r="2239" spans="17:27" x14ac:dyDescent="0.3">
      <c r="Q2239" s="93">
        <v>46133</v>
      </c>
      <c r="R2239" t="s">
        <v>364</v>
      </c>
      <c r="S2239" t="s">
        <v>997</v>
      </c>
      <c r="T2239" s="14">
        <v>28261.858100000001</v>
      </c>
      <c r="W2239" s="20">
        <v>46168</v>
      </c>
      <c r="X2239" t="s">
        <v>275</v>
      </c>
      <c r="Y2239" s="23">
        <v>8.1884615384615405</v>
      </c>
      <c r="Z2239" s="23">
        <v>7.7269230769230797</v>
      </c>
      <c r="AA2239" s="23">
        <v>7.9576923076923096</v>
      </c>
    </row>
    <row r="2240" spans="17:27" x14ac:dyDescent="0.3">
      <c r="Q2240" s="93">
        <v>46133</v>
      </c>
      <c r="R2240" t="s">
        <v>496</v>
      </c>
      <c r="S2240" t="s">
        <v>997</v>
      </c>
      <c r="T2240" s="14">
        <v>26228.858100000001</v>
      </c>
      <c r="W2240" s="20">
        <v>46168</v>
      </c>
      <c r="X2240" t="s">
        <v>276</v>
      </c>
      <c r="Y2240" s="23">
        <v>8.2346153846153793</v>
      </c>
      <c r="Z2240" s="23">
        <v>7.76538461538461</v>
      </c>
      <c r="AA2240" s="23">
        <v>8</v>
      </c>
    </row>
    <row r="2241" spans="17:27" x14ac:dyDescent="0.3">
      <c r="Q2241" s="93">
        <v>46132</v>
      </c>
      <c r="R2241" t="s">
        <v>479</v>
      </c>
      <c r="S2241" t="s">
        <v>399</v>
      </c>
      <c r="T2241" s="14">
        <v>11397.6106</v>
      </c>
      <c r="W2241" s="20">
        <v>46168</v>
      </c>
      <c r="X2241" t="s">
        <v>277</v>
      </c>
      <c r="Y2241" s="23">
        <v>8.2846153846153801</v>
      </c>
      <c r="Z2241" s="23">
        <v>7.8153846153846098</v>
      </c>
      <c r="AA2241" s="23">
        <v>8.0500000000000007</v>
      </c>
    </row>
    <row r="2242" spans="17:27" x14ac:dyDescent="0.3">
      <c r="Q2242" s="93">
        <v>46132</v>
      </c>
      <c r="R2242" t="s">
        <v>364</v>
      </c>
      <c r="S2242" t="s">
        <v>399</v>
      </c>
      <c r="T2242" s="14">
        <v>21109.658100000001</v>
      </c>
      <c r="W2242" s="20">
        <v>46168</v>
      </c>
      <c r="X2242" t="s">
        <v>278</v>
      </c>
      <c r="Y2242" s="23">
        <v>8.3000000000000007</v>
      </c>
      <c r="Z2242" s="23">
        <v>7.8307692307692296</v>
      </c>
      <c r="AA2242" s="23">
        <v>8.0653846153846196</v>
      </c>
    </row>
    <row r="2243" spans="17:27" x14ac:dyDescent="0.3">
      <c r="Q2243" s="93">
        <v>46132</v>
      </c>
      <c r="R2243" t="s">
        <v>491</v>
      </c>
      <c r="S2243" t="s">
        <v>399</v>
      </c>
      <c r="T2243" s="14">
        <v>397.61059999999998</v>
      </c>
      <c r="W2243" s="20">
        <v>46168</v>
      </c>
      <c r="X2243" t="s">
        <v>279</v>
      </c>
      <c r="Y2243" s="23">
        <v>8.3384615384615408</v>
      </c>
      <c r="Z2243" s="23">
        <v>7.8692307692307697</v>
      </c>
      <c r="AA2243" s="23">
        <v>8.1038461538461508</v>
      </c>
    </row>
    <row r="2244" spans="17:27" x14ac:dyDescent="0.3">
      <c r="Q2244" s="93">
        <v>46132</v>
      </c>
      <c r="R2244" t="s">
        <v>492</v>
      </c>
      <c r="S2244" t="s">
        <v>399</v>
      </c>
      <c r="T2244" s="14">
        <v>11000</v>
      </c>
      <c r="W2244" s="20">
        <v>46168</v>
      </c>
      <c r="X2244" t="s">
        <v>280</v>
      </c>
      <c r="Y2244" s="23">
        <v>8.3692307692307697</v>
      </c>
      <c r="Z2244" s="23">
        <v>7.9</v>
      </c>
      <c r="AA2244" s="23">
        <v>8.1346153846153904</v>
      </c>
    </row>
    <row r="2245" spans="17:27" x14ac:dyDescent="0.3">
      <c r="Q2245" s="93">
        <v>46132</v>
      </c>
      <c r="R2245" t="s">
        <v>496</v>
      </c>
      <c r="S2245" t="s">
        <v>399</v>
      </c>
      <c r="T2245" s="14">
        <v>20939.658100000001</v>
      </c>
      <c r="W2245" s="20">
        <v>46168</v>
      </c>
      <c r="X2245" t="s">
        <v>281</v>
      </c>
      <c r="Y2245" s="23">
        <v>8.3846153846153797</v>
      </c>
      <c r="Z2245" s="23">
        <v>7.9153846153846104</v>
      </c>
      <c r="AA2245" s="23">
        <v>8.15</v>
      </c>
    </row>
    <row r="2246" spans="17:27" x14ac:dyDescent="0.3">
      <c r="Q2246" s="93">
        <v>46132</v>
      </c>
      <c r="R2246" t="s">
        <v>497</v>
      </c>
      <c r="S2246" t="s">
        <v>399</v>
      </c>
      <c r="T2246" s="14">
        <v>397.61059999999998</v>
      </c>
      <c r="W2246" s="20">
        <v>46169</v>
      </c>
      <c r="X2246" t="s">
        <v>270</v>
      </c>
      <c r="Y2246" s="23">
        <v>7.9071428571428601</v>
      </c>
      <c r="Z2246" s="23">
        <v>7.5285714285714302</v>
      </c>
      <c r="AA2246" s="23">
        <v>7.7178571428571399</v>
      </c>
    </row>
    <row r="2247" spans="17:27" x14ac:dyDescent="0.3">
      <c r="Q2247" s="93">
        <v>46132</v>
      </c>
      <c r="R2247" t="s">
        <v>498</v>
      </c>
      <c r="S2247" t="s">
        <v>399</v>
      </c>
      <c r="T2247" s="14">
        <v>9000</v>
      </c>
      <c r="W2247" s="20">
        <v>46169</v>
      </c>
      <c r="X2247" t="s">
        <v>271</v>
      </c>
      <c r="Y2247" s="23">
        <v>7.98</v>
      </c>
      <c r="Z2247" s="23">
        <v>7.58</v>
      </c>
      <c r="AA2247" s="23">
        <v>7.78</v>
      </c>
    </row>
    <row r="2248" spans="17:27" x14ac:dyDescent="0.3">
      <c r="Q2248" s="93">
        <v>46132</v>
      </c>
      <c r="R2248" t="s">
        <v>494</v>
      </c>
      <c r="S2248" t="s">
        <v>399</v>
      </c>
      <c r="T2248" s="14">
        <v>0</v>
      </c>
      <c r="W2248" s="20">
        <v>46169</v>
      </c>
      <c r="X2248" t="s">
        <v>272</v>
      </c>
      <c r="Y2248" s="23">
        <v>8.0461538461538407</v>
      </c>
      <c r="Z2248" s="23">
        <v>7.5923076923076902</v>
      </c>
      <c r="AA2248" s="23">
        <v>7.8192307692307699</v>
      </c>
    </row>
    <row r="2249" spans="17:27" x14ac:dyDescent="0.3">
      <c r="Q2249" s="93">
        <v>46132</v>
      </c>
      <c r="R2249" t="s">
        <v>495</v>
      </c>
      <c r="S2249" t="s">
        <v>399</v>
      </c>
      <c r="T2249" s="14">
        <v>0</v>
      </c>
      <c r="W2249" s="20">
        <v>46169</v>
      </c>
      <c r="X2249" t="s">
        <v>273</v>
      </c>
      <c r="Y2249" s="23">
        <v>8.1384615384615397</v>
      </c>
      <c r="Z2249" s="23">
        <v>7.6692307692307704</v>
      </c>
      <c r="AA2249" s="23">
        <v>7.9038461538461497</v>
      </c>
    </row>
    <row r="2250" spans="17:27" x14ac:dyDescent="0.3">
      <c r="Q2250" s="93">
        <v>46132</v>
      </c>
      <c r="R2250" t="s">
        <v>493</v>
      </c>
      <c r="S2250" t="s">
        <v>399</v>
      </c>
      <c r="T2250" s="14">
        <v>0</v>
      </c>
      <c r="W2250" s="20">
        <v>46169</v>
      </c>
      <c r="X2250" t="s">
        <v>274</v>
      </c>
      <c r="Y2250" s="23">
        <v>8.1692307692307704</v>
      </c>
      <c r="Z2250" s="23">
        <v>7.7076923076923096</v>
      </c>
      <c r="AA2250" s="23">
        <v>7.9384615384615396</v>
      </c>
    </row>
    <row r="2251" spans="17:27" x14ac:dyDescent="0.3">
      <c r="Q2251" s="93">
        <v>46132</v>
      </c>
      <c r="R2251" t="s">
        <v>593</v>
      </c>
      <c r="S2251" t="s">
        <v>399</v>
      </c>
      <c r="T2251" s="14">
        <v>170</v>
      </c>
      <c r="W2251" s="20">
        <v>46169</v>
      </c>
      <c r="X2251" t="s">
        <v>275</v>
      </c>
      <c r="Y2251" s="23">
        <v>8.1884615384615405</v>
      </c>
      <c r="Z2251" s="23">
        <v>7.7269230769230797</v>
      </c>
      <c r="AA2251" s="23">
        <v>7.9576923076923096</v>
      </c>
    </row>
    <row r="2252" spans="17:27" x14ac:dyDescent="0.3">
      <c r="Q2252" s="93">
        <v>46132</v>
      </c>
      <c r="R2252" t="s">
        <v>594</v>
      </c>
      <c r="S2252" t="s">
        <v>399</v>
      </c>
      <c r="T2252" s="14">
        <v>0</v>
      </c>
      <c r="W2252" s="20">
        <v>46169</v>
      </c>
      <c r="X2252" t="s">
        <v>276</v>
      </c>
      <c r="Y2252" s="23">
        <v>8.2346153846153793</v>
      </c>
      <c r="Z2252" s="23">
        <v>7.76538461538461</v>
      </c>
      <c r="AA2252" s="23">
        <v>8</v>
      </c>
    </row>
    <row r="2253" spans="17:27" x14ac:dyDescent="0.3">
      <c r="Q2253" s="93">
        <v>46132</v>
      </c>
      <c r="R2253" t="s">
        <v>595</v>
      </c>
      <c r="S2253" t="s">
        <v>399</v>
      </c>
      <c r="T2253" s="14">
        <v>2000</v>
      </c>
      <c r="W2253" s="20">
        <v>46169</v>
      </c>
      <c r="X2253" t="s">
        <v>277</v>
      </c>
      <c r="Y2253" s="23">
        <v>8.2846153846153801</v>
      </c>
      <c r="Z2253" s="23">
        <v>7.8153846153846098</v>
      </c>
      <c r="AA2253" s="23">
        <v>8.0500000000000007</v>
      </c>
    </row>
    <row r="2254" spans="17:27" x14ac:dyDescent="0.3">
      <c r="Q2254" s="93">
        <v>46132</v>
      </c>
      <c r="R2254" t="s">
        <v>479</v>
      </c>
      <c r="S2254" t="s">
        <v>395</v>
      </c>
      <c r="T2254" s="14">
        <v>9401.55260914266</v>
      </c>
      <c r="W2254" s="20">
        <v>46169</v>
      </c>
      <c r="X2254" t="s">
        <v>278</v>
      </c>
      <c r="Y2254" s="23">
        <v>8.3000000000000007</v>
      </c>
      <c r="Z2254" s="23">
        <v>7.8307692307692296</v>
      </c>
      <c r="AA2254" s="23">
        <v>8.0653846153846196</v>
      </c>
    </row>
    <row r="2255" spans="17:27" x14ac:dyDescent="0.3">
      <c r="Q2255" s="93">
        <v>46132</v>
      </c>
      <c r="R2255" t="s">
        <v>479</v>
      </c>
      <c r="S2255" t="s">
        <v>415</v>
      </c>
      <c r="T2255" s="14">
        <v>6.53918846288712</v>
      </c>
      <c r="W2255" s="20">
        <v>46169</v>
      </c>
      <c r="X2255" t="s">
        <v>279</v>
      </c>
      <c r="Y2255" s="23">
        <v>8.3384615384615408</v>
      </c>
      <c r="Z2255" s="23">
        <v>7.8692307692307697</v>
      </c>
      <c r="AA2255" s="23">
        <v>8.1038461538461508</v>
      </c>
    </row>
    <row r="2256" spans="17:27" x14ac:dyDescent="0.3">
      <c r="Q2256" s="93">
        <v>46132</v>
      </c>
      <c r="R2256" t="s">
        <v>364</v>
      </c>
      <c r="S2256" t="s">
        <v>415</v>
      </c>
      <c r="T2256" s="14">
        <v>6.0405145851352904</v>
      </c>
      <c r="W2256" s="20">
        <v>46169</v>
      </c>
      <c r="X2256" t="s">
        <v>280</v>
      </c>
      <c r="Y2256" s="23">
        <v>8.3692307692307697</v>
      </c>
      <c r="Z2256" s="23">
        <v>7.9</v>
      </c>
      <c r="AA2256" s="23">
        <v>8.1346153846153904</v>
      </c>
    </row>
    <row r="2257" spans="17:27" x14ac:dyDescent="0.3">
      <c r="Q2257" s="93">
        <v>46132</v>
      </c>
      <c r="R2257" t="s">
        <v>364</v>
      </c>
      <c r="S2257" t="s">
        <v>997</v>
      </c>
      <c r="T2257" s="14">
        <v>26509.658100000001</v>
      </c>
      <c r="W2257" s="20">
        <v>46169</v>
      </c>
      <c r="X2257" t="s">
        <v>281</v>
      </c>
      <c r="Y2257" s="23">
        <v>8.3846153846153797</v>
      </c>
      <c r="Z2257" s="23">
        <v>7.9153846153846104</v>
      </c>
      <c r="AA2257" s="23">
        <v>8.15</v>
      </c>
    </row>
    <row r="2258" spans="17:27" x14ac:dyDescent="0.3">
      <c r="Q2258" s="93">
        <v>46132</v>
      </c>
      <c r="R2258" t="s">
        <v>496</v>
      </c>
      <c r="S2258" t="s">
        <v>997</v>
      </c>
      <c r="T2258" s="14">
        <v>26339.658100000001</v>
      </c>
      <c r="W2258" s="20">
        <v>46170</v>
      </c>
      <c r="X2258" t="s">
        <v>270</v>
      </c>
      <c r="Y2258" s="23">
        <v>7.8785714285714299</v>
      </c>
      <c r="Z2258" s="23">
        <v>7.5</v>
      </c>
      <c r="AA2258" s="23">
        <v>7.6892857142857096</v>
      </c>
    </row>
    <row r="2259" spans="17:27" x14ac:dyDescent="0.3">
      <c r="Q2259" s="93">
        <v>46129</v>
      </c>
      <c r="R2259" t="s">
        <v>479</v>
      </c>
      <c r="S2259" t="s">
        <v>399</v>
      </c>
      <c r="T2259" s="14">
        <v>9397.6106</v>
      </c>
      <c r="W2259" s="20">
        <v>46170</v>
      </c>
      <c r="X2259" t="s">
        <v>271</v>
      </c>
      <c r="Y2259" s="23">
        <v>7.98</v>
      </c>
      <c r="Z2259" s="23">
        <v>7.58</v>
      </c>
      <c r="AA2259" s="23">
        <v>7.78</v>
      </c>
    </row>
    <row r="2260" spans="17:27" x14ac:dyDescent="0.3">
      <c r="Q2260" s="93">
        <v>46129</v>
      </c>
      <c r="R2260" t="s">
        <v>364</v>
      </c>
      <c r="S2260" t="s">
        <v>399</v>
      </c>
      <c r="T2260" s="14">
        <v>21139.658100000001</v>
      </c>
      <c r="W2260" s="20">
        <v>46170</v>
      </c>
      <c r="X2260" t="s">
        <v>272</v>
      </c>
      <c r="Y2260" s="23">
        <v>8.0538461538461501</v>
      </c>
      <c r="Z2260" s="23">
        <v>7.6</v>
      </c>
      <c r="AA2260" s="23">
        <v>7.8269230769230802</v>
      </c>
    </row>
    <row r="2261" spans="17:27" x14ac:dyDescent="0.3">
      <c r="Q2261" s="93">
        <v>46129</v>
      </c>
      <c r="R2261" t="s">
        <v>491</v>
      </c>
      <c r="S2261" t="s">
        <v>399</v>
      </c>
      <c r="T2261" s="14">
        <v>397.61059999999998</v>
      </c>
      <c r="W2261" s="20">
        <v>46170</v>
      </c>
      <c r="X2261" t="s">
        <v>273</v>
      </c>
      <c r="Y2261" s="23">
        <v>8.1538461538461497</v>
      </c>
      <c r="Z2261" s="23">
        <v>7.6846153846153804</v>
      </c>
      <c r="AA2261" s="23">
        <v>7.9192307692307704</v>
      </c>
    </row>
    <row r="2262" spans="17:27" x14ac:dyDescent="0.3">
      <c r="Q2262" s="93">
        <v>46129</v>
      </c>
      <c r="R2262" t="s">
        <v>492</v>
      </c>
      <c r="S2262" t="s">
        <v>399</v>
      </c>
      <c r="T2262" s="14">
        <v>9000</v>
      </c>
      <c r="W2262" s="20">
        <v>46170</v>
      </c>
      <c r="X2262" t="s">
        <v>274</v>
      </c>
      <c r="Y2262" s="23">
        <v>8.1846153846153804</v>
      </c>
      <c r="Z2262" s="23">
        <v>7.7230769230769196</v>
      </c>
      <c r="AA2262" s="23">
        <v>7.9538461538461496</v>
      </c>
    </row>
    <row r="2263" spans="17:27" x14ac:dyDescent="0.3">
      <c r="Q2263" s="93">
        <v>46129</v>
      </c>
      <c r="R2263" t="s">
        <v>496</v>
      </c>
      <c r="S2263" t="s">
        <v>399</v>
      </c>
      <c r="T2263" s="14">
        <v>20520.658100000001</v>
      </c>
      <c r="W2263" s="20">
        <v>46170</v>
      </c>
      <c r="X2263" t="s">
        <v>275</v>
      </c>
      <c r="Y2263" s="23">
        <v>8.2038461538461505</v>
      </c>
      <c r="Z2263" s="23">
        <v>7.7423076923076897</v>
      </c>
      <c r="AA2263" s="23">
        <v>7.9730769230769196</v>
      </c>
    </row>
    <row r="2264" spans="17:27" x14ac:dyDescent="0.3">
      <c r="Q2264" s="93">
        <v>46129</v>
      </c>
      <c r="R2264" t="s">
        <v>497</v>
      </c>
      <c r="S2264" t="s">
        <v>399</v>
      </c>
      <c r="T2264" s="14">
        <v>397.61059999999998</v>
      </c>
      <c r="W2264" s="20">
        <v>46170</v>
      </c>
      <c r="X2264" t="s">
        <v>276</v>
      </c>
      <c r="Y2264" s="23">
        <v>8.2423076923076906</v>
      </c>
      <c r="Z2264" s="23">
        <v>7.7730769230769203</v>
      </c>
      <c r="AA2264" s="23">
        <v>8.0076923076923094</v>
      </c>
    </row>
    <row r="2265" spans="17:27" x14ac:dyDescent="0.3">
      <c r="Q2265" s="93">
        <v>46129</v>
      </c>
      <c r="R2265" t="s">
        <v>498</v>
      </c>
      <c r="S2265" t="s">
        <v>399</v>
      </c>
      <c r="T2265" s="14">
        <v>9000</v>
      </c>
      <c r="W2265" s="20">
        <v>46170</v>
      </c>
      <c r="X2265" t="s">
        <v>277</v>
      </c>
      <c r="Y2265" s="23">
        <v>8.3000000000000007</v>
      </c>
      <c r="Z2265" s="23">
        <v>7.8307692307692296</v>
      </c>
      <c r="AA2265" s="23">
        <v>8.0653846153846196</v>
      </c>
    </row>
    <row r="2266" spans="17:27" x14ac:dyDescent="0.3">
      <c r="Q2266" s="93">
        <v>46129</v>
      </c>
      <c r="R2266" t="s">
        <v>494</v>
      </c>
      <c r="S2266" t="s">
        <v>399</v>
      </c>
      <c r="T2266" s="14">
        <v>0</v>
      </c>
      <c r="W2266" s="20">
        <v>46170</v>
      </c>
      <c r="X2266" t="s">
        <v>278</v>
      </c>
      <c r="Y2266" s="23">
        <v>8.3153846153846107</v>
      </c>
      <c r="Z2266" s="23">
        <v>7.8461538461538396</v>
      </c>
      <c r="AA2266" s="23">
        <v>8.0807692307692296</v>
      </c>
    </row>
    <row r="2267" spans="17:27" x14ac:dyDescent="0.3">
      <c r="Q2267" s="93">
        <v>46129</v>
      </c>
      <c r="R2267" t="s">
        <v>495</v>
      </c>
      <c r="S2267" t="s">
        <v>399</v>
      </c>
      <c r="T2267" s="14">
        <v>0</v>
      </c>
      <c r="W2267" s="20">
        <v>46170</v>
      </c>
      <c r="X2267" t="s">
        <v>279</v>
      </c>
      <c r="Y2267" s="23">
        <v>8.3538461538461508</v>
      </c>
      <c r="Z2267" s="23">
        <v>7.8846153846153797</v>
      </c>
      <c r="AA2267" s="23">
        <v>8.1192307692307697</v>
      </c>
    </row>
    <row r="2268" spans="17:27" x14ac:dyDescent="0.3">
      <c r="Q2268" s="93">
        <v>46129</v>
      </c>
      <c r="R2268" t="s">
        <v>493</v>
      </c>
      <c r="S2268" t="s">
        <v>399</v>
      </c>
      <c r="T2268" s="14">
        <v>0</v>
      </c>
      <c r="W2268" s="20">
        <v>46170</v>
      </c>
      <c r="X2268" t="s">
        <v>280</v>
      </c>
      <c r="Y2268" s="23">
        <v>8.3846153846153797</v>
      </c>
      <c r="Z2268" s="23">
        <v>7.9153846153846104</v>
      </c>
      <c r="AA2268" s="23">
        <v>8.15</v>
      </c>
    </row>
    <row r="2269" spans="17:27" x14ac:dyDescent="0.3">
      <c r="Q2269" s="93">
        <v>46129</v>
      </c>
      <c r="R2269" t="s">
        <v>593</v>
      </c>
      <c r="S2269" t="s">
        <v>399</v>
      </c>
      <c r="T2269" s="14">
        <v>619</v>
      </c>
      <c r="W2269" s="20">
        <v>46170</v>
      </c>
      <c r="X2269" t="s">
        <v>281</v>
      </c>
      <c r="Y2269" s="23">
        <v>8.4</v>
      </c>
      <c r="Z2269" s="23">
        <v>7.9307692307692301</v>
      </c>
      <c r="AA2269" s="23">
        <v>8.1653846153846192</v>
      </c>
    </row>
    <row r="2270" spans="17:27" x14ac:dyDescent="0.3">
      <c r="Q2270" s="93">
        <v>46129</v>
      </c>
      <c r="R2270" t="s">
        <v>594</v>
      </c>
      <c r="S2270" t="s">
        <v>399</v>
      </c>
      <c r="T2270" s="14">
        <v>0</v>
      </c>
      <c r="W2270" s="20">
        <v>46174</v>
      </c>
      <c r="X2270" t="s">
        <v>270</v>
      </c>
      <c r="Y2270" s="23">
        <v>7.9357142857142904</v>
      </c>
      <c r="Z2270" s="23">
        <v>7.5571428571428596</v>
      </c>
      <c r="AA2270" s="23">
        <v>7.7464285714285701</v>
      </c>
    </row>
    <row r="2271" spans="17:27" x14ac:dyDescent="0.3">
      <c r="Q2271" s="93">
        <v>46129</v>
      </c>
      <c r="R2271" t="s">
        <v>595</v>
      </c>
      <c r="S2271" t="s">
        <v>399</v>
      </c>
      <c r="T2271" s="14">
        <v>0</v>
      </c>
      <c r="W2271" s="20">
        <v>46174</v>
      </c>
      <c r="X2271" t="s">
        <v>271</v>
      </c>
      <c r="Y2271" s="23">
        <v>8.1999999999999993</v>
      </c>
      <c r="Z2271" s="23">
        <v>7.76</v>
      </c>
      <c r="AA2271" s="23">
        <v>7.98</v>
      </c>
    </row>
    <row r="2272" spans="17:27" x14ac:dyDescent="0.3">
      <c r="Q2272" s="93">
        <v>46129</v>
      </c>
      <c r="R2272" t="s">
        <v>479</v>
      </c>
      <c r="S2272" t="s">
        <v>395</v>
      </c>
      <c r="T2272" s="14">
        <v>7234.3464459857396</v>
      </c>
      <c r="W2272" s="20">
        <v>46174</v>
      </c>
      <c r="X2272" t="s">
        <v>272</v>
      </c>
      <c r="Y2272" s="23">
        <v>8.1769230769230692</v>
      </c>
      <c r="Z2272" s="23">
        <v>7.7153846153846102</v>
      </c>
      <c r="AA2272" s="23">
        <v>7.9461538461538499</v>
      </c>
    </row>
    <row r="2273" spans="17:27" x14ac:dyDescent="0.3">
      <c r="Q2273" s="93">
        <v>46129</v>
      </c>
      <c r="R2273" t="s">
        <v>479</v>
      </c>
      <c r="S2273" t="s">
        <v>415</v>
      </c>
      <c r="T2273" s="14">
        <v>6.1431704501567701</v>
      </c>
      <c r="W2273" s="20">
        <v>46174</v>
      </c>
      <c r="X2273" t="s">
        <v>273</v>
      </c>
      <c r="Y2273" s="23">
        <v>8.2846153846153801</v>
      </c>
      <c r="Z2273" s="23">
        <v>7.8</v>
      </c>
      <c r="AA2273" s="23">
        <v>8.0423076923076895</v>
      </c>
    </row>
    <row r="2274" spans="17:27" x14ac:dyDescent="0.3">
      <c r="Q2274" s="93">
        <v>46129</v>
      </c>
      <c r="R2274" t="s">
        <v>364</v>
      </c>
      <c r="S2274" t="s">
        <v>415</v>
      </c>
      <c r="T2274" s="14">
        <v>6.0467002496058804</v>
      </c>
      <c r="W2274" s="20">
        <v>46174</v>
      </c>
      <c r="X2274" t="s">
        <v>274</v>
      </c>
      <c r="Y2274" s="23">
        <v>8.3153846153846107</v>
      </c>
      <c r="Z2274" s="23">
        <v>7.8384615384615399</v>
      </c>
      <c r="AA2274" s="23">
        <v>8.0769230769230802</v>
      </c>
    </row>
    <row r="2275" spans="17:27" x14ac:dyDescent="0.3">
      <c r="Q2275" s="93">
        <v>46129</v>
      </c>
      <c r="R2275" t="s">
        <v>364</v>
      </c>
      <c r="S2275" t="s">
        <v>997</v>
      </c>
      <c r="T2275" s="14">
        <v>26839.658100000001</v>
      </c>
      <c r="W2275" s="20">
        <v>46174</v>
      </c>
      <c r="X2275" t="s">
        <v>275</v>
      </c>
      <c r="Y2275" s="23">
        <v>8.3269230769230695</v>
      </c>
      <c r="Z2275" s="23">
        <v>7.85</v>
      </c>
      <c r="AA2275" s="23">
        <v>8.0884615384615408</v>
      </c>
    </row>
    <row r="2276" spans="17:27" x14ac:dyDescent="0.3">
      <c r="Q2276" s="93">
        <v>46129</v>
      </c>
      <c r="R2276" t="s">
        <v>496</v>
      </c>
      <c r="S2276" t="s">
        <v>997</v>
      </c>
      <c r="T2276" s="14">
        <v>26220.658100000001</v>
      </c>
      <c r="W2276" s="20">
        <v>46174</v>
      </c>
      <c r="X2276" t="s">
        <v>276</v>
      </c>
      <c r="Y2276" s="23">
        <v>8.3653846153846096</v>
      </c>
      <c r="Z2276" s="23">
        <v>7.8807692307692303</v>
      </c>
      <c r="AA2276" s="23">
        <v>8.1230769230769209</v>
      </c>
    </row>
    <row r="2277" spans="17:27" x14ac:dyDescent="0.3">
      <c r="Q2277" s="93">
        <v>46128</v>
      </c>
      <c r="R2277" t="s">
        <v>479</v>
      </c>
      <c r="S2277" t="s">
        <v>399</v>
      </c>
      <c r="T2277" s="14">
        <v>9397.6106</v>
      </c>
      <c r="W2277" s="20">
        <v>46174</v>
      </c>
      <c r="X2277" t="s">
        <v>277</v>
      </c>
      <c r="Y2277" s="23">
        <v>8.4230769230769198</v>
      </c>
      <c r="Z2277" s="23">
        <v>7.9384615384615396</v>
      </c>
      <c r="AA2277" s="23">
        <v>8.1807692307692292</v>
      </c>
    </row>
    <row r="2278" spans="17:27" x14ac:dyDescent="0.3">
      <c r="Q2278" s="93">
        <v>46128</v>
      </c>
      <c r="R2278" t="s">
        <v>364</v>
      </c>
      <c r="S2278" t="s">
        <v>399</v>
      </c>
      <c r="T2278" s="14">
        <v>21729.658100000001</v>
      </c>
      <c r="W2278" s="20">
        <v>46174</v>
      </c>
      <c r="X2278" t="s">
        <v>278</v>
      </c>
      <c r="Y2278" s="23">
        <v>8.4384615384615405</v>
      </c>
      <c r="Z2278" s="23">
        <v>7.9538461538461496</v>
      </c>
      <c r="AA2278" s="23">
        <v>8.1961538461538499</v>
      </c>
    </row>
    <row r="2279" spans="17:27" x14ac:dyDescent="0.3">
      <c r="Q2279" s="93">
        <v>46128</v>
      </c>
      <c r="R2279" t="s">
        <v>491</v>
      </c>
      <c r="S2279" t="s">
        <v>399</v>
      </c>
      <c r="T2279" s="14">
        <v>397.61059999999998</v>
      </c>
      <c r="W2279" s="20">
        <v>46174</v>
      </c>
      <c r="X2279" t="s">
        <v>279</v>
      </c>
      <c r="Y2279" s="23">
        <v>8.4692307692307693</v>
      </c>
      <c r="Z2279" s="23">
        <v>7.9846153846153802</v>
      </c>
      <c r="AA2279" s="23">
        <v>8.2269230769230806</v>
      </c>
    </row>
    <row r="2280" spans="17:27" x14ac:dyDescent="0.3">
      <c r="Q2280" s="93">
        <v>46128</v>
      </c>
      <c r="R2280" t="s">
        <v>492</v>
      </c>
      <c r="S2280" t="s">
        <v>399</v>
      </c>
      <c r="T2280" s="14">
        <v>9000</v>
      </c>
      <c r="W2280" s="20">
        <v>46174</v>
      </c>
      <c r="X2280" t="s">
        <v>280</v>
      </c>
      <c r="Y2280" s="23">
        <v>8.5</v>
      </c>
      <c r="Z2280" s="23">
        <v>8.0153846153846207</v>
      </c>
      <c r="AA2280" s="23">
        <v>8.2576923076923094</v>
      </c>
    </row>
    <row r="2281" spans="17:27" x14ac:dyDescent="0.3">
      <c r="Q2281" s="93">
        <v>46128</v>
      </c>
      <c r="R2281" t="s">
        <v>496</v>
      </c>
      <c r="S2281" t="s">
        <v>399</v>
      </c>
      <c r="T2281" s="14">
        <v>23110.658100000001</v>
      </c>
      <c r="W2281" s="20">
        <v>46174</v>
      </c>
      <c r="X2281" t="s">
        <v>281</v>
      </c>
      <c r="Y2281" s="23">
        <v>8.5076923076923094</v>
      </c>
      <c r="Z2281" s="23">
        <v>8.0230769230769194</v>
      </c>
      <c r="AA2281" s="23">
        <v>8.2653846153846207</v>
      </c>
    </row>
    <row r="2282" spans="17:27" x14ac:dyDescent="0.3">
      <c r="Q2282" s="93">
        <v>46128</v>
      </c>
      <c r="R2282" t="s">
        <v>497</v>
      </c>
      <c r="S2282" t="s">
        <v>399</v>
      </c>
      <c r="T2282" s="14">
        <v>397.61059999999998</v>
      </c>
      <c r="W2282" s="20">
        <v>46176</v>
      </c>
      <c r="X2282" t="s">
        <v>270</v>
      </c>
      <c r="Y2282" s="23">
        <v>7.8785714285714299</v>
      </c>
      <c r="Z2282" s="23">
        <v>7.5</v>
      </c>
      <c r="AA2282" s="23">
        <v>7.6892857142857096</v>
      </c>
    </row>
    <row r="2283" spans="17:27" x14ac:dyDescent="0.3">
      <c r="Q2283" s="93">
        <v>46128</v>
      </c>
      <c r="R2283" t="s">
        <v>498</v>
      </c>
      <c r="S2283" t="s">
        <v>399</v>
      </c>
      <c r="T2283" s="14">
        <v>9500</v>
      </c>
      <c r="W2283" s="20">
        <v>46176</v>
      </c>
      <c r="X2283" t="s">
        <v>271</v>
      </c>
      <c r="Y2283" s="23">
        <v>8.1199999999999992</v>
      </c>
      <c r="Z2283" s="23">
        <v>7.66</v>
      </c>
      <c r="AA2283" s="23">
        <v>7.89</v>
      </c>
    </row>
    <row r="2284" spans="17:27" x14ac:dyDescent="0.3">
      <c r="Q2284" s="93">
        <v>46128</v>
      </c>
      <c r="R2284" t="s">
        <v>494</v>
      </c>
      <c r="S2284" t="s">
        <v>399</v>
      </c>
      <c r="T2284" s="14">
        <v>0</v>
      </c>
      <c r="W2284" s="20">
        <v>46176</v>
      </c>
      <c r="X2284" t="s">
        <v>272</v>
      </c>
      <c r="Y2284" s="23">
        <v>8.1692307692307704</v>
      </c>
      <c r="Z2284" s="23">
        <v>7.7</v>
      </c>
      <c r="AA2284" s="23">
        <v>7.9346153846153902</v>
      </c>
    </row>
    <row r="2285" spans="17:27" x14ac:dyDescent="0.3">
      <c r="Q2285" s="93">
        <v>46128</v>
      </c>
      <c r="R2285" t="s">
        <v>495</v>
      </c>
      <c r="S2285" t="s">
        <v>399</v>
      </c>
      <c r="T2285" s="14">
        <v>0</v>
      </c>
      <c r="W2285" s="20">
        <v>46176</v>
      </c>
      <c r="X2285" t="s">
        <v>273</v>
      </c>
      <c r="Y2285" s="23">
        <v>8.3076923076923102</v>
      </c>
      <c r="Z2285" s="23">
        <v>7.8153846153846098</v>
      </c>
      <c r="AA2285" s="23">
        <v>8.0615384615384595</v>
      </c>
    </row>
    <row r="2286" spans="17:27" x14ac:dyDescent="0.3">
      <c r="Q2286" s="93">
        <v>46128</v>
      </c>
      <c r="R2286" t="s">
        <v>493</v>
      </c>
      <c r="S2286" t="s">
        <v>399</v>
      </c>
      <c r="T2286" s="14">
        <v>0</v>
      </c>
      <c r="W2286" s="20">
        <v>46176</v>
      </c>
      <c r="X2286" t="s">
        <v>274</v>
      </c>
      <c r="Y2286" s="23">
        <v>8.3307692307692296</v>
      </c>
      <c r="Z2286" s="23">
        <v>7.8461538461538396</v>
      </c>
      <c r="AA2286" s="23">
        <v>8.0884615384615408</v>
      </c>
    </row>
    <row r="2287" spans="17:27" x14ac:dyDescent="0.3">
      <c r="Q2287" s="93">
        <v>46128</v>
      </c>
      <c r="R2287" t="s">
        <v>593</v>
      </c>
      <c r="S2287" t="s">
        <v>399</v>
      </c>
      <c r="T2287" s="14">
        <v>-1381</v>
      </c>
      <c r="W2287" s="20">
        <v>46176</v>
      </c>
      <c r="X2287" t="s">
        <v>275</v>
      </c>
      <c r="Y2287" s="23">
        <v>8.3423076923076902</v>
      </c>
      <c r="Z2287" s="23">
        <v>7.85769230769231</v>
      </c>
      <c r="AA2287" s="23">
        <v>8.1</v>
      </c>
    </row>
    <row r="2288" spans="17:27" x14ac:dyDescent="0.3">
      <c r="Q2288" s="93">
        <v>46128</v>
      </c>
      <c r="R2288" t="s">
        <v>594</v>
      </c>
      <c r="S2288" t="s">
        <v>399</v>
      </c>
      <c r="T2288" s="14">
        <v>0</v>
      </c>
      <c r="W2288" s="20">
        <v>46176</v>
      </c>
      <c r="X2288" t="s">
        <v>276</v>
      </c>
      <c r="Y2288" s="23">
        <v>8.3807692307692303</v>
      </c>
      <c r="Z2288" s="23">
        <v>7.8884615384615397</v>
      </c>
      <c r="AA2288" s="23">
        <v>8.1346153846153797</v>
      </c>
    </row>
    <row r="2289" spans="17:27" x14ac:dyDescent="0.3">
      <c r="Q2289" s="93">
        <v>46128</v>
      </c>
      <c r="R2289" t="s">
        <v>595</v>
      </c>
      <c r="S2289" t="s">
        <v>399</v>
      </c>
      <c r="T2289" s="14">
        <v>-500</v>
      </c>
      <c r="W2289" s="20">
        <v>46176</v>
      </c>
      <c r="X2289" t="s">
        <v>277</v>
      </c>
      <c r="Y2289" s="23">
        <v>8.4384615384615405</v>
      </c>
      <c r="Z2289" s="23">
        <v>7.9461538461538499</v>
      </c>
      <c r="AA2289" s="23">
        <v>8.1923076923076898</v>
      </c>
    </row>
    <row r="2290" spans="17:27" x14ac:dyDescent="0.3">
      <c r="Q2290" s="93">
        <v>46128</v>
      </c>
      <c r="R2290" t="s">
        <v>479</v>
      </c>
      <c r="S2290" t="s">
        <v>395</v>
      </c>
      <c r="T2290" s="14">
        <v>7236.3660932804496</v>
      </c>
      <c r="W2290" s="20">
        <v>46176</v>
      </c>
      <c r="X2290" t="s">
        <v>278</v>
      </c>
      <c r="Y2290" s="23">
        <v>8.4538461538461505</v>
      </c>
      <c r="Z2290" s="23">
        <v>7.9615384615384599</v>
      </c>
      <c r="AA2290" s="23">
        <v>8.2076923076923105</v>
      </c>
    </row>
    <row r="2291" spans="17:27" x14ac:dyDescent="0.3">
      <c r="Q2291" s="93">
        <v>46128</v>
      </c>
      <c r="R2291" t="s">
        <v>479</v>
      </c>
      <c r="S2291" t="s">
        <v>415</v>
      </c>
      <c r="T2291" s="14">
        <v>6.1431704501567701</v>
      </c>
      <c r="W2291" s="20">
        <v>46176</v>
      </c>
      <c r="X2291" t="s">
        <v>279</v>
      </c>
      <c r="Y2291" s="23">
        <v>8.4846153846153793</v>
      </c>
      <c r="Z2291" s="23">
        <v>7.9923076923076897</v>
      </c>
      <c r="AA2291" s="23">
        <v>8.2384615384615394</v>
      </c>
    </row>
    <row r="2292" spans="17:27" x14ac:dyDescent="0.3">
      <c r="Q2292" s="93">
        <v>46128</v>
      </c>
      <c r="R2292" t="s">
        <v>364</v>
      </c>
      <c r="S2292" t="s">
        <v>415</v>
      </c>
      <c r="T2292" s="14">
        <v>6.1044061402241097</v>
      </c>
      <c r="W2292" s="20">
        <v>46176</v>
      </c>
      <c r="X2292" t="s">
        <v>280</v>
      </c>
      <c r="Y2292" s="23">
        <v>8.5076923076923094</v>
      </c>
      <c r="Z2292" s="23">
        <v>8.0153846153846207</v>
      </c>
      <c r="AA2292" s="23">
        <v>8.2615384615384606</v>
      </c>
    </row>
    <row r="2293" spans="17:27" x14ac:dyDescent="0.3">
      <c r="Q2293" s="93">
        <v>46128</v>
      </c>
      <c r="R2293" t="s">
        <v>364</v>
      </c>
      <c r="S2293" t="s">
        <v>997</v>
      </c>
      <c r="T2293" s="14">
        <v>27929.658100000001</v>
      </c>
      <c r="W2293" s="20">
        <v>46176</v>
      </c>
      <c r="X2293" t="s">
        <v>281</v>
      </c>
      <c r="Y2293" s="23">
        <v>8.5153846153846207</v>
      </c>
      <c r="Z2293" s="23">
        <v>8.0230769230769194</v>
      </c>
      <c r="AA2293" s="23">
        <v>8.2692307692307701</v>
      </c>
    </row>
    <row r="2294" spans="17:27" x14ac:dyDescent="0.3">
      <c r="Q2294" s="93">
        <v>46128</v>
      </c>
      <c r="R2294" t="s">
        <v>496</v>
      </c>
      <c r="S2294" t="s">
        <v>997</v>
      </c>
      <c r="T2294" s="14">
        <v>29310.658100000001</v>
      </c>
      <c r="W2294" s="20">
        <v>46171</v>
      </c>
      <c r="X2294" t="s">
        <v>270</v>
      </c>
      <c r="Y2294" s="23">
        <v>7.8642857142857103</v>
      </c>
      <c r="Z2294" s="23">
        <v>7.4857142857142902</v>
      </c>
      <c r="AA2294" s="23">
        <v>7.6749999999999998</v>
      </c>
    </row>
    <row r="2295" spans="17:27" x14ac:dyDescent="0.3">
      <c r="Q2295" s="93">
        <v>46127</v>
      </c>
      <c r="R2295" t="s">
        <v>479</v>
      </c>
      <c r="S2295" t="s">
        <v>399</v>
      </c>
      <c r="T2295" s="14">
        <v>9897.6106</v>
      </c>
      <c r="W2295" s="20">
        <v>46171</v>
      </c>
      <c r="X2295" t="s">
        <v>271</v>
      </c>
      <c r="Y2295" s="23">
        <v>8.02</v>
      </c>
      <c r="Z2295" s="23">
        <v>7.62</v>
      </c>
      <c r="AA2295" s="23">
        <v>7.82</v>
      </c>
    </row>
    <row r="2296" spans="17:27" x14ac:dyDescent="0.3">
      <c r="Q2296" s="93">
        <v>46127</v>
      </c>
      <c r="R2296" t="s">
        <v>364</v>
      </c>
      <c r="S2296" t="s">
        <v>399</v>
      </c>
      <c r="T2296" s="14">
        <v>20029.658100000001</v>
      </c>
      <c r="W2296" s="20">
        <v>46171</v>
      </c>
      <c r="X2296" t="s">
        <v>272</v>
      </c>
      <c r="Y2296" s="23">
        <v>8.1230769230769209</v>
      </c>
      <c r="Z2296" s="23">
        <v>7.6692307692307704</v>
      </c>
      <c r="AA2296" s="23">
        <v>7.8961538461538501</v>
      </c>
    </row>
    <row r="2297" spans="17:27" x14ac:dyDescent="0.3">
      <c r="Q2297" s="93">
        <v>46127</v>
      </c>
      <c r="R2297" t="s">
        <v>491</v>
      </c>
      <c r="S2297" t="s">
        <v>399</v>
      </c>
      <c r="T2297" s="14">
        <v>397.61059999999998</v>
      </c>
      <c r="W2297" s="20">
        <v>46171</v>
      </c>
      <c r="X2297" t="s">
        <v>273</v>
      </c>
      <c r="Y2297" s="23">
        <v>8.2461538461538506</v>
      </c>
      <c r="Z2297" s="23">
        <v>7.7769230769230804</v>
      </c>
      <c r="AA2297" s="23">
        <v>8.0115384615384606</v>
      </c>
    </row>
    <row r="2298" spans="17:27" x14ac:dyDescent="0.3">
      <c r="Q2298" s="93">
        <v>46127</v>
      </c>
      <c r="R2298" t="s">
        <v>492</v>
      </c>
      <c r="S2298" t="s">
        <v>399</v>
      </c>
      <c r="T2298" s="14">
        <v>9500</v>
      </c>
      <c r="W2298" s="20">
        <v>46171</v>
      </c>
      <c r="X2298" t="s">
        <v>274</v>
      </c>
      <c r="Y2298" s="23">
        <v>8.2769230769230706</v>
      </c>
      <c r="Z2298" s="23">
        <v>7.8153846153846098</v>
      </c>
      <c r="AA2298" s="23">
        <v>8.0461538461538495</v>
      </c>
    </row>
    <row r="2299" spans="17:27" x14ac:dyDescent="0.3">
      <c r="Q2299" s="93">
        <v>46127</v>
      </c>
      <c r="R2299" t="s">
        <v>496</v>
      </c>
      <c r="S2299" t="s">
        <v>399</v>
      </c>
      <c r="T2299" s="14">
        <v>23416.658100000001</v>
      </c>
      <c r="W2299" s="20">
        <v>46171</v>
      </c>
      <c r="X2299" t="s">
        <v>275</v>
      </c>
      <c r="Y2299" s="23">
        <v>8.2884615384615401</v>
      </c>
      <c r="Z2299" s="23">
        <v>7.8269230769230802</v>
      </c>
      <c r="AA2299" s="23">
        <v>8.0576923076923102</v>
      </c>
    </row>
    <row r="2300" spans="17:27" x14ac:dyDescent="0.3">
      <c r="Q2300" s="93">
        <v>46127</v>
      </c>
      <c r="R2300" t="s">
        <v>497</v>
      </c>
      <c r="S2300" t="s">
        <v>399</v>
      </c>
      <c r="T2300" s="14">
        <v>397.61059999999998</v>
      </c>
      <c r="W2300" s="20">
        <v>46171</v>
      </c>
      <c r="X2300" t="s">
        <v>276</v>
      </c>
      <c r="Y2300" s="23">
        <v>8.3269230769230695</v>
      </c>
      <c r="Z2300" s="23">
        <v>7.85769230769231</v>
      </c>
      <c r="AA2300" s="23">
        <v>8.0923076923076902</v>
      </c>
    </row>
    <row r="2301" spans="17:27" x14ac:dyDescent="0.3">
      <c r="Q2301" s="93">
        <v>46127</v>
      </c>
      <c r="R2301" t="s">
        <v>498</v>
      </c>
      <c r="S2301" t="s">
        <v>399</v>
      </c>
      <c r="T2301" s="14">
        <v>9500</v>
      </c>
      <c r="W2301" s="20">
        <v>46171</v>
      </c>
      <c r="X2301" t="s">
        <v>277</v>
      </c>
      <c r="Y2301" s="23">
        <v>8.3769230769230791</v>
      </c>
      <c r="Z2301" s="23">
        <v>7.9076923076923098</v>
      </c>
      <c r="AA2301" s="23">
        <v>8.1423076923076891</v>
      </c>
    </row>
    <row r="2302" spans="17:27" x14ac:dyDescent="0.3">
      <c r="Q2302" s="93">
        <v>46127</v>
      </c>
      <c r="R2302" t="s">
        <v>494</v>
      </c>
      <c r="S2302" t="s">
        <v>399</v>
      </c>
      <c r="T2302" s="14">
        <v>0</v>
      </c>
      <c r="W2302" s="20">
        <v>46171</v>
      </c>
      <c r="X2302" t="s">
        <v>278</v>
      </c>
      <c r="Y2302" s="23">
        <v>8.3923076923076891</v>
      </c>
      <c r="Z2302" s="23">
        <v>7.9230769230769198</v>
      </c>
      <c r="AA2302" s="23">
        <v>8.1576923076923098</v>
      </c>
    </row>
    <row r="2303" spans="17:27" x14ac:dyDescent="0.3">
      <c r="Q2303" s="93">
        <v>46127</v>
      </c>
      <c r="R2303" t="s">
        <v>495</v>
      </c>
      <c r="S2303" t="s">
        <v>399</v>
      </c>
      <c r="T2303" s="14">
        <v>0</v>
      </c>
      <c r="W2303" s="20">
        <v>46171</v>
      </c>
      <c r="X2303" t="s">
        <v>279</v>
      </c>
      <c r="Y2303" s="23">
        <v>8.4230769230769198</v>
      </c>
      <c r="Z2303" s="23">
        <v>7.9538461538461496</v>
      </c>
      <c r="AA2303" s="23">
        <v>8.1884615384615405</v>
      </c>
    </row>
    <row r="2304" spans="17:27" x14ac:dyDescent="0.3">
      <c r="Q2304" s="93">
        <v>46127</v>
      </c>
      <c r="R2304" t="s">
        <v>493</v>
      </c>
      <c r="S2304" t="s">
        <v>399</v>
      </c>
      <c r="T2304" s="14">
        <v>0</v>
      </c>
      <c r="W2304" s="20">
        <v>46171</v>
      </c>
      <c r="X2304" t="s">
        <v>280</v>
      </c>
      <c r="Y2304" s="23">
        <v>8.4538461538461505</v>
      </c>
      <c r="Z2304" s="23">
        <v>7.9846153846153802</v>
      </c>
      <c r="AA2304" s="23">
        <v>8.2192307692307693</v>
      </c>
    </row>
    <row r="2305" spans="17:27" x14ac:dyDescent="0.3">
      <c r="Q2305" s="93">
        <v>46127</v>
      </c>
      <c r="R2305" t="s">
        <v>593</v>
      </c>
      <c r="S2305" t="s">
        <v>399</v>
      </c>
      <c r="T2305" s="14">
        <v>-3387</v>
      </c>
      <c r="W2305" s="20">
        <v>46171</v>
      </c>
      <c r="X2305" t="s">
        <v>281</v>
      </c>
      <c r="Y2305" s="23">
        <v>8.4615384615384599</v>
      </c>
      <c r="Z2305" s="23">
        <v>7.9923076923076897</v>
      </c>
      <c r="AA2305" s="23">
        <v>8.2269230769230806</v>
      </c>
    </row>
    <row r="2306" spans="17:27" x14ac:dyDescent="0.3">
      <c r="Q2306" s="93">
        <v>46127</v>
      </c>
      <c r="R2306" t="s">
        <v>594</v>
      </c>
      <c r="S2306" t="s">
        <v>399</v>
      </c>
      <c r="T2306" s="14">
        <v>0</v>
      </c>
      <c r="W2306" s="20">
        <v>46177</v>
      </c>
      <c r="X2306" t="s">
        <v>270</v>
      </c>
      <c r="Y2306" s="23">
        <v>7.8785714285714299</v>
      </c>
      <c r="Z2306" s="23">
        <v>7.5</v>
      </c>
      <c r="AA2306" s="23">
        <v>7.6892857142857096</v>
      </c>
    </row>
    <row r="2307" spans="17:27" x14ac:dyDescent="0.3">
      <c r="Q2307" s="93">
        <v>46127</v>
      </c>
      <c r="R2307" t="s">
        <v>595</v>
      </c>
      <c r="S2307" t="s">
        <v>399</v>
      </c>
      <c r="T2307" s="14">
        <v>0</v>
      </c>
      <c r="W2307" s="20">
        <v>46177</v>
      </c>
      <c r="X2307" t="s">
        <v>271</v>
      </c>
      <c r="Y2307" s="23">
        <v>8.1</v>
      </c>
      <c r="Z2307" s="23">
        <v>7.66</v>
      </c>
      <c r="AA2307" s="23">
        <v>7.88</v>
      </c>
    </row>
    <row r="2308" spans="17:27" x14ac:dyDescent="0.3">
      <c r="Q2308" s="93">
        <v>46127</v>
      </c>
      <c r="R2308" t="s">
        <v>479</v>
      </c>
      <c r="S2308" t="s">
        <v>395</v>
      </c>
      <c r="T2308" s="14">
        <v>6726.0037612395699</v>
      </c>
      <c r="W2308" s="20">
        <v>46177</v>
      </c>
      <c r="X2308" t="s">
        <v>272</v>
      </c>
      <c r="Y2308" s="23">
        <v>8.1461538461538403</v>
      </c>
      <c r="Z2308" s="23">
        <v>7.7</v>
      </c>
      <c r="AA2308" s="23">
        <v>7.9230769230769198</v>
      </c>
    </row>
    <row r="2309" spans="17:27" x14ac:dyDescent="0.3">
      <c r="Q2309" s="93">
        <v>46127</v>
      </c>
      <c r="R2309" t="s">
        <v>479</v>
      </c>
      <c r="S2309" t="s">
        <v>415</v>
      </c>
      <c r="T2309" s="14">
        <v>6.1258344251288301</v>
      </c>
      <c r="W2309" s="20">
        <v>46177</v>
      </c>
      <c r="X2309" t="s">
        <v>273</v>
      </c>
      <c r="Y2309" s="23">
        <v>8.2846153846153801</v>
      </c>
      <c r="Z2309" s="23">
        <v>7.8076923076923102</v>
      </c>
      <c r="AA2309" s="23">
        <v>8.0461538461538495</v>
      </c>
    </row>
    <row r="2310" spans="17:27" x14ac:dyDescent="0.3">
      <c r="Q2310" s="93">
        <v>46127</v>
      </c>
      <c r="R2310" t="s">
        <v>364</v>
      </c>
      <c r="S2310" t="s">
        <v>415</v>
      </c>
      <c r="T2310" s="14">
        <v>6.0875355596038103</v>
      </c>
      <c r="W2310" s="20">
        <v>46175</v>
      </c>
      <c r="X2310" t="s">
        <v>270</v>
      </c>
      <c r="Y2310" s="23">
        <v>7.9214285714285699</v>
      </c>
      <c r="Z2310" s="23">
        <v>7.54285714285714</v>
      </c>
      <c r="AA2310" s="23">
        <v>7.7321428571428603</v>
      </c>
    </row>
    <row r="2311" spans="17:27" x14ac:dyDescent="0.3">
      <c r="Q2311" s="93">
        <v>46127</v>
      </c>
      <c r="R2311" t="s">
        <v>364</v>
      </c>
      <c r="S2311" t="s">
        <v>997</v>
      </c>
      <c r="T2311" s="14">
        <v>26229.658100000001</v>
      </c>
      <c r="W2311" s="20">
        <v>46175</v>
      </c>
      <c r="X2311" t="s">
        <v>271</v>
      </c>
      <c r="Y2311" s="23">
        <v>8.16</v>
      </c>
      <c r="Z2311" s="23">
        <v>7.7</v>
      </c>
      <c r="AA2311" s="23">
        <v>7.93</v>
      </c>
    </row>
    <row r="2312" spans="17:27" x14ac:dyDescent="0.3">
      <c r="Q2312" s="93">
        <v>46127</v>
      </c>
      <c r="R2312" t="s">
        <v>496</v>
      </c>
      <c r="S2312" t="s">
        <v>997</v>
      </c>
      <c r="T2312" s="14">
        <v>29616.658100000001</v>
      </c>
      <c r="W2312" s="20">
        <v>46175</v>
      </c>
      <c r="X2312" t="s">
        <v>272</v>
      </c>
      <c r="Y2312" s="23">
        <v>8.1692307692307704</v>
      </c>
      <c r="Z2312" s="23">
        <v>7.7</v>
      </c>
      <c r="AA2312" s="23">
        <v>7.9346153846153902</v>
      </c>
    </row>
    <row r="2313" spans="17:27" x14ac:dyDescent="0.3">
      <c r="Q2313" s="93">
        <v>46126</v>
      </c>
      <c r="R2313" t="s">
        <v>479</v>
      </c>
      <c r="S2313" t="s">
        <v>399</v>
      </c>
      <c r="T2313" s="14">
        <v>9897.6106</v>
      </c>
      <c r="W2313" s="20">
        <v>46175</v>
      </c>
      <c r="X2313" t="s">
        <v>273</v>
      </c>
      <c r="Y2313" s="23">
        <v>8.2692307692307701</v>
      </c>
      <c r="Z2313" s="23">
        <v>7.7769230769230804</v>
      </c>
      <c r="AA2313" s="23">
        <v>8.0230769230769194</v>
      </c>
    </row>
    <row r="2314" spans="17:27" x14ac:dyDescent="0.3">
      <c r="Q2314" s="93">
        <v>46126</v>
      </c>
      <c r="R2314" t="s">
        <v>364</v>
      </c>
      <c r="S2314" t="s">
        <v>399</v>
      </c>
      <c r="T2314" s="14">
        <v>22529.658100000001</v>
      </c>
      <c r="W2314" s="20">
        <v>46175</v>
      </c>
      <c r="X2314" t="s">
        <v>274</v>
      </c>
      <c r="Y2314" s="23">
        <v>8.3153846153846107</v>
      </c>
      <c r="Z2314" s="23">
        <v>7.8307692307692296</v>
      </c>
      <c r="AA2314" s="23">
        <v>8.0730769230769202</v>
      </c>
    </row>
    <row r="2315" spans="17:27" x14ac:dyDescent="0.3">
      <c r="Q2315" s="93">
        <v>46126</v>
      </c>
      <c r="R2315" t="s">
        <v>491</v>
      </c>
      <c r="S2315" t="s">
        <v>399</v>
      </c>
      <c r="T2315" s="14">
        <v>397.61059999999998</v>
      </c>
      <c r="W2315" s="20">
        <v>46175</v>
      </c>
      <c r="X2315" t="s">
        <v>275</v>
      </c>
      <c r="Y2315" s="23">
        <v>8.3269230769230695</v>
      </c>
      <c r="Z2315" s="23">
        <v>7.8423076923076902</v>
      </c>
      <c r="AA2315" s="23">
        <v>8.0846153846153808</v>
      </c>
    </row>
    <row r="2316" spans="17:27" x14ac:dyDescent="0.3">
      <c r="Q2316" s="93">
        <v>46126</v>
      </c>
      <c r="R2316" t="s">
        <v>492</v>
      </c>
      <c r="S2316" t="s">
        <v>399</v>
      </c>
      <c r="T2316" s="14">
        <v>9500</v>
      </c>
      <c r="W2316" s="20">
        <v>46175</v>
      </c>
      <c r="X2316" t="s">
        <v>276</v>
      </c>
      <c r="Y2316" s="23">
        <v>8.3653846153846096</v>
      </c>
      <c r="Z2316" s="23">
        <v>7.87307692307692</v>
      </c>
      <c r="AA2316" s="23">
        <v>8.1192307692307697</v>
      </c>
    </row>
    <row r="2317" spans="17:27" x14ac:dyDescent="0.3">
      <c r="Q2317" s="93">
        <v>46126</v>
      </c>
      <c r="R2317" t="s">
        <v>496</v>
      </c>
      <c r="S2317" t="s">
        <v>399</v>
      </c>
      <c r="T2317" s="14">
        <v>23916.658100000001</v>
      </c>
      <c r="W2317" s="20">
        <v>46175</v>
      </c>
      <c r="X2317" t="s">
        <v>277</v>
      </c>
      <c r="Y2317" s="23">
        <v>8.4153846153846192</v>
      </c>
      <c r="Z2317" s="23">
        <v>7.9230769230769198</v>
      </c>
      <c r="AA2317" s="23">
        <v>8.1692307692307704</v>
      </c>
    </row>
    <row r="2318" spans="17:27" x14ac:dyDescent="0.3">
      <c r="Q2318" s="93">
        <v>46126</v>
      </c>
      <c r="R2318" t="s">
        <v>497</v>
      </c>
      <c r="S2318" t="s">
        <v>399</v>
      </c>
      <c r="T2318" s="14">
        <v>397.61059999999998</v>
      </c>
      <c r="W2318" s="20">
        <v>46175</v>
      </c>
      <c r="X2318" t="s">
        <v>278</v>
      </c>
      <c r="Y2318" s="23">
        <v>8.4384615384615405</v>
      </c>
      <c r="Z2318" s="23">
        <v>7.9461538461538499</v>
      </c>
      <c r="AA2318" s="23">
        <v>8.1923076923076898</v>
      </c>
    </row>
    <row r="2319" spans="17:27" x14ac:dyDescent="0.3">
      <c r="Q2319" s="93">
        <v>46126</v>
      </c>
      <c r="R2319" t="s">
        <v>498</v>
      </c>
      <c r="S2319" t="s">
        <v>399</v>
      </c>
      <c r="T2319" s="14">
        <v>9500</v>
      </c>
      <c r="W2319" s="20">
        <v>46175</v>
      </c>
      <c r="X2319" t="s">
        <v>279</v>
      </c>
      <c r="Y2319" s="23">
        <v>8.4692307692307693</v>
      </c>
      <c r="Z2319" s="23">
        <v>7.9769230769230699</v>
      </c>
      <c r="AA2319" s="23">
        <v>8.2230769230769205</v>
      </c>
    </row>
    <row r="2320" spans="17:27" x14ac:dyDescent="0.3">
      <c r="Q2320" s="93">
        <v>46126</v>
      </c>
      <c r="R2320" t="s">
        <v>494</v>
      </c>
      <c r="S2320" t="s">
        <v>399</v>
      </c>
      <c r="T2320" s="14">
        <v>0</v>
      </c>
      <c r="W2320" s="20">
        <v>46175</v>
      </c>
      <c r="X2320" t="s">
        <v>280</v>
      </c>
      <c r="Y2320" s="23">
        <v>8.4923076923076906</v>
      </c>
      <c r="Z2320" s="23">
        <v>8</v>
      </c>
      <c r="AA2320" s="23">
        <v>8.2461538461538506</v>
      </c>
    </row>
    <row r="2321" spans="17:27" x14ac:dyDescent="0.3">
      <c r="Q2321" s="93">
        <v>46126</v>
      </c>
      <c r="R2321" t="s">
        <v>495</v>
      </c>
      <c r="S2321" t="s">
        <v>399</v>
      </c>
      <c r="T2321" s="14">
        <v>0</v>
      </c>
      <c r="W2321" s="20">
        <v>46175</v>
      </c>
      <c r="X2321" t="s">
        <v>281</v>
      </c>
      <c r="Y2321" s="23">
        <v>8.5076923076923094</v>
      </c>
      <c r="Z2321" s="23">
        <v>8.0153846153846207</v>
      </c>
      <c r="AA2321" s="23">
        <v>8.2615384615384606</v>
      </c>
    </row>
    <row r="2322" spans="17:27" x14ac:dyDescent="0.3">
      <c r="Q2322" s="93">
        <v>46126</v>
      </c>
      <c r="R2322" t="s">
        <v>493</v>
      </c>
      <c r="S2322" t="s">
        <v>399</v>
      </c>
      <c r="T2322" s="14">
        <v>0</v>
      </c>
      <c r="W2322" s="20">
        <v>46177</v>
      </c>
      <c r="X2322" t="s">
        <v>274</v>
      </c>
      <c r="Y2322" s="23">
        <v>8.3230769230769202</v>
      </c>
      <c r="Z2322" s="23">
        <v>7.8538461538461499</v>
      </c>
      <c r="AA2322" s="23">
        <v>8.0884615384615408</v>
      </c>
    </row>
    <row r="2323" spans="17:27" x14ac:dyDescent="0.3">
      <c r="Q2323" s="93">
        <v>46126</v>
      </c>
      <c r="R2323" t="s">
        <v>593</v>
      </c>
      <c r="S2323" t="s">
        <v>399</v>
      </c>
      <c r="T2323" s="14">
        <v>-1387</v>
      </c>
      <c r="W2323" s="20">
        <v>46177</v>
      </c>
      <c r="X2323" t="s">
        <v>275</v>
      </c>
      <c r="Y2323" s="23">
        <v>8.3346153846153808</v>
      </c>
      <c r="Z2323" s="23">
        <v>7.8653846153846203</v>
      </c>
      <c r="AA2323" s="23">
        <v>8.1</v>
      </c>
    </row>
    <row r="2324" spans="17:27" x14ac:dyDescent="0.3">
      <c r="Q2324" s="93">
        <v>46126</v>
      </c>
      <c r="R2324" t="s">
        <v>594</v>
      </c>
      <c r="S2324" t="s">
        <v>399</v>
      </c>
      <c r="T2324" s="14">
        <v>0</v>
      </c>
      <c r="W2324" s="20">
        <v>46177</v>
      </c>
      <c r="X2324" t="s">
        <v>276</v>
      </c>
      <c r="Y2324" s="23">
        <v>8.3730769230769209</v>
      </c>
      <c r="Z2324" s="23">
        <v>7.8961538461538501</v>
      </c>
      <c r="AA2324" s="23">
        <v>8.1346153846153797</v>
      </c>
    </row>
    <row r="2325" spans="17:27" x14ac:dyDescent="0.3">
      <c r="Q2325" s="93">
        <v>46126</v>
      </c>
      <c r="R2325" t="s">
        <v>595</v>
      </c>
      <c r="S2325" t="s">
        <v>399</v>
      </c>
      <c r="T2325" s="14">
        <v>0</v>
      </c>
      <c r="W2325" s="20">
        <v>46177</v>
      </c>
      <c r="X2325" t="s">
        <v>277</v>
      </c>
      <c r="Y2325" s="23">
        <v>8.4230769230769198</v>
      </c>
      <c r="Z2325" s="23">
        <v>7.9461538461538499</v>
      </c>
      <c r="AA2325" s="23">
        <v>8.1846153846153804</v>
      </c>
    </row>
    <row r="2326" spans="17:27" x14ac:dyDescent="0.3">
      <c r="Q2326" s="93">
        <v>46126</v>
      </c>
      <c r="R2326" t="s">
        <v>479</v>
      </c>
      <c r="S2326" t="s">
        <v>395</v>
      </c>
      <c r="T2326" s="14">
        <v>6722.2045670569596</v>
      </c>
      <c r="W2326" s="20">
        <v>46177</v>
      </c>
      <c r="X2326" t="s">
        <v>278</v>
      </c>
      <c r="Y2326" s="23">
        <v>8.4461538461538392</v>
      </c>
      <c r="Z2326" s="23">
        <v>7.9692307692307702</v>
      </c>
      <c r="AA2326" s="23">
        <v>8.2076923076923105</v>
      </c>
    </row>
    <row r="2327" spans="17:27" x14ac:dyDescent="0.3">
      <c r="Q2327" s="93">
        <v>46126</v>
      </c>
      <c r="R2327" t="s">
        <v>479</v>
      </c>
      <c r="S2327" t="s">
        <v>415</v>
      </c>
      <c r="T2327" s="14">
        <v>6.1258344251288301</v>
      </c>
      <c r="W2327" s="20">
        <v>46177</v>
      </c>
      <c r="X2327" t="s">
        <v>279</v>
      </c>
      <c r="Y2327" s="23">
        <v>8.4769230769230806</v>
      </c>
      <c r="Z2327" s="23">
        <v>8</v>
      </c>
      <c r="AA2327" s="23">
        <v>8.2384615384615394</v>
      </c>
    </row>
    <row r="2328" spans="17:27" x14ac:dyDescent="0.3">
      <c r="Q2328" s="93">
        <v>46126</v>
      </c>
      <c r="R2328" t="s">
        <v>364</v>
      </c>
      <c r="S2328" t="s">
        <v>415</v>
      </c>
      <c r="T2328" s="14">
        <v>6.2181355586913298</v>
      </c>
      <c r="W2328" s="20">
        <v>46177</v>
      </c>
      <c r="X2328" t="s">
        <v>280</v>
      </c>
      <c r="Y2328" s="23">
        <v>8.4923076923076906</v>
      </c>
      <c r="Z2328" s="23">
        <v>8.0153846153846207</v>
      </c>
      <c r="AA2328" s="23">
        <v>8.2538461538461494</v>
      </c>
    </row>
    <row r="2329" spans="17:27" x14ac:dyDescent="0.3">
      <c r="Q2329" s="93">
        <v>46126</v>
      </c>
      <c r="R2329" t="s">
        <v>364</v>
      </c>
      <c r="S2329" t="s">
        <v>997</v>
      </c>
      <c r="T2329" s="14">
        <v>29229.658100000001</v>
      </c>
      <c r="W2329" s="20">
        <v>46177</v>
      </c>
      <c r="X2329" t="s">
        <v>281</v>
      </c>
      <c r="Y2329" s="23">
        <v>8.5076923076923094</v>
      </c>
      <c r="Z2329" s="23">
        <v>8.0307692307692307</v>
      </c>
      <c r="AA2329" s="23">
        <v>8.2692307692307701</v>
      </c>
    </row>
    <row r="2330" spans="17:27" x14ac:dyDescent="0.3">
      <c r="Q2330" s="93">
        <v>46126</v>
      </c>
      <c r="R2330" t="s">
        <v>496</v>
      </c>
      <c r="S2330" t="s">
        <v>997</v>
      </c>
      <c r="T2330" s="14">
        <v>30616.658100000001</v>
      </c>
      <c r="W2330" s="20">
        <v>46178</v>
      </c>
      <c r="X2330" t="s">
        <v>270</v>
      </c>
      <c r="Y2330" s="23">
        <v>7.8785714285714299</v>
      </c>
      <c r="Z2330" s="23">
        <v>7.5</v>
      </c>
      <c r="AA2330" s="23">
        <v>7.6892857142857096</v>
      </c>
    </row>
    <row r="2331" spans="17:27" x14ac:dyDescent="0.3">
      <c r="Q2331" s="93">
        <v>46125</v>
      </c>
      <c r="R2331" t="s">
        <v>479</v>
      </c>
      <c r="S2331" t="s">
        <v>399</v>
      </c>
      <c r="T2331" s="14">
        <v>9897.6106</v>
      </c>
      <c r="W2331" s="20">
        <v>46178</v>
      </c>
      <c r="X2331" t="s">
        <v>271</v>
      </c>
      <c r="Y2331" s="23">
        <v>8.1</v>
      </c>
      <c r="Z2331" s="23">
        <v>7.66</v>
      </c>
      <c r="AA2331" s="23">
        <v>7.88</v>
      </c>
    </row>
    <row r="2332" spans="17:27" x14ac:dyDescent="0.3">
      <c r="Q2332" s="93">
        <v>46125</v>
      </c>
      <c r="R2332" t="s">
        <v>364</v>
      </c>
      <c r="S2332" t="s">
        <v>399</v>
      </c>
      <c r="T2332" s="14">
        <v>25819.658100000001</v>
      </c>
      <c r="W2332" s="20">
        <v>46178</v>
      </c>
      <c r="X2332" t="s">
        <v>272</v>
      </c>
      <c r="Y2332" s="23">
        <v>8.1538461538461497</v>
      </c>
      <c r="Z2332" s="23">
        <v>7.7</v>
      </c>
      <c r="AA2332" s="23">
        <v>7.9269230769230798</v>
      </c>
    </row>
    <row r="2333" spans="17:27" x14ac:dyDescent="0.3">
      <c r="Q2333" s="93">
        <v>46125</v>
      </c>
      <c r="R2333" t="s">
        <v>491</v>
      </c>
      <c r="S2333" t="s">
        <v>399</v>
      </c>
      <c r="T2333" s="14">
        <v>397.61059999999998</v>
      </c>
      <c r="W2333" s="20">
        <v>46178</v>
      </c>
      <c r="X2333" t="s">
        <v>273</v>
      </c>
      <c r="Y2333" s="23">
        <v>8.2846153846153801</v>
      </c>
      <c r="Z2333" s="23">
        <v>7.8076923076923102</v>
      </c>
      <c r="AA2333" s="23">
        <v>8.0461538461538495</v>
      </c>
    </row>
    <row r="2334" spans="17:27" x14ac:dyDescent="0.3">
      <c r="Q2334" s="93">
        <v>46125</v>
      </c>
      <c r="R2334" t="s">
        <v>492</v>
      </c>
      <c r="S2334" t="s">
        <v>399</v>
      </c>
      <c r="T2334" s="14">
        <v>9500</v>
      </c>
      <c r="W2334" s="20">
        <v>46178</v>
      </c>
      <c r="X2334" t="s">
        <v>274</v>
      </c>
      <c r="Y2334" s="23">
        <v>8.3230769230769202</v>
      </c>
      <c r="Z2334" s="23">
        <v>7.8538461538461499</v>
      </c>
      <c r="AA2334" s="23">
        <v>8.0884615384615408</v>
      </c>
    </row>
    <row r="2335" spans="17:27" x14ac:dyDescent="0.3">
      <c r="Q2335" s="93">
        <v>46125</v>
      </c>
      <c r="R2335" t="s">
        <v>496</v>
      </c>
      <c r="S2335" t="s">
        <v>399</v>
      </c>
      <c r="T2335" s="14">
        <v>22095.858100000001</v>
      </c>
      <c r="W2335" s="20">
        <v>46178</v>
      </c>
      <c r="X2335" t="s">
        <v>275</v>
      </c>
      <c r="Y2335" s="23">
        <v>8.3346153846153808</v>
      </c>
      <c r="Z2335" s="23">
        <v>7.8653846153846203</v>
      </c>
      <c r="AA2335" s="23">
        <v>8.1</v>
      </c>
    </row>
    <row r="2336" spans="17:27" x14ac:dyDescent="0.3">
      <c r="Q2336" s="93">
        <v>46125</v>
      </c>
      <c r="R2336" t="s">
        <v>497</v>
      </c>
      <c r="S2336" t="s">
        <v>399</v>
      </c>
      <c r="T2336" s="14">
        <v>397.61059999999998</v>
      </c>
      <c r="W2336" s="20">
        <v>46178</v>
      </c>
      <c r="X2336" t="s">
        <v>276</v>
      </c>
      <c r="Y2336" s="23">
        <v>8.3730769230769209</v>
      </c>
      <c r="Z2336" s="23">
        <v>7.8961538461538501</v>
      </c>
      <c r="AA2336" s="23">
        <v>8.1346153846153797</v>
      </c>
    </row>
    <row r="2337" spans="17:27" x14ac:dyDescent="0.3">
      <c r="Q2337" s="93">
        <v>46125</v>
      </c>
      <c r="R2337" t="s">
        <v>498</v>
      </c>
      <c r="S2337" t="s">
        <v>399</v>
      </c>
      <c r="T2337" s="14">
        <v>9500</v>
      </c>
      <c r="W2337" s="20">
        <v>46178</v>
      </c>
      <c r="X2337" t="s">
        <v>277</v>
      </c>
      <c r="Y2337" s="23">
        <v>8.4230769230769198</v>
      </c>
      <c r="Z2337" s="23">
        <v>7.9461538461538499</v>
      </c>
      <c r="AA2337" s="23">
        <v>8.1846153846153804</v>
      </c>
    </row>
    <row r="2338" spans="17:27" x14ac:dyDescent="0.3">
      <c r="Q2338" s="93">
        <v>46125</v>
      </c>
      <c r="R2338" t="s">
        <v>494</v>
      </c>
      <c r="S2338" t="s">
        <v>399</v>
      </c>
      <c r="T2338" s="14">
        <v>0</v>
      </c>
      <c r="W2338" s="20">
        <v>46178</v>
      </c>
      <c r="X2338" t="s">
        <v>278</v>
      </c>
      <c r="Y2338" s="23">
        <v>8.4461538461538392</v>
      </c>
      <c r="Z2338" s="23">
        <v>7.9692307692307702</v>
      </c>
      <c r="AA2338" s="23">
        <v>8.2076923076923105</v>
      </c>
    </row>
    <row r="2339" spans="17:27" x14ac:dyDescent="0.3">
      <c r="Q2339" s="93">
        <v>46125</v>
      </c>
      <c r="R2339" t="s">
        <v>495</v>
      </c>
      <c r="S2339" t="s">
        <v>399</v>
      </c>
      <c r="T2339" s="14">
        <v>0</v>
      </c>
      <c r="W2339" s="20">
        <v>46178</v>
      </c>
      <c r="X2339" t="s">
        <v>279</v>
      </c>
      <c r="Y2339" s="23">
        <v>8.4769230769230806</v>
      </c>
      <c r="Z2339" s="23">
        <v>8</v>
      </c>
      <c r="AA2339" s="23">
        <v>8.2384615384615394</v>
      </c>
    </row>
    <row r="2340" spans="17:27" x14ac:dyDescent="0.3">
      <c r="Q2340" s="93">
        <v>46125</v>
      </c>
      <c r="R2340" t="s">
        <v>493</v>
      </c>
      <c r="S2340" t="s">
        <v>399</v>
      </c>
      <c r="T2340" s="14">
        <v>0</v>
      </c>
      <c r="W2340" s="20">
        <v>46178</v>
      </c>
      <c r="X2340" t="s">
        <v>280</v>
      </c>
      <c r="Y2340" s="23">
        <v>8.4923076923076906</v>
      </c>
      <c r="Z2340" s="23">
        <v>8.0153846153846207</v>
      </c>
      <c r="AA2340" s="23">
        <v>8.2538461538461494</v>
      </c>
    </row>
    <row r="2341" spans="17:27" x14ac:dyDescent="0.3">
      <c r="Q2341" s="93">
        <v>46125</v>
      </c>
      <c r="R2341" t="s">
        <v>593</v>
      </c>
      <c r="S2341" t="s">
        <v>399</v>
      </c>
      <c r="T2341" s="14">
        <v>3723.8</v>
      </c>
      <c r="W2341" s="20">
        <v>46178</v>
      </c>
      <c r="X2341" t="s">
        <v>281</v>
      </c>
      <c r="Y2341" s="23">
        <v>8.5076923076923094</v>
      </c>
      <c r="Z2341" s="23">
        <v>8.0307692307692307</v>
      </c>
      <c r="AA2341" s="23">
        <v>8.2692307692307701</v>
      </c>
    </row>
    <row r="2342" spans="17:27" x14ac:dyDescent="0.3">
      <c r="Q2342" s="93">
        <v>46125</v>
      </c>
      <c r="R2342" t="s">
        <v>594</v>
      </c>
      <c r="S2342" t="s">
        <v>399</v>
      </c>
      <c r="T2342" s="14">
        <v>0</v>
      </c>
      <c r="W2342" s="20">
        <v>46181</v>
      </c>
      <c r="X2342" t="s">
        <v>270</v>
      </c>
      <c r="Y2342" s="23">
        <v>7.95</v>
      </c>
      <c r="Z2342" s="23">
        <v>7.5714285714285703</v>
      </c>
      <c r="AA2342" s="23">
        <v>7.7607142857142897</v>
      </c>
    </row>
    <row r="2343" spans="17:27" x14ac:dyDescent="0.3">
      <c r="Q2343" s="93">
        <v>46125</v>
      </c>
      <c r="R2343" t="s">
        <v>595</v>
      </c>
      <c r="S2343" t="s">
        <v>399</v>
      </c>
      <c r="T2343" s="14">
        <v>0</v>
      </c>
      <c r="W2343" s="20">
        <v>46181</v>
      </c>
      <c r="X2343" t="s">
        <v>271</v>
      </c>
      <c r="Y2343" s="23">
        <v>8.14</v>
      </c>
      <c r="Z2343" s="23">
        <v>7.7</v>
      </c>
      <c r="AA2343" s="23">
        <v>7.92</v>
      </c>
    </row>
    <row r="2344" spans="17:27" x14ac:dyDescent="0.3">
      <c r="Q2344" s="93">
        <v>46125</v>
      </c>
      <c r="R2344" t="s">
        <v>479</v>
      </c>
      <c r="S2344" t="s">
        <v>395</v>
      </c>
      <c r="T2344" s="14">
        <v>6722.6981304057399</v>
      </c>
      <c r="W2344" s="20">
        <v>46181</v>
      </c>
      <c r="X2344" t="s">
        <v>272</v>
      </c>
      <c r="Y2344" s="23">
        <v>8.1692307692307704</v>
      </c>
      <c r="Z2344" s="23">
        <v>7.7153846153846102</v>
      </c>
      <c r="AA2344" s="23">
        <v>7.9423076923076898</v>
      </c>
    </row>
    <row r="2345" spans="17:27" x14ac:dyDescent="0.3">
      <c r="Q2345" s="93">
        <v>46125</v>
      </c>
      <c r="R2345" t="s">
        <v>479</v>
      </c>
      <c r="S2345" t="s">
        <v>415</v>
      </c>
      <c r="T2345" s="14">
        <v>6.1258344251288301</v>
      </c>
      <c r="W2345" s="20">
        <v>46181</v>
      </c>
      <c r="X2345" t="s">
        <v>273</v>
      </c>
      <c r="Y2345" s="23">
        <v>8.3076923076922995</v>
      </c>
      <c r="Z2345" s="23">
        <v>7.8307692307692296</v>
      </c>
      <c r="AA2345" s="23">
        <v>8.0692307692307708</v>
      </c>
    </row>
    <row r="2346" spans="17:27" x14ac:dyDescent="0.3">
      <c r="Q2346" s="93">
        <v>46125</v>
      </c>
      <c r="R2346" t="s">
        <v>364</v>
      </c>
      <c r="S2346" t="s">
        <v>415</v>
      </c>
      <c r="T2346" s="14">
        <v>6.1718353797821797</v>
      </c>
      <c r="W2346" s="20">
        <v>46181</v>
      </c>
      <c r="X2346" t="s">
        <v>274</v>
      </c>
      <c r="Y2346" s="23">
        <v>8.3307692307692296</v>
      </c>
      <c r="Z2346" s="23">
        <v>7.8615384615384603</v>
      </c>
      <c r="AA2346" s="23">
        <v>8.0961538461538503</v>
      </c>
    </row>
    <row r="2347" spans="17:27" x14ac:dyDescent="0.3">
      <c r="Q2347" s="93">
        <v>46125</v>
      </c>
      <c r="R2347" t="s">
        <v>364</v>
      </c>
      <c r="S2347" t="s">
        <v>997</v>
      </c>
      <c r="T2347" s="14">
        <v>32519.658100000001</v>
      </c>
      <c r="W2347" s="20">
        <v>46181</v>
      </c>
      <c r="X2347" t="s">
        <v>275</v>
      </c>
      <c r="Y2347" s="23">
        <v>8.3423076923076902</v>
      </c>
      <c r="Z2347" s="23">
        <v>7.87307692307692</v>
      </c>
      <c r="AA2347" s="23">
        <v>8.1076923076923109</v>
      </c>
    </row>
    <row r="2348" spans="17:27" x14ac:dyDescent="0.3">
      <c r="Q2348" s="93">
        <v>46125</v>
      </c>
      <c r="R2348" t="s">
        <v>496</v>
      </c>
      <c r="S2348" t="s">
        <v>997</v>
      </c>
      <c r="T2348" s="14">
        <v>28795.858100000001</v>
      </c>
      <c r="W2348" s="20">
        <v>46181</v>
      </c>
      <c r="X2348" t="s">
        <v>276</v>
      </c>
      <c r="Y2348" s="23">
        <v>8.3807692307692303</v>
      </c>
      <c r="Z2348" s="23">
        <v>7.9038461538461497</v>
      </c>
      <c r="AA2348" s="23">
        <v>8.1423076923076891</v>
      </c>
    </row>
    <row r="2349" spans="17:27" x14ac:dyDescent="0.3">
      <c r="Q2349" s="93">
        <v>46122</v>
      </c>
      <c r="R2349" t="s">
        <v>364</v>
      </c>
      <c r="S2349" t="s">
        <v>997</v>
      </c>
      <c r="T2349" s="14">
        <v>30489.658100000001</v>
      </c>
      <c r="W2349" s="20">
        <v>46181</v>
      </c>
      <c r="X2349" t="s">
        <v>277</v>
      </c>
      <c r="Y2349" s="23">
        <v>8.4384615384615405</v>
      </c>
      <c r="Z2349" s="23">
        <v>7.9615384615384599</v>
      </c>
      <c r="AA2349" s="23">
        <v>8.1999999999999993</v>
      </c>
    </row>
    <row r="2350" spans="17:27" x14ac:dyDescent="0.3">
      <c r="Q2350" s="93">
        <v>46122</v>
      </c>
      <c r="R2350" t="s">
        <v>496</v>
      </c>
      <c r="S2350" t="s">
        <v>997</v>
      </c>
      <c r="T2350" s="14">
        <v>24625.658100000001</v>
      </c>
      <c r="W2350" s="20">
        <v>46181</v>
      </c>
      <c r="X2350" t="s">
        <v>278</v>
      </c>
      <c r="Y2350" s="23">
        <v>8.4538461538461505</v>
      </c>
      <c r="Z2350" s="23">
        <v>7.9769230769230797</v>
      </c>
      <c r="AA2350" s="23">
        <v>8.2153846153846199</v>
      </c>
    </row>
    <row r="2351" spans="17:27" x14ac:dyDescent="0.3">
      <c r="Q2351" s="93">
        <v>46122</v>
      </c>
      <c r="R2351" t="s">
        <v>479</v>
      </c>
      <c r="S2351" t="s">
        <v>399</v>
      </c>
      <c r="T2351" s="14">
        <v>9897.6106</v>
      </c>
      <c r="W2351" s="20">
        <v>46181</v>
      </c>
      <c r="X2351" t="s">
        <v>279</v>
      </c>
      <c r="Y2351" s="23">
        <v>8.4846153846153793</v>
      </c>
      <c r="Z2351" s="23">
        <v>8.0076923076923094</v>
      </c>
      <c r="AA2351" s="23">
        <v>8.2461538461538506</v>
      </c>
    </row>
    <row r="2352" spans="17:27" x14ac:dyDescent="0.3">
      <c r="Q2352" s="93">
        <v>46122</v>
      </c>
      <c r="R2352" t="s">
        <v>364</v>
      </c>
      <c r="S2352" t="s">
        <v>399</v>
      </c>
      <c r="T2352" s="14">
        <v>23789.658100000001</v>
      </c>
      <c r="W2352" s="20">
        <v>46181</v>
      </c>
      <c r="X2352" t="s">
        <v>280</v>
      </c>
      <c r="Y2352" s="23">
        <v>8.5</v>
      </c>
      <c r="Z2352" s="23">
        <v>8.0230769230769194</v>
      </c>
      <c r="AA2352" s="23">
        <v>8.2615384615384606</v>
      </c>
    </row>
    <row r="2353" spans="17:27" x14ac:dyDescent="0.3">
      <c r="Q2353" s="93">
        <v>46122</v>
      </c>
      <c r="R2353" t="s">
        <v>491</v>
      </c>
      <c r="S2353" t="s">
        <v>399</v>
      </c>
      <c r="T2353" s="14">
        <v>397.61059999999998</v>
      </c>
      <c r="W2353" s="20">
        <v>46181</v>
      </c>
      <c r="X2353" t="s">
        <v>281</v>
      </c>
      <c r="Y2353" s="23">
        <v>8.5076923076923094</v>
      </c>
      <c r="Z2353" s="23">
        <v>8.0307692307692307</v>
      </c>
      <c r="AA2353" s="23">
        <v>8.2692307692307701</v>
      </c>
    </row>
    <row r="2354" spans="17:27" x14ac:dyDescent="0.3">
      <c r="Q2354" s="93">
        <v>46122</v>
      </c>
      <c r="R2354" t="s">
        <v>492</v>
      </c>
      <c r="S2354" t="s">
        <v>399</v>
      </c>
      <c r="T2354" s="14">
        <v>9500</v>
      </c>
      <c r="W2354" s="20">
        <v>46182</v>
      </c>
      <c r="X2354" t="s">
        <v>270</v>
      </c>
      <c r="Y2354" s="23">
        <v>7.95</v>
      </c>
      <c r="Z2354" s="23">
        <v>7.5714285714285703</v>
      </c>
      <c r="AA2354" s="23">
        <v>7.7607142857142897</v>
      </c>
    </row>
    <row r="2355" spans="17:27" x14ac:dyDescent="0.3">
      <c r="Q2355" s="93">
        <v>46122</v>
      </c>
      <c r="R2355" t="s">
        <v>496</v>
      </c>
      <c r="S2355" t="s">
        <v>399</v>
      </c>
      <c r="T2355" s="14">
        <v>17925.658100000001</v>
      </c>
      <c r="W2355" s="20">
        <v>46182</v>
      </c>
      <c r="X2355" t="s">
        <v>271</v>
      </c>
      <c r="Y2355" s="23">
        <v>8.1</v>
      </c>
      <c r="Z2355" s="23">
        <v>7.66</v>
      </c>
      <c r="AA2355" s="23">
        <v>7.88</v>
      </c>
    </row>
    <row r="2356" spans="17:27" x14ac:dyDescent="0.3">
      <c r="Q2356" s="93">
        <v>46122</v>
      </c>
      <c r="R2356" t="s">
        <v>497</v>
      </c>
      <c r="S2356" t="s">
        <v>399</v>
      </c>
      <c r="T2356" s="14">
        <v>397.61059999999998</v>
      </c>
      <c r="W2356" s="20">
        <v>46182</v>
      </c>
      <c r="X2356" t="s">
        <v>272</v>
      </c>
      <c r="Y2356" s="23">
        <v>8.1692307692307704</v>
      </c>
      <c r="Z2356" s="23">
        <v>7.7153846153846102</v>
      </c>
      <c r="AA2356" s="23">
        <v>7.9423076923076898</v>
      </c>
    </row>
    <row r="2357" spans="17:27" x14ac:dyDescent="0.3">
      <c r="Q2357" s="93">
        <v>46122</v>
      </c>
      <c r="R2357" t="s">
        <v>498</v>
      </c>
      <c r="S2357" t="s">
        <v>399</v>
      </c>
      <c r="T2357" s="14">
        <v>9500</v>
      </c>
      <c r="W2357" s="20">
        <v>46182</v>
      </c>
      <c r="X2357" t="s">
        <v>273</v>
      </c>
      <c r="Y2357" s="23">
        <v>8.3076923076922995</v>
      </c>
      <c r="Z2357" s="23">
        <v>7.8307692307692296</v>
      </c>
      <c r="AA2357" s="23">
        <v>8.0692307692307708</v>
      </c>
    </row>
    <row r="2358" spans="17:27" x14ac:dyDescent="0.3">
      <c r="Q2358" s="93">
        <v>46122</v>
      </c>
      <c r="R2358" t="s">
        <v>494</v>
      </c>
      <c r="S2358" t="s">
        <v>399</v>
      </c>
      <c r="T2358" s="14">
        <v>0</v>
      </c>
      <c r="W2358" s="20">
        <v>46182</v>
      </c>
      <c r="X2358" t="s">
        <v>274</v>
      </c>
      <c r="Y2358" s="23">
        <v>8.3307692307692296</v>
      </c>
      <c r="Z2358" s="23">
        <v>7.8615384615384603</v>
      </c>
      <c r="AA2358" s="23">
        <v>8.0961538461538503</v>
      </c>
    </row>
    <row r="2359" spans="17:27" x14ac:dyDescent="0.3">
      <c r="Q2359" s="93">
        <v>46122</v>
      </c>
      <c r="R2359" t="s">
        <v>495</v>
      </c>
      <c r="S2359" t="s">
        <v>399</v>
      </c>
      <c r="T2359" s="14">
        <v>0</v>
      </c>
      <c r="W2359" s="20">
        <v>46182</v>
      </c>
      <c r="X2359" t="s">
        <v>275</v>
      </c>
      <c r="Y2359" s="23">
        <v>8.3423076923076902</v>
      </c>
      <c r="Z2359" s="23">
        <v>7.87307692307692</v>
      </c>
      <c r="AA2359" s="23">
        <v>8.1076923076923109</v>
      </c>
    </row>
    <row r="2360" spans="17:27" x14ac:dyDescent="0.3">
      <c r="Q2360" s="93">
        <v>46122</v>
      </c>
      <c r="R2360" t="s">
        <v>493</v>
      </c>
      <c r="S2360" t="s">
        <v>399</v>
      </c>
      <c r="T2360" s="14">
        <v>0</v>
      </c>
      <c r="W2360" s="20">
        <v>46182</v>
      </c>
      <c r="X2360" t="s">
        <v>276</v>
      </c>
      <c r="Y2360" s="23">
        <v>8.3807692307692303</v>
      </c>
      <c r="Z2360" s="23">
        <v>7.9038461538461497</v>
      </c>
      <c r="AA2360" s="23">
        <v>8.1423076923076891</v>
      </c>
    </row>
    <row r="2361" spans="17:27" x14ac:dyDescent="0.3">
      <c r="Q2361" s="93">
        <v>46122</v>
      </c>
      <c r="R2361" t="s">
        <v>593</v>
      </c>
      <c r="S2361" t="s">
        <v>399</v>
      </c>
      <c r="T2361" s="14">
        <v>5864</v>
      </c>
      <c r="W2361" s="20">
        <v>46182</v>
      </c>
      <c r="X2361" t="s">
        <v>277</v>
      </c>
      <c r="Y2361" s="23">
        <v>8.4384615384615405</v>
      </c>
      <c r="Z2361" s="23">
        <v>7.9615384615384599</v>
      </c>
      <c r="AA2361" s="23">
        <v>8.1999999999999993</v>
      </c>
    </row>
    <row r="2362" spans="17:27" x14ac:dyDescent="0.3">
      <c r="Q2362" s="93">
        <v>46122</v>
      </c>
      <c r="R2362" t="s">
        <v>594</v>
      </c>
      <c r="S2362" t="s">
        <v>399</v>
      </c>
      <c r="T2362" s="14">
        <v>0</v>
      </c>
      <c r="W2362" s="20">
        <v>46182</v>
      </c>
      <c r="X2362" t="s">
        <v>278</v>
      </c>
      <c r="Y2362" s="23">
        <v>8.4538461538461505</v>
      </c>
      <c r="Z2362" s="23">
        <v>7.9769230769230797</v>
      </c>
      <c r="AA2362" s="23">
        <v>8.2153846153846199</v>
      </c>
    </row>
    <row r="2363" spans="17:27" x14ac:dyDescent="0.3">
      <c r="Q2363" s="93">
        <v>46122</v>
      </c>
      <c r="R2363" t="s">
        <v>595</v>
      </c>
      <c r="S2363" t="s">
        <v>399</v>
      </c>
      <c r="T2363" s="14">
        <v>0</v>
      </c>
      <c r="W2363" s="20">
        <v>46182</v>
      </c>
      <c r="X2363" t="s">
        <v>279</v>
      </c>
      <c r="Y2363" s="23">
        <v>8.4846153846153793</v>
      </c>
      <c r="Z2363" s="23">
        <v>8.0076923076923094</v>
      </c>
      <c r="AA2363" s="23">
        <v>8.2461538461538506</v>
      </c>
    </row>
    <row r="2364" spans="17:27" x14ac:dyDescent="0.3">
      <c r="Q2364" s="93">
        <v>46122</v>
      </c>
      <c r="R2364" t="s">
        <v>479</v>
      </c>
      <c r="S2364" t="s">
        <v>395</v>
      </c>
      <c r="T2364" s="14">
        <v>6724.1869436696597</v>
      </c>
      <c r="W2364" s="20">
        <v>46182</v>
      </c>
      <c r="X2364" t="s">
        <v>280</v>
      </c>
      <c r="Y2364" s="23">
        <v>8.5</v>
      </c>
      <c r="Z2364" s="23">
        <v>8.0230769230769194</v>
      </c>
      <c r="AA2364" s="23">
        <v>8.2615384615384606</v>
      </c>
    </row>
    <row r="2365" spans="17:27" x14ac:dyDescent="0.3">
      <c r="Q2365" s="93">
        <v>46122</v>
      </c>
      <c r="R2365" t="s">
        <v>479</v>
      </c>
      <c r="S2365" t="s">
        <v>415</v>
      </c>
      <c r="T2365" s="14">
        <v>6.1258344251288301</v>
      </c>
      <c r="W2365" s="20">
        <v>46182</v>
      </c>
      <c r="X2365" t="s">
        <v>281</v>
      </c>
      <c r="Y2365" s="23">
        <v>8.5076923076923094</v>
      </c>
      <c r="Z2365" s="23">
        <v>8.0307692307692307</v>
      </c>
      <c r="AA2365" s="23">
        <v>8.2692307692307701</v>
      </c>
    </row>
    <row r="2366" spans="17:27" x14ac:dyDescent="0.3">
      <c r="Q2366" s="93">
        <v>46122</v>
      </c>
      <c r="R2366" t="s">
        <v>364</v>
      </c>
      <c r="S2366" t="s">
        <v>415</v>
      </c>
      <c r="T2366" s="14">
        <v>6.1398516108647296</v>
      </c>
      <c r="W2366" s="20">
        <v>46183</v>
      </c>
      <c r="X2366" t="s">
        <v>270</v>
      </c>
      <c r="Y2366" s="23">
        <v>7.9312500000000004</v>
      </c>
      <c r="Z2366" s="23">
        <v>7.55</v>
      </c>
      <c r="AA2366" s="23">
        <v>7.7406249999999996</v>
      </c>
    </row>
    <row r="2367" spans="17:27" x14ac:dyDescent="0.3">
      <c r="Q2367" s="93">
        <v>46121</v>
      </c>
      <c r="R2367" t="s">
        <v>496</v>
      </c>
      <c r="S2367" t="s">
        <v>997</v>
      </c>
      <c r="T2367" s="14">
        <v>21343.329099999999</v>
      </c>
      <c r="W2367" s="20">
        <v>46183</v>
      </c>
      <c r="X2367" t="s">
        <v>271</v>
      </c>
      <c r="Y2367" s="23">
        <v>8.1750000000000007</v>
      </c>
      <c r="Z2367" s="23">
        <v>7.7249999999999996</v>
      </c>
      <c r="AA2367" s="23">
        <v>7.95</v>
      </c>
    </row>
    <row r="2368" spans="17:27" x14ac:dyDescent="0.3">
      <c r="Q2368" s="93">
        <v>46121</v>
      </c>
      <c r="R2368" t="s">
        <v>479</v>
      </c>
      <c r="S2368" t="s">
        <v>399</v>
      </c>
      <c r="T2368" s="14">
        <v>9897.6106</v>
      </c>
      <c r="W2368" s="20">
        <v>46183</v>
      </c>
      <c r="X2368" t="s">
        <v>272</v>
      </c>
      <c r="Y2368" s="23">
        <v>8.1769230769230692</v>
      </c>
      <c r="Z2368" s="23">
        <v>7.7076923076923096</v>
      </c>
      <c r="AA2368" s="23">
        <v>7.9423076923076898</v>
      </c>
    </row>
    <row r="2369" spans="17:27" x14ac:dyDescent="0.3">
      <c r="Q2369" s="93">
        <v>46121</v>
      </c>
      <c r="R2369" t="s">
        <v>364</v>
      </c>
      <c r="S2369" t="s">
        <v>399</v>
      </c>
      <c r="T2369" s="14">
        <v>18557.329099999999</v>
      </c>
      <c r="W2369" s="20">
        <v>46183</v>
      </c>
      <c r="X2369" t="s">
        <v>273</v>
      </c>
      <c r="Y2369" s="23">
        <v>8.3076923076922995</v>
      </c>
      <c r="Z2369" s="23">
        <v>7.8230769230769202</v>
      </c>
      <c r="AA2369" s="23">
        <v>8.0653846153846196</v>
      </c>
    </row>
    <row r="2370" spans="17:27" x14ac:dyDescent="0.3">
      <c r="Q2370" s="93">
        <v>46121</v>
      </c>
      <c r="R2370" t="s">
        <v>491</v>
      </c>
      <c r="S2370" t="s">
        <v>399</v>
      </c>
      <c r="T2370" s="14">
        <v>397.61059999999998</v>
      </c>
      <c r="W2370" s="20">
        <v>46183</v>
      </c>
      <c r="X2370" t="s">
        <v>274</v>
      </c>
      <c r="Y2370" s="23">
        <v>8.3307692307692296</v>
      </c>
      <c r="Z2370" s="23">
        <v>7.8615384615384603</v>
      </c>
      <c r="AA2370" s="23">
        <v>8.0961538461538503</v>
      </c>
    </row>
    <row r="2371" spans="17:27" x14ac:dyDescent="0.3">
      <c r="Q2371" s="93">
        <v>46121</v>
      </c>
      <c r="R2371" t="s">
        <v>492</v>
      </c>
      <c r="S2371" t="s">
        <v>399</v>
      </c>
      <c r="T2371" s="14">
        <v>9500</v>
      </c>
      <c r="W2371" s="20">
        <v>46183</v>
      </c>
      <c r="X2371" t="s">
        <v>275</v>
      </c>
      <c r="Y2371" s="23">
        <v>8.3423076923076902</v>
      </c>
      <c r="Z2371" s="23">
        <v>7.87307692307692</v>
      </c>
      <c r="AA2371" s="23">
        <v>8.1076923076923109</v>
      </c>
    </row>
    <row r="2372" spans="17:27" x14ac:dyDescent="0.3">
      <c r="Q2372" s="93">
        <v>46121</v>
      </c>
      <c r="R2372" t="s">
        <v>496</v>
      </c>
      <c r="S2372" t="s">
        <v>399</v>
      </c>
      <c r="T2372" s="14">
        <v>14643.329100000001</v>
      </c>
      <c r="W2372" s="20">
        <v>46183</v>
      </c>
      <c r="X2372" t="s">
        <v>276</v>
      </c>
      <c r="Y2372" s="23">
        <v>8.3807692307692303</v>
      </c>
      <c r="Z2372" s="23">
        <v>7.9038461538461497</v>
      </c>
      <c r="AA2372" s="23">
        <v>8.1423076923076891</v>
      </c>
    </row>
    <row r="2373" spans="17:27" x14ac:dyDescent="0.3">
      <c r="Q2373" s="93">
        <v>46121</v>
      </c>
      <c r="R2373" t="s">
        <v>497</v>
      </c>
      <c r="S2373" t="s">
        <v>399</v>
      </c>
      <c r="T2373" s="14">
        <v>397.61059999999998</v>
      </c>
      <c r="W2373" s="20">
        <v>46183</v>
      </c>
      <c r="X2373" t="s">
        <v>277</v>
      </c>
      <c r="Y2373" s="23">
        <v>8.4384615384615405</v>
      </c>
      <c r="Z2373" s="23">
        <v>7.9615384615384599</v>
      </c>
      <c r="AA2373" s="23">
        <v>8.1999999999999993</v>
      </c>
    </row>
    <row r="2374" spans="17:27" x14ac:dyDescent="0.3">
      <c r="Q2374" s="93">
        <v>46121</v>
      </c>
      <c r="R2374" t="s">
        <v>498</v>
      </c>
      <c r="S2374" t="s">
        <v>399</v>
      </c>
      <c r="T2374" s="14">
        <v>9500</v>
      </c>
      <c r="W2374" s="20">
        <v>46183</v>
      </c>
      <c r="X2374" t="s">
        <v>278</v>
      </c>
      <c r="Y2374" s="23">
        <v>8.4538461538461505</v>
      </c>
      <c r="Z2374" s="23">
        <v>7.9769230769230797</v>
      </c>
      <c r="AA2374" s="23">
        <v>8.2153846153846199</v>
      </c>
    </row>
    <row r="2375" spans="17:27" x14ac:dyDescent="0.3">
      <c r="Q2375" s="93">
        <v>46121</v>
      </c>
      <c r="R2375" t="s">
        <v>494</v>
      </c>
      <c r="S2375" t="s">
        <v>399</v>
      </c>
      <c r="T2375" s="14">
        <v>0</v>
      </c>
      <c r="W2375" s="20">
        <v>46183</v>
      </c>
      <c r="X2375" t="s">
        <v>279</v>
      </c>
      <c r="Y2375" s="23">
        <v>8.4846153846153793</v>
      </c>
      <c r="Z2375" s="23">
        <v>8.0076923076923094</v>
      </c>
      <c r="AA2375" s="23">
        <v>8.2461538461538506</v>
      </c>
    </row>
    <row r="2376" spans="17:27" x14ac:dyDescent="0.3">
      <c r="Q2376" s="93">
        <v>46121</v>
      </c>
      <c r="R2376" t="s">
        <v>495</v>
      </c>
      <c r="S2376" t="s">
        <v>399</v>
      </c>
      <c r="T2376" s="14">
        <v>0</v>
      </c>
      <c r="W2376" s="20">
        <v>46183</v>
      </c>
      <c r="X2376" t="s">
        <v>280</v>
      </c>
      <c r="Y2376" s="23">
        <v>8.5</v>
      </c>
      <c r="Z2376" s="23">
        <v>8.0230769230769194</v>
      </c>
      <c r="AA2376" s="23">
        <v>8.2615384615384606</v>
      </c>
    </row>
    <row r="2377" spans="17:27" x14ac:dyDescent="0.3">
      <c r="Q2377" s="93">
        <v>46121</v>
      </c>
      <c r="R2377" t="s">
        <v>493</v>
      </c>
      <c r="S2377" t="s">
        <v>399</v>
      </c>
      <c r="T2377" s="14">
        <v>0</v>
      </c>
      <c r="W2377" s="20">
        <v>46183</v>
      </c>
      <c r="X2377" t="s">
        <v>281</v>
      </c>
      <c r="Y2377" s="23">
        <v>8.5076923076923094</v>
      </c>
      <c r="Z2377" s="23">
        <v>8.0307692307692307</v>
      </c>
      <c r="AA2377" s="23">
        <v>8.2692307692307701</v>
      </c>
    </row>
    <row r="2378" spans="17:27" x14ac:dyDescent="0.3">
      <c r="Q2378" s="93">
        <v>46121</v>
      </c>
      <c r="R2378" t="s">
        <v>593</v>
      </c>
      <c r="S2378" t="s">
        <v>399</v>
      </c>
      <c r="T2378" s="14">
        <v>3914</v>
      </c>
      <c r="W2378" s="20">
        <v>46184</v>
      </c>
      <c r="X2378" t="s">
        <v>270</v>
      </c>
      <c r="Y2378" s="23">
        <v>7.9437499999999996</v>
      </c>
      <c r="Z2378" s="23">
        <v>7.5625</v>
      </c>
      <c r="AA2378" s="23">
        <v>7.7531249999999998</v>
      </c>
    </row>
    <row r="2379" spans="17:27" x14ac:dyDescent="0.3">
      <c r="Q2379" s="93">
        <v>46121</v>
      </c>
      <c r="R2379" t="s">
        <v>594</v>
      </c>
      <c r="S2379" t="s">
        <v>399</v>
      </c>
      <c r="T2379" s="14">
        <v>0</v>
      </c>
      <c r="W2379" s="20">
        <v>46184</v>
      </c>
      <c r="X2379" t="s">
        <v>271</v>
      </c>
      <c r="Y2379" s="23">
        <v>8.1750000000000007</v>
      </c>
      <c r="Z2379" s="23">
        <v>7.7249999999999996</v>
      </c>
      <c r="AA2379" s="23">
        <v>7.95</v>
      </c>
    </row>
    <row r="2380" spans="17:27" x14ac:dyDescent="0.3">
      <c r="Q2380" s="93">
        <v>46121</v>
      </c>
      <c r="R2380" t="s">
        <v>595</v>
      </c>
      <c r="S2380" t="s">
        <v>399</v>
      </c>
      <c r="T2380" s="14">
        <v>0</v>
      </c>
      <c r="W2380" s="20">
        <v>46184</v>
      </c>
      <c r="X2380" t="s">
        <v>272</v>
      </c>
      <c r="Y2380" s="23">
        <v>8.1769230769230692</v>
      </c>
      <c r="Z2380" s="23">
        <v>7.7076923076923096</v>
      </c>
      <c r="AA2380" s="23">
        <v>7.9423076923076898</v>
      </c>
    </row>
    <row r="2381" spans="17:27" x14ac:dyDescent="0.3">
      <c r="Q2381" s="93">
        <v>46121</v>
      </c>
      <c r="R2381" t="s">
        <v>479</v>
      </c>
      <c r="S2381" t="s">
        <v>395</v>
      </c>
      <c r="T2381" s="14">
        <v>6725.0615291191198</v>
      </c>
      <c r="W2381" s="20">
        <v>46184</v>
      </c>
      <c r="X2381" t="s">
        <v>273</v>
      </c>
      <c r="Y2381" s="23">
        <v>8.3076923076922995</v>
      </c>
      <c r="Z2381" s="23">
        <v>7.8230769230769202</v>
      </c>
      <c r="AA2381" s="23">
        <v>8.0653846153846196</v>
      </c>
    </row>
    <row r="2382" spans="17:27" x14ac:dyDescent="0.3">
      <c r="Q2382" s="93">
        <v>46121</v>
      </c>
      <c r="R2382" t="s">
        <v>479</v>
      </c>
      <c r="S2382" t="s">
        <v>415</v>
      </c>
      <c r="T2382" s="14">
        <v>6.1258344251288301</v>
      </c>
      <c r="W2382" s="20">
        <v>46184</v>
      </c>
      <c r="X2382" t="s">
        <v>274</v>
      </c>
      <c r="Y2382" s="23">
        <v>8.3307692307692296</v>
      </c>
      <c r="Z2382" s="23">
        <v>7.8615384615384603</v>
      </c>
      <c r="AA2382" s="23">
        <v>8.0961538461538503</v>
      </c>
    </row>
    <row r="2383" spans="17:27" x14ac:dyDescent="0.3">
      <c r="Q2383" s="93">
        <v>46121</v>
      </c>
      <c r="R2383" t="s">
        <v>364</v>
      </c>
      <c r="S2383" t="s">
        <v>415</v>
      </c>
      <c r="T2383" s="14">
        <v>5.9840187694272098</v>
      </c>
      <c r="W2383" s="20">
        <v>46184</v>
      </c>
      <c r="X2383" t="s">
        <v>275</v>
      </c>
      <c r="Y2383" s="23">
        <v>8.3423076923076902</v>
      </c>
      <c r="Z2383" s="23">
        <v>7.87307692307692</v>
      </c>
      <c r="AA2383" s="23">
        <v>8.1076923076923109</v>
      </c>
    </row>
    <row r="2384" spans="17:27" x14ac:dyDescent="0.3">
      <c r="Q2384" s="93">
        <v>46121</v>
      </c>
      <c r="R2384" t="s">
        <v>364</v>
      </c>
      <c r="S2384" t="s">
        <v>997</v>
      </c>
      <c r="T2384" s="14">
        <v>25257.329099999999</v>
      </c>
      <c r="W2384" s="20">
        <v>46184</v>
      </c>
      <c r="X2384" t="s">
        <v>276</v>
      </c>
      <c r="Y2384" s="23">
        <v>8.3807692307692303</v>
      </c>
      <c r="Z2384" s="23">
        <v>7.9038461538461497</v>
      </c>
      <c r="AA2384" s="23">
        <v>8.1423076923076891</v>
      </c>
    </row>
    <row r="2385" spans="17:27" x14ac:dyDescent="0.3">
      <c r="Q2385" s="93">
        <v>46120</v>
      </c>
      <c r="R2385" t="s">
        <v>479</v>
      </c>
      <c r="S2385" t="s">
        <v>399</v>
      </c>
      <c r="T2385" s="14">
        <v>9897.6106</v>
      </c>
      <c r="W2385" s="20">
        <v>46184</v>
      </c>
      <c r="X2385" t="s">
        <v>277</v>
      </c>
      <c r="Y2385" s="23">
        <v>8.4384615384615405</v>
      </c>
      <c r="Z2385" s="23">
        <v>7.9615384615384599</v>
      </c>
      <c r="AA2385" s="23">
        <v>8.1999999999999993</v>
      </c>
    </row>
    <row r="2386" spans="17:27" x14ac:dyDescent="0.3">
      <c r="Q2386" s="93">
        <v>46120</v>
      </c>
      <c r="R2386" t="s">
        <v>364</v>
      </c>
      <c r="S2386" t="s">
        <v>399</v>
      </c>
      <c r="T2386" s="14">
        <v>17407.329099999999</v>
      </c>
      <c r="W2386" s="20">
        <v>46184</v>
      </c>
      <c r="X2386" t="s">
        <v>278</v>
      </c>
      <c r="Y2386" s="23">
        <v>8.4538461538461505</v>
      </c>
      <c r="Z2386" s="23">
        <v>7.9769230769230797</v>
      </c>
      <c r="AA2386" s="23">
        <v>8.2153846153846199</v>
      </c>
    </row>
    <row r="2387" spans="17:27" x14ac:dyDescent="0.3">
      <c r="Q2387" s="93">
        <v>46120</v>
      </c>
      <c r="R2387" t="s">
        <v>491</v>
      </c>
      <c r="S2387" t="s">
        <v>399</v>
      </c>
      <c r="T2387" s="14">
        <v>397.61059999999998</v>
      </c>
      <c r="W2387" s="20">
        <v>46184</v>
      </c>
      <c r="X2387" t="s">
        <v>279</v>
      </c>
      <c r="Y2387" s="23">
        <v>8.4846153846153793</v>
      </c>
      <c r="Z2387" s="23">
        <v>8.0076923076923094</v>
      </c>
      <c r="AA2387" s="23">
        <v>8.2461538461538506</v>
      </c>
    </row>
    <row r="2388" spans="17:27" x14ac:dyDescent="0.3">
      <c r="Q2388" s="93">
        <v>46120</v>
      </c>
      <c r="R2388" t="s">
        <v>492</v>
      </c>
      <c r="S2388" t="s">
        <v>399</v>
      </c>
      <c r="T2388" s="14">
        <v>9500</v>
      </c>
      <c r="W2388" s="20">
        <v>46184</v>
      </c>
      <c r="X2388" t="s">
        <v>280</v>
      </c>
      <c r="Y2388" s="23">
        <v>8.5</v>
      </c>
      <c r="Z2388" s="23">
        <v>8.0230769230769194</v>
      </c>
      <c r="AA2388" s="23">
        <v>8.2615384615384606</v>
      </c>
    </row>
    <row r="2389" spans="17:27" x14ac:dyDescent="0.3">
      <c r="Q2389" s="93">
        <v>46120</v>
      </c>
      <c r="R2389" t="s">
        <v>496</v>
      </c>
      <c r="S2389" t="s">
        <v>399</v>
      </c>
      <c r="T2389" s="14">
        <v>13993.329100000001</v>
      </c>
      <c r="W2389" s="20">
        <v>46184</v>
      </c>
      <c r="X2389" t="s">
        <v>281</v>
      </c>
      <c r="Y2389" s="23">
        <v>8.5076923076923094</v>
      </c>
      <c r="Z2389" s="23">
        <v>8.0307692307692307</v>
      </c>
      <c r="AA2389" s="23">
        <v>8.2692307692307701</v>
      </c>
    </row>
    <row r="2390" spans="17:27" x14ac:dyDescent="0.3">
      <c r="Q2390" s="93">
        <v>46120</v>
      </c>
      <c r="R2390" t="s">
        <v>497</v>
      </c>
      <c r="S2390" t="s">
        <v>399</v>
      </c>
      <c r="T2390" s="14">
        <v>397.61059999999998</v>
      </c>
      <c r="W2390" s="20">
        <v>46185</v>
      </c>
      <c r="X2390" t="s">
        <v>270</v>
      </c>
      <c r="Y2390" s="23">
        <v>7.9437499999999996</v>
      </c>
      <c r="Z2390" s="23">
        <v>7.5625</v>
      </c>
      <c r="AA2390" s="23">
        <v>7.7531249999999998</v>
      </c>
    </row>
    <row r="2391" spans="17:27" x14ac:dyDescent="0.3">
      <c r="Q2391" s="93">
        <v>46120</v>
      </c>
      <c r="R2391" t="s">
        <v>498</v>
      </c>
      <c r="S2391" t="s">
        <v>399</v>
      </c>
      <c r="T2391" s="14">
        <v>9500</v>
      </c>
      <c r="W2391" s="20">
        <v>46185</v>
      </c>
      <c r="X2391" t="s">
        <v>271</v>
      </c>
      <c r="Y2391" s="23">
        <v>8.1750000000000007</v>
      </c>
      <c r="Z2391" s="23">
        <v>7.7249999999999996</v>
      </c>
      <c r="AA2391" s="23">
        <v>7.95</v>
      </c>
    </row>
    <row r="2392" spans="17:27" x14ac:dyDescent="0.3">
      <c r="Q2392" s="93">
        <v>46120</v>
      </c>
      <c r="R2392" t="s">
        <v>494</v>
      </c>
      <c r="S2392" t="s">
        <v>399</v>
      </c>
      <c r="T2392" s="14">
        <v>0</v>
      </c>
      <c r="W2392" s="20">
        <v>46185</v>
      </c>
      <c r="X2392" t="s">
        <v>272</v>
      </c>
      <c r="Y2392" s="23">
        <v>8.1999999999999993</v>
      </c>
      <c r="Z2392" s="23">
        <v>7.7307692307692299</v>
      </c>
      <c r="AA2392" s="23">
        <v>7.9653846153846199</v>
      </c>
    </row>
    <row r="2393" spans="17:27" x14ac:dyDescent="0.3">
      <c r="Q2393" s="93">
        <v>46120</v>
      </c>
      <c r="R2393" t="s">
        <v>495</v>
      </c>
      <c r="S2393" t="s">
        <v>399</v>
      </c>
      <c r="T2393" s="14">
        <v>0</v>
      </c>
      <c r="W2393" s="20">
        <v>46185</v>
      </c>
      <c r="X2393" t="s">
        <v>273</v>
      </c>
      <c r="Y2393" s="23">
        <v>8.3153846153846107</v>
      </c>
      <c r="Z2393" s="23">
        <v>7.8307692307692296</v>
      </c>
      <c r="AA2393" s="23">
        <v>8.0730769230769202</v>
      </c>
    </row>
    <row r="2394" spans="17:27" x14ac:dyDescent="0.3">
      <c r="Q2394" s="93">
        <v>46120</v>
      </c>
      <c r="R2394" t="s">
        <v>493</v>
      </c>
      <c r="S2394" t="s">
        <v>399</v>
      </c>
      <c r="T2394" s="14">
        <v>0</v>
      </c>
      <c r="W2394" s="20">
        <v>46185</v>
      </c>
      <c r="X2394" t="s">
        <v>274</v>
      </c>
      <c r="Y2394" s="23">
        <v>8.3384615384615408</v>
      </c>
      <c r="Z2394" s="23">
        <v>7.8692307692307697</v>
      </c>
      <c r="AA2394" s="23">
        <v>8.1038461538461508</v>
      </c>
    </row>
    <row r="2395" spans="17:27" x14ac:dyDescent="0.3">
      <c r="Q2395" s="93">
        <v>46120</v>
      </c>
      <c r="R2395" t="s">
        <v>593</v>
      </c>
      <c r="S2395" t="s">
        <v>399</v>
      </c>
      <c r="T2395" s="14">
        <v>3414</v>
      </c>
      <c r="W2395" s="20">
        <v>46185</v>
      </c>
      <c r="X2395" t="s">
        <v>275</v>
      </c>
      <c r="Y2395" s="23">
        <v>8.35</v>
      </c>
      <c r="Z2395" s="23">
        <v>7.8807692307692303</v>
      </c>
      <c r="AA2395" s="23">
        <v>8.1153846153846096</v>
      </c>
    </row>
    <row r="2396" spans="17:27" x14ac:dyDescent="0.3">
      <c r="Q2396" s="93">
        <v>46120</v>
      </c>
      <c r="R2396" t="s">
        <v>594</v>
      </c>
      <c r="S2396" t="s">
        <v>399</v>
      </c>
      <c r="T2396" s="14">
        <v>0</v>
      </c>
      <c r="W2396" s="20">
        <v>46185</v>
      </c>
      <c r="X2396" t="s">
        <v>276</v>
      </c>
      <c r="Y2396" s="23">
        <v>8.3884615384615309</v>
      </c>
      <c r="Z2396" s="23">
        <v>7.9115384615384601</v>
      </c>
      <c r="AA2396" s="23">
        <v>8.15</v>
      </c>
    </row>
    <row r="2397" spans="17:27" x14ac:dyDescent="0.3">
      <c r="Q2397" s="93">
        <v>46120</v>
      </c>
      <c r="R2397" t="s">
        <v>595</v>
      </c>
      <c r="S2397" t="s">
        <v>399</v>
      </c>
      <c r="T2397" s="14">
        <v>0</v>
      </c>
      <c r="W2397" s="20">
        <v>46185</v>
      </c>
      <c r="X2397" t="s">
        <v>277</v>
      </c>
      <c r="Y2397" s="23">
        <v>8.4461538461538392</v>
      </c>
      <c r="Z2397" s="23">
        <v>7.9692307692307702</v>
      </c>
      <c r="AA2397" s="23">
        <v>8.2076923076923105</v>
      </c>
    </row>
    <row r="2398" spans="17:27" x14ac:dyDescent="0.3">
      <c r="Q2398" s="93">
        <v>46120</v>
      </c>
      <c r="R2398" t="s">
        <v>479</v>
      </c>
      <c r="S2398" t="s">
        <v>395</v>
      </c>
      <c r="T2398" s="14">
        <v>8758.3380489485899</v>
      </c>
      <c r="W2398" s="20">
        <v>46185</v>
      </c>
      <c r="X2398" t="s">
        <v>278</v>
      </c>
      <c r="Y2398" s="23">
        <v>8.4615384615384599</v>
      </c>
      <c r="Z2398" s="23">
        <v>7.9846153846153802</v>
      </c>
      <c r="AA2398" s="23">
        <v>8.2230769230769205</v>
      </c>
    </row>
    <row r="2399" spans="17:27" x14ac:dyDescent="0.3">
      <c r="Q2399" s="93">
        <v>46120</v>
      </c>
      <c r="R2399" t="s">
        <v>479</v>
      </c>
      <c r="S2399" t="s">
        <v>415</v>
      </c>
      <c r="T2399" s="14">
        <v>6.1258344251288301</v>
      </c>
      <c r="W2399" s="20">
        <v>46185</v>
      </c>
      <c r="X2399" t="s">
        <v>279</v>
      </c>
      <c r="Y2399" s="23">
        <v>8.4923076923076906</v>
      </c>
      <c r="Z2399" s="23">
        <v>8.0153846153846207</v>
      </c>
      <c r="AA2399" s="23">
        <v>8.2538461538461494</v>
      </c>
    </row>
    <row r="2400" spans="17:27" x14ac:dyDescent="0.3">
      <c r="Q2400" s="93">
        <v>46120</v>
      </c>
      <c r="R2400" t="s">
        <v>364</v>
      </c>
      <c r="S2400" t="s">
        <v>415</v>
      </c>
      <c r="T2400" s="14">
        <v>5.93596788787357</v>
      </c>
      <c r="W2400" s="20">
        <v>46185</v>
      </c>
      <c r="X2400" t="s">
        <v>280</v>
      </c>
      <c r="Y2400" s="23">
        <v>8.5076923076923094</v>
      </c>
      <c r="Z2400" s="23">
        <v>8.0307692307692307</v>
      </c>
      <c r="AA2400" s="23">
        <v>8.2692307692307701</v>
      </c>
    </row>
    <row r="2401" spans="17:27" x14ac:dyDescent="0.3">
      <c r="Q2401" s="93">
        <v>46120</v>
      </c>
      <c r="R2401" t="s">
        <v>364</v>
      </c>
      <c r="S2401" t="s">
        <v>997</v>
      </c>
      <c r="T2401" s="14">
        <v>24107.329099999999</v>
      </c>
      <c r="W2401" s="20">
        <v>46185</v>
      </c>
      <c r="X2401" t="s">
        <v>281</v>
      </c>
      <c r="Y2401" s="23">
        <v>8.5153846153846207</v>
      </c>
      <c r="Z2401" s="23">
        <v>8.0384615384615401</v>
      </c>
      <c r="AA2401" s="23">
        <v>8.2769230769230795</v>
      </c>
    </row>
    <row r="2402" spans="17:27" x14ac:dyDescent="0.3">
      <c r="Q2402" s="93">
        <v>46120</v>
      </c>
      <c r="R2402" t="s">
        <v>496</v>
      </c>
      <c r="S2402" t="s">
        <v>997</v>
      </c>
      <c r="T2402" s="14">
        <v>20693.329099999999</v>
      </c>
      <c r="W2402" s="20">
        <v>46189</v>
      </c>
      <c r="X2402" t="s">
        <v>270</v>
      </c>
      <c r="Y2402" s="23">
        <v>7.9437499999999996</v>
      </c>
      <c r="Z2402" s="23">
        <v>7.5625</v>
      </c>
      <c r="AA2402" s="23">
        <v>7.7531249999999998</v>
      </c>
    </row>
    <row r="2403" spans="17:27" x14ac:dyDescent="0.3">
      <c r="Q2403" s="93">
        <v>46119</v>
      </c>
      <c r="R2403" t="s">
        <v>364</v>
      </c>
      <c r="S2403" t="s">
        <v>997</v>
      </c>
      <c r="T2403" s="14">
        <v>25107.329099999999</v>
      </c>
      <c r="W2403" s="20">
        <v>46189</v>
      </c>
      <c r="X2403" t="s">
        <v>271</v>
      </c>
      <c r="Y2403" s="23">
        <v>8.2166666666666703</v>
      </c>
      <c r="Z2403" s="23">
        <v>7.7666666666666702</v>
      </c>
      <c r="AA2403" s="23">
        <v>7.9916666666666698</v>
      </c>
    </row>
    <row r="2404" spans="17:27" x14ac:dyDescent="0.3">
      <c r="Q2404" s="93">
        <v>46119</v>
      </c>
      <c r="R2404" t="s">
        <v>496</v>
      </c>
      <c r="S2404" t="s">
        <v>997</v>
      </c>
      <c r="T2404" s="14">
        <v>22342.329099999999</v>
      </c>
      <c r="W2404" s="20">
        <v>46189</v>
      </c>
      <c r="X2404" t="s">
        <v>272</v>
      </c>
      <c r="Y2404" s="23">
        <v>8.1923076923076898</v>
      </c>
      <c r="Z2404" s="23">
        <v>7.7153846153846102</v>
      </c>
      <c r="AA2404" s="23">
        <v>7.9538461538461496</v>
      </c>
    </row>
    <row r="2405" spans="17:27" x14ac:dyDescent="0.3">
      <c r="Q2405" s="93">
        <v>46119</v>
      </c>
      <c r="R2405" t="s">
        <v>479</v>
      </c>
      <c r="S2405" t="s">
        <v>399</v>
      </c>
      <c r="T2405" s="14">
        <v>9897.6106</v>
      </c>
      <c r="W2405" s="20">
        <v>46189</v>
      </c>
      <c r="X2405" t="s">
        <v>273</v>
      </c>
      <c r="Y2405" s="23">
        <v>8.3384615384615408</v>
      </c>
      <c r="Z2405" s="23">
        <v>7.8615384615384603</v>
      </c>
      <c r="AA2405" s="23">
        <v>8.1</v>
      </c>
    </row>
    <row r="2406" spans="17:27" x14ac:dyDescent="0.3">
      <c r="Q2406" s="93">
        <v>46119</v>
      </c>
      <c r="R2406" t="s">
        <v>364</v>
      </c>
      <c r="S2406" t="s">
        <v>399</v>
      </c>
      <c r="T2406" s="14">
        <v>18207.329099999999</v>
      </c>
      <c r="W2406" s="20">
        <v>46189</v>
      </c>
      <c r="X2406" t="s">
        <v>274</v>
      </c>
      <c r="Y2406" s="23">
        <v>8.3461538461538396</v>
      </c>
      <c r="Z2406" s="23">
        <v>7.8846153846153797</v>
      </c>
      <c r="AA2406" s="23">
        <v>8.1153846153846096</v>
      </c>
    </row>
    <row r="2407" spans="17:27" x14ac:dyDescent="0.3">
      <c r="Q2407" s="93">
        <v>46119</v>
      </c>
      <c r="R2407" t="s">
        <v>491</v>
      </c>
      <c r="S2407" t="s">
        <v>399</v>
      </c>
      <c r="T2407" s="14">
        <v>397.61059999999998</v>
      </c>
      <c r="W2407" s="20">
        <v>46189</v>
      </c>
      <c r="X2407" t="s">
        <v>275</v>
      </c>
      <c r="Y2407" s="23">
        <v>8.3884615384615309</v>
      </c>
      <c r="Z2407" s="23">
        <v>7.9192307692307704</v>
      </c>
      <c r="AA2407" s="23">
        <v>8.1538461538461497</v>
      </c>
    </row>
    <row r="2408" spans="17:27" x14ac:dyDescent="0.3">
      <c r="Q2408" s="93">
        <v>46119</v>
      </c>
      <c r="R2408" t="s">
        <v>492</v>
      </c>
      <c r="S2408" t="s">
        <v>399</v>
      </c>
      <c r="T2408" s="14">
        <v>9500</v>
      </c>
      <c r="W2408" s="20">
        <v>46189</v>
      </c>
      <c r="X2408" t="s">
        <v>276</v>
      </c>
      <c r="Y2408" s="23">
        <v>8.4038461538461497</v>
      </c>
      <c r="Z2408" s="23">
        <v>7.9269230769230798</v>
      </c>
      <c r="AA2408" s="23">
        <v>8.1653846153846104</v>
      </c>
    </row>
    <row r="2409" spans="17:27" x14ac:dyDescent="0.3">
      <c r="Q2409" s="93">
        <v>46119</v>
      </c>
      <c r="R2409" t="s">
        <v>496</v>
      </c>
      <c r="S2409" t="s">
        <v>399</v>
      </c>
      <c r="T2409" s="14">
        <v>15442.329100000001</v>
      </c>
      <c r="W2409" s="20">
        <v>46189</v>
      </c>
      <c r="X2409" t="s">
        <v>277</v>
      </c>
      <c r="Y2409" s="23">
        <v>8.4615384615384599</v>
      </c>
      <c r="Z2409" s="23">
        <v>7.9846153846153802</v>
      </c>
      <c r="AA2409" s="23">
        <v>8.2230769230769205</v>
      </c>
    </row>
    <row r="2410" spans="17:27" x14ac:dyDescent="0.3">
      <c r="Q2410" s="93">
        <v>46119</v>
      </c>
      <c r="R2410" t="s">
        <v>497</v>
      </c>
      <c r="S2410" t="s">
        <v>399</v>
      </c>
      <c r="T2410" s="14">
        <v>397.61059999999998</v>
      </c>
      <c r="W2410" s="20">
        <v>46189</v>
      </c>
      <c r="X2410" t="s">
        <v>278</v>
      </c>
      <c r="Y2410" s="23">
        <v>8.4769230769230806</v>
      </c>
      <c r="Z2410" s="23">
        <v>8</v>
      </c>
      <c r="AA2410" s="23">
        <v>8.2384615384615394</v>
      </c>
    </row>
    <row r="2411" spans="17:27" x14ac:dyDescent="0.3">
      <c r="Q2411" s="93">
        <v>46119</v>
      </c>
      <c r="R2411" t="s">
        <v>498</v>
      </c>
      <c r="S2411" t="s">
        <v>399</v>
      </c>
      <c r="T2411" s="14">
        <v>9500</v>
      </c>
      <c r="W2411" s="20">
        <v>46189</v>
      </c>
      <c r="X2411" t="s">
        <v>279</v>
      </c>
      <c r="Y2411" s="23">
        <v>8.5153846153846207</v>
      </c>
      <c r="Z2411" s="23">
        <v>8.0384615384615401</v>
      </c>
      <c r="AA2411" s="23">
        <v>8.2769230769230795</v>
      </c>
    </row>
    <row r="2412" spans="17:27" x14ac:dyDescent="0.3">
      <c r="Q2412" s="93">
        <v>46119</v>
      </c>
      <c r="R2412" t="s">
        <v>494</v>
      </c>
      <c r="S2412" t="s">
        <v>399</v>
      </c>
      <c r="T2412" s="14">
        <v>0</v>
      </c>
      <c r="W2412" s="20">
        <v>46189</v>
      </c>
      <c r="X2412" t="s">
        <v>280</v>
      </c>
      <c r="Y2412" s="23">
        <v>8.5307692307692307</v>
      </c>
      <c r="Z2412" s="23">
        <v>8.0538461538461501</v>
      </c>
      <c r="AA2412" s="23">
        <v>8.2923076923076895</v>
      </c>
    </row>
    <row r="2413" spans="17:27" x14ac:dyDescent="0.3">
      <c r="Q2413" s="93">
        <v>46119</v>
      </c>
      <c r="R2413" t="s">
        <v>495</v>
      </c>
      <c r="S2413" t="s">
        <v>399</v>
      </c>
      <c r="T2413" s="14">
        <v>0</v>
      </c>
      <c r="W2413" s="20">
        <v>46189</v>
      </c>
      <c r="X2413" t="s">
        <v>281</v>
      </c>
      <c r="Y2413" s="23">
        <v>8.5384615384615401</v>
      </c>
      <c r="Z2413" s="23">
        <v>8.0615384615384595</v>
      </c>
      <c r="AA2413" s="23">
        <v>8.3000000000000007</v>
      </c>
    </row>
    <row r="2414" spans="17:27" x14ac:dyDescent="0.3">
      <c r="Q2414" s="93">
        <v>46119</v>
      </c>
      <c r="R2414" t="s">
        <v>493</v>
      </c>
      <c r="S2414" t="s">
        <v>399</v>
      </c>
      <c r="T2414" s="14">
        <v>0</v>
      </c>
      <c r="W2414" s="20">
        <v>46188</v>
      </c>
      <c r="X2414" t="s">
        <v>270</v>
      </c>
      <c r="Y2414" s="23">
        <v>7.9437499999999996</v>
      </c>
      <c r="Z2414" s="23">
        <v>7.5625</v>
      </c>
      <c r="AA2414" s="23">
        <v>7.7531249999999998</v>
      </c>
    </row>
    <row r="2415" spans="17:27" x14ac:dyDescent="0.3">
      <c r="Q2415" s="93">
        <v>46119</v>
      </c>
      <c r="R2415" t="s">
        <v>593</v>
      </c>
      <c r="S2415" t="s">
        <v>399</v>
      </c>
      <c r="T2415" s="14">
        <v>2765</v>
      </c>
      <c r="W2415" s="20">
        <v>46188</v>
      </c>
      <c r="X2415" t="s">
        <v>271</v>
      </c>
      <c r="Y2415" s="23">
        <v>8.1999999999999993</v>
      </c>
      <c r="Z2415" s="23">
        <v>7.75</v>
      </c>
      <c r="AA2415" s="23">
        <v>7.9749999999999996</v>
      </c>
    </row>
    <row r="2416" spans="17:27" x14ac:dyDescent="0.3">
      <c r="Q2416" s="93">
        <v>46119</v>
      </c>
      <c r="R2416" t="s">
        <v>594</v>
      </c>
      <c r="S2416" t="s">
        <v>399</v>
      </c>
      <c r="T2416" s="14">
        <v>0</v>
      </c>
      <c r="W2416" s="20">
        <v>46188</v>
      </c>
      <c r="X2416" t="s">
        <v>272</v>
      </c>
      <c r="Y2416" s="23">
        <v>8.1769230769230692</v>
      </c>
      <c r="Z2416" s="23">
        <v>7.7076923076923096</v>
      </c>
      <c r="AA2416" s="23">
        <v>7.9423076923076898</v>
      </c>
    </row>
    <row r="2417" spans="17:27" x14ac:dyDescent="0.3">
      <c r="Q2417" s="93">
        <v>46119</v>
      </c>
      <c r="R2417" t="s">
        <v>595</v>
      </c>
      <c r="S2417" t="s">
        <v>399</v>
      </c>
      <c r="T2417" s="14">
        <v>0</v>
      </c>
      <c r="W2417" s="20">
        <v>46188</v>
      </c>
      <c r="X2417" t="s">
        <v>273</v>
      </c>
      <c r="Y2417" s="23">
        <v>8.3153846153846107</v>
      </c>
      <c r="Z2417" s="23">
        <v>7.8307692307692296</v>
      </c>
      <c r="AA2417" s="23">
        <v>8.0730769230769202</v>
      </c>
    </row>
    <row r="2418" spans="17:27" x14ac:dyDescent="0.3">
      <c r="Q2418" s="93">
        <v>46119</v>
      </c>
      <c r="R2418" t="s">
        <v>479</v>
      </c>
      <c r="S2418" t="s">
        <v>395</v>
      </c>
      <c r="T2418" s="14">
        <v>10517.075236718199</v>
      </c>
      <c r="W2418" s="20">
        <v>46188</v>
      </c>
      <c r="X2418" t="s">
        <v>274</v>
      </c>
      <c r="Y2418" s="23">
        <v>8.3384615384615408</v>
      </c>
      <c r="Z2418" s="23">
        <v>7.8692307692307697</v>
      </c>
      <c r="AA2418" s="23">
        <v>8.1038461538461508</v>
      </c>
    </row>
    <row r="2419" spans="17:27" x14ac:dyDescent="0.3">
      <c r="Q2419" s="93">
        <v>46119</v>
      </c>
      <c r="R2419" t="s">
        <v>479</v>
      </c>
      <c r="S2419" t="s">
        <v>415</v>
      </c>
      <c r="T2419" s="14">
        <v>6.1258344251288301</v>
      </c>
      <c r="W2419" s="20">
        <v>46188</v>
      </c>
      <c r="X2419" t="s">
        <v>275</v>
      </c>
      <c r="Y2419" s="23">
        <v>8.35</v>
      </c>
      <c r="Z2419" s="23">
        <v>7.8807692307692303</v>
      </c>
      <c r="AA2419" s="23">
        <v>8.1153846153846096</v>
      </c>
    </row>
    <row r="2420" spans="17:27" x14ac:dyDescent="0.3">
      <c r="Q2420" s="93">
        <v>46119</v>
      </c>
      <c r="R2420" t="s">
        <v>364</v>
      </c>
      <c r="S2420" t="s">
        <v>415</v>
      </c>
      <c r="T2420" s="14">
        <v>5.9528566660640898</v>
      </c>
      <c r="W2420" s="20">
        <v>46188</v>
      </c>
      <c r="X2420" t="s">
        <v>276</v>
      </c>
      <c r="Y2420" s="23">
        <v>8.3884615384615309</v>
      </c>
      <c r="Z2420" s="23">
        <v>7.9115384615384601</v>
      </c>
      <c r="AA2420" s="23">
        <v>8.15</v>
      </c>
    </row>
    <row r="2421" spans="17:27" x14ac:dyDescent="0.3">
      <c r="Q2421" s="93">
        <v>46118</v>
      </c>
      <c r="R2421" t="s">
        <v>479</v>
      </c>
      <c r="S2421" t="s">
        <v>399</v>
      </c>
      <c r="T2421" s="14">
        <v>9897.6106</v>
      </c>
      <c r="W2421" s="20">
        <v>46188</v>
      </c>
      <c r="X2421" t="s">
        <v>277</v>
      </c>
      <c r="Y2421" s="23">
        <v>8.4461538461538392</v>
      </c>
      <c r="Z2421" s="23">
        <v>7.9692307692307702</v>
      </c>
      <c r="AA2421" s="23">
        <v>8.2076923076923105</v>
      </c>
    </row>
    <row r="2422" spans="17:27" x14ac:dyDescent="0.3">
      <c r="Q2422" s="93">
        <v>46118</v>
      </c>
      <c r="R2422" t="s">
        <v>364</v>
      </c>
      <c r="S2422" t="s">
        <v>399</v>
      </c>
      <c r="T2422" s="14">
        <v>17907.329099999999</v>
      </c>
      <c r="W2422" s="20">
        <v>46188</v>
      </c>
      <c r="X2422" t="s">
        <v>278</v>
      </c>
      <c r="Y2422" s="23">
        <v>8.4615384615384599</v>
      </c>
      <c r="Z2422" s="23">
        <v>7.9846153846153802</v>
      </c>
      <c r="AA2422" s="23">
        <v>8.2230769230769205</v>
      </c>
    </row>
    <row r="2423" spans="17:27" x14ac:dyDescent="0.3">
      <c r="Q2423" s="93">
        <v>46118</v>
      </c>
      <c r="R2423" t="s">
        <v>491</v>
      </c>
      <c r="S2423" t="s">
        <v>399</v>
      </c>
      <c r="T2423" s="14">
        <v>397.61059999999998</v>
      </c>
      <c r="W2423" s="20">
        <v>46188</v>
      </c>
      <c r="X2423" t="s">
        <v>279</v>
      </c>
      <c r="Y2423" s="23">
        <v>8.4923076923076906</v>
      </c>
      <c r="Z2423" s="23">
        <v>8.0153846153846207</v>
      </c>
      <c r="AA2423" s="23">
        <v>8.2538461538461494</v>
      </c>
    </row>
    <row r="2424" spans="17:27" x14ac:dyDescent="0.3">
      <c r="Q2424" s="93">
        <v>46118</v>
      </c>
      <c r="R2424" t="s">
        <v>492</v>
      </c>
      <c r="S2424" t="s">
        <v>399</v>
      </c>
      <c r="T2424" s="14">
        <v>9500</v>
      </c>
      <c r="W2424" s="20">
        <v>46188</v>
      </c>
      <c r="X2424" t="s">
        <v>280</v>
      </c>
      <c r="Y2424" s="23">
        <v>8.5076923076923094</v>
      </c>
      <c r="Z2424" s="23">
        <v>8.0307692307692307</v>
      </c>
      <c r="AA2424" s="23">
        <v>8.2692307692307701</v>
      </c>
    </row>
    <row r="2425" spans="17:27" x14ac:dyDescent="0.3">
      <c r="Q2425" s="93">
        <v>46118</v>
      </c>
      <c r="R2425" t="s">
        <v>496</v>
      </c>
      <c r="S2425" t="s">
        <v>399</v>
      </c>
      <c r="T2425" s="14">
        <v>16742.329099999999</v>
      </c>
      <c r="W2425" s="20">
        <v>46188</v>
      </c>
      <c r="X2425" t="s">
        <v>281</v>
      </c>
      <c r="Y2425" s="23">
        <v>8.5153846153846207</v>
      </c>
      <c r="Z2425" s="23">
        <v>8.0384615384615401</v>
      </c>
      <c r="AA2425" s="23">
        <v>8.2769230769230795</v>
      </c>
    </row>
    <row r="2426" spans="17:27" x14ac:dyDescent="0.3">
      <c r="Q2426" s="93">
        <v>46118</v>
      </c>
      <c r="R2426" t="s">
        <v>497</v>
      </c>
      <c r="S2426" t="s">
        <v>399</v>
      </c>
      <c r="T2426" s="14">
        <v>397.61059999999998</v>
      </c>
      <c r="W2426" s="20">
        <v>46190</v>
      </c>
      <c r="X2426" t="s">
        <v>270</v>
      </c>
      <c r="Y2426" s="23">
        <v>7.9812500000000002</v>
      </c>
      <c r="Z2426" s="23">
        <v>7.6</v>
      </c>
      <c r="AA2426" s="23">
        <v>7.7906250000000004</v>
      </c>
    </row>
    <row r="2427" spans="17:27" x14ac:dyDescent="0.3">
      <c r="Q2427" s="93">
        <v>46118</v>
      </c>
      <c r="R2427" t="s">
        <v>498</v>
      </c>
      <c r="S2427" t="s">
        <v>399</v>
      </c>
      <c r="T2427" s="14">
        <v>9500</v>
      </c>
      <c r="W2427" s="20">
        <v>46190</v>
      </c>
      <c r="X2427" t="s">
        <v>271</v>
      </c>
      <c r="Y2427" s="23">
        <v>8.2166666666666703</v>
      </c>
      <c r="Z2427" s="23">
        <v>7.7666666666666702</v>
      </c>
      <c r="AA2427" s="23">
        <v>7.9916666666666698</v>
      </c>
    </row>
    <row r="2428" spans="17:27" x14ac:dyDescent="0.3">
      <c r="Q2428" s="93">
        <v>46118</v>
      </c>
      <c r="R2428" t="s">
        <v>494</v>
      </c>
      <c r="S2428" t="s">
        <v>399</v>
      </c>
      <c r="T2428" s="14">
        <v>0</v>
      </c>
      <c r="W2428" s="20">
        <v>46190</v>
      </c>
      <c r="X2428" t="s">
        <v>272</v>
      </c>
      <c r="Y2428" s="23">
        <v>8.1923076923076898</v>
      </c>
      <c r="Z2428" s="23">
        <v>7.7153846153846102</v>
      </c>
      <c r="AA2428" s="23">
        <v>7.9538461538461496</v>
      </c>
    </row>
    <row r="2429" spans="17:27" x14ac:dyDescent="0.3">
      <c r="Q2429" s="93">
        <v>46118</v>
      </c>
      <c r="R2429" t="s">
        <v>495</v>
      </c>
      <c r="S2429" t="s">
        <v>399</v>
      </c>
      <c r="T2429" s="14">
        <v>0</v>
      </c>
      <c r="W2429" s="20">
        <v>46190</v>
      </c>
      <c r="X2429" t="s">
        <v>273</v>
      </c>
      <c r="Y2429" s="23">
        <v>8.3384615384615408</v>
      </c>
      <c r="Z2429" s="23">
        <v>7.8615384615384603</v>
      </c>
      <c r="AA2429" s="23">
        <v>8.1</v>
      </c>
    </row>
    <row r="2430" spans="17:27" x14ac:dyDescent="0.3">
      <c r="Q2430" s="93">
        <v>46118</v>
      </c>
      <c r="R2430" t="s">
        <v>493</v>
      </c>
      <c r="S2430" t="s">
        <v>399</v>
      </c>
      <c r="T2430" s="14">
        <v>0</v>
      </c>
      <c r="W2430" s="20">
        <v>46190</v>
      </c>
      <c r="X2430" t="s">
        <v>274</v>
      </c>
      <c r="Y2430" s="23">
        <v>8.3461538461538396</v>
      </c>
      <c r="Z2430" s="23">
        <v>7.8846153846153797</v>
      </c>
      <c r="AA2430" s="23">
        <v>8.1153846153846096</v>
      </c>
    </row>
    <row r="2431" spans="17:27" x14ac:dyDescent="0.3">
      <c r="Q2431" s="93">
        <v>46118</v>
      </c>
      <c r="R2431" t="s">
        <v>593</v>
      </c>
      <c r="S2431" t="s">
        <v>399</v>
      </c>
      <c r="T2431" s="14">
        <v>1165</v>
      </c>
      <c r="W2431" s="20">
        <v>46190</v>
      </c>
      <c r="X2431" t="s">
        <v>275</v>
      </c>
      <c r="Y2431" s="23">
        <v>8.3884615384615309</v>
      </c>
      <c r="Z2431" s="23">
        <v>7.9192307692307704</v>
      </c>
      <c r="AA2431" s="23">
        <v>8.1538461538461497</v>
      </c>
    </row>
    <row r="2432" spans="17:27" x14ac:dyDescent="0.3">
      <c r="Q2432" s="93">
        <v>46118</v>
      </c>
      <c r="R2432" t="s">
        <v>594</v>
      </c>
      <c r="S2432" t="s">
        <v>399</v>
      </c>
      <c r="T2432" s="14">
        <v>0</v>
      </c>
      <c r="W2432" s="20">
        <v>46190</v>
      </c>
      <c r="X2432" t="s">
        <v>276</v>
      </c>
      <c r="Y2432" s="23">
        <v>8.4038461538461497</v>
      </c>
      <c r="Z2432" s="23">
        <v>7.9269230769230798</v>
      </c>
      <c r="AA2432" s="23">
        <v>8.1653846153846104</v>
      </c>
    </row>
    <row r="2433" spans="17:27" x14ac:dyDescent="0.3">
      <c r="Q2433" s="93">
        <v>46118</v>
      </c>
      <c r="R2433" t="s">
        <v>595</v>
      </c>
      <c r="S2433" t="s">
        <v>399</v>
      </c>
      <c r="T2433" s="14">
        <v>0</v>
      </c>
      <c r="W2433" s="20">
        <v>46190</v>
      </c>
      <c r="X2433" t="s">
        <v>277</v>
      </c>
      <c r="Y2433" s="23">
        <v>8.4615384615384599</v>
      </c>
      <c r="Z2433" s="23">
        <v>7.9846153846153802</v>
      </c>
      <c r="AA2433" s="23">
        <v>8.2230769230769205</v>
      </c>
    </row>
    <row r="2434" spans="17:27" x14ac:dyDescent="0.3">
      <c r="Q2434" s="93">
        <v>46118</v>
      </c>
      <c r="R2434" t="s">
        <v>479</v>
      </c>
      <c r="S2434" t="s">
        <v>395</v>
      </c>
      <c r="T2434" s="14">
        <v>10516.443522010701</v>
      </c>
      <c r="W2434" s="20">
        <v>46190</v>
      </c>
      <c r="X2434" t="s">
        <v>278</v>
      </c>
      <c r="Y2434" s="23">
        <v>8.4769230769230806</v>
      </c>
      <c r="Z2434" s="23">
        <v>8</v>
      </c>
      <c r="AA2434" s="23">
        <v>8.2384615384615394</v>
      </c>
    </row>
    <row r="2435" spans="17:27" x14ac:dyDescent="0.3">
      <c r="Q2435" s="93">
        <v>46118</v>
      </c>
      <c r="R2435" t="s">
        <v>479</v>
      </c>
      <c r="S2435" t="s">
        <v>415</v>
      </c>
      <c r="T2435" s="14">
        <v>6.1258344251288301</v>
      </c>
      <c r="W2435" s="20">
        <v>46190</v>
      </c>
      <c r="X2435" t="s">
        <v>279</v>
      </c>
      <c r="Y2435" s="23">
        <v>8.5153846153846207</v>
      </c>
      <c r="Z2435" s="23">
        <v>8.0384615384615401</v>
      </c>
      <c r="AA2435" s="23">
        <v>8.2769230769230795</v>
      </c>
    </row>
    <row r="2436" spans="17:27" x14ac:dyDescent="0.3">
      <c r="Q2436" s="93">
        <v>46118</v>
      </c>
      <c r="R2436" t="s">
        <v>364</v>
      </c>
      <c r="S2436" t="s">
        <v>415</v>
      </c>
      <c r="T2436" s="14">
        <v>5.9237413871193301</v>
      </c>
      <c r="W2436" s="20">
        <v>46190</v>
      </c>
      <c r="X2436" t="s">
        <v>280</v>
      </c>
      <c r="Y2436" s="23">
        <v>8.5307692307692307</v>
      </c>
      <c r="Z2436" s="23">
        <v>8.0538461538461501</v>
      </c>
      <c r="AA2436" s="23">
        <v>8.2923076923076895</v>
      </c>
    </row>
    <row r="2437" spans="17:27" x14ac:dyDescent="0.3">
      <c r="Q2437" s="93">
        <v>46118</v>
      </c>
      <c r="R2437" t="s">
        <v>364</v>
      </c>
      <c r="S2437" t="s">
        <v>997</v>
      </c>
      <c r="T2437" s="14">
        <v>24307.329099999999</v>
      </c>
      <c r="W2437" s="20">
        <v>46190</v>
      </c>
      <c r="X2437" t="s">
        <v>281</v>
      </c>
      <c r="Y2437" s="23">
        <v>8.5384615384615401</v>
      </c>
      <c r="Z2437" s="23">
        <v>8.0615384615384595</v>
      </c>
      <c r="AA2437" s="23">
        <v>8.3000000000000007</v>
      </c>
    </row>
    <row r="2438" spans="17:27" x14ac:dyDescent="0.3">
      <c r="Q2438" s="93">
        <v>46118</v>
      </c>
      <c r="R2438" t="s">
        <v>496</v>
      </c>
      <c r="S2438" t="s">
        <v>997</v>
      </c>
      <c r="T2438" s="14">
        <v>23142.329099999999</v>
      </c>
      <c r="W2438" s="20">
        <v>46191</v>
      </c>
      <c r="X2438" t="s">
        <v>270</v>
      </c>
      <c r="Y2438" s="23">
        <v>8.0187500000000007</v>
      </c>
      <c r="Z2438" s="23">
        <v>7.6375000000000002</v>
      </c>
      <c r="AA2438" s="23">
        <v>7.828125</v>
      </c>
    </row>
    <row r="2439" spans="17:27" x14ac:dyDescent="0.3">
      <c r="Q2439" s="93">
        <v>46115</v>
      </c>
      <c r="R2439" t="s">
        <v>479</v>
      </c>
      <c r="S2439" t="s">
        <v>399</v>
      </c>
      <c r="T2439" s="14">
        <v>9897.6106</v>
      </c>
      <c r="W2439" s="20">
        <v>46191</v>
      </c>
      <c r="X2439" t="s">
        <v>271</v>
      </c>
      <c r="Y2439" s="23">
        <v>8.2166666666666703</v>
      </c>
      <c r="Z2439" s="23">
        <v>7.7666666666666702</v>
      </c>
      <c r="AA2439" s="23">
        <v>7.9916666666666698</v>
      </c>
    </row>
    <row r="2440" spans="17:27" x14ac:dyDescent="0.3">
      <c r="Q2440" s="93">
        <v>46115</v>
      </c>
      <c r="R2440" t="s">
        <v>364</v>
      </c>
      <c r="S2440" t="s">
        <v>399</v>
      </c>
      <c r="T2440" s="14">
        <v>15471.829100000001</v>
      </c>
      <c r="W2440" s="20">
        <v>46191</v>
      </c>
      <c r="X2440" t="s">
        <v>272</v>
      </c>
      <c r="Y2440" s="23">
        <v>8.1923076923076898</v>
      </c>
      <c r="Z2440" s="23">
        <v>7.7153846153846102</v>
      </c>
      <c r="AA2440" s="23">
        <v>7.9538461538461496</v>
      </c>
    </row>
    <row r="2441" spans="17:27" x14ac:dyDescent="0.3">
      <c r="Q2441" s="93">
        <v>46115</v>
      </c>
      <c r="R2441" t="s">
        <v>491</v>
      </c>
      <c r="S2441" t="s">
        <v>399</v>
      </c>
      <c r="T2441" s="14">
        <v>397.61059999999998</v>
      </c>
      <c r="W2441" s="20">
        <v>46191</v>
      </c>
      <c r="X2441" t="s">
        <v>273</v>
      </c>
      <c r="Y2441" s="23">
        <v>8.3384615384615408</v>
      </c>
      <c r="Z2441" s="23">
        <v>7.8615384615384603</v>
      </c>
      <c r="AA2441" s="23">
        <v>8.1</v>
      </c>
    </row>
    <row r="2442" spans="17:27" x14ac:dyDescent="0.3">
      <c r="Q2442" s="93">
        <v>46115</v>
      </c>
      <c r="R2442" t="s">
        <v>492</v>
      </c>
      <c r="S2442" t="s">
        <v>399</v>
      </c>
      <c r="T2442" s="14">
        <v>9500</v>
      </c>
      <c r="W2442" s="20">
        <v>46191</v>
      </c>
      <c r="X2442" t="s">
        <v>274</v>
      </c>
      <c r="Y2442" s="23">
        <v>8.3461538461538396</v>
      </c>
      <c r="Z2442" s="23">
        <v>7.8846153846153797</v>
      </c>
      <c r="AA2442" s="23">
        <v>8.1153846153846096</v>
      </c>
    </row>
    <row r="2443" spans="17:27" x14ac:dyDescent="0.3">
      <c r="Q2443" s="93">
        <v>46115</v>
      </c>
      <c r="R2443" t="s">
        <v>496</v>
      </c>
      <c r="S2443" t="s">
        <v>399</v>
      </c>
      <c r="T2443" s="14">
        <v>11753.829100000001</v>
      </c>
      <c r="W2443" s="20">
        <v>46191</v>
      </c>
      <c r="X2443" t="s">
        <v>275</v>
      </c>
      <c r="Y2443" s="23">
        <v>8.3884615384615309</v>
      </c>
      <c r="Z2443" s="23">
        <v>7.9192307692307704</v>
      </c>
      <c r="AA2443" s="23">
        <v>8.1538461538461497</v>
      </c>
    </row>
    <row r="2444" spans="17:27" x14ac:dyDescent="0.3">
      <c r="Q2444" s="93">
        <v>46115</v>
      </c>
      <c r="R2444" t="s">
        <v>497</v>
      </c>
      <c r="S2444" t="s">
        <v>399</v>
      </c>
      <c r="T2444" s="14">
        <v>397.61059999999998</v>
      </c>
      <c r="W2444" s="20">
        <v>46191</v>
      </c>
      <c r="X2444" t="s">
        <v>276</v>
      </c>
      <c r="Y2444" s="23">
        <v>8.4038461538461497</v>
      </c>
      <c r="Z2444" s="23">
        <v>7.9269230769230798</v>
      </c>
      <c r="AA2444" s="23">
        <v>8.1653846153846104</v>
      </c>
    </row>
    <row r="2445" spans="17:27" x14ac:dyDescent="0.3">
      <c r="Q2445" s="93">
        <v>46115</v>
      </c>
      <c r="R2445" t="s">
        <v>498</v>
      </c>
      <c r="S2445" t="s">
        <v>399</v>
      </c>
      <c r="T2445" s="14">
        <v>9500</v>
      </c>
      <c r="W2445" s="20">
        <v>46191</v>
      </c>
      <c r="X2445" t="s">
        <v>277</v>
      </c>
      <c r="Y2445" s="23">
        <v>8.4615384615384599</v>
      </c>
      <c r="Z2445" s="23">
        <v>7.9846153846153802</v>
      </c>
      <c r="AA2445" s="23">
        <v>8.2230769230769205</v>
      </c>
    </row>
    <row r="2446" spans="17:27" x14ac:dyDescent="0.3">
      <c r="Q2446" s="93">
        <v>46115</v>
      </c>
      <c r="R2446" t="s">
        <v>494</v>
      </c>
      <c r="S2446" t="s">
        <v>399</v>
      </c>
      <c r="T2446" s="14">
        <v>0</v>
      </c>
      <c r="W2446" s="20">
        <v>46191</v>
      </c>
      <c r="X2446" t="s">
        <v>278</v>
      </c>
      <c r="Y2446" s="23">
        <v>8.4769230769230806</v>
      </c>
      <c r="Z2446" s="23">
        <v>8</v>
      </c>
      <c r="AA2446" s="23">
        <v>8.2384615384615394</v>
      </c>
    </row>
    <row r="2447" spans="17:27" x14ac:dyDescent="0.3">
      <c r="Q2447" s="93">
        <v>46115</v>
      </c>
      <c r="R2447" t="s">
        <v>495</v>
      </c>
      <c r="S2447" t="s">
        <v>399</v>
      </c>
      <c r="T2447" s="14">
        <v>0</v>
      </c>
      <c r="W2447" s="20">
        <v>46191</v>
      </c>
      <c r="X2447" t="s">
        <v>279</v>
      </c>
      <c r="Y2447" s="23">
        <v>8.5153846153846207</v>
      </c>
      <c r="Z2447" s="23">
        <v>8.0384615384615401</v>
      </c>
      <c r="AA2447" s="23">
        <v>8.2769230769230795</v>
      </c>
    </row>
    <row r="2448" spans="17:27" x14ac:dyDescent="0.3">
      <c r="Q2448" s="93">
        <v>46115</v>
      </c>
      <c r="R2448" t="s">
        <v>493</v>
      </c>
      <c r="S2448" t="s">
        <v>399</v>
      </c>
      <c r="T2448" s="14">
        <v>0</v>
      </c>
      <c r="W2448" s="20">
        <v>46191</v>
      </c>
      <c r="X2448" t="s">
        <v>280</v>
      </c>
      <c r="Y2448" s="23">
        <v>8.5307692307692307</v>
      </c>
      <c r="Z2448" s="23">
        <v>8.0538461538461501</v>
      </c>
      <c r="AA2448" s="23">
        <v>8.2923076923076895</v>
      </c>
    </row>
    <row r="2449" spans="17:27" x14ac:dyDescent="0.3">
      <c r="Q2449" s="93">
        <v>46115</v>
      </c>
      <c r="R2449" t="s">
        <v>593</v>
      </c>
      <c r="S2449" t="s">
        <v>399</v>
      </c>
      <c r="T2449" s="14">
        <v>3718</v>
      </c>
      <c r="W2449" s="20">
        <v>46191</v>
      </c>
      <c r="X2449" t="s">
        <v>281</v>
      </c>
      <c r="Y2449" s="23">
        <v>8.5384615384615401</v>
      </c>
      <c r="Z2449" s="23">
        <v>8.0615384615384595</v>
      </c>
      <c r="AA2449" s="23">
        <v>8.3000000000000007</v>
      </c>
    </row>
    <row r="2450" spans="17:27" x14ac:dyDescent="0.3">
      <c r="Q2450" s="93">
        <v>46115</v>
      </c>
      <c r="R2450" t="s">
        <v>594</v>
      </c>
      <c r="S2450" t="s">
        <v>399</v>
      </c>
      <c r="T2450" s="14">
        <v>0</v>
      </c>
      <c r="W2450" s="20">
        <v>46192</v>
      </c>
      <c r="X2450" t="s">
        <v>270</v>
      </c>
      <c r="Y2450" s="23">
        <v>7.9928571428571402</v>
      </c>
      <c r="Z2450" s="23">
        <v>7.6285714285714299</v>
      </c>
      <c r="AA2450" s="23">
        <v>7.8107142857142904</v>
      </c>
    </row>
    <row r="2451" spans="17:27" x14ac:dyDescent="0.3">
      <c r="Q2451" s="93">
        <v>46115</v>
      </c>
      <c r="R2451" t="s">
        <v>595</v>
      </c>
      <c r="S2451" t="s">
        <v>399</v>
      </c>
      <c r="T2451" s="14">
        <v>0</v>
      </c>
      <c r="W2451" s="20">
        <v>46192</v>
      </c>
      <c r="X2451" t="s">
        <v>271</v>
      </c>
      <c r="Y2451" s="23">
        <v>8.2333333333333307</v>
      </c>
      <c r="Z2451" s="23">
        <v>7.7833333333333297</v>
      </c>
      <c r="AA2451" s="23">
        <v>8.0083333333333293</v>
      </c>
    </row>
    <row r="2452" spans="17:27" x14ac:dyDescent="0.3">
      <c r="Q2452" s="93">
        <v>46115</v>
      </c>
      <c r="R2452" t="s">
        <v>479</v>
      </c>
      <c r="S2452" t="s">
        <v>395</v>
      </c>
      <c r="T2452" s="14">
        <v>10518.2924404818</v>
      </c>
      <c r="W2452" s="20">
        <v>46192</v>
      </c>
      <c r="X2452" t="s">
        <v>272</v>
      </c>
      <c r="Y2452" s="23">
        <v>8.1999999999999993</v>
      </c>
      <c r="Z2452" s="23">
        <v>7.7230769230769196</v>
      </c>
      <c r="AA2452" s="23">
        <v>7.9615384615384599</v>
      </c>
    </row>
    <row r="2453" spans="17:27" x14ac:dyDescent="0.3">
      <c r="Q2453" s="93">
        <v>46115</v>
      </c>
      <c r="R2453" t="s">
        <v>479</v>
      </c>
      <c r="S2453" t="s">
        <v>415</v>
      </c>
      <c r="T2453" s="14">
        <v>6.1258344251288301</v>
      </c>
      <c r="W2453" s="20">
        <v>46192</v>
      </c>
      <c r="X2453" t="s">
        <v>273</v>
      </c>
      <c r="Y2453" s="23">
        <v>8.3461538461538396</v>
      </c>
      <c r="Z2453" s="23">
        <v>7.8692307692307697</v>
      </c>
      <c r="AA2453" s="23">
        <v>8.1076923076923109</v>
      </c>
    </row>
    <row r="2454" spans="17:27" x14ac:dyDescent="0.3">
      <c r="Q2454" s="93">
        <v>46115</v>
      </c>
      <c r="R2454" t="s">
        <v>364</v>
      </c>
      <c r="S2454" t="s">
        <v>415</v>
      </c>
      <c r="T2454" s="14">
        <v>5.8905763278943697</v>
      </c>
      <c r="W2454" s="20">
        <v>46192</v>
      </c>
      <c r="X2454" t="s">
        <v>274</v>
      </c>
      <c r="Y2454" s="23">
        <v>8.3538461538461508</v>
      </c>
      <c r="Z2454" s="23">
        <v>7.8846153846153797</v>
      </c>
      <c r="AA2454" s="23">
        <v>8.1192307692307697</v>
      </c>
    </row>
    <row r="2455" spans="17:27" x14ac:dyDescent="0.3">
      <c r="Q2455" s="93">
        <v>46115</v>
      </c>
      <c r="R2455" t="s">
        <v>364</v>
      </c>
      <c r="S2455" t="s">
        <v>997</v>
      </c>
      <c r="T2455" s="14">
        <v>22871.829099999999</v>
      </c>
      <c r="W2455" s="20">
        <v>46192</v>
      </c>
      <c r="X2455" t="s">
        <v>275</v>
      </c>
      <c r="Y2455" s="23">
        <v>8.3961538461538403</v>
      </c>
      <c r="Z2455" s="23">
        <v>7.9192307692307704</v>
      </c>
      <c r="AA2455" s="23">
        <v>8.1576923076923098</v>
      </c>
    </row>
    <row r="2456" spans="17:27" x14ac:dyDescent="0.3">
      <c r="Q2456" s="93">
        <v>46115</v>
      </c>
      <c r="R2456" t="s">
        <v>496</v>
      </c>
      <c r="S2456" t="s">
        <v>997</v>
      </c>
      <c r="T2456" s="14">
        <v>19153.829099999999</v>
      </c>
      <c r="W2456" s="20">
        <v>46192</v>
      </c>
      <c r="X2456" t="s">
        <v>276</v>
      </c>
      <c r="Y2456" s="23">
        <v>8.4115384615384592</v>
      </c>
      <c r="Z2456" s="23">
        <v>7.9269230769230798</v>
      </c>
      <c r="AA2456" s="23">
        <v>8.1692307692307704</v>
      </c>
    </row>
    <row r="2457" spans="17:27" x14ac:dyDescent="0.3">
      <c r="Q2457" s="93">
        <v>46114</v>
      </c>
      <c r="R2457" t="s">
        <v>479</v>
      </c>
      <c r="S2457" t="s">
        <v>399</v>
      </c>
      <c r="T2457" s="14">
        <v>9897.6106</v>
      </c>
      <c r="W2457" s="20">
        <v>46192</v>
      </c>
      <c r="X2457" t="s">
        <v>277</v>
      </c>
      <c r="Y2457" s="23">
        <v>8.4692307692307693</v>
      </c>
      <c r="Z2457" s="23">
        <v>7.9846153846153802</v>
      </c>
      <c r="AA2457" s="23">
        <v>8.2269230769230806</v>
      </c>
    </row>
    <row r="2458" spans="17:27" x14ac:dyDescent="0.3">
      <c r="Q2458" s="93">
        <v>46114</v>
      </c>
      <c r="R2458" t="s">
        <v>364</v>
      </c>
      <c r="S2458" t="s">
        <v>399</v>
      </c>
      <c r="T2458" s="14">
        <v>16149.829100000001</v>
      </c>
      <c r="W2458" s="20">
        <v>46192</v>
      </c>
      <c r="X2458" t="s">
        <v>278</v>
      </c>
      <c r="Y2458" s="23">
        <v>8.4846153846153793</v>
      </c>
      <c r="Z2458" s="23">
        <v>8</v>
      </c>
      <c r="AA2458" s="23">
        <v>8.2423076923076906</v>
      </c>
    </row>
    <row r="2459" spans="17:27" x14ac:dyDescent="0.3">
      <c r="Q2459" s="93">
        <v>46114</v>
      </c>
      <c r="R2459" t="s">
        <v>491</v>
      </c>
      <c r="S2459" t="s">
        <v>399</v>
      </c>
      <c r="T2459" s="14">
        <v>397.61059999999998</v>
      </c>
      <c r="W2459" s="20">
        <v>46192</v>
      </c>
      <c r="X2459" t="s">
        <v>279</v>
      </c>
      <c r="Y2459" s="23">
        <v>8.5230769230769194</v>
      </c>
      <c r="Z2459" s="23">
        <v>8.0384615384615401</v>
      </c>
      <c r="AA2459" s="23">
        <v>8.2807692307692307</v>
      </c>
    </row>
    <row r="2460" spans="17:27" x14ac:dyDescent="0.3">
      <c r="Q2460" s="93">
        <v>46114</v>
      </c>
      <c r="R2460" t="s">
        <v>492</v>
      </c>
      <c r="S2460" t="s">
        <v>399</v>
      </c>
      <c r="T2460" s="14">
        <v>9500</v>
      </c>
      <c r="W2460" s="20">
        <v>46192</v>
      </c>
      <c r="X2460" t="s">
        <v>280</v>
      </c>
      <c r="Y2460" s="23">
        <v>8.5384615384615401</v>
      </c>
      <c r="Z2460" s="23">
        <v>8.0538461538461501</v>
      </c>
      <c r="AA2460" s="23">
        <v>8.2961538461538495</v>
      </c>
    </row>
    <row r="2461" spans="17:27" x14ac:dyDescent="0.3">
      <c r="Q2461" s="93">
        <v>46114</v>
      </c>
      <c r="R2461" t="s">
        <v>496</v>
      </c>
      <c r="S2461" t="s">
        <v>399</v>
      </c>
      <c r="T2461" s="14">
        <v>12596.1291</v>
      </c>
      <c r="W2461" s="20">
        <v>46192</v>
      </c>
      <c r="X2461" t="s">
        <v>281</v>
      </c>
      <c r="Y2461" s="23">
        <v>8.5461538461538495</v>
      </c>
      <c r="Z2461" s="23">
        <v>8.0615384615384595</v>
      </c>
      <c r="AA2461" s="23">
        <v>8.3038461538461608</v>
      </c>
    </row>
    <row r="2462" spans="17:27" x14ac:dyDescent="0.3">
      <c r="Q2462" s="93">
        <v>46114</v>
      </c>
      <c r="R2462" t="s">
        <v>497</v>
      </c>
      <c r="S2462" t="s">
        <v>399</v>
      </c>
      <c r="T2462" s="14">
        <v>397.61059999999998</v>
      </c>
      <c r="W2462" s="20">
        <v>46195</v>
      </c>
      <c r="X2462" t="s">
        <v>270</v>
      </c>
      <c r="Y2462" s="23">
        <v>8.0214285714285705</v>
      </c>
      <c r="Z2462" s="23">
        <v>7.6571428571428601</v>
      </c>
      <c r="AA2462" s="23">
        <v>7.83928571428571</v>
      </c>
    </row>
    <row r="2463" spans="17:27" x14ac:dyDescent="0.3">
      <c r="Q2463" s="93">
        <v>46114</v>
      </c>
      <c r="R2463" t="s">
        <v>498</v>
      </c>
      <c r="S2463" t="s">
        <v>399</v>
      </c>
      <c r="T2463" s="14">
        <v>9500</v>
      </c>
      <c r="W2463" s="20">
        <v>46195</v>
      </c>
      <c r="X2463" t="s">
        <v>271</v>
      </c>
      <c r="Y2463" s="23">
        <v>8.25</v>
      </c>
      <c r="Z2463" s="23">
        <v>7.8</v>
      </c>
      <c r="AA2463" s="23">
        <v>8.0250000000000004</v>
      </c>
    </row>
    <row r="2464" spans="17:27" x14ac:dyDescent="0.3">
      <c r="Q2464" s="93">
        <v>46114</v>
      </c>
      <c r="R2464" t="s">
        <v>494</v>
      </c>
      <c r="S2464" t="s">
        <v>399</v>
      </c>
      <c r="T2464" s="14">
        <v>0</v>
      </c>
      <c r="W2464" s="20">
        <v>46195</v>
      </c>
      <c r="X2464" t="s">
        <v>272</v>
      </c>
      <c r="Y2464" s="23">
        <v>8.2230769230769205</v>
      </c>
      <c r="Z2464" s="23">
        <v>7.7384615384615403</v>
      </c>
      <c r="AA2464" s="23">
        <v>7.9807692307692299</v>
      </c>
    </row>
    <row r="2465" spans="17:27" x14ac:dyDescent="0.3">
      <c r="Q2465" s="93">
        <v>46114</v>
      </c>
      <c r="R2465" t="s">
        <v>495</v>
      </c>
      <c r="S2465" t="s">
        <v>399</v>
      </c>
      <c r="T2465" s="14">
        <v>0</v>
      </c>
      <c r="W2465" s="20">
        <v>46195</v>
      </c>
      <c r="X2465" t="s">
        <v>273</v>
      </c>
      <c r="Y2465" s="23">
        <v>8.3384615384615408</v>
      </c>
      <c r="Z2465" s="23">
        <v>7.8538461538461499</v>
      </c>
      <c r="AA2465" s="23">
        <v>8.0961538461538503</v>
      </c>
    </row>
    <row r="2466" spans="17:27" x14ac:dyDescent="0.3">
      <c r="Q2466" s="93">
        <v>46114</v>
      </c>
      <c r="R2466" t="s">
        <v>493</v>
      </c>
      <c r="S2466" t="s">
        <v>399</v>
      </c>
      <c r="T2466" s="14">
        <v>0</v>
      </c>
      <c r="W2466" s="20">
        <v>46195</v>
      </c>
      <c r="X2466" t="s">
        <v>274</v>
      </c>
      <c r="Y2466" s="23">
        <v>8.3461538461538503</v>
      </c>
      <c r="Z2466" s="23">
        <v>7.8692307692307697</v>
      </c>
      <c r="AA2466" s="23">
        <v>8.1076923076923109</v>
      </c>
    </row>
    <row r="2467" spans="17:27" x14ac:dyDescent="0.3">
      <c r="Q2467" s="93">
        <v>46114</v>
      </c>
      <c r="R2467" t="s">
        <v>593</v>
      </c>
      <c r="S2467" t="s">
        <v>399</v>
      </c>
      <c r="T2467" s="14">
        <v>3553.7</v>
      </c>
      <c r="W2467" s="20">
        <v>46195</v>
      </c>
      <c r="X2467" t="s">
        <v>275</v>
      </c>
      <c r="Y2467" s="23">
        <v>8.3961538461538403</v>
      </c>
      <c r="Z2467" s="23">
        <v>7.9115384615384601</v>
      </c>
      <c r="AA2467" s="23">
        <v>8.1538461538461497</v>
      </c>
    </row>
    <row r="2468" spans="17:27" x14ac:dyDescent="0.3">
      <c r="Q2468" s="93">
        <v>46114</v>
      </c>
      <c r="R2468" t="s">
        <v>594</v>
      </c>
      <c r="S2468" t="s">
        <v>399</v>
      </c>
      <c r="T2468" s="14">
        <v>0</v>
      </c>
      <c r="W2468" s="20">
        <v>46195</v>
      </c>
      <c r="X2468" t="s">
        <v>276</v>
      </c>
      <c r="Y2468" s="23">
        <v>8.4115384615384592</v>
      </c>
      <c r="Z2468" s="23">
        <v>7.9192307692307704</v>
      </c>
      <c r="AA2468" s="23">
        <v>8.1653846153846104</v>
      </c>
    </row>
    <row r="2469" spans="17:27" x14ac:dyDescent="0.3">
      <c r="Q2469" s="93">
        <v>46114</v>
      </c>
      <c r="R2469" t="s">
        <v>595</v>
      </c>
      <c r="S2469" t="s">
        <v>399</v>
      </c>
      <c r="T2469" s="14">
        <v>0</v>
      </c>
      <c r="W2469" s="20">
        <v>46195</v>
      </c>
      <c r="X2469" t="s">
        <v>277</v>
      </c>
      <c r="Y2469" s="23">
        <v>8.4692307692307693</v>
      </c>
      <c r="Z2469" s="23">
        <v>7.9769230769230797</v>
      </c>
      <c r="AA2469" s="23">
        <v>8.2230769230769205</v>
      </c>
    </row>
    <row r="2470" spans="17:27" x14ac:dyDescent="0.3">
      <c r="Q2470" s="93">
        <v>46114</v>
      </c>
      <c r="R2470" t="s">
        <v>479</v>
      </c>
      <c r="S2470" t="s">
        <v>395</v>
      </c>
      <c r="T2470" s="14">
        <v>10523.010947388</v>
      </c>
      <c r="W2470" s="20">
        <v>46195</v>
      </c>
      <c r="X2470" t="s">
        <v>278</v>
      </c>
      <c r="Y2470" s="23">
        <v>8.4846153846153793</v>
      </c>
      <c r="Z2470" s="23">
        <v>7.9923076923076897</v>
      </c>
      <c r="AA2470" s="23">
        <v>8.2384615384615394</v>
      </c>
    </row>
    <row r="2471" spans="17:27" x14ac:dyDescent="0.3">
      <c r="Q2471" s="93">
        <v>46114</v>
      </c>
      <c r="R2471" t="s">
        <v>479</v>
      </c>
      <c r="S2471" t="s">
        <v>415</v>
      </c>
      <c r="T2471" s="14">
        <v>6.1258344251288301</v>
      </c>
      <c r="W2471" s="20">
        <v>46195</v>
      </c>
      <c r="X2471" t="s">
        <v>279</v>
      </c>
      <c r="Y2471" s="23">
        <v>8.5307692307692307</v>
      </c>
      <c r="Z2471" s="23">
        <v>8.0384615384615401</v>
      </c>
      <c r="AA2471" s="23">
        <v>8.2846153846153907</v>
      </c>
    </row>
    <row r="2472" spans="17:27" x14ac:dyDescent="0.3">
      <c r="Q2472" s="93">
        <v>46114</v>
      </c>
      <c r="R2472" t="s">
        <v>364</v>
      </c>
      <c r="S2472" t="s">
        <v>415</v>
      </c>
      <c r="T2472" s="14">
        <v>5.8687827760074898</v>
      </c>
      <c r="W2472" s="20">
        <v>46195</v>
      </c>
      <c r="X2472" t="s">
        <v>280</v>
      </c>
      <c r="Y2472" s="23">
        <v>8.5461538461538495</v>
      </c>
      <c r="Z2472" s="23">
        <v>8.0538461538461501</v>
      </c>
      <c r="AA2472" s="23">
        <v>8.3000000000000007</v>
      </c>
    </row>
    <row r="2473" spans="17:27" x14ac:dyDescent="0.3">
      <c r="Q2473" s="93">
        <v>46114</v>
      </c>
      <c r="R2473" t="s">
        <v>364</v>
      </c>
      <c r="S2473" t="s">
        <v>997</v>
      </c>
      <c r="T2473" s="14">
        <v>23549.829099999999</v>
      </c>
      <c r="W2473" s="20">
        <v>46195</v>
      </c>
      <c r="X2473" t="s">
        <v>281</v>
      </c>
      <c r="Y2473" s="23">
        <v>8.5538461538461501</v>
      </c>
      <c r="Z2473" s="23">
        <v>8.0615384615384595</v>
      </c>
      <c r="AA2473" s="23">
        <v>8.3076923076923102</v>
      </c>
    </row>
    <row r="2474" spans="17:27" x14ac:dyDescent="0.3">
      <c r="Q2474" s="93">
        <v>46114</v>
      </c>
      <c r="R2474" t="s">
        <v>496</v>
      </c>
      <c r="S2474" t="s">
        <v>997</v>
      </c>
      <c r="T2474" s="14">
        <v>19996.129099999998</v>
      </c>
      <c r="W2474" s="20">
        <v>46196</v>
      </c>
      <c r="X2474" t="s">
        <v>270</v>
      </c>
      <c r="Y2474" s="23">
        <v>8.0214285714285705</v>
      </c>
      <c r="Z2474" s="23">
        <v>7.6571428571428601</v>
      </c>
      <c r="AA2474" s="23">
        <v>7.83928571428571</v>
      </c>
    </row>
    <row r="2475" spans="17:27" x14ac:dyDescent="0.3">
      <c r="Q2475" s="93">
        <v>46113</v>
      </c>
      <c r="R2475" t="s">
        <v>479</v>
      </c>
      <c r="S2475" t="s">
        <v>399</v>
      </c>
      <c r="T2475" s="14">
        <v>9897.6106</v>
      </c>
      <c r="W2475" s="20">
        <v>46196</v>
      </c>
      <c r="X2475" t="s">
        <v>271</v>
      </c>
      <c r="Y2475" s="23">
        <v>8.2666666666666693</v>
      </c>
      <c r="Z2475" s="23">
        <v>7.81666666666667</v>
      </c>
      <c r="AA2475" s="23">
        <v>8.0416666666666607</v>
      </c>
    </row>
    <row r="2476" spans="17:27" x14ac:dyDescent="0.3">
      <c r="Q2476" s="93">
        <v>46113</v>
      </c>
      <c r="R2476" t="s">
        <v>364</v>
      </c>
      <c r="S2476" t="s">
        <v>399</v>
      </c>
      <c r="T2476" s="14">
        <v>16492.129099999998</v>
      </c>
      <c r="W2476" s="20">
        <v>46196</v>
      </c>
      <c r="X2476" t="s">
        <v>272</v>
      </c>
      <c r="Y2476" s="23">
        <v>8.2307692307692299</v>
      </c>
      <c r="Z2476" s="23">
        <v>7.7461538461538497</v>
      </c>
      <c r="AA2476" s="23">
        <v>7.9884615384615403</v>
      </c>
    </row>
    <row r="2477" spans="17:27" x14ac:dyDescent="0.3">
      <c r="Q2477" s="93">
        <v>46113</v>
      </c>
      <c r="R2477" t="s">
        <v>491</v>
      </c>
      <c r="S2477" t="s">
        <v>399</v>
      </c>
      <c r="T2477" s="14">
        <v>397.61059999999998</v>
      </c>
      <c r="W2477" s="20">
        <v>46196</v>
      </c>
      <c r="X2477" t="s">
        <v>273</v>
      </c>
      <c r="Y2477" s="23">
        <v>8.3615384615384603</v>
      </c>
      <c r="Z2477" s="23">
        <v>7.87692307692308</v>
      </c>
      <c r="AA2477" s="23">
        <v>8.1192307692307697</v>
      </c>
    </row>
    <row r="2478" spans="17:27" x14ac:dyDescent="0.3">
      <c r="Q2478" s="93">
        <v>46113</v>
      </c>
      <c r="R2478" t="s">
        <v>492</v>
      </c>
      <c r="S2478" t="s">
        <v>399</v>
      </c>
      <c r="T2478" s="14">
        <v>9500</v>
      </c>
      <c r="W2478" s="20">
        <v>46196</v>
      </c>
      <c r="X2478" t="s">
        <v>274</v>
      </c>
      <c r="Y2478" s="23">
        <v>8.3769230769230791</v>
      </c>
      <c r="Z2478" s="23">
        <v>7.9</v>
      </c>
      <c r="AA2478" s="23">
        <v>8.1384615384615397</v>
      </c>
    </row>
    <row r="2479" spans="17:27" x14ac:dyDescent="0.3">
      <c r="Q2479" s="93">
        <v>46113</v>
      </c>
      <c r="R2479" t="s">
        <v>496</v>
      </c>
      <c r="S2479" t="s">
        <v>399</v>
      </c>
      <c r="T2479" s="14">
        <v>15802.1291</v>
      </c>
      <c r="W2479" s="20">
        <v>46196</v>
      </c>
      <c r="X2479" t="s">
        <v>275</v>
      </c>
      <c r="Y2479" s="23">
        <v>8.4115384615384592</v>
      </c>
      <c r="Z2479" s="23">
        <v>7.9269230769230798</v>
      </c>
      <c r="AA2479" s="23">
        <v>8.1692307692307704</v>
      </c>
    </row>
    <row r="2480" spans="17:27" x14ac:dyDescent="0.3">
      <c r="Q2480" s="93">
        <v>46113</v>
      </c>
      <c r="R2480" t="s">
        <v>497</v>
      </c>
      <c r="S2480" t="s">
        <v>399</v>
      </c>
      <c r="T2480" s="14">
        <v>397.61059999999998</v>
      </c>
      <c r="W2480" s="20">
        <v>46196</v>
      </c>
      <c r="X2480" t="s">
        <v>276</v>
      </c>
      <c r="Y2480" s="23">
        <v>8.4269230769230692</v>
      </c>
      <c r="Z2480" s="23">
        <v>7.9346153846153804</v>
      </c>
      <c r="AA2480" s="23">
        <v>8.1807692307692292</v>
      </c>
    </row>
    <row r="2481" spans="17:27" x14ac:dyDescent="0.3">
      <c r="Q2481" s="93">
        <v>46113</v>
      </c>
      <c r="R2481" t="s">
        <v>498</v>
      </c>
      <c r="S2481" t="s">
        <v>399</v>
      </c>
      <c r="T2481" s="14">
        <v>9500</v>
      </c>
      <c r="W2481" s="20">
        <v>46196</v>
      </c>
      <c r="X2481" t="s">
        <v>277</v>
      </c>
      <c r="Y2481" s="23">
        <v>8.4846153846153793</v>
      </c>
      <c r="Z2481" s="23">
        <v>7.9923076923076897</v>
      </c>
      <c r="AA2481" s="23">
        <v>8.2384615384615394</v>
      </c>
    </row>
    <row r="2482" spans="17:27" x14ac:dyDescent="0.3">
      <c r="Q2482" s="93">
        <v>46113</v>
      </c>
      <c r="R2482" t="s">
        <v>494</v>
      </c>
      <c r="S2482" t="s">
        <v>399</v>
      </c>
      <c r="T2482" s="14">
        <v>0</v>
      </c>
      <c r="W2482" s="20">
        <v>46196</v>
      </c>
      <c r="X2482" t="s">
        <v>278</v>
      </c>
      <c r="Y2482" s="23">
        <v>8.5</v>
      </c>
      <c r="Z2482" s="23">
        <v>8.0076923076923094</v>
      </c>
      <c r="AA2482" s="23">
        <v>8.2538461538461494</v>
      </c>
    </row>
    <row r="2483" spans="17:27" x14ac:dyDescent="0.3">
      <c r="Q2483" s="93">
        <v>46113</v>
      </c>
      <c r="R2483" t="s">
        <v>495</v>
      </c>
      <c r="S2483" t="s">
        <v>399</v>
      </c>
      <c r="T2483" s="14">
        <v>0</v>
      </c>
      <c r="W2483" s="20">
        <v>46196</v>
      </c>
      <c r="X2483" t="s">
        <v>279</v>
      </c>
      <c r="Y2483" s="23">
        <v>8.5384615384615401</v>
      </c>
      <c r="Z2483" s="23">
        <v>8.0461538461538407</v>
      </c>
      <c r="AA2483" s="23">
        <v>8.2923076923076895</v>
      </c>
    </row>
    <row r="2484" spans="17:27" x14ac:dyDescent="0.3">
      <c r="Q2484" s="93">
        <v>46113</v>
      </c>
      <c r="R2484" t="s">
        <v>493</v>
      </c>
      <c r="S2484" t="s">
        <v>399</v>
      </c>
      <c r="T2484" s="14">
        <v>0</v>
      </c>
      <c r="W2484" s="20">
        <v>46196</v>
      </c>
      <c r="X2484" t="s">
        <v>280</v>
      </c>
      <c r="Y2484" s="23">
        <v>8.5538461538461501</v>
      </c>
      <c r="Z2484" s="23">
        <v>8.0615384615384595</v>
      </c>
      <c r="AA2484" s="23">
        <v>8.3076923076923102</v>
      </c>
    </row>
    <row r="2485" spans="17:27" x14ac:dyDescent="0.3">
      <c r="Q2485" s="93">
        <v>46113</v>
      </c>
      <c r="R2485" t="s">
        <v>593</v>
      </c>
      <c r="S2485" t="s">
        <v>399</v>
      </c>
      <c r="T2485" s="14">
        <v>690</v>
      </c>
      <c r="W2485" s="20">
        <v>46196</v>
      </c>
      <c r="X2485" t="s">
        <v>281</v>
      </c>
      <c r="Y2485" s="23">
        <v>8.5615384615384595</v>
      </c>
      <c r="Z2485" s="23">
        <v>8.0692307692307708</v>
      </c>
      <c r="AA2485" s="23">
        <v>8.3153846153846107</v>
      </c>
    </row>
    <row r="2486" spans="17:27" x14ac:dyDescent="0.3">
      <c r="Q2486" s="93">
        <v>46113</v>
      </c>
      <c r="R2486" t="s">
        <v>594</v>
      </c>
      <c r="S2486" t="s">
        <v>399</v>
      </c>
      <c r="T2486" s="14">
        <v>0</v>
      </c>
      <c r="W2486" s="20">
        <v>46197</v>
      </c>
      <c r="X2486" t="s">
        <v>270</v>
      </c>
      <c r="Y2486" s="23">
        <v>8.0214285714285705</v>
      </c>
      <c r="Z2486" s="23">
        <v>7.6571428571428601</v>
      </c>
      <c r="AA2486" s="23">
        <v>7.83928571428571</v>
      </c>
    </row>
    <row r="2487" spans="17:27" x14ac:dyDescent="0.3">
      <c r="Q2487" s="93">
        <v>46113</v>
      </c>
      <c r="R2487" t="s">
        <v>595</v>
      </c>
      <c r="S2487" t="s">
        <v>399</v>
      </c>
      <c r="T2487" s="14">
        <v>0</v>
      </c>
      <c r="W2487" s="20">
        <v>46197</v>
      </c>
      <c r="X2487" t="s">
        <v>271</v>
      </c>
      <c r="Y2487" s="23">
        <v>8.2666666666666693</v>
      </c>
      <c r="Z2487" s="23">
        <v>7.81666666666667</v>
      </c>
      <c r="AA2487" s="23">
        <v>8.0416666666666607</v>
      </c>
    </row>
    <row r="2488" spans="17:27" x14ac:dyDescent="0.3">
      <c r="Q2488" s="93">
        <v>46113</v>
      </c>
      <c r="R2488" t="s">
        <v>479</v>
      </c>
      <c r="S2488" t="s">
        <v>395</v>
      </c>
      <c r="T2488" s="14">
        <v>10524.15613976</v>
      </c>
      <c r="W2488" s="20">
        <v>46197</v>
      </c>
      <c r="X2488" t="s">
        <v>272</v>
      </c>
      <c r="Y2488" s="23">
        <v>8.2307692307692299</v>
      </c>
      <c r="Z2488" s="23">
        <v>7.7461538461538497</v>
      </c>
      <c r="AA2488" s="23">
        <v>7.9884615384615403</v>
      </c>
    </row>
    <row r="2489" spans="17:27" x14ac:dyDescent="0.3">
      <c r="Q2489" s="93">
        <v>46113</v>
      </c>
      <c r="R2489" t="s">
        <v>479</v>
      </c>
      <c r="S2489" t="s">
        <v>415</v>
      </c>
      <c r="T2489" s="14">
        <v>6.1258344251288301</v>
      </c>
      <c r="W2489" s="20">
        <v>46197</v>
      </c>
      <c r="X2489" t="s">
        <v>273</v>
      </c>
      <c r="Y2489" s="23">
        <v>8.3615384615384603</v>
      </c>
      <c r="Z2489" s="23">
        <v>7.87692307692308</v>
      </c>
      <c r="AA2489" s="23">
        <v>8.1192307692307697</v>
      </c>
    </row>
    <row r="2490" spans="17:27" x14ac:dyDescent="0.3">
      <c r="Q2490" s="93">
        <v>46113</v>
      </c>
      <c r="R2490" t="s">
        <v>364</v>
      </c>
      <c r="S2490" t="s">
        <v>415</v>
      </c>
      <c r="T2490" s="14">
        <v>5.8755890198165703</v>
      </c>
      <c r="W2490" s="20">
        <v>46197</v>
      </c>
      <c r="X2490" t="s">
        <v>274</v>
      </c>
      <c r="Y2490" s="23">
        <v>8.3769230769230791</v>
      </c>
      <c r="Z2490" s="23">
        <v>7.9</v>
      </c>
      <c r="AA2490" s="23">
        <v>8.1384615384615397</v>
      </c>
    </row>
    <row r="2491" spans="17:27" x14ac:dyDescent="0.3">
      <c r="Q2491" s="93">
        <v>46113</v>
      </c>
      <c r="R2491" t="s">
        <v>364</v>
      </c>
      <c r="S2491" t="s">
        <v>997</v>
      </c>
      <c r="T2491" s="14">
        <v>23892.129099999998</v>
      </c>
      <c r="W2491" s="20">
        <v>46197</v>
      </c>
      <c r="X2491" t="s">
        <v>275</v>
      </c>
      <c r="Y2491" s="23">
        <v>8.4115384615384592</v>
      </c>
      <c r="Z2491" s="23">
        <v>7.9269230769230798</v>
      </c>
      <c r="AA2491" s="23">
        <v>8.1692307692307704</v>
      </c>
    </row>
    <row r="2492" spans="17:27" x14ac:dyDescent="0.3">
      <c r="Q2492" s="93">
        <v>46113</v>
      </c>
      <c r="R2492" t="s">
        <v>496</v>
      </c>
      <c r="S2492" t="s">
        <v>997</v>
      </c>
      <c r="T2492" s="14">
        <v>23202.129099999998</v>
      </c>
      <c r="W2492" s="20">
        <v>46197</v>
      </c>
      <c r="X2492" t="s">
        <v>276</v>
      </c>
      <c r="Y2492" s="23">
        <v>8.4269230769230692</v>
      </c>
      <c r="Z2492" s="23">
        <v>7.9346153846153804</v>
      </c>
      <c r="AA2492" s="23">
        <v>8.1807692307692292</v>
      </c>
    </row>
    <row r="2493" spans="17:27" x14ac:dyDescent="0.3">
      <c r="Q2493" s="93">
        <v>46112</v>
      </c>
      <c r="R2493" t="s">
        <v>364</v>
      </c>
      <c r="S2493" t="s">
        <v>997</v>
      </c>
      <c r="T2493" s="14">
        <v>24622.129099999998</v>
      </c>
      <c r="W2493" s="20">
        <v>46197</v>
      </c>
      <c r="X2493" t="s">
        <v>277</v>
      </c>
      <c r="Y2493" s="23">
        <v>8.4846153846153793</v>
      </c>
      <c r="Z2493" s="23">
        <v>7.9923076923076897</v>
      </c>
      <c r="AA2493" s="23">
        <v>8.2384615384615394</v>
      </c>
    </row>
    <row r="2494" spans="17:27" x14ac:dyDescent="0.3">
      <c r="Q2494" s="93">
        <v>46112</v>
      </c>
      <c r="R2494" t="s">
        <v>496</v>
      </c>
      <c r="S2494" t="s">
        <v>997</v>
      </c>
      <c r="T2494" s="14">
        <v>22702.129099999998</v>
      </c>
      <c r="W2494" s="20">
        <v>46197</v>
      </c>
      <c r="X2494" t="s">
        <v>278</v>
      </c>
      <c r="Y2494" s="23">
        <v>8.5</v>
      </c>
      <c r="Z2494" s="23">
        <v>8.0076923076923094</v>
      </c>
      <c r="AA2494" s="23">
        <v>8.2538461538461494</v>
      </c>
    </row>
    <row r="2495" spans="17:27" x14ac:dyDescent="0.3">
      <c r="Q2495" s="93">
        <v>46112</v>
      </c>
      <c r="R2495" t="s">
        <v>479</v>
      </c>
      <c r="S2495" t="s">
        <v>399</v>
      </c>
      <c r="T2495" s="14">
        <v>9897.6106</v>
      </c>
      <c r="W2495" s="20">
        <v>46197</v>
      </c>
      <c r="X2495" t="s">
        <v>279</v>
      </c>
      <c r="Y2495" s="23">
        <v>8.5384615384615401</v>
      </c>
      <c r="Z2495" s="23">
        <v>8.0461538461538407</v>
      </c>
      <c r="AA2495" s="23">
        <v>8.2923076923076895</v>
      </c>
    </row>
    <row r="2496" spans="17:27" x14ac:dyDescent="0.3">
      <c r="Q2496" s="93">
        <v>46112</v>
      </c>
      <c r="R2496" t="s">
        <v>364</v>
      </c>
      <c r="S2496" t="s">
        <v>399</v>
      </c>
      <c r="T2496" s="14">
        <v>17222.129099999998</v>
      </c>
      <c r="W2496" s="20">
        <v>46197</v>
      </c>
      <c r="X2496" t="s">
        <v>280</v>
      </c>
      <c r="Y2496" s="23">
        <v>8.5538461538461501</v>
      </c>
      <c r="Z2496" s="23">
        <v>8.0615384615384595</v>
      </c>
      <c r="AA2496" s="23">
        <v>8.3076923076923102</v>
      </c>
    </row>
    <row r="2497" spans="17:27" x14ac:dyDescent="0.3">
      <c r="Q2497" s="93">
        <v>46112</v>
      </c>
      <c r="R2497" t="s">
        <v>491</v>
      </c>
      <c r="S2497" t="s">
        <v>399</v>
      </c>
      <c r="T2497" s="14">
        <v>397.61059999999998</v>
      </c>
      <c r="W2497" s="20">
        <v>46197</v>
      </c>
      <c r="X2497" t="s">
        <v>281</v>
      </c>
      <c r="Y2497" s="23">
        <v>8.5615384615384595</v>
      </c>
      <c r="Z2497" s="23">
        <v>8.0692307692307708</v>
      </c>
      <c r="AA2497" s="23">
        <v>8.3153846153846107</v>
      </c>
    </row>
    <row r="2498" spans="17:27" x14ac:dyDescent="0.3">
      <c r="Q2498" s="93">
        <v>46112</v>
      </c>
      <c r="R2498" t="s">
        <v>492</v>
      </c>
      <c r="S2498" t="s">
        <v>399</v>
      </c>
      <c r="T2498" s="14">
        <v>9500</v>
      </c>
      <c r="W2498" s="20">
        <v>46198</v>
      </c>
      <c r="X2498" t="s">
        <v>270</v>
      </c>
      <c r="Y2498" s="23">
        <v>8.0214285714285705</v>
      </c>
      <c r="Z2498" s="23">
        <v>7.6571428571428601</v>
      </c>
      <c r="AA2498" s="23">
        <v>7.83928571428571</v>
      </c>
    </row>
    <row r="2499" spans="17:27" x14ac:dyDescent="0.3">
      <c r="Q2499" s="93">
        <v>46112</v>
      </c>
      <c r="R2499" t="s">
        <v>496</v>
      </c>
      <c r="S2499" t="s">
        <v>399</v>
      </c>
      <c r="T2499" s="14">
        <v>15302.1291</v>
      </c>
      <c r="W2499" s="20">
        <v>46198</v>
      </c>
      <c r="X2499" t="s">
        <v>271</v>
      </c>
      <c r="Y2499" s="23">
        <v>8.2833333333333297</v>
      </c>
      <c r="Z2499" s="23">
        <v>7.8333333333333304</v>
      </c>
      <c r="AA2499" s="23">
        <v>8.05833333333333</v>
      </c>
    </row>
    <row r="2500" spans="17:27" x14ac:dyDescent="0.3">
      <c r="Q2500" s="93">
        <v>46112</v>
      </c>
      <c r="R2500" t="s">
        <v>497</v>
      </c>
      <c r="S2500" t="s">
        <v>399</v>
      </c>
      <c r="T2500" s="14">
        <v>397.61059999999998</v>
      </c>
      <c r="W2500" s="20">
        <v>46198</v>
      </c>
      <c r="X2500" t="s">
        <v>272</v>
      </c>
      <c r="Y2500" s="23">
        <v>8.2307692307692299</v>
      </c>
      <c r="Z2500" s="23">
        <v>7.7461538461538497</v>
      </c>
      <c r="AA2500" s="23">
        <v>7.9884615384615403</v>
      </c>
    </row>
    <row r="2501" spans="17:27" x14ac:dyDescent="0.3">
      <c r="Q2501" s="93">
        <v>46112</v>
      </c>
      <c r="R2501" t="s">
        <v>498</v>
      </c>
      <c r="S2501" t="s">
        <v>399</v>
      </c>
      <c r="T2501" s="14">
        <v>9500</v>
      </c>
      <c r="W2501" s="20">
        <v>46198</v>
      </c>
      <c r="X2501" t="s">
        <v>273</v>
      </c>
      <c r="Y2501" s="23">
        <v>8.3615384615384603</v>
      </c>
      <c r="Z2501" s="23">
        <v>7.87692307692308</v>
      </c>
      <c r="AA2501" s="23">
        <v>8.1192307692307697</v>
      </c>
    </row>
    <row r="2502" spans="17:27" x14ac:dyDescent="0.3">
      <c r="Q2502" s="93">
        <v>46112</v>
      </c>
      <c r="R2502" t="s">
        <v>494</v>
      </c>
      <c r="S2502" t="s">
        <v>399</v>
      </c>
      <c r="T2502" s="14">
        <v>0</v>
      </c>
      <c r="W2502" s="20">
        <v>46198</v>
      </c>
      <c r="X2502" t="s">
        <v>274</v>
      </c>
      <c r="Y2502" s="23">
        <v>8.3769230769230791</v>
      </c>
      <c r="Z2502" s="23">
        <v>7.9</v>
      </c>
      <c r="AA2502" s="23">
        <v>8.1384615384615397</v>
      </c>
    </row>
    <row r="2503" spans="17:27" x14ac:dyDescent="0.3">
      <c r="Q2503" s="93">
        <v>46112</v>
      </c>
      <c r="R2503" t="s">
        <v>495</v>
      </c>
      <c r="S2503" t="s">
        <v>399</v>
      </c>
      <c r="T2503" s="14">
        <v>0</v>
      </c>
      <c r="W2503" s="20">
        <v>46198</v>
      </c>
      <c r="X2503" t="s">
        <v>275</v>
      </c>
      <c r="Y2503" s="23">
        <v>8.4115384615384592</v>
      </c>
      <c r="Z2503" s="23">
        <v>7.9269230769230798</v>
      </c>
      <c r="AA2503" s="23">
        <v>8.1692307692307704</v>
      </c>
    </row>
    <row r="2504" spans="17:27" x14ac:dyDescent="0.3">
      <c r="Q2504" s="93">
        <v>46112</v>
      </c>
      <c r="R2504" t="s">
        <v>493</v>
      </c>
      <c r="S2504" t="s">
        <v>399</v>
      </c>
      <c r="T2504" s="14">
        <v>0</v>
      </c>
      <c r="W2504" s="20">
        <v>46198</v>
      </c>
      <c r="X2504" t="s">
        <v>276</v>
      </c>
      <c r="Y2504" s="23">
        <v>8.4269230769230692</v>
      </c>
      <c r="Z2504" s="23">
        <v>7.9346153846153804</v>
      </c>
      <c r="AA2504" s="23">
        <v>8.1807692307692292</v>
      </c>
    </row>
    <row r="2505" spans="17:27" x14ac:dyDescent="0.3">
      <c r="Q2505" s="93">
        <v>46112</v>
      </c>
      <c r="R2505" t="s">
        <v>593</v>
      </c>
      <c r="S2505" t="s">
        <v>399</v>
      </c>
      <c r="T2505" s="14">
        <v>1920</v>
      </c>
      <c r="W2505" s="20">
        <v>46198</v>
      </c>
      <c r="X2505" t="s">
        <v>277</v>
      </c>
      <c r="Y2505" s="23">
        <v>8.4846153846153793</v>
      </c>
      <c r="Z2505" s="23">
        <v>7.9923076923076897</v>
      </c>
      <c r="AA2505" s="23">
        <v>8.2384615384615394</v>
      </c>
    </row>
    <row r="2506" spans="17:27" x14ac:dyDescent="0.3">
      <c r="Q2506" s="93">
        <v>46112</v>
      </c>
      <c r="R2506" t="s">
        <v>594</v>
      </c>
      <c r="S2506" t="s">
        <v>399</v>
      </c>
      <c r="T2506" s="14">
        <v>0</v>
      </c>
      <c r="W2506" s="20">
        <v>46198</v>
      </c>
      <c r="X2506" t="s">
        <v>278</v>
      </c>
      <c r="Y2506" s="23">
        <v>8.5</v>
      </c>
      <c r="Z2506" s="23">
        <v>8.0076923076923094</v>
      </c>
      <c r="AA2506" s="23">
        <v>8.2538461538461494</v>
      </c>
    </row>
    <row r="2507" spans="17:27" x14ac:dyDescent="0.3">
      <c r="Q2507" s="93">
        <v>46112</v>
      </c>
      <c r="R2507" t="s">
        <v>595</v>
      </c>
      <c r="S2507" t="s">
        <v>399</v>
      </c>
      <c r="T2507" s="14">
        <v>0</v>
      </c>
      <c r="W2507" s="20">
        <v>46198</v>
      </c>
      <c r="X2507" t="s">
        <v>279</v>
      </c>
      <c r="Y2507" s="23">
        <v>8.5384615384615401</v>
      </c>
      <c r="Z2507" s="23">
        <v>8.0461538461538407</v>
      </c>
      <c r="AA2507" s="23">
        <v>8.2923076923076895</v>
      </c>
    </row>
    <row r="2508" spans="17:27" x14ac:dyDescent="0.3">
      <c r="Q2508" s="93">
        <v>46112</v>
      </c>
      <c r="R2508" t="s">
        <v>479</v>
      </c>
      <c r="S2508" t="s">
        <v>395</v>
      </c>
      <c r="T2508" s="14">
        <v>10523.825137505401</v>
      </c>
      <c r="W2508" s="20">
        <v>46198</v>
      </c>
      <c r="X2508" t="s">
        <v>280</v>
      </c>
      <c r="Y2508" s="23">
        <v>8.5538461538461501</v>
      </c>
      <c r="Z2508" s="23">
        <v>8.0615384615384595</v>
      </c>
      <c r="AA2508" s="23">
        <v>8.3076923076923102</v>
      </c>
    </row>
    <row r="2509" spans="17:27" x14ac:dyDescent="0.3">
      <c r="Q2509" s="93">
        <v>46112</v>
      </c>
      <c r="R2509" t="s">
        <v>479</v>
      </c>
      <c r="S2509" t="s">
        <v>415</v>
      </c>
      <c r="T2509" s="14">
        <v>6.1258344251288301</v>
      </c>
      <c r="W2509" s="20">
        <v>46198</v>
      </c>
      <c r="X2509" t="s">
        <v>281</v>
      </c>
      <c r="Y2509" s="23">
        <v>8.5615384615384595</v>
      </c>
      <c r="Z2509" s="23">
        <v>8.0692307692307708</v>
      </c>
      <c r="AA2509" s="23">
        <v>8.3153846153846107</v>
      </c>
    </row>
    <row r="2510" spans="17:27" x14ac:dyDescent="0.3">
      <c r="Q2510" s="93">
        <v>46112</v>
      </c>
      <c r="R2510" t="s">
        <v>364</v>
      </c>
      <c r="S2510" t="s">
        <v>415</v>
      </c>
      <c r="T2510" s="14">
        <v>5.8788714335836998</v>
      </c>
      <c r="W2510" s="20">
        <v>46199</v>
      </c>
      <c r="X2510" t="s">
        <v>270</v>
      </c>
      <c r="Y2510" s="23">
        <v>8.0214285714285705</v>
      </c>
      <c r="Z2510" s="23">
        <v>7.6571428571428601</v>
      </c>
      <c r="AA2510" s="23">
        <v>7.83928571428571</v>
      </c>
    </row>
    <row r="2511" spans="17:27" x14ac:dyDescent="0.3">
      <c r="Q2511" s="93">
        <v>46111</v>
      </c>
      <c r="R2511" t="s">
        <v>364</v>
      </c>
      <c r="S2511" t="s">
        <v>997</v>
      </c>
      <c r="T2511" s="14">
        <v>24452.3717</v>
      </c>
      <c r="W2511" s="20">
        <v>46199</v>
      </c>
      <c r="X2511" t="s">
        <v>271</v>
      </c>
      <c r="Y2511" s="23">
        <v>8.31666666666667</v>
      </c>
      <c r="Z2511" s="23">
        <v>7.8666666666666698</v>
      </c>
      <c r="AA2511" s="23">
        <v>8.0916666666666703</v>
      </c>
    </row>
    <row r="2512" spans="17:27" x14ac:dyDescent="0.3">
      <c r="Q2512" s="93">
        <v>46111</v>
      </c>
      <c r="R2512" t="s">
        <v>496</v>
      </c>
      <c r="S2512" t="s">
        <v>997</v>
      </c>
      <c r="T2512" s="14">
        <v>22232.3717</v>
      </c>
      <c r="W2512" s="20">
        <v>46199</v>
      </c>
      <c r="X2512" t="s">
        <v>272</v>
      </c>
      <c r="Y2512" s="23">
        <v>8.2384615384615394</v>
      </c>
      <c r="Z2512" s="23">
        <v>7.7538461538461503</v>
      </c>
      <c r="AA2512" s="23">
        <v>7.9961538461538497</v>
      </c>
    </row>
    <row r="2513" spans="17:27" x14ac:dyDescent="0.3">
      <c r="Q2513" s="93">
        <v>46111</v>
      </c>
      <c r="R2513" t="s">
        <v>479</v>
      </c>
      <c r="S2513" t="s">
        <v>399</v>
      </c>
      <c r="T2513" s="14">
        <v>9897.6106</v>
      </c>
      <c r="W2513" s="20">
        <v>46199</v>
      </c>
      <c r="X2513" t="s">
        <v>273</v>
      </c>
      <c r="Y2513" s="23">
        <v>8.3615384615384603</v>
      </c>
      <c r="Z2513" s="23">
        <v>7.87692307692308</v>
      </c>
      <c r="AA2513" s="23">
        <v>8.1192307692307697</v>
      </c>
    </row>
    <row r="2514" spans="17:27" x14ac:dyDescent="0.3">
      <c r="Q2514" s="93">
        <v>46111</v>
      </c>
      <c r="R2514" t="s">
        <v>364</v>
      </c>
      <c r="S2514" t="s">
        <v>399</v>
      </c>
      <c r="T2514" s="14">
        <v>17052.3717</v>
      </c>
      <c r="W2514" s="20">
        <v>46199</v>
      </c>
      <c r="X2514" t="s">
        <v>274</v>
      </c>
      <c r="Y2514" s="23">
        <v>8.3769230769230791</v>
      </c>
      <c r="Z2514" s="23">
        <v>7.9</v>
      </c>
      <c r="AA2514" s="23">
        <v>8.1384615384615397</v>
      </c>
    </row>
    <row r="2515" spans="17:27" x14ac:dyDescent="0.3">
      <c r="Q2515" s="93">
        <v>46111</v>
      </c>
      <c r="R2515" t="s">
        <v>491</v>
      </c>
      <c r="S2515" t="s">
        <v>399</v>
      </c>
      <c r="T2515" s="14">
        <v>397.61059999999998</v>
      </c>
      <c r="W2515" s="20">
        <v>46199</v>
      </c>
      <c r="X2515" t="s">
        <v>275</v>
      </c>
      <c r="Y2515" s="23">
        <v>8.4115384615384592</v>
      </c>
      <c r="Z2515" s="23">
        <v>7.9269230769230798</v>
      </c>
      <c r="AA2515" s="23">
        <v>8.1692307692307704</v>
      </c>
    </row>
    <row r="2516" spans="17:27" x14ac:dyDescent="0.3">
      <c r="Q2516" s="93">
        <v>46111</v>
      </c>
      <c r="R2516" t="s">
        <v>492</v>
      </c>
      <c r="S2516" t="s">
        <v>399</v>
      </c>
      <c r="T2516" s="14">
        <v>9500</v>
      </c>
      <c r="W2516" s="20">
        <v>46199</v>
      </c>
      <c r="X2516" t="s">
        <v>276</v>
      </c>
      <c r="Y2516" s="23">
        <v>8.4269230769230692</v>
      </c>
      <c r="Z2516" s="23">
        <v>7.9346153846153804</v>
      </c>
      <c r="AA2516" s="23">
        <v>8.1807692307692292</v>
      </c>
    </row>
    <row r="2517" spans="17:27" x14ac:dyDescent="0.3">
      <c r="Q2517" s="93">
        <v>46111</v>
      </c>
      <c r="R2517" t="s">
        <v>496</v>
      </c>
      <c r="S2517" t="s">
        <v>399</v>
      </c>
      <c r="T2517" s="14">
        <v>14832.3717</v>
      </c>
      <c r="W2517" s="20">
        <v>46199</v>
      </c>
      <c r="X2517" t="s">
        <v>277</v>
      </c>
      <c r="Y2517" s="23">
        <v>8.4846153846153793</v>
      </c>
      <c r="Z2517" s="23">
        <v>7.9923076923076897</v>
      </c>
      <c r="AA2517" s="23">
        <v>8.2384615384615394</v>
      </c>
    </row>
    <row r="2518" spans="17:27" x14ac:dyDescent="0.3">
      <c r="Q2518" s="93">
        <v>46111</v>
      </c>
      <c r="R2518" t="s">
        <v>497</v>
      </c>
      <c r="S2518" t="s">
        <v>399</v>
      </c>
      <c r="T2518" s="14">
        <v>397.61059999999998</v>
      </c>
      <c r="W2518" s="20">
        <v>46199</v>
      </c>
      <c r="X2518" t="s">
        <v>278</v>
      </c>
      <c r="Y2518" s="23">
        <v>8.5</v>
      </c>
      <c r="Z2518" s="23">
        <v>8.0076923076923094</v>
      </c>
      <c r="AA2518" s="23">
        <v>8.2538461538461494</v>
      </c>
    </row>
    <row r="2519" spans="17:27" x14ac:dyDescent="0.3">
      <c r="Q2519" s="93">
        <v>46111</v>
      </c>
      <c r="R2519" t="s">
        <v>498</v>
      </c>
      <c r="S2519" t="s">
        <v>399</v>
      </c>
      <c r="T2519" s="14">
        <v>9500</v>
      </c>
      <c r="W2519" s="20">
        <v>46199</v>
      </c>
      <c r="X2519" t="s">
        <v>279</v>
      </c>
      <c r="Y2519" s="23">
        <v>8.5384615384615401</v>
      </c>
      <c r="Z2519" s="23">
        <v>8.0461538461538407</v>
      </c>
      <c r="AA2519" s="23">
        <v>8.2923076923076895</v>
      </c>
    </row>
    <row r="2520" spans="17:27" x14ac:dyDescent="0.3">
      <c r="Q2520" s="93">
        <v>46111</v>
      </c>
      <c r="R2520" t="s">
        <v>494</v>
      </c>
      <c r="S2520" t="s">
        <v>399</v>
      </c>
      <c r="T2520" s="14">
        <v>0</v>
      </c>
      <c r="W2520" s="20">
        <v>46199</v>
      </c>
      <c r="X2520" t="s">
        <v>280</v>
      </c>
      <c r="Y2520" s="23">
        <v>8.5538461538461501</v>
      </c>
      <c r="Z2520" s="23">
        <v>8.0615384615384595</v>
      </c>
      <c r="AA2520" s="23">
        <v>8.3076923076923102</v>
      </c>
    </row>
    <row r="2521" spans="17:27" x14ac:dyDescent="0.3">
      <c r="Q2521" s="93">
        <v>46111</v>
      </c>
      <c r="R2521" t="s">
        <v>495</v>
      </c>
      <c r="S2521" t="s">
        <v>399</v>
      </c>
      <c r="T2521" s="14">
        <v>0</v>
      </c>
      <c r="W2521" s="20">
        <v>46199</v>
      </c>
      <c r="X2521" t="s">
        <v>281</v>
      </c>
      <c r="Y2521" s="23">
        <v>8.5615384615384595</v>
      </c>
      <c r="Z2521" s="23">
        <v>8.0692307692307708</v>
      </c>
      <c r="AA2521" s="23">
        <v>8.3153846153846107</v>
      </c>
    </row>
    <row r="2522" spans="17:27" x14ac:dyDescent="0.3">
      <c r="Q2522" s="93">
        <v>46111</v>
      </c>
      <c r="R2522" t="s">
        <v>493</v>
      </c>
      <c r="S2522" t="s">
        <v>399</v>
      </c>
      <c r="T2522" s="14">
        <v>0</v>
      </c>
      <c r="W2522" s="20">
        <v>46202</v>
      </c>
      <c r="X2522" t="s">
        <v>270</v>
      </c>
      <c r="Y2522" s="23">
        <v>8.0437499999999993</v>
      </c>
      <c r="Z2522" s="23">
        <v>7.6624999999999996</v>
      </c>
      <c r="AA2522" s="23">
        <v>7.8531250000000004</v>
      </c>
    </row>
    <row r="2523" spans="17:27" x14ac:dyDescent="0.3">
      <c r="Q2523" s="93">
        <v>46111</v>
      </c>
      <c r="R2523" t="s">
        <v>593</v>
      </c>
      <c r="S2523" t="s">
        <v>399</v>
      </c>
      <c r="T2523" s="14">
        <v>2220</v>
      </c>
      <c r="W2523" s="20">
        <v>46202</v>
      </c>
      <c r="X2523" t="s">
        <v>271</v>
      </c>
      <c r="Y2523" s="23">
        <v>8.34</v>
      </c>
      <c r="Z2523" s="23">
        <v>7.92</v>
      </c>
      <c r="AA2523" s="23">
        <v>8.1300000000000008</v>
      </c>
    </row>
    <row r="2524" spans="17:27" x14ac:dyDescent="0.3">
      <c r="Q2524" s="93">
        <v>46111</v>
      </c>
      <c r="R2524" t="s">
        <v>594</v>
      </c>
      <c r="S2524" t="s">
        <v>399</v>
      </c>
      <c r="T2524" s="14">
        <v>0</v>
      </c>
      <c r="W2524" s="20">
        <v>46202</v>
      </c>
      <c r="X2524" t="s">
        <v>272</v>
      </c>
      <c r="Y2524" s="23">
        <v>8.2538461538461494</v>
      </c>
      <c r="Z2524" s="23">
        <v>7.7692307692307701</v>
      </c>
      <c r="AA2524" s="23">
        <v>8.0115384615384606</v>
      </c>
    </row>
    <row r="2525" spans="17:27" x14ac:dyDescent="0.3">
      <c r="Q2525" s="93">
        <v>46111</v>
      </c>
      <c r="R2525" t="s">
        <v>595</v>
      </c>
      <c r="S2525" t="s">
        <v>399</v>
      </c>
      <c r="T2525" s="14">
        <v>0</v>
      </c>
      <c r="W2525" s="20">
        <v>46202</v>
      </c>
      <c r="X2525" t="s">
        <v>273</v>
      </c>
      <c r="Y2525" s="23">
        <v>8.3692307692307697</v>
      </c>
      <c r="Z2525" s="23">
        <v>7.8846153846153797</v>
      </c>
      <c r="AA2525" s="23">
        <v>8.1269230769230791</v>
      </c>
    </row>
    <row r="2526" spans="17:27" x14ac:dyDescent="0.3">
      <c r="Q2526" s="93">
        <v>46111</v>
      </c>
      <c r="R2526" t="s">
        <v>479</v>
      </c>
      <c r="S2526" t="s">
        <v>395</v>
      </c>
      <c r="T2526" s="14">
        <v>10525.1899641943</v>
      </c>
      <c r="W2526" s="20">
        <v>46202</v>
      </c>
      <c r="X2526" t="s">
        <v>274</v>
      </c>
      <c r="Y2526" s="23">
        <v>8.3769230769230791</v>
      </c>
      <c r="Z2526" s="23">
        <v>7.9</v>
      </c>
      <c r="AA2526" s="23">
        <v>8.1384615384615397</v>
      </c>
    </row>
    <row r="2527" spans="17:27" x14ac:dyDescent="0.3">
      <c r="Q2527" s="93">
        <v>46111</v>
      </c>
      <c r="R2527" t="s">
        <v>479</v>
      </c>
      <c r="S2527" t="s">
        <v>415</v>
      </c>
      <c r="T2527" s="14">
        <v>6.1258344251288301</v>
      </c>
      <c r="W2527" s="20">
        <v>46202</v>
      </c>
      <c r="X2527" t="s">
        <v>275</v>
      </c>
      <c r="Y2527" s="23">
        <v>8.4115384615384592</v>
      </c>
      <c r="Z2527" s="23">
        <v>7.9269230769230798</v>
      </c>
      <c r="AA2527" s="23">
        <v>8.1692307692307704</v>
      </c>
    </row>
    <row r="2528" spans="17:27" x14ac:dyDescent="0.3">
      <c r="Q2528" s="93">
        <v>46111</v>
      </c>
      <c r="R2528" t="s">
        <v>364</v>
      </c>
      <c r="S2528" t="s">
        <v>415</v>
      </c>
      <c r="T2528" s="14">
        <v>5.88468483202388</v>
      </c>
      <c r="W2528" s="20">
        <v>46202</v>
      </c>
      <c r="X2528" t="s">
        <v>276</v>
      </c>
      <c r="Y2528" s="23">
        <v>8.4269230769230692</v>
      </c>
      <c r="Z2528" s="23">
        <v>7.9346153846153804</v>
      </c>
      <c r="AA2528" s="23">
        <v>8.1807692307692292</v>
      </c>
    </row>
    <row r="2529" spans="17:27" x14ac:dyDescent="0.3">
      <c r="Q2529" s="93">
        <v>46108</v>
      </c>
      <c r="R2529" t="s">
        <v>479</v>
      </c>
      <c r="S2529" t="s">
        <v>399</v>
      </c>
      <c r="T2529" s="14">
        <v>9897.6106</v>
      </c>
      <c r="W2529" s="20">
        <v>46202</v>
      </c>
      <c r="X2529" t="s">
        <v>277</v>
      </c>
      <c r="Y2529" s="23">
        <v>8.4846153846153793</v>
      </c>
      <c r="Z2529" s="23">
        <v>7.9923076923076897</v>
      </c>
      <c r="AA2529" s="23">
        <v>8.2384615384615394</v>
      </c>
    </row>
    <row r="2530" spans="17:27" x14ac:dyDescent="0.3">
      <c r="Q2530" s="93">
        <v>46108</v>
      </c>
      <c r="R2530" t="s">
        <v>364</v>
      </c>
      <c r="S2530" t="s">
        <v>399</v>
      </c>
      <c r="T2530" s="14">
        <v>16402.3717</v>
      </c>
      <c r="W2530" s="20">
        <v>46202</v>
      </c>
      <c r="X2530" t="s">
        <v>278</v>
      </c>
      <c r="Y2530" s="23">
        <v>8.5</v>
      </c>
      <c r="Z2530" s="23">
        <v>8.0076923076923094</v>
      </c>
      <c r="AA2530" s="23">
        <v>8.2538461538461494</v>
      </c>
    </row>
    <row r="2531" spans="17:27" x14ac:dyDescent="0.3">
      <c r="Q2531" s="93">
        <v>46108</v>
      </c>
      <c r="R2531" t="s">
        <v>491</v>
      </c>
      <c r="S2531" t="s">
        <v>399</v>
      </c>
      <c r="T2531" s="14">
        <v>397.61059999999998</v>
      </c>
      <c r="W2531" s="20">
        <v>46202</v>
      </c>
      <c r="X2531" t="s">
        <v>279</v>
      </c>
      <c r="Y2531" s="23">
        <v>8.5384615384615401</v>
      </c>
      <c r="Z2531" s="23">
        <v>8.0461538461538407</v>
      </c>
      <c r="AA2531" s="23">
        <v>8.2923076923076895</v>
      </c>
    </row>
    <row r="2532" spans="17:27" x14ac:dyDescent="0.3">
      <c r="Q2532" s="93">
        <v>46108</v>
      </c>
      <c r="R2532" t="s">
        <v>492</v>
      </c>
      <c r="S2532" t="s">
        <v>399</v>
      </c>
      <c r="T2532" s="14">
        <v>9500</v>
      </c>
      <c r="W2532" s="20">
        <v>46202</v>
      </c>
      <c r="X2532" t="s">
        <v>280</v>
      </c>
      <c r="Y2532" s="23">
        <v>8.5538461538461501</v>
      </c>
      <c r="Z2532" s="23">
        <v>8.0615384615384595</v>
      </c>
      <c r="AA2532" s="23">
        <v>8.3076923076923102</v>
      </c>
    </row>
    <row r="2533" spans="17:27" x14ac:dyDescent="0.3">
      <c r="Q2533" s="93">
        <v>46108</v>
      </c>
      <c r="R2533" t="s">
        <v>496</v>
      </c>
      <c r="S2533" t="s">
        <v>399</v>
      </c>
      <c r="T2533" s="14">
        <v>11332.3717</v>
      </c>
      <c r="W2533" s="20">
        <v>46202</v>
      </c>
      <c r="X2533" t="s">
        <v>281</v>
      </c>
      <c r="Y2533" s="23">
        <v>8.5615384615384595</v>
      </c>
      <c r="Z2533" s="23">
        <v>8.0692307692307708</v>
      </c>
      <c r="AA2533" s="23">
        <v>8.3153846153846107</v>
      </c>
    </row>
    <row r="2534" spans="17:27" x14ac:dyDescent="0.3">
      <c r="Q2534" s="93">
        <v>46108</v>
      </c>
      <c r="R2534" t="s">
        <v>497</v>
      </c>
      <c r="S2534" t="s">
        <v>399</v>
      </c>
      <c r="T2534" s="14">
        <v>397.61059999999998</v>
      </c>
      <c r="W2534" s="20">
        <v>46203</v>
      </c>
      <c r="X2534" t="s">
        <v>270</v>
      </c>
      <c r="Y2534" s="23">
        <v>8.0562500000000004</v>
      </c>
      <c r="Z2534" s="23">
        <v>7.6749999999999998</v>
      </c>
      <c r="AA2534" s="23">
        <v>7.8656249999999996</v>
      </c>
    </row>
    <row r="2535" spans="17:27" x14ac:dyDescent="0.3">
      <c r="Q2535" s="93">
        <v>46108</v>
      </c>
      <c r="R2535" t="s">
        <v>498</v>
      </c>
      <c r="S2535" t="s">
        <v>399</v>
      </c>
      <c r="T2535" s="14">
        <v>9500</v>
      </c>
      <c r="W2535" s="20">
        <v>46203</v>
      </c>
      <c r="X2535" t="s">
        <v>271</v>
      </c>
      <c r="Y2535" s="23">
        <v>8.36</v>
      </c>
      <c r="Z2535" s="23">
        <v>7.94</v>
      </c>
      <c r="AA2535" s="23">
        <v>8.15</v>
      </c>
    </row>
    <row r="2536" spans="17:27" x14ac:dyDescent="0.3">
      <c r="Q2536" s="93">
        <v>46108</v>
      </c>
      <c r="R2536" t="s">
        <v>494</v>
      </c>
      <c r="S2536" t="s">
        <v>399</v>
      </c>
      <c r="T2536" s="14">
        <v>0</v>
      </c>
      <c r="W2536" s="20">
        <v>46203</v>
      </c>
      <c r="X2536" t="s">
        <v>272</v>
      </c>
      <c r="Y2536" s="23">
        <v>8.2538461538461494</v>
      </c>
      <c r="Z2536" s="23">
        <v>7.7692307692307701</v>
      </c>
      <c r="AA2536" s="23">
        <v>8.0115384615384606</v>
      </c>
    </row>
    <row r="2537" spans="17:27" x14ac:dyDescent="0.3">
      <c r="Q2537" s="93">
        <v>46108</v>
      </c>
      <c r="R2537" t="s">
        <v>495</v>
      </c>
      <c r="S2537" t="s">
        <v>399</v>
      </c>
      <c r="T2537" s="14">
        <v>0</v>
      </c>
      <c r="W2537" s="20">
        <v>46203</v>
      </c>
      <c r="X2537" t="s">
        <v>273</v>
      </c>
      <c r="Y2537" s="23">
        <v>8.3692307692307697</v>
      </c>
      <c r="Z2537" s="23">
        <v>7.8846153846153797</v>
      </c>
      <c r="AA2537" s="23">
        <v>8.1269230769230791</v>
      </c>
    </row>
    <row r="2538" spans="17:27" x14ac:dyDescent="0.3">
      <c r="Q2538" s="93">
        <v>46108</v>
      </c>
      <c r="R2538" t="s">
        <v>493</v>
      </c>
      <c r="S2538" t="s">
        <v>399</v>
      </c>
      <c r="T2538" s="14">
        <v>0</v>
      </c>
      <c r="W2538" s="20">
        <v>46203</v>
      </c>
      <c r="X2538" t="s">
        <v>274</v>
      </c>
      <c r="Y2538" s="23">
        <v>8.3769230769230791</v>
      </c>
      <c r="Z2538" s="23">
        <v>7.9</v>
      </c>
      <c r="AA2538" s="23">
        <v>8.1384615384615397</v>
      </c>
    </row>
    <row r="2539" spans="17:27" x14ac:dyDescent="0.3">
      <c r="Q2539" s="93">
        <v>46108</v>
      </c>
      <c r="R2539" t="s">
        <v>593</v>
      </c>
      <c r="S2539" t="s">
        <v>399</v>
      </c>
      <c r="T2539" s="14">
        <v>5070</v>
      </c>
      <c r="W2539" s="20">
        <v>46203</v>
      </c>
      <c r="X2539" t="s">
        <v>275</v>
      </c>
      <c r="Y2539" s="23">
        <v>8.4115384615384592</v>
      </c>
      <c r="Z2539" s="23">
        <v>7.9269230769230798</v>
      </c>
      <c r="AA2539" s="23">
        <v>8.1692307692307704</v>
      </c>
    </row>
    <row r="2540" spans="17:27" x14ac:dyDescent="0.3">
      <c r="Q2540" s="93">
        <v>46108</v>
      </c>
      <c r="R2540" t="s">
        <v>594</v>
      </c>
      <c r="S2540" t="s">
        <v>399</v>
      </c>
      <c r="T2540" s="14">
        <v>0</v>
      </c>
      <c r="W2540" s="20">
        <v>46203</v>
      </c>
      <c r="X2540" t="s">
        <v>276</v>
      </c>
      <c r="Y2540" s="23">
        <v>8.4269230769230692</v>
      </c>
      <c r="Z2540" s="23">
        <v>7.9346153846153804</v>
      </c>
      <c r="AA2540" s="23">
        <v>8.1807692307692292</v>
      </c>
    </row>
    <row r="2541" spans="17:27" x14ac:dyDescent="0.3">
      <c r="Q2541" s="93">
        <v>46108</v>
      </c>
      <c r="R2541" t="s">
        <v>595</v>
      </c>
      <c r="S2541" t="s">
        <v>399</v>
      </c>
      <c r="T2541" s="14">
        <v>0</v>
      </c>
      <c r="W2541" s="20">
        <v>46203</v>
      </c>
      <c r="X2541" t="s">
        <v>277</v>
      </c>
      <c r="Y2541" s="23">
        <v>8.4846153846153793</v>
      </c>
      <c r="Z2541" s="23">
        <v>7.9923076923076897</v>
      </c>
      <c r="AA2541" s="23">
        <v>8.2384615384615394</v>
      </c>
    </row>
    <row r="2542" spans="17:27" x14ac:dyDescent="0.3">
      <c r="Q2542" s="93">
        <v>46108</v>
      </c>
      <c r="R2542" t="s">
        <v>479</v>
      </c>
      <c r="S2542" t="s">
        <v>395</v>
      </c>
      <c r="T2542" s="14">
        <v>10526.5663608963</v>
      </c>
      <c r="W2542" s="20">
        <v>46203</v>
      </c>
      <c r="X2542" t="s">
        <v>278</v>
      </c>
      <c r="Y2542" s="23">
        <v>8.5</v>
      </c>
      <c r="Z2542" s="23">
        <v>8.0076923076923094</v>
      </c>
      <c r="AA2542" s="23">
        <v>8.2538461538461494</v>
      </c>
    </row>
    <row r="2543" spans="17:27" x14ac:dyDescent="0.3">
      <c r="Q2543" s="93">
        <v>46108</v>
      </c>
      <c r="R2543" t="s">
        <v>479</v>
      </c>
      <c r="S2543" t="s">
        <v>415</v>
      </c>
      <c r="T2543" s="14">
        <v>6.1258344251288301</v>
      </c>
      <c r="W2543" s="20">
        <v>46203</v>
      </c>
      <c r="X2543" t="s">
        <v>279</v>
      </c>
      <c r="Y2543" s="23">
        <v>8.5384615384615401</v>
      </c>
      <c r="Z2543" s="23">
        <v>8.0461538461538407</v>
      </c>
      <c r="AA2543" s="23">
        <v>8.2923076923076895</v>
      </c>
    </row>
    <row r="2544" spans="17:27" x14ac:dyDescent="0.3">
      <c r="Q2544" s="93">
        <v>46108</v>
      </c>
      <c r="R2544" t="s">
        <v>364</v>
      </c>
      <c r="S2544" t="s">
        <v>415</v>
      </c>
      <c r="T2544" s="14">
        <v>5.9004414610498701</v>
      </c>
      <c r="W2544" s="20">
        <v>46203</v>
      </c>
      <c r="X2544" t="s">
        <v>280</v>
      </c>
      <c r="Y2544" s="23">
        <v>8.5538461538461501</v>
      </c>
      <c r="Z2544" s="23">
        <v>8.0615384615384595</v>
      </c>
      <c r="AA2544" s="23">
        <v>8.3076923076923102</v>
      </c>
    </row>
    <row r="2545" spans="17:27" x14ac:dyDescent="0.3">
      <c r="Q2545" s="93">
        <v>46108</v>
      </c>
      <c r="R2545" t="s">
        <v>364</v>
      </c>
      <c r="S2545" t="s">
        <v>997</v>
      </c>
      <c r="T2545" s="14">
        <v>23802.3717</v>
      </c>
      <c r="W2545" s="20">
        <v>46203</v>
      </c>
      <c r="X2545" t="s">
        <v>281</v>
      </c>
      <c r="Y2545" s="23">
        <v>8.5615384615384595</v>
      </c>
      <c r="Z2545" s="23">
        <v>8.0692307692307708</v>
      </c>
      <c r="AA2545" s="23">
        <v>8.3153846153846107</v>
      </c>
    </row>
    <row r="2546" spans="17:27" x14ac:dyDescent="0.3">
      <c r="Q2546" s="93">
        <v>46108</v>
      </c>
      <c r="R2546" t="s">
        <v>496</v>
      </c>
      <c r="S2546" t="s">
        <v>997</v>
      </c>
      <c r="T2546" s="14">
        <v>18732.3717</v>
      </c>
      <c r="W2546" s="20">
        <v>46204</v>
      </c>
      <c r="X2546" t="s">
        <v>270</v>
      </c>
      <c r="Y2546" s="23">
        <v>8.0187500000000007</v>
      </c>
      <c r="Z2546" s="23">
        <v>7.6375000000000002</v>
      </c>
      <c r="AA2546" s="23">
        <v>7.828125</v>
      </c>
    </row>
    <row r="2547" spans="17:27" x14ac:dyDescent="0.3">
      <c r="Q2547" s="93">
        <v>46107</v>
      </c>
      <c r="R2547" t="s">
        <v>479</v>
      </c>
      <c r="S2547" t="s">
        <v>395</v>
      </c>
      <c r="T2547" s="14">
        <v>10521.4253302089</v>
      </c>
      <c r="W2547" s="20">
        <v>46204</v>
      </c>
      <c r="X2547" t="s">
        <v>271</v>
      </c>
      <c r="Y2547" s="23">
        <v>8.34</v>
      </c>
      <c r="Z2547" s="23">
        <v>7.92</v>
      </c>
      <c r="AA2547" s="23">
        <v>8.1300000000000008</v>
      </c>
    </row>
    <row r="2548" spans="17:27" x14ac:dyDescent="0.3">
      <c r="Q2548" s="93">
        <v>46107</v>
      </c>
      <c r="R2548" t="s">
        <v>479</v>
      </c>
      <c r="S2548" t="s">
        <v>415</v>
      </c>
      <c r="T2548" s="14">
        <v>6.1258344251288301</v>
      </c>
      <c r="W2548" s="20">
        <v>46204</v>
      </c>
      <c r="X2548" t="s">
        <v>272</v>
      </c>
      <c r="Y2548" s="23">
        <v>8.2384615384615394</v>
      </c>
      <c r="Z2548" s="23">
        <v>7.7692307692307701</v>
      </c>
      <c r="AA2548" s="23">
        <v>8.0038461538461494</v>
      </c>
    </row>
    <row r="2549" spans="17:27" x14ac:dyDescent="0.3">
      <c r="Q2549" s="93">
        <v>46107</v>
      </c>
      <c r="R2549" t="s">
        <v>364</v>
      </c>
      <c r="S2549" t="s">
        <v>415</v>
      </c>
      <c r="T2549" s="14">
        <v>5.8402378761191196</v>
      </c>
      <c r="W2549" s="20">
        <v>46204</v>
      </c>
      <c r="X2549" t="s">
        <v>273</v>
      </c>
      <c r="Y2549" s="23">
        <v>8.3615384615384603</v>
      </c>
      <c r="Z2549" s="23">
        <v>7.89230769230769</v>
      </c>
      <c r="AA2549" s="23">
        <v>8.1269230769230791</v>
      </c>
    </row>
    <row r="2550" spans="17:27" x14ac:dyDescent="0.3">
      <c r="Q2550" s="93">
        <v>46107</v>
      </c>
      <c r="R2550" t="s">
        <v>364</v>
      </c>
      <c r="S2550" t="s">
        <v>997</v>
      </c>
      <c r="T2550" s="14">
        <v>23752.3717</v>
      </c>
      <c r="W2550" s="20">
        <v>46204</v>
      </c>
      <c r="X2550" t="s">
        <v>274</v>
      </c>
      <c r="Y2550" s="23">
        <v>8.3692307692307697</v>
      </c>
      <c r="Z2550" s="23">
        <v>7.9076923076923098</v>
      </c>
      <c r="AA2550" s="23">
        <v>8.1384615384615397</v>
      </c>
    </row>
    <row r="2551" spans="17:27" x14ac:dyDescent="0.3">
      <c r="Q2551" s="93">
        <v>46107</v>
      </c>
      <c r="R2551" t="s">
        <v>496</v>
      </c>
      <c r="S2551" t="s">
        <v>997</v>
      </c>
      <c r="T2551" s="14">
        <v>20314.700700000001</v>
      </c>
      <c r="W2551" s="20">
        <v>46204</v>
      </c>
      <c r="X2551" t="s">
        <v>275</v>
      </c>
      <c r="Y2551" s="23">
        <v>8.3961538461538403</v>
      </c>
      <c r="Z2551" s="23">
        <v>7.9269230769230798</v>
      </c>
      <c r="AA2551" s="23">
        <v>8.1615384615384592</v>
      </c>
    </row>
    <row r="2552" spans="17:27" x14ac:dyDescent="0.3">
      <c r="Q2552" s="93">
        <v>46107</v>
      </c>
      <c r="R2552" t="s">
        <v>493</v>
      </c>
      <c r="S2552" t="s">
        <v>399</v>
      </c>
      <c r="T2552" s="14">
        <v>0</v>
      </c>
      <c r="W2552" s="20">
        <v>46204</v>
      </c>
      <c r="X2552" t="s">
        <v>276</v>
      </c>
      <c r="Y2552" s="23">
        <v>8.4115384615384592</v>
      </c>
      <c r="Z2552" s="23">
        <v>7.9346153846153804</v>
      </c>
      <c r="AA2552" s="23">
        <v>8.1730769230769198</v>
      </c>
    </row>
    <row r="2553" spans="17:27" x14ac:dyDescent="0.3">
      <c r="Q2553" s="93">
        <v>46107</v>
      </c>
      <c r="R2553" t="s">
        <v>593</v>
      </c>
      <c r="S2553" t="s">
        <v>399</v>
      </c>
      <c r="T2553" s="14">
        <v>3437.6709999999998</v>
      </c>
      <c r="W2553" s="20">
        <v>46204</v>
      </c>
      <c r="X2553" t="s">
        <v>277</v>
      </c>
      <c r="Y2553" s="23">
        <v>8.4692307692307693</v>
      </c>
      <c r="Z2553" s="23">
        <v>7.9923076923076897</v>
      </c>
      <c r="AA2553" s="23">
        <v>8.2307692307692299</v>
      </c>
    </row>
    <row r="2554" spans="17:27" x14ac:dyDescent="0.3">
      <c r="Q2554" s="93">
        <v>46107</v>
      </c>
      <c r="R2554" t="s">
        <v>594</v>
      </c>
      <c r="S2554" t="s">
        <v>399</v>
      </c>
      <c r="T2554" s="14">
        <v>0</v>
      </c>
      <c r="W2554" s="20">
        <v>46204</v>
      </c>
      <c r="X2554" t="s">
        <v>278</v>
      </c>
      <c r="Y2554" s="23">
        <v>8.4846153846153793</v>
      </c>
      <c r="Z2554" s="23">
        <v>8.0076923076923094</v>
      </c>
      <c r="AA2554" s="23">
        <v>8.2461538461538506</v>
      </c>
    </row>
    <row r="2555" spans="17:27" x14ac:dyDescent="0.3">
      <c r="Q2555" s="93">
        <v>46107</v>
      </c>
      <c r="R2555" t="s">
        <v>595</v>
      </c>
      <c r="S2555" t="s">
        <v>399</v>
      </c>
      <c r="T2555" s="14">
        <v>0</v>
      </c>
      <c r="W2555" s="20">
        <v>46204</v>
      </c>
      <c r="X2555" t="s">
        <v>279</v>
      </c>
      <c r="Y2555" s="23">
        <v>8.5230769230769194</v>
      </c>
      <c r="Z2555" s="23">
        <v>8.0461538461538407</v>
      </c>
      <c r="AA2555" s="23">
        <v>8.2846153846153907</v>
      </c>
    </row>
    <row r="2556" spans="17:27" x14ac:dyDescent="0.3">
      <c r="Q2556" s="93">
        <v>46107</v>
      </c>
      <c r="R2556" t="s">
        <v>479</v>
      </c>
      <c r="S2556" t="s">
        <v>399</v>
      </c>
      <c r="T2556" s="14">
        <v>9897.6106</v>
      </c>
      <c r="W2556" s="20">
        <v>46204</v>
      </c>
      <c r="X2556" t="s">
        <v>280</v>
      </c>
      <c r="Y2556" s="23">
        <v>8.5384615384615401</v>
      </c>
      <c r="Z2556" s="23">
        <v>8.0615384615384595</v>
      </c>
      <c r="AA2556" s="23">
        <v>8.3000000000000007</v>
      </c>
    </row>
    <row r="2557" spans="17:27" x14ac:dyDescent="0.3">
      <c r="Q2557" s="93">
        <v>46107</v>
      </c>
      <c r="R2557" t="s">
        <v>364</v>
      </c>
      <c r="S2557" t="s">
        <v>399</v>
      </c>
      <c r="T2557" s="14">
        <v>16352.3717</v>
      </c>
      <c r="W2557" s="20">
        <v>46204</v>
      </c>
      <c r="X2557" t="s">
        <v>281</v>
      </c>
      <c r="Y2557" s="23">
        <v>8.5461538461538495</v>
      </c>
      <c r="Z2557" s="23">
        <v>8.0692307692307708</v>
      </c>
      <c r="AA2557" s="23">
        <v>8.3076923076923102</v>
      </c>
    </row>
    <row r="2558" spans="17:27" x14ac:dyDescent="0.3">
      <c r="Q2558" s="93">
        <v>46107</v>
      </c>
      <c r="R2558" t="s">
        <v>491</v>
      </c>
      <c r="S2558" t="s">
        <v>399</v>
      </c>
      <c r="T2558" s="14">
        <v>397.61059999999998</v>
      </c>
      <c r="W2558" s="20">
        <v>46205</v>
      </c>
      <c r="X2558" t="s">
        <v>270</v>
      </c>
      <c r="Y2558" s="23">
        <v>8.03125</v>
      </c>
      <c r="Z2558" s="23">
        <v>7.65</v>
      </c>
      <c r="AA2558" s="23">
        <v>7.8406250000000002</v>
      </c>
    </row>
    <row r="2559" spans="17:27" x14ac:dyDescent="0.3">
      <c r="Q2559" s="93">
        <v>46107</v>
      </c>
      <c r="R2559" t="s">
        <v>492</v>
      </c>
      <c r="S2559" t="s">
        <v>399</v>
      </c>
      <c r="T2559" s="14">
        <v>9500</v>
      </c>
      <c r="W2559" s="20">
        <v>46205</v>
      </c>
      <c r="X2559" t="s">
        <v>271</v>
      </c>
      <c r="Y2559" s="23">
        <v>8.3800000000000008</v>
      </c>
      <c r="Z2559" s="23">
        <v>7.96</v>
      </c>
      <c r="AA2559" s="23">
        <v>8.17</v>
      </c>
    </row>
    <row r="2560" spans="17:27" x14ac:dyDescent="0.3">
      <c r="Q2560" s="93">
        <v>46107</v>
      </c>
      <c r="R2560" t="s">
        <v>496</v>
      </c>
      <c r="S2560" t="s">
        <v>399</v>
      </c>
      <c r="T2560" s="14">
        <v>12914.700699999999</v>
      </c>
      <c r="W2560" s="20">
        <v>46205</v>
      </c>
      <c r="X2560" t="s">
        <v>272</v>
      </c>
      <c r="Y2560" s="23">
        <v>8.2384615384615394</v>
      </c>
      <c r="Z2560" s="23">
        <v>7.7692307692307701</v>
      </c>
      <c r="AA2560" s="23">
        <v>8.0038461538461494</v>
      </c>
    </row>
    <row r="2561" spans="17:27" x14ac:dyDescent="0.3">
      <c r="Q2561" s="93">
        <v>46107</v>
      </c>
      <c r="R2561" t="s">
        <v>497</v>
      </c>
      <c r="S2561" t="s">
        <v>399</v>
      </c>
      <c r="T2561" s="14">
        <v>397.61059999999998</v>
      </c>
      <c r="W2561" s="20">
        <v>46205</v>
      </c>
      <c r="X2561" t="s">
        <v>273</v>
      </c>
      <c r="Y2561" s="23">
        <v>8.3615384615384603</v>
      </c>
      <c r="Z2561" s="23">
        <v>7.89230769230769</v>
      </c>
      <c r="AA2561" s="23">
        <v>8.1269230769230791</v>
      </c>
    </row>
    <row r="2562" spans="17:27" x14ac:dyDescent="0.3">
      <c r="Q2562" s="93">
        <v>46107</v>
      </c>
      <c r="R2562" t="s">
        <v>498</v>
      </c>
      <c r="S2562" t="s">
        <v>399</v>
      </c>
      <c r="T2562" s="14">
        <v>9500</v>
      </c>
      <c r="W2562" s="20">
        <v>46205</v>
      </c>
      <c r="X2562" t="s">
        <v>274</v>
      </c>
      <c r="Y2562" s="23">
        <v>8.3769230769230791</v>
      </c>
      <c r="Z2562" s="23">
        <v>7.9076923076923098</v>
      </c>
      <c r="AA2562" s="23">
        <v>8.1423076923076891</v>
      </c>
    </row>
    <row r="2563" spans="17:27" x14ac:dyDescent="0.3">
      <c r="Q2563" s="93">
        <v>46107</v>
      </c>
      <c r="R2563" t="s">
        <v>494</v>
      </c>
      <c r="S2563" t="s">
        <v>399</v>
      </c>
      <c r="T2563" s="14">
        <v>0</v>
      </c>
      <c r="W2563" s="20">
        <v>46205</v>
      </c>
      <c r="X2563" t="s">
        <v>275</v>
      </c>
      <c r="Y2563" s="23">
        <v>8.4038461538461497</v>
      </c>
      <c r="Z2563" s="23">
        <v>7.9269230769230798</v>
      </c>
      <c r="AA2563" s="23">
        <v>8.1653846153846104</v>
      </c>
    </row>
    <row r="2564" spans="17:27" x14ac:dyDescent="0.3">
      <c r="Q2564" s="93">
        <v>46107</v>
      </c>
      <c r="R2564" t="s">
        <v>495</v>
      </c>
      <c r="S2564" t="s">
        <v>399</v>
      </c>
      <c r="T2564" s="14">
        <v>0</v>
      </c>
      <c r="W2564" s="20">
        <v>46205</v>
      </c>
      <c r="X2564" t="s">
        <v>276</v>
      </c>
      <c r="Y2564" s="23">
        <v>8.4192307692307704</v>
      </c>
      <c r="Z2564" s="23">
        <v>7.9346153846153804</v>
      </c>
      <c r="AA2564" s="23">
        <v>8.1769230769230798</v>
      </c>
    </row>
    <row r="2565" spans="17:27" x14ac:dyDescent="0.3">
      <c r="Q2565" s="93">
        <v>46106</v>
      </c>
      <c r="R2565" t="s">
        <v>479</v>
      </c>
      <c r="S2565" t="s">
        <v>399</v>
      </c>
      <c r="T2565" s="14">
        <v>9897.6106</v>
      </c>
      <c r="W2565" s="20">
        <v>46205</v>
      </c>
      <c r="X2565" t="s">
        <v>277</v>
      </c>
      <c r="Y2565" s="23">
        <v>8.4769230769230806</v>
      </c>
      <c r="Z2565" s="23">
        <v>7.9923076923076897</v>
      </c>
      <c r="AA2565" s="23">
        <v>8.2346153846153793</v>
      </c>
    </row>
    <row r="2566" spans="17:27" x14ac:dyDescent="0.3">
      <c r="Q2566" s="93">
        <v>46106</v>
      </c>
      <c r="R2566" t="s">
        <v>364</v>
      </c>
      <c r="S2566" t="s">
        <v>399</v>
      </c>
      <c r="T2566" s="14">
        <v>16352.3717</v>
      </c>
      <c r="W2566" s="20">
        <v>46205</v>
      </c>
      <c r="X2566" t="s">
        <v>278</v>
      </c>
      <c r="Y2566" s="23">
        <v>8.4923076923076906</v>
      </c>
      <c r="Z2566" s="23">
        <v>8.0076923076923094</v>
      </c>
      <c r="AA2566" s="23">
        <v>8.25</v>
      </c>
    </row>
    <row r="2567" spans="17:27" x14ac:dyDescent="0.3">
      <c r="Q2567" s="93">
        <v>46106</v>
      </c>
      <c r="R2567" t="s">
        <v>491</v>
      </c>
      <c r="S2567" t="s">
        <v>399</v>
      </c>
      <c r="T2567" s="14">
        <v>397.61059999999998</v>
      </c>
      <c r="W2567" s="20">
        <v>46205</v>
      </c>
      <c r="X2567" t="s">
        <v>279</v>
      </c>
      <c r="Y2567" s="23">
        <v>8.5307692307692307</v>
      </c>
      <c r="Z2567" s="23">
        <v>8.0461538461538407</v>
      </c>
      <c r="AA2567" s="23">
        <v>8.2884615384615401</v>
      </c>
    </row>
    <row r="2568" spans="17:27" x14ac:dyDescent="0.3">
      <c r="Q2568" s="93">
        <v>46106</v>
      </c>
      <c r="R2568" t="s">
        <v>492</v>
      </c>
      <c r="S2568" t="s">
        <v>399</v>
      </c>
      <c r="T2568" s="14">
        <v>9500</v>
      </c>
      <c r="W2568" s="20">
        <v>46205</v>
      </c>
      <c r="X2568" t="s">
        <v>280</v>
      </c>
      <c r="Y2568" s="23">
        <v>8.5461538461538495</v>
      </c>
      <c r="Z2568" s="23">
        <v>8.0615384615384595</v>
      </c>
      <c r="AA2568" s="23">
        <v>8.3038461538461608</v>
      </c>
    </row>
    <row r="2569" spans="17:27" x14ac:dyDescent="0.3">
      <c r="Q2569" s="93">
        <v>46106</v>
      </c>
      <c r="R2569" t="s">
        <v>496</v>
      </c>
      <c r="S2569" t="s">
        <v>399</v>
      </c>
      <c r="T2569" s="14">
        <v>9782.3716999999997</v>
      </c>
      <c r="W2569" s="20">
        <v>46205</v>
      </c>
      <c r="X2569" t="s">
        <v>281</v>
      </c>
      <c r="Y2569" s="23">
        <v>8.5538461538461501</v>
      </c>
      <c r="Z2569" s="23">
        <v>8.0692307692307708</v>
      </c>
      <c r="AA2569" s="23">
        <v>8.3115384615384595</v>
      </c>
    </row>
    <row r="2570" spans="17:27" x14ac:dyDescent="0.3">
      <c r="Q2570" s="93">
        <v>46106</v>
      </c>
      <c r="R2570" t="s">
        <v>497</v>
      </c>
      <c r="S2570" t="s">
        <v>399</v>
      </c>
      <c r="T2570" s="14">
        <v>397.61059999999998</v>
      </c>
      <c r="W2570" s="20">
        <v>46206</v>
      </c>
      <c r="X2570" t="s">
        <v>270</v>
      </c>
      <c r="Y2570" s="23">
        <v>8.03125</v>
      </c>
      <c r="Z2570" s="23">
        <v>7.65</v>
      </c>
      <c r="AA2570" s="23">
        <v>7.8406250000000002</v>
      </c>
    </row>
    <row r="2571" spans="17:27" x14ac:dyDescent="0.3">
      <c r="Q2571" s="93">
        <v>46106</v>
      </c>
      <c r="R2571" t="s">
        <v>498</v>
      </c>
      <c r="S2571" t="s">
        <v>399</v>
      </c>
      <c r="T2571" s="14">
        <v>9500</v>
      </c>
      <c r="W2571" s="20">
        <v>46206</v>
      </c>
      <c r="X2571" t="s">
        <v>271</v>
      </c>
      <c r="Y2571" s="23">
        <v>8.36</v>
      </c>
      <c r="Z2571" s="23">
        <v>7.94</v>
      </c>
      <c r="AA2571" s="23">
        <v>8.15</v>
      </c>
    </row>
    <row r="2572" spans="17:27" x14ac:dyDescent="0.3">
      <c r="Q2572" s="93">
        <v>46106</v>
      </c>
      <c r="R2572" t="s">
        <v>494</v>
      </c>
      <c r="S2572" t="s">
        <v>399</v>
      </c>
      <c r="T2572" s="14">
        <v>0</v>
      </c>
      <c r="W2572" s="20">
        <v>46206</v>
      </c>
      <c r="X2572" t="s">
        <v>272</v>
      </c>
      <c r="Y2572" s="23">
        <v>8.2384615384615394</v>
      </c>
      <c r="Z2572" s="23">
        <v>7.7692307692307701</v>
      </c>
      <c r="AA2572" s="23">
        <v>8.0038461538461494</v>
      </c>
    </row>
    <row r="2573" spans="17:27" x14ac:dyDescent="0.3">
      <c r="Q2573" s="93">
        <v>46106</v>
      </c>
      <c r="R2573" t="s">
        <v>495</v>
      </c>
      <c r="S2573" t="s">
        <v>399</v>
      </c>
      <c r="T2573" s="14">
        <v>0</v>
      </c>
      <c r="W2573" s="20">
        <v>46206</v>
      </c>
      <c r="X2573" t="s">
        <v>273</v>
      </c>
      <c r="Y2573" s="23">
        <v>8.3615384615384603</v>
      </c>
      <c r="Z2573" s="23">
        <v>7.89230769230769</v>
      </c>
      <c r="AA2573" s="23">
        <v>8.1269230769230791</v>
      </c>
    </row>
    <row r="2574" spans="17:27" x14ac:dyDescent="0.3">
      <c r="Q2574" s="93">
        <v>46106</v>
      </c>
      <c r="R2574" t="s">
        <v>493</v>
      </c>
      <c r="S2574" t="s">
        <v>399</v>
      </c>
      <c r="T2574" s="14">
        <v>0</v>
      </c>
      <c r="W2574" s="20">
        <v>46206</v>
      </c>
      <c r="X2574" t="s">
        <v>274</v>
      </c>
      <c r="Y2574" s="23">
        <v>8.3769230769230791</v>
      </c>
      <c r="Z2574" s="23">
        <v>7.9076923076923098</v>
      </c>
      <c r="AA2574" s="23">
        <v>8.1423076923076891</v>
      </c>
    </row>
    <row r="2575" spans="17:27" x14ac:dyDescent="0.3">
      <c r="Q2575" s="93">
        <v>46106</v>
      </c>
      <c r="R2575" t="s">
        <v>593</v>
      </c>
      <c r="S2575" t="s">
        <v>399</v>
      </c>
      <c r="T2575" s="14">
        <v>6570</v>
      </c>
      <c r="W2575" s="20">
        <v>46206</v>
      </c>
      <c r="X2575" t="s">
        <v>275</v>
      </c>
      <c r="Y2575" s="23">
        <v>8.4038461538461497</v>
      </c>
      <c r="Z2575" s="23">
        <v>7.9269230769230798</v>
      </c>
      <c r="AA2575" s="23">
        <v>8.1653846153846104</v>
      </c>
    </row>
    <row r="2576" spans="17:27" x14ac:dyDescent="0.3">
      <c r="Q2576" s="93">
        <v>46106</v>
      </c>
      <c r="R2576" t="s">
        <v>594</v>
      </c>
      <c r="S2576" t="s">
        <v>399</v>
      </c>
      <c r="T2576" s="14">
        <v>0</v>
      </c>
      <c r="W2576" s="20">
        <v>46206</v>
      </c>
      <c r="X2576" t="s">
        <v>276</v>
      </c>
      <c r="Y2576" s="23">
        <v>8.4192307692307704</v>
      </c>
      <c r="Z2576" s="23">
        <v>7.9346153846153804</v>
      </c>
      <c r="AA2576" s="23">
        <v>8.1769230769230798</v>
      </c>
    </row>
    <row r="2577" spans="17:27" x14ac:dyDescent="0.3">
      <c r="Q2577" s="93">
        <v>46106</v>
      </c>
      <c r="R2577" t="s">
        <v>595</v>
      </c>
      <c r="S2577" t="s">
        <v>399</v>
      </c>
      <c r="T2577" s="14">
        <v>0</v>
      </c>
      <c r="W2577" s="20">
        <v>46206</v>
      </c>
      <c r="X2577" t="s">
        <v>277</v>
      </c>
      <c r="Y2577" s="23">
        <v>8.4769230769230806</v>
      </c>
      <c r="Z2577" s="23">
        <v>7.9923076923076897</v>
      </c>
      <c r="AA2577" s="23">
        <v>8.2346153846153793</v>
      </c>
    </row>
    <row r="2578" spans="17:27" x14ac:dyDescent="0.3">
      <c r="Q2578" s="93">
        <v>46106</v>
      </c>
      <c r="R2578" t="s">
        <v>479</v>
      </c>
      <c r="S2578" t="s">
        <v>395</v>
      </c>
      <c r="T2578" s="14">
        <v>10523.3431434676</v>
      </c>
      <c r="W2578" s="20">
        <v>46206</v>
      </c>
      <c r="X2578" t="s">
        <v>278</v>
      </c>
      <c r="Y2578" s="23">
        <v>8.4923076923076906</v>
      </c>
      <c r="Z2578" s="23">
        <v>8.0076923076923094</v>
      </c>
      <c r="AA2578" s="23">
        <v>8.25</v>
      </c>
    </row>
    <row r="2579" spans="17:27" x14ac:dyDescent="0.3">
      <c r="Q2579" s="93">
        <v>46106</v>
      </c>
      <c r="R2579" t="s">
        <v>479</v>
      </c>
      <c r="S2579" t="s">
        <v>415</v>
      </c>
      <c r="T2579" s="14">
        <v>6.1258344251288301</v>
      </c>
      <c r="W2579" s="20">
        <v>46206</v>
      </c>
      <c r="X2579" t="s">
        <v>279</v>
      </c>
      <c r="Y2579" s="23">
        <v>8.5307692307692307</v>
      </c>
      <c r="Z2579" s="23">
        <v>8.0461538461538407</v>
      </c>
      <c r="AA2579" s="23">
        <v>8.2884615384615401</v>
      </c>
    </row>
    <row r="2580" spans="17:27" x14ac:dyDescent="0.3">
      <c r="Q2580" s="93">
        <v>46106</v>
      </c>
      <c r="R2580" t="s">
        <v>364</v>
      </c>
      <c r="S2580" t="s">
        <v>415</v>
      </c>
      <c r="T2580" s="14">
        <v>5.8455932724303397</v>
      </c>
      <c r="W2580" s="20">
        <v>46206</v>
      </c>
      <c r="X2580" t="s">
        <v>280</v>
      </c>
      <c r="Y2580" s="23">
        <v>8.5461538461538495</v>
      </c>
      <c r="Z2580" s="23">
        <v>8.0615384615384595</v>
      </c>
      <c r="AA2580" s="23">
        <v>8.3038461538461608</v>
      </c>
    </row>
    <row r="2581" spans="17:27" x14ac:dyDescent="0.3">
      <c r="Q2581" s="93">
        <v>46106</v>
      </c>
      <c r="R2581" t="s">
        <v>364</v>
      </c>
      <c r="S2581" t="s">
        <v>997</v>
      </c>
      <c r="T2581" s="14">
        <v>23752.3717</v>
      </c>
      <c r="W2581" s="20">
        <v>46206</v>
      </c>
      <c r="X2581" t="s">
        <v>281</v>
      </c>
      <c r="Y2581" s="23">
        <v>8.5538461538461501</v>
      </c>
      <c r="Z2581" s="23">
        <v>8.0692307692307708</v>
      </c>
      <c r="AA2581" s="23">
        <v>8.3115384615384595</v>
      </c>
    </row>
    <row r="2582" spans="17:27" x14ac:dyDescent="0.3">
      <c r="Q2582" s="93">
        <v>46106</v>
      </c>
      <c r="R2582" t="s">
        <v>496</v>
      </c>
      <c r="S2582" t="s">
        <v>997</v>
      </c>
      <c r="T2582" s="14">
        <v>17182.3717</v>
      </c>
      <c r="W2582" s="20">
        <v>46209</v>
      </c>
      <c r="X2582" t="s">
        <v>270</v>
      </c>
      <c r="Y2582" s="23">
        <v>8.03125</v>
      </c>
      <c r="Z2582" s="23">
        <v>7.65</v>
      </c>
      <c r="AA2582" s="23">
        <v>7.8406250000000002</v>
      </c>
    </row>
    <row r="2583" spans="17:27" x14ac:dyDescent="0.3">
      <c r="Q2583" s="93">
        <v>46105</v>
      </c>
      <c r="R2583" t="s">
        <v>479</v>
      </c>
      <c r="S2583" t="s">
        <v>399</v>
      </c>
      <c r="T2583" s="14">
        <v>9897.6106</v>
      </c>
      <c r="W2583" s="20">
        <v>46209</v>
      </c>
      <c r="X2583" t="s">
        <v>271</v>
      </c>
      <c r="Y2583" s="23">
        <v>8.36</v>
      </c>
      <c r="Z2583" s="23">
        <v>7.94</v>
      </c>
      <c r="AA2583" s="23">
        <v>8.15</v>
      </c>
    </row>
    <row r="2584" spans="17:27" x14ac:dyDescent="0.3">
      <c r="Q2584" s="93">
        <v>46105</v>
      </c>
      <c r="R2584" t="s">
        <v>364</v>
      </c>
      <c r="S2584" t="s">
        <v>399</v>
      </c>
      <c r="T2584" s="14">
        <v>17252.3717</v>
      </c>
      <c r="W2584" s="20">
        <v>46209</v>
      </c>
      <c r="X2584" t="s">
        <v>272</v>
      </c>
      <c r="Y2584" s="23">
        <v>8.2538461538461494</v>
      </c>
      <c r="Z2584" s="23">
        <v>7.7846153846153801</v>
      </c>
      <c r="AA2584" s="23">
        <v>8.0192307692307701</v>
      </c>
    </row>
    <row r="2585" spans="17:27" x14ac:dyDescent="0.3">
      <c r="Q2585" s="93">
        <v>46105</v>
      </c>
      <c r="R2585" t="s">
        <v>491</v>
      </c>
      <c r="S2585" t="s">
        <v>399</v>
      </c>
      <c r="T2585" s="14">
        <v>397.61059999999998</v>
      </c>
      <c r="W2585" s="20">
        <v>46209</v>
      </c>
      <c r="X2585" t="s">
        <v>273</v>
      </c>
      <c r="Y2585" s="23">
        <v>8.3692307692307697</v>
      </c>
      <c r="Z2585" s="23">
        <v>7.9</v>
      </c>
      <c r="AA2585" s="23">
        <v>8.1346153846153904</v>
      </c>
    </row>
    <row r="2586" spans="17:27" x14ac:dyDescent="0.3">
      <c r="Q2586" s="93">
        <v>46105</v>
      </c>
      <c r="R2586" t="s">
        <v>492</v>
      </c>
      <c r="S2586" t="s">
        <v>399</v>
      </c>
      <c r="T2586" s="14">
        <v>9500</v>
      </c>
      <c r="W2586" s="20">
        <v>46209</v>
      </c>
      <c r="X2586" t="s">
        <v>274</v>
      </c>
      <c r="Y2586" s="23">
        <v>8.3846153846153797</v>
      </c>
      <c r="Z2586" s="23">
        <v>7.9153846153846104</v>
      </c>
      <c r="AA2586" s="23">
        <v>8.15</v>
      </c>
    </row>
    <row r="2587" spans="17:27" x14ac:dyDescent="0.3">
      <c r="Q2587" s="93">
        <v>46105</v>
      </c>
      <c r="R2587" t="s">
        <v>496</v>
      </c>
      <c r="S2587" t="s">
        <v>399</v>
      </c>
      <c r="T2587" s="14">
        <v>12282.3717</v>
      </c>
      <c r="W2587" s="20">
        <v>46209</v>
      </c>
      <c r="X2587" t="s">
        <v>275</v>
      </c>
      <c r="Y2587" s="23">
        <v>8.4115384615384592</v>
      </c>
      <c r="Z2587" s="23">
        <v>7.9346153846153804</v>
      </c>
      <c r="AA2587" s="23">
        <v>8.1730769230769198</v>
      </c>
    </row>
    <row r="2588" spans="17:27" x14ac:dyDescent="0.3">
      <c r="Q2588" s="93">
        <v>46105</v>
      </c>
      <c r="R2588" t="s">
        <v>497</v>
      </c>
      <c r="S2588" t="s">
        <v>399</v>
      </c>
      <c r="T2588" s="14">
        <v>397.61059999999998</v>
      </c>
      <c r="W2588" s="20">
        <v>46209</v>
      </c>
      <c r="X2588" t="s">
        <v>276</v>
      </c>
      <c r="Y2588" s="23">
        <v>8.4346153846153804</v>
      </c>
      <c r="Z2588" s="23">
        <v>7.95</v>
      </c>
      <c r="AA2588" s="23">
        <v>8.1923076923076898</v>
      </c>
    </row>
    <row r="2589" spans="17:27" x14ac:dyDescent="0.3">
      <c r="Q2589" s="93">
        <v>46105</v>
      </c>
      <c r="R2589" t="s">
        <v>498</v>
      </c>
      <c r="S2589" t="s">
        <v>399</v>
      </c>
      <c r="T2589" s="14">
        <v>9500</v>
      </c>
      <c r="W2589" s="20">
        <v>46209</v>
      </c>
      <c r="X2589" t="s">
        <v>277</v>
      </c>
      <c r="Y2589" s="23">
        <v>8.4846153846153793</v>
      </c>
      <c r="Z2589" s="23">
        <v>8</v>
      </c>
      <c r="AA2589" s="23">
        <v>8.2423076923076906</v>
      </c>
    </row>
    <row r="2590" spans="17:27" x14ac:dyDescent="0.3">
      <c r="Q2590" s="93">
        <v>46105</v>
      </c>
      <c r="R2590" t="s">
        <v>494</v>
      </c>
      <c r="S2590" t="s">
        <v>399</v>
      </c>
      <c r="T2590" s="14">
        <v>0</v>
      </c>
      <c r="W2590" s="20">
        <v>46209</v>
      </c>
      <c r="X2590" t="s">
        <v>278</v>
      </c>
      <c r="Y2590" s="23">
        <v>8.5</v>
      </c>
      <c r="Z2590" s="23">
        <v>8.0153846153846207</v>
      </c>
      <c r="AA2590" s="23">
        <v>8.2576923076923094</v>
      </c>
    </row>
    <row r="2591" spans="17:27" x14ac:dyDescent="0.3">
      <c r="Q2591" s="93">
        <v>46105</v>
      </c>
      <c r="R2591" t="s">
        <v>495</v>
      </c>
      <c r="S2591" t="s">
        <v>399</v>
      </c>
      <c r="T2591" s="14">
        <v>0</v>
      </c>
      <c r="W2591" s="20">
        <v>46209</v>
      </c>
      <c r="X2591" t="s">
        <v>279</v>
      </c>
      <c r="Y2591" s="23">
        <v>8.5384615384615401</v>
      </c>
      <c r="Z2591" s="23">
        <v>8.0538461538461501</v>
      </c>
      <c r="AA2591" s="23">
        <v>8.2961538461538495</v>
      </c>
    </row>
    <row r="2592" spans="17:27" x14ac:dyDescent="0.3">
      <c r="Q2592" s="93">
        <v>46105</v>
      </c>
      <c r="R2592" t="s">
        <v>493</v>
      </c>
      <c r="S2592" t="s">
        <v>399</v>
      </c>
      <c r="T2592" s="14">
        <v>0</v>
      </c>
      <c r="W2592" s="20">
        <v>46209</v>
      </c>
      <c r="X2592" t="s">
        <v>280</v>
      </c>
      <c r="Y2592" s="23">
        <v>8.5615384615384595</v>
      </c>
      <c r="Z2592" s="23">
        <v>8.0769230769230802</v>
      </c>
      <c r="AA2592" s="23">
        <v>8.3192307692307708</v>
      </c>
    </row>
    <row r="2593" spans="17:27" x14ac:dyDescent="0.3">
      <c r="Q2593" s="93">
        <v>46105</v>
      </c>
      <c r="R2593" t="s">
        <v>593</v>
      </c>
      <c r="S2593" t="s">
        <v>399</v>
      </c>
      <c r="T2593" s="14">
        <v>4970</v>
      </c>
      <c r="W2593" s="20">
        <v>46209</v>
      </c>
      <c r="X2593" t="s">
        <v>281</v>
      </c>
      <c r="Y2593" s="23">
        <v>8.5692307692307708</v>
      </c>
      <c r="Z2593" s="23">
        <v>8.0846153846153808</v>
      </c>
      <c r="AA2593" s="23">
        <v>8.3269230769230802</v>
      </c>
    </row>
    <row r="2594" spans="17:27" x14ac:dyDescent="0.3">
      <c r="Q2594" s="93">
        <v>46105</v>
      </c>
      <c r="R2594" t="s">
        <v>594</v>
      </c>
      <c r="S2594" t="s">
        <v>399</v>
      </c>
      <c r="T2594" s="14">
        <v>0</v>
      </c>
      <c r="W2594" s="20">
        <v>46210</v>
      </c>
      <c r="X2594" t="s">
        <v>270</v>
      </c>
      <c r="Y2594" s="23">
        <v>8.0222222222222204</v>
      </c>
      <c r="Z2594" s="23">
        <v>7.62777777777778</v>
      </c>
      <c r="AA2594" s="23">
        <v>7.8250000000000002</v>
      </c>
    </row>
    <row r="2595" spans="17:27" x14ac:dyDescent="0.3">
      <c r="Q2595" s="93">
        <v>46105</v>
      </c>
      <c r="R2595" t="s">
        <v>595</v>
      </c>
      <c r="S2595" t="s">
        <v>399</v>
      </c>
      <c r="T2595" s="14">
        <v>0</v>
      </c>
      <c r="W2595" s="20">
        <v>46210</v>
      </c>
      <c r="X2595" t="s">
        <v>271</v>
      </c>
      <c r="Y2595" s="23">
        <v>8.3249999999999993</v>
      </c>
      <c r="Z2595" s="23">
        <v>7.85</v>
      </c>
      <c r="AA2595" s="23">
        <v>8.0875000000000004</v>
      </c>
    </row>
    <row r="2596" spans="17:27" x14ac:dyDescent="0.3">
      <c r="Q2596" s="93">
        <v>46105</v>
      </c>
      <c r="R2596" t="s">
        <v>479</v>
      </c>
      <c r="S2596" t="s">
        <v>395</v>
      </c>
      <c r="T2596" s="14">
        <v>10528.046065255199</v>
      </c>
      <c r="W2596" s="20">
        <v>46210</v>
      </c>
      <c r="X2596" t="s">
        <v>272</v>
      </c>
      <c r="Y2596" s="23">
        <v>8.2461538461538506</v>
      </c>
      <c r="Z2596" s="23">
        <v>7.7769230769230804</v>
      </c>
      <c r="AA2596" s="23">
        <v>8.0115384615384606</v>
      </c>
    </row>
    <row r="2597" spans="17:27" x14ac:dyDescent="0.3">
      <c r="Q2597" s="93">
        <v>46105</v>
      </c>
      <c r="R2597" t="s">
        <v>479</v>
      </c>
      <c r="S2597" t="s">
        <v>415</v>
      </c>
      <c r="T2597" s="14">
        <v>6.1258344251288301</v>
      </c>
      <c r="W2597" s="20">
        <v>46210</v>
      </c>
      <c r="X2597" t="s">
        <v>273</v>
      </c>
      <c r="Y2597" s="23">
        <v>8.3615384615384603</v>
      </c>
      <c r="Z2597" s="23">
        <v>7.89230769230769</v>
      </c>
      <c r="AA2597" s="23">
        <v>8.1269230769230791</v>
      </c>
    </row>
    <row r="2598" spans="17:27" x14ac:dyDescent="0.3">
      <c r="Q2598" s="93">
        <v>46105</v>
      </c>
      <c r="R2598" t="s">
        <v>364</v>
      </c>
      <c r="S2598" t="s">
        <v>415</v>
      </c>
      <c r="T2598" s="14">
        <v>5.85012681964389</v>
      </c>
      <c r="W2598" s="20">
        <v>46210</v>
      </c>
      <c r="X2598" t="s">
        <v>274</v>
      </c>
      <c r="Y2598" s="23">
        <v>8.3769230769230791</v>
      </c>
      <c r="Z2598" s="23">
        <v>7.9076923076923098</v>
      </c>
      <c r="AA2598" s="23">
        <v>8.1423076923076891</v>
      </c>
    </row>
    <row r="2599" spans="17:27" x14ac:dyDescent="0.3">
      <c r="Q2599" s="93">
        <v>46105</v>
      </c>
      <c r="R2599" t="s">
        <v>364</v>
      </c>
      <c r="S2599" t="s">
        <v>997</v>
      </c>
      <c r="T2599" s="14">
        <v>24652.3717</v>
      </c>
      <c r="W2599" s="20">
        <v>46210</v>
      </c>
      <c r="X2599" t="s">
        <v>275</v>
      </c>
      <c r="Y2599" s="23">
        <v>8.4038461538461497</v>
      </c>
      <c r="Z2599" s="23">
        <v>7.9269230769230798</v>
      </c>
      <c r="AA2599" s="23">
        <v>8.1653846153846104</v>
      </c>
    </row>
    <row r="2600" spans="17:27" x14ac:dyDescent="0.3">
      <c r="Q2600" s="93">
        <v>46105</v>
      </c>
      <c r="R2600" t="s">
        <v>496</v>
      </c>
      <c r="S2600" t="s">
        <v>997</v>
      </c>
      <c r="T2600" s="14">
        <v>19682.3717</v>
      </c>
      <c r="W2600" s="20">
        <v>46210</v>
      </c>
      <c r="X2600" t="s">
        <v>276</v>
      </c>
      <c r="Y2600" s="23">
        <v>8.4269230769230692</v>
      </c>
      <c r="Z2600" s="23">
        <v>7.9423076923076898</v>
      </c>
      <c r="AA2600" s="23">
        <v>8.1846153846153804</v>
      </c>
    </row>
    <row r="2601" spans="17:27" x14ac:dyDescent="0.3">
      <c r="Q2601" s="93">
        <v>46104</v>
      </c>
      <c r="R2601" t="s">
        <v>479</v>
      </c>
      <c r="S2601" t="s">
        <v>399</v>
      </c>
      <c r="T2601" s="14">
        <v>9897.6106</v>
      </c>
      <c r="W2601" s="20">
        <v>46210</v>
      </c>
      <c r="X2601" t="s">
        <v>277</v>
      </c>
      <c r="Y2601" s="23">
        <v>8.4769230769230806</v>
      </c>
      <c r="Z2601" s="23">
        <v>7.9923076923076897</v>
      </c>
      <c r="AA2601" s="23">
        <v>8.2346153846153793</v>
      </c>
    </row>
    <row r="2602" spans="17:27" x14ac:dyDescent="0.3">
      <c r="Q2602" s="93">
        <v>46104</v>
      </c>
      <c r="R2602" t="s">
        <v>364</v>
      </c>
      <c r="S2602" t="s">
        <v>399</v>
      </c>
      <c r="T2602" s="14">
        <v>16184.700699999999</v>
      </c>
      <c r="W2602" s="20">
        <v>46210</v>
      </c>
      <c r="X2602" t="s">
        <v>278</v>
      </c>
      <c r="Y2602" s="23">
        <v>8.4923076923076906</v>
      </c>
      <c r="Z2602" s="23">
        <v>8.0076923076923094</v>
      </c>
      <c r="AA2602" s="23">
        <v>8.25</v>
      </c>
    </row>
    <row r="2603" spans="17:27" x14ac:dyDescent="0.3">
      <c r="Q2603" s="93">
        <v>46104</v>
      </c>
      <c r="R2603" t="s">
        <v>491</v>
      </c>
      <c r="S2603" t="s">
        <v>399</v>
      </c>
      <c r="T2603" s="14">
        <v>397.61059999999998</v>
      </c>
      <c r="W2603" s="20">
        <v>46210</v>
      </c>
      <c r="X2603" t="s">
        <v>279</v>
      </c>
      <c r="Y2603" s="23">
        <v>8.5307692307692307</v>
      </c>
      <c r="Z2603" s="23">
        <v>8.0461538461538407</v>
      </c>
      <c r="AA2603" s="23">
        <v>8.2884615384615401</v>
      </c>
    </row>
    <row r="2604" spans="17:27" x14ac:dyDescent="0.3">
      <c r="Q2604" s="93">
        <v>46104</v>
      </c>
      <c r="R2604" t="s">
        <v>492</v>
      </c>
      <c r="S2604" t="s">
        <v>399</v>
      </c>
      <c r="T2604" s="14">
        <v>9500</v>
      </c>
      <c r="W2604" s="20">
        <v>46210</v>
      </c>
      <c r="X2604" t="s">
        <v>280</v>
      </c>
      <c r="Y2604" s="23">
        <v>8.5538461538461501</v>
      </c>
      <c r="Z2604" s="23">
        <v>8.0692307692307708</v>
      </c>
      <c r="AA2604" s="23">
        <v>8.3115384615384595</v>
      </c>
    </row>
    <row r="2605" spans="17:27" x14ac:dyDescent="0.3">
      <c r="Q2605" s="93">
        <v>46104</v>
      </c>
      <c r="R2605" t="s">
        <v>496</v>
      </c>
      <c r="S2605" t="s">
        <v>399</v>
      </c>
      <c r="T2605" s="14">
        <v>11682.3717</v>
      </c>
      <c r="W2605" s="20">
        <v>46210</v>
      </c>
      <c r="X2605" t="s">
        <v>281</v>
      </c>
      <c r="Y2605" s="23">
        <v>8.5615384615384595</v>
      </c>
      <c r="Z2605" s="23">
        <v>8.0769230769230802</v>
      </c>
      <c r="AA2605" s="23">
        <v>8.3192307692307708</v>
      </c>
    </row>
    <row r="2606" spans="17:27" x14ac:dyDescent="0.3">
      <c r="Q2606" s="93">
        <v>46104</v>
      </c>
      <c r="R2606" t="s">
        <v>497</v>
      </c>
      <c r="S2606" t="s">
        <v>399</v>
      </c>
      <c r="T2606" s="14">
        <v>397.61059999999998</v>
      </c>
      <c r="W2606" s="20">
        <v>46211</v>
      </c>
      <c r="X2606" t="s">
        <v>270</v>
      </c>
      <c r="Y2606" s="23">
        <v>8.125</v>
      </c>
      <c r="Z2606" s="23">
        <v>7.7249999999999996</v>
      </c>
      <c r="AA2606" s="23">
        <v>7.9249999999999998</v>
      </c>
    </row>
    <row r="2607" spans="17:27" x14ac:dyDescent="0.3">
      <c r="Q2607" s="93">
        <v>46104</v>
      </c>
      <c r="R2607" t="s">
        <v>498</v>
      </c>
      <c r="S2607" t="s">
        <v>399</v>
      </c>
      <c r="T2607" s="14">
        <v>9500</v>
      </c>
      <c r="W2607" s="20">
        <v>46211</v>
      </c>
      <c r="X2607" t="s">
        <v>271</v>
      </c>
      <c r="Y2607" s="23">
        <v>8.35</v>
      </c>
      <c r="Z2607" s="23">
        <v>7.875</v>
      </c>
      <c r="AA2607" s="23">
        <v>8.1125000000000007</v>
      </c>
    </row>
    <row r="2608" spans="17:27" x14ac:dyDescent="0.3">
      <c r="Q2608" s="93">
        <v>46104</v>
      </c>
      <c r="R2608" t="s">
        <v>494</v>
      </c>
      <c r="S2608" t="s">
        <v>399</v>
      </c>
      <c r="T2608" s="14">
        <v>0</v>
      </c>
      <c r="W2608" s="20">
        <v>46211</v>
      </c>
      <c r="X2608" t="s">
        <v>272</v>
      </c>
      <c r="Y2608" s="23">
        <v>8.2807692307692307</v>
      </c>
      <c r="Z2608" s="23">
        <v>7.8461538461538396</v>
      </c>
      <c r="AA2608" s="23">
        <v>8.0634615384615405</v>
      </c>
    </row>
    <row r="2609" spans="17:27" x14ac:dyDescent="0.3">
      <c r="Q2609" s="93">
        <v>46104</v>
      </c>
      <c r="R2609" t="s">
        <v>495</v>
      </c>
      <c r="S2609" t="s">
        <v>399</v>
      </c>
      <c r="T2609" s="14">
        <v>0</v>
      </c>
      <c r="W2609" s="20">
        <v>46211</v>
      </c>
      <c r="X2609" t="s">
        <v>273</v>
      </c>
      <c r="Y2609" s="23">
        <v>8.3615384615384603</v>
      </c>
      <c r="Z2609" s="23">
        <v>7.89230769230769</v>
      </c>
      <c r="AA2609" s="23">
        <v>8.1269230769230791</v>
      </c>
    </row>
    <row r="2610" spans="17:27" x14ac:dyDescent="0.3">
      <c r="Q2610" s="93">
        <v>46104</v>
      </c>
      <c r="R2610" t="s">
        <v>493</v>
      </c>
      <c r="S2610" t="s">
        <v>399</v>
      </c>
      <c r="T2610" s="14">
        <v>0</v>
      </c>
      <c r="W2610" s="20">
        <v>46211</v>
      </c>
      <c r="X2610" t="s">
        <v>274</v>
      </c>
      <c r="Y2610" s="23">
        <v>8.3769230769230791</v>
      </c>
      <c r="Z2610" s="23">
        <v>7.9076923076923098</v>
      </c>
      <c r="AA2610" s="23">
        <v>8.1423076923076891</v>
      </c>
    </row>
    <row r="2611" spans="17:27" x14ac:dyDescent="0.3">
      <c r="Q2611" s="93">
        <v>46104</v>
      </c>
      <c r="R2611" t="s">
        <v>593</v>
      </c>
      <c r="S2611" t="s">
        <v>399</v>
      </c>
      <c r="T2611" s="14">
        <v>4502.3289999999997</v>
      </c>
      <c r="W2611" s="20">
        <v>46211</v>
      </c>
      <c r="X2611" t="s">
        <v>275</v>
      </c>
      <c r="Y2611" s="23">
        <v>8.4038461538461497</v>
      </c>
      <c r="Z2611" s="23">
        <v>7.9269230769230798</v>
      </c>
      <c r="AA2611" s="23">
        <v>8.1653846153846104</v>
      </c>
    </row>
    <row r="2612" spans="17:27" x14ac:dyDescent="0.3">
      <c r="Q2612" s="93">
        <v>46104</v>
      </c>
      <c r="R2612" t="s">
        <v>594</v>
      </c>
      <c r="S2612" t="s">
        <v>399</v>
      </c>
      <c r="T2612" s="14">
        <v>0</v>
      </c>
      <c r="W2612" s="20">
        <v>46211</v>
      </c>
      <c r="X2612" t="s">
        <v>276</v>
      </c>
      <c r="Y2612" s="23">
        <v>8.4269230769230692</v>
      </c>
      <c r="Z2612" s="23">
        <v>7.9423076923076898</v>
      </c>
      <c r="AA2612" s="23">
        <v>8.1846153846153804</v>
      </c>
    </row>
    <row r="2613" spans="17:27" x14ac:dyDescent="0.3">
      <c r="Q2613" s="93">
        <v>46104</v>
      </c>
      <c r="R2613" t="s">
        <v>595</v>
      </c>
      <c r="S2613" t="s">
        <v>399</v>
      </c>
      <c r="T2613" s="14">
        <v>0</v>
      </c>
      <c r="W2613" s="20">
        <v>46211</v>
      </c>
      <c r="X2613" t="s">
        <v>277</v>
      </c>
      <c r="Y2613" s="23">
        <v>8.4769230769230806</v>
      </c>
      <c r="Z2613" s="23">
        <v>7.9923076923076897</v>
      </c>
      <c r="AA2613" s="23">
        <v>8.2346153846153793</v>
      </c>
    </row>
    <row r="2614" spans="17:27" x14ac:dyDescent="0.3">
      <c r="Q2614" s="93">
        <v>46104</v>
      </c>
      <c r="R2614" t="s">
        <v>479</v>
      </c>
      <c r="S2614" t="s">
        <v>395</v>
      </c>
      <c r="T2614" s="14">
        <v>10510.998418442699</v>
      </c>
      <c r="W2614" s="20">
        <v>46211</v>
      </c>
      <c r="X2614" t="s">
        <v>278</v>
      </c>
      <c r="Y2614" s="23">
        <v>8.4923076923076906</v>
      </c>
      <c r="Z2614" s="23">
        <v>8.0076923076923094</v>
      </c>
      <c r="AA2614" s="23">
        <v>8.25</v>
      </c>
    </row>
    <row r="2615" spans="17:27" x14ac:dyDescent="0.3">
      <c r="Q2615" s="93">
        <v>46104</v>
      </c>
      <c r="R2615" t="s">
        <v>479</v>
      </c>
      <c r="S2615" t="s">
        <v>415</v>
      </c>
      <c r="T2615" s="14">
        <v>6.1047439242558204</v>
      </c>
      <c r="W2615" s="20">
        <v>46211</v>
      </c>
      <c r="X2615" t="s">
        <v>279</v>
      </c>
      <c r="Y2615" s="23">
        <v>8.5307692307692307</v>
      </c>
      <c r="Z2615" s="23">
        <v>8.0461538461538407</v>
      </c>
      <c r="AA2615" s="23">
        <v>8.2884615384615401</v>
      </c>
    </row>
    <row r="2616" spans="17:27" x14ac:dyDescent="0.3">
      <c r="Q2616" s="93">
        <v>46104</v>
      </c>
      <c r="R2616" t="s">
        <v>364</v>
      </c>
      <c r="S2616" t="s">
        <v>415</v>
      </c>
      <c r="T2616" s="14">
        <v>5.86486755161578</v>
      </c>
      <c r="W2616" s="20">
        <v>46211</v>
      </c>
      <c r="X2616" t="s">
        <v>280</v>
      </c>
      <c r="Y2616" s="23">
        <v>8.5538461538461501</v>
      </c>
      <c r="Z2616" s="23">
        <v>8.0692307692307708</v>
      </c>
      <c r="AA2616" s="23">
        <v>8.3115384615384595</v>
      </c>
    </row>
    <row r="2617" spans="17:27" x14ac:dyDescent="0.3">
      <c r="Q2617" s="93">
        <v>46104</v>
      </c>
      <c r="R2617" t="s">
        <v>364</v>
      </c>
      <c r="S2617" t="s">
        <v>997</v>
      </c>
      <c r="T2617" s="14">
        <v>23584.700700000001</v>
      </c>
      <c r="W2617" s="20">
        <v>46211</v>
      </c>
      <c r="X2617" t="s">
        <v>281</v>
      </c>
      <c r="Y2617" s="23">
        <v>8.5615384615384595</v>
      </c>
      <c r="Z2617" s="23">
        <v>8.0769230769230802</v>
      </c>
      <c r="AA2617" s="23">
        <v>8.3192307692307708</v>
      </c>
    </row>
    <row r="2618" spans="17:27" x14ac:dyDescent="0.3">
      <c r="Q2618" s="93">
        <v>46104</v>
      </c>
      <c r="R2618" t="s">
        <v>496</v>
      </c>
      <c r="S2618" t="s">
        <v>997</v>
      </c>
      <c r="T2618" s="14">
        <v>19082.3717</v>
      </c>
      <c r="W2618" s="20">
        <v>46218</v>
      </c>
      <c r="X2618" t="s">
        <v>270</v>
      </c>
      <c r="Y2618" s="23">
        <v>8.0142857142857196</v>
      </c>
      <c r="Z2618" s="23">
        <v>7.5857142857142899</v>
      </c>
      <c r="AA2618" s="23">
        <v>7.8</v>
      </c>
    </row>
    <row r="2619" spans="17:27" x14ac:dyDescent="0.3">
      <c r="Q2619" s="93">
        <v>46101</v>
      </c>
      <c r="R2619" t="s">
        <v>479</v>
      </c>
      <c r="S2619" t="s">
        <v>415</v>
      </c>
      <c r="T2619" s="14">
        <v>6.1047439242558204</v>
      </c>
      <c r="W2619" s="20">
        <v>46218</v>
      </c>
      <c r="X2619" t="s">
        <v>271</v>
      </c>
      <c r="Y2619" s="23">
        <v>8.375</v>
      </c>
      <c r="Z2619" s="23">
        <v>7.9</v>
      </c>
      <c r="AA2619" s="23">
        <v>8.1374999999999993</v>
      </c>
    </row>
    <row r="2620" spans="17:27" x14ac:dyDescent="0.3">
      <c r="Q2620" s="93">
        <v>46101</v>
      </c>
      <c r="R2620" t="s">
        <v>364</v>
      </c>
      <c r="S2620" t="s">
        <v>415</v>
      </c>
      <c r="T2620" s="14">
        <v>5.8723549078281501</v>
      </c>
      <c r="W2620" s="20">
        <v>46218</v>
      </c>
      <c r="X2620" t="s">
        <v>272</v>
      </c>
      <c r="Y2620" s="23">
        <v>8.2884615384615401</v>
      </c>
      <c r="Z2620" s="23">
        <v>7.8538461538461499</v>
      </c>
      <c r="AA2620" s="23">
        <v>8.0711538461538499</v>
      </c>
    </row>
    <row r="2621" spans="17:27" x14ac:dyDescent="0.3">
      <c r="Q2621" s="93">
        <v>46101</v>
      </c>
      <c r="R2621" t="s">
        <v>364</v>
      </c>
      <c r="S2621" t="s">
        <v>997</v>
      </c>
      <c r="T2621" s="14">
        <v>24184.700700000001</v>
      </c>
      <c r="W2621" s="20">
        <v>46218</v>
      </c>
      <c r="X2621" t="s">
        <v>273</v>
      </c>
      <c r="Y2621" s="23">
        <v>8.3769230769230791</v>
      </c>
      <c r="Z2621" s="23">
        <v>7.9076923076923098</v>
      </c>
      <c r="AA2621" s="23">
        <v>8.1423076923076891</v>
      </c>
    </row>
    <row r="2622" spans="17:27" x14ac:dyDescent="0.3">
      <c r="Q2622" s="93">
        <v>46101</v>
      </c>
      <c r="R2622" t="s">
        <v>496</v>
      </c>
      <c r="S2622" t="s">
        <v>997</v>
      </c>
      <c r="T2622" s="14">
        <v>23952.3717</v>
      </c>
      <c r="W2622" s="20">
        <v>46218</v>
      </c>
      <c r="X2622" t="s">
        <v>274</v>
      </c>
      <c r="Y2622" s="23">
        <v>8.3846153846153797</v>
      </c>
      <c r="Z2622" s="23">
        <v>7.9153846153846104</v>
      </c>
      <c r="AA2622" s="23">
        <v>8.15</v>
      </c>
    </row>
    <row r="2623" spans="17:27" x14ac:dyDescent="0.3">
      <c r="Q2623" s="93">
        <v>46101</v>
      </c>
      <c r="R2623" t="s">
        <v>479</v>
      </c>
      <c r="S2623" t="s">
        <v>399</v>
      </c>
      <c r="T2623" s="14">
        <v>9897.6106</v>
      </c>
      <c r="W2623" s="20">
        <v>46212</v>
      </c>
      <c r="X2623" t="s">
        <v>270</v>
      </c>
      <c r="Y2623" s="23">
        <v>8.125</v>
      </c>
      <c r="Z2623" s="23">
        <v>7.7249999999999996</v>
      </c>
      <c r="AA2623" s="23">
        <v>7.9249999999999998</v>
      </c>
    </row>
    <row r="2624" spans="17:27" x14ac:dyDescent="0.3">
      <c r="Q2624" s="93">
        <v>46101</v>
      </c>
      <c r="R2624" t="s">
        <v>364</v>
      </c>
      <c r="S2624" t="s">
        <v>399</v>
      </c>
      <c r="T2624" s="14">
        <v>17284.700700000001</v>
      </c>
      <c r="W2624" s="20">
        <v>46212</v>
      </c>
      <c r="X2624" t="s">
        <v>271</v>
      </c>
      <c r="Y2624" s="23">
        <v>8.375</v>
      </c>
      <c r="Z2624" s="23">
        <v>7.9</v>
      </c>
      <c r="AA2624" s="23">
        <v>8.1374999999999993</v>
      </c>
    </row>
    <row r="2625" spans="17:27" x14ac:dyDescent="0.3">
      <c r="Q2625" s="93">
        <v>46101</v>
      </c>
      <c r="R2625" t="s">
        <v>491</v>
      </c>
      <c r="S2625" t="s">
        <v>399</v>
      </c>
      <c r="T2625" s="14">
        <v>397.61059999999998</v>
      </c>
      <c r="W2625" s="20">
        <v>46212</v>
      </c>
      <c r="X2625" t="s">
        <v>272</v>
      </c>
      <c r="Y2625" s="23">
        <v>8.2807692307692307</v>
      </c>
      <c r="Z2625" s="23">
        <v>7.8461538461538396</v>
      </c>
      <c r="AA2625" s="23">
        <v>8.0634615384615405</v>
      </c>
    </row>
    <row r="2626" spans="17:27" x14ac:dyDescent="0.3">
      <c r="Q2626" s="93">
        <v>46101</v>
      </c>
      <c r="R2626" t="s">
        <v>492</v>
      </c>
      <c r="S2626" t="s">
        <v>399</v>
      </c>
      <c r="T2626" s="14">
        <v>9500</v>
      </c>
      <c r="W2626" s="20">
        <v>46212</v>
      </c>
      <c r="X2626" t="s">
        <v>273</v>
      </c>
      <c r="Y2626" s="23">
        <v>8.3615384615384603</v>
      </c>
      <c r="Z2626" s="23">
        <v>7.89230769230769</v>
      </c>
      <c r="AA2626" s="23">
        <v>8.1269230769230791</v>
      </c>
    </row>
    <row r="2627" spans="17:27" x14ac:dyDescent="0.3">
      <c r="Q2627" s="93">
        <v>46101</v>
      </c>
      <c r="R2627" t="s">
        <v>496</v>
      </c>
      <c r="S2627" t="s">
        <v>399</v>
      </c>
      <c r="T2627" s="14">
        <v>17052.3717</v>
      </c>
      <c r="W2627" s="20">
        <v>46212</v>
      </c>
      <c r="X2627" t="s">
        <v>274</v>
      </c>
      <c r="Y2627" s="23">
        <v>8.3769230769230791</v>
      </c>
      <c r="Z2627" s="23">
        <v>7.9076923076923098</v>
      </c>
      <c r="AA2627" s="23">
        <v>8.1423076923076891</v>
      </c>
    </row>
    <row r="2628" spans="17:27" x14ac:dyDescent="0.3">
      <c r="Q2628" s="93">
        <v>46101</v>
      </c>
      <c r="R2628" t="s">
        <v>497</v>
      </c>
      <c r="S2628" t="s">
        <v>399</v>
      </c>
      <c r="T2628" s="14">
        <v>397.61059999999998</v>
      </c>
      <c r="W2628" s="20">
        <v>46212</v>
      </c>
      <c r="X2628" t="s">
        <v>275</v>
      </c>
      <c r="Y2628" s="23">
        <v>8.4038461538461497</v>
      </c>
      <c r="Z2628" s="23">
        <v>7.9269230769230798</v>
      </c>
      <c r="AA2628" s="23">
        <v>8.1653846153846104</v>
      </c>
    </row>
    <row r="2629" spans="17:27" x14ac:dyDescent="0.3">
      <c r="Q2629" s="93">
        <v>46101</v>
      </c>
      <c r="R2629" t="s">
        <v>498</v>
      </c>
      <c r="S2629" t="s">
        <v>399</v>
      </c>
      <c r="T2629" s="14">
        <v>9500</v>
      </c>
      <c r="W2629" s="20">
        <v>46212</v>
      </c>
      <c r="X2629" t="s">
        <v>276</v>
      </c>
      <c r="Y2629" s="23">
        <v>8.4269230769230692</v>
      </c>
      <c r="Z2629" s="23">
        <v>7.9423076923076898</v>
      </c>
      <c r="AA2629" s="23">
        <v>8.1846153846153804</v>
      </c>
    </row>
    <row r="2630" spans="17:27" x14ac:dyDescent="0.3">
      <c r="Q2630" s="93">
        <v>46101</v>
      </c>
      <c r="R2630" t="s">
        <v>494</v>
      </c>
      <c r="S2630" t="s">
        <v>399</v>
      </c>
      <c r="T2630" s="14">
        <v>0</v>
      </c>
      <c r="W2630" s="20">
        <v>46212</v>
      </c>
      <c r="X2630" t="s">
        <v>277</v>
      </c>
      <c r="Y2630" s="23">
        <v>8.4769230769230806</v>
      </c>
      <c r="Z2630" s="23">
        <v>7.9923076923076897</v>
      </c>
      <c r="AA2630" s="23">
        <v>8.2346153846153793</v>
      </c>
    </row>
    <row r="2631" spans="17:27" x14ac:dyDescent="0.3">
      <c r="Q2631" s="93">
        <v>46101</v>
      </c>
      <c r="R2631" t="s">
        <v>495</v>
      </c>
      <c r="S2631" t="s">
        <v>399</v>
      </c>
      <c r="T2631" s="14">
        <v>0</v>
      </c>
      <c r="W2631" s="20">
        <v>46212</v>
      </c>
      <c r="X2631" t="s">
        <v>278</v>
      </c>
      <c r="Y2631" s="23">
        <v>8.4923076923076906</v>
      </c>
      <c r="Z2631" s="23">
        <v>8.0076923076923094</v>
      </c>
      <c r="AA2631" s="23">
        <v>8.25</v>
      </c>
    </row>
    <row r="2632" spans="17:27" x14ac:dyDescent="0.3">
      <c r="Q2632" s="93">
        <v>46101</v>
      </c>
      <c r="R2632" t="s">
        <v>493</v>
      </c>
      <c r="S2632" t="s">
        <v>399</v>
      </c>
      <c r="T2632" s="14">
        <v>0</v>
      </c>
      <c r="W2632" s="20">
        <v>46212</v>
      </c>
      <c r="X2632" t="s">
        <v>279</v>
      </c>
      <c r="Y2632" s="23">
        <v>8.5307692307692307</v>
      </c>
      <c r="Z2632" s="23">
        <v>8.0461538461538407</v>
      </c>
      <c r="AA2632" s="23">
        <v>8.2884615384615401</v>
      </c>
    </row>
    <row r="2633" spans="17:27" x14ac:dyDescent="0.3">
      <c r="Q2633" s="93">
        <v>46101</v>
      </c>
      <c r="R2633" t="s">
        <v>593</v>
      </c>
      <c r="S2633" t="s">
        <v>399</v>
      </c>
      <c r="T2633" s="14">
        <v>232.32900000000001</v>
      </c>
      <c r="W2633" s="20">
        <v>46212</v>
      </c>
      <c r="X2633" t="s">
        <v>280</v>
      </c>
      <c r="Y2633" s="23">
        <v>8.5538461538461501</v>
      </c>
      <c r="Z2633" s="23">
        <v>8.0692307692307708</v>
      </c>
      <c r="AA2633" s="23">
        <v>8.3115384615384595</v>
      </c>
    </row>
    <row r="2634" spans="17:27" x14ac:dyDescent="0.3">
      <c r="Q2634" s="93">
        <v>46101</v>
      </c>
      <c r="R2634" t="s">
        <v>594</v>
      </c>
      <c r="S2634" t="s">
        <v>399</v>
      </c>
      <c r="T2634" s="14">
        <v>0</v>
      </c>
      <c r="W2634" s="20">
        <v>46212</v>
      </c>
      <c r="X2634" t="s">
        <v>281</v>
      </c>
      <c r="Y2634" s="23">
        <v>8.5615384615384595</v>
      </c>
      <c r="Z2634" s="23">
        <v>8.0769230769230802</v>
      </c>
      <c r="AA2634" s="23">
        <v>8.3192307692307708</v>
      </c>
    </row>
    <row r="2635" spans="17:27" x14ac:dyDescent="0.3">
      <c r="Q2635" s="93">
        <v>46101</v>
      </c>
      <c r="R2635" t="s">
        <v>595</v>
      </c>
      <c r="S2635" t="s">
        <v>399</v>
      </c>
      <c r="T2635" s="14">
        <v>0</v>
      </c>
      <c r="W2635" s="20">
        <v>46213</v>
      </c>
      <c r="X2635" t="s">
        <v>270</v>
      </c>
      <c r="Y2635" s="23">
        <v>8.125</v>
      </c>
      <c r="Z2635" s="23">
        <v>7.7249999999999996</v>
      </c>
      <c r="AA2635" s="23">
        <v>7.9249999999999998</v>
      </c>
    </row>
    <row r="2636" spans="17:27" x14ac:dyDescent="0.3">
      <c r="Q2636" s="93">
        <v>46101</v>
      </c>
      <c r="R2636" t="s">
        <v>479</v>
      </c>
      <c r="S2636" t="s">
        <v>395</v>
      </c>
      <c r="T2636" s="14">
        <v>10534.8376200691</v>
      </c>
      <c r="W2636" s="20">
        <v>46213</v>
      </c>
      <c r="X2636" t="s">
        <v>271</v>
      </c>
      <c r="Y2636" s="23">
        <v>8.375</v>
      </c>
      <c r="Z2636" s="23">
        <v>7.9</v>
      </c>
      <c r="AA2636" s="23">
        <v>8.1374999999999993</v>
      </c>
    </row>
    <row r="2637" spans="17:27" x14ac:dyDescent="0.3">
      <c r="Q2637" s="93">
        <v>46100</v>
      </c>
      <c r="R2637" t="s">
        <v>479</v>
      </c>
      <c r="S2637" t="s">
        <v>399</v>
      </c>
      <c r="T2637" s="14">
        <v>9897.6106</v>
      </c>
      <c r="W2637" s="20">
        <v>46213</v>
      </c>
      <c r="X2637" t="s">
        <v>272</v>
      </c>
      <c r="Y2637" s="23">
        <v>8.2807692307692307</v>
      </c>
      <c r="Z2637" s="23">
        <v>7.8461538461538396</v>
      </c>
      <c r="AA2637" s="23">
        <v>8.0634615384615405</v>
      </c>
    </row>
    <row r="2638" spans="17:27" x14ac:dyDescent="0.3">
      <c r="Q2638" s="93">
        <v>46100</v>
      </c>
      <c r="R2638" t="s">
        <v>364</v>
      </c>
      <c r="S2638" t="s">
        <v>399</v>
      </c>
      <c r="T2638" s="14">
        <v>18784.700700000001</v>
      </c>
      <c r="W2638" s="20">
        <v>46213</v>
      </c>
      <c r="X2638" t="s">
        <v>273</v>
      </c>
      <c r="Y2638" s="23">
        <v>8.3615384615384603</v>
      </c>
      <c r="Z2638" s="23">
        <v>7.89230769230769</v>
      </c>
      <c r="AA2638" s="23">
        <v>8.1269230769230791</v>
      </c>
    </row>
    <row r="2639" spans="17:27" x14ac:dyDescent="0.3">
      <c r="Q2639" s="93">
        <v>46100</v>
      </c>
      <c r="R2639" t="s">
        <v>491</v>
      </c>
      <c r="S2639" t="s">
        <v>399</v>
      </c>
      <c r="T2639" s="14">
        <v>397.61059999999998</v>
      </c>
      <c r="W2639" s="20">
        <v>46213</v>
      </c>
      <c r="X2639" t="s">
        <v>274</v>
      </c>
      <c r="Y2639" s="23">
        <v>8.3769230769230791</v>
      </c>
      <c r="Z2639" s="23">
        <v>7.9076923076923098</v>
      </c>
      <c r="AA2639" s="23">
        <v>8.1423076923076891</v>
      </c>
    </row>
    <row r="2640" spans="17:27" x14ac:dyDescent="0.3">
      <c r="Q2640" s="93">
        <v>46100</v>
      </c>
      <c r="R2640" t="s">
        <v>492</v>
      </c>
      <c r="S2640" t="s">
        <v>399</v>
      </c>
      <c r="T2640" s="14">
        <v>9500</v>
      </c>
      <c r="W2640" s="20">
        <v>46213</v>
      </c>
      <c r="X2640" t="s">
        <v>275</v>
      </c>
      <c r="Y2640" s="23">
        <v>8.4038461538461497</v>
      </c>
      <c r="Z2640" s="23">
        <v>7.9269230769230798</v>
      </c>
      <c r="AA2640" s="23">
        <v>8.1653846153846104</v>
      </c>
    </row>
    <row r="2641" spans="17:27" x14ac:dyDescent="0.3">
      <c r="Q2641" s="93">
        <v>46100</v>
      </c>
      <c r="R2641" t="s">
        <v>496</v>
      </c>
      <c r="S2641" t="s">
        <v>399</v>
      </c>
      <c r="T2641" s="14">
        <v>17552.3717</v>
      </c>
      <c r="W2641" s="20">
        <v>46213</v>
      </c>
      <c r="X2641" t="s">
        <v>276</v>
      </c>
      <c r="Y2641" s="23">
        <v>8.4269230769230692</v>
      </c>
      <c r="Z2641" s="23">
        <v>7.9423076923076898</v>
      </c>
      <c r="AA2641" s="23">
        <v>8.1846153846153804</v>
      </c>
    </row>
    <row r="2642" spans="17:27" x14ac:dyDescent="0.3">
      <c r="Q2642" s="93">
        <v>46100</v>
      </c>
      <c r="R2642" t="s">
        <v>497</v>
      </c>
      <c r="S2642" t="s">
        <v>399</v>
      </c>
      <c r="T2642" s="14">
        <v>397.61059999999998</v>
      </c>
      <c r="W2642" s="20">
        <v>46213</v>
      </c>
      <c r="X2642" t="s">
        <v>277</v>
      </c>
      <c r="Y2642" s="23">
        <v>8.4769230769230806</v>
      </c>
      <c r="Z2642" s="23">
        <v>7.9923076923076897</v>
      </c>
      <c r="AA2642" s="23">
        <v>8.2346153846153793</v>
      </c>
    </row>
    <row r="2643" spans="17:27" x14ac:dyDescent="0.3">
      <c r="Q2643" s="93">
        <v>46100</v>
      </c>
      <c r="R2643" t="s">
        <v>498</v>
      </c>
      <c r="S2643" t="s">
        <v>399</v>
      </c>
      <c r="T2643" s="14">
        <v>9500</v>
      </c>
      <c r="W2643" s="20">
        <v>46213</v>
      </c>
      <c r="X2643" t="s">
        <v>278</v>
      </c>
      <c r="Y2643" s="23">
        <v>8.4923076923076906</v>
      </c>
      <c r="Z2643" s="23">
        <v>8.0076923076923094</v>
      </c>
      <c r="AA2643" s="23">
        <v>8.25</v>
      </c>
    </row>
    <row r="2644" spans="17:27" x14ac:dyDescent="0.3">
      <c r="Q2644" s="93">
        <v>46100</v>
      </c>
      <c r="R2644" t="s">
        <v>494</v>
      </c>
      <c r="S2644" t="s">
        <v>399</v>
      </c>
      <c r="T2644" s="14">
        <v>0</v>
      </c>
      <c r="W2644" s="20">
        <v>46213</v>
      </c>
      <c r="X2644" t="s">
        <v>279</v>
      </c>
      <c r="Y2644" s="23">
        <v>8.5307692307692307</v>
      </c>
      <c r="Z2644" s="23">
        <v>8.0461538461538407</v>
      </c>
      <c r="AA2644" s="23">
        <v>8.2884615384615401</v>
      </c>
    </row>
    <row r="2645" spans="17:27" x14ac:dyDescent="0.3">
      <c r="Q2645" s="93">
        <v>46100</v>
      </c>
      <c r="R2645" t="s">
        <v>495</v>
      </c>
      <c r="S2645" t="s">
        <v>399</v>
      </c>
      <c r="T2645" s="14">
        <v>0</v>
      </c>
      <c r="W2645" s="20">
        <v>46213</v>
      </c>
      <c r="X2645" t="s">
        <v>280</v>
      </c>
      <c r="Y2645" s="23">
        <v>8.5538461538461501</v>
      </c>
      <c r="Z2645" s="23">
        <v>8.0692307692307708</v>
      </c>
      <c r="AA2645" s="23">
        <v>8.3115384615384595</v>
      </c>
    </row>
    <row r="2646" spans="17:27" x14ac:dyDescent="0.3">
      <c r="Q2646" s="93">
        <v>46100</v>
      </c>
      <c r="R2646" t="s">
        <v>493</v>
      </c>
      <c r="S2646" t="s">
        <v>399</v>
      </c>
      <c r="T2646" s="14">
        <v>0</v>
      </c>
      <c r="W2646" s="20">
        <v>46213</v>
      </c>
      <c r="X2646" t="s">
        <v>281</v>
      </c>
      <c r="Y2646" s="23">
        <v>8.5615384615384595</v>
      </c>
      <c r="Z2646" s="23">
        <v>8.0769230769230802</v>
      </c>
      <c r="AA2646" s="23">
        <v>8.3192307692307708</v>
      </c>
    </row>
    <row r="2647" spans="17:27" x14ac:dyDescent="0.3">
      <c r="Q2647" s="93">
        <v>46100</v>
      </c>
      <c r="R2647" t="s">
        <v>593</v>
      </c>
      <c r="S2647" t="s">
        <v>399</v>
      </c>
      <c r="T2647" s="14">
        <v>1232.329</v>
      </c>
      <c r="W2647" s="20">
        <v>46217</v>
      </c>
      <c r="X2647" t="s">
        <v>270</v>
      </c>
      <c r="Y2647" s="23">
        <v>8.0142857142857196</v>
      </c>
      <c r="Z2647" s="23">
        <v>7.5857142857142899</v>
      </c>
      <c r="AA2647" s="23">
        <v>7.8</v>
      </c>
    </row>
    <row r="2648" spans="17:27" x14ac:dyDescent="0.3">
      <c r="Q2648" s="93">
        <v>46100</v>
      </c>
      <c r="R2648" t="s">
        <v>594</v>
      </c>
      <c r="S2648" t="s">
        <v>399</v>
      </c>
      <c r="T2648" s="14">
        <v>0</v>
      </c>
      <c r="W2648" s="20">
        <v>46217</v>
      </c>
      <c r="X2648" t="s">
        <v>271</v>
      </c>
      <c r="Y2648" s="23">
        <v>8.375</v>
      </c>
      <c r="Z2648" s="23">
        <v>7.9</v>
      </c>
      <c r="AA2648" s="23">
        <v>8.1374999999999993</v>
      </c>
    </row>
    <row r="2649" spans="17:27" x14ac:dyDescent="0.3">
      <c r="Q2649" s="93">
        <v>46100</v>
      </c>
      <c r="R2649" t="s">
        <v>595</v>
      </c>
      <c r="S2649" t="s">
        <v>399</v>
      </c>
      <c r="T2649" s="14">
        <v>0</v>
      </c>
      <c r="W2649" s="20">
        <v>46217</v>
      </c>
      <c r="X2649" t="s">
        <v>272</v>
      </c>
      <c r="Y2649" s="23">
        <v>8.2884615384615401</v>
      </c>
      <c r="Z2649" s="23">
        <v>7.8538461538461499</v>
      </c>
      <c r="AA2649" s="23">
        <v>8.0711538461538499</v>
      </c>
    </row>
    <row r="2650" spans="17:27" x14ac:dyDescent="0.3">
      <c r="Q2650" s="93">
        <v>46100</v>
      </c>
      <c r="R2650" t="s">
        <v>479</v>
      </c>
      <c r="S2650" t="s">
        <v>395</v>
      </c>
      <c r="T2650" s="14">
        <v>10535.993539049799</v>
      </c>
      <c r="W2650" s="20">
        <v>46217</v>
      </c>
      <c r="X2650" t="s">
        <v>273</v>
      </c>
      <c r="Y2650" s="23">
        <v>8.3769230769230791</v>
      </c>
      <c r="Z2650" s="23">
        <v>7.9076923076923098</v>
      </c>
      <c r="AA2650" s="23">
        <v>8.1423076923076891</v>
      </c>
    </row>
    <row r="2651" spans="17:27" x14ac:dyDescent="0.3">
      <c r="Q2651" s="93">
        <v>46100</v>
      </c>
      <c r="R2651" t="s">
        <v>479</v>
      </c>
      <c r="S2651" t="s">
        <v>415</v>
      </c>
      <c r="T2651" s="14">
        <v>6.1047439242558204</v>
      </c>
      <c r="W2651" s="20">
        <v>46217</v>
      </c>
      <c r="X2651" t="s">
        <v>274</v>
      </c>
      <c r="Y2651" s="23">
        <v>8.3846153846153797</v>
      </c>
      <c r="Z2651" s="23">
        <v>7.9153846153846104</v>
      </c>
      <c r="AA2651" s="23">
        <v>8.15</v>
      </c>
    </row>
    <row r="2652" spans="17:27" x14ac:dyDescent="0.3">
      <c r="Q2652" s="93">
        <v>46100</v>
      </c>
      <c r="R2652" t="s">
        <v>364</v>
      </c>
      <c r="S2652" t="s">
        <v>415</v>
      </c>
      <c r="T2652" s="14">
        <v>5.8625782469428298</v>
      </c>
      <c r="W2652" s="20">
        <v>46217</v>
      </c>
      <c r="X2652" t="s">
        <v>275</v>
      </c>
      <c r="Y2652" s="23">
        <v>8.4115384615384592</v>
      </c>
      <c r="Z2652" s="23">
        <v>7.9346153846153804</v>
      </c>
      <c r="AA2652" s="23">
        <v>8.1730769230769198</v>
      </c>
    </row>
    <row r="2653" spans="17:27" x14ac:dyDescent="0.3">
      <c r="Q2653" s="93">
        <v>46100</v>
      </c>
      <c r="R2653" t="s">
        <v>364</v>
      </c>
      <c r="S2653" t="s">
        <v>997</v>
      </c>
      <c r="T2653" s="14">
        <v>26684.700700000001</v>
      </c>
      <c r="W2653" s="20">
        <v>46217</v>
      </c>
      <c r="X2653" t="s">
        <v>276</v>
      </c>
      <c r="Y2653" s="23">
        <v>8.4269230769230692</v>
      </c>
      <c r="Z2653" s="23">
        <v>7.9423076923076898</v>
      </c>
      <c r="AA2653" s="23">
        <v>8.1846153846153804</v>
      </c>
    </row>
    <row r="2654" spans="17:27" x14ac:dyDescent="0.3">
      <c r="Q2654" s="93">
        <v>46100</v>
      </c>
      <c r="R2654" t="s">
        <v>496</v>
      </c>
      <c r="S2654" t="s">
        <v>997</v>
      </c>
      <c r="T2654" s="14">
        <v>25452.3717</v>
      </c>
      <c r="W2654" s="20">
        <v>46217</v>
      </c>
      <c r="X2654" t="s">
        <v>277</v>
      </c>
      <c r="Y2654" s="23">
        <v>8.4846153846153793</v>
      </c>
      <c r="Z2654" s="23">
        <v>8</v>
      </c>
      <c r="AA2654" s="23">
        <v>8.2423076923076906</v>
      </c>
    </row>
    <row r="2655" spans="17:27" x14ac:dyDescent="0.3">
      <c r="Q2655" s="93">
        <v>46099</v>
      </c>
      <c r="R2655" t="s">
        <v>479</v>
      </c>
      <c r="S2655" t="s">
        <v>399</v>
      </c>
      <c r="T2655" s="14">
        <v>9897.6106</v>
      </c>
      <c r="W2655" s="20">
        <v>46217</v>
      </c>
      <c r="X2655" t="s">
        <v>278</v>
      </c>
      <c r="Y2655" s="23">
        <v>8.5</v>
      </c>
      <c r="Z2655" s="23">
        <v>8.0153846153846207</v>
      </c>
      <c r="AA2655" s="23">
        <v>8.2576923076923094</v>
      </c>
    </row>
    <row r="2656" spans="17:27" x14ac:dyDescent="0.3">
      <c r="Q2656" s="93">
        <v>46099</v>
      </c>
      <c r="R2656" t="s">
        <v>364</v>
      </c>
      <c r="S2656" t="s">
        <v>399</v>
      </c>
      <c r="T2656" s="14">
        <v>17284.700700000001</v>
      </c>
      <c r="W2656" s="20">
        <v>46217</v>
      </c>
      <c r="X2656" t="s">
        <v>279</v>
      </c>
      <c r="Y2656" s="23">
        <v>8.5384615384615401</v>
      </c>
      <c r="Z2656" s="23">
        <v>8.0538461538461501</v>
      </c>
      <c r="AA2656" s="23">
        <v>8.2961538461538495</v>
      </c>
    </row>
    <row r="2657" spans="17:27" x14ac:dyDescent="0.3">
      <c r="Q2657" s="93">
        <v>46099</v>
      </c>
      <c r="R2657" t="s">
        <v>491</v>
      </c>
      <c r="S2657" t="s">
        <v>399</v>
      </c>
      <c r="T2657" s="14">
        <v>397.61059999999998</v>
      </c>
      <c r="W2657" s="20">
        <v>46217</v>
      </c>
      <c r="X2657" t="s">
        <v>280</v>
      </c>
      <c r="Y2657" s="23">
        <v>8.5538461538461501</v>
      </c>
      <c r="Z2657" s="23">
        <v>8.0692307692307708</v>
      </c>
      <c r="AA2657" s="23">
        <v>8.3115384615384595</v>
      </c>
    </row>
    <row r="2658" spans="17:27" x14ac:dyDescent="0.3">
      <c r="Q2658" s="93">
        <v>46099</v>
      </c>
      <c r="R2658" t="s">
        <v>492</v>
      </c>
      <c r="S2658" t="s">
        <v>399</v>
      </c>
      <c r="T2658" s="14">
        <v>9500</v>
      </c>
      <c r="W2658" s="20">
        <v>46217</v>
      </c>
      <c r="X2658" t="s">
        <v>281</v>
      </c>
      <c r="Y2658" s="23">
        <v>8.5615384615384595</v>
      </c>
      <c r="Z2658" s="23">
        <v>8.0769230769230802</v>
      </c>
      <c r="AA2658" s="23">
        <v>8.3192307692307708</v>
      </c>
    </row>
    <row r="2659" spans="17:27" x14ac:dyDescent="0.3">
      <c r="Q2659" s="93">
        <v>46099</v>
      </c>
      <c r="R2659" t="s">
        <v>496</v>
      </c>
      <c r="S2659" t="s">
        <v>399</v>
      </c>
      <c r="T2659" s="14">
        <v>16252.3717</v>
      </c>
      <c r="W2659" s="20">
        <v>46218</v>
      </c>
      <c r="X2659" t="s">
        <v>275</v>
      </c>
      <c r="Y2659" s="23">
        <v>8.4115384615384592</v>
      </c>
      <c r="Z2659" s="23">
        <v>7.9346153846153804</v>
      </c>
      <c r="AA2659" s="23">
        <v>8.1730769230769198</v>
      </c>
    </row>
    <row r="2660" spans="17:27" x14ac:dyDescent="0.3">
      <c r="Q2660" s="93">
        <v>46099</v>
      </c>
      <c r="R2660" t="s">
        <v>497</v>
      </c>
      <c r="S2660" t="s">
        <v>399</v>
      </c>
      <c r="T2660" s="14">
        <v>397.61059999999998</v>
      </c>
      <c r="W2660" s="20">
        <v>46218</v>
      </c>
      <c r="X2660" t="s">
        <v>276</v>
      </c>
      <c r="Y2660" s="23">
        <v>8.4269230769230692</v>
      </c>
      <c r="Z2660" s="23">
        <v>7.9423076923076898</v>
      </c>
      <c r="AA2660" s="23">
        <v>8.1846153846153804</v>
      </c>
    </row>
    <row r="2661" spans="17:27" x14ac:dyDescent="0.3">
      <c r="Q2661" s="93">
        <v>46099</v>
      </c>
      <c r="R2661" t="s">
        <v>498</v>
      </c>
      <c r="S2661" t="s">
        <v>399</v>
      </c>
      <c r="T2661" s="14">
        <v>9500</v>
      </c>
      <c r="W2661" s="20">
        <v>46218</v>
      </c>
      <c r="X2661" t="s">
        <v>277</v>
      </c>
      <c r="Y2661" s="23">
        <v>8.4846153846153793</v>
      </c>
      <c r="Z2661" s="23">
        <v>8</v>
      </c>
      <c r="AA2661" s="23">
        <v>8.2423076923076906</v>
      </c>
    </row>
    <row r="2662" spans="17:27" x14ac:dyDescent="0.3">
      <c r="Q2662" s="93">
        <v>46099</v>
      </c>
      <c r="R2662" t="s">
        <v>494</v>
      </c>
      <c r="S2662" t="s">
        <v>399</v>
      </c>
      <c r="T2662" s="14">
        <v>0</v>
      </c>
      <c r="W2662" s="20">
        <v>46218</v>
      </c>
      <c r="X2662" t="s">
        <v>278</v>
      </c>
      <c r="Y2662" s="23">
        <v>8.5</v>
      </c>
      <c r="Z2662" s="23">
        <v>8.0153846153846207</v>
      </c>
      <c r="AA2662" s="23">
        <v>8.2576923076923094</v>
      </c>
    </row>
    <row r="2663" spans="17:27" x14ac:dyDescent="0.3">
      <c r="Q2663" s="93">
        <v>46099</v>
      </c>
      <c r="R2663" t="s">
        <v>495</v>
      </c>
      <c r="S2663" t="s">
        <v>399</v>
      </c>
      <c r="T2663" s="14">
        <v>0</v>
      </c>
      <c r="W2663" s="20">
        <v>46218</v>
      </c>
      <c r="X2663" t="s">
        <v>279</v>
      </c>
      <c r="Y2663" s="23">
        <v>8.5384615384615401</v>
      </c>
      <c r="Z2663" s="23">
        <v>8.0538461538461501</v>
      </c>
      <c r="AA2663" s="23">
        <v>8.2961538461538495</v>
      </c>
    </row>
    <row r="2664" spans="17:27" x14ac:dyDescent="0.3">
      <c r="Q2664" s="93">
        <v>46099</v>
      </c>
      <c r="R2664" t="s">
        <v>493</v>
      </c>
      <c r="S2664" t="s">
        <v>399</v>
      </c>
      <c r="T2664" s="14">
        <v>0</v>
      </c>
      <c r="W2664" s="20">
        <v>46218</v>
      </c>
      <c r="X2664" t="s">
        <v>280</v>
      </c>
      <c r="Y2664" s="23">
        <v>8.5538461538461501</v>
      </c>
      <c r="Z2664" s="23">
        <v>8.0692307692307708</v>
      </c>
      <c r="AA2664" s="23">
        <v>8.3115384615384595</v>
      </c>
    </row>
    <row r="2665" spans="17:27" x14ac:dyDescent="0.3">
      <c r="Q2665" s="93">
        <v>46099</v>
      </c>
      <c r="R2665" t="s">
        <v>593</v>
      </c>
      <c r="S2665" t="s">
        <v>399</v>
      </c>
      <c r="T2665" s="14">
        <v>1032.329</v>
      </c>
      <c r="W2665" s="20">
        <v>46218</v>
      </c>
      <c r="X2665" t="s">
        <v>281</v>
      </c>
      <c r="Y2665" s="23">
        <v>8.5615384615384595</v>
      </c>
      <c r="Z2665" s="23">
        <v>8.0769230769230802</v>
      </c>
      <c r="AA2665" s="23">
        <v>8.3192307692307708</v>
      </c>
    </row>
    <row r="2666" spans="17:27" x14ac:dyDescent="0.3">
      <c r="Q2666" s="93">
        <v>46099</v>
      </c>
      <c r="R2666" t="s">
        <v>594</v>
      </c>
      <c r="S2666" t="s">
        <v>399</v>
      </c>
      <c r="T2666" s="14">
        <v>0</v>
      </c>
      <c r="W2666" s="20">
        <v>46219</v>
      </c>
      <c r="X2666" t="s">
        <v>270</v>
      </c>
      <c r="Y2666" s="23">
        <v>8</v>
      </c>
      <c r="Z2666" s="23">
        <v>7.5714285714285703</v>
      </c>
      <c r="AA2666" s="23">
        <v>7.78571428571429</v>
      </c>
    </row>
    <row r="2667" spans="17:27" x14ac:dyDescent="0.3">
      <c r="Q2667" s="93">
        <v>46099</v>
      </c>
      <c r="R2667" t="s">
        <v>595</v>
      </c>
      <c r="S2667" t="s">
        <v>399</v>
      </c>
      <c r="T2667" s="14">
        <v>0</v>
      </c>
      <c r="W2667" s="20">
        <v>46219</v>
      </c>
      <c r="X2667" t="s">
        <v>271</v>
      </c>
      <c r="Y2667" s="23">
        <v>8.35</v>
      </c>
      <c r="Z2667" s="23">
        <v>7.875</v>
      </c>
      <c r="AA2667" s="23">
        <v>8.1125000000000007</v>
      </c>
    </row>
    <row r="2668" spans="17:27" x14ac:dyDescent="0.3">
      <c r="Q2668" s="93">
        <v>46099</v>
      </c>
      <c r="R2668" t="s">
        <v>479</v>
      </c>
      <c r="S2668" t="s">
        <v>395</v>
      </c>
      <c r="T2668" s="14">
        <v>10535.796773730901</v>
      </c>
      <c r="W2668" s="20">
        <v>46219</v>
      </c>
      <c r="X2668" t="s">
        <v>272</v>
      </c>
      <c r="Y2668" s="23">
        <v>8.2884615384615401</v>
      </c>
      <c r="Z2668" s="23">
        <v>7.8538461538461499</v>
      </c>
      <c r="AA2668" s="23">
        <v>8.0711538461538499</v>
      </c>
    </row>
    <row r="2669" spans="17:27" x14ac:dyDescent="0.3">
      <c r="Q2669" s="93">
        <v>46099</v>
      </c>
      <c r="R2669" t="s">
        <v>479</v>
      </c>
      <c r="S2669" t="s">
        <v>415</v>
      </c>
      <c r="T2669" s="14">
        <v>6.1047439242558204</v>
      </c>
      <c r="W2669" s="20">
        <v>46219</v>
      </c>
      <c r="X2669" t="s">
        <v>273</v>
      </c>
      <c r="Y2669" s="23">
        <v>8.3769230769230791</v>
      </c>
      <c r="Z2669" s="23">
        <v>7.9076923076923098</v>
      </c>
      <c r="AA2669" s="23">
        <v>8.1423076923076891</v>
      </c>
    </row>
    <row r="2670" spans="17:27" x14ac:dyDescent="0.3">
      <c r="Q2670" s="93">
        <v>46099</v>
      </c>
      <c r="R2670" t="s">
        <v>364</v>
      </c>
      <c r="S2670" t="s">
        <v>415</v>
      </c>
      <c r="T2670" s="14">
        <v>5.8535992786287103</v>
      </c>
      <c r="W2670" s="20">
        <v>46219</v>
      </c>
      <c r="X2670" t="s">
        <v>274</v>
      </c>
      <c r="Y2670" s="23">
        <v>8.3846153846153797</v>
      </c>
      <c r="Z2670" s="23">
        <v>7.9153846153846104</v>
      </c>
      <c r="AA2670" s="23">
        <v>8.15</v>
      </c>
    </row>
    <row r="2671" spans="17:27" x14ac:dyDescent="0.3">
      <c r="Q2671" s="93">
        <v>46099</v>
      </c>
      <c r="R2671" t="s">
        <v>364</v>
      </c>
      <c r="S2671" t="s">
        <v>997</v>
      </c>
      <c r="T2671" s="14">
        <v>25184.700700000001</v>
      </c>
      <c r="W2671" s="20">
        <v>46219</v>
      </c>
      <c r="X2671" t="s">
        <v>275</v>
      </c>
      <c r="Y2671" s="23">
        <v>8.4115384615384592</v>
      </c>
      <c r="Z2671" s="23">
        <v>7.9346153846153804</v>
      </c>
      <c r="AA2671" s="23">
        <v>8.1730769230769198</v>
      </c>
    </row>
    <row r="2672" spans="17:27" x14ac:dyDescent="0.3">
      <c r="Q2672" s="93">
        <v>46099</v>
      </c>
      <c r="R2672" t="s">
        <v>496</v>
      </c>
      <c r="S2672" t="s">
        <v>997</v>
      </c>
      <c r="T2672" s="14">
        <v>24152.3717</v>
      </c>
      <c r="W2672" s="20">
        <v>46219</v>
      </c>
      <c r="X2672" t="s">
        <v>276</v>
      </c>
      <c r="Y2672" s="23">
        <v>8.4269230769230692</v>
      </c>
      <c r="Z2672" s="23">
        <v>7.9423076923076898</v>
      </c>
      <c r="AA2672" s="23">
        <v>8.1846153846153804</v>
      </c>
    </row>
    <row r="2673" spans="17:27" x14ac:dyDescent="0.3">
      <c r="Q2673" s="93">
        <v>46098</v>
      </c>
      <c r="R2673" t="s">
        <v>479</v>
      </c>
      <c r="S2673" t="s">
        <v>399</v>
      </c>
      <c r="T2673" s="14">
        <v>9897.6106</v>
      </c>
      <c r="W2673" s="20">
        <v>46219</v>
      </c>
      <c r="X2673" t="s">
        <v>277</v>
      </c>
      <c r="Y2673" s="23">
        <v>8.4846153846153793</v>
      </c>
      <c r="Z2673" s="23">
        <v>8</v>
      </c>
      <c r="AA2673" s="23">
        <v>8.2423076923076906</v>
      </c>
    </row>
    <row r="2674" spans="17:27" x14ac:dyDescent="0.3">
      <c r="Q2674" s="93">
        <v>46098</v>
      </c>
      <c r="R2674" t="s">
        <v>364</v>
      </c>
      <c r="S2674" t="s">
        <v>399</v>
      </c>
      <c r="T2674" s="14">
        <v>16434.700700000001</v>
      </c>
      <c r="W2674" s="20">
        <v>46219</v>
      </c>
      <c r="X2674" t="s">
        <v>278</v>
      </c>
      <c r="Y2674" s="23">
        <v>8.5</v>
      </c>
      <c r="Z2674" s="23">
        <v>8.0153846153846207</v>
      </c>
      <c r="AA2674" s="23">
        <v>8.2576923076923094</v>
      </c>
    </row>
    <row r="2675" spans="17:27" x14ac:dyDescent="0.3">
      <c r="Q2675" s="93">
        <v>46098</v>
      </c>
      <c r="R2675" t="s">
        <v>491</v>
      </c>
      <c r="S2675" t="s">
        <v>399</v>
      </c>
      <c r="T2675" s="14">
        <v>397.61059999999998</v>
      </c>
      <c r="W2675" s="20">
        <v>46219</v>
      </c>
      <c r="X2675" t="s">
        <v>279</v>
      </c>
      <c r="Y2675" s="23">
        <v>8.5384615384615401</v>
      </c>
      <c r="Z2675" s="23">
        <v>8.0538461538461501</v>
      </c>
      <c r="AA2675" s="23">
        <v>8.2961538461538495</v>
      </c>
    </row>
    <row r="2676" spans="17:27" x14ac:dyDescent="0.3">
      <c r="Q2676" s="93">
        <v>46098</v>
      </c>
      <c r="R2676" t="s">
        <v>492</v>
      </c>
      <c r="S2676" t="s">
        <v>399</v>
      </c>
      <c r="T2676" s="14">
        <v>9500</v>
      </c>
      <c r="W2676" s="20">
        <v>46219</v>
      </c>
      <c r="X2676" t="s">
        <v>280</v>
      </c>
      <c r="Y2676" s="23">
        <v>8.5538461538461501</v>
      </c>
      <c r="Z2676" s="23">
        <v>8.0692307692307708</v>
      </c>
      <c r="AA2676" s="23">
        <v>8.3115384615384595</v>
      </c>
    </row>
    <row r="2677" spans="17:27" x14ac:dyDescent="0.3">
      <c r="Q2677" s="93">
        <v>46098</v>
      </c>
      <c r="R2677" t="s">
        <v>496</v>
      </c>
      <c r="S2677" t="s">
        <v>399</v>
      </c>
      <c r="T2677" s="14">
        <v>14102.3717</v>
      </c>
      <c r="W2677" s="20">
        <v>46219</v>
      </c>
      <c r="X2677" t="s">
        <v>281</v>
      </c>
      <c r="Y2677" s="23">
        <v>8.5615384615384595</v>
      </c>
      <c r="Z2677" s="23">
        <v>8.0769230769230802</v>
      </c>
      <c r="AA2677" s="23">
        <v>8.3192307692307708</v>
      </c>
    </row>
    <row r="2678" spans="17:27" x14ac:dyDescent="0.3">
      <c r="Q2678" s="93">
        <v>46098</v>
      </c>
      <c r="R2678" t="s">
        <v>497</v>
      </c>
      <c r="S2678" t="s">
        <v>399</v>
      </c>
      <c r="T2678" s="14">
        <v>397.61059999999998</v>
      </c>
      <c r="W2678" s="20">
        <v>46220</v>
      </c>
      <c r="X2678" t="s">
        <v>270</v>
      </c>
      <c r="Y2678" s="23">
        <v>8</v>
      </c>
      <c r="Z2678" s="23">
        <v>7.5714285714285703</v>
      </c>
      <c r="AA2678" s="23">
        <v>7.78571428571429</v>
      </c>
    </row>
    <row r="2679" spans="17:27" x14ac:dyDescent="0.3">
      <c r="Q2679" s="93">
        <v>46098</v>
      </c>
      <c r="R2679" t="s">
        <v>498</v>
      </c>
      <c r="S2679" t="s">
        <v>399</v>
      </c>
      <c r="T2679" s="14">
        <v>9500</v>
      </c>
      <c r="W2679" s="20">
        <v>46220</v>
      </c>
      <c r="X2679" t="s">
        <v>271</v>
      </c>
      <c r="Y2679" s="23">
        <v>8.375</v>
      </c>
      <c r="Z2679" s="23">
        <v>7.9</v>
      </c>
      <c r="AA2679" s="23">
        <v>8.1374999999999993</v>
      </c>
    </row>
    <row r="2680" spans="17:27" x14ac:dyDescent="0.3">
      <c r="Q2680" s="93">
        <v>46098</v>
      </c>
      <c r="R2680" t="s">
        <v>494</v>
      </c>
      <c r="S2680" t="s">
        <v>399</v>
      </c>
      <c r="T2680" s="14">
        <v>0</v>
      </c>
      <c r="W2680" s="20">
        <v>46220</v>
      </c>
      <c r="X2680" t="s">
        <v>272</v>
      </c>
      <c r="Y2680" s="23">
        <v>8.2884615384615401</v>
      </c>
      <c r="Z2680" s="23">
        <v>7.8538461538461499</v>
      </c>
      <c r="AA2680" s="23">
        <v>8.0711538461538499</v>
      </c>
    </row>
    <row r="2681" spans="17:27" x14ac:dyDescent="0.3">
      <c r="Q2681" s="93">
        <v>46098</v>
      </c>
      <c r="R2681" t="s">
        <v>495</v>
      </c>
      <c r="S2681" t="s">
        <v>399</v>
      </c>
      <c r="T2681" s="14">
        <v>0</v>
      </c>
      <c r="W2681" s="20">
        <v>46220</v>
      </c>
      <c r="X2681" t="s">
        <v>273</v>
      </c>
      <c r="Y2681" s="23">
        <v>8.3769230769230791</v>
      </c>
      <c r="Z2681" s="23">
        <v>7.9076923076923098</v>
      </c>
      <c r="AA2681" s="23">
        <v>8.1423076923076891</v>
      </c>
    </row>
    <row r="2682" spans="17:27" x14ac:dyDescent="0.3">
      <c r="Q2682" s="93">
        <v>46098</v>
      </c>
      <c r="R2682" t="s">
        <v>493</v>
      </c>
      <c r="S2682" t="s">
        <v>399</v>
      </c>
      <c r="T2682" s="14">
        <v>0</v>
      </c>
      <c r="W2682" s="20">
        <v>46220</v>
      </c>
      <c r="X2682" t="s">
        <v>274</v>
      </c>
      <c r="Y2682" s="23">
        <v>8.3846153846153797</v>
      </c>
      <c r="Z2682" s="23">
        <v>7.9076923076923098</v>
      </c>
      <c r="AA2682" s="23">
        <v>8.1461538461538492</v>
      </c>
    </row>
    <row r="2683" spans="17:27" x14ac:dyDescent="0.3">
      <c r="Q2683" s="93">
        <v>46098</v>
      </c>
      <c r="R2683" t="s">
        <v>593</v>
      </c>
      <c r="S2683" t="s">
        <v>399</v>
      </c>
      <c r="T2683" s="14">
        <v>2332.3290000000002</v>
      </c>
      <c r="W2683" s="20">
        <v>46220</v>
      </c>
      <c r="X2683" t="s">
        <v>275</v>
      </c>
      <c r="Y2683" s="23">
        <v>8.4115384615384592</v>
      </c>
      <c r="Z2683" s="23">
        <v>7.9269230769230798</v>
      </c>
      <c r="AA2683" s="23">
        <v>8.1692307692307704</v>
      </c>
    </row>
    <row r="2684" spans="17:27" x14ac:dyDescent="0.3">
      <c r="Q2684" s="93">
        <v>46098</v>
      </c>
      <c r="R2684" t="s">
        <v>594</v>
      </c>
      <c r="S2684" t="s">
        <v>399</v>
      </c>
      <c r="T2684" s="14">
        <v>0</v>
      </c>
      <c r="W2684" s="20">
        <v>46220</v>
      </c>
      <c r="X2684" t="s">
        <v>276</v>
      </c>
      <c r="Y2684" s="23">
        <v>8.4269230769230692</v>
      </c>
      <c r="Z2684" s="23">
        <v>7.9423076923076898</v>
      </c>
      <c r="AA2684" s="23">
        <v>8.1846153846153804</v>
      </c>
    </row>
    <row r="2685" spans="17:27" x14ac:dyDescent="0.3">
      <c r="Q2685" s="93">
        <v>46098</v>
      </c>
      <c r="R2685" t="s">
        <v>595</v>
      </c>
      <c r="S2685" t="s">
        <v>399</v>
      </c>
      <c r="T2685" s="14">
        <v>0</v>
      </c>
      <c r="W2685" s="20">
        <v>46220</v>
      </c>
      <c r="X2685" t="s">
        <v>277</v>
      </c>
      <c r="Y2685" s="23">
        <v>8.4846153846153793</v>
      </c>
      <c r="Z2685" s="23">
        <v>8</v>
      </c>
      <c r="AA2685" s="23">
        <v>8.2423076923076906</v>
      </c>
    </row>
    <row r="2686" spans="17:27" x14ac:dyDescent="0.3">
      <c r="Q2686" s="93">
        <v>46098</v>
      </c>
      <c r="R2686" t="s">
        <v>479</v>
      </c>
      <c r="S2686" t="s">
        <v>395</v>
      </c>
      <c r="T2686" s="14">
        <v>10536.381413554</v>
      </c>
      <c r="W2686" s="20">
        <v>46220</v>
      </c>
      <c r="X2686" t="s">
        <v>278</v>
      </c>
      <c r="Y2686" s="23">
        <v>8.5</v>
      </c>
      <c r="Z2686" s="23">
        <v>8.0153846153846207</v>
      </c>
      <c r="AA2686" s="23">
        <v>8.2576923076923094</v>
      </c>
    </row>
    <row r="2687" spans="17:27" x14ac:dyDescent="0.3">
      <c r="Q2687" s="93">
        <v>46098</v>
      </c>
      <c r="R2687" t="s">
        <v>479</v>
      </c>
      <c r="S2687" t="s">
        <v>415</v>
      </c>
      <c r="T2687" s="14">
        <v>6.1047439242558204</v>
      </c>
      <c r="W2687" s="20">
        <v>46220</v>
      </c>
      <c r="X2687" t="s">
        <v>279</v>
      </c>
      <c r="Y2687" s="23">
        <v>8.5384615384615401</v>
      </c>
      <c r="Z2687" s="23">
        <v>8.0538461538461501</v>
      </c>
      <c r="AA2687" s="23">
        <v>8.2961538461538495</v>
      </c>
    </row>
    <row r="2688" spans="17:27" x14ac:dyDescent="0.3">
      <c r="Q2688" s="93">
        <v>46098</v>
      </c>
      <c r="R2688" t="s">
        <v>364</v>
      </c>
      <c r="S2688" t="s">
        <v>415</v>
      </c>
      <c r="T2688" s="14">
        <v>5.8952500636262197</v>
      </c>
      <c r="W2688" s="20">
        <v>46220</v>
      </c>
      <c r="X2688" t="s">
        <v>280</v>
      </c>
      <c r="Y2688" s="23">
        <v>8.5538461538461501</v>
      </c>
      <c r="Z2688" s="23">
        <v>8.0692307692307708</v>
      </c>
      <c r="AA2688" s="23">
        <v>8.3115384615384595</v>
      </c>
    </row>
    <row r="2689" spans="17:27" x14ac:dyDescent="0.3">
      <c r="Q2689" s="93">
        <v>46098</v>
      </c>
      <c r="R2689" t="s">
        <v>364</v>
      </c>
      <c r="S2689" t="s">
        <v>997</v>
      </c>
      <c r="T2689" s="14">
        <v>24334.700700000001</v>
      </c>
      <c r="W2689" s="20">
        <v>46220</v>
      </c>
      <c r="X2689" t="s">
        <v>281</v>
      </c>
      <c r="Y2689" s="23">
        <v>8.5615384615384595</v>
      </c>
      <c r="Z2689" s="23">
        <v>8.0769230769230802</v>
      </c>
      <c r="AA2689" s="23">
        <v>8.3192307692307708</v>
      </c>
    </row>
    <row r="2690" spans="17:27" x14ac:dyDescent="0.3">
      <c r="Q2690" s="93">
        <v>46098</v>
      </c>
      <c r="R2690" t="s">
        <v>496</v>
      </c>
      <c r="S2690" t="s">
        <v>997</v>
      </c>
      <c r="T2690" s="14">
        <v>22002.3717</v>
      </c>
      <c r="W2690" s="20">
        <v>46216</v>
      </c>
      <c r="X2690" t="s">
        <v>270</v>
      </c>
      <c r="Y2690" s="23">
        <v>8.1</v>
      </c>
      <c r="Z2690" s="23">
        <v>7.7</v>
      </c>
      <c r="AA2690" s="23">
        <v>7.9</v>
      </c>
    </row>
    <row r="2691" spans="17:27" x14ac:dyDescent="0.3">
      <c r="Q2691" s="93">
        <v>46097</v>
      </c>
      <c r="R2691" t="s">
        <v>479</v>
      </c>
      <c r="S2691" t="s">
        <v>399</v>
      </c>
      <c r="T2691" s="14">
        <v>9897.6106</v>
      </c>
      <c r="W2691" s="20">
        <v>46216</v>
      </c>
      <c r="X2691" t="s">
        <v>271</v>
      </c>
      <c r="Y2691" s="23">
        <v>8.375</v>
      </c>
      <c r="Z2691" s="23">
        <v>7.9</v>
      </c>
      <c r="AA2691" s="23">
        <v>8.1374999999999993</v>
      </c>
    </row>
    <row r="2692" spans="17:27" x14ac:dyDescent="0.3">
      <c r="Q2692" s="93">
        <v>46097</v>
      </c>
      <c r="R2692" t="s">
        <v>364</v>
      </c>
      <c r="S2692" t="s">
        <v>399</v>
      </c>
      <c r="T2692" s="14">
        <v>17184.700700000001</v>
      </c>
      <c r="W2692" s="20">
        <v>46216</v>
      </c>
      <c r="X2692" t="s">
        <v>272</v>
      </c>
      <c r="Y2692" s="23">
        <v>8.2884615384615401</v>
      </c>
      <c r="Z2692" s="23">
        <v>7.8538461538461499</v>
      </c>
      <c r="AA2692" s="23">
        <v>8.0711538461538499</v>
      </c>
    </row>
    <row r="2693" spans="17:27" x14ac:dyDescent="0.3">
      <c r="Q2693" s="93">
        <v>46097</v>
      </c>
      <c r="R2693" t="s">
        <v>491</v>
      </c>
      <c r="S2693" t="s">
        <v>399</v>
      </c>
      <c r="T2693" s="14">
        <v>397.61059999999998</v>
      </c>
      <c r="W2693" s="20">
        <v>46216</v>
      </c>
      <c r="X2693" t="s">
        <v>273</v>
      </c>
      <c r="Y2693" s="23">
        <v>8.3692307692307697</v>
      </c>
      <c r="Z2693" s="23">
        <v>7.9</v>
      </c>
      <c r="AA2693" s="23">
        <v>8.1346153846153904</v>
      </c>
    </row>
    <row r="2694" spans="17:27" x14ac:dyDescent="0.3">
      <c r="Q2694" s="93">
        <v>46097</v>
      </c>
      <c r="R2694" t="s">
        <v>492</v>
      </c>
      <c r="S2694" t="s">
        <v>399</v>
      </c>
      <c r="T2694" s="14">
        <v>9500</v>
      </c>
      <c r="W2694" s="20">
        <v>46216</v>
      </c>
      <c r="X2694" t="s">
        <v>274</v>
      </c>
      <c r="Y2694" s="23">
        <v>8.3846153846153797</v>
      </c>
      <c r="Z2694" s="23">
        <v>7.9153846153846104</v>
      </c>
      <c r="AA2694" s="23">
        <v>8.15</v>
      </c>
    </row>
    <row r="2695" spans="17:27" x14ac:dyDescent="0.3">
      <c r="Q2695" s="93">
        <v>46097</v>
      </c>
      <c r="R2695" t="s">
        <v>496</v>
      </c>
      <c r="S2695" t="s">
        <v>399</v>
      </c>
      <c r="T2695" s="14">
        <v>13252.1291</v>
      </c>
      <c r="W2695" s="20">
        <v>46216</v>
      </c>
      <c r="X2695" t="s">
        <v>275</v>
      </c>
      <c r="Y2695" s="23">
        <v>8.4115384615384592</v>
      </c>
      <c r="Z2695" s="23">
        <v>7.9346153846153804</v>
      </c>
      <c r="AA2695" s="23">
        <v>8.1730769230769198</v>
      </c>
    </row>
    <row r="2696" spans="17:27" x14ac:dyDescent="0.3">
      <c r="Q2696" s="93">
        <v>46097</v>
      </c>
      <c r="R2696" t="s">
        <v>497</v>
      </c>
      <c r="S2696" t="s">
        <v>399</v>
      </c>
      <c r="T2696" s="14">
        <v>397.61059999999998</v>
      </c>
      <c r="W2696" s="20">
        <v>46216</v>
      </c>
      <c r="X2696" t="s">
        <v>276</v>
      </c>
      <c r="Y2696" s="23">
        <v>8.4269230769230692</v>
      </c>
      <c r="Z2696" s="23">
        <v>7.9423076923076898</v>
      </c>
      <c r="AA2696" s="23">
        <v>8.1846153846153804</v>
      </c>
    </row>
    <row r="2697" spans="17:27" x14ac:dyDescent="0.3">
      <c r="Q2697" s="93">
        <v>46097</v>
      </c>
      <c r="R2697" t="s">
        <v>498</v>
      </c>
      <c r="S2697" t="s">
        <v>399</v>
      </c>
      <c r="T2697" s="14">
        <v>9500</v>
      </c>
      <c r="W2697" s="20">
        <v>46216</v>
      </c>
      <c r="X2697" t="s">
        <v>277</v>
      </c>
      <c r="Y2697" s="23">
        <v>8.4846153846153793</v>
      </c>
      <c r="Z2697" s="23">
        <v>8</v>
      </c>
      <c r="AA2697" s="23">
        <v>8.2423076923076906</v>
      </c>
    </row>
    <row r="2698" spans="17:27" x14ac:dyDescent="0.3">
      <c r="Q2698" s="93">
        <v>46097</v>
      </c>
      <c r="R2698" t="s">
        <v>494</v>
      </c>
      <c r="S2698" t="s">
        <v>399</v>
      </c>
      <c r="T2698" s="14">
        <v>0</v>
      </c>
      <c r="W2698" s="20">
        <v>46216</v>
      </c>
      <c r="X2698" t="s">
        <v>278</v>
      </c>
      <c r="Y2698" s="23">
        <v>8.5</v>
      </c>
      <c r="Z2698" s="23">
        <v>8.0153846153846207</v>
      </c>
      <c r="AA2698" s="23">
        <v>8.2576923076923094</v>
      </c>
    </row>
    <row r="2699" spans="17:27" x14ac:dyDescent="0.3">
      <c r="Q2699" s="93">
        <v>46097</v>
      </c>
      <c r="R2699" t="s">
        <v>495</v>
      </c>
      <c r="S2699" t="s">
        <v>399</v>
      </c>
      <c r="T2699" s="14">
        <v>0</v>
      </c>
      <c r="W2699" s="20">
        <v>46216</v>
      </c>
      <c r="X2699" t="s">
        <v>279</v>
      </c>
      <c r="Y2699" s="23">
        <v>8.5384615384615401</v>
      </c>
      <c r="Z2699" s="23">
        <v>8.0538461538461501</v>
      </c>
      <c r="AA2699" s="23">
        <v>8.2961538461538495</v>
      </c>
    </row>
    <row r="2700" spans="17:27" x14ac:dyDescent="0.3">
      <c r="Q2700" s="93">
        <v>46097</v>
      </c>
      <c r="R2700" t="s">
        <v>493</v>
      </c>
      <c r="S2700" t="s">
        <v>399</v>
      </c>
      <c r="T2700" s="14">
        <v>0</v>
      </c>
      <c r="W2700" s="20">
        <v>46216</v>
      </c>
      <c r="X2700" t="s">
        <v>280</v>
      </c>
      <c r="Y2700" s="23">
        <v>8.5538461538461501</v>
      </c>
      <c r="Z2700" s="23">
        <v>8.0692307692307708</v>
      </c>
      <c r="AA2700" s="23">
        <v>8.3115384615384595</v>
      </c>
    </row>
    <row r="2701" spans="17:27" x14ac:dyDescent="0.3">
      <c r="Q2701" s="93">
        <v>46097</v>
      </c>
      <c r="R2701" t="s">
        <v>593</v>
      </c>
      <c r="S2701" t="s">
        <v>399</v>
      </c>
      <c r="T2701" s="14">
        <v>3932.5716000000002</v>
      </c>
      <c r="W2701" s="20">
        <v>46216</v>
      </c>
      <c r="X2701" t="s">
        <v>281</v>
      </c>
      <c r="Y2701" s="23">
        <v>8.5615384615384595</v>
      </c>
      <c r="Z2701" s="23">
        <v>8.0769230769230802</v>
      </c>
      <c r="AA2701" s="23">
        <v>8.3192307692307708</v>
      </c>
    </row>
    <row r="2702" spans="17:27" x14ac:dyDescent="0.3">
      <c r="Q2702" s="93">
        <v>46097</v>
      </c>
      <c r="R2702" t="s">
        <v>594</v>
      </c>
      <c r="S2702" t="s">
        <v>399</v>
      </c>
      <c r="T2702" s="14">
        <v>0</v>
      </c>
      <c r="W2702" s="20">
        <v>46223</v>
      </c>
      <c r="X2702" t="s">
        <v>270</v>
      </c>
      <c r="Y2702" s="23">
        <v>8.0142857142857196</v>
      </c>
      <c r="Z2702" s="23">
        <v>7.5857142857142899</v>
      </c>
      <c r="AA2702" s="23">
        <v>7.8</v>
      </c>
    </row>
    <row r="2703" spans="17:27" x14ac:dyDescent="0.3">
      <c r="Q2703" s="93">
        <v>46097</v>
      </c>
      <c r="R2703" t="s">
        <v>595</v>
      </c>
      <c r="S2703" t="s">
        <v>399</v>
      </c>
      <c r="T2703" s="14">
        <v>0</v>
      </c>
      <c r="W2703" s="20">
        <v>46223</v>
      </c>
      <c r="X2703" t="s">
        <v>271</v>
      </c>
      <c r="Y2703" s="23">
        <v>8.375</v>
      </c>
      <c r="Z2703" s="23">
        <v>7.9</v>
      </c>
      <c r="AA2703" s="23">
        <v>8.1374999999999993</v>
      </c>
    </row>
    <row r="2704" spans="17:27" x14ac:dyDescent="0.3">
      <c r="Q2704" s="93">
        <v>46097</v>
      </c>
      <c r="R2704" t="s">
        <v>479</v>
      </c>
      <c r="S2704" t="s">
        <v>395</v>
      </c>
      <c r="T2704" s="14">
        <v>10542.557391788199</v>
      </c>
      <c r="W2704" s="20">
        <v>46223</v>
      </c>
      <c r="X2704" t="s">
        <v>272</v>
      </c>
      <c r="Y2704" s="23">
        <v>8.2884615384615401</v>
      </c>
      <c r="Z2704" s="23">
        <v>7.8538461538461499</v>
      </c>
      <c r="AA2704" s="23">
        <v>8.0711538461538499</v>
      </c>
    </row>
    <row r="2705" spans="17:27" x14ac:dyDescent="0.3">
      <c r="Q2705" s="93">
        <v>46097</v>
      </c>
      <c r="R2705" t="s">
        <v>479</v>
      </c>
      <c r="S2705" t="s">
        <v>415</v>
      </c>
      <c r="T2705" s="14">
        <v>6.1047439242558204</v>
      </c>
      <c r="W2705" s="20">
        <v>46223</v>
      </c>
      <c r="X2705" t="s">
        <v>273</v>
      </c>
      <c r="Y2705" s="23">
        <v>8.3769230769230791</v>
      </c>
      <c r="Z2705" s="23">
        <v>7.9076923076923098</v>
      </c>
      <c r="AA2705" s="23">
        <v>8.1423076923076891</v>
      </c>
    </row>
    <row r="2706" spans="17:27" x14ac:dyDescent="0.3">
      <c r="Q2706" s="93">
        <v>46097</v>
      </c>
      <c r="R2706" t="s">
        <v>364</v>
      </c>
      <c r="S2706" t="s">
        <v>415</v>
      </c>
      <c r="T2706" s="14">
        <v>5.9103414317397096</v>
      </c>
      <c r="W2706" s="20">
        <v>46223</v>
      </c>
      <c r="X2706" t="s">
        <v>274</v>
      </c>
      <c r="Y2706" s="23">
        <v>8.3846153846153797</v>
      </c>
      <c r="Z2706" s="23">
        <v>7.9076923076923098</v>
      </c>
      <c r="AA2706" s="23">
        <v>8.1461538461538492</v>
      </c>
    </row>
    <row r="2707" spans="17:27" x14ac:dyDescent="0.3">
      <c r="Q2707" s="93">
        <v>46097</v>
      </c>
      <c r="R2707" t="s">
        <v>364</v>
      </c>
      <c r="S2707" t="s">
        <v>997</v>
      </c>
      <c r="T2707" s="14">
        <v>25084.700700000001</v>
      </c>
      <c r="W2707" s="20">
        <v>46223</v>
      </c>
      <c r="X2707" t="s">
        <v>275</v>
      </c>
      <c r="Y2707" s="23">
        <v>8.4115384615384592</v>
      </c>
      <c r="Z2707" s="23">
        <v>7.9269230769230798</v>
      </c>
      <c r="AA2707" s="23">
        <v>8.1692307692307704</v>
      </c>
    </row>
    <row r="2708" spans="17:27" x14ac:dyDescent="0.3">
      <c r="Q2708" s="93">
        <v>46097</v>
      </c>
      <c r="R2708" t="s">
        <v>496</v>
      </c>
      <c r="S2708" t="s">
        <v>997</v>
      </c>
      <c r="T2708" s="14">
        <v>21152.129099999998</v>
      </c>
      <c r="W2708" s="20">
        <v>46223</v>
      </c>
      <c r="X2708" t="s">
        <v>276</v>
      </c>
      <c r="Y2708" s="23">
        <v>8.4269230769230692</v>
      </c>
      <c r="Z2708" s="23">
        <v>7.9423076923076898</v>
      </c>
      <c r="AA2708" s="23">
        <v>8.1846153846153804</v>
      </c>
    </row>
    <row r="2709" spans="17:27" x14ac:dyDescent="0.3">
      <c r="Q2709" s="93">
        <v>46094</v>
      </c>
      <c r="R2709" t="s">
        <v>479</v>
      </c>
      <c r="S2709" t="s">
        <v>399</v>
      </c>
      <c r="T2709" s="14">
        <v>9897.6106</v>
      </c>
      <c r="W2709" s="20">
        <v>46223</v>
      </c>
      <c r="X2709" t="s">
        <v>277</v>
      </c>
      <c r="Y2709" s="23">
        <v>8.4846153846153793</v>
      </c>
      <c r="Z2709" s="23">
        <v>8</v>
      </c>
      <c r="AA2709" s="23">
        <v>8.2423076923076906</v>
      </c>
    </row>
    <row r="2710" spans="17:27" x14ac:dyDescent="0.3">
      <c r="Q2710" s="93">
        <v>46094</v>
      </c>
      <c r="R2710" t="s">
        <v>364</v>
      </c>
      <c r="S2710" t="s">
        <v>399</v>
      </c>
      <c r="T2710" s="14">
        <v>16784.4581</v>
      </c>
      <c r="W2710" s="20">
        <v>46223</v>
      </c>
      <c r="X2710" t="s">
        <v>278</v>
      </c>
      <c r="Y2710" s="23">
        <v>8.5</v>
      </c>
      <c r="Z2710" s="23">
        <v>8.0153846153846207</v>
      </c>
      <c r="AA2710" s="23">
        <v>8.2576923076923094</v>
      </c>
    </row>
    <row r="2711" spans="17:27" x14ac:dyDescent="0.3">
      <c r="Q2711" s="93">
        <v>46094</v>
      </c>
      <c r="R2711" t="s">
        <v>491</v>
      </c>
      <c r="S2711" t="s">
        <v>399</v>
      </c>
      <c r="T2711" s="14">
        <v>397.61059999999998</v>
      </c>
      <c r="W2711" s="20">
        <v>46223</v>
      </c>
      <c r="X2711" t="s">
        <v>279</v>
      </c>
      <c r="Y2711" s="23">
        <v>8.5384615384615401</v>
      </c>
      <c r="Z2711" s="23">
        <v>8.0538461538461501</v>
      </c>
      <c r="AA2711" s="23">
        <v>8.2961538461538495</v>
      </c>
    </row>
    <row r="2712" spans="17:27" x14ac:dyDescent="0.3">
      <c r="Q2712" s="93">
        <v>46094</v>
      </c>
      <c r="R2712" t="s">
        <v>492</v>
      </c>
      <c r="S2712" t="s">
        <v>399</v>
      </c>
      <c r="T2712" s="14">
        <v>9500</v>
      </c>
      <c r="W2712" s="20">
        <v>46223</v>
      </c>
      <c r="X2712" t="s">
        <v>280</v>
      </c>
      <c r="Y2712" s="23">
        <v>8.5538461538461501</v>
      </c>
      <c r="Z2712" s="23">
        <v>8.0692307692307708</v>
      </c>
      <c r="AA2712" s="23">
        <v>8.3115384615384595</v>
      </c>
    </row>
    <row r="2713" spans="17:27" x14ac:dyDescent="0.3">
      <c r="Q2713" s="93">
        <v>46094</v>
      </c>
      <c r="R2713" t="s">
        <v>496</v>
      </c>
      <c r="S2713" t="s">
        <v>399</v>
      </c>
      <c r="T2713" s="14">
        <v>12952.1291</v>
      </c>
      <c r="W2713" s="20">
        <v>46223</v>
      </c>
      <c r="X2713" t="s">
        <v>281</v>
      </c>
      <c r="Y2713" s="23">
        <v>8.5615384615384595</v>
      </c>
      <c r="Z2713" s="23">
        <v>8.0769230769230802</v>
      </c>
      <c r="AA2713" s="23">
        <v>8.3192307692307708</v>
      </c>
    </row>
    <row r="2714" spans="17:27" x14ac:dyDescent="0.3">
      <c r="Q2714" s="93">
        <v>46094</v>
      </c>
      <c r="R2714" t="s">
        <v>497</v>
      </c>
      <c r="S2714" t="s">
        <v>399</v>
      </c>
      <c r="T2714" s="14">
        <v>397.61059999999998</v>
      </c>
      <c r="W2714" s="20">
        <v>46224</v>
      </c>
      <c r="X2714" t="s">
        <v>270</v>
      </c>
      <c r="Y2714" s="23">
        <v>8.0142857142857196</v>
      </c>
      <c r="Z2714" s="23">
        <v>7.5857142857142899</v>
      </c>
      <c r="AA2714" s="23">
        <v>7.8</v>
      </c>
    </row>
    <row r="2715" spans="17:27" x14ac:dyDescent="0.3">
      <c r="Q2715" s="93">
        <v>46094</v>
      </c>
      <c r="R2715" t="s">
        <v>498</v>
      </c>
      <c r="S2715" t="s">
        <v>399</v>
      </c>
      <c r="T2715" s="14">
        <v>9500</v>
      </c>
      <c r="W2715" s="20">
        <v>46224</v>
      </c>
      <c r="X2715" t="s">
        <v>271</v>
      </c>
      <c r="Y2715" s="23">
        <v>8.375</v>
      </c>
      <c r="Z2715" s="23">
        <v>7.9</v>
      </c>
      <c r="AA2715" s="23">
        <v>8.1374999999999993</v>
      </c>
    </row>
    <row r="2716" spans="17:27" x14ac:dyDescent="0.3">
      <c r="Q2716" s="93">
        <v>46094</v>
      </c>
      <c r="R2716" t="s">
        <v>494</v>
      </c>
      <c r="S2716" t="s">
        <v>399</v>
      </c>
      <c r="T2716" s="14">
        <v>0</v>
      </c>
      <c r="W2716" s="20">
        <v>46224</v>
      </c>
      <c r="X2716" t="s">
        <v>272</v>
      </c>
      <c r="Y2716" s="23">
        <v>8.2884615384615401</v>
      </c>
      <c r="Z2716" s="23">
        <v>7.8538461538461499</v>
      </c>
      <c r="AA2716" s="23">
        <v>8.0711538461538499</v>
      </c>
    </row>
    <row r="2717" spans="17:27" x14ac:dyDescent="0.3">
      <c r="Q2717" s="93">
        <v>46094</v>
      </c>
      <c r="R2717" t="s">
        <v>495</v>
      </c>
      <c r="S2717" t="s">
        <v>399</v>
      </c>
      <c r="T2717" s="14">
        <v>0</v>
      </c>
      <c r="W2717" s="20">
        <v>46224</v>
      </c>
      <c r="X2717" t="s">
        <v>273</v>
      </c>
      <c r="Y2717" s="23">
        <v>8.3769230769230791</v>
      </c>
      <c r="Z2717" s="23">
        <v>7.9076923076923098</v>
      </c>
      <c r="AA2717" s="23">
        <v>8.1423076923076891</v>
      </c>
    </row>
    <row r="2718" spans="17:27" x14ac:dyDescent="0.3">
      <c r="Q2718" s="93">
        <v>46094</v>
      </c>
      <c r="R2718" t="s">
        <v>493</v>
      </c>
      <c r="S2718" t="s">
        <v>399</v>
      </c>
      <c r="T2718" s="14">
        <v>0</v>
      </c>
      <c r="W2718" s="20">
        <v>46224</v>
      </c>
      <c r="X2718" t="s">
        <v>274</v>
      </c>
      <c r="Y2718" s="23">
        <v>8.3846153846153797</v>
      </c>
      <c r="Z2718" s="23">
        <v>7.9076923076923098</v>
      </c>
      <c r="AA2718" s="23">
        <v>8.1461538461538492</v>
      </c>
    </row>
    <row r="2719" spans="17:27" x14ac:dyDescent="0.3">
      <c r="Q2719" s="93">
        <v>46094</v>
      </c>
      <c r="R2719" t="s">
        <v>593</v>
      </c>
      <c r="S2719" t="s">
        <v>399</v>
      </c>
      <c r="T2719" s="14">
        <v>3832.3290000000002</v>
      </c>
      <c r="W2719" s="20">
        <v>46224</v>
      </c>
      <c r="X2719" t="s">
        <v>275</v>
      </c>
      <c r="Y2719" s="23">
        <v>8.4115384615384592</v>
      </c>
      <c r="Z2719" s="23">
        <v>7.9269230769230798</v>
      </c>
      <c r="AA2719" s="23">
        <v>8.1692307692307704</v>
      </c>
    </row>
    <row r="2720" spans="17:27" x14ac:dyDescent="0.3">
      <c r="Q2720" s="93">
        <v>46094</v>
      </c>
      <c r="R2720" t="s">
        <v>594</v>
      </c>
      <c r="S2720" t="s">
        <v>399</v>
      </c>
      <c r="T2720" s="14">
        <v>0</v>
      </c>
      <c r="W2720" s="20">
        <v>46224</v>
      </c>
      <c r="X2720" t="s">
        <v>276</v>
      </c>
      <c r="Y2720" s="23">
        <v>8.4269230769230692</v>
      </c>
      <c r="Z2720" s="23">
        <v>7.9423076923076898</v>
      </c>
      <c r="AA2720" s="23">
        <v>8.1846153846153804</v>
      </c>
    </row>
    <row r="2721" spans="17:27" x14ac:dyDescent="0.3">
      <c r="Q2721" s="93">
        <v>46094</v>
      </c>
      <c r="R2721" t="s">
        <v>595</v>
      </c>
      <c r="S2721" t="s">
        <v>399</v>
      </c>
      <c r="T2721" s="14">
        <v>0</v>
      </c>
      <c r="W2721" s="20">
        <v>46224</v>
      </c>
      <c r="X2721" t="s">
        <v>277</v>
      </c>
      <c r="Y2721" s="23">
        <v>8.4846153846153793</v>
      </c>
      <c r="Z2721" s="23">
        <v>8</v>
      </c>
      <c r="AA2721" s="23">
        <v>8.2423076923076906</v>
      </c>
    </row>
    <row r="2722" spans="17:27" x14ac:dyDescent="0.3">
      <c r="Q2722" s="93">
        <v>46094</v>
      </c>
      <c r="R2722" t="s">
        <v>479</v>
      </c>
      <c r="S2722" t="s">
        <v>395</v>
      </c>
      <c r="T2722" s="14">
        <v>10544.607690655401</v>
      </c>
      <c r="W2722" s="20">
        <v>46224</v>
      </c>
      <c r="X2722" t="s">
        <v>278</v>
      </c>
      <c r="Y2722" s="23">
        <v>8.5</v>
      </c>
      <c r="Z2722" s="23">
        <v>8.0153846153846207</v>
      </c>
      <c r="AA2722" s="23">
        <v>8.2576923076923094</v>
      </c>
    </row>
    <row r="2723" spans="17:27" x14ac:dyDescent="0.3">
      <c r="Q2723" s="93">
        <v>46094</v>
      </c>
      <c r="R2723" t="s">
        <v>479</v>
      </c>
      <c r="S2723" t="s">
        <v>415</v>
      </c>
      <c r="T2723" s="14">
        <v>6.1047439242558204</v>
      </c>
      <c r="W2723" s="20">
        <v>46224</v>
      </c>
      <c r="X2723" t="s">
        <v>279</v>
      </c>
      <c r="Y2723" s="23">
        <v>8.5384615384615401</v>
      </c>
      <c r="Z2723" s="23">
        <v>8.0538461538461501</v>
      </c>
      <c r="AA2723" s="23">
        <v>8.2961538461538495</v>
      </c>
    </row>
    <row r="2724" spans="17:27" x14ac:dyDescent="0.3">
      <c r="Q2724" s="93">
        <v>46094</v>
      </c>
      <c r="R2724" t="s">
        <v>364</v>
      </c>
      <c r="S2724" t="s">
        <v>415</v>
      </c>
      <c r="T2724" s="14">
        <v>5.8858038419310299</v>
      </c>
      <c r="W2724" s="20">
        <v>46224</v>
      </c>
      <c r="X2724" t="s">
        <v>280</v>
      </c>
      <c r="Y2724" s="23">
        <v>8.5538461538461501</v>
      </c>
      <c r="Z2724" s="23">
        <v>8.0692307692307708</v>
      </c>
      <c r="AA2724" s="23">
        <v>8.3115384615384595</v>
      </c>
    </row>
    <row r="2725" spans="17:27" x14ac:dyDescent="0.3">
      <c r="Q2725" s="93">
        <v>46094</v>
      </c>
      <c r="R2725" t="s">
        <v>364</v>
      </c>
      <c r="S2725" t="s">
        <v>997</v>
      </c>
      <c r="T2725" s="14">
        <v>24184.4581</v>
      </c>
      <c r="W2725" s="20">
        <v>46224</v>
      </c>
      <c r="X2725" t="s">
        <v>281</v>
      </c>
      <c r="Y2725" s="23">
        <v>8.5615384615384595</v>
      </c>
      <c r="Z2725" s="23">
        <v>8.0769230769230802</v>
      </c>
      <c r="AA2725" s="23">
        <v>8.3192307692307708</v>
      </c>
    </row>
    <row r="2726" spans="17:27" x14ac:dyDescent="0.3">
      <c r="Q2726" s="93">
        <v>46094</v>
      </c>
      <c r="R2726" t="s">
        <v>496</v>
      </c>
      <c r="S2726" t="s">
        <v>997</v>
      </c>
      <c r="T2726" s="14">
        <v>20352.129099999998</v>
      </c>
      <c r="W2726" s="20">
        <v>46225</v>
      </c>
      <c r="X2726" t="s">
        <v>270</v>
      </c>
      <c r="Y2726" s="23">
        <v>8</v>
      </c>
      <c r="Z2726" s="23">
        <v>7.5714285714285703</v>
      </c>
      <c r="AA2726" s="23">
        <v>7.78571428571429</v>
      </c>
    </row>
    <row r="2727" spans="17:27" x14ac:dyDescent="0.3">
      <c r="Q2727" s="93">
        <v>46093</v>
      </c>
      <c r="R2727" t="s">
        <v>479</v>
      </c>
      <c r="S2727" t="s">
        <v>399</v>
      </c>
      <c r="T2727" s="14">
        <v>9897.6106</v>
      </c>
      <c r="W2727" s="20">
        <v>46225</v>
      </c>
      <c r="X2727" t="s">
        <v>271</v>
      </c>
      <c r="Y2727" s="23">
        <v>8.35</v>
      </c>
      <c r="Z2727" s="23">
        <v>7.875</v>
      </c>
      <c r="AA2727" s="23">
        <v>8.1125000000000007</v>
      </c>
    </row>
    <row r="2728" spans="17:27" x14ac:dyDescent="0.3">
      <c r="Q2728" s="93">
        <v>46093</v>
      </c>
      <c r="R2728" t="s">
        <v>364</v>
      </c>
      <c r="S2728" t="s">
        <v>399</v>
      </c>
      <c r="T2728" s="14">
        <v>16284.4581</v>
      </c>
      <c r="W2728" s="20">
        <v>46225</v>
      </c>
      <c r="X2728" t="s">
        <v>272</v>
      </c>
      <c r="Y2728" s="23">
        <v>8.2807692307692307</v>
      </c>
      <c r="Z2728" s="23">
        <v>7.8461538461538396</v>
      </c>
      <c r="AA2728" s="23">
        <v>8.0634615384615405</v>
      </c>
    </row>
    <row r="2729" spans="17:27" x14ac:dyDescent="0.3">
      <c r="Q2729" s="93">
        <v>46093</v>
      </c>
      <c r="R2729" t="s">
        <v>491</v>
      </c>
      <c r="S2729" t="s">
        <v>399</v>
      </c>
      <c r="T2729" s="14">
        <v>397.61059999999998</v>
      </c>
      <c r="W2729" s="20">
        <v>46225</v>
      </c>
      <c r="X2729" t="s">
        <v>273</v>
      </c>
      <c r="Y2729" s="23">
        <v>8.3692307692307697</v>
      </c>
      <c r="Z2729" s="23">
        <v>7.9</v>
      </c>
      <c r="AA2729" s="23">
        <v>8.1346153846153904</v>
      </c>
    </row>
    <row r="2730" spans="17:27" x14ac:dyDescent="0.3">
      <c r="Q2730" s="93">
        <v>46093</v>
      </c>
      <c r="R2730" t="s">
        <v>492</v>
      </c>
      <c r="S2730" t="s">
        <v>399</v>
      </c>
      <c r="T2730" s="14">
        <v>9500</v>
      </c>
      <c r="W2730" s="20">
        <v>46225</v>
      </c>
      <c r="X2730" t="s">
        <v>274</v>
      </c>
      <c r="Y2730" s="23">
        <v>8.3846153846153797</v>
      </c>
      <c r="Z2730" s="23">
        <v>7.9076923076923098</v>
      </c>
      <c r="AA2730" s="23">
        <v>8.1461538461538492</v>
      </c>
    </row>
    <row r="2731" spans="17:27" x14ac:dyDescent="0.3">
      <c r="Q2731" s="93">
        <v>46093</v>
      </c>
      <c r="R2731" t="s">
        <v>496</v>
      </c>
      <c r="S2731" t="s">
        <v>399</v>
      </c>
      <c r="T2731" s="14">
        <v>18021.329099999999</v>
      </c>
      <c r="W2731" s="20">
        <v>46225</v>
      </c>
      <c r="X2731" t="s">
        <v>275</v>
      </c>
      <c r="Y2731" s="23">
        <v>8.4115384615384592</v>
      </c>
      <c r="Z2731" s="23">
        <v>7.9269230769230798</v>
      </c>
      <c r="AA2731" s="23">
        <v>8.1692307692307704</v>
      </c>
    </row>
    <row r="2732" spans="17:27" x14ac:dyDescent="0.3">
      <c r="Q2732" s="93">
        <v>46093</v>
      </c>
      <c r="R2732" t="s">
        <v>497</v>
      </c>
      <c r="S2732" t="s">
        <v>399</v>
      </c>
      <c r="T2732" s="14">
        <v>397.61059999999998</v>
      </c>
      <c r="W2732" s="20">
        <v>46225</v>
      </c>
      <c r="X2732" t="s">
        <v>276</v>
      </c>
      <c r="Y2732" s="23">
        <v>8.4269230769230692</v>
      </c>
      <c r="Z2732" s="23">
        <v>7.9423076923076898</v>
      </c>
      <c r="AA2732" s="23">
        <v>8.1846153846153804</v>
      </c>
    </row>
    <row r="2733" spans="17:27" x14ac:dyDescent="0.3">
      <c r="Q2733" s="93">
        <v>46093</v>
      </c>
      <c r="R2733" t="s">
        <v>498</v>
      </c>
      <c r="S2733" t="s">
        <v>399</v>
      </c>
      <c r="T2733" s="14">
        <v>9500</v>
      </c>
      <c r="W2733" s="20">
        <v>46225</v>
      </c>
      <c r="X2733" t="s">
        <v>277</v>
      </c>
      <c r="Y2733" s="23">
        <v>8.4846153846153793</v>
      </c>
      <c r="Z2733" s="23">
        <v>8</v>
      </c>
      <c r="AA2733" s="23">
        <v>8.2423076923076906</v>
      </c>
    </row>
    <row r="2734" spans="17:27" x14ac:dyDescent="0.3">
      <c r="Q2734" s="93">
        <v>46093</v>
      </c>
      <c r="R2734" t="s">
        <v>494</v>
      </c>
      <c r="S2734" t="s">
        <v>399</v>
      </c>
      <c r="T2734" s="14">
        <v>0</v>
      </c>
      <c r="W2734" s="20">
        <v>46225</v>
      </c>
      <c r="X2734" t="s">
        <v>278</v>
      </c>
      <c r="Y2734" s="23">
        <v>8.5</v>
      </c>
      <c r="Z2734" s="23">
        <v>8.0153846153846207</v>
      </c>
      <c r="AA2734" s="23">
        <v>8.2576923076923094</v>
      </c>
    </row>
    <row r="2735" spans="17:27" x14ac:dyDescent="0.3">
      <c r="Q2735" s="93">
        <v>46093</v>
      </c>
      <c r="R2735" t="s">
        <v>495</v>
      </c>
      <c r="S2735" t="s">
        <v>399</v>
      </c>
      <c r="T2735" s="14">
        <v>0</v>
      </c>
      <c r="W2735" s="20">
        <v>46225</v>
      </c>
      <c r="X2735" t="s">
        <v>279</v>
      </c>
      <c r="Y2735" s="23">
        <v>8.5384615384615401</v>
      </c>
      <c r="Z2735" s="23">
        <v>8.0538461538461501</v>
      </c>
      <c r="AA2735" s="23">
        <v>8.2961538461538495</v>
      </c>
    </row>
    <row r="2736" spans="17:27" x14ac:dyDescent="0.3">
      <c r="Q2736" s="93">
        <v>46093</v>
      </c>
      <c r="R2736" t="s">
        <v>493</v>
      </c>
      <c r="S2736" t="s">
        <v>399</v>
      </c>
      <c r="T2736" s="14">
        <v>0</v>
      </c>
      <c r="W2736" s="20">
        <v>46225</v>
      </c>
      <c r="X2736" t="s">
        <v>280</v>
      </c>
      <c r="Y2736" s="23">
        <v>8.5538461538461501</v>
      </c>
      <c r="Z2736" s="23">
        <v>8.0692307692307708</v>
      </c>
      <c r="AA2736" s="23">
        <v>8.3115384615384595</v>
      </c>
    </row>
    <row r="2737" spans="17:27" x14ac:dyDescent="0.3">
      <c r="Q2737" s="93">
        <v>46093</v>
      </c>
      <c r="R2737" t="s">
        <v>593</v>
      </c>
      <c r="S2737" t="s">
        <v>399</v>
      </c>
      <c r="T2737" s="14">
        <v>-1736.8710000000001</v>
      </c>
      <c r="W2737" s="20">
        <v>46225</v>
      </c>
      <c r="X2737" t="s">
        <v>281</v>
      </c>
      <c r="Y2737" s="23">
        <v>8.5615384615384595</v>
      </c>
      <c r="Z2737" s="23">
        <v>8.0769230769230802</v>
      </c>
      <c r="AA2737" s="23">
        <v>8.3192307692307708</v>
      </c>
    </row>
    <row r="2738" spans="17:27" x14ac:dyDescent="0.3">
      <c r="Q2738" s="93">
        <v>46093</v>
      </c>
      <c r="R2738" t="s">
        <v>594</v>
      </c>
      <c r="S2738" t="s">
        <v>399</v>
      </c>
      <c r="T2738" s="14">
        <v>0</v>
      </c>
      <c r="W2738" s="20">
        <v>46226</v>
      </c>
      <c r="X2738" t="s">
        <v>270</v>
      </c>
      <c r="Y2738" s="23">
        <v>7.9857142857142902</v>
      </c>
      <c r="Z2738" s="23">
        <v>7.5571428571428596</v>
      </c>
      <c r="AA2738" s="23">
        <v>7.7714285714285696</v>
      </c>
    </row>
    <row r="2739" spans="17:27" x14ac:dyDescent="0.3">
      <c r="Q2739" s="93">
        <v>46093</v>
      </c>
      <c r="R2739" t="s">
        <v>595</v>
      </c>
      <c r="S2739" t="s">
        <v>399</v>
      </c>
      <c r="T2739" s="14">
        <v>0</v>
      </c>
      <c r="W2739" s="20">
        <v>46226</v>
      </c>
      <c r="X2739" t="s">
        <v>271</v>
      </c>
      <c r="Y2739" s="23">
        <v>8.35</v>
      </c>
      <c r="Z2739" s="23">
        <v>7.875</v>
      </c>
      <c r="AA2739" s="23">
        <v>8.1125000000000007</v>
      </c>
    </row>
    <row r="2740" spans="17:27" x14ac:dyDescent="0.3">
      <c r="Q2740" s="93">
        <v>46093</v>
      </c>
      <c r="R2740" t="s">
        <v>479</v>
      </c>
      <c r="S2740" t="s">
        <v>395</v>
      </c>
      <c r="T2740" s="14">
        <v>10550.4097590533</v>
      </c>
      <c r="W2740" s="20">
        <v>46226</v>
      </c>
      <c r="X2740" t="s">
        <v>272</v>
      </c>
      <c r="Y2740" s="23">
        <v>8.2884615384615401</v>
      </c>
      <c r="Z2740" s="23">
        <v>7.8538461538461499</v>
      </c>
      <c r="AA2740" s="23">
        <v>8.0711538461538499</v>
      </c>
    </row>
    <row r="2741" spans="17:27" x14ac:dyDescent="0.3">
      <c r="Q2741" s="93">
        <v>46093</v>
      </c>
      <c r="R2741" t="s">
        <v>479</v>
      </c>
      <c r="S2741" t="s">
        <v>415</v>
      </c>
      <c r="T2741" s="14">
        <v>6.1047439242558204</v>
      </c>
      <c r="W2741" s="20">
        <v>46226</v>
      </c>
      <c r="X2741" t="s">
        <v>273</v>
      </c>
      <c r="Y2741" s="23">
        <v>8.3769230769230791</v>
      </c>
      <c r="Z2741" s="23">
        <v>7.9076923076923098</v>
      </c>
      <c r="AA2741" s="23">
        <v>8.1423076923076891</v>
      </c>
    </row>
    <row r="2742" spans="17:27" x14ac:dyDescent="0.3">
      <c r="Q2742" s="93">
        <v>46093</v>
      </c>
      <c r="R2742" t="s">
        <v>364</v>
      </c>
      <c r="S2742" t="s">
        <v>415</v>
      </c>
      <c r="T2742" s="14">
        <v>5.8580599908258</v>
      </c>
      <c r="W2742" s="20">
        <v>46226</v>
      </c>
      <c r="X2742" t="s">
        <v>274</v>
      </c>
      <c r="Y2742" s="23">
        <v>8.3846153846153797</v>
      </c>
      <c r="Z2742" s="23">
        <v>7.9076923076923098</v>
      </c>
      <c r="AA2742" s="23">
        <v>8.1461538461538492</v>
      </c>
    </row>
    <row r="2743" spans="17:27" x14ac:dyDescent="0.3">
      <c r="Q2743" s="93">
        <v>46093</v>
      </c>
      <c r="R2743" t="s">
        <v>364</v>
      </c>
      <c r="S2743" t="s">
        <v>997</v>
      </c>
      <c r="T2743" s="14">
        <v>23684.4581</v>
      </c>
      <c r="W2743" s="20">
        <v>46226</v>
      </c>
      <c r="X2743" t="s">
        <v>275</v>
      </c>
      <c r="Y2743" s="23">
        <v>8.4115384615384592</v>
      </c>
      <c r="Z2743" s="23">
        <v>7.9269230769230798</v>
      </c>
      <c r="AA2743" s="23">
        <v>8.1692307692307704</v>
      </c>
    </row>
    <row r="2744" spans="17:27" x14ac:dyDescent="0.3">
      <c r="Q2744" s="93">
        <v>46093</v>
      </c>
      <c r="R2744" t="s">
        <v>496</v>
      </c>
      <c r="S2744" t="s">
        <v>997</v>
      </c>
      <c r="T2744" s="14">
        <v>25421.329099999999</v>
      </c>
      <c r="W2744" s="20">
        <v>46226</v>
      </c>
      <c r="X2744" t="s">
        <v>276</v>
      </c>
      <c r="Y2744" s="23">
        <v>8.4269230769230692</v>
      </c>
      <c r="Z2744" s="23">
        <v>7.9423076923076898</v>
      </c>
      <c r="AA2744" s="23">
        <v>8.1846153846153804</v>
      </c>
    </row>
    <row r="2745" spans="17:27" x14ac:dyDescent="0.3">
      <c r="Q2745" s="93">
        <v>46092</v>
      </c>
      <c r="R2745" t="s">
        <v>479</v>
      </c>
      <c r="S2745" t="s">
        <v>399</v>
      </c>
      <c r="T2745" s="14">
        <v>9897.6106</v>
      </c>
      <c r="W2745" s="20">
        <v>46226</v>
      </c>
      <c r="X2745" t="s">
        <v>277</v>
      </c>
      <c r="Y2745" s="23">
        <v>8.4846153846153793</v>
      </c>
      <c r="Z2745" s="23">
        <v>8</v>
      </c>
      <c r="AA2745" s="23">
        <v>8.2423076923076906</v>
      </c>
    </row>
    <row r="2746" spans="17:27" x14ac:dyDescent="0.3">
      <c r="Q2746" s="93">
        <v>46092</v>
      </c>
      <c r="R2746" t="s">
        <v>364</v>
      </c>
      <c r="S2746" t="s">
        <v>399</v>
      </c>
      <c r="T2746" s="14">
        <v>17353.658100000001</v>
      </c>
      <c r="W2746" s="20">
        <v>46226</v>
      </c>
      <c r="X2746" t="s">
        <v>278</v>
      </c>
      <c r="Y2746" s="23">
        <v>8.5</v>
      </c>
      <c r="Z2746" s="23">
        <v>8.0153846153846207</v>
      </c>
      <c r="AA2746" s="23">
        <v>8.2576923076923094</v>
      </c>
    </row>
    <row r="2747" spans="17:27" x14ac:dyDescent="0.3">
      <c r="Q2747" s="93">
        <v>46092</v>
      </c>
      <c r="R2747" t="s">
        <v>491</v>
      </c>
      <c r="S2747" t="s">
        <v>399</v>
      </c>
      <c r="T2747" s="14">
        <v>397.61059999999998</v>
      </c>
      <c r="W2747" s="20">
        <v>46226</v>
      </c>
      <c r="X2747" t="s">
        <v>279</v>
      </c>
      <c r="Y2747" s="23">
        <v>8.5384615384615401</v>
      </c>
      <c r="Z2747" s="23">
        <v>8.0538461538461501</v>
      </c>
      <c r="AA2747" s="23">
        <v>8.2961538461538495</v>
      </c>
    </row>
    <row r="2748" spans="17:27" x14ac:dyDescent="0.3">
      <c r="Q2748" s="93">
        <v>46092</v>
      </c>
      <c r="R2748" t="s">
        <v>492</v>
      </c>
      <c r="S2748" t="s">
        <v>399</v>
      </c>
      <c r="T2748" s="14">
        <v>9500</v>
      </c>
      <c r="W2748" s="20">
        <v>46226</v>
      </c>
      <c r="X2748" t="s">
        <v>280</v>
      </c>
      <c r="Y2748" s="23">
        <v>8.5538461538461501</v>
      </c>
      <c r="Z2748" s="23">
        <v>8.0692307692307708</v>
      </c>
      <c r="AA2748" s="23">
        <v>8.3115384615384595</v>
      </c>
    </row>
    <row r="2749" spans="17:27" x14ac:dyDescent="0.3">
      <c r="Q2749" s="93">
        <v>46092</v>
      </c>
      <c r="R2749" t="s">
        <v>496</v>
      </c>
      <c r="S2749" t="s">
        <v>399</v>
      </c>
      <c r="T2749" s="14">
        <v>20053.658100000001</v>
      </c>
      <c r="W2749" s="20">
        <v>46226</v>
      </c>
      <c r="X2749" t="s">
        <v>281</v>
      </c>
      <c r="Y2749" s="23">
        <v>8.5615384615384595</v>
      </c>
      <c r="Z2749" s="23">
        <v>8.0769230769230802</v>
      </c>
      <c r="AA2749" s="23">
        <v>8.3192307692307708</v>
      </c>
    </row>
    <row r="2750" spans="17:27" x14ac:dyDescent="0.3">
      <c r="Q2750" s="93">
        <v>46092</v>
      </c>
      <c r="R2750" t="s">
        <v>497</v>
      </c>
      <c r="S2750" t="s">
        <v>399</v>
      </c>
      <c r="T2750" s="14">
        <v>397.61059999999998</v>
      </c>
      <c r="W2750" s="20">
        <v>46227</v>
      </c>
      <c r="X2750" t="s">
        <v>270</v>
      </c>
      <c r="Y2750" s="23">
        <v>7.9749999999999996</v>
      </c>
      <c r="Z2750" s="23">
        <v>7.5374999999999996</v>
      </c>
      <c r="AA2750" s="23">
        <v>7.7562499999999996</v>
      </c>
    </row>
    <row r="2751" spans="17:27" x14ac:dyDescent="0.3">
      <c r="Q2751" s="93">
        <v>46092</v>
      </c>
      <c r="R2751" t="s">
        <v>498</v>
      </c>
      <c r="S2751" t="s">
        <v>399</v>
      </c>
      <c r="T2751" s="14">
        <v>9500</v>
      </c>
      <c r="W2751" s="20">
        <v>46227</v>
      </c>
      <c r="X2751" t="s">
        <v>271</v>
      </c>
      <c r="Y2751" s="23">
        <v>8.4666666666666703</v>
      </c>
      <c r="Z2751" s="23">
        <v>8</v>
      </c>
      <c r="AA2751" s="23">
        <v>8.2333333333333307</v>
      </c>
    </row>
    <row r="2752" spans="17:27" x14ac:dyDescent="0.3">
      <c r="Q2752" s="93">
        <v>46092</v>
      </c>
      <c r="R2752" t="s">
        <v>494</v>
      </c>
      <c r="S2752" t="s">
        <v>399</v>
      </c>
      <c r="T2752" s="14">
        <v>0</v>
      </c>
      <c r="W2752" s="20">
        <v>46227</v>
      </c>
      <c r="X2752" t="s">
        <v>272</v>
      </c>
      <c r="Y2752" s="23">
        <v>8.2884615384615401</v>
      </c>
      <c r="Z2752" s="23">
        <v>7.8538461538461499</v>
      </c>
      <c r="AA2752" s="23">
        <v>8.0711538461538499</v>
      </c>
    </row>
    <row r="2753" spans="17:27" x14ac:dyDescent="0.3">
      <c r="Q2753" s="93">
        <v>46092</v>
      </c>
      <c r="R2753" t="s">
        <v>495</v>
      </c>
      <c r="S2753" t="s">
        <v>399</v>
      </c>
      <c r="T2753" s="14">
        <v>0</v>
      </c>
      <c r="W2753" s="20">
        <v>46227</v>
      </c>
      <c r="X2753" t="s">
        <v>273</v>
      </c>
      <c r="Y2753" s="23">
        <v>8.3769230769230791</v>
      </c>
      <c r="Z2753" s="23">
        <v>7.9076923076923098</v>
      </c>
      <c r="AA2753" s="23">
        <v>8.1423076923076891</v>
      </c>
    </row>
    <row r="2754" spans="17:27" x14ac:dyDescent="0.3">
      <c r="Q2754" s="93">
        <v>46092</v>
      </c>
      <c r="R2754" t="s">
        <v>493</v>
      </c>
      <c r="S2754" t="s">
        <v>399</v>
      </c>
      <c r="T2754" s="14">
        <v>0</v>
      </c>
      <c r="W2754" s="20">
        <v>46227</v>
      </c>
      <c r="X2754" t="s">
        <v>274</v>
      </c>
      <c r="Y2754" s="23">
        <v>8.3846153846153797</v>
      </c>
      <c r="Z2754" s="23">
        <v>7.9076923076923098</v>
      </c>
      <c r="AA2754" s="23">
        <v>8.1461538461538492</v>
      </c>
    </row>
    <row r="2755" spans="17:27" x14ac:dyDescent="0.3">
      <c r="Q2755" s="93">
        <v>46092</v>
      </c>
      <c r="R2755" t="s">
        <v>593</v>
      </c>
      <c r="S2755" t="s">
        <v>399</v>
      </c>
      <c r="T2755" s="14">
        <v>-2700</v>
      </c>
      <c r="W2755" s="20">
        <v>46227</v>
      </c>
      <c r="X2755" t="s">
        <v>275</v>
      </c>
      <c r="Y2755" s="23">
        <v>8.4115384615384592</v>
      </c>
      <c r="Z2755" s="23">
        <v>7.9269230769230798</v>
      </c>
      <c r="AA2755" s="23">
        <v>8.1692307692307704</v>
      </c>
    </row>
    <row r="2756" spans="17:27" x14ac:dyDescent="0.3">
      <c r="Q2756" s="93">
        <v>46092</v>
      </c>
      <c r="R2756" t="s">
        <v>594</v>
      </c>
      <c r="S2756" t="s">
        <v>399</v>
      </c>
      <c r="T2756" s="14">
        <v>0</v>
      </c>
      <c r="W2756" s="20">
        <v>46227</v>
      </c>
      <c r="X2756" t="s">
        <v>276</v>
      </c>
      <c r="Y2756" s="23">
        <v>8.4269230769230692</v>
      </c>
      <c r="Z2756" s="23">
        <v>7.9423076923076898</v>
      </c>
      <c r="AA2756" s="23">
        <v>8.1846153846153804</v>
      </c>
    </row>
    <row r="2757" spans="17:27" x14ac:dyDescent="0.3">
      <c r="Q2757" s="93">
        <v>46092</v>
      </c>
      <c r="R2757" t="s">
        <v>595</v>
      </c>
      <c r="S2757" t="s">
        <v>399</v>
      </c>
      <c r="T2757" s="14">
        <v>0</v>
      </c>
      <c r="W2757" s="20">
        <v>46227</v>
      </c>
      <c r="X2757" t="s">
        <v>277</v>
      </c>
      <c r="Y2757" s="23">
        <v>8.4846153846153793</v>
      </c>
      <c r="Z2757" s="23">
        <v>8</v>
      </c>
      <c r="AA2757" s="23">
        <v>8.2423076923076906</v>
      </c>
    </row>
    <row r="2758" spans="17:27" x14ac:dyDescent="0.3">
      <c r="Q2758" s="93">
        <v>46092</v>
      </c>
      <c r="R2758" t="s">
        <v>479</v>
      </c>
      <c r="S2758" t="s">
        <v>395</v>
      </c>
      <c r="T2758" s="14">
        <v>10570.633732173301</v>
      </c>
      <c r="W2758" s="20">
        <v>46227</v>
      </c>
      <c r="X2758" t="s">
        <v>278</v>
      </c>
      <c r="Y2758" s="23">
        <v>8.5</v>
      </c>
      <c r="Z2758" s="23">
        <v>8.0153846153846207</v>
      </c>
      <c r="AA2758" s="23">
        <v>8.2576923076923094</v>
      </c>
    </row>
    <row r="2759" spans="17:27" x14ac:dyDescent="0.3">
      <c r="Q2759" s="93">
        <v>46092</v>
      </c>
      <c r="R2759" t="s">
        <v>479</v>
      </c>
      <c r="S2759" t="s">
        <v>415</v>
      </c>
      <c r="T2759" s="14">
        <v>6.1047439242558204</v>
      </c>
      <c r="W2759" s="20">
        <v>46227</v>
      </c>
      <c r="X2759" t="s">
        <v>279</v>
      </c>
      <c r="Y2759" s="23">
        <v>8.5384615384615401</v>
      </c>
      <c r="Z2759" s="23">
        <v>8.0538461538461501</v>
      </c>
      <c r="AA2759" s="23">
        <v>8.2961538461538495</v>
      </c>
    </row>
    <row r="2760" spans="17:27" x14ac:dyDescent="0.3">
      <c r="Q2760" s="93">
        <v>46092</v>
      </c>
      <c r="R2760" t="s">
        <v>364</v>
      </c>
      <c r="S2760" t="s">
        <v>415</v>
      </c>
      <c r="T2760" s="14">
        <v>5.8886236454885799</v>
      </c>
      <c r="W2760" s="20">
        <v>46227</v>
      </c>
      <c r="X2760" t="s">
        <v>280</v>
      </c>
      <c r="Y2760" s="23">
        <v>8.5538461538461501</v>
      </c>
      <c r="Z2760" s="23">
        <v>8.0692307692307708</v>
      </c>
      <c r="AA2760" s="23">
        <v>8.3115384615384595</v>
      </c>
    </row>
    <row r="2761" spans="17:27" x14ac:dyDescent="0.3">
      <c r="Q2761" s="93">
        <v>46092</v>
      </c>
      <c r="R2761" t="s">
        <v>364</v>
      </c>
      <c r="S2761" t="s">
        <v>997</v>
      </c>
      <c r="T2761" s="14">
        <v>24753.658100000001</v>
      </c>
      <c r="W2761" s="20">
        <v>46227</v>
      </c>
      <c r="X2761" t="s">
        <v>281</v>
      </c>
      <c r="Y2761" s="23">
        <v>8.5615384615384595</v>
      </c>
      <c r="Z2761" s="23">
        <v>8.0769230769230802</v>
      </c>
      <c r="AA2761" s="23">
        <v>8.3192307692307708</v>
      </c>
    </row>
    <row r="2762" spans="17:27" x14ac:dyDescent="0.3">
      <c r="Q2762" s="93">
        <v>46092</v>
      </c>
      <c r="R2762" t="s">
        <v>496</v>
      </c>
      <c r="S2762" t="s">
        <v>997</v>
      </c>
      <c r="T2762" s="14">
        <v>27453.658100000001</v>
      </c>
      <c r="W2762" s="20">
        <v>46230</v>
      </c>
      <c r="X2762" t="s">
        <v>270</v>
      </c>
      <c r="Y2762" s="23">
        <v>7.875</v>
      </c>
      <c r="Z2762" s="23">
        <v>7.4375</v>
      </c>
      <c r="AA2762" s="23">
        <v>7.65625</v>
      </c>
    </row>
    <row r="2763" spans="17:27" x14ac:dyDescent="0.3">
      <c r="Q2763" s="93">
        <v>46091</v>
      </c>
      <c r="R2763" t="s">
        <v>479</v>
      </c>
      <c r="S2763" t="s">
        <v>399</v>
      </c>
      <c r="T2763" s="14">
        <v>9897.6106</v>
      </c>
      <c r="W2763" s="20">
        <v>46230</v>
      </c>
      <c r="X2763" t="s">
        <v>271</v>
      </c>
      <c r="Y2763" s="23">
        <v>8.4666666666666703</v>
      </c>
      <c r="Z2763" s="23">
        <v>8</v>
      </c>
      <c r="AA2763" s="23">
        <v>8.2333333333333307</v>
      </c>
    </row>
    <row r="2764" spans="17:27" x14ac:dyDescent="0.3">
      <c r="Q2764" s="93">
        <v>46091</v>
      </c>
      <c r="R2764" t="s">
        <v>364</v>
      </c>
      <c r="S2764" t="s">
        <v>399</v>
      </c>
      <c r="T2764" s="14">
        <v>20003.658100000001</v>
      </c>
      <c r="W2764" s="20">
        <v>46230</v>
      </c>
      <c r="X2764" t="s">
        <v>272</v>
      </c>
      <c r="Y2764" s="23">
        <v>8.2884615384615401</v>
      </c>
      <c r="Z2764" s="23">
        <v>7.8538461538461499</v>
      </c>
      <c r="AA2764" s="23">
        <v>8.0711538461538499</v>
      </c>
    </row>
    <row r="2765" spans="17:27" x14ac:dyDescent="0.3">
      <c r="Q2765" s="93">
        <v>46091</v>
      </c>
      <c r="R2765" t="s">
        <v>491</v>
      </c>
      <c r="S2765" t="s">
        <v>399</v>
      </c>
      <c r="T2765" s="14">
        <v>397.61059999999998</v>
      </c>
      <c r="W2765" s="20">
        <v>46230</v>
      </c>
      <c r="X2765" t="s">
        <v>273</v>
      </c>
      <c r="Y2765" s="23">
        <v>8.3769230769230791</v>
      </c>
      <c r="Z2765" s="23">
        <v>7.9076923076923098</v>
      </c>
      <c r="AA2765" s="23">
        <v>8.1423076923076891</v>
      </c>
    </row>
    <row r="2766" spans="17:27" x14ac:dyDescent="0.3">
      <c r="Q2766" s="93">
        <v>46091</v>
      </c>
      <c r="R2766" t="s">
        <v>492</v>
      </c>
      <c r="S2766" t="s">
        <v>399</v>
      </c>
      <c r="T2766" s="14">
        <v>9500</v>
      </c>
      <c r="W2766" s="20">
        <v>46230</v>
      </c>
      <c r="X2766" t="s">
        <v>274</v>
      </c>
      <c r="Y2766" s="23">
        <v>8.3846153846153797</v>
      </c>
      <c r="Z2766" s="23">
        <v>7.9076923076923098</v>
      </c>
      <c r="AA2766" s="23">
        <v>8.1461538461538492</v>
      </c>
    </row>
    <row r="2767" spans="17:27" x14ac:dyDescent="0.3">
      <c r="Q2767" s="93">
        <v>46091</v>
      </c>
      <c r="R2767" t="s">
        <v>496</v>
      </c>
      <c r="S2767" t="s">
        <v>399</v>
      </c>
      <c r="T2767" s="14">
        <v>23203.658100000001</v>
      </c>
      <c r="W2767" s="20">
        <v>46230</v>
      </c>
      <c r="X2767" t="s">
        <v>275</v>
      </c>
      <c r="Y2767" s="23">
        <v>8.4115384615384592</v>
      </c>
      <c r="Z2767" s="23">
        <v>7.9269230769230798</v>
      </c>
      <c r="AA2767" s="23">
        <v>8.1692307692307704</v>
      </c>
    </row>
    <row r="2768" spans="17:27" x14ac:dyDescent="0.3">
      <c r="Q2768" s="93">
        <v>46091</v>
      </c>
      <c r="R2768" t="s">
        <v>497</v>
      </c>
      <c r="S2768" t="s">
        <v>399</v>
      </c>
      <c r="T2768" s="14">
        <v>397.61059999999998</v>
      </c>
      <c r="W2768" s="20">
        <v>46230</v>
      </c>
      <c r="X2768" t="s">
        <v>276</v>
      </c>
      <c r="Y2768" s="23">
        <v>8.4269230769230692</v>
      </c>
      <c r="Z2768" s="23">
        <v>7.9423076923076898</v>
      </c>
      <c r="AA2768" s="23">
        <v>8.1846153846153804</v>
      </c>
    </row>
    <row r="2769" spans="17:27" x14ac:dyDescent="0.3">
      <c r="Q2769" s="93">
        <v>46091</v>
      </c>
      <c r="R2769" t="s">
        <v>498</v>
      </c>
      <c r="S2769" t="s">
        <v>399</v>
      </c>
      <c r="T2769" s="14">
        <v>9500</v>
      </c>
      <c r="W2769" s="20">
        <v>46230</v>
      </c>
      <c r="X2769" t="s">
        <v>277</v>
      </c>
      <c r="Y2769" s="23">
        <v>8.4846153846153793</v>
      </c>
      <c r="Z2769" s="23">
        <v>8</v>
      </c>
      <c r="AA2769" s="23">
        <v>8.2423076923076906</v>
      </c>
    </row>
    <row r="2770" spans="17:27" x14ac:dyDescent="0.3">
      <c r="Q2770" s="93">
        <v>46091</v>
      </c>
      <c r="R2770" t="s">
        <v>494</v>
      </c>
      <c r="S2770" t="s">
        <v>399</v>
      </c>
      <c r="T2770" s="14">
        <v>0</v>
      </c>
      <c r="W2770" s="20">
        <v>46230</v>
      </c>
      <c r="X2770" t="s">
        <v>278</v>
      </c>
      <c r="Y2770" s="23">
        <v>8.5</v>
      </c>
      <c r="Z2770" s="23">
        <v>8.0153846153846207</v>
      </c>
      <c r="AA2770" s="23">
        <v>8.2576923076923094</v>
      </c>
    </row>
    <row r="2771" spans="17:27" x14ac:dyDescent="0.3">
      <c r="Q2771" s="93">
        <v>46091</v>
      </c>
      <c r="R2771" t="s">
        <v>495</v>
      </c>
      <c r="S2771" t="s">
        <v>399</v>
      </c>
      <c r="T2771" s="14">
        <v>0</v>
      </c>
      <c r="W2771" s="20">
        <v>46230</v>
      </c>
      <c r="X2771" t="s">
        <v>279</v>
      </c>
      <c r="Y2771" s="23">
        <v>8.5384615384615401</v>
      </c>
      <c r="Z2771" s="23">
        <v>8.0538461538461501</v>
      </c>
      <c r="AA2771" s="23">
        <v>8.2961538461538495</v>
      </c>
    </row>
    <row r="2772" spans="17:27" x14ac:dyDescent="0.3">
      <c r="Q2772" s="93">
        <v>46091</v>
      </c>
      <c r="R2772" t="s">
        <v>493</v>
      </c>
      <c r="S2772" t="s">
        <v>399</v>
      </c>
      <c r="T2772" s="14">
        <v>0</v>
      </c>
      <c r="W2772" s="20">
        <v>46230</v>
      </c>
      <c r="X2772" t="s">
        <v>280</v>
      </c>
      <c r="Y2772" s="23">
        <v>8.5538461538461501</v>
      </c>
      <c r="Z2772" s="23">
        <v>8.0692307692307708</v>
      </c>
      <c r="AA2772" s="23">
        <v>8.3115384615384595</v>
      </c>
    </row>
    <row r="2773" spans="17:27" x14ac:dyDescent="0.3">
      <c r="Q2773" s="93">
        <v>46091</v>
      </c>
      <c r="R2773" t="s">
        <v>593</v>
      </c>
      <c r="S2773" t="s">
        <v>399</v>
      </c>
      <c r="T2773" s="14">
        <v>-3200</v>
      </c>
      <c r="W2773" s="20">
        <v>46230</v>
      </c>
      <c r="X2773" t="s">
        <v>281</v>
      </c>
      <c r="Y2773" s="23">
        <v>8.5615384615384595</v>
      </c>
      <c r="Z2773" s="23">
        <v>8.0769230769230802</v>
      </c>
      <c r="AA2773" s="23">
        <v>8.3192307692307708</v>
      </c>
    </row>
    <row r="2774" spans="17:27" x14ac:dyDescent="0.3">
      <c r="Q2774" s="93">
        <v>46091</v>
      </c>
      <c r="R2774" t="s">
        <v>594</v>
      </c>
      <c r="S2774" t="s">
        <v>399</v>
      </c>
      <c r="T2774" s="14">
        <v>0</v>
      </c>
      <c r="W2774" s="20">
        <v>46231</v>
      </c>
      <c r="X2774" t="s">
        <v>270</v>
      </c>
      <c r="Y2774" s="23">
        <v>7.875</v>
      </c>
      <c r="Z2774" s="23">
        <v>7.4375</v>
      </c>
      <c r="AA2774" s="23">
        <v>7.65625</v>
      </c>
    </row>
    <row r="2775" spans="17:27" x14ac:dyDescent="0.3">
      <c r="Q2775" s="93">
        <v>46091</v>
      </c>
      <c r="R2775" t="s">
        <v>595</v>
      </c>
      <c r="S2775" t="s">
        <v>399</v>
      </c>
      <c r="T2775" s="14">
        <v>0</v>
      </c>
      <c r="W2775" s="20">
        <v>46231</v>
      </c>
      <c r="X2775" t="s">
        <v>271</v>
      </c>
      <c r="Y2775" s="23">
        <v>8.6333333333333293</v>
      </c>
      <c r="Z2775" s="23">
        <v>8.1666666666666696</v>
      </c>
      <c r="AA2775" s="23">
        <v>8.4</v>
      </c>
    </row>
    <row r="2776" spans="17:27" x14ac:dyDescent="0.3">
      <c r="Q2776" s="93">
        <v>46091</v>
      </c>
      <c r="R2776" t="s">
        <v>479</v>
      </c>
      <c r="S2776" t="s">
        <v>395</v>
      </c>
      <c r="T2776" s="14">
        <v>10575.836934458801</v>
      </c>
      <c r="W2776" s="20">
        <v>46231</v>
      </c>
      <c r="X2776" t="s">
        <v>272</v>
      </c>
      <c r="Y2776" s="23">
        <v>8.3269230769230802</v>
      </c>
      <c r="Z2776" s="23">
        <v>7.89230769230769</v>
      </c>
      <c r="AA2776" s="23">
        <v>8.10961538461539</v>
      </c>
    </row>
    <row r="2777" spans="17:27" x14ac:dyDescent="0.3">
      <c r="Q2777" s="93">
        <v>46091</v>
      </c>
      <c r="R2777" t="s">
        <v>479</v>
      </c>
      <c r="S2777" t="s">
        <v>415</v>
      </c>
      <c r="T2777" s="14">
        <v>6.1047439242558204</v>
      </c>
      <c r="W2777" s="20">
        <v>46231</v>
      </c>
      <c r="X2777" t="s">
        <v>273</v>
      </c>
      <c r="Y2777" s="23">
        <v>8.4153846153846192</v>
      </c>
      <c r="Z2777" s="23">
        <v>7.9461538461538499</v>
      </c>
      <c r="AA2777" s="23">
        <v>8.1807692307692292</v>
      </c>
    </row>
    <row r="2778" spans="17:27" x14ac:dyDescent="0.3">
      <c r="Q2778" s="93">
        <v>46091</v>
      </c>
      <c r="R2778" t="s">
        <v>364</v>
      </c>
      <c r="S2778" t="s">
        <v>415</v>
      </c>
      <c r="T2778" s="14">
        <v>5.9504090952003201</v>
      </c>
      <c r="W2778" s="20">
        <v>46231</v>
      </c>
      <c r="X2778" t="s">
        <v>274</v>
      </c>
      <c r="Y2778" s="23">
        <v>8.4230769230769198</v>
      </c>
      <c r="Z2778" s="23">
        <v>7.9461538461538499</v>
      </c>
      <c r="AA2778" s="23">
        <v>8.1846153846153804</v>
      </c>
    </row>
    <row r="2779" spans="17:27" x14ac:dyDescent="0.3">
      <c r="Q2779" s="93">
        <v>46091</v>
      </c>
      <c r="R2779" t="s">
        <v>364</v>
      </c>
      <c r="S2779" t="s">
        <v>997</v>
      </c>
      <c r="T2779" s="14">
        <v>27403.658100000001</v>
      </c>
      <c r="W2779" s="20">
        <v>46231</v>
      </c>
      <c r="X2779" t="s">
        <v>275</v>
      </c>
      <c r="Y2779" s="23">
        <v>8.4499999999999993</v>
      </c>
      <c r="Z2779" s="23">
        <v>7.9653846153846102</v>
      </c>
      <c r="AA2779" s="23">
        <v>8.2076923076923105</v>
      </c>
    </row>
    <row r="2780" spans="17:27" x14ac:dyDescent="0.3">
      <c r="Q2780" s="93">
        <v>46091</v>
      </c>
      <c r="R2780" t="s">
        <v>496</v>
      </c>
      <c r="S2780" t="s">
        <v>997</v>
      </c>
      <c r="T2780" s="14">
        <v>30603.658100000001</v>
      </c>
      <c r="W2780" s="20">
        <v>46231</v>
      </c>
      <c r="X2780" t="s">
        <v>276</v>
      </c>
      <c r="Y2780" s="23">
        <v>8.4653846153846093</v>
      </c>
      <c r="Z2780" s="23">
        <v>7.9807692307692299</v>
      </c>
      <c r="AA2780" s="23">
        <v>8.2230769230769205</v>
      </c>
    </row>
    <row r="2781" spans="17:27" x14ac:dyDescent="0.3">
      <c r="Q2781" s="93">
        <v>46090</v>
      </c>
      <c r="R2781" t="s">
        <v>479</v>
      </c>
      <c r="S2781" t="s">
        <v>399</v>
      </c>
      <c r="T2781" s="14">
        <v>9897.6106</v>
      </c>
      <c r="W2781" s="20">
        <v>46231</v>
      </c>
      <c r="X2781" t="s">
        <v>277</v>
      </c>
      <c r="Y2781" s="23">
        <v>8.51538461538461</v>
      </c>
      <c r="Z2781" s="23">
        <v>8.0307692307692307</v>
      </c>
      <c r="AA2781" s="23">
        <v>8.2730769230769194</v>
      </c>
    </row>
    <row r="2782" spans="17:27" x14ac:dyDescent="0.3">
      <c r="Q2782" s="93">
        <v>46090</v>
      </c>
      <c r="R2782" t="s">
        <v>364</v>
      </c>
      <c r="S2782" t="s">
        <v>399</v>
      </c>
      <c r="T2782" s="14">
        <v>23953.658100000001</v>
      </c>
      <c r="W2782" s="20">
        <v>46231</v>
      </c>
      <c r="X2782" t="s">
        <v>278</v>
      </c>
      <c r="Y2782" s="23">
        <v>8.5307692307692307</v>
      </c>
      <c r="Z2782" s="23">
        <v>8.0461538461538407</v>
      </c>
      <c r="AA2782" s="23">
        <v>8.2884615384615401</v>
      </c>
    </row>
    <row r="2783" spans="17:27" x14ac:dyDescent="0.3">
      <c r="Q2783" s="93">
        <v>46090</v>
      </c>
      <c r="R2783" t="s">
        <v>491</v>
      </c>
      <c r="S2783" t="s">
        <v>399</v>
      </c>
      <c r="T2783" s="14">
        <v>397.61059999999998</v>
      </c>
      <c r="W2783" s="20">
        <v>46231</v>
      </c>
      <c r="X2783" t="s">
        <v>279</v>
      </c>
      <c r="Y2783" s="23">
        <v>8.5692307692307708</v>
      </c>
      <c r="Z2783" s="23">
        <v>8.0846153846153808</v>
      </c>
      <c r="AA2783" s="23">
        <v>8.3269230769230802</v>
      </c>
    </row>
    <row r="2784" spans="17:27" x14ac:dyDescent="0.3">
      <c r="Q2784" s="93">
        <v>46090</v>
      </c>
      <c r="R2784" t="s">
        <v>492</v>
      </c>
      <c r="S2784" t="s">
        <v>399</v>
      </c>
      <c r="T2784" s="14">
        <v>9500</v>
      </c>
      <c r="W2784" s="20">
        <v>46231</v>
      </c>
      <c r="X2784" t="s">
        <v>280</v>
      </c>
      <c r="Y2784" s="23">
        <v>8.5846153846153808</v>
      </c>
      <c r="Z2784" s="23">
        <v>8.1</v>
      </c>
      <c r="AA2784" s="23">
        <v>8.3423076923076902</v>
      </c>
    </row>
    <row r="2785" spans="17:27" x14ac:dyDescent="0.3">
      <c r="Q2785" s="93">
        <v>46090</v>
      </c>
      <c r="R2785" t="s">
        <v>496</v>
      </c>
      <c r="S2785" t="s">
        <v>399</v>
      </c>
      <c r="T2785" s="14">
        <v>23853.658100000001</v>
      </c>
      <c r="W2785" s="20">
        <v>46231</v>
      </c>
      <c r="X2785" t="s">
        <v>281</v>
      </c>
      <c r="Y2785" s="23">
        <v>8.5923076923076902</v>
      </c>
      <c r="Z2785" s="23">
        <v>8.1076923076923109</v>
      </c>
      <c r="AA2785" s="23">
        <v>8.35</v>
      </c>
    </row>
    <row r="2786" spans="17:27" x14ac:dyDescent="0.3">
      <c r="Q2786" s="93">
        <v>46090</v>
      </c>
      <c r="R2786" t="s">
        <v>497</v>
      </c>
      <c r="S2786" t="s">
        <v>399</v>
      </c>
      <c r="T2786" s="14">
        <v>397.61059999999998</v>
      </c>
      <c r="W2786" s="20">
        <v>46232</v>
      </c>
      <c r="X2786" t="s">
        <v>270</v>
      </c>
      <c r="Y2786" s="23">
        <v>7.875</v>
      </c>
      <c r="Z2786" s="23">
        <v>7.4375</v>
      </c>
      <c r="AA2786" s="23">
        <v>7.65625</v>
      </c>
    </row>
    <row r="2787" spans="17:27" x14ac:dyDescent="0.3">
      <c r="Q2787" s="93">
        <v>46090</v>
      </c>
      <c r="R2787" t="s">
        <v>498</v>
      </c>
      <c r="S2787" t="s">
        <v>399</v>
      </c>
      <c r="T2787" s="14">
        <v>9500</v>
      </c>
      <c r="W2787" s="20">
        <v>46232</v>
      </c>
      <c r="X2787" t="s">
        <v>271</v>
      </c>
      <c r="Y2787" s="23">
        <v>8.6333333333333293</v>
      </c>
      <c r="Z2787" s="23">
        <v>8.1666666666666696</v>
      </c>
      <c r="AA2787" s="23">
        <v>8.4</v>
      </c>
    </row>
    <row r="2788" spans="17:27" x14ac:dyDescent="0.3">
      <c r="Q2788" s="93">
        <v>46090</v>
      </c>
      <c r="R2788" t="s">
        <v>494</v>
      </c>
      <c r="S2788" t="s">
        <v>399</v>
      </c>
      <c r="T2788" s="14">
        <v>0</v>
      </c>
      <c r="W2788" s="20">
        <v>46232</v>
      </c>
      <c r="X2788" t="s">
        <v>272</v>
      </c>
      <c r="Y2788" s="23">
        <v>8.3269230769230802</v>
      </c>
      <c r="Z2788" s="23">
        <v>7.89230769230769</v>
      </c>
      <c r="AA2788" s="23">
        <v>8.10961538461539</v>
      </c>
    </row>
    <row r="2789" spans="17:27" x14ac:dyDescent="0.3">
      <c r="Q2789" s="93">
        <v>46090</v>
      </c>
      <c r="R2789" t="s">
        <v>495</v>
      </c>
      <c r="S2789" t="s">
        <v>399</v>
      </c>
      <c r="T2789" s="14">
        <v>0</v>
      </c>
      <c r="W2789" s="20">
        <v>46232</v>
      </c>
      <c r="X2789" t="s">
        <v>273</v>
      </c>
      <c r="Y2789" s="23">
        <v>8.4153846153846192</v>
      </c>
      <c r="Z2789" s="23">
        <v>7.9461538461538499</v>
      </c>
      <c r="AA2789" s="23">
        <v>8.1807692307692292</v>
      </c>
    </row>
    <row r="2790" spans="17:27" x14ac:dyDescent="0.3">
      <c r="Q2790" s="93">
        <v>46090</v>
      </c>
      <c r="R2790" t="s">
        <v>493</v>
      </c>
      <c r="S2790" t="s">
        <v>399</v>
      </c>
      <c r="T2790" s="14">
        <v>0</v>
      </c>
      <c r="W2790" s="20">
        <v>46232</v>
      </c>
      <c r="X2790" t="s">
        <v>274</v>
      </c>
      <c r="Y2790" s="23">
        <v>8.4230769230769198</v>
      </c>
      <c r="Z2790" s="23">
        <v>7.9461538461538499</v>
      </c>
      <c r="AA2790" s="23">
        <v>8.1846153846153804</v>
      </c>
    </row>
    <row r="2791" spans="17:27" x14ac:dyDescent="0.3">
      <c r="Q2791" s="93">
        <v>46090</v>
      </c>
      <c r="R2791" t="s">
        <v>593</v>
      </c>
      <c r="S2791" t="s">
        <v>399</v>
      </c>
      <c r="T2791" s="14">
        <v>100</v>
      </c>
      <c r="W2791" s="20">
        <v>46232</v>
      </c>
      <c r="X2791" t="s">
        <v>275</v>
      </c>
      <c r="Y2791" s="23">
        <v>8.4499999999999993</v>
      </c>
      <c r="Z2791" s="23">
        <v>7.9653846153846102</v>
      </c>
      <c r="AA2791" s="23">
        <v>8.2076923076923105</v>
      </c>
    </row>
    <row r="2792" spans="17:27" x14ac:dyDescent="0.3">
      <c r="Q2792" s="93">
        <v>46090</v>
      </c>
      <c r="R2792" t="s">
        <v>594</v>
      </c>
      <c r="S2792" t="s">
        <v>399</v>
      </c>
      <c r="T2792" s="14">
        <v>0</v>
      </c>
      <c r="W2792" s="20">
        <v>46232</v>
      </c>
      <c r="X2792" t="s">
        <v>276</v>
      </c>
      <c r="Y2792" s="23">
        <v>8.4653846153846093</v>
      </c>
      <c r="Z2792" s="23">
        <v>7.9807692307692299</v>
      </c>
      <c r="AA2792" s="23">
        <v>8.2230769230769205</v>
      </c>
    </row>
    <row r="2793" spans="17:27" x14ac:dyDescent="0.3">
      <c r="Q2793" s="93">
        <v>46090</v>
      </c>
      <c r="R2793" t="s">
        <v>595</v>
      </c>
      <c r="S2793" t="s">
        <v>399</v>
      </c>
      <c r="T2793" s="14">
        <v>0</v>
      </c>
      <c r="W2793" s="20">
        <v>46232</v>
      </c>
      <c r="X2793" t="s">
        <v>277</v>
      </c>
      <c r="Y2793" s="23">
        <v>8.51538461538461</v>
      </c>
      <c r="Z2793" s="23">
        <v>8.0307692307692307</v>
      </c>
      <c r="AA2793" s="23">
        <v>8.2730769230769194</v>
      </c>
    </row>
    <row r="2794" spans="17:27" x14ac:dyDescent="0.3">
      <c r="Q2794" s="93">
        <v>46090</v>
      </c>
      <c r="R2794" t="s">
        <v>479</v>
      </c>
      <c r="S2794" t="s">
        <v>395</v>
      </c>
      <c r="T2794" s="14">
        <v>10602.831186494601</v>
      </c>
      <c r="W2794" s="20">
        <v>46232</v>
      </c>
      <c r="X2794" t="s">
        <v>278</v>
      </c>
      <c r="Y2794" s="23">
        <v>8.5307692307692307</v>
      </c>
      <c r="Z2794" s="23">
        <v>8.0461538461538407</v>
      </c>
      <c r="AA2794" s="23">
        <v>8.2884615384615401</v>
      </c>
    </row>
    <row r="2795" spans="17:27" x14ac:dyDescent="0.3">
      <c r="Q2795" s="93">
        <v>46090</v>
      </c>
      <c r="R2795" t="s">
        <v>479</v>
      </c>
      <c r="S2795" t="s">
        <v>415</v>
      </c>
      <c r="T2795" s="14">
        <v>6.1047439242558204</v>
      </c>
      <c r="W2795" s="20">
        <v>46232</v>
      </c>
      <c r="X2795" t="s">
        <v>279</v>
      </c>
      <c r="Y2795" s="23">
        <v>8.5692307692307708</v>
      </c>
      <c r="Z2795" s="23">
        <v>8.0846153846153808</v>
      </c>
      <c r="AA2795" s="23">
        <v>8.3269230769230802</v>
      </c>
    </row>
    <row r="2796" spans="17:27" x14ac:dyDescent="0.3">
      <c r="Q2796" s="93">
        <v>46090</v>
      </c>
      <c r="R2796" t="s">
        <v>364</v>
      </c>
      <c r="S2796" t="s">
        <v>415</v>
      </c>
      <c r="T2796" s="14">
        <v>5.9379086937393497</v>
      </c>
      <c r="W2796" s="20">
        <v>46232</v>
      </c>
      <c r="X2796" t="s">
        <v>280</v>
      </c>
      <c r="Y2796" s="23">
        <v>8.5846153846153808</v>
      </c>
      <c r="Z2796" s="23">
        <v>8.1</v>
      </c>
      <c r="AA2796" s="23">
        <v>8.3423076923076902</v>
      </c>
    </row>
    <row r="2797" spans="17:27" x14ac:dyDescent="0.3">
      <c r="Q2797" s="93">
        <v>46090</v>
      </c>
      <c r="R2797" t="s">
        <v>364</v>
      </c>
      <c r="S2797" t="s">
        <v>997</v>
      </c>
      <c r="T2797" s="14">
        <v>31353.658100000001</v>
      </c>
      <c r="W2797" s="20">
        <v>46232</v>
      </c>
      <c r="X2797" t="s">
        <v>281</v>
      </c>
      <c r="Y2797" s="23">
        <v>8.5923076923076902</v>
      </c>
      <c r="Z2797" s="23">
        <v>8.1076923076923109</v>
      </c>
      <c r="AA2797" s="23">
        <v>8.35</v>
      </c>
    </row>
    <row r="2798" spans="17:27" x14ac:dyDescent="0.3">
      <c r="Q2798" s="93">
        <v>46090</v>
      </c>
      <c r="R2798" t="s">
        <v>496</v>
      </c>
      <c r="S2798" t="s">
        <v>997</v>
      </c>
      <c r="T2798" s="14">
        <v>31253.658100000001</v>
      </c>
      <c r="W2798" s="20">
        <v>46233</v>
      </c>
      <c r="X2798" t="s">
        <v>270</v>
      </c>
      <c r="Y2798" s="23">
        <v>7.8875000000000002</v>
      </c>
      <c r="Z2798" s="23">
        <v>7.45</v>
      </c>
      <c r="AA2798" s="23">
        <v>7.6687500000000002</v>
      </c>
    </row>
    <row r="2799" spans="17:27" x14ac:dyDescent="0.3">
      <c r="Q2799" s="93">
        <v>46087</v>
      </c>
      <c r="R2799" t="s">
        <v>479</v>
      </c>
      <c r="S2799" t="s">
        <v>415</v>
      </c>
      <c r="T2799" s="14">
        <v>6.1047439242558204</v>
      </c>
      <c r="W2799" s="20">
        <v>46233</v>
      </c>
      <c r="X2799" t="s">
        <v>271</v>
      </c>
      <c r="Y2799" s="23">
        <v>8.6333333333333293</v>
      </c>
      <c r="Z2799" s="23">
        <v>8.1666666666666696</v>
      </c>
      <c r="AA2799" s="23">
        <v>8.4</v>
      </c>
    </row>
    <row r="2800" spans="17:27" x14ac:dyDescent="0.3">
      <c r="Q2800" s="93">
        <v>46087</v>
      </c>
      <c r="R2800" t="s">
        <v>364</v>
      </c>
      <c r="S2800" t="s">
        <v>415</v>
      </c>
      <c r="T2800" s="14">
        <v>5.9647866650797097</v>
      </c>
      <c r="W2800" s="20">
        <v>46233</v>
      </c>
      <c r="X2800" t="s">
        <v>272</v>
      </c>
      <c r="Y2800" s="23">
        <v>8.3269230769230802</v>
      </c>
      <c r="Z2800" s="23">
        <v>7.89230769230769</v>
      </c>
      <c r="AA2800" s="23">
        <v>8.10961538461539</v>
      </c>
    </row>
    <row r="2801" spans="17:27" x14ac:dyDescent="0.3">
      <c r="Q2801" s="93">
        <v>46087</v>
      </c>
      <c r="R2801" t="s">
        <v>479</v>
      </c>
      <c r="S2801" t="s">
        <v>399</v>
      </c>
      <c r="T2801" s="14">
        <v>9897.6106</v>
      </c>
      <c r="W2801" s="20">
        <v>46233</v>
      </c>
      <c r="X2801" t="s">
        <v>273</v>
      </c>
      <c r="Y2801" s="23">
        <v>8.4153846153846192</v>
      </c>
      <c r="Z2801" s="23">
        <v>7.9461538461538499</v>
      </c>
      <c r="AA2801" s="23">
        <v>8.1807692307692292</v>
      </c>
    </row>
    <row r="2802" spans="17:27" x14ac:dyDescent="0.3">
      <c r="Q2802" s="93">
        <v>46087</v>
      </c>
      <c r="R2802" t="s">
        <v>364</v>
      </c>
      <c r="S2802" t="s">
        <v>399</v>
      </c>
      <c r="T2802" s="14">
        <v>25853.658100000001</v>
      </c>
      <c r="W2802" s="20">
        <v>46233</v>
      </c>
      <c r="X2802" t="s">
        <v>274</v>
      </c>
      <c r="Y2802" s="23">
        <v>8.4230769230769198</v>
      </c>
      <c r="Z2802" s="23">
        <v>7.9461538461538499</v>
      </c>
      <c r="AA2802" s="23">
        <v>8.1846153846153804</v>
      </c>
    </row>
    <row r="2803" spans="17:27" x14ac:dyDescent="0.3">
      <c r="Q2803" s="93">
        <v>46087</v>
      </c>
      <c r="R2803" t="s">
        <v>491</v>
      </c>
      <c r="S2803" t="s">
        <v>399</v>
      </c>
      <c r="T2803" s="14">
        <v>397.61059999999998</v>
      </c>
      <c r="W2803" s="20">
        <v>46233</v>
      </c>
      <c r="X2803" t="s">
        <v>275</v>
      </c>
      <c r="Y2803" s="23">
        <v>8.4499999999999993</v>
      </c>
      <c r="Z2803" s="23">
        <v>7.9653846153846102</v>
      </c>
      <c r="AA2803" s="23">
        <v>8.2076923076923105</v>
      </c>
    </row>
    <row r="2804" spans="17:27" x14ac:dyDescent="0.3">
      <c r="Q2804" s="93">
        <v>46087</v>
      </c>
      <c r="R2804" t="s">
        <v>492</v>
      </c>
      <c r="S2804" t="s">
        <v>399</v>
      </c>
      <c r="T2804" s="14">
        <v>9500</v>
      </c>
      <c r="W2804" s="20">
        <v>46233</v>
      </c>
      <c r="X2804" t="s">
        <v>276</v>
      </c>
      <c r="Y2804" s="23">
        <v>8.4653846153846093</v>
      </c>
      <c r="Z2804" s="23">
        <v>7.9807692307692299</v>
      </c>
      <c r="AA2804" s="23">
        <v>8.2230769230769205</v>
      </c>
    </row>
    <row r="2805" spans="17:27" x14ac:dyDescent="0.3">
      <c r="Q2805" s="93">
        <v>46087</v>
      </c>
      <c r="R2805" t="s">
        <v>496</v>
      </c>
      <c r="S2805" t="s">
        <v>399</v>
      </c>
      <c r="T2805" s="14">
        <v>24253.658100000001</v>
      </c>
      <c r="W2805" s="20">
        <v>46233</v>
      </c>
      <c r="X2805" t="s">
        <v>277</v>
      </c>
      <c r="Y2805" s="23">
        <v>8.51538461538461</v>
      </c>
      <c r="Z2805" s="23">
        <v>8.0307692307692307</v>
      </c>
      <c r="AA2805" s="23">
        <v>8.2730769230769194</v>
      </c>
    </row>
    <row r="2806" spans="17:27" x14ac:dyDescent="0.3">
      <c r="Q2806" s="93">
        <v>46087</v>
      </c>
      <c r="R2806" t="s">
        <v>497</v>
      </c>
      <c r="S2806" t="s">
        <v>399</v>
      </c>
      <c r="T2806" s="14">
        <v>397.61059999999998</v>
      </c>
      <c r="W2806" s="20">
        <v>46233</v>
      </c>
      <c r="X2806" t="s">
        <v>278</v>
      </c>
      <c r="Y2806" s="23">
        <v>8.5307692307692307</v>
      </c>
      <c r="Z2806" s="23">
        <v>8.0461538461538407</v>
      </c>
      <c r="AA2806" s="23">
        <v>8.2884615384615401</v>
      </c>
    </row>
    <row r="2807" spans="17:27" x14ac:dyDescent="0.3">
      <c r="Q2807" s="93">
        <v>46087</v>
      </c>
      <c r="R2807" t="s">
        <v>498</v>
      </c>
      <c r="S2807" t="s">
        <v>399</v>
      </c>
      <c r="T2807" s="14">
        <v>9500</v>
      </c>
      <c r="W2807" s="20">
        <v>46233</v>
      </c>
      <c r="X2807" t="s">
        <v>279</v>
      </c>
      <c r="Y2807" s="23">
        <v>8.5692307692307708</v>
      </c>
      <c r="Z2807" s="23">
        <v>8.0846153846153808</v>
      </c>
      <c r="AA2807" s="23">
        <v>8.3269230769230802</v>
      </c>
    </row>
    <row r="2808" spans="17:27" x14ac:dyDescent="0.3">
      <c r="Q2808" s="93">
        <v>46087</v>
      </c>
      <c r="R2808" t="s">
        <v>494</v>
      </c>
      <c r="S2808" t="s">
        <v>399</v>
      </c>
      <c r="T2808" s="14">
        <v>0</v>
      </c>
      <c r="W2808" s="20">
        <v>46233</v>
      </c>
      <c r="X2808" t="s">
        <v>280</v>
      </c>
      <c r="Y2808" s="23">
        <v>8.5846153846153808</v>
      </c>
      <c r="Z2808" s="23">
        <v>8.1</v>
      </c>
      <c r="AA2808" s="23">
        <v>8.3423076923076902</v>
      </c>
    </row>
    <row r="2809" spans="17:27" x14ac:dyDescent="0.3">
      <c r="Q2809" s="93">
        <v>46087</v>
      </c>
      <c r="R2809" t="s">
        <v>495</v>
      </c>
      <c r="S2809" t="s">
        <v>399</v>
      </c>
      <c r="T2809" s="14">
        <v>0</v>
      </c>
      <c r="W2809" s="20">
        <v>46233</v>
      </c>
      <c r="X2809" t="s">
        <v>281</v>
      </c>
      <c r="Y2809" s="23">
        <v>8.5923076923076902</v>
      </c>
      <c r="Z2809" s="23">
        <v>8.1076923076923109</v>
      </c>
      <c r="AA2809" s="23">
        <v>8.35</v>
      </c>
    </row>
    <row r="2810" spans="17:27" x14ac:dyDescent="0.3">
      <c r="Q2810" s="93">
        <v>46087</v>
      </c>
      <c r="R2810" t="s">
        <v>493</v>
      </c>
      <c r="S2810" t="s">
        <v>399</v>
      </c>
      <c r="T2810" s="14">
        <v>0</v>
      </c>
      <c r="W2810" s="20">
        <v>46234</v>
      </c>
      <c r="X2810" t="s">
        <v>270</v>
      </c>
      <c r="Y2810" s="23">
        <v>7.9249999999999998</v>
      </c>
      <c r="Z2810" s="23">
        <v>7.4874999999999998</v>
      </c>
      <c r="AA2810" s="23">
        <v>7.7062499999999998</v>
      </c>
    </row>
    <row r="2811" spans="17:27" x14ac:dyDescent="0.3">
      <c r="Q2811" s="93">
        <v>46087</v>
      </c>
      <c r="R2811" t="s">
        <v>593</v>
      </c>
      <c r="S2811" t="s">
        <v>399</v>
      </c>
      <c r="T2811" s="14">
        <v>1600</v>
      </c>
      <c r="W2811" s="20">
        <v>46234</v>
      </c>
      <c r="X2811" t="s">
        <v>271</v>
      </c>
      <c r="Y2811" s="23">
        <v>8.6333333333333293</v>
      </c>
      <c r="Z2811" s="23">
        <v>8.1666666666666696</v>
      </c>
      <c r="AA2811" s="23">
        <v>8.4</v>
      </c>
    </row>
    <row r="2812" spans="17:27" x14ac:dyDescent="0.3">
      <c r="Q2812" s="93">
        <v>46087</v>
      </c>
      <c r="R2812" t="s">
        <v>594</v>
      </c>
      <c r="S2812" t="s">
        <v>399</v>
      </c>
      <c r="T2812" s="14">
        <v>0</v>
      </c>
      <c r="W2812" s="20">
        <v>46234</v>
      </c>
      <c r="X2812" t="s">
        <v>272</v>
      </c>
      <c r="Y2812" s="23">
        <v>8.3653846153846096</v>
      </c>
      <c r="Z2812" s="23">
        <v>7.9307692307692301</v>
      </c>
      <c r="AA2812" s="23">
        <v>8.1480769230769194</v>
      </c>
    </row>
    <row r="2813" spans="17:27" x14ac:dyDescent="0.3">
      <c r="Q2813" s="93">
        <v>46087</v>
      </c>
      <c r="R2813" t="s">
        <v>595</v>
      </c>
      <c r="S2813" t="s">
        <v>399</v>
      </c>
      <c r="T2813" s="14">
        <v>0</v>
      </c>
      <c r="W2813" s="20">
        <v>46234</v>
      </c>
      <c r="X2813" t="s">
        <v>273</v>
      </c>
      <c r="Y2813" s="23">
        <v>8.4615384615384599</v>
      </c>
      <c r="Z2813" s="23">
        <v>7.9846153846153802</v>
      </c>
      <c r="AA2813" s="23">
        <v>8.2230769230769205</v>
      </c>
    </row>
    <row r="2814" spans="17:27" x14ac:dyDescent="0.3">
      <c r="Q2814" s="93">
        <v>46087</v>
      </c>
      <c r="R2814" t="s">
        <v>479</v>
      </c>
      <c r="S2814" t="s">
        <v>395</v>
      </c>
      <c r="T2814" s="14">
        <v>10605.065851204001</v>
      </c>
      <c r="W2814" s="20">
        <v>46234</v>
      </c>
      <c r="X2814" t="s">
        <v>274</v>
      </c>
      <c r="Y2814" s="23">
        <v>8.4769230769230806</v>
      </c>
      <c r="Z2814" s="23">
        <v>8</v>
      </c>
      <c r="AA2814" s="23">
        <v>8.2384615384615394</v>
      </c>
    </row>
    <row r="2815" spans="17:27" x14ac:dyDescent="0.3">
      <c r="Q2815" s="93">
        <v>46087</v>
      </c>
      <c r="R2815" t="s">
        <v>364</v>
      </c>
      <c r="S2815" t="s">
        <v>997</v>
      </c>
      <c r="T2815" s="14">
        <v>33253.658100000001</v>
      </c>
      <c r="W2815" s="20">
        <v>46234</v>
      </c>
      <c r="X2815" t="s">
        <v>275</v>
      </c>
      <c r="Y2815" s="23">
        <v>8.5</v>
      </c>
      <c r="Z2815" s="23">
        <v>8.0153846153846207</v>
      </c>
      <c r="AA2815" s="23">
        <v>8.2576923076923094</v>
      </c>
    </row>
    <row r="2816" spans="17:27" x14ac:dyDescent="0.3">
      <c r="Q2816" s="93">
        <v>46087</v>
      </c>
      <c r="R2816" t="s">
        <v>496</v>
      </c>
      <c r="S2816" t="s">
        <v>997</v>
      </c>
      <c r="T2816" s="14">
        <v>31653.658100000001</v>
      </c>
      <c r="W2816" s="20">
        <v>46234</v>
      </c>
      <c r="X2816" t="s">
        <v>276</v>
      </c>
      <c r="Y2816" s="23">
        <v>8.51538461538461</v>
      </c>
      <c r="Z2816" s="23">
        <v>8.0307692307692307</v>
      </c>
      <c r="AA2816" s="23">
        <v>8.2730769230769194</v>
      </c>
    </row>
    <row r="2817" spans="17:27" x14ac:dyDescent="0.3">
      <c r="Q2817" s="93">
        <v>46086</v>
      </c>
      <c r="R2817" t="s">
        <v>479</v>
      </c>
      <c r="S2817" t="s">
        <v>399</v>
      </c>
      <c r="T2817" s="14">
        <v>9897.6106</v>
      </c>
      <c r="W2817" s="20">
        <v>46234</v>
      </c>
      <c r="X2817" t="s">
        <v>277</v>
      </c>
      <c r="Y2817" s="23">
        <v>8.5615384615384595</v>
      </c>
      <c r="Z2817" s="23">
        <v>8.0769230769230802</v>
      </c>
      <c r="AA2817" s="23">
        <v>8.3192307692307708</v>
      </c>
    </row>
    <row r="2818" spans="17:27" x14ac:dyDescent="0.3">
      <c r="Q2818" s="93">
        <v>46086</v>
      </c>
      <c r="R2818" t="s">
        <v>364</v>
      </c>
      <c r="S2818" t="s">
        <v>399</v>
      </c>
      <c r="T2818" s="14">
        <v>20853.658100000001</v>
      </c>
      <c r="W2818" s="20">
        <v>46234</v>
      </c>
      <c r="X2818" t="s">
        <v>278</v>
      </c>
      <c r="Y2818" s="23">
        <v>8.5846153846153808</v>
      </c>
      <c r="Z2818" s="23">
        <v>8.1</v>
      </c>
      <c r="AA2818" s="23">
        <v>8.3423076923076902</v>
      </c>
    </row>
    <row r="2819" spans="17:27" x14ac:dyDescent="0.3">
      <c r="Q2819" s="93">
        <v>46086</v>
      </c>
      <c r="R2819" t="s">
        <v>491</v>
      </c>
      <c r="S2819" t="s">
        <v>399</v>
      </c>
      <c r="T2819" s="14">
        <v>397.61059999999998</v>
      </c>
      <c r="W2819" s="20">
        <v>46234</v>
      </c>
      <c r="X2819" t="s">
        <v>279</v>
      </c>
      <c r="Y2819" s="23">
        <v>8.6230769230769209</v>
      </c>
      <c r="Z2819" s="23">
        <v>8.1384615384615397</v>
      </c>
      <c r="AA2819" s="23">
        <v>8.3807692307692303</v>
      </c>
    </row>
    <row r="2820" spans="17:27" x14ac:dyDescent="0.3">
      <c r="Q2820" s="93">
        <v>46086</v>
      </c>
      <c r="R2820" t="s">
        <v>492</v>
      </c>
      <c r="S2820" t="s">
        <v>399</v>
      </c>
      <c r="T2820" s="14">
        <v>9500</v>
      </c>
      <c r="W2820" s="20">
        <v>46234</v>
      </c>
      <c r="X2820" t="s">
        <v>280</v>
      </c>
      <c r="Y2820" s="23">
        <v>8.6384615384615397</v>
      </c>
      <c r="Z2820" s="23">
        <v>8.1538461538461497</v>
      </c>
      <c r="AA2820" s="23">
        <v>8.3961538461538492</v>
      </c>
    </row>
    <row r="2821" spans="17:27" x14ac:dyDescent="0.3">
      <c r="Q2821" s="93">
        <v>46086</v>
      </c>
      <c r="R2821" t="s">
        <v>496</v>
      </c>
      <c r="S2821" t="s">
        <v>399</v>
      </c>
      <c r="T2821" s="14">
        <v>23703.658100000001</v>
      </c>
      <c r="W2821" s="20">
        <v>46234</v>
      </c>
      <c r="X2821" t="s">
        <v>281</v>
      </c>
      <c r="Y2821" s="23">
        <v>8.6538461538461497</v>
      </c>
      <c r="Z2821" s="23">
        <v>8.1692307692307704</v>
      </c>
      <c r="AA2821" s="23">
        <v>8.4115384615384592</v>
      </c>
    </row>
    <row r="2822" spans="17:27" x14ac:dyDescent="0.3">
      <c r="Q2822" s="93">
        <v>46086</v>
      </c>
      <c r="R2822" t="s">
        <v>497</v>
      </c>
      <c r="S2822" t="s">
        <v>399</v>
      </c>
      <c r="T2822" s="14">
        <v>397.61059999999998</v>
      </c>
      <c r="W2822" s="20">
        <v>46237</v>
      </c>
      <c r="X2822" t="s">
        <v>270</v>
      </c>
      <c r="Y2822" s="23">
        <v>7.9375</v>
      </c>
      <c r="Z2822" s="23">
        <v>7.5</v>
      </c>
      <c r="AA2822" s="23">
        <v>7.71875</v>
      </c>
    </row>
    <row r="2823" spans="17:27" x14ac:dyDescent="0.3">
      <c r="Q2823" s="93">
        <v>46086</v>
      </c>
      <c r="R2823" t="s">
        <v>498</v>
      </c>
      <c r="S2823" t="s">
        <v>399</v>
      </c>
      <c r="T2823" s="14">
        <v>9500</v>
      </c>
      <c r="W2823" s="20">
        <v>46237</v>
      </c>
      <c r="X2823" t="s">
        <v>271</v>
      </c>
      <c r="Y2823" s="23">
        <v>8.6333333333333293</v>
      </c>
      <c r="Z2823" s="23">
        <v>8.1666666666666696</v>
      </c>
      <c r="AA2823" s="23">
        <v>8.4</v>
      </c>
    </row>
    <row r="2824" spans="17:27" x14ac:dyDescent="0.3">
      <c r="Q2824" s="93">
        <v>46086</v>
      </c>
      <c r="R2824" t="s">
        <v>494</v>
      </c>
      <c r="S2824" t="s">
        <v>399</v>
      </c>
      <c r="T2824" s="14">
        <v>0</v>
      </c>
      <c r="W2824" s="20">
        <v>46237</v>
      </c>
      <c r="X2824" t="s">
        <v>272</v>
      </c>
      <c r="Y2824" s="23">
        <v>8.3653846153846096</v>
      </c>
      <c r="Z2824" s="23">
        <v>7.9307692307692301</v>
      </c>
      <c r="AA2824" s="23">
        <v>8.1480769230769194</v>
      </c>
    </row>
    <row r="2825" spans="17:27" x14ac:dyDescent="0.3">
      <c r="Q2825" s="93">
        <v>46086</v>
      </c>
      <c r="R2825" t="s">
        <v>495</v>
      </c>
      <c r="S2825" t="s">
        <v>399</v>
      </c>
      <c r="T2825" s="14">
        <v>0</v>
      </c>
      <c r="W2825" s="20">
        <v>46237</v>
      </c>
      <c r="X2825" t="s">
        <v>273</v>
      </c>
      <c r="Y2825" s="23">
        <v>8.4615384615384599</v>
      </c>
      <c r="Z2825" s="23">
        <v>7.9846153846153802</v>
      </c>
      <c r="AA2825" s="23">
        <v>8.2230769230769205</v>
      </c>
    </row>
    <row r="2826" spans="17:27" x14ac:dyDescent="0.3">
      <c r="Q2826" s="93">
        <v>46086</v>
      </c>
      <c r="R2826" t="s">
        <v>493</v>
      </c>
      <c r="S2826" t="s">
        <v>399</v>
      </c>
      <c r="T2826" s="14">
        <v>0</v>
      </c>
      <c r="W2826" s="20">
        <v>46237</v>
      </c>
      <c r="X2826" t="s">
        <v>274</v>
      </c>
      <c r="Y2826" s="23">
        <v>8.4769230769230806</v>
      </c>
      <c r="Z2826" s="23">
        <v>8</v>
      </c>
      <c r="AA2826" s="23">
        <v>8.2384615384615394</v>
      </c>
    </row>
    <row r="2827" spans="17:27" x14ac:dyDescent="0.3">
      <c r="Q2827" s="93">
        <v>46086</v>
      </c>
      <c r="R2827" t="s">
        <v>593</v>
      </c>
      <c r="S2827" t="s">
        <v>399</v>
      </c>
      <c r="T2827" s="14">
        <v>-2850</v>
      </c>
      <c r="W2827" s="20">
        <v>46237</v>
      </c>
      <c r="X2827" t="s">
        <v>275</v>
      </c>
      <c r="Y2827" s="23">
        <v>8.5</v>
      </c>
      <c r="Z2827" s="23">
        <v>8.0153846153846207</v>
      </c>
      <c r="AA2827" s="23">
        <v>8.2576923076923094</v>
      </c>
    </row>
    <row r="2828" spans="17:27" x14ac:dyDescent="0.3">
      <c r="Q2828" s="93">
        <v>46086</v>
      </c>
      <c r="R2828" t="s">
        <v>594</v>
      </c>
      <c r="S2828" t="s">
        <v>399</v>
      </c>
      <c r="T2828" s="14">
        <v>0</v>
      </c>
      <c r="W2828" s="20">
        <v>46237</v>
      </c>
      <c r="X2828" t="s">
        <v>276</v>
      </c>
      <c r="Y2828" s="23">
        <v>8.51538461538461</v>
      </c>
      <c r="Z2828" s="23">
        <v>8.0307692307692307</v>
      </c>
      <c r="AA2828" s="23">
        <v>8.2730769230769194</v>
      </c>
    </row>
    <row r="2829" spans="17:27" x14ac:dyDescent="0.3">
      <c r="Q2829" s="93">
        <v>46086</v>
      </c>
      <c r="R2829" t="s">
        <v>595</v>
      </c>
      <c r="S2829" t="s">
        <v>399</v>
      </c>
      <c r="T2829" s="14">
        <v>0</v>
      </c>
      <c r="W2829" s="20">
        <v>46237</v>
      </c>
      <c r="X2829" t="s">
        <v>277</v>
      </c>
      <c r="Y2829" s="23">
        <v>8.5615384615384595</v>
      </c>
      <c r="Z2829" s="23">
        <v>8.0769230769230802</v>
      </c>
      <c r="AA2829" s="23">
        <v>8.3192307692307708</v>
      </c>
    </row>
    <row r="2830" spans="17:27" x14ac:dyDescent="0.3">
      <c r="Q2830" s="93">
        <v>46086</v>
      </c>
      <c r="R2830" t="s">
        <v>479</v>
      </c>
      <c r="S2830" t="s">
        <v>395</v>
      </c>
      <c r="T2830" s="14">
        <v>10605.880425581699</v>
      </c>
      <c r="W2830" s="20">
        <v>46237</v>
      </c>
      <c r="X2830" t="s">
        <v>278</v>
      </c>
      <c r="Y2830" s="23">
        <v>8.5846153846153808</v>
      </c>
      <c r="Z2830" s="23">
        <v>8.1</v>
      </c>
      <c r="AA2830" s="23">
        <v>8.3423076923076902</v>
      </c>
    </row>
    <row r="2831" spans="17:27" x14ac:dyDescent="0.3">
      <c r="Q2831" s="93">
        <v>46086</v>
      </c>
      <c r="R2831" t="s">
        <v>479</v>
      </c>
      <c r="S2831" t="s">
        <v>415</v>
      </c>
      <c r="T2831" s="14">
        <v>6.1047439242558204</v>
      </c>
      <c r="W2831" s="20">
        <v>46237</v>
      </c>
      <c r="X2831" t="s">
        <v>279</v>
      </c>
      <c r="Y2831" s="23">
        <v>8.6230769230769209</v>
      </c>
      <c r="Z2831" s="23">
        <v>8.1384615384615397</v>
      </c>
      <c r="AA2831" s="23">
        <v>8.3807692307692303</v>
      </c>
    </row>
    <row r="2832" spans="17:27" x14ac:dyDescent="0.3">
      <c r="Q2832" s="93">
        <v>46086</v>
      </c>
      <c r="R2832" t="s">
        <v>364</v>
      </c>
      <c r="S2832" t="s">
        <v>415</v>
      </c>
      <c r="T2832" s="14">
        <v>5.9702349268535997</v>
      </c>
      <c r="W2832" s="20">
        <v>46237</v>
      </c>
      <c r="X2832" t="s">
        <v>280</v>
      </c>
      <c r="Y2832" s="23">
        <v>8.6384615384615397</v>
      </c>
      <c r="Z2832" s="23">
        <v>8.1538461538461497</v>
      </c>
      <c r="AA2832" s="23">
        <v>8.3961538461538492</v>
      </c>
    </row>
    <row r="2833" spans="17:27" x14ac:dyDescent="0.3">
      <c r="Q2833" s="93">
        <v>46086</v>
      </c>
      <c r="R2833" t="s">
        <v>364</v>
      </c>
      <c r="S2833" t="s">
        <v>997</v>
      </c>
      <c r="T2833" s="14">
        <v>28253.658100000001</v>
      </c>
      <c r="W2833" s="20">
        <v>46237</v>
      </c>
      <c r="X2833" t="s">
        <v>281</v>
      </c>
      <c r="Y2833" s="23">
        <v>8.6538461538461497</v>
      </c>
      <c r="Z2833" s="23">
        <v>8.1692307692307704</v>
      </c>
      <c r="AA2833" s="23">
        <v>8.4115384615384592</v>
      </c>
    </row>
    <row r="2834" spans="17:27" x14ac:dyDescent="0.3">
      <c r="Q2834" s="93">
        <v>46086</v>
      </c>
      <c r="R2834" t="s">
        <v>496</v>
      </c>
      <c r="S2834" t="s">
        <v>997</v>
      </c>
      <c r="T2834" s="14">
        <v>31103.658100000001</v>
      </c>
      <c r="W2834" s="20">
        <v>46238</v>
      </c>
      <c r="X2834" t="s">
        <v>270</v>
      </c>
      <c r="Y2834" s="23">
        <v>7.9249999999999998</v>
      </c>
      <c r="Z2834" s="23">
        <v>7.4874999999999998</v>
      </c>
      <c r="AA2834" s="23">
        <v>7.7062499999999998</v>
      </c>
    </row>
    <row r="2835" spans="17:27" x14ac:dyDescent="0.3">
      <c r="Q2835" s="93">
        <v>46085</v>
      </c>
      <c r="R2835" t="s">
        <v>479</v>
      </c>
      <c r="S2835" t="s">
        <v>399</v>
      </c>
      <c r="T2835" s="14">
        <v>9897.6106</v>
      </c>
      <c r="W2835" s="20">
        <v>46238</v>
      </c>
      <c r="X2835" t="s">
        <v>271</v>
      </c>
      <c r="Y2835" s="23">
        <v>8.6333333333333293</v>
      </c>
      <c r="Z2835" s="23">
        <v>8.1666666666666696</v>
      </c>
      <c r="AA2835" s="23">
        <v>8.4</v>
      </c>
    </row>
    <row r="2836" spans="17:27" x14ac:dyDescent="0.3">
      <c r="Q2836" s="93">
        <v>46085</v>
      </c>
      <c r="R2836" t="s">
        <v>364</v>
      </c>
      <c r="S2836" t="s">
        <v>399</v>
      </c>
      <c r="T2836" s="14">
        <v>20753.658100000001</v>
      </c>
      <c r="W2836" s="20">
        <v>46238</v>
      </c>
      <c r="X2836" t="s">
        <v>272</v>
      </c>
      <c r="Y2836" s="23">
        <v>8.3653846153846096</v>
      </c>
      <c r="Z2836" s="23">
        <v>7.9307692307692301</v>
      </c>
      <c r="AA2836" s="23">
        <v>8.1480769230769194</v>
      </c>
    </row>
    <row r="2837" spans="17:27" x14ac:dyDescent="0.3">
      <c r="Q2837" s="93">
        <v>46085</v>
      </c>
      <c r="R2837" t="s">
        <v>491</v>
      </c>
      <c r="S2837" t="s">
        <v>399</v>
      </c>
      <c r="T2837" s="14">
        <v>397.61059999999998</v>
      </c>
      <c r="W2837" s="20">
        <v>46238</v>
      </c>
      <c r="X2837" t="s">
        <v>273</v>
      </c>
      <c r="Y2837" s="23">
        <v>8.4615384615384599</v>
      </c>
      <c r="Z2837" s="23">
        <v>7.9846153846153802</v>
      </c>
      <c r="AA2837" s="23">
        <v>8.2230769230769205</v>
      </c>
    </row>
    <row r="2838" spans="17:27" x14ac:dyDescent="0.3">
      <c r="Q2838" s="93">
        <v>46085</v>
      </c>
      <c r="R2838" t="s">
        <v>492</v>
      </c>
      <c r="S2838" t="s">
        <v>399</v>
      </c>
      <c r="T2838" s="14">
        <v>9500</v>
      </c>
      <c r="W2838" s="20">
        <v>46238</v>
      </c>
      <c r="X2838" t="s">
        <v>274</v>
      </c>
      <c r="Y2838" s="23">
        <v>8.4769230769230806</v>
      </c>
      <c r="Z2838" s="23">
        <v>8</v>
      </c>
      <c r="AA2838" s="23">
        <v>8.2384615384615394</v>
      </c>
    </row>
    <row r="2839" spans="17:27" x14ac:dyDescent="0.3">
      <c r="Q2839" s="93">
        <v>46085</v>
      </c>
      <c r="R2839" t="s">
        <v>496</v>
      </c>
      <c r="S2839" t="s">
        <v>399</v>
      </c>
      <c r="T2839" s="14">
        <v>26939.158100000001</v>
      </c>
      <c r="W2839" s="20">
        <v>46238</v>
      </c>
      <c r="X2839" t="s">
        <v>275</v>
      </c>
      <c r="Y2839" s="23">
        <v>8.5</v>
      </c>
      <c r="Z2839" s="23">
        <v>8.0153846153846207</v>
      </c>
      <c r="AA2839" s="23">
        <v>8.2576923076923094</v>
      </c>
    </row>
    <row r="2840" spans="17:27" x14ac:dyDescent="0.3">
      <c r="Q2840" s="93">
        <v>46085</v>
      </c>
      <c r="R2840" t="s">
        <v>497</v>
      </c>
      <c r="S2840" t="s">
        <v>399</v>
      </c>
      <c r="T2840" s="14">
        <v>397.61059999999998</v>
      </c>
      <c r="W2840" s="20">
        <v>46238</v>
      </c>
      <c r="X2840" t="s">
        <v>276</v>
      </c>
      <c r="Y2840" s="23">
        <v>8.51538461538461</v>
      </c>
      <c r="Z2840" s="23">
        <v>8.0307692307692307</v>
      </c>
      <c r="AA2840" s="23">
        <v>8.2730769230769194</v>
      </c>
    </row>
    <row r="2841" spans="17:27" x14ac:dyDescent="0.3">
      <c r="Q2841" s="93">
        <v>46085</v>
      </c>
      <c r="R2841" t="s">
        <v>498</v>
      </c>
      <c r="S2841" t="s">
        <v>399</v>
      </c>
      <c r="T2841" s="14">
        <v>9500</v>
      </c>
      <c r="W2841" s="20">
        <v>46238</v>
      </c>
      <c r="X2841" t="s">
        <v>277</v>
      </c>
      <c r="Y2841" s="23">
        <v>8.5615384615384595</v>
      </c>
      <c r="Z2841" s="23">
        <v>8.0769230769230802</v>
      </c>
      <c r="AA2841" s="23">
        <v>8.3192307692307708</v>
      </c>
    </row>
    <row r="2842" spans="17:27" x14ac:dyDescent="0.3">
      <c r="Q2842" s="93">
        <v>46085</v>
      </c>
      <c r="R2842" t="s">
        <v>494</v>
      </c>
      <c r="S2842" t="s">
        <v>399</v>
      </c>
      <c r="T2842" s="14">
        <v>0</v>
      </c>
      <c r="W2842" s="20">
        <v>46238</v>
      </c>
      <c r="X2842" t="s">
        <v>278</v>
      </c>
      <c r="Y2842" s="23">
        <v>8.5846153846153808</v>
      </c>
      <c r="Z2842" s="23">
        <v>8.1</v>
      </c>
      <c r="AA2842" s="23">
        <v>8.3423076923076902</v>
      </c>
    </row>
    <row r="2843" spans="17:27" x14ac:dyDescent="0.3">
      <c r="Q2843" s="93">
        <v>46085</v>
      </c>
      <c r="R2843" t="s">
        <v>495</v>
      </c>
      <c r="S2843" t="s">
        <v>399</v>
      </c>
      <c r="T2843" s="14">
        <v>0</v>
      </c>
      <c r="W2843" s="20">
        <v>46238</v>
      </c>
      <c r="X2843" t="s">
        <v>279</v>
      </c>
      <c r="Y2843" s="23">
        <v>8.6230769230769209</v>
      </c>
      <c r="Z2843" s="23">
        <v>8.1384615384615397</v>
      </c>
      <c r="AA2843" s="23">
        <v>8.3807692307692303</v>
      </c>
    </row>
    <row r="2844" spans="17:27" x14ac:dyDescent="0.3">
      <c r="Q2844" s="93">
        <v>46085</v>
      </c>
      <c r="R2844" t="s">
        <v>493</v>
      </c>
      <c r="S2844" t="s">
        <v>399</v>
      </c>
      <c r="T2844" s="14">
        <v>0</v>
      </c>
      <c r="W2844" s="20">
        <v>46238</v>
      </c>
      <c r="X2844" t="s">
        <v>280</v>
      </c>
      <c r="Y2844" s="23">
        <v>8.6384615384615397</v>
      </c>
      <c r="Z2844" s="23">
        <v>8.1538461538461497</v>
      </c>
      <c r="AA2844" s="23">
        <v>8.3961538461538492</v>
      </c>
    </row>
    <row r="2845" spans="17:27" x14ac:dyDescent="0.3">
      <c r="Q2845" s="93">
        <v>46085</v>
      </c>
      <c r="R2845" t="s">
        <v>593</v>
      </c>
      <c r="S2845" t="s">
        <v>399</v>
      </c>
      <c r="T2845" s="14">
        <v>-6185.5</v>
      </c>
      <c r="W2845" s="20">
        <v>46238</v>
      </c>
      <c r="X2845" t="s">
        <v>281</v>
      </c>
      <c r="Y2845" s="23">
        <v>8.6538461538461497</v>
      </c>
      <c r="Z2845" s="23">
        <v>8.1692307692307704</v>
      </c>
      <c r="AA2845" s="23">
        <v>8.4115384615384592</v>
      </c>
    </row>
    <row r="2846" spans="17:27" x14ac:dyDescent="0.3">
      <c r="Q2846" s="93">
        <v>46085</v>
      </c>
      <c r="R2846" t="s">
        <v>594</v>
      </c>
      <c r="S2846" t="s">
        <v>399</v>
      </c>
      <c r="T2846" s="14">
        <v>0</v>
      </c>
      <c r="W2846" s="20">
        <v>46239</v>
      </c>
      <c r="X2846" t="s">
        <v>270</v>
      </c>
      <c r="Y2846" s="23">
        <v>8</v>
      </c>
      <c r="Z2846" s="23">
        <v>7.5142857142857196</v>
      </c>
      <c r="AA2846" s="23">
        <v>7.7571428571428598</v>
      </c>
    </row>
    <row r="2847" spans="17:27" x14ac:dyDescent="0.3">
      <c r="Q2847" s="93">
        <v>46085</v>
      </c>
      <c r="R2847" t="s">
        <v>595</v>
      </c>
      <c r="S2847" t="s">
        <v>399</v>
      </c>
      <c r="T2847" s="14">
        <v>0</v>
      </c>
      <c r="W2847" s="20">
        <v>46239</v>
      </c>
      <c r="X2847" t="s">
        <v>271</v>
      </c>
      <c r="Y2847" s="23">
        <v>8.6333333333333293</v>
      </c>
      <c r="Z2847" s="23">
        <v>8.1666666666666696</v>
      </c>
      <c r="AA2847" s="23">
        <v>8.4</v>
      </c>
    </row>
    <row r="2848" spans="17:27" x14ac:dyDescent="0.3">
      <c r="Q2848" s="93">
        <v>46085</v>
      </c>
      <c r="R2848" t="s">
        <v>479</v>
      </c>
      <c r="S2848" t="s">
        <v>395</v>
      </c>
      <c r="T2848" s="14">
        <v>10595.9109029135</v>
      </c>
      <c r="W2848" s="20">
        <v>46239</v>
      </c>
      <c r="X2848" t="s">
        <v>272</v>
      </c>
      <c r="Y2848" s="23">
        <v>8.3833333333333293</v>
      </c>
      <c r="Z2848" s="23">
        <v>8.2666666666666693</v>
      </c>
      <c r="AA2848" s="23">
        <v>8.3249999999999993</v>
      </c>
    </row>
    <row r="2849" spans="17:27" x14ac:dyDescent="0.3">
      <c r="Q2849" s="93">
        <v>46085</v>
      </c>
      <c r="R2849" t="s">
        <v>479</v>
      </c>
      <c r="S2849" t="s">
        <v>415</v>
      </c>
      <c r="T2849" s="14">
        <v>6.1047439242558204</v>
      </c>
      <c r="W2849" s="20">
        <v>46239</v>
      </c>
      <c r="X2849" t="s">
        <v>273</v>
      </c>
      <c r="Y2849" s="23">
        <v>8.4615384615384599</v>
      </c>
      <c r="Z2849" s="23">
        <v>7.9846153846153802</v>
      </c>
      <c r="AA2849" s="23">
        <v>8.2230769230769205</v>
      </c>
    </row>
    <row r="2850" spans="17:27" x14ac:dyDescent="0.3">
      <c r="Q2850" s="93">
        <v>46085</v>
      </c>
      <c r="R2850" t="s">
        <v>364</v>
      </c>
      <c r="S2850" t="s">
        <v>415</v>
      </c>
      <c r="T2850" s="14">
        <v>5.9507253258033499</v>
      </c>
      <c r="W2850" s="20">
        <v>46239</v>
      </c>
      <c r="X2850" t="s">
        <v>274</v>
      </c>
      <c r="Y2850" s="23">
        <v>8.4769230769230806</v>
      </c>
      <c r="Z2850" s="23">
        <v>8</v>
      </c>
      <c r="AA2850" s="23">
        <v>8.2384615384615394</v>
      </c>
    </row>
    <row r="2851" spans="17:27" x14ac:dyDescent="0.3">
      <c r="Q2851" s="93">
        <v>46085</v>
      </c>
      <c r="R2851" t="s">
        <v>364</v>
      </c>
      <c r="S2851" t="s">
        <v>997</v>
      </c>
      <c r="T2851" s="14">
        <v>28153.658100000001</v>
      </c>
      <c r="W2851" s="20">
        <v>46239</v>
      </c>
      <c r="X2851" t="s">
        <v>275</v>
      </c>
      <c r="Y2851" s="23">
        <v>8.5</v>
      </c>
      <c r="Z2851" s="23">
        <v>8.0153846153846207</v>
      </c>
      <c r="AA2851" s="23">
        <v>8.2576923076923094</v>
      </c>
    </row>
    <row r="2852" spans="17:27" x14ac:dyDescent="0.3">
      <c r="Q2852" s="93">
        <v>46085</v>
      </c>
      <c r="R2852" t="s">
        <v>496</v>
      </c>
      <c r="S2852" t="s">
        <v>997</v>
      </c>
      <c r="T2852" s="14">
        <v>34339.158100000001</v>
      </c>
      <c r="W2852" s="20">
        <v>46239</v>
      </c>
      <c r="X2852" t="s">
        <v>276</v>
      </c>
      <c r="Y2852" s="23">
        <v>8.51538461538461</v>
      </c>
      <c r="Z2852" s="23">
        <v>8.0307692307692307</v>
      </c>
      <c r="AA2852" s="23">
        <v>8.2730769230769194</v>
      </c>
    </row>
    <row r="2853" spans="17:27" x14ac:dyDescent="0.3">
      <c r="Q2853" s="93">
        <v>46084</v>
      </c>
      <c r="R2853" t="s">
        <v>364</v>
      </c>
      <c r="S2853" t="s">
        <v>399</v>
      </c>
      <c r="T2853" s="14">
        <v>23301.658100000001</v>
      </c>
      <c r="W2853" s="20">
        <v>46239</v>
      </c>
      <c r="X2853" t="s">
        <v>277</v>
      </c>
      <c r="Y2853" s="23">
        <v>8.5615384615384595</v>
      </c>
      <c r="Z2853" s="23">
        <v>8.0769230769230802</v>
      </c>
      <c r="AA2853" s="23">
        <v>8.3192307692307708</v>
      </c>
    </row>
    <row r="2854" spans="17:27" x14ac:dyDescent="0.3">
      <c r="Q2854" s="93">
        <v>46084</v>
      </c>
      <c r="R2854" t="s">
        <v>491</v>
      </c>
      <c r="S2854" t="s">
        <v>399</v>
      </c>
      <c r="T2854" s="14">
        <v>397.61059999999998</v>
      </c>
      <c r="W2854" s="20">
        <v>46239</v>
      </c>
      <c r="X2854" t="s">
        <v>278</v>
      </c>
      <c r="Y2854" s="23">
        <v>8.5846153846153808</v>
      </c>
      <c r="Z2854" s="23">
        <v>8.1</v>
      </c>
      <c r="AA2854" s="23">
        <v>8.3423076923076902</v>
      </c>
    </row>
    <row r="2855" spans="17:27" x14ac:dyDescent="0.3">
      <c r="Q2855" s="93">
        <v>46084</v>
      </c>
      <c r="R2855" t="s">
        <v>492</v>
      </c>
      <c r="S2855" t="s">
        <v>399</v>
      </c>
      <c r="T2855" s="14">
        <v>9500</v>
      </c>
      <c r="W2855" s="20">
        <v>46239</v>
      </c>
      <c r="X2855" t="s">
        <v>279</v>
      </c>
      <c r="Y2855" s="23">
        <v>8.6230769230769209</v>
      </c>
      <c r="Z2855" s="23">
        <v>8.1384615384615397</v>
      </c>
      <c r="AA2855" s="23">
        <v>8.3807692307692303</v>
      </c>
    </row>
    <row r="2856" spans="17:27" x14ac:dyDescent="0.3">
      <c r="Q2856" s="93">
        <v>46084</v>
      </c>
      <c r="R2856" t="s">
        <v>496</v>
      </c>
      <c r="S2856" t="s">
        <v>399</v>
      </c>
      <c r="T2856" s="14">
        <v>28401.658100000001</v>
      </c>
      <c r="W2856" s="20">
        <v>46239</v>
      </c>
      <c r="X2856" t="s">
        <v>280</v>
      </c>
      <c r="Y2856" s="23">
        <v>8.6384615384615397</v>
      </c>
      <c r="Z2856" s="23">
        <v>8.1538461538461497</v>
      </c>
      <c r="AA2856" s="23">
        <v>8.3961538461538492</v>
      </c>
    </row>
    <row r="2857" spans="17:27" x14ac:dyDescent="0.3">
      <c r="Q2857" s="93">
        <v>46084</v>
      </c>
      <c r="R2857" t="s">
        <v>497</v>
      </c>
      <c r="S2857" t="s">
        <v>399</v>
      </c>
      <c r="T2857" s="14">
        <v>397.61059999999998</v>
      </c>
      <c r="W2857" s="20">
        <v>46239</v>
      </c>
      <c r="X2857" t="s">
        <v>281</v>
      </c>
      <c r="Y2857" s="23">
        <v>8.6538461538461497</v>
      </c>
      <c r="Z2857" s="23">
        <v>8.1692307692307704</v>
      </c>
      <c r="AA2857" s="23">
        <v>8.4115384615384592</v>
      </c>
    </row>
    <row r="2858" spans="17:27" x14ac:dyDescent="0.3">
      <c r="Q2858" s="93">
        <v>46084</v>
      </c>
      <c r="R2858" t="s">
        <v>498</v>
      </c>
      <c r="S2858" t="s">
        <v>399</v>
      </c>
      <c r="T2858" s="14">
        <v>9500</v>
      </c>
      <c r="W2858" s="20">
        <v>46240</v>
      </c>
      <c r="X2858" t="s">
        <v>270</v>
      </c>
      <c r="Y2858" s="23">
        <v>7.9857142857142902</v>
      </c>
      <c r="Z2858" s="23">
        <v>7.5</v>
      </c>
      <c r="AA2858" s="23">
        <v>7.7428571428571402</v>
      </c>
    </row>
    <row r="2859" spans="17:27" x14ac:dyDescent="0.3">
      <c r="Q2859" s="93">
        <v>46084</v>
      </c>
      <c r="R2859" t="s">
        <v>494</v>
      </c>
      <c r="S2859" t="s">
        <v>399</v>
      </c>
      <c r="T2859" s="14">
        <v>0</v>
      </c>
      <c r="W2859" s="20">
        <v>46240</v>
      </c>
      <c r="X2859" t="s">
        <v>271</v>
      </c>
      <c r="Y2859" s="23">
        <v>8.6333333333333293</v>
      </c>
      <c r="Z2859" s="23">
        <v>8.1666666666666696</v>
      </c>
      <c r="AA2859" s="23">
        <v>8.4</v>
      </c>
    </row>
    <row r="2860" spans="17:27" x14ac:dyDescent="0.3">
      <c r="Q2860" s="93">
        <v>46084</v>
      </c>
      <c r="R2860" t="s">
        <v>495</v>
      </c>
      <c r="S2860" t="s">
        <v>399</v>
      </c>
      <c r="T2860" s="14">
        <v>0</v>
      </c>
      <c r="W2860" s="20">
        <v>46240</v>
      </c>
      <c r="X2860" t="s">
        <v>272</v>
      </c>
      <c r="Y2860" s="23">
        <v>8.3833333333333293</v>
      </c>
      <c r="Z2860" s="23">
        <v>8.2666666666666693</v>
      </c>
      <c r="AA2860" s="23">
        <v>8.3249999999999993</v>
      </c>
    </row>
    <row r="2861" spans="17:27" x14ac:dyDescent="0.3">
      <c r="Q2861" s="93">
        <v>46084</v>
      </c>
      <c r="R2861" t="s">
        <v>493</v>
      </c>
      <c r="S2861" t="s">
        <v>399</v>
      </c>
      <c r="T2861" s="14">
        <v>0</v>
      </c>
      <c r="W2861" s="20">
        <v>46240</v>
      </c>
      <c r="X2861" t="s">
        <v>273</v>
      </c>
      <c r="Y2861" s="23">
        <v>8.4615384615384599</v>
      </c>
      <c r="Z2861" s="23">
        <v>7.9846153846153802</v>
      </c>
      <c r="AA2861" s="23">
        <v>8.2230769230769205</v>
      </c>
    </row>
    <row r="2862" spans="17:27" x14ac:dyDescent="0.3">
      <c r="Q2862" s="93">
        <v>46084</v>
      </c>
      <c r="R2862" t="s">
        <v>593</v>
      </c>
      <c r="S2862" t="s">
        <v>399</v>
      </c>
      <c r="T2862" s="14">
        <v>-5100</v>
      </c>
      <c r="W2862" s="20">
        <v>46240</v>
      </c>
      <c r="X2862" t="s">
        <v>274</v>
      </c>
      <c r="Y2862" s="23">
        <v>8.4769230769230806</v>
      </c>
      <c r="Z2862" s="23">
        <v>8</v>
      </c>
      <c r="AA2862" s="23">
        <v>8.2384615384615394</v>
      </c>
    </row>
    <row r="2863" spans="17:27" x14ac:dyDescent="0.3">
      <c r="Q2863" s="93">
        <v>46084</v>
      </c>
      <c r="R2863" t="s">
        <v>594</v>
      </c>
      <c r="S2863" t="s">
        <v>399</v>
      </c>
      <c r="T2863" s="14">
        <v>0</v>
      </c>
      <c r="W2863" s="20">
        <v>46240</v>
      </c>
      <c r="X2863" t="s">
        <v>275</v>
      </c>
      <c r="Y2863" s="23">
        <v>8.5</v>
      </c>
      <c r="Z2863" s="23">
        <v>8.0153846153846207</v>
      </c>
      <c r="AA2863" s="23">
        <v>8.2576923076923094</v>
      </c>
    </row>
    <row r="2864" spans="17:27" x14ac:dyDescent="0.3">
      <c r="Q2864" s="93">
        <v>46084</v>
      </c>
      <c r="R2864" t="s">
        <v>595</v>
      </c>
      <c r="S2864" t="s">
        <v>399</v>
      </c>
      <c r="T2864" s="14">
        <v>0</v>
      </c>
      <c r="W2864" s="20">
        <v>46240</v>
      </c>
      <c r="X2864" t="s">
        <v>276</v>
      </c>
      <c r="Y2864" s="23">
        <v>8.51538461538461</v>
      </c>
      <c r="Z2864" s="23">
        <v>8.0307692307692307</v>
      </c>
      <c r="AA2864" s="23">
        <v>8.2730769230769194</v>
      </c>
    </row>
    <row r="2865" spans="17:27" x14ac:dyDescent="0.3">
      <c r="Q2865" s="93">
        <v>46084</v>
      </c>
      <c r="R2865" t="s">
        <v>479</v>
      </c>
      <c r="S2865" t="s">
        <v>395</v>
      </c>
      <c r="T2865" s="14">
        <v>10608.140879557201</v>
      </c>
      <c r="W2865" s="20">
        <v>46240</v>
      </c>
      <c r="X2865" t="s">
        <v>277</v>
      </c>
      <c r="Y2865" s="23">
        <v>8.5615384615384595</v>
      </c>
      <c r="Z2865" s="23">
        <v>8.0769230769230802</v>
      </c>
      <c r="AA2865" s="23">
        <v>8.3192307692307708</v>
      </c>
    </row>
    <row r="2866" spans="17:27" x14ac:dyDescent="0.3">
      <c r="Q2866" s="93">
        <v>46084</v>
      </c>
      <c r="R2866" t="s">
        <v>479</v>
      </c>
      <c r="S2866" t="s">
        <v>415</v>
      </c>
      <c r="T2866" s="14">
        <v>6.1047439242558204</v>
      </c>
      <c r="W2866" s="20">
        <v>46240</v>
      </c>
      <c r="X2866" t="s">
        <v>278</v>
      </c>
      <c r="Y2866" s="23">
        <v>8.5846153846153808</v>
      </c>
      <c r="Z2866" s="23">
        <v>8.1</v>
      </c>
      <c r="AA2866" s="23">
        <v>8.3423076923076902</v>
      </c>
    </row>
    <row r="2867" spans="17:27" x14ac:dyDescent="0.3">
      <c r="Q2867" s="93">
        <v>46084</v>
      </c>
      <c r="R2867" t="s">
        <v>364</v>
      </c>
      <c r="S2867" t="s">
        <v>415</v>
      </c>
      <c r="T2867" s="14">
        <v>5.9224806623717798</v>
      </c>
      <c r="W2867" s="20">
        <v>46240</v>
      </c>
      <c r="X2867" t="s">
        <v>279</v>
      </c>
      <c r="Y2867" s="23">
        <v>8.6230769230769209</v>
      </c>
      <c r="Z2867" s="23">
        <v>8.1384615384615397</v>
      </c>
      <c r="AA2867" s="23">
        <v>8.3807692307692303</v>
      </c>
    </row>
    <row r="2868" spans="17:27" x14ac:dyDescent="0.3">
      <c r="Q2868" s="93">
        <v>46084</v>
      </c>
      <c r="R2868" t="s">
        <v>364</v>
      </c>
      <c r="S2868" t="s">
        <v>997</v>
      </c>
      <c r="T2868" s="14">
        <v>30701.658100000001</v>
      </c>
      <c r="W2868" s="20">
        <v>46240</v>
      </c>
      <c r="X2868" t="s">
        <v>280</v>
      </c>
      <c r="Y2868" s="23">
        <v>8.6384615384615397</v>
      </c>
      <c r="Z2868" s="23">
        <v>8.1538461538461497</v>
      </c>
      <c r="AA2868" s="23">
        <v>8.3961538461538492</v>
      </c>
    </row>
    <row r="2869" spans="17:27" x14ac:dyDescent="0.3">
      <c r="Q2869" s="93">
        <v>46084</v>
      </c>
      <c r="R2869" t="s">
        <v>496</v>
      </c>
      <c r="S2869" t="s">
        <v>997</v>
      </c>
      <c r="T2869" s="14">
        <v>35801.658100000001</v>
      </c>
      <c r="W2869" s="20">
        <v>46240</v>
      </c>
      <c r="X2869" t="s">
        <v>281</v>
      </c>
      <c r="Y2869" s="23">
        <v>8.6538461538461497</v>
      </c>
      <c r="Z2869" s="23">
        <v>8.1692307692307704</v>
      </c>
      <c r="AA2869" s="23">
        <v>8.4115384615384592</v>
      </c>
    </row>
    <row r="2870" spans="17:27" x14ac:dyDescent="0.3">
      <c r="Q2870" s="93">
        <v>46084</v>
      </c>
      <c r="R2870" t="s">
        <v>479</v>
      </c>
      <c r="S2870" t="s">
        <v>399</v>
      </c>
      <c r="T2870" s="14">
        <v>9897.6106</v>
      </c>
      <c r="W2870" s="20">
        <v>46241</v>
      </c>
      <c r="X2870" t="s">
        <v>270</v>
      </c>
      <c r="Y2870" s="23">
        <v>8</v>
      </c>
      <c r="Z2870" s="23">
        <v>7.5142857142857196</v>
      </c>
      <c r="AA2870" s="23">
        <v>7.7571428571428598</v>
      </c>
    </row>
    <row r="2871" spans="17:27" x14ac:dyDescent="0.3">
      <c r="Q2871" s="93">
        <v>46083</v>
      </c>
      <c r="R2871" t="s">
        <v>479</v>
      </c>
      <c r="S2871" t="s">
        <v>399</v>
      </c>
      <c r="T2871" s="14">
        <v>9897.6106</v>
      </c>
      <c r="W2871" s="20">
        <v>46241</v>
      </c>
      <c r="X2871" t="s">
        <v>271</v>
      </c>
      <c r="Y2871" s="23">
        <v>8.6333333333333293</v>
      </c>
      <c r="Z2871" s="23">
        <v>8.1666666666666696</v>
      </c>
      <c r="AA2871" s="23">
        <v>8.4</v>
      </c>
    </row>
    <row r="2872" spans="17:27" x14ac:dyDescent="0.3">
      <c r="Q2872" s="93">
        <v>46083</v>
      </c>
      <c r="R2872" t="s">
        <v>364</v>
      </c>
      <c r="S2872" t="s">
        <v>399</v>
      </c>
      <c r="T2872" s="14">
        <v>26872.336200000002</v>
      </c>
      <c r="W2872" s="20">
        <v>46241</v>
      </c>
      <c r="X2872" t="s">
        <v>272</v>
      </c>
      <c r="Y2872" s="23">
        <v>8.3833333333333293</v>
      </c>
      <c r="Z2872" s="23">
        <v>8.2666666666666693</v>
      </c>
      <c r="AA2872" s="23">
        <v>8.3249999999999993</v>
      </c>
    </row>
    <row r="2873" spans="17:27" x14ac:dyDescent="0.3">
      <c r="Q2873" s="93">
        <v>46083</v>
      </c>
      <c r="R2873" t="s">
        <v>491</v>
      </c>
      <c r="S2873" t="s">
        <v>399</v>
      </c>
      <c r="T2873" s="14">
        <v>397.61059999999998</v>
      </c>
      <c r="W2873" s="20">
        <v>46241</v>
      </c>
      <c r="X2873" t="s">
        <v>273</v>
      </c>
      <c r="Y2873" s="23">
        <v>8.4615384615384599</v>
      </c>
      <c r="Z2873" s="23">
        <v>7.9846153846153802</v>
      </c>
      <c r="AA2873" s="23">
        <v>8.2230769230769205</v>
      </c>
    </row>
    <row r="2874" spans="17:27" x14ac:dyDescent="0.3">
      <c r="Q2874" s="93">
        <v>46083</v>
      </c>
      <c r="R2874" t="s">
        <v>492</v>
      </c>
      <c r="S2874" t="s">
        <v>399</v>
      </c>
      <c r="T2874" s="14">
        <v>9500</v>
      </c>
      <c r="W2874" s="20">
        <v>46241</v>
      </c>
      <c r="X2874" t="s">
        <v>274</v>
      </c>
      <c r="Y2874" s="23">
        <v>8.4769230769230806</v>
      </c>
      <c r="Z2874" s="23">
        <v>8</v>
      </c>
      <c r="AA2874" s="23">
        <v>8.2384615384615394</v>
      </c>
    </row>
    <row r="2875" spans="17:27" x14ac:dyDescent="0.3">
      <c r="Q2875" s="93">
        <v>46083</v>
      </c>
      <c r="R2875" t="s">
        <v>496</v>
      </c>
      <c r="S2875" t="s">
        <v>399</v>
      </c>
      <c r="T2875" s="14">
        <v>29772.336200000002</v>
      </c>
      <c r="W2875" s="20">
        <v>46241</v>
      </c>
      <c r="X2875" t="s">
        <v>275</v>
      </c>
      <c r="Y2875" s="23">
        <v>8.5</v>
      </c>
      <c r="Z2875" s="23">
        <v>8.0153846153846207</v>
      </c>
      <c r="AA2875" s="23">
        <v>8.2576923076923094</v>
      </c>
    </row>
    <row r="2876" spans="17:27" x14ac:dyDescent="0.3">
      <c r="Q2876" s="93">
        <v>46083</v>
      </c>
      <c r="R2876" t="s">
        <v>497</v>
      </c>
      <c r="S2876" t="s">
        <v>399</v>
      </c>
      <c r="T2876" s="14">
        <v>397.61059999999998</v>
      </c>
      <c r="W2876" s="20">
        <v>46241</v>
      </c>
      <c r="X2876" t="s">
        <v>276</v>
      </c>
      <c r="Y2876" s="23">
        <v>8.51538461538461</v>
      </c>
      <c r="Z2876" s="23">
        <v>8.0307692307692307</v>
      </c>
      <c r="AA2876" s="23">
        <v>8.2730769230769194</v>
      </c>
    </row>
    <row r="2877" spans="17:27" x14ac:dyDescent="0.3">
      <c r="Q2877" s="93">
        <v>46083</v>
      </c>
      <c r="R2877" t="s">
        <v>498</v>
      </c>
      <c r="S2877" t="s">
        <v>399</v>
      </c>
      <c r="T2877" s="14">
        <v>9500</v>
      </c>
      <c r="W2877" s="20">
        <v>46241</v>
      </c>
      <c r="X2877" t="s">
        <v>277</v>
      </c>
      <c r="Y2877" s="23">
        <v>8.5615384615384595</v>
      </c>
      <c r="Z2877" s="23">
        <v>8.0769230769230802</v>
      </c>
      <c r="AA2877" s="23">
        <v>8.3192307692307708</v>
      </c>
    </row>
    <row r="2878" spans="17:27" x14ac:dyDescent="0.3">
      <c r="Q2878" s="93">
        <v>46083</v>
      </c>
      <c r="R2878" t="s">
        <v>494</v>
      </c>
      <c r="S2878" t="s">
        <v>399</v>
      </c>
      <c r="T2878" s="14">
        <v>0</v>
      </c>
      <c r="W2878" s="20">
        <v>46241</v>
      </c>
      <c r="X2878" t="s">
        <v>278</v>
      </c>
      <c r="Y2878" s="23">
        <v>8.5846153846153808</v>
      </c>
      <c r="Z2878" s="23">
        <v>8.1</v>
      </c>
      <c r="AA2878" s="23">
        <v>8.3423076923076902</v>
      </c>
    </row>
    <row r="2879" spans="17:27" x14ac:dyDescent="0.3">
      <c r="Q2879" s="93">
        <v>46083</v>
      </c>
      <c r="R2879" t="s">
        <v>495</v>
      </c>
      <c r="S2879" t="s">
        <v>399</v>
      </c>
      <c r="T2879" s="14">
        <v>0</v>
      </c>
      <c r="W2879" s="20">
        <v>46241</v>
      </c>
      <c r="X2879" t="s">
        <v>279</v>
      </c>
      <c r="Y2879" s="23">
        <v>8.6230769230769209</v>
      </c>
      <c r="Z2879" s="23">
        <v>8.1384615384615397</v>
      </c>
      <c r="AA2879" s="23">
        <v>8.3807692307692303</v>
      </c>
    </row>
    <row r="2880" spans="17:27" x14ac:dyDescent="0.3">
      <c r="Q2880" s="93">
        <v>46083</v>
      </c>
      <c r="R2880" t="s">
        <v>493</v>
      </c>
      <c r="S2880" t="s">
        <v>399</v>
      </c>
      <c r="T2880" s="14">
        <v>0</v>
      </c>
      <c r="W2880" s="20">
        <v>46241</v>
      </c>
      <c r="X2880" t="s">
        <v>280</v>
      </c>
      <c r="Y2880" s="23">
        <v>8.6384615384615397</v>
      </c>
      <c r="Z2880" s="23">
        <v>8.1538461538461497</v>
      </c>
      <c r="AA2880" s="23">
        <v>8.3961538461538492</v>
      </c>
    </row>
    <row r="2881" spans="17:27" x14ac:dyDescent="0.3">
      <c r="Q2881" s="93">
        <v>46083</v>
      </c>
      <c r="R2881" t="s">
        <v>593</v>
      </c>
      <c r="S2881" t="s">
        <v>399</v>
      </c>
      <c r="T2881" s="14">
        <v>-2900</v>
      </c>
      <c r="W2881" s="20">
        <v>46241</v>
      </c>
      <c r="X2881" t="s">
        <v>281</v>
      </c>
      <c r="Y2881" s="23">
        <v>8.6538461538461497</v>
      </c>
      <c r="Z2881" s="23">
        <v>8.1692307692307704</v>
      </c>
      <c r="AA2881" s="23">
        <v>8.4115384615384592</v>
      </c>
    </row>
    <row r="2882" spans="17:27" x14ac:dyDescent="0.3">
      <c r="Q2882" s="93">
        <v>46083</v>
      </c>
      <c r="R2882" t="s">
        <v>594</v>
      </c>
      <c r="S2882" t="s">
        <v>399</v>
      </c>
      <c r="T2882" s="14">
        <v>0</v>
      </c>
      <c r="W2882" s="20">
        <v>46246</v>
      </c>
      <c r="X2882" t="s">
        <v>270</v>
      </c>
      <c r="Y2882" s="23">
        <v>7.9428571428571404</v>
      </c>
      <c r="Z2882" s="23">
        <v>7.45714285714286</v>
      </c>
      <c r="AA2882" s="23">
        <v>7.7</v>
      </c>
    </row>
    <row r="2883" spans="17:27" x14ac:dyDescent="0.3">
      <c r="Q2883" s="93">
        <v>46083</v>
      </c>
      <c r="R2883" t="s">
        <v>595</v>
      </c>
      <c r="S2883" t="s">
        <v>399</v>
      </c>
      <c r="T2883" s="14">
        <v>0</v>
      </c>
      <c r="W2883" s="20">
        <v>46246</v>
      </c>
      <c r="X2883" t="s">
        <v>271</v>
      </c>
      <c r="Y2883" s="23">
        <v>8.6333333333333293</v>
      </c>
      <c r="Z2883" s="23">
        <v>8.1666666666666696</v>
      </c>
      <c r="AA2883" s="23">
        <v>8.4</v>
      </c>
    </row>
    <row r="2884" spans="17:27" x14ac:dyDescent="0.3">
      <c r="Q2884" s="93">
        <v>46083</v>
      </c>
      <c r="R2884" t="s">
        <v>479</v>
      </c>
      <c r="S2884" t="s">
        <v>395</v>
      </c>
      <c r="T2884" s="14">
        <v>10600.4177273654</v>
      </c>
      <c r="W2884" s="20">
        <v>46246</v>
      </c>
      <c r="X2884" t="s">
        <v>272</v>
      </c>
      <c r="Y2884" s="23">
        <v>8.3833333333333293</v>
      </c>
      <c r="Z2884" s="23">
        <v>8.2666666666666693</v>
      </c>
      <c r="AA2884" s="23">
        <v>8.3249999999999993</v>
      </c>
    </row>
    <row r="2885" spans="17:27" x14ac:dyDescent="0.3">
      <c r="Q2885" s="93">
        <v>46083</v>
      </c>
      <c r="R2885" t="s">
        <v>479</v>
      </c>
      <c r="S2885" t="s">
        <v>415</v>
      </c>
      <c r="T2885" s="14">
        <v>6.1047439242558204</v>
      </c>
      <c r="W2885" s="20">
        <v>46246</v>
      </c>
      <c r="X2885" t="s">
        <v>273</v>
      </c>
      <c r="Y2885" s="23">
        <v>8.4538461538461505</v>
      </c>
      <c r="Z2885" s="23">
        <v>7.9846153846153802</v>
      </c>
      <c r="AA2885" s="23">
        <v>8.2192307692307693</v>
      </c>
    </row>
    <row r="2886" spans="17:27" x14ac:dyDescent="0.3">
      <c r="Q2886" s="93">
        <v>46083</v>
      </c>
      <c r="R2886" t="s">
        <v>364</v>
      </c>
      <c r="S2886" t="s">
        <v>415</v>
      </c>
      <c r="T2886" s="14">
        <v>5.9031098936290203</v>
      </c>
      <c r="W2886" s="20">
        <v>46246</v>
      </c>
      <c r="X2886" t="s">
        <v>274</v>
      </c>
      <c r="Y2886" s="23">
        <v>8.4769230769230806</v>
      </c>
      <c r="Z2886" s="23">
        <v>8</v>
      </c>
      <c r="AA2886" s="23">
        <v>8.2384615384615394</v>
      </c>
    </row>
    <row r="2887" spans="17:27" x14ac:dyDescent="0.3">
      <c r="Q2887" s="93">
        <v>46083</v>
      </c>
      <c r="R2887" t="s">
        <v>364</v>
      </c>
      <c r="S2887" t="s">
        <v>997</v>
      </c>
      <c r="T2887" s="14">
        <v>34272.336199999998</v>
      </c>
      <c r="W2887" s="20">
        <v>46246</v>
      </c>
      <c r="X2887" t="s">
        <v>275</v>
      </c>
      <c r="Y2887" s="23">
        <v>8.5</v>
      </c>
      <c r="Z2887" s="23">
        <v>8.0153846153846207</v>
      </c>
      <c r="AA2887" s="23">
        <v>8.2576923076923094</v>
      </c>
    </row>
    <row r="2888" spans="17:27" x14ac:dyDescent="0.3">
      <c r="Q2888" s="93">
        <v>46083</v>
      </c>
      <c r="R2888" t="s">
        <v>496</v>
      </c>
      <c r="S2888" t="s">
        <v>997</v>
      </c>
      <c r="T2888" s="14">
        <v>37172.336199999998</v>
      </c>
      <c r="W2888" s="20">
        <v>46246</v>
      </c>
      <c r="X2888" t="s">
        <v>276</v>
      </c>
      <c r="Y2888" s="23">
        <v>8.51538461538461</v>
      </c>
      <c r="Z2888" s="23">
        <v>8.0307692307692307</v>
      </c>
      <c r="AA2888" s="23">
        <v>8.2730769230769194</v>
      </c>
    </row>
    <row r="2889" spans="17:27" x14ac:dyDescent="0.3">
      <c r="Q2889" s="93">
        <v>46080</v>
      </c>
      <c r="R2889" t="s">
        <v>479</v>
      </c>
      <c r="S2889" t="s">
        <v>399</v>
      </c>
      <c r="T2889" s="14">
        <v>9897.6106</v>
      </c>
      <c r="W2889" s="20">
        <v>46246</v>
      </c>
      <c r="X2889" t="s">
        <v>277</v>
      </c>
      <c r="Y2889" s="23">
        <v>8.5615384615384595</v>
      </c>
      <c r="Z2889" s="23">
        <v>8.0769230769230802</v>
      </c>
      <c r="AA2889" s="23">
        <v>8.3192307692307708</v>
      </c>
    </row>
    <row r="2890" spans="17:27" x14ac:dyDescent="0.3">
      <c r="Q2890" s="93">
        <v>46080</v>
      </c>
      <c r="R2890" t="s">
        <v>364</v>
      </c>
      <c r="S2890" t="s">
        <v>399</v>
      </c>
      <c r="T2890" s="14">
        <v>29072.336200000002</v>
      </c>
      <c r="W2890" s="20">
        <v>46246</v>
      </c>
      <c r="X2890" t="s">
        <v>278</v>
      </c>
      <c r="Y2890" s="23">
        <v>8.5846153846153808</v>
      </c>
      <c r="Z2890" s="23">
        <v>8.1</v>
      </c>
      <c r="AA2890" s="23">
        <v>8.3423076923076902</v>
      </c>
    </row>
    <row r="2891" spans="17:27" x14ac:dyDescent="0.3">
      <c r="Q2891" s="93">
        <v>46080</v>
      </c>
      <c r="R2891" t="s">
        <v>491</v>
      </c>
      <c r="S2891" t="s">
        <v>399</v>
      </c>
      <c r="T2891" s="14">
        <v>397.61059999999998</v>
      </c>
      <c r="W2891" s="20">
        <v>46246</v>
      </c>
      <c r="X2891" t="s">
        <v>279</v>
      </c>
      <c r="Y2891" s="23">
        <v>8.6230769230769209</v>
      </c>
      <c r="Z2891" s="23">
        <v>8.1384615384615397</v>
      </c>
      <c r="AA2891" s="23">
        <v>8.3807692307692303</v>
      </c>
    </row>
    <row r="2892" spans="17:27" x14ac:dyDescent="0.3">
      <c r="Q2892" s="93">
        <v>46080</v>
      </c>
      <c r="R2892" t="s">
        <v>492</v>
      </c>
      <c r="S2892" t="s">
        <v>399</v>
      </c>
      <c r="T2892" s="14">
        <v>9500</v>
      </c>
      <c r="W2892" s="20">
        <v>46246</v>
      </c>
      <c r="X2892" t="s">
        <v>280</v>
      </c>
      <c r="Y2892" s="23">
        <v>8.6384615384615397</v>
      </c>
      <c r="Z2892" s="23">
        <v>8.1538461538461497</v>
      </c>
      <c r="AA2892" s="23">
        <v>8.3961538461538492</v>
      </c>
    </row>
    <row r="2893" spans="17:27" x14ac:dyDescent="0.3">
      <c r="Q2893" s="93">
        <v>46080</v>
      </c>
      <c r="R2893" t="s">
        <v>496</v>
      </c>
      <c r="S2893" t="s">
        <v>399</v>
      </c>
      <c r="T2893" s="14">
        <v>30972.336200000002</v>
      </c>
      <c r="W2893" s="20">
        <v>46246</v>
      </c>
      <c r="X2893" t="s">
        <v>281</v>
      </c>
      <c r="Y2893" s="23">
        <v>8.6538461538461497</v>
      </c>
      <c r="Z2893" s="23">
        <v>8.1692307692307704</v>
      </c>
      <c r="AA2893" s="23">
        <v>8.4115384615384592</v>
      </c>
    </row>
    <row r="2894" spans="17:27" x14ac:dyDescent="0.3">
      <c r="Q2894" s="93">
        <v>46080</v>
      </c>
      <c r="R2894" t="s">
        <v>497</v>
      </c>
      <c r="S2894" t="s">
        <v>399</v>
      </c>
      <c r="T2894" s="14">
        <v>397.61059999999998</v>
      </c>
      <c r="W2894" s="20">
        <v>46244</v>
      </c>
      <c r="X2894" t="s">
        <v>270</v>
      </c>
      <c r="Y2894" s="23">
        <v>7.9857142857142902</v>
      </c>
      <c r="Z2894" s="23">
        <v>7.5</v>
      </c>
      <c r="AA2894" s="23">
        <v>7.7428571428571402</v>
      </c>
    </row>
    <row r="2895" spans="17:27" x14ac:dyDescent="0.3">
      <c r="Q2895" s="93">
        <v>46080</v>
      </c>
      <c r="R2895" t="s">
        <v>498</v>
      </c>
      <c r="S2895" t="s">
        <v>399</v>
      </c>
      <c r="T2895" s="14">
        <v>9500</v>
      </c>
      <c r="W2895" s="20">
        <v>46244</v>
      </c>
      <c r="X2895" t="s">
        <v>271</v>
      </c>
      <c r="Y2895" s="23">
        <v>8.6333333333333293</v>
      </c>
      <c r="Z2895" s="23">
        <v>8.1666666666666696</v>
      </c>
      <c r="AA2895" s="23">
        <v>8.4</v>
      </c>
    </row>
    <row r="2896" spans="17:27" x14ac:dyDescent="0.3">
      <c r="Q2896" s="93">
        <v>46080</v>
      </c>
      <c r="R2896" t="s">
        <v>494</v>
      </c>
      <c r="S2896" t="s">
        <v>399</v>
      </c>
      <c r="T2896" s="14">
        <v>0</v>
      </c>
      <c r="W2896" s="20">
        <v>46244</v>
      </c>
      <c r="X2896" t="s">
        <v>272</v>
      </c>
      <c r="Y2896" s="23">
        <v>8.3833333333333293</v>
      </c>
      <c r="Z2896" s="23">
        <v>8.2666666666666693</v>
      </c>
      <c r="AA2896" s="23">
        <v>8.3249999999999993</v>
      </c>
    </row>
    <row r="2897" spans="17:27" x14ac:dyDescent="0.3">
      <c r="Q2897" s="93">
        <v>46080</v>
      </c>
      <c r="R2897" t="s">
        <v>495</v>
      </c>
      <c r="S2897" t="s">
        <v>399</v>
      </c>
      <c r="T2897" s="14">
        <v>0</v>
      </c>
      <c r="W2897" s="20">
        <v>46244</v>
      </c>
      <c r="X2897" t="s">
        <v>273</v>
      </c>
      <c r="Y2897" s="23">
        <v>8.4615384615384599</v>
      </c>
      <c r="Z2897" s="23">
        <v>7.9846153846153802</v>
      </c>
      <c r="AA2897" s="23">
        <v>8.2230769230769205</v>
      </c>
    </row>
    <row r="2898" spans="17:27" x14ac:dyDescent="0.3">
      <c r="Q2898" s="93">
        <v>46080</v>
      </c>
      <c r="R2898" t="s">
        <v>493</v>
      </c>
      <c r="S2898" t="s">
        <v>399</v>
      </c>
      <c r="T2898" s="14">
        <v>0</v>
      </c>
      <c r="W2898" s="20">
        <v>46244</v>
      </c>
      <c r="X2898" t="s">
        <v>274</v>
      </c>
      <c r="Y2898" s="23">
        <v>8.4769230769230806</v>
      </c>
      <c r="Z2898" s="23">
        <v>8</v>
      </c>
      <c r="AA2898" s="23">
        <v>8.2384615384615394</v>
      </c>
    </row>
    <row r="2899" spans="17:27" x14ac:dyDescent="0.3">
      <c r="Q2899" s="93">
        <v>46080</v>
      </c>
      <c r="R2899" t="s">
        <v>593</v>
      </c>
      <c r="S2899" t="s">
        <v>399</v>
      </c>
      <c r="T2899" s="14">
        <v>-1900</v>
      </c>
      <c r="W2899" s="20">
        <v>46244</v>
      </c>
      <c r="X2899" t="s">
        <v>275</v>
      </c>
      <c r="Y2899" s="23">
        <v>8.5</v>
      </c>
      <c r="Z2899" s="23">
        <v>8.0153846153846207</v>
      </c>
      <c r="AA2899" s="23">
        <v>8.2576923076923094</v>
      </c>
    </row>
    <row r="2900" spans="17:27" x14ac:dyDescent="0.3">
      <c r="Q2900" s="93">
        <v>46080</v>
      </c>
      <c r="R2900" t="s">
        <v>594</v>
      </c>
      <c r="S2900" t="s">
        <v>399</v>
      </c>
      <c r="T2900" s="14">
        <v>0</v>
      </c>
      <c r="W2900" s="20">
        <v>46244</v>
      </c>
      <c r="X2900" t="s">
        <v>276</v>
      </c>
      <c r="Y2900" s="23">
        <v>8.51538461538461</v>
      </c>
      <c r="Z2900" s="23">
        <v>8.0307692307692307</v>
      </c>
      <c r="AA2900" s="23">
        <v>8.2730769230769194</v>
      </c>
    </row>
    <row r="2901" spans="17:27" x14ac:dyDescent="0.3">
      <c r="Q2901" s="93">
        <v>46080</v>
      </c>
      <c r="R2901" t="s">
        <v>595</v>
      </c>
      <c r="S2901" t="s">
        <v>399</v>
      </c>
      <c r="T2901" s="14">
        <v>0</v>
      </c>
      <c r="W2901" s="20">
        <v>46244</v>
      </c>
      <c r="X2901" t="s">
        <v>277</v>
      </c>
      <c r="Y2901" s="23">
        <v>8.5615384615384595</v>
      </c>
      <c r="Z2901" s="23">
        <v>8.0769230769230802</v>
      </c>
      <c r="AA2901" s="23">
        <v>8.3192307692307708</v>
      </c>
    </row>
    <row r="2902" spans="17:27" x14ac:dyDescent="0.3">
      <c r="Q2902" s="93">
        <v>46080</v>
      </c>
      <c r="R2902" t="s">
        <v>479</v>
      </c>
      <c r="S2902" t="s">
        <v>395</v>
      </c>
      <c r="T2902" s="14">
        <v>10608.615600446899</v>
      </c>
      <c r="W2902" s="20">
        <v>46244</v>
      </c>
      <c r="X2902" t="s">
        <v>278</v>
      </c>
      <c r="Y2902" s="23">
        <v>8.5846153846153808</v>
      </c>
      <c r="Z2902" s="23">
        <v>8.1</v>
      </c>
      <c r="AA2902" s="23">
        <v>8.3423076923076902</v>
      </c>
    </row>
    <row r="2903" spans="17:27" x14ac:dyDescent="0.3">
      <c r="Q2903" s="93">
        <v>46080</v>
      </c>
      <c r="R2903" t="s">
        <v>479</v>
      </c>
      <c r="S2903" t="s">
        <v>415</v>
      </c>
      <c r="T2903" s="14">
        <v>6.1047439242558204</v>
      </c>
      <c r="W2903" s="20">
        <v>46244</v>
      </c>
      <c r="X2903" t="s">
        <v>279</v>
      </c>
      <c r="Y2903" s="23">
        <v>8.6230769230769209</v>
      </c>
      <c r="Z2903" s="23">
        <v>8.1384615384615397</v>
      </c>
      <c r="AA2903" s="23">
        <v>8.3807692307692303</v>
      </c>
    </row>
    <row r="2904" spans="17:27" x14ac:dyDescent="0.3">
      <c r="Q2904" s="93">
        <v>46080</v>
      </c>
      <c r="R2904" t="s">
        <v>364</v>
      </c>
      <c r="S2904" t="s">
        <v>415</v>
      </c>
      <c r="T2904" s="14">
        <v>5.8636153808846299</v>
      </c>
      <c r="W2904" s="20">
        <v>46244</v>
      </c>
      <c r="X2904" t="s">
        <v>280</v>
      </c>
      <c r="Y2904" s="23">
        <v>8.6384615384615397</v>
      </c>
      <c r="Z2904" s="23">
        <v>8.1538461538461497</v>
      </c>
      <c r="AA2904" s="23">
        <v>8.3961538461538492</v>
      </c>
    </row>
    <row r="2905" spans="17:27" x14ac:dyDescent="0.3">
      <c r="Q2905" s="93">
        <v>46080</v>
      </c>
      <c r="R2905" t="s">
        <v>364</v>
      </c>
      <c r="S2905" t="s">
        <v>997</v>
      </c>
      <c r="T2905" s="14">
        <v>36472.336199999998</v>
      </c>
      <c r="W2905" s="20">
        <v>46244</v>
      </c>
      <c r="X2905" t="s">
        <v>281</v>
      </c>
      <c r="Y2905" s="23">
        <v>8.6538461538461497</v>
      </c>
      <c r="Z2905" s="23">
        <v>8.1692307692307704</v>
      </c>
      <c r="AA2905" s="23">
        <v>8.4115384615384592</v>
      </c>
    </row>
    <row r="2906" spans="17:27" x14ac:dyDescent="0.3">
      <c r="Q2906" s="93">
        <v>46080</v>
      </c>
      <c r="R2906" t="s">
        <v>496</v>
      </c>
      <c r="S2906" t="s">
        <v>997</v>
      </c>
      <c r="T2906" s="14">
        <v>38372.336199999998</v>
      </c>
      <c r="W2906" s="20">
        <v>46245</v>
      </c>
      <c r="X2906" t="s">
        <v>270</v>
      </c>
      <c r="Y2906" s="23">
        <v>7.9857142857142902</v>
      </c>
      <c r="Z2906" s="23">
        <v>7.5</v>
      </c>
      <c r="AA2906" s="23">
        <v>7.7428571428571402</v>
      </c>
    </row>
    <row r="2907" spans="17:27" x14ac:dyDescent="0.3">
      <c r="Q2907" s="93">
        <v>46079</v>
      </c>
      <c r="R2907" t="s">
        <v>479</v>
      </c>
      <c r="S2907" t="s">
        <v>399</v>
      </c>
      <c r="T2907" s="14">
        <v>9897.6106</v>
      </c>
      <c r="W2907" s="20">
        <v>46245</v>
      </c>
      <c r="X2907" t="s">
        <v>271</v>
      </c>
      <c r="Y2907" s="23">
        <v>8.6333333333333293</v>
      </c>
      <c r="Z2907" s="23">
        <v>8.1666666666666696</v>
      </c>
      <c r="AA2907" s="23">
        <v>8.4</v>
      </c>
    </row>
    <row r="2908" spans="17:27" x14ac:dyDescent="0.3">
      <c r="Q2908" s="93">
        <v>46079</v>
      </c>
      <c r="R2908" t="s">
        <v>364</v>
      </c>
      <c r="S2908" t="s">
        <v>399</v>
      </c>
      <c r="T2908" s="14">
        <v>29272.336200000002</v>
      </c>
      <c r="W2908" s="20">
        <v>46245</v>
      </c>
      <c r="X2908" t="s">
        <v>272</v>
      </c>
      <c r="Y2908" s="23">
        <v>8.3833333333333293</v>
      </c>
      <c r="Z2908" s="23">
        <v>8.2666666666666693</v>
      </c>
      <c r="AA2908" s="23">
        <v>8.3249999999999993</v>
      </c>
    </row>
    <row r="2909" spans="17:27" x14ac:dyDescent="0.3">
      <c r="Q2909" s="93">
        <v>46079</v>
      </c>
      <c r="R2909" t="s">
        <v>491</v>
      </c>
      <c r="S2909" t="s">
        <v>399</v>
      </c>
      <c r="T2909" s="14">
        <v>397.61059999999998</v>
      </c>
      <c r="W2909" s="20">
        <v>46245</v>
      </c>
      <c r="X2909" t="s">
        <v>273</v>
      </c>
      <c r="Y2909" s="23">
        <v>8.4538461538461505</v>
      </c>
      <c r="Z2909" s="23">
        <v>7.9846153846153802</v>
      </c>
      <c r="AA2909" s="23">
        <v>8.2192307692307693</v>
      </c>
    </row>
    <row r="2910" spans="17:27" x14ac:dyDescent="0.3">
      <c r="Q2910" s="93">
        <v>46079</v>
      </c>
      <c r="R2910" t="s">
        <v>492</v>
      </c>
      <c r="S2910" t="s">
        <v>399</v>
      </c>
      <c r="T2910" s="14">
        <v>9500</v>
      </c>
      <c r="W2910" s="20">
        <v>46245</v>
      </c>
      <c r="X2910" t="s">
        <v>274</v>
      </c>
      <c r="Y2910" s="23">
        <v>8.4769230769230806</v>
      </c>
      <c r="Z2910" s="23">
        <v>8</v>
      </c>
      <c r="AA2910" s="23">
        <v>8.2384615384615394</v>
      </c>
    </row>
    <row r="2911" spans="17:27" x14ac:dyDescent="0.3">
      <c r="Q2911" s="93">
        <v>46079</v>
      </c>
      <c r="R2911" t="s">
        <v>496</v>
      </c>
      <c r="S2911" t="s">
        <v>399</v>
      </c>
      <c r="T2911" s="14">
        <v>31472.336200000002</v>
      </c>
      <c r="W2911" s="20">
        <v>46245</v>
      </c>
      <c r="X2911" t="s">
        <v>275</v>
      </c>
      <c r="Y2911" s="23">
        <v>8.5</v>
      </c>
      <c r="Z2911" s="23">
        <v>8.0153846153846207</v>
      </c>
      <c r="AA2911" s="23">
        <v>8.2576923076923094</v>
      </c>
    </row>
    <row r="2912" spans="17:27" x14ac:dyDescent="0.3">
      <c r="Q2912" s="93">
        <v>46079</v>
      </c>
      <c r="R2912" t="s">
        <v>497</v>
      </c>
      <c r="S2912" t="s">
        <v>399</v>
      </c>
      <c r="T2912" s="14">
        <v>397.61059999999998</v>
      </c>
      <c r="W2912" s="20">
        <v>46245</v>
      </c>
      <c r="X2912" t="s">
        <v>276</v>
      </c>
      <c r="Y2912" s="23">
        <v>8.51538461538461</v>
      </c>
      <c r="Z2912" s="23">
        <v>8.0307692307692307</v>
      </c>
      <c r="AA2912" s="23">
        <v>8.2730769230769194</v>
      </c>
    </row>
    <row r="2913" spans="17:27" x14ac:dyDescent="0.3">
      <c r="Q2913" s="93">
        <v>46079</v>
      </c>
      <c r="R2913" t="s">
        <v>498</v>
      </c>
      <c r="S2913" t="s">
        <v>399</v>
      </c>
      <c r="T2913" s="14">
        <v>9500</v>
      </c>
      <c r="W2913" s="20">
        <v>46245</v>
      </c>
      <c r="X2913" t="s">
        <v>277</v>
      </c>
      <c r="Y2913" s="23">
        <v>8.5615384615384595</v>
      </c>
      <c r="Z2913" s="23">
        <v>8.0769230769230802</v>
      </c>
      <c r="AA2913" s="23">
        <v>8.3192307692307708</v>
      </c>
    </row>
    <row r="2914" spans="17:27" x14ac:dyDescent="0.3">
      <c r="Q2914" s="93">
        <v>46079</v>
      </c>
      <c r="R2914" t="s">
        <v>494</v>
      </c>
      <c r="S2914" t="s">
        <v>399</v>
      </c>
      <c r="T2914" s="14">
        <v>0</v>
      </c>
      <c r="W2914" s="20">
        <v>46245</v>
      </c>
      <c r="X2914" t="s">
        <v>278</v>
      </c>
      <c r="Y2914" s="23">
        <v>8.5846153846153808</v>
      </c>
      <c r="Z2914" s="23">
        <v>8.1</v>
      </c>
      <c r="AA2914" s="23">
        <v>8.3423076923076902</v>
      </c>
    </row>
    <row r="2915" spans="17:27" x14ac:dyDescent="0.3">
      <c r="Q2915" s="93">
        <v>46079</v>
      </c>
      <c r="R2915" t="s">
        <v>495</v>
      </c>
      <c r="S2915" t="s">
        <v>399</v>
      </c>
      <c r="T2915" s="14">
        <v>0</v>
      </c>
      <c r="W2915" s="20">
        <v>46245</v>
      </c>
      <c r="X2915" t="s">
        <v>279</v>
      </c>
      <c r="Y2915" s="23">
        <v>8.6230769230769209</v>
      </c>
      <c r="Z2915" s="23">
        <v>8.1384615384615397</v>
      </c>
      <c r="AA2915" s="23">
        <v>8.3807692307692303</v>
      </c>
    </row>
    <row r="2916" spans="17:27" x14ac:dyDescent="0.3">
      <c r="Q2916" s="93">
        <v>46079</v>
      </c>
      <c r="R2916" t="s">
        <v>493</v>
      </c>
      <c r="S2916" t="s">
        <v>399</v>
      </c>
      <c r="T2916" s="14">
        <v>0</v>
      </c>
      <c r="W2916" s="20">
        <v>46245</v>
      </c>
      <c r="X2916" t="s">
        <v>280</v>
      </c>
      <c r="Y2916" s="23">
        <v>8.6384615384615397</v>
      </c>
      <c r="Z2916" s="23">
        <v>8.1538461538461497</v>
      </c>
      <c r="AA2916" s="23">
        <v>8.3961538461538492</v>
      </c>
    </row>
    <row r="2917" spans="17:27" x14ac:dyDescent="0.3">
      <c r="Q2917" s="93">
        <v>46079</v>
      </c>
      <c r="R2917" t="s">
        <v>593</v>
      </c>
      <c r="S2917" t="s">
        <v>399</v>
      </c>
      <c r="T2917" s="14">
        <v>-2200</v>
      </c>
      <c r="W2917" s="20">
        <v>46245</v>
      </c>
      <c r="X2917" t="s">
        <v>281</v>
      </c>
      <c r="Y2917" s="23">
        <v>8.6538461538461497</v>
      </c>
      <c r="Z2917" s="23">
        <v>8.1692307692307704</v>
      </c>
      <c r="AA2917" s="23">
        <v>8.4115384615384592</v>
      </c>
    </row>
    <row r="2918" spans="17:27" x14ac:dyDescent="0.3">
      <c r="Q2918" s="93">
        <v>46079</v>
      </c>
      <c r="R2918" t="s">
        <v>594</v>
      </c>
      <c r="S2918" t="s">
        <v>399</v>
      </c>
      <c r="T2918" s="14">
        <v>0</v>
      </c>
      <c r="W2918" s="20">
        <v>46247</v>
      </c>
      <c r="X2918" t="s">
        <v>270</v>
      </c>
      <c r="Y2918" s="23">
        <v>7.93333333333333</v>
      </c>
      <c r="Z2918" s="23">
        <v>7.43333333333333</v>
      </c>
      <c r="AA2918" s="23">
        <v>7.6833333333333398</v>
      </c>
    </row>
    <row r="2919" spans="17:27" x14ac:dyDescent="0.3">
      <c r="Q2919" s="93">
        <v>46079</v>
      </c>
      <c r="R2919" t="s">
        <v>595</v>
      </c>
      <c r="S2919" t="s">
        <v>399</v>
      </c>
      <c r="T2919" s="14">
        <v>0</v>
      </c>
      <c r="W2919" s="20">
        <v>46247</v>
      </c>
      <c r="X2919" t="s">
        <v>271</v>
      </c>
      <c r="Y2919" s="23">
        <v>8.6333333333333293</v>
      </c>
      <c r="Z2919" s="23">
        <v>8.1666666666666696</v>
      </c>
      <c r="AA2919" s="23">
        <v>8.4</v>
      </c>
    </row>
    <row r="2920" spans="17:27" x14ac:dyDescent="0.3">
      <c r="Q2920" s="93">
        <v>46079</v>
      </c>
      <c r="R2920" t="s">
        <v>479</v>
      </c>
      <c r="S2920" t="s">
        <v>395</v>
      </c>
      <c r="T2920" s="14">
        <v>10633.1362995297</v>
      </c>
      <c r="W2920" s="20">
        <v>46247</v>
      </c>
      <c r="X2920" t="s">
        <v>272</v>
      </c>
      <c r="Y2920" s="23">
        <v>8.3375000000000004</v>
      </c>
      <c r="Z2920" s="23">
        <v>8.125</v>
      </c>
      <c r="AA2920" s="23">
        <v>8.2312499999999993</v>
      </c>
    </row>
    <row r="2921" spans="17:27" x14ac:dyDescent="0.3">
      <c r="Q2921" s="93">
        <v>46079</v>
      </c>
      <c r="R2921" t="s">
        <v>479</v>
      </c>
      <c r="S2921" t="s">
        <v>415</v>
      </c>
      <c r="T2921" s="14">
        <v>6.1047439242558204</v>
      </c>
      <c r="W2921" s="20">
        <v>46247</v>
      </c>
      <c r="X2921" t="s">
        <v>273</v>
      </c>
      <c r="Y2921" s="23">
        <v>8.4538461538461505</v>
      </c>
      <c r="Z2921" s="23">
        <v>7.9846153846153802</v>
      </c>
      <c r="AA2921" s="23">
        <v>8.2192307692307693</v>
      </c>
    </row>
    <row r="2922" spans="17:27" x14ac:dyDescent="0.3">
      <c r="Q2922" s="93">
        <v>46079</v>
      </c>
      <c r="R2922" t="s">
        <v>364</v>
      </c>
      <c r="S2922" t="s">
        <v>415</v>
      </c>
      <c r="T2922" s="14">
        <v>5.8959224579458001</v>
      </c>
      <c r="W2922" s="20">
        <v>46247</v>
      </c>
      <c r="X2922" t="s">
        <v>274</v>
      </c>
      <c r="Y2922" s="23">
        <v>8.4769230769230806</v>
      </c>
      <c r="Z2922" s="23">
        <v>8</v>
      </c>
      <c r="AA2922" s="23">
        <v>8.2384615384615394</v>
      </c>
    </row>
    <row r="2923" spans="17:27" x14ac:dyDescent="0.3">
      <c r="Q2923" s="93">
        <v>46079</v>
      </c>
      <c r="R2923" t="s">
        <v>364</v>
      </c>
      <c r="S2923" t="s">
        <v>997</v>
      </c>
      <c r="T2923" s="14">
        <v>35172.336199999998</v>
      </c>
      <c r="W2923" s="20">
        <v>46247</v>
      </c>
      <c r="X2923" t="s">
        <v>275</v>
      </c>
      <c r="Y2923" s="23">
        <v>8.5</v>
      </c>
      <c r="Z2923" s="23">
        <v>8.0153846153846207</v>
      </c>
      <c r="AA2923" s="23">
        <v>8.2576923076923094</v>
      </c>
    </row>
    <row r="2924" spans="17:27" x14ac:dyDescent="0.3">
      <c r="Q2924" s="93">
        <v>46079</v>
      </c>
      <c r="R2924" t="s">
        <v>496</v>
      </c>
      <c r="S2924" t="s">
        <v>997</v>
      </c>
      <c r="T2924" s="14">
        <v>37372.336199999998</v>
      </c>
      <c r="W2924" s="20">
        <v>46247</v>
      </c>
      <c r="X2924" t="s">
        <v>276</v>
      </c>
      <c r="Y2924" s="23">
        <v>8.51538461538461</v>
      </c>
      <c r="Z2924" s="23">
        <v>8.0307692307692307</v>
      </c>
      <c r="AA2924" s="23">
        <v>8.2730769230769194</v>
      </c>
    </row>
    <row r="2925" spans="17:27" x14ac:dyDescent="0.3">
      <c r="Q2925" s="93">
        <v>46078</v>
      </c>
      <c r="R2925" t="s">
        <v>479</v>
      </c>
      <c r="S2925" t="s">
        <v>399</v>
      </c>
      <c r="T2925" s="14">
        <v>9897.6106</v>
      </c>
      <c r="W2925" s="20">
        <v>46247</v>
      </c>
      <c r="X2925" t="s">
        <v>277</v>
      </c>
      <c r="Y2925" s="23">
        <v>8.5615384615384595</v>
      </c>
      <c r="Z2925" s="23">
        <v>8.0769230769230802</v>
      </c>
      <c r="AA2925" s="23">
        <v>8.3192307692307708</v>
      </c>
    </row>
    <row r="2926" spans="17:27" x14ac:dyDescent="0.3">
      <c r="Q2926" s="93">
        <v>46078</v>
      </c>
      <c r="R2926" t="s">
        <v>364</v>
      </c>
      <c r="S2926" t="s">
        <v>399</v>
      </c>
      <c r="T2926" s="14">
        <v>26122.336200000002</v>
      </c>
      <c r="W2926" s="20">
        <v>46247</v>
      </c>
      <c r="X2926" t="s">
        <v>278</v>
      </c>
      <c r="Y2926" s="23">
        <v>8.5846153846153808</v>
      </c>
      <c r="Z2926" s="23">
        <v>8.1</v>
      </c>
      <c r="AA2926" s="23">
        <v>8.3423076923076902</v>
      </c>
    </row>
    <row r="2927" spans="17:27" x14ac:dyDescent="0.3">
      <c r="Q2927" s="93">
        <v>46078</v>
      </c>
      <c r="R2927" t="s">
        <v>491</v>
      </c>
      <c r="S2927" t="s">
        <v>399</v>
      </c>
      <c r="T2927" s="14">
        <v>397.61059999999998</v>
      </c>
      <c r="W2927" s="20">
        <v>46247</v>
      </c>
      <c r="X2927" t="s">
        <v>279</v>
      </c>
      <c r="Y2927" s="23">
        <v>8.6230769230769209</v>
      </c>
      <c r="Z2927" s="23">
        <v>8.1384615384615397</v>
      </c>
      <c r="AA2927" s="23">
        <v>8.3807692307692303</v>
      </c>
    </row>
    <row r="2928" spans="17:27" x14ac:dyDescent="0.3">
      <c r="Q2928" s="93">
        <v>46078</v>
      </c>
      <c r="R2928" t="s">
        <v>492</v>
      </c>
      <c r="S2928" t="s">
        <v>399</v>
      </c>
      <c r="T2928" s="14">
        <v>9500</v>
      </c>
      <c r="W2928" s="20">
        <v>46247</v>
      </c>
      <c r="X2928" t="s">
        <v>280</v>
      </c>
      <c r="Y2928" s="23">
        <v>8.6384615384615397</v>
      </c>
      <c r="Z2928" s="23">
        <v>8.1538461538461497</v>
      </c>
      <c r="AA2928" s="23">
        <v>8.3961538461538492</v>
      </c>
    </row>
    <row r="2929" spans="17:27" x14ac:dyDescent="0.3">
      <c r="Q2929" s="93">
        <v>46078</v>
      </c>
      <c r="R2929" t="s">
        <v>496</v>
      </c>
      <c r="S2929" t="s">
        <v>399</v>
      </c>
      <c r="T2929" s="14">
        <v>29322.336200000002</v>
      </c>
      <c r="W2929" s="20">
        <v>46247</v>
      </c>
      <c r="X2929" t="s">
        <v>281</v>
      </c>
      <c r="Y2929" s="23">
        <v>8.6538461538461497</v>
      </c>
      <c r="Z2929" s="23">
        <v>8.1692307692307704</v>
      </c>
      <c r="AA2929" s="23">
        <v>8.4115384615384592</v>
      </c>
    </row>
    <row r="2930" spans="17:27" x14ac:dyDescent="0.3">
      <c r="Q2930" s="93">
        <v>46078</v>
      </c>
      <c r="R2930" t="s">
        <v>497</v>
      </c>
      <c r="S2930" t="s">
        <v>399</v>
      </c>
      <c r="T2930" s="14">
        <v>397.61059999999998</v>
      </c>
      <c r="W2930" s="20">
        <v>46248</v>
      </c>
      <c r="X2930" t="s">
        <v>270</v>
      </c>
      <c r="Y2930" s="23">
        <v>7.9666666666666703</v>
      </c>
      <c r="Z2930" s="23">
        <v>7.4666666666666703</v>
      </c>
      <c r="AA2930" s="23">
        <v>7.7166666666666703</v>
      </c>
    </row>
    <row r="2931" spans="17:27" x14ac:dyDescent="0.3">
      <c r="Q2931" s="93">
        <v>46078</v>
      </c>
      <c r="R2931" t="s">
        <v>498</v>
      </c>
      <c r="S2931" t="s">
        <v>399</v>
      </c>
      <c r="T2931" s="14">
        <v>9500</v>
      </c>
      <c r="W2931" s="20">
        <v>46248</v>
      </c>
      <c r="X2931" t="s">
        <v>271</v>
      </c>
      <c r="Y2931" s="23">
        <v>8.6333333333333293</v>
      </c>
      <c r="Z2931" s="23">
        <v>8.1666666666666696</v>
      </c>
      <c r="AA2931" s="23">
        <v>8.4</v>
      </c>
    </row>
    <row r="2932" spans="17:27" x14ac:dyDescent="0.3">
      <c r="Q2932" s="93">
        <v>46078</v>
      </c>
      <c r="R2932" t="s">
        <v>494</v>
      </c>
      <c r="S2932" t="s">
        <v>399</v>
      </c>
      <c r="T2932" s="14">
        <v>0</v>
      </c>
      <c r="W2932" s="20">
        <v>46248</v>
      </c>
      <c r="X2932" t="s">
        <v>272</v>
      </c>
      <c r="Y2932" s="23">
        <v>8.3375000000000004</v>
      </c>
      <c r="Z2932" s="23">
        <v>8.125</v>
      </c>
      <c r="AA2932" s="23">
        <v>8.2312499999999993</v>
      </c>
    </row>
    <row r="2933" spans="17:27" x14ac:dyDescent="0.3">
      <c r="Q2933" s="93">
        <v>46078</v>
      </c>
      <c r="R2933" t="s">
        <v>495</v>
      </c>
      <c r="S2933" t="s">
        <v>399</v>
      </c>
      <c r="T2933" s="14">
        <v>0</v>
      </c>
      <c r="W2933" s="20">
        <v>46248</v>
      </c>
      <c r="X2933" t="s">
        <v>273</v>
      </c>
      <c r="Y2933" s="23">
        <v>8.4538461538461505</v>
      </c>
      <c r="Z2933" s="23">
        <v>7.9846153846153802</v>
      </c>
      <c r="AA2933" s="23">
        <v>8.2192307692307693</v>
      </c>
    </row>
    <row r="2934" spans="17:27" x14ac:dyDescent="0.3">
      <c r="Q2934" s="93">
        <v>46078</v>
      </c>
      <c r="R2934" t="s">
        <v>493</v>
      </c>
      <c r="S2934" t="s">
        <v>399</v>
      </c>
      <c r="T2934" s="14">
        <v>0</v>
      </c>
      <c r="W2934" s="20">
        <v>46248</v>
      </c>
      <c r="X2934" t="s">
        <v>274</v>
      </c>
      <c r="Y2934" s="23">
        <v>8.4769230769230806</v>
      </c>
      <c r="Z2934" s="23">
        <v>8</v>
      </c>
      <c r="AA2934" s="23">
        <v>8.2384615384615394</v>
      </c>
    </row>
    <row r="2935" spans="17:27" x14ac:dyDescent="0.3">
      <c r="Q2935" s="93">
        <v>46078</v>
      </c>
      <c r="R2935" t="s">
        <v>593</v>
      </c>
      <c r="S2935" t="s">
        <v>399</v>
      </c>
      <c r="T2935" s="14">
        <v>-3200</v>
      </c>
      <c r="W2935" s="20">
        <v>46248</v>
      </c>
      <c r="X2935" t="s">
        <v>275</v>
      </c>
      <c r="Y2935" s="23">
        <v>8.5</v>
      </c>
      <c r="Z2935" s="23">
        <v>8.0153846153846207</v>
      </c>
      <c r="AA2935" s="23">
        <v>8.2576923076923094</v>
      </c>
    </row>
    <row r="2936" spans="17:27" x14ac:dyDescent="0.3">
      <c r="Q2936" s="93">
        <v>46078</v>
      </c>
      <c r="R2936" t="s">
        <v>594</v>
      </c>
      <c r="S2936" t="s">
        <v>399</v>
      </c>
      <c r="T2936" s="14">
        <v>0</v>
      </c>
      <c r="W2936" s="20">
        <v>46248</v>
      </c>
      <c r="X2936" t="s">
        <v>276</v>
      </c>
      <c r="Y2936" s="23">
        <v>8.51538461538461</v>
      </c>
      <c r="Z2936" s="23">
        <v>8.0307692307692307</v>
      </c>
      <c r="AA2936" s="23">
        <v>8.2730769230769194</v>
      </c>
    </row>
    <row r="2937" spans="17:27" x14ac:dyDescent="0.3">
      <c r="Q2937" s="93">
        <v>46078</v>
      </c>
      <c r="R2937" t="s">
        <v>595</v>
      </c>
      <c r="S2937" t="s">
        <v>399</v>
      </c>
      <c r="T2937" s="14">
        <v>0</v>
      </c>
      <c r="W2937" s="20">
        <v>46248</v>
      </c>
      <c r="X2937" t="s">
        <v>277</v>
      </c>
      <c r="Y2937" s="23">
        <v>8.5615384615384595</v>
      </c>
      <c r="Z2937" s="23">
        <v>8.0769230769230802</v>
      </c>
      <c r="AA2937" s="23">
        <v>8.3192307692307708</v>
      </c>
    </row>
    <row r="2938" spans="17:27" x14ac:dyDescent="0.3">
      <c r="Q2938" s="93">
        <v>46078</v>
      </c>
      <c r="R2938" t="s">
        <v>479</v>
      </c>
      <c r="S2938" t="s">
        <v>395</v>
      </c>
      <c r="T2938" s="14">
        <v>10622.7819556781</v>
      </c>
      <c r="W2938" s="20">
        <v>46248</v>
      </c>
      <c r="X2938" t="s">
        <v>278</v>
      </c>
      <c r="Y2938" s="23">
        <v>8.5846153846153808</v>
      </c>
      <c r="Z2938" s="23">
        <v>8.1</v>
      </c>
      <c r="AA2938" s="23">
        <v>8.3423076923076902</v>
      </c>
    </row>
    <row r="2939" spans="17:27" x14ac:dyDescent="0.3">
      <c r="Q2939" s="93">
        <v>46078</v>
      </c>
      <c r="R2939" t="s">
        <v>479</v>
      </c>
      <c r="S2939" t="s">
        <v>415</v>
      </c>
      <c r="T2939" s="14">
        <v>6.1047439242558204</v>
      </c>
      <c r="W2939" s="20">
        <v>46248</v>
      </c>
      <c r="X2939" t="s">
        <v>279</v>
      </c>
      <c r="Y2939" s="23">
        <v>8.6230769230769209</v>
      </c>
      <c r="Z2939" s="23">
        <v>8.1384615384615397</v>
      </c>
      <c r="AA2939" s="23">
        <v>8.3807692307692303</v>
      </c>
    </row>
    <row r="2940" spans="17:27" x14ac:dyDescent="0.3">
      <c r="Q2940" s="93">
        <v>46078</v>
      </c>
      <c r="R2940" t="s">
        <v>364</v>
      </c>
      <c r="S2940" t="s">
        <v>415</v>
      </c>
      <c r="T2940" s="14">
        <v>5.85389416091384</v>
      </c>
      <c r="W2940" s="20">
        <v>46248</v>
      </c>
      <c r="X2940" t="s">
        <v>280</v>
      </c>
      <c r="Y2940" s="23">
        <v>8.6384615384615397</v>
      </c>
      <c r="Z2940" s="23">
        <v>8.1538461538461497</v>
      </c>
      <c r="AA2940" s="23">
        <v>8.3961538461538492</v>
      </c>
    </row>
    <row r="2941" spans="17:27" x14ac:dyDescent="0.3">
      <c r="Q2941" s="93">
        <v>46078</v>
      </c>
      <c r="R2941" t="s">
        <v>364</v>
      </c>
      <c r="S2941" t="s">
        <v>997</v>
      </c>
      <c r="T2941" s="14">
        <v>32022.336200000002</v>
      </c>
      <c r="W2941" s="20">
        <v>46248</v>
      </c>
      <c r="X2941" t="s">
        <v>281</v>
      </c>
      <c r="Y2941" s="23">
        <v>8.6538461538461497</v>
      </c>
      <c r="Z2941" s="23">
        <v>8.1692307692307704</v>
      </c>
      <c r="AA2941" s="23">
        <v>8.4115384615384592</v>
      </c>
    </row>
    <row r="2942" spans="17:27" x14ac:dyDescent="0.3">
      <c r="Q2942" s="93">
        <v>46078</v>
      </c>
      <c r="R2942" t="s">
        <v>496</v>
      </c>
      <c r="S2942" t="s">
        <v>997</v>
      </c>
      <c r="T2942" s="14">
        <v>35222.336199999998</v>
      </c>
      <c r="W2942" s="20">
        <v>46251</v>
      </c>
      <c r="X2942" t="s">
        <v>270</v>
      </c>
      <c r="Y2942" s="23">
        <v>8.0714285714285694</v>
      </c>
      <c r="Z2942" s="23">
        <v>7.5714285714285703</v>
      </c>
      <c r="AA2942" s="23">
        <v>7.8214285714285703</v>
      </c>
    </row>
    <row r="2943" spans="17:27" x14ac:dyDescent="0.3">
      <c r="Q2943" s="93">
        <v>46077</v>
      </c>
      <c r="R2943" t="s">
        <v>479</v>
      </c>
      <c r="S2943" t="s">
        <v>399</v>
      </c>
      <c r="T2943" s="14">
        <v>9897.6106</v>
      </c>
      <c r="W2943" s="20">
        <v>46251</v>
      </c>
      <c r="X2943" t="s">
        <v>271</v>
      </c>
      <c r="Y2943" s="23">
        <v>8.2384615384615394</v>
      </c>
      <c r="Z2943" s="23">
        <v>7.8</v>
      </c>
      <c r="AA2943" s="23">
        <v>8.0192307692307701</v>
      </c>
    </row>
    <row r="2944" spans="17:27" x14ac:dyDescent="0.3">
      <c r="Q2944" s="93">
        <v>46077</v>
      </c>
      <c r="R2944" t="s">
        <v>364</v>
      </c>
      <c r="S2944" t="s">
        <v>399</v>
      </c>
      <c r="T2944" s="14">
        <v>26122.336200000002</v>
      </c>
      <c r="W2944" s="20">
        <v>46251</v>
      </c>
      <c r="X2944" t="s">
        <v>272</v>
      </c>
      <c r="Y2944" s="23">
        <v>8.3375000000000004</v>
      </c>
      <c r="Z2944" s="23">
        <v>8.125</v>
      </c>
      <c r="AA2944" s="23">
        <v>8.2312499999999993</v>
      </c>
    </row>
    <row r="2945" spans="17:27" x14ac:dyDescent="0.3">
      <c r="Q2945" s="93">
        <v>46077</v>
      </c>
      <c r="R2945" t="s">
        <v>491</v>
      </c>
      <c r="S2945" t="s">
        <v>399</v>
      </c>
      <c r="T2945" s="14">
        <v>397.61059999999998</v>
      </c>
      <c r="W2945" s="20">
        <v>46251</v>
      </c>
      <c r="X2945" t="s">
        <v>273</v>
      </c>
      <c r="Y2945" s="23">
        <v>8.4538461538461505</v>
      </c>
      <c r="Z2945" s="23">
        <v>7.9846153846153802</v>
      </c>
      <c r="AA2945" s="23">
        <v>8.2192307692307693</v>
      </c>
    </row>
    <row r="2946" spans="17:27" x14ac:dyDescent="0.3">
      <c r="Q2946" s="93">
        <v>46077</v>
      </c>
      <c r="R2946" t="s">
        <v>492</v>
      </c>
      <c r="S2946" t="s">
        <v>399</v>
      </c>
      <c r="T2946" s="14">
        <v>9500</v>
      </c>
      <c r="W2946" s="20">
        <v>46251</v>
      </c>
      <c r="X2946" t="s">
        <v>274</v>
      </c>
      <c r="Y2946" s="23">
        <v>8.4769230769230806</v>
      </c>
      <c r="Z2946" s="23">
        <v>8</v>
      </c>
      <c r="AA2946" s="23">
        <v>8.2384615384615394</v>
      </c>
    </row>
    <row r="2947" spans="17:27" x14ac:dyDescent="0.3">
      <c r="Q2947" s="93">
        <v>46077</v>
      </c>
      <c r="R2947" t="s">
        <v>496</v>
      </c>
      <c r="S2947" t="s">
        <v>399</v>
      </c>
      <c r="T2947" s="14">
        <v>28472.336200000002</v>
      </c>
      <c r="W2947" s="20">
        <v>46251</v>
      </c>
      <c r="X2947" t="s">
        <v>275</v>
      </c>
      <c r="Y2947" s="23">
        <v>8.5</v>
      </c>
      <c r="Z2947" s="23">
        <v>8.0153846153846207</v>
      </c>
      <c r="AA2947" s="23">
        <v>8.2576923076923094</v>
      </c>
    </row>
    <row r="2948" spans="17:27" x14ac:dyDescent="0.3">
      <c r="Q2948" s="93">
        <v>46077</v>
      </c>
      <c r="R2948" t="s">
        <v>497</v>
      </c>
      <c r="S2948" t="s">
        <v>399</v>
      </c>
      <c r="T2948" s="14">
        <v>397.61059999999998</v>
      </c>
      <c r="W2948" s="20">
        <v>46251</v>
      </c>
      <c r="X2948" t="s">
        <v>276</v>
      </c>
      <c r="Y2948" s="23">
        <v>8.51538461538461</v>
      </c>
      <c r="Z2948" s="23">
        <v>8.0307692307692307</v>
      </c>
      <c r="AA2948" s="23">
        <v>8.2730769230769194</v>
      </c>
    </row>
    <row r="2949" spans="17:27" x14ac:dyDescent="0.3">
      <c r="Q2949" s="93">
        <v>46077</v>
      </c>
      <c r="R2949" t="s">
        <v>498</v>
      </c>
      <c r="S2949" t="s">
        <v>399</v>
      </c>
      <c r="T2949" s="14">
        <v>9500</v>
      </c>
      <c r="W2949" s="20">
        <v>46251</v>
      </c>
      <c r="X2949" t="s">
        <v>277</v>
      </c>
      <c r="Y2949" s="23">
        <v>8.5615384615384595</v>
      </c>
      <c r="Z2949" s="23">
        <v>8.0769230769230802</v>
      </c>
      <c r="AA2949" s="23">
        <v>8.3192307692307708</v>
      </c>
    </row>
    <row r="2950" spans="17:27" x14ac:dyDescent="0.3">
      <c r="Q2950" s="93">
        <v>46077</v>
      </c>
      <c r="R2950" t="s">
        <v>494</v>
      </c>
      <c r="S2950" t="s">
        <v>399</v>
      </c>
      <c r="T2950" s="14">
        <v>0</v>
      </c>
      <c r="W2950" s="20">
        <v>46251</v>
      </c>
      <c r="X2950" t="s">
        <v>278</v>
      </c>
      <c r="Y2950" s="23">
        <v>8.5846153846153808</v>
      </c>
      <c r="Z2950" s="23">
        <v>8.1</v>
      </c>
      <c r="AA2950" s="23">
        <v>8.3423076923076902</v>
      </c>
    </row>
    <row r="2951" spans="17:27" x14ac:dyDescent="0.3">
      <c r="Q2951" s="93">
        <v>46077</v>
      </c>
      <c r="R2951" t="s">
        <v>495</v>
      </c>
      <c r="S2951" t="s">
        <v>399</v>
      </c>
      <c r="T2951" s="14">
        <v>0</v>
      </c>
      <c r="W2951" s="20">
        <v>46251</v>
      </c>
      <c r="X2951" t="s">
        <v>279</v>
      </c>
      <c r="Y2951" s="23">
        <v>8.6230769230769209</v>
      </c>
      <c r="Z2951" s="23">
        <v>8.1384615384615397</v>
      </c>
      <c r="AA2951" s="23">
        <v>8.3807692307692303</v>
      </c>
    </row>
    <row r="2952" spans="17:27" x14ac:dyDescent="0.3">
      <c r="Q2952" s="93">
        <v>46077</v>
      </c>
      <c r="R2952" t="s">
        <v>493</v>
      </c>
      <c r="S2952" t="s">
        <v>399</v>
      </c>
      <c r="T2952" s="14">
        <v>0</v>
      </c>
      <c r="W2952" s="20">
        <v>46251</v>
      </c>
      <c r="X2952" t="s">
        <v>280</v>
      </c>
      <c r="Y2952" s="23">
        <v>8.6384615384615397</v>
      </c>
      <c r="Z2952" s="23">
        <v>8.1538461538461497</v>
      </c>
      <c r="AA2952" s="23">
        <v>8.3961538461538492</v>
      </c>
    </row>
    <row r="2953" spans="17:27" x14ac:dyDescent="0.3">
      <c r="Q2953" s="93">
        <v>46077</v>
      </c>
      <c r="R2953" t="s">
        <v>593</v>
      </c>
      <c r="S2953" t="s">
        <v>399</v>
      </c>
      <c r="T2953" s="14">
        <v>-2350</v>
      </c>
      <c r="W2953" s="20">
        <v>46251</v>
      </c>
      <c r="X2953" t="s">
        <v>281</v>
      </c>
      <c r="Y2953" s="23">
        <v>8.6538461538461497</v>
      </c>
      <c r="Z2953" s="23">
        <v>8.1692307692307704</v>
      </c>
      <c r="AA2953" s="23">
        <v>8.4115384615384592</v>
      </c>
    </row>
    <row r="2954" spans="17:27" x14ac:dyDescent="0.3">
      <c r="Q2954" s="93">
        <v>46077</v>
      </c>
      <c r="R2954" t="s">
        <v>594</v>
      </c>
      <c r="S2954" t="s">
        <v>399</v>
      </c>
      <c r="T2954" s="14">
        <v>0</v>
      </c>
      <c r="W2954" s="20">
        <v>46252</v>
      </c>
      <c r="X2954" t="s">
        <v>270</v>
      </c>
      <c r="Y2954" s="23">
        <v>8.0714285714285694</v>
      </c>
      <c r="Z2954" s="23">
        <v>7.5714285714285703</v>
      </c>
      <c r="AA2954" s="23">
        <v>7.8214285714285703</v>
      </c>
    </row>
    <row r="2955" spans="17:27" x14ac:dyDescent="0.3">
      <c r="Q2955" s="93">
        <v>46077</v>
      </c>
      <c r="R2955" t="s">
        <v>595</v>
      </c>
      <c r="S2955" t="s">
        <v>399</v>
      </c>
      <c r="T2955" s="14">
        <v>0</v>
      </c>
      <c r="W2955" s="20">
        <v>46252</v>
      </c>
      <c r="X2955" t="s">
        <v>271</v>
      </c>
      <c r="Y2955" s="23">
        <v>8.3000000000000007</v>
      </c>
      <c r="Z2955" s="23">
        <v>7.9666666666666703</v>
      </c>
      <c r="AA2955" s="23">
        <v>8.1333333333333293</v>
      </c>
    </row>
    <row r="2956" spans="17:27" x14ac:dyDescent="0.3">
      <c r="Q2956" s="93">
        <v>46077</v>
      </c>
      <c r="R2956" t="s">
        <v>479</v>
      </c>
      <c r="S2956" t="s">
        <v>395</v>
      </c>
      <c r="T2956" s="14">
        <v>10617.289396013601</v>
      </c>
      <c r="W2956" s="20">
        <v>46252</v>
      </c>
      <c r="X2956" t="s">
        <v>272</v>
      </c>
      <c r="Y2956" s="23">
        <v>8.4499999999999993</v>
      </c>
      <c r="Z2956" s="23">
        <v>8.1999999999999993</v>
      </c>
      <c r="AA2956" s="23">
        <v>8.3249999999999993</v>
      </c>
    </row>
    <row r="2957" spans="17:27" x14ac:dyDescent="0.3">
      <c r="Q2957" s="93">
        <v>46077</v>
      </c>
      <c r="R2957" t="s">
        <v>479</v>
      </c>
      <c r="S2957" t="s">
        <v>415</v>
      </c>
      <c r="T2957" s="14">
        <v>6.1047439242558204</v>
      </c>
      <c r="W2957" s="20">
        <v>46252</v>
      </c>
      <c r="X2957" t="s">
        <v>273</v>
      </c>
      <c r="Y2957" s="23">
        <v>8.4538461538461505</v>
      </c>
      <c r="Z2957" s="23">
        <v>7.9846153846153802</v>
      </c>
      <c r="AA2957" s="23">
        <v>8.2192307692307693</v>
      </c>
    </row>
    <row r="2958" spans="17:27" x14ac:dyDescent="0.3">
      <c r="Q2958" s="93">
        <v>46077</v>
      </c>
      <c r="R2958" t="s">
        <v>364</v>
      </c>
      <c r="S2958" t="s">
        <v>415</v>
      </c>
      <c r="T2958" s="14">
        <v>5.8866837735592803</v>
      </c>
      <c r="W2958" s="20">
        <v>46252</v>
      </c>
      <c r="X2958" t="s">
        <v>274</v>
      </c>
      <c r="Y2958" s="23">
        <v>8.4769230769230806</v>
      </c>
      <c r="Z2958" s="23">
        <v>8</v>
      </c>
      <c r="AA2958" s="23">
        <v>8.2384615384615394</v>
      </c>
    </row>
    <row r="2959" spans="17:27" x14ac:dyDescent="0.3">
      <c r="Q2959" s="93">
        <v>46077</v>
      </c>
      <c r="R2959" t="s">
        <v>364</v>
      </c>
      <c r="S2959" t="s">
        <v>997</v>
      </c>
      <c r="T2959" s="14">
        <v>32022.336200000002</v>
      </c>
      <c r="W2959" s="20">
        <v>46252</v>
      </c>
      <c r="X2959" t="s">
        <v>275</v>
      </c>
      <c r="Y2959" s="23">
        <v>8.5</v>
      </c>
      <c r="Z2959" s="23">
        <v>8.0153846153846207</v>
      </c>
      <c r="AA2959" s="23">
        <v>8.2576923076923094</v>
      </c>
    </row>
    <row r="2960" spans="17:27" x14ac:dyDescent="0.3">
      <c r="Q2960" s="93">
        <v>46077</v>
      </c>
      <c r="R2960" t="s">
        <v>496</v>
      </c>
      <c r="S2960" t="s">
        <v>997</v>
      </c>
      <c r="T2960" s="14">
        <v>34372.336199999998</v>
      </c>
      <c r="W2960" s="20">
        <v>46252</v>
      </c>
      <c r="X2960" t="s">
        <v>276</v>
      </c>
      <c r="Y2960" s="23">
        <v>8.51538461538461</v>
      </c>
      <c r="Z2960" s="23">
        <v>8.0307692307692307</v>
      </c>
      <c r="AA2960" s="23">
        <v>8.2730769230769194</v>
      </c>
    </row>
    <row r="2961" spans="17:27" x14ac:dyDescent="0.3">
      <c r="Q2961" s="93">
        <v>46076</v>
      </c>
      <c r="R2961" t="s">
        <v>364</v>
      </c>
      <c r="S2961" t="s">
        <v>997</v>
      </c>
      <c r="T2961" s="14">
        <v>33572.336199999998</v>
      </c>
      <c r="W2961" s="20">
        <v>46252</v>
      </c>
      <c r="X2961" t="s">
        <v>277</v>
      </c>
      <c r="Y2961" s="23">
        <v>8.5615384615384595</v>
      </c>
      <c r="Z2961" s="23">
        <v>8.0769230769230802</v>
      </c>
      <c r="AA2961" s="23">
        <v>8.3192307692307708</v>
      </c>
    </row>
    <row r="2962" spans="17:27" x14ac:dyDescent="0.3">
      <c r="Q2962" s="93">
        <v>46076</v>
      </c>
      <c r="R2962" t="s">
        <v>496</v>
      </c>
      <c r="S2962" t="s">
        <v>997</v>
      </c>
      <c r="T2962" s="14">
        <v>34872.336199999998</v>
      </c>
      <c r="W2962" s="20">
        <v>46252</v>
      </c>
      <c r="X2962" t="s">
        <v>278</v>
      </c>
      <c r="Y2962" s="23">
        <v>8.5846153846153808</v>
      </c>
      <c r="Z2962" s="23">
        <v>8.1</v>
      </c>
      <c r="AA2962" s="23">
        <v>8.3423076923076902</v>
      </c>
    </row>
    <row r="2963" spans="17:27" x14ac:dyDescent="0.3">
      <c r="Q2963" s="93">
        <v>46076</v>
      </c>
      <c r="R2963" t="s">
        <v>479</v>
      </c>
      <c r="S2963" t="s">
        <v>399</v>
      </c>
      <c r="T2963" s="14">
        <v>9897.6106</v>
      </c>
      <c r="W2963" s="20">
        <v>46252</v>
      </c>
      <c r="X2963" t="s">
        <v>279</v>
      </c>
      <c r="Y2963" s="23">
        <v>8.6230769230769209</v>
      </c>
      <c r="Z2963" s="23">
        <v>8.1384615384615397</v>
      </c>
      <c r="AA2963" s="23">
        <v>8.3807692307692303</v>
      </c>
    </row>
    <row r="2964" spans="17:27" x14ac:dyDescent="0.3">
      <c r="Q2964" s="93">
        <v>46076</v>
      </c>
      <c r="R2964" t="s">
        <v>364</v>
      </c>
      <c r="S2964" t="s">
        <v>399</v>
      </c>
      <c r="T2964" s="14">
        <v>26172.336200000002</v>
      </c>
      <c r="W2964" s="20">
        <v>46252</v>
      </c>
      <c r="X2964" t="s">
        <v>280</v>
      </c>
      <c r="Y2964" s="23">
        <v>8.6384615384615397</v>
      </c>
      <c r="Z2964" s="23">
        <v>8.1538461538461497</v>
      </c>
      <c r="AA2964" s="23">
        <v>8.3961538461538492</v>
      </c>
    </row>
    <row r="2965" spans="17:27" x14ac:dyDescent="0.3">
      <c r="Q2965" s="93">
        <v>46076</v>
      </c>
      <c r="R2965" t="s">
        <v>491</v>
      </c>
      <c r="S2965" t="s">
        <v>399</v>
      </c>
      <c r="T2965" s="14">
        <v>397.61059999999998</v>
      </c>
      <c r="W2965" s="20">
        <v>46252</v>
      </c>
      <c r="X2965" t="s">
        <v>281</v>
      </c>
      <c r="Y2965" s="23">
        <v>8.6538461538461497</v>
      </c>
      <c r="Z2965" s="23">
        <v>8.1692307692307704</v>
      </c>
      <c r="AA2965" s="23">
        <v>8.4115384615384592</v>
      </c>
    </row>
    <row r="2966" spans="17:27" x14ac:dyDescent="0.3">
      <c r="Q2966" s="93">
        <v>46076</v>
      </c>
      <c r="R2966" t="s">
        <v>492</v>
      </c>
      <c r="S2966" t="s">
        <v>399</v>
      </c>
      <c r="T2966" s="14">
        <v>9500</v>
      </c>
      <c r="W2966" s="20">
        <v>46253</v>
      </c>
      <c r="X2966" t="s">
        <v>270</v>
      </c>
      <c r="Y2966" s="23">
        <v>8.0571428571428605</v>
      </c>
      <c r="Z2966" s="23">
        <v>7.5571428571428596</v>
      </c>
      <c r="AA2966" s="23">
        <v>7.8071428571428596</v>
      </c>
    </row>
    <row r="2967" spans="17:27" x14ac:dyDescent="0.3">
      <c r="Q2967" s="93">
        <v>46076</v>
      </c>
      <c r="R2967" t="s">
        <v>496</v>
      </c>
      <c r="S2967" t="s">
        <v>399</v>
      </c>
      <c r="T2967" s="14">
        <v>27472.336200000002</v>
      </c>
      <c r="W2967" s="20">
        <v>46253</v>
      </c>
      <c r="X2967" t="s">
        <v>271</v>
      </c>
      <c r="Y2967" s="23">
        <v>8.3333333333333304</v>
      </c>
      <c r="Z2967" s="23">
        <v>8</v>
      </c>
      <c r="AA2967" s="23">
        <v>8.1666666666666607</v>
      </c>
    </row>
    <row r="2968" spans="17:27" x14ac:dyDescent="0.3">
      <c r="Q2968" s="93">
        <v>46076</v>
      </c>
      <c r="R2968" t="s">
        <v>497</v>
      </c>
      <c r="S2968" t="s">
        <v>399</v>
      </c>
      <c r="T2968" s="14">
        <v>397.61059999999998</v>
      </c>
      <c r="W2968" s="20">
        <v>46253</v>
      </c>
      <c r="X2968" t="s">
        <v>272</v>
      </c>
      <c r="Y2968" s="23">
        <v>8.5875000000000004</v>
      </c>
      <c r="Z2968" s="23">
        <v>8.2750000000000004</v>
      </c>
      <c r="AA2968" s="23">
        <v>8.4312500000000004</v>
      </c>
    </row>
    <row r="2969" spans="17:27" x14ac:dyDescent="0.3">
      <c r="Q2969" s="93">
        <v>46076</v>
      </c>
      <c r="R2969" t="s">
        <v>498</v>
      </c>
      <c r="S2969" t="s">
        <v>399</v>
      </c>
      <c r="T2969" s="14">
        <v>9500</v>
      </c>
      <c r="W2969" s="20">
        <v>46253</v>
      </c>
      <c r="X2969" t="s">
        <v>273</v>
      </c>
      <c r="Y2969" s="23">
        <v>8.4538461538461505</v>
      </c>
      <c r="Z2969" s="23">
        <v>7.9846153846153802</v>
      </c>
      <c r="AA2969" s="23">
        <v>8.2192307692307693</v>
      </c>
    </row>
    <row r="2970" spans="17:27" x14ac:dyDescent="0.3">
      <c r="Q2970" s="93">
        <v>46076</v>
      </c>
      <c r="R2970" t="s">
        <v>494</v>
      </c>
      <c r="S2970" t="s">
        <v>399</v>
      </c>
      <c r="T2970" s="14">
        <v>0</v>
      </c>
      <c r="W2970" s="20">
        <v>46253</v>
      </c>
      <c r="X2970" t="s">
        <v>274</v>
      </c>
      <c r="Y2970" s="23">
        <v>8.4769230769230806</v>
      </c>
      <c r="Z2970" s="23">
        <v>8</v>
      </c>
      <c r="AA2970" s="23">
        <v>8.2384615384615394</v>
      </c>
    </row>
    <row r="2971" spans="17:27" x14ac:dyDescent="0.3">
      <c r="Q2971" s="93">
        <v>46076</v>
      </c>
      <c r="R2971" t="s">
        <v>495</v>
      </c>
      <c r="S2971" t="s">
        <v>399</v>
      </c>
      <c r="T2971" s="14">
        <v>0</v>
      </c>
      <c r="W2971" s="20">
        <v>46253</v>
      </c>
      <c r="X2971" t="s">
        <v>275</v>
      </c>
      <c r="Y2971" s="23">
        <v>8.5</v>
      </c>
      <c r="Z2971" s="23">
        <v>8.0153846153846207</v>
      </c>
      <c r="AA2971" s="23">
        <v>8.2576923076923094</v>
      </c>
    </row>
    <row r="2972" spans="17:27" x14ac:dyDescent="0.3">
      <c r="Q2972" s="93">
        <v>46076</v>
      </c>
      <c r="R2972" t="s">
        <v>493</v>
      </c>
      <c r="S2972" t="s">
        <v>399</v>
      </c>
      <c r="T2972" s="14">
        <v>0</v>
      </c>
      <c r="W2972" s="20">
        <v>46253</v>
      </c>
      <c r="X2972" t="s">
        <v>276</v>
      </c>
      <c r="Y2972" s="23">
        <v>8.51538461538461</v>
      </c>
      <c r="Z2972" s="23">
        <v>8.0307692307692307</v>
      </c>
      <c r="AA2972" s="23">
        <v>8.2730769230769194</v>
      </c>
    </row>
    <row r="2973" spans="17:27" x14ac:dyDescent="0.3">
      <c r="Q2973" s="93">
        <v>46076</v>
      </c>
      <c r="R2973" t="s">
        <v>593</v>
      </c>
      <c r="S2973" t="s">
        <v>399</v>
      </c>
      <c r="T2973" s="14">
        <v>-1300</v>
      </c>
      <c r="W2973" s="20">
        <v>46253</v>
      </c>
      <c r="X2973" t="s">
        <v>277</v>
      </c>
      <c r="Y2973" s="23">
        <v>8.5615384615384595</v>
      </c>
      <c r="Z2973" s="23">
        <v>8.0769230769230802</v>
      </c>
      <c r="AA2973" s="23">
        <v>8.3192307692307708</v>
      </c>
    </row>
    <row r="2974" spans="17:27" x14ac:dyDescent="0.3">
      <c r="Q2974" s="93">
        <v>46076</v>
      </c>
      <c r="R2974" t="s">
        <v>594</v>
      </c>
      <c r="S2974" t="s">
        <v>399</v>
      </c>
      <c r="T2974" s="14">
        <v>0</v>
      </c>
      <c r="W2974" s="20">
        <v>46253</v>
      </c>
      <c r="X2974" t="s">
        <v>278</v>
      </c>
      <c r="Y2974" s="23">
        <v>8.5846153846153808</v>
      </c>
      <c r="Z2974" s="23">
        <v>8.1</v>
      </c>
      <c r="AA2974" s="23">
        <v>8.3423076923076902</v>
      </c>
    </row>
    <row r="2975" spans="17:27" x14ac:dyDescent="0.3">
      <c r="Q2975" s="93">
        <v>46076</v>
      </c>
      <c r="R2975" t="s">
        <v>595</v>
      </c>
      <c r="S2975" t="s">
        <v>399</v>
      </c>
      <c r="T2975" s="14">
        <v>0</v>
      </c>
      <c r="W2975" s="20">
        <v>46253</v>
      </c>
      <c r="X2975" t="s">
        <v>279</v>
      </c>
      <c r="Y2975" s="23">
        <v>8.6230769230769209</v>
      </c>
      <c r="Z2975" s="23">
        <v>8.1384615384615397</v>
      </c>
      <c r="AA2975" s="23">
        <v>8.3807692307692303</v>
      </c>
    </row>
    <row r="2976" spans="17:27" x14ac:dyDescent="0.3">
      <c r="Q2976" s="93">
        <v>46076</v>
      </c>
      <c r="R2976" t="s">
        <v>479</v>
      </c>
      <c r="S2976" t="s">
        <v>395</v>
      </c>
      <c r="T2976" s="14">
        <v>10617.585272362699</v>
      </c>
      <c r="W2976" s="20">
        <v>46253</v>
      </c>
      <c r="X2976" t="s">
        <v>280</v>
      </c>
      <c r="Y2976" s="23">
        <v>8.6384615384615397</v>
      </c>
      <c r="Z2976" s="23">
        <v>8.1538461538461497</v>
      </c>
      <c r="AA2976" s="23">
        <v>8.3961538461538492</v>
      </c>
    </row>
    <row r="2977" spans="17:27" x14ac:dyDescent="0.3">
      <c r="Q2977" s="93">
        <v>46076</v>
      </c>
      <c r="R2977" t="s">
        <v>479</v>
      </c>
      <c r="S2977" t="s">
        <v>415</v>
      </c>
      <c r="T2977" s="14">
        <v>6.1047439242558204</v>
      </c>
      <c r="W2977" s="20">
        <v>46253</v>
      </c>
      <c r="X2977" t="s">
        <v>281</v>
      </c>
      <c r="Y2977" s="23">
        <v>8.6538461538461497</v>
      </c>
      <c r="Z2977" s="23">
        <v>8.1692307692307704</v>
      </c>
      <c r="AA2977" s="23">
        <v>8.4115384615384592</v>
      </c>
    </row>
    <row r="2978" spans="17:27" x14ac:dyDescent="0.3">
      <c r="Q2978" s="93">
        <v>46076</v>
      </c>
      <c r="R2978" t="s">
        <v>364</v>
      </c>
      <c r="S2978" t="s">
        <v>415</v>
      </c>
      <c r="T2978" s="14">
        <v>5.8617133352012196</v>
      </c>
      <c r="W2978" s="20">
        <v>46254</v>
      </c>
      <c r="X2978" t="s">
        <v>270</v>
      </c>
      <c r="Y2978" s="23">
        <v>7.9428571428571404</v>
      </c>
      <c r="Z2978" s="23">
        <v>7.4428571428571404</v>
      </c>
      <c r="AA2978" s="23">
        <v>7.6928571428571404</v>
      </c>
    </row>
    <row r="2979" spans="17:27" x14ac:dyDescent="0.3">
      <c r="Q2979" s="93">
        <v>46066</v>
      </c>
      <c r="R2979" t="s">
        <v>479</v>
      </c>
      <c r="S2979" t="s">
        <v>399</v>
      </c>
      <c r="T2979" s="14">
        <v>9897.6106</v>
      </c>
      <c r="W2979" s="20">
        <v>46254</v>
      </c>
      <c r="X2979" t="s">
        <v>271</v>
      </c>
      <c r="Y2979" s="23">
        <v>8.3333333333333304</v>
      </c>
      <c r="Z2979" s="23">
        <v>8</v>
      </c>
      <c r="AA2979" s="23">
        <v>8.1666666666666607</v>
      </c>
    </row>
    <row r="2980" spans="17:27" x14ac:dyDescent="0.3">
      <c r="Q2980" s="93">
        <v>46066</v>
      </c>
      <c r="R2980" t="s">
        <v>364</v>
      </c>
      <c r="S2980" t="s">
        <v>399</v>
      </c>
      <c r="T2980" s="14">
        <v>24861.561799999999</v>
      </c>
      <c r="W2980" s="20">
        <v>46254</v>
      </c>
      <c r="X2980" t="s">
        <v>272</v>
      </c>
      <c r="Y2980" s="23">
        <v>8.4499999999999993</v>
      </c>
      <c r="Z2980" s="23">
        <v>8.1999999999999993</v>
      </c>
      <c r="AA2980" s="23">
        <v>8.3249999999999993</v>
      </c>
    </row>
    <row r="2981" spans="17:27" x14ac:dyDescent="0.3">
      <c r="Q2981" s="93">
        <v>46066</v>
      </c>
      <c r="R2981" t="s">
        <v>491</v>
      </c>
      <c r="S2981" t="s">
        <v>399</v>
      </c>
      <c r="T2981" s="14">
        <v>397.61059999999998</v>
      </c>
      <c r="W2981" s="20">
        <v>46254</v>
      </c>
      <c r="X2981" t="s">
        <v>273</v>
      </c>
      <c r="Y2981" s="23">
        <v>8.4538461538461505</v>
      </c>
      <c r="Z2981" s="23">
        <v>7.9846153846153802</v>
      </c>
      <c r="AA2981" s="23">
        <v>8.2192307692307693</v>
      </c>
    </row>
    <row r="2982" spans="17:27" x14ac:dyDescent="0.3">
      <c r="Q2982" s="93">
        <v>46066</v>
      </c>
      <c r="R2982" t="s">
        <v>492</v>
      </c>
      <c r="S2982" t="s">
        <v>399</v>
      </c>
      <c r="T2982" s="14">
        <v>9500</v>
      </c>
      <c r="W2982" s="20">
        <v>46254</v>
      </c>
      <c r="X2982" t="s">
        <v>274</v>
      </c>
      <c r="Y2982" s="23">
        <v>8.4769230769230806</v>
      </c>
      <c r="Z2982" s="23">
        <v>8</v>
      </c>
      <c r="AA2982" s="23">
        <v>8.2384615384615394</v>
      </c>
    </row>
    <row r="2983" spans="17:27" x14ac:dyDescent="0.3">
      <c r="Q2983" s="93">
        <v>46066</v>
      </c>
      <c r="R2983" t="s">
        <v>496</v>
      </c>
      <c r="S2983" t="s">
        <v>399</v>
      </c>
      <c r="T2983" s="14">
        <v>25531.561799999999</v>
      </c>
      <c r="W2983" s="20">
        <v>46254</v>
      </c>
      <c r="X2983" t="s">
        <v>275</v>
      </c>
      <c r="Y2983" s="23">
        <v>8.5</v>
      </c>
      <c r="Z2983" s="23">
        <v>8.0153846153846207</v>
      </c>
      <c r="AA2983" s="23">
        <v>8.2576923076923094</v>
      </c>
    </row>
    <row r="2984" spans="17:27" x14ac:dyDescent="0.3">
      <c r="Q2984" s="93">
        <v>46066</v>
      </c>
      <c r="R2984" t="s">
        <v>497</v>
      </c>
      <c r="S2984" t="s">
        <v>399</v>
      </c>
      <c r="T2984" s="14">
        <v>397.61059999999998</v>
      </c>
      <c r="W2984" s="20">
        <v>46254</v>
      </c>
      <c r="X2984" t="s">
        <v>276</v>
      </c>
      <c r="Y2984" s="23">
        <v>8.51538461538461</v>
      </c>
      <c r="Z2984" s="23">
        <v>8.0307692307692307</v>
      </c>
      <c r="AA2984" s="23">
        <v>8.2730769230769194</v>
      </c>
    </row>
    <row r="2985" spans="17:27" x14ac:dyDescent="0.3">
      <c r="Q2985" s="93">
        <v>46066</v>
      </c>
      <c r="R2985" t="s">
        <v>498</v>
      </c>
      <c r="S2985" t="s">
        <v>399</v>
      </c>
      <c r="T2985" s="14">
        <v>9500</v>
      </c>
      <c r="W2985" s="20">
        <v>46254</v>
      </c>
      <c r="X2985" t="s">
        <v>277</v>
      </c>
      <c r="Y2985" s="23">
        <v>8.5615384615384595</v>
      </c>
      <c r="Z2985" s="23">
        <v>8.0769230769230802</v>
      </c>
      <c r="AA2985" s="23">
        <v>8.3192307692307708</v>
      </c>
    </row>
    <row r="2986" spans="17:27" x14ac:dyDescent="0.3">
      <c r="Q2986" s="93">
        <v>46066</v>
      </c>
      <c r="R2986" t="s">
        <v>494</v>
      </c>
      <c r="S2986" t="s">
        <v>399</v>
      </c>
      <c r="T2986" s="14">
        <v>0</v>
      </c>
      <c r="W2986" s="20">
        <v>46254</v>
      </c>
      <c r="X2986" t="s">
        <v>278</v>
      </c>
      <c r="Y2986" s="23">
        <v>8.5846153846153808</v>
      </c>
      <c r="Z2986" s="23">
        <v>8.1</v>
      </c>
      <c r="AA2986" s="23">
        <v>8.3423076923076902</v>
      </c>
    </row>
    <row r="2987" spans="17:27" x14ac:dyDescent="0.3">
      <c r="Q2987" s="93">
        <v>46066</v>
      </c>
      <c r="R2987" t="s">
        <v>495</v>
      </c>
      <c r="S2987" t="s">
        <v>399</v>
      </c>
      <c r="T2987" s="14">
        <v>0</v>
      </c>
      <c r="W2987" s="20">
        <v>46254</v>
      </c>
      <c r="X2987" t="s">
        <v>279</v>
      </c>
      <c r="Y2987" s="23">
        <v>8.6230769230769209</v>
      </c>
      <c r="Z2987" s="23">
        <v>8.1384615384615397</v>
      </c>
      <c r="AA2987" s="23">
        <v>8.3807692307692303</v>
      </c>
    </row>
    <row r="2988" spans="17:27" x14ac:dyDescent="0.3">
      <c r="Q2988" s="93">
        <v>46066</v>
      </c>
      <c r="R2988" t="s">
        <v>493</v>
      </c>
      <c r="S2988" t="s">
        <v>399</v>
      </c>
      <c r="T2988" s="14">
        <v>0</v>
      </c>
      <c r="W2988" s="20">
        <v>46254</v>
      </c>
      <c r="X2988" t="s">
        <v>280</v>
      </c>
      <c r="Y2988" s="23">
        <v>8.6384615384615397</v>
      </c>
      <c r="Z2988" s="23">
        <v>8.1538461538461497</v>
      </c>
      <c r="AA2988" s="23">
        <v>8.3961538461538492</v>
      </c>
    </row>
    <row r="2989" spans="17:27" x14ac:dyDescent="0.3">
      <c r="Q2989" s="93">
        <v>46066</v>
      </c>
      <c r="R2989" t="s">
        <v>593</v>
      </c>
      <c r="S2989" t="s">
        <v>399</v>
      </c>
      <c r="T2989" s="14">
        <v>-670</v>
      </c>
      <c r="W2989" s="20">
        <v>46254</v>
      </c>
      <c r="X2989" t="s">
        <v>281</v>
      </c>
      <c r="Y2989" s="23">
        <v>8.6538461538461497</v>
      </c>
      <c r="Z2989" s="23">
        <v>8.1692307692307704</v>
      </c>
      <c r="AA2989" s="23">
        <v>8.4115384615384592</v>
      </c>
    </row>
    <row r="2990" spans="17:27" x14ac:dyDescent="0.3">
      <c r="Q2990" s="93">
        <v>46066</v>
      </c>
      <c r="R2990" t="s">
        <v>594</v>
      </c>
      <c r="S2990" t="s">
        <v>399</v>
      </c>
      <c r="T2990" s="14">
        <v>0</v>
      </c>
      <c r="W2990" s="20">
        <v>46255</v>
      </c>
      <c r="X2990" t="s">
        <v>270</v>
      </c>
      <c r="Y2990" s="23">
        <v>7.9428571428571404</v>
      </c>
      <c r="Z2990" s="23">
        <v>7.4428571428571404</v>
      </c>
      <c r="AA2990" s="23">
        <v>7.6928571428571404</v>
      </c>
    </row>
    <row r="2991" spans="17:27" x14ac:dyDescent="0.3">
      <c r="Q2991" s="93">
        <v>46066</v>
      </c>
      <c r="R2991" t="s">
        <v>595</v>
      </c>
      <c r="S2991" t="s">
        <v>399</v>
      </c>
      <c r="T2991" s="14">
        <v>0</v>
      </c>
      <c r="W2991" s="20">
        <v>46255</v>
      </c>
      <c r="X2991" t="s">
        <v>271</v>
      </c>
      <c r="Y2991" s="23">
        <v>8.3333333333333304</v>
      </c>
      <c r="Z2991" s="23">
        <v>8</v>
      </c>
      <c r="AA2991" s="23">
        <v>8.1666666666666607</v>
      </c>
    </row>
    <row r="2992" spans="17:27" x14ac:dyDescent="0.3">
      <c r="Q2992" s="93">
        <v>46066</v>
      </c>
      <c r="R2992" t="s">
        <v>479</v>
      </c>
      <c r="S2992" t="s">
        <v>395</v>
      </c>
      <c r="T2992" s="14">
        <v>10624.669506261</v>
      </c>
      <c r="W2992" s="20">
        <v>46255</v>
      </c>
      <c r="X2992" t="s">
        <v>272</v>
      </c>
      <c r="Y2992" s="23">
        <v>8.4499999999999993</v>
      </c>
      <c r="Z2992" s="23">
        <v>8.1999999999999993</v>
      </c>
      <c r="AA2992" s="23">
        <v>8.3249999999999993</v>
      </c>
    </row>
    <row r="2993" spans="17:27" x14ac:dyDescent="0.3">
      <c r="Q2993" s="93">
        <v>46066</v>
      </c>
      <c r="R2993" t="s">
        <v>479</v>
      </c>
      <c r="S2993" t="s">
        <v>415</v>
      </c>
      <c r="T2993" s="14">
        <v>6.1047439242558204</v>
      </c>
      <c r="W2993" s="20">
        <v>46255</v>
      </c>
      <c r="X2993" t="s">
        <v>273</v>
      </c>
      <c r="Y2993" s="23">
        <v>8.4538461538461505</v>
      </c>
      <c r="Z2993" s="23">
        <v>7.9846153846153802</v>
      </c>
      <c r="AA2993" s="23">
        <v>8.2192307692307693</v>
      </c>
    </row>
    <row r="2994" spans="17:27" x14ac:dyDescent="0.3">
      <c r="Q2994" s="93">
        <v>46066</v>
      </c>
      <c r="R2994" t="s">
        <v>364</v>
      </c>
      <c r="S2994" t="s">
        <v>415</v>
      </c>
      <c r="T2994" s="14">
        <v>5.82966729705453</v>
      </c>
      <c r="W2994" s="20">
        <v>46255</v>
      </c>
      <c r="X2994" t="s">
        <v>274</v>
      </c>
      <c r="Y2994" s="23">
        <v>8.4769230769230806</v>
      </c>
      <c r="Z2994" s="23">
        <v>8</v>
      </c>
      <c r="AA2994" s="23">
        <v>8.2384615384615394</v>
      </c>
    </row>
    <row r="2995" spans="17:27" x14ac:dyDescent="0.3">
      <c r="Q2995" s="93">
        <v>46066</v>
      </c>
      <c r="R2995" t="s">
        <v>364</v>
      </c>
      <c r="S2995" t="s">
        <v>997</v>
      </c>
      <c r="T2995" s="14">
        <v>32761.561799999999</v>
      </c>
      <c r="W2995" s="20">
        <v>46255</v>
      </c>
      <c r="X2995" t="s">
        <v>275</v>
      </c>
      <c r="Y2995" s="23">
        <v>8.5</v>
      </c>
      <c r="Z2995" s="23">
        <v>8.0153846153846207</v>
      </c>
      <c r="AA2995" s="23">
        <v>8.2576923076923094</v>
      </c>
    </row>
    <row r="2996" spans="17:27" x14ac:dyDescent="0.3">
      <c r="Q2996" s="93">
        <v>46066</v>
      </c>
      <c r="R2996" t="s">
        <v>496</v>
      </c>
      <c r="S2996" t="s">
        <v>997</v>
      </c>
      <c r="T2996" s="14">
        <v>33431.561800000003</v>
      </c>
      <c r="W2996" s="20">
        <v>46255</v>
      </c>
      <c r="X2996" t="s">
        <v>276</v>
      </c>
      <c r="Y2996" s="23">
        <v>8.51538461538461</v>
      </c>
      <c r="Z2996" s="23">
        <v>8.0307692307692307</v>
      </c>
      <c r="AA2996" s="23">
        <v>8.2730769230769194</v>
      </c>
    </row>
    <row r="2997" spans="17:27" x14ac:dyDescent="0.3">
      <c r="Q2997" s="93">
        <v>46065</v>
      </c>
      <c r="R2997" t="s">
        <v>479</v>
      </c>
      <c r="S2997" t="s">
        <v>399</v>
      </c>
      <c r="T2997" s="14">
        <v>9897.6106</v>
      </c>
      <c r="W2997" s="20">
        <v>46255</v>
      </c>
      <c r="X2997" t="s">
        <v>277</v>
      </c>
      <c r="Y2997" s="23">
        <v>8.5615384615384595</v>
      </c>
      <c r="Z2997" s="23">
        <v>8.0769230769230802</v>
      </c>
      <c r="AA2997" s="23">
        <v>8.3192307692307708</v>
      </c>
    </row>
    <row r="2998" spans="17:27" x14ac:dyDescent="0.3">
      <c r="Q2998" s="93">
        <v>46065</v>
      </c>
      <c r="R2998" t="s">
        <v>364</v>
      </c>
      <c r="S2998" t="s">
        <v>399</v>
      </c>
      <c r="T2998" s="14">
        <v>26861.561799999999</v>
      </c>
      <c r="W2998" s="20">
        <v>46255</v>
      </c>
      <c r="X2998" t="s">
        <v>278</v>
      </c>
      <c r="Y2998" s="23">
        <v>8.5846153846153808</v>
      </c>
      <c r="Z2998" s="23">
        <v>8.1</v>
      </c>
      <c r="AA2998" s="23">
        <v>8.3423076923076902</v>
      </c>
    </row>
    <row r="2999" spans="17:27" x14ac:dyDescent="0.3">
      <c r="Q2999" s="93">
        <v>46065</v>
      </c>
      <c r="R2999" t="s">
        <v>491</v>
      </c>
      <c r="S2999" t="s">
        <v>399</v>
      </c>
      <c r="T2999" s="14">
        <v>397.61059999999998</v>
      </c>
      <c r="W2999" s="20">
        <v>46255</v>
      </c>
      <c r="X2999" t="s">
        <v>279</v>
      </c>
      <c r="Y2999" s="23">
        <v>8.6230769230769209</v>
      </c>
      <c r="Z2999" s="23">
        <v>8.1384615384615397</v>
      </c>
      <c r="AA2999" s="23">
        <v>8.3807692307692303</v>
      </c>
    </row>
    <row r="3000" spans="17:27" x14ac:dyDescent="0.3">
      <c r="Q3000" s="93">
        <v>46065</v>
      </c>
      <c r="R3000" t="s">
        <v>492</v>
      </c>
      <c r="S3000" t="s">
        <v>399</v>
      </c>
      <c r="T3000" s="14">
        <v>9500</v>
      </c>
      <c r="W3000" s="20">
        <v>46255</v>
      </c>
      <c r="X3000" t="s">
        <v>280</v>
      </c>
      <c r="Y3000" s="23">
        <v>8.6384615384615397</v>
      </c>
      <c r="Z3000" s="23">
        <v>8.1538461538461497</v>
      </c>
      <c r="AA3000" s="23">
        <v>8.3961538461538492</v>
      </c>
    </row>
    <row r="3001" spans="17:27" x14ac:dyDescent="0.3">
      <c r="Q3001" s="93">
        <v>46065</v>
      </c>
      <c r="R3001" t="s">
        <v>496</v>
      </c>
      <c r="S3001" t="s">
        <v>399</v>
      </c>
      <c r="T3001" s="14">
        <v>27361.561799999999</v>
      </c>
      <c r="W3001" s="20">
        <v>46255</v>
      </c>
      <c r="X3001" t="s">
        <v>281</v>
      </c>
      <c r="Y3001" s="23">
        <v>8.6538461538461497</v>
      </c>
      <c r="Z3001" s="23">
        <v>8.1692307692307704</v>
      </c>
      <c r="AA3001" s="23">
        <v>8.4115384615384592</v>
      </c>
    </row>
    <row r="3002" spans="17:27" x14ac:dyDescent="0.3">
      <c r="Q3002" s="93">
        <v>46065</v>
      </c>
      <c r="R3002" t="s">
        <v>497</v>
      </c>
      <c r="S3002" t="s">
        <v>399</v>
      </c>
      <c r="T3002" s="14">
        <v>397.61059999999998</v>
      </c>
      <c r="W3002" s="20">
        <v>46258</v>
      </c>
      <c r="X3002" t="s">
        <v>270</v>
      </c>
      <c r="Y3002" s="23">
        <v>7.9285714285714297</v>
      </c>
      <c r="Z3002" s="23">
        <v>7.4285714285714297</v>
      </c>
      <c r="AA3002" s="23">
        <v>7.6785714285714297</v>
      </c>
    </row>
    <row r="3003" spans="17:27" x14ac:dyDescent="0.3">
      <c r="Q3003" s="93">
        <v>46065</v>
      </c>
      <c r="R3003" t="s">
        <v>498</v>
      </c>
      <c r="S3003" t="s">
        <v>399</v>
      </c>
      <c r="T3003" s="14">
        <v>9500</v>
      </c>
      <c r="W3003" s="20">
        <v>46258</v>
      </c>
      <c r="X3003" t="s">
        <v>271</v>
      </c>
      <c r="Y3003" s="23">
        <v>8.3333333333333304</v>
      </c>
      <c r="Z3003" s="23">
        <v>8</v>
      </c>
      <c r="AA3003" s="23">
        <v>8.1666666666666607</v>
      </c>
    </row>
    <row r="3004" spans="17:27" x14ac:dyDescent="0.3">
      <c r="Q3004" s="93">
        <v>46065</v>
      </c>
      <c r="R3004" t="s">
        <v>494</v>
      </c>
      <c r="S3004" t="s">
        <v>399</v>
      </c>
      <c r="T3004" s="14">
        <v>0</v>
      </c>
      <c r="W3004" s="20">
        <v>46258</v>
      </c>
      <c r="X3004" t="s">
        <v>272</v>
      </c>
      <c r="Y3004" s="23">
        <v>8.4499999999999993</v>
      </c>
      <c r="Z3004" s="23">
        <v>8.1999999999999993</v>
      </c>
      <c r="AA3004" s="23">
        <v>8.3249999999999993</v>
      </c>
    </row>
    <row r="3005" spans="17:27" x14ac:dyDescent="0.3">
      <c r="Q3005" s="93">
        <v>46065</v>
      </c>
      <c r="R3005" t="s">
        <v>495</v>
      </c>
      <c r="S3005" t="s">
        <v>399</v>
      </c>
      <c r="T3005" s="14">
        <v>0</v>
      </c>
      <c r="W3005" s="20">
        <v>46258</v>
      </c>
      <c r="X3005" t="s">
        <v>273</v>
      </c>
      <c r="Y3005" s="23">
        <v>8.4538461538461505</v>
      </c>
      <c r="Z3005" s="23">
        <v>7.9846153846153802</v>
      </c>
      <c r="AA3005" s="23">
        <v>8.2192307692307693</v>
      </c>
    </row>
    <row r="3006" spans="17:27" x14ac:dyDescent="0.3">
      <c r="Q3006" s="93">
        <v>46065</v>
      </c>
      <c r="R3006" t="s">
        <v>493</v>
      </c>
      <c r="S3006" t="s">
        <v>399</v>
      </c>
      <c r="T3006" s="14">
        <v>0</v>
      </c>
      <c r="W3006" s="20">
        <v>46258</v>
      </c>
      <c r="X3006" t="s">
        <v>274</v>
      </c>
      <c r="Y3006" s="23">
        <v>8.4769230769230806</v>
      </c>
      <c r="Z3006" s="23">
        <v>8</v>
      </c>
      <c r="AA3006" s="23">
        <v>8.2384615384615394</v>
      </c>
    </row>
    <row r="3007" spans="17:27" x14ac:dyDescent="0.3">
      <c r="Q3007" s="93">
        <v>46065</v>
      </c>
      <c r="R3007" t="s">
        <v>593</v>
      </c>
      <c r="S3007" t="s">
        <v>399</v>
      </c>
      <c r="T3007" s="14">
        <v>-500</v>
      </c>
      <c r="W3007" s="20">
        <v>46258</v>
      </c>
      <c r="X3007" t="s">
        <v>275</v>
      </c>
      <c r="Y3007" s="23">
        <v>8.5</v>
      </c>
      <c r="Z3007" s="23">
        <v>8.0153846153846207</v>
      </c>
      <c r="AA3007" s="23">
        <v>8.2576923076923094</v>
      </c>
    </row>
    <row r="3008" spans="17:27" x14ac:dyDescent="0.3">
      <c r="Q3008" s="93">
        <v>46065</v>
      </c>
      <c r="R3008" t="s">
        <v>594</v>
      </c>
      <c r="S3008" t="s">
        <v>399</v>
      </c>
      <c r="T3008" s="14">
        <v>0</v>
      </c>
      <c r="W3008" s="20">
        <v>46258</v>
      </c>
      <c r="X3008" t="s">
        <v>276</v>
      </c>
      <c r="Y3008" s="23">
        <v>8.51538461538461</v>
      </c>
      <c r="Z3008" s="23">
        <v>8.0307692307692307</v>
      </c>
      <c r="AA3008" s="23">
        <v>8.2730769230769194</v>
      </c>
    </row>
    <row r="3009" spans="17:27" x14ac:dyDescent="0.3">
      <c r="Q3009" s="93">
        <v>46065</v>
      </c>
      <c r="R3009" t="s">
        <v>595</v>
      </c>
      <c r="S3009" t="s">
        <v>399</v>
      </c>
      <c r="T3009" s="14">
        <v>0</v>
      </c>
      <c r="W3009" s="20">
        <v>46258</v>
      </c>
      <c r="X3009" t="s">
        <v>277</v>
      </c>
      <c r="Y3009" s="23">
        <v>8.5615384615384595</v>
      </c>
      <c r="Z3009" s="23">
        <v>8.0769230769230802</v>
      </c>
      <c r="AA3009" s="23">
        <v>8.3192307692307708</v>
      </c>
    </row>
    <row r="3010" spans="17:27" x14ac:dyDescent="0.3">
      <c r="Q3010" s="93">
        <v>46065</v>
      </c>
      <c r="R3010" t="s">
        <v>479</v>
      </c>
      <c r="S3010" t="s">
        <v>395</v>
      </c>
      <c r="T3010" s="14">
        <v>10624.768572593501</v>
      </c>
      <c r="W3010" s="20">
        <v>46258</v>
      </c>
      <c r="X3010" t="s">
        <v>278</v>
      </c>
      <c r="Y3010" s="23">
        <v>8.5846153846153808</v>
      </c>
      <c r="Z3010" s="23">
        <v>8.1</v>
      </c>
      <c r="AA3010" s="23">
        <v>8.3423076923076902</v>
      </c>
    </row>
    <row r="3011" spans="17:27" x14ac:dyDescent="0.3">
      <c r="Q3011" s="93">
        <v>46065</v>
      </c>
      <c r="R3011" t="s">
        <v>479</v>
      </c>
      <c r="S3011" t="s">
        <v>415</v>
      </c>
      <c r="T3011" s="14">
        <v>6.1047439242558204</v>
      </c>
      <c r="W3011" s="20">
        <v>46258</v>
      </c>
      <c r="X3011" t="s">
        <v>279</v>
      </c>
      <c r="Y3011" s="23">
        <v>8.6230769230769209</v>
      </c>
      <c r="Z3011" s="23">
        <v>8.1384615384615397</v>
      </c>
      <c r="AA3011" s="23">
        <v>8.3807692307692303</v>
      </c>
    </row>
    <row r="3012" spans="17:27" x14ac:dyDescent="0.3">
      <c r="Q3012" s="93">
        <v>46065</v>
      </c>
      <c r="R3012" t="s">
        <v>364</v>
      </c>
      <c r="S3012" t="s">
        <v>415</v>
      </c>
      <c r="T3012" s="14">
        <v>5.834918520824</v>
      </c>
      <c r="W3012" s="20">
        <v>46258</v>
      </c>
      <c r="X3012" t="s">
        <v>280</v>
      </c>
      <c r="Y3012" s="23">
        <v>8.6384615384615397</v>
      </c>
      <c r="Z3012" s="23">
        <v>8.1538461538461497</v>
      </c>
      <c r="AA3012" s="23">
        <v>8.3961538461538492</v>
      </c>
    </row>
    <row r="3013" spans="17:27" x14ac:dyDescent="0.3">
      <c r="Q3013" s="93">
        <v>46065</v>
      </c>
      <c r="R3013" t="s">
        <v>364</v>
      </c>
      <c r="S3013" t="s">
        <v>997</v>
      </c>
      <c r="T3013" s="14">
        <v>34761.561800000003</v>
      </c>
      <c r="W3013" s="20">
        <v>46258</v>
      </c>
      <c r="X3013" t="s">
        <v>281</v>
      </c>
      <c r="Y3013" s="23">
        <v>8.6538461538461497</v>
      </c>
      <c r="Z3013" s="23">
        <v>8.1692307692307704</v>
      </c>
      <c r="AA3013" s="23">
        <v>8.4115384615384592</v>
      </c>
    </row>
    <row r="3014" spans="17:27" x14ac:dyDescent="0.3">
      <c r="Q3014" s="93">
        <v>46065</v>
      </c>
      <c r="R3014" t="s">
        <v>496</v>
      </c>
      <c r="S3014" t="s">
        <v>997</v>
      </c>
      <c r="T3014" s="14">
        <v>35261.561800000003</v>
      </c>
      <c r="W3014" s="20">
        <v>46262</v>
      </c>
      <c r="X3014" t="s">
        <v>270</v>
      </c>
      <c r="Y3014" s="23">
        <v>7.9428571428571404</v>
      </c>
      <c r="Z3014" s="23">
        <v>7.4428571428571404</v>
      </c>
      <c r="AA3014" s="23">
        <v>7.6928571428571404</v>
      </c>
    </row>
    <row r="3015" spans="17:27" x14ac:dyDescent="0.3">
      <c r="Q3015" s="93">
        <v>46064</v>
      </c>
      <c r="R3015" t="s">
        <v>479</v>
      </c>
      <c r="S3015" t="s">
        <v>399</v>
      </c>
      <c r="T3015" s="14">
        <v>9897.6106</v>
      </c>
      <c r="W3015" s="20">
        <v>46262</v>
      </c>
      <c r="X3015" t="s">
        <v>271</v>
      </c>
      <c r="Y3015" s="23">
        <v>8.15</v>
      </c>
      <c r="Z3015" s="23">
        <v>7.9</v>
      </c>
      <c r="AA3015" s="23">
        <v>8.0250000000000004</v>
      </c>
    </row>
    <row r="3016" spans="17:27" x14ac:dyDescent="0.3">
      <c r="Q3016" s="93">
        <v>46064</v>
      </c>
      <c r="R3016" t="s">
        <v>364</v>
      </c>
      <c r="S3016" t="s">
        <v>399</v>
      </c>
      <c r="T3016" s="14">
        <v>24461.561799999999</v>
      </c>
      <c r="W3016" s="20">
        <v>46262</v>
      </c>
      <c r="X3016" t="s">
        <v>272</v>
      </c>
      <c r="Y3016" s="23">
        <v>8.5124999999999993</v>
      </c>
      <c r="Z3016" s="23">
        <v>8.1999999999999993</v>
      </c>
      <c r="AA3016" s="23">
        <v>8.3562499999999993</v>
      </c>
    </row>
    <row r="3017" spans="17:27" x14ac:dyDescent="0.3">
      <c r="Q3017" s="93">
        <v>46064</v>
      </c>
      <c r="R3017" t="s">
        <v>491</v>
      </c>
      <c r="S3017" t="s">
        <v>399</v>
      </c>
      <c r="T3017" s="14">
        <v>397.61059999999998</v>
      </c>
      <c r="W3017" s="20">
        <v>46262</v>
      </c>
      <c r="X3017" t="s">
        <v>273</v>
      </c>
      <c r="Y3017" s="23">
        <v>8.4384615384615405</v>
      </c>
      <c r="Z3017" s="23">
        <v>7.9692307692307702</v>
      </c>
      <c r="AA3017" s="23">
        <v>8.2038461538461505</v>
      </c>
    </row>
    <row r="3018" spans="17:27" x14ac:dyDescent="0.3">
      <c r="Q3018" s="93">
        <v>46064</v>
      </c>
      <c r="R3018" t="s">
        <v>492</v>
      </c>
      <c r="S3018" t="s">
        <v>399</v>
      </c>
      <c r="T3018" s="14">
        <v>9500</v>
      </c>
      <c r="W3018" s="20">
        <v>46262</v>
      </c>
      <c r="X3018" t="s">
        <v>274</v>
      </c>
      <c r="Y3018" s="23">
        <v>8.4615384615384599</v>
      </c>
      <c r="Z3018" s="23">
        <v>7.9846153846153802</v>
      </c>
      <c r="AA3018" s="23">
        <v>8.2230769230769205</v>
      </c>
    </row>
    <row r="3019" spans="17:27" x14ac:dyDescent="0.3">
      <c r="Q3019" s="93">
        <v>46064</v>
      </c>
      <c r="R3019" t="s">
        <v>496</v>
      </c>
      <c r="S3019" t="s">
        <v>399</v>
      </c>
      <c r="T3019" s="14">
        <v>29011.561799999999</v>
      </c>
      <c r="W3019" s="20">
        <v>46262</v>
      </c>
      <c r="X3019" t="s">
        <v>275</v>
      </c>
      <c r="Y3019" s="23">
        <v>8.4846153846153793</v>
      </c>
      <c r="Z3019" s="23">
        <v>8</v>
      </c>
      <c r="AA3019" s="23">
        <v>8.2423076923076906</v>
      </c>
    </row>
    <row r="3020" spans="17:27" x14ac:dyDescent="0.3">
      <c r="Q3020" s="93">
        <v>46064</v>
      </c>
      <c r="R3020" t="s">
        <v>497</v>
      </c>
      <c r="S3020" t="s">
        <v>399</v>
      </c>
      <c r="T3020" s="14">
        <v>397.61059999999998</v>
      </c>
      <c r="W3020" s="20">
        <v>46262</v>
      </c>
      <c r="X3020" t="s">
        <v>276</v>
      </c>
      <c r="Y3020" s="23">
        <v>8.5</v>
      </c>
      <c r="Z3020" s="23">
        <v>8.0153846153846207</v>
      </c>
      <c r="AA3020" s="23">
        <v>8.2576923076923094</v>
      </c>
    </row>
    <row r="3021" spans="17:27" x14ac:dyDescent="0.3">
      <c r="Q3021" s="93">
        <v>46064</v>
      </c>
      <c r="R3021" t="s">
        <v>498</v>
      </c>
      <c r="S3021" t="s">
        <v>399</v>
      </c>
      <c r="T3021" s="14">
        <v>9500</v>
      </c>
      <c r="W3021" s="20">
        <v>46262</v>
      </c>
      <c r="X3021" t="s">
        <v>277</v>
      </c>
      <c r="Y3021" s="23">
        <v>8.5461538461538407</v>
      </c>
      <c r="Z3021" s="23">
        <v>8.0615384615384595</v>
      </c>
      <c r="AA3021" s="23">
        <v>8.3038461538461608</v>
      </c>
    </row>
    <row r="3022" spans="17:27" x14ac:dyDescent="0.3">
      <c r="Q3022" s="93">
        <v>46064</v>
      </c>
      <c r="R3022" t="s">
        <v>494</v>
      </c>
      <c r="S3022" t="s">
        <v>399</v>
      </c>
      <c r="T3022" s="14">
        <v>0</v>
      </c>
      <c r="W3022" s="20">
        <v>46262</v>
      </c>
      <c r="X3022" t="s">
        <v>278</v>
      </c>
      <c r="Y3022" s="23">
        <v>8.5692307692307708</v>
      </c>
      <c r="Z3022" s="23">
        <v>8.0846153846153808</v>
      </c>
      <c r="AA3022" s="23">
        <v>8.3269230769230802</v>
      </c>
    </row>
    <row r="3023" spans="17:27" x14ac:dyDescent="0.3">
      <c r="Q3023" s="93">
        <v>46064</v>
      </c>
      <c r="R3023" t="s">
        <v>495</v>
      </c>
      <c r="S3023" t="s">
        <v>399</v>
      </c>
      <c r="T3023" s="14">
        <v>0</v>
      </c>
      <c r="W3023" s="20">
        <v>46262</v>
      </c>
      <c r="X3023" t="s">
        <v>279</v>
      </c>
      <c r="Y3023" s="23">
        <v>8.6076923076923109</v>
      </c>
      <c r="Z3023" s="23">
        <v>8.1230769230769209</v>
      </c>
      <c r="AA3023" s="23">
        <v>8.3653846153846096</v>
      </c>
    </row>
    <row r="3024" spans="17:27" x14ac:dyDescent="0.3">
      <c r="Q3024" s="93">
        <v>46064</v>
      </c>
      <c r="R3024" t="s">
        <v>493</v>
      </c>
      <c r="S3024" t="s">
        <v>399</v>
      </c>
      <c r="T3024" s="14">
        <v>0</v>
      </c>
      <c r="W3024" s="20">
        <v>46262</v>
      </c>
      <c r="X3024" t="s">
        <v>280</v>
      </c>
      <c r="Y3024" s="23">
        <v>8.6230769230769209</v>
      </c>
      <c r="Z3024" s="23">
        <v>8.1384615384615397</v>
      </c>
      <c r="AA3024" s="23">
        <v>8.3807692307692303</v>
      </c>
    </row>
    <row r="3025" spans="17:27" x14ac:dyDescent="0.3">
      <c r="Q3025" s="93">
        <v>46064</v>
      </c>
      <c r="R3025" t="s">
        <v>593</v>
      </c>
      <c r="S3025" t="s">
        <v>399</v>
      </c>
      <c r="T3025" s="14">
        <v>-4550</v>
      </c>
      <c r="W3025" s="20">
        <v>46262</v>
      </c>
      <c r="X3025" t="s">
        <v>281</v>
      </c>
      <c r="Y3025" s="23">
        <v>8.6384615384615397</v>
      </c>
      <c r="Z3025" s="23">
        <v>8.1538461538461497</v>
      </c>
      <c r="AA3025" s="23">
        <v>8.3961538461538492</v>
      </c>
    </row>
    <row r="3026" spans="17:27" x14ac:dyDescent="0.3">
      <c r="Q3026" s="93">
        <v>46064</v>
      </c>
      <c r="R3026" t="s">
        <v>594</v>
      </c>
      <c r="S3026" t="s">
        <v>399</v>
      </c>
      <c r="T3026" s="14">
        <v>0</v>
      </c>
      <c r="W3026" s="20">
        <v>46261</v>
      </c>
      <c r="X3026" t="s">
        <v>270</v>
      </c>
      <c r="Y3026" s="23">
        <v>7.9285714285714297</v>
      </c>
      <c r="Z3026" s="23">
        <v>7.4285714285714297</v>
      </c>
      <c r="AA3026" s="23">
        <v>7.6785714285714297</v>
      </c>
    </row>
    <row r="3027" spans="17:27" x14ac:dyDescent="0.3">
      <c r="Q3027" s="93">
        <v>46064</v>
      </c>
      <c r="R3027" t="s">
        <v>595</v>
      </c>
      <c r="S3027" t="s">
        <v>399</v>
      </c>
      <c r="T3027" s="14">
        <v>0</v>
      </c>
      <c r="W3027" s="20">
        <v>46261</v>
      </c>
      <c r="X3027" t="s">
        <v>271</v>
      </c>
      <c r="Y3027" s="23">
        <v>8.15</v>
      </c>
      <c r="Z3027" s="23">
        <v>7.9</v>
      </c>
      <c r="AA3027" s="23">
        <v>8.0250000000000004</v>
      </c>
    </row>
    <row r="3028" spans="17:27" x14ac:dyDescent="0.3">
      <c r="Q3028" s="93">
        <v>46064</v>
      </c>
      <c r="R3028" t="s">
        <v>479</v>
      </c>
      <c r="S3028" t="s">
        <v>395</v>
      </c>
      <c r="T3028" s="14">
        <v>10626.3242354786</v>
      </c>
      <c r="W3028" s="20">
        <v>46261</v>
      </c>
      <c r="X3028" t="s">
        <v>272</v>
      </c>
      <c r="Y3028" s="23">
        <v>8.5124999999999993</v>
      </c>
      <c r="Z3028" s="23">
        <v>8.1999999999999993</v>
      </c>
      <c r="AA3028" s="23">
        <v>8.3562499999999993</v>
      </c>
    </row>
    <row r="3029" spans="17:27" x14ac:dyDescent="0.3">
      <c r="Q3029" s="93">
        <v>46064</v>
      </c>
      <c r="R3029" t="s">
        <v>479</v>
      </c>
      <c r="S3029" t="s">
        <v>415</v>
      </c>
      <c r="T3029" s="14">
        <v>6.1047439242558204</v>
      </c>
      <c r="W3029" s="20">
        <v>46261</v>
      </c>
      <c r="X3029" t="s">
        <v>273</v>
      </c>
      <c r="Y3029" s="23">
        <v>8.4538461538461505</v>
      </c>
      <c r="Z3029" s="23">
        <v>7.9846153846153802</v>
      </c>
      <c r="AA3029" s="23">
        <v>8.2192307692307693</v>
      </c>
    </row>
    <row r="3030" spans="17:27" x14ac:dyDescent="0.3">
      <c r="Q3030" s="93">
        <v>46064</v>
      </c>
      <c r="R3030" t="s">
        <v>364</v>
      </c>
      <c r="S3030" t="s">
        <v>415</v>
      </c>
      <c r="T3030" s="14">
        <v>5.79869214152796</v>
      </c>
      <c r="W3030" s="20">
        <v>46261</v>
      </c>
      <c r="X3030" t="s">
        <v>274</v>
      </c>
      <c r="Y3030" s="23">
        <v>8.4769230769230806</v>
      </c>
      <c r="Z3030" s="23">
        <v>8</v>
      </c>
      <c r="AA3030" s="23">
        <v>8.2384615384615394</v>
      </c>
    </row>
    <row r="3031" spans="17:27" x14ac:dyDescent="0.3">
      <c r="Q3031" s="93">
        <v>46064</v>
      </c>
      <c r="R3031" t="s">
        <v>364</v>
      </c>
      <c r="S3031" t="s">
        <v>997</v>
      </c>
      <c r="T3031" s="14">
        <v>32361.561799999999</v>
      </c>
      <c r="W3031" s="20">
        <v>46261</v>
      </c>
      <c r="X3031" t="s">
        <v>275</v>
      </c>
      <c r="Y3031" s="23">
        <v>8.5</v>
      </c>
      <c r="Z3031" s="23">
        <v>8.0153846153846207</v>
      </c>
      <c r="AA3031" s="23">
        <v>8.2576923076923094</v>
      </c>
    </row>
    <row r="3032" spans="17:27" x14ac:dyDescent="0.3">
      <c r="Q3032" s="93">
        <v>46064</v>
      </c>
      <c r="R3032" t="s">
        <v>496</v>
      </c>
      <c r="S3032" t="s">
        <v>997</v>
      </c>
      <c r="T3032" s="14">
        <v>36911.561800000003</v>
      </c>
      <c r="W3032" s="20">
        <v>46261</v>
      </c>
      <c r="X3032" t="s">
        <v>276</v>
      </c>
      <c r="Y3032" s="23">
        <v>8.51538461538461</v>
      </c>
      <c r="Z3032" s="23">
        <v>8.0307692307692307</v>
      </c>
      <c r="AA3032" s="23">
        <v>8.2730769230769194</v>
      </c>
    </row>
    <row r="3033" spans="17:27" x14ac:dyDescent="0.3">
      <c r="Q3033" s="93">
        <v>46063</v>
      </c>
      <c r="R3033" t="s">
        <v>479</v>
      </c>
      <c r="S3033" t="s">
        <v>399</v>
      </c>
      <c r="T3033" s="14">
        <v>9897.6106</v>
      </c>
      <c r="W3033" s="20">
        <v>46261</v>
      </c>
      <c r="X3033" t="s">
        <v>277</v>
      </c>
      <c r="Y3033" s="23">
        <v>8.5615384615384595</v>
      </c>
      <c r="Z3033" s="23">
        <v>8.0769230769230802</v>
      </c>
      <c r="AA3033" s="23">
        <v>8.3192307692307708</v>
      </c>
    </row>
    <row r="3034" spans="17:27" x14ac:dyDescent="0.3">
      <c r="Q3034" s="93">
        <v>46063</v>
      </c>
      <c r="R3034" t="s">
        <v>364</v>
      </c>
      <c r="S3034" t="s">
        <v>399</v>
      </c>
      <c r="T3034" s="14">
        <v>24667.584800000001</v>
      </c>
      <c r="W3034" s="20">
        <v>46261</v>
      </c>
      <c r="X3034" t="s">
        <v>278</v>
      </c>
      <c r="Y3034" s="23">
        <v>8.5846153846153808</v>
      </c>
      <c r="Z3034" s="23">
        <v>8.1</v>
      </c>
      <c r="AA3034" s="23">
        <v>8.3423076923076902</v>
      </c>
    </row>
    <row r="3035" spans="17:27" x14ac:dyDescent="0.3">
      <c r="Q3035" s="93">
        <v>46063</v>
      </c>
      <c r="R3035" t="s">
        <v>491</v>
      </c>
      <c r="S3035" t="s">
        <v>399</v>
      </c>
      <c r="T3035" s="14">
        <v>397.61059999999998</v>
      </c>
      <c r="W3035" s="20">
        <v>46261</v>
      </c>
      <c r="X3035" t="s">
        <v>279</v>
      </c>
      <c r="Y3035" s="23">
        <v>8.6230769230769209</v>
      </c>
      <c r="Z3035" s="23">
        <v>8.1384615384615397</v>
      </c>
      <c r="AA3035" s="23">
        <v>8.3807692307692303</v>
      </c>
    </row>
    <row r="3036" spans="17:27" x14ac:dyDescent="0.3">
      <c r="Q3036" s="93">
        <v>46063</v>
      </c>
      <c r="R3036" t="s">
        <v>492</v>
      </c>
      <c r="S3036" t="s">
        <v>399</v>
      </c>
      <c r="T3036" s="14">
        <v>9500</v>
      </c>
      <c r="W3036" s="20">
        <v>46261</v>
      </c>
      <c r="X3036" t="s">
        <v>280</v>
      </c>
      <c r="Y3036" s="23">
        <v>8.6384615384615397</v>
      </c>
      <c r="Z3036" s="23">
        <v>8.1538461538461497</v>
      </c>
      <c r="AA3036" s="23">
        <v>8.3961538461538492</v>
      </c>
    </row>
    <row r="3037" spans="17:27" x14ac:dyDescent="0.3">
      <c r="Q3037" s="93">
        <v>46063</v>
      </c>
      <c r="R3037" t="s">
        <v>496</v>
      </c>
      <c r="S3037" t="s">
        <v>399</v>
      </c>
      <c r="T3037" s="14">
        <v>30367.584800000001</v>
      </c>
      <c r="W3037" s="20">
        <v>46261</v>
      </c>
      <c r="X3037" t="s">
        <v>281</v>
      </c>
      <c r="Y3037" s="23">
        <v>8.6538461538461497</v>
      </c>
      <c r="Z3037" s="23">
        <v>8.1692307692307704</v>
      </c>
      <c r="AA3037" s="23">
        <v>8.4115384615384592</v>
      </c>
    </row>
    <row r="3038" spans="17:27" x14ac:dyDescent="0.3">
      <c r="Q3038" s="93">
        <v>46063</v>
      </c>
      <c r="R3038" t="s">
        <v>497</v>
      </c>
      <c r="S3038" t="s">
        <v>399</v>
      </c>
      <c r="T3038" s="14">
        <v>397.61059999999998</v>
      </c>
    </row>
    <row r="3039" spans="17:27" x14ac:dyDescent="0.3">
      <c r="Q3039" s="93">
        <v>46063</v>
      </c>
      <c r="R3039" t="s">
        <v>498</v>
      </c>
      <c r="S3039" t="s">
        <v>399</v>
      </c>
      <c r="T3039" s="14">
        <v>9500</v>
      </c>
    </row>
    <row r="3040" spans="17:27" x14ac:dyDescent="0.3">
      <c r="Q3040" s="93">
        <v>46063</v>
      </c>
      <c r="R3040" t="s">
        <v>494</v>
      </c>
      <c r="S3040" t="s">
        <v>399</v>
      </c>
      <c r="T3040" s="14">
        <v>0</v>
      </c>
    </row>
    <row r="3041" spans="17:20" x14ac:dyDescent="0.3">
      <c r="Q3041" s="93">
        <v>46063</v>
      </c>
      <c r="R3041" t="s">
        <v>495</v>
      </c>
      <c r="S3041" t="s">
        <v>399</v>
      </c>
      <c r="T3041" s="14">
        <v>0</v>
      </c>
    </row>
    <row r="3042" spans="17:20" x14ac:dyDescent="0.3">
      <c r="Q3042" s="93">
        <v>46063</v>
      </c>
      <c r="R3042" t="s">
        <v>493</v>
      </c>
      <c r="S3042" t="s">
        <v>399</v>
      </c>
      <c r="T3042" s="14">
        <v>0</v>
      </c>
    </row>
    <row r="3043" spans="17:20" x14ac:dyDescent="0.3">
      <c r="Q3043" s="93">
        <v>46063</v>
      </c>
      <c r="R3043" t="s">
        <v>593</v>
      </c>
      <c r="S3043" t="s">
        <v>399</v>
      </c>
      <c r="T3043" s="14">
        <v>-5700</v>
      </c>
    </row>
    <row r="3044" spans="17:20" x14ac:dyDescent="0.3">
      <c r="Q3044" s="93">
        <v>46063</v>
      </c>
      <c r="R3044" t="s">
        <v>594</v>
      </c>
      <c r="S3044" t="s">
        <v>399</v>
      </c>
      <c r="T3044" s="14">
        <v>0</v>
      </c>
    </row>
    <row r="3045" spans="17:20" x14ac:dyDescent="0.3">
      <c r="Q3045" s="93">
        <v>46063</v>
      </c>
      <c r="R3045" t="s">
        <v>595</v>
      </c>
      <c r="S3045" t="s">
        <v>399</v>
      </c>
      <c r="T3045" s="14">
        <v>0</v>
      </c>
    </row>
    <row r="3046" spans="17:20" x14ac:dyDescent="0.3">
      <c r="Q3046" s="93">
        <v>46063</v>
      </c>
      <c r="R3046" t="s">
        <v>479</v>
      </c>
      <c r="S3046" t="s">
        <v>395</v>
      </c>
      <c r="T3046" s="14">
        <v>10626.3049778035</v>
      </c>
    </row>
    <row r="3047" spans="17:20" x14ac:dyDescent="0.3">
      <c r="Q3047" s="93">
        <v>46063</v>
      </c>
      <c r="R3047" t="s">
        <v>479</v>
      </c>
      <c r="S3047" t="s">
        <v>415</v>
      </c>
      <c r="T3047" s="14">
        <v>6.1047439242558204</v>
      </c>
    </row>
    <row r="3048" spans="17:20" x14ac:dyDescent="0.3">
      <c r="Q3048" s="93">
        <v>46063</v>
      </c>
      <c r="R3048" t="s">
        <v>364</v>
      </c>
      <c r="S3048" t="s">
        <v>415</v>
      </c>
      <c r="T3048" s="14">
        <v>5.8558121761611304</v>
      </c>
    </row>
    <row r="3049" spans="17:20" x14ac:dyDescent="0.3">
      <c r="Q3049" s="93">
        <v>46063</v>
      </c>
      <c r="R3049" t="s">
        <v>364</v>
      </c>
      <c r="S3049" t="s">
        <v>997</v>
      </c>
      <c r="T3049" s="14">
        <v>32567.584800000001</v>
      </c>
    </row>
    <row r="3050" spans="17:20" x14ac:dyDescent="0.3">
      <c r="Q3050" s="93">
        <v>46063</v>
      </c>
      <c r="R3050" t="s">
        <v>496</v>
      </c>
      <c r="S3050" t="s">
        <v>997</v>
      </c>
      <c r="T3050" s="14">
        <v>38267.584799999997</v>
      </c>
    </row>
    <row r="3051" spans="17:20" x14ac:dyDescent="0.3">
      <c r="Q3051" s="93">
        <v>46062</v>
      </c>
      <c r="R3051" t="s">
        <v>479</v>
      </c>
      <c r="S3051" t="s">
        <v>399</v>
      </c>
      <c r="T3051" s="14">
        <v>9897.6106</v>
      </c>
    </row>
    <row r="3052" spans="17:20" x14ac:dyDescent="0.3">
      <c r="Q3052" s="93">
        <v>46062</v>
      </c>
      <c r="R3052" t="s">
        <v>364</v>
      </c>
      <c r="S3052" t="s">
        <v>399</v>
      </c>
      <c r="T3052" s="14">
        <v>26817.584800000001</v>
      </c>
    </row>
    <row r="3053" spans="17:20" x14ac:dyDescent="0.3">
      <c r="Q3053" s="93">
        <v>46062</v>
      </c>
      <c r="R3053" t="s">
        <v>491</v>
      </c>
      <c r="S3053" t="s">
        <v>399</v>
      </c>
      <c r="T3053" s="14">
        <v>397.61059999999998</v>
      </c>
    </row>
    <row r="3054" spans="17:20" x14ac:dyDescent="0.3">
      <c r="Q3054" s="93">
        <v>46062</v>
      </c>
      <c r="R3054" t="s">
        <v>492</v>
      </c>
      <c r="S3054" t="s">
        <v>399</v>
      </c>
      <c r="T3054" s="14">
        <v>9500</v>
      </c>
    </row>
    <row r="3055" spans="17:20" x14ac:dyDescent="0.3">
      <c r="Q3055" s="93">
        <v>46062</v>
      </c>
      <c r="R3055" t="s">
        <v>496</v>
      </c>
      <c r="S3055" t="s">
        <v>399</v>
      </c>
      <c r="T3055" s="14">
        <v>28496.9067</v>
      </c>
    </row>
    <row r="3056" spans="17:20" x14ac:dyDescent="0.3">
      <c r="Q3056" s="93">
        <v>46062</v>
      </c>
      <c r="R3056" t="s">
        <v>497</v>
      </c>
      <c r="S3056" t="s">
        <v>399</v>
      </c>
      <c r="T3056" s="14">
        <v>397.61059999999998</v>
      </c>
    </row>
    <row r="3057" spans="17:20" x14ac:dyDescent="0.3">
      <c r="Q3057" s="93">
        <v>46062</v>
      </c>
      <c r="R3057" t="s">
        <v>498</v>
      </c>
      <c r="S3057" t="s">
        <v>399</v>
      </c>
      <c r="T3057" s="14">
        <v>9500</v>
      </c>
    </row>
    <row r="3058" spans="17:20" x14ac:dyDescent="0.3">
      <c r="Q3058" s="93">
        <v>46062</v>
      </c>
      <c r="R3058" t="s">
        <v>494</v>
      </c>
      <c r="S3058" t="s">
        <v>399</v>
      </c>
      <c r="T3058" s="14">
        <v>0</v>
      </c>
    </row>
    <row r="3059" spans="17:20" x14ac:dyDescent="0.3">
      <c r="Q3059" s="93">
        <v>46062</v>
      </c>
      <c r="R3059" t="s">
        <v>495</v>
      </c>
      <c r="S3059" t="s">
        <v>399</v>
      </c>
      <c r="T3059" s="14">
        <v>0</v>
      </c>
    </row>
    <row r="3060" spans="17:20" x14ac:dyDescent="0.3">
      <c r="Q3060" s="93">
        <v>46062</v>
      </c>
      <c r="R3060" t="s">
        <v>493</v>
      </c>
      <c r="S3060" t="s">
        <v>399</v>
      </c>
      <c r="T3060" s="14">
        <v>0</v>
      </c>
    </row>
    <row r="3061" spans="17:20" x14ac:dyDescent="0.3">
      <c r="Q3061" s="93">
        <v>46062</v>
      </c>
      <c r="R3061" t="s">
        <v>593</v>
      </c>
      <c r="S3061" t="s">
        <v>399</v>
      </c>
      <c r="T3061" s="14">
        <v>-1679.3218999999999</v>
      </c>
    </row>
    <row r="3062" spans="17:20" x14ac:dyDescent="0.3">
      <c r="Q3062" s="93">
        <v>46062</v>
      </c>
      <c r="R3062" t="s">
        <v>594</v>
      </c>
      <c r="S3062" t="s">
        <v>399</v>
      </c>
      <c r="T3062" s="14">
        <v>0</v>
      </c>
    </row>
    <row r="3063" spans="17:20" x14ac:dyDescent="0.3">
      <c r="Q3063" s="93">
        <v>46062</v>
      </c>
      <c r="R3063" t="s">
        <v>595</v>
      </c>
      <c r="S3063" t="s">
        <v>399</v>
      </c>
      <c r="T3063" s="14">
        <v>0</v>
      </c>
    </row>
    <row r="3064" spans="17:20" x14ac:dyDescent="0.3">
      <c r="Q3064" s="93">
        <v>46062</v>
      </c>
      <c r="R3064" t="s">
        <v>479</v>
      </c>
      <c r="S3064" t="s">
        <v>395</v>
      </c>
      <c r="T3064" s="14">
        <v>10632.2678408267</v>
      </c>
    </row>
    <row r="3065" spans="17:20" x14ac:dyDescent="0.3">
      <c r="Q3065" s="93">
        <v>46062</v>
      </c>
      <c r="R3065" t="s">
        <v>479</v>
      </c>
      <c r="S3065" t="s">
        <v>415</v>
      </c>
      <c r="T3065" s="14">
        <v>6.1047439242558204</v>
      </c>
    </row>
    <row r="3066" spans="17:20" x14ac:dyDescent="0.3">
      <c r="Q3066" s="93">
        <v>46062</v>
      </c>
      <c r="R3066" t="s">
        <v>364</v>
      </c>
      <c r="S3066" t="s">
        <v>415</v>
      </c>
      <c r="T3066" s="14">
        <v>5.8304072931939697</v>
      </c>
    </row>
    <row r="3067" spans="17:20" x14ac:dyDescent="0.3">
      <c r="Q3067" s="93">
        <v>46062</v>
      </c>
      <c r="R3067" t="s">
        <v>364</v>
      </c>
      <c r="S3067" t="s">
        <v>997</v>
      </c>
      <c r="T3067" s="14">
        <v>34717.584799999997</v>
      </c>
    </row>
    <row r="3068" spans="17:20" x14ac:dyDescent="0.3">
      <c r="Q3068" s="93">
        <v>46062</v>
      </c>
      <c r="R3068" t="s">
        <v>496</v>
      </c>
      <c r="S3068" t="s">
        <v>997</v>
      </c>
      <c r="T3068" s="14">
        <v>36396.9067</v>
      </c>
    </row>
    <row r="3069" spans="17:20" x14ac:dyDescent="0.3">
      <c r="Q3069" s="93">
        <v>46059</v>
      </c>
      <c r="R3069" t="s">
        <v>479</v>
      </c>
      <c r="S3069" t="s">
        <v>399</v>
      </c>
      <c r="T3069" s="14">
        <v>9897.6106</v>
      </c>
    </row>
    <row r="3070" spans="17:20" x14ac:dyDescent="0.3">
      <c r="Q3070" s="93">
        <v>46059</v>
      </c>
      <c r="R3070" t="s">
        <v>364</v>
      </c>
      <c r="S3070" t="s">
        <v>399</v>
      </c>
      <c r="T3070" s="14">
        <v>25108.0481</v>
      </c>
    </row>
    <row r="3071" spans="17:20" x14ac:dyDescent="0.3">
      <c r="Q3071" s="93">
        <v>46059</v>
      </c>
      <c r="R3071" t="s">
        <v>491</v>
      </c>
      <c r="S3071" t="s">
        <v>399</v>
      </c>
      <c r="T3071" s="14">
        <v>397.61059999999998</v>
      </c>
    </row>
    <row r="3072" spans="17:20" x14ac:dyDescent="0.3">
      <c r="Q3072" s="93">
        <v>46059</v>
      </c>
      <c r="R3072" t="s">
        <v>492</v>
      </c>
      <c r="S3072" t="s">
        <v>399</v>
      </c>
      <c r="T3072" s="14">
        <v>9500</v>
      </c>
    </row>
    <row r="3073" spans="17:20" x14ac:dyDescent="0.3">
      <c r="Q3073" s="93">
        <v>46059</v>
      </c>
      <c r="R3073" t="s">
        <v>496</v>
      </c>
      <c r="S3073" t="s">
        <v>399</v>
      </c>
      <c r="T3073" s="14">
        <v>26408.0481</v>
      </c>
    </row>
    <row r="3074" spans="17:20" x14ac:dyDescent="0.3">
      <c r="Q3074" s="93">
        <v>46059</v>
      </c>
      <c r="R3074" t="s">
        <v>497</v>
      </c>
      <c r="S3074" t="s">
        <v>399</v>
      </c>
      <c r="T3074" s="14">
        <v>397.61059999999998</v>
      </c>
    </row>
    <row r="3075" spans="17:20" x14ac:dyDescent="0.3">
      <c r="Q3075" s="93">
        <v>46059</v>
      </c>
      <c r="R3075" t="s">
        <v>498</v>
      </c>
      <c r="S3075" t="s">
        <v>399</v>
      </c>
      <c r="T3075" s="14">
        <v>9500</v>
      </c>
    </row>
    <row r="3076" spans="17:20" x14ac:dyDescent="0.3">
      <c r="Q3076" s="93">
        <v>46059</v>
      </c>
      <c r="R3076" t="s">
        <v>494</v>
      </c>
      <c r="S3076" t="s">
        <v>399</v>
      </c>
      <c r="T3076" s="14">
        <v>0</v>
      </c>
    </row>
    <row r="3077" spans="17:20" x14ac:dyDescent="0.3">
      <c r="Q3077" s="93">
        <v>46059</v>
      </c>
      <c r="R3077" t="s">
        <v>495</v>
      </c>
      <c r="S3077" t="s">
        <v>399</v>
      </c>
      <c r="T3077" s="14">
        <v>0</v>
      </c>
    </row>
    <row r="3078" spans="17:20" x14ac:dyDescent="0.3">
      <c r="Q3078" s="93">
        <v>46059</v>
      </c>
      <c r="R3078" t="s">
        <v>493</v>
      </c>
      <c r="S3078" t="s">
        <v>399</v>
      </c>
      <c r="T3078" s="14">
        <v>0</v>
      </c>
    </row>
    <row r="3079" spans="17:20" x14ac:dyDescent="0.3">
      <c r="Q3079" s="93">
        <v>46059</v>
      </c>
      <c r="R3079" t="s">
        <v>593</v>
      </c>
      <c r="S3079" t="s">
        <v>399</v>
      </c>
      <c r="T3079" s="14">
        <v>-1300</v>
      </c>
    </row>
    <row r="3080" spans="17:20" x14ac:dyDescent="0.3">
      <c r="Q3080" s="93">
        <v>46059</v>
      </c>
      <c r="R3080" t="s">
        <v>594</v>
      </c>
      <c r="S3080" t="s">
        <v>399</v>
      </c>
      <c r="T3080" s="14">
        <v>0</v>
      </c>
    </row>
    <row r="3081" spans="17:20" x14ac:dyDescent="0.3">
      <c r="Q3081" s="93">
        <v>46059</v>
      </c>
      <c r="R3081" t="s">
        <v>595</v>
      </c>
      <c r="S3081" t="s">
        <v>399</v>
      </c>
      <c r="T3081" s="14">
        <v>0</v>
      </c>
    </row>
    <row r="3082" spans="17:20" x14ac:dyDescent="0.3">
      <c r="Q3082" s="93">
        <v>46059</v>
      </c>
      <c r="R3082" t="s">
        <v>479</v>
      </c>
      <c r="S3082" t="s">
        <v>395</v>
      </c>
      <c r="T3082" s="14">
        <v>10638.834474605201</v>
      </c>
    </row>
    <row r="3083" spans="17:20" x14ac:dyDescent="0.3">
      <c r="Q3083" s="93">
        <v>46059</v>
      </c>
      <c r="R3083" t="s">
        <v>479</v>
      </c>
      <c r="S3083" t="s">
        <v>415</v>
      </c>
      <c r="T3083" s="14">
        <v>6.1047439242558204</v>
      </c>
    </row>
    <row r="3084" spans="17:20" x14ac:dyDescent="0.3">
      <c r="Q3084" s="93">
        <v>46059</v>
      </c>
      <c r="R3084" t="s">
        <v>364</v>
      </c>
      <c r="S3084" t="s">
        <v>415</v>
      </c>
      <c r="T3084" s="14">
        <v>5.8397252690019004</v>
      </c>
    </row>
    <row r="3085" spans="17:20" x14ac:dyDescent="0.3">
      <c r="Q3085" s="93">
        <v>46059</v>
      </c>
      <c r="R3085" t="s">
        <v>364</v>
      </c>
      <c r="S3085" t="s">
        <v>997</v>
      </c>
      <c r="T3085" s="14">
        <v>33008.0481</v>
      </c>
    </row>
    <row r="3086" spans="17:20" x14ac:dyDescent="0.3">
      <c r="Q3086" s="93">
        <v>46059</v>
      </c>
      <c r="R3086" t="s">
        <v>496</v>
      </c>
      <c r="S3086" t="s">
        <v>997</v>
      </c>
      <c r="T3086" s="14">
        <v>34308.0481</v>
      </c>
    </row>
    <row r="3087" spans="17:20" x14ac:dyDescent="0.3">
      <c r="Q3087" s="93">
        <v>46058</v>
      </c>
      <c r="R3087" t="s">
        <v>479</v>
      </c>
      <c r="S3087" t="s">
        <v>415</v>
      </c>
      <c r="T3087" s="14">
        <v>6.1047439242558204</v>
      </c>
    </row>
    <row r="3088" spans="17:20" x14ac:dyDescent="0.3">
      <c r="Q3088" s="93">
        <v>46058</v>
      </c>
      <c r="R3088" t="s">
        <v>364</v>
      </c>
      <c r="S3088" t="s">
        <v>415</v>
      </c>
      <c r="T3088" s="14">
        <v>5.8551837574427301</v>
      </c>
    </row>
    <row r="3089" spans="17:20" x14ac:dyDescent="0.3">
      <c r="Q3089" s="93">
        <v>46058</v>
      </c>
      <c r="R3089" t="s">
        <v>364</v>
      </c>
      <c r="S3089" t="s">
        <v>997</v>
      </c>
      <c r="T3089" s="14">
        <v>31908.571499999998</v>
      </c>
    </row>
    <row r="3090" spans="17:20" x14ac:dyDescent="0.3">
      <c r="Q3090" s="93">
        <v>46058</v>
      </c>
      <c r="R3090" t="s">
        <v>496</v>
      </c>
      <c r="S3090" t="s">
        <v>997</v>
      </c>
      <c r="T3090" s="14">
        <v>33446.071499999998</v>
      </c>
    </row>
    <row r="3091" spans="17:20" x14ac:dyDescent="0.3">
      <c r="Q3091" s="93">
        <v>46058</v>
      </c>
      <c r="R3091" t="s">
        <v>479</v>
      </c>
      <c r="S3091" t="s">
        <v>399</v>
      </c>
      <c r="T3091" s="14">
        <v>9897.6106</v>
      </c>
    </row>
    <row r="3092" spans="17:20" x14ac:dyDescent="0.3">
      <c r="Q3092" s="93">
        <v>46058</v>
      </c>
      <c r="R3092" t="s">
        <v>364</v>
      </c>
      <c r="S3092" t="s">
        <v>399</v>
      </c>
      <c r="T3092" s="14">
        <v>24008.571499999998</v>
      </c>
    </row>
    <row r="3093" spans="17:20" x14ac:dyDescent="0.3">
      <c r="Q3093" s="93">
        <v>46058</v>
      </c>
      <c r="R3093" t="s">
        <v>491</v>
      </c>
      <c r="S3093" t="s">
        <v>399</v>
      </c>
      <c r="T3093" s="14">
        <v>397.61059999999998</v>
      </c>
    </row>
    <row r="3094" spans="17:20" x14ac:dyDescent="0.3">
      <c r="Q3094" s="93">
        <v>46058</v>
      </c>
      <c r="R3094" t="s">
        <v>492</v>
      </c>
      <c r="S3094" t="s">
        <v>399</v>
      </c>
      <c r="T3094" s="14">
        <v>9500</v>
      </c>
    </row>
    <row r="3095" spans="17:20" x14ac:dyDescent="0.3">
      <c r="Q3095" s="93">
        <v>46058</v>
      </c>
      <c r="R3095" t="s">
        <v>496</v>
      </c>
      <c r="S3095" t="s">
        <v>399</v>
      </c>
      <c r="T3095" s="14">
        <v>25546.071499999998</v>
      </c>
    </row>
    <row r="3096" spans="17:20" x14ac:dyDescent="0.3">
      <c r="Q3096" s="93">
        <v>46058</v>
      </c>
      <c r="R3096" t="s">
        <v>497</v>
      </c>
      <c r="S3096" t="s">
        <v>399</v>
      </c>
      <c r="T3096" s="14">
        <v>397.61059999999998</v>
      </c>
    </row>
    <row r="3097" spans="17:20" x14ac:dyDescent="0.3">
      <c r="Q3097" s="93">
        <v>46058</v>
      </c>
      <c r="R3097" t="s">
        <v>498</v>
      </c>
      <c r="S3097" t="s">
        <v>399</v>
      </c>
      <c r="T3097" s="14">
        <v>9500</v>
      </c>
    </row>
    <row r="3098" spans="17:20" x14ac:dyDescent="0.3">
      <c r="Q3098" s="93">
        <v>46058</v>
      </c>
      <c r="R3098" t="s">
        <v>494</v>
      </c>
      <c r="S3098" t="s">
        <v>399</v>
      </c>
      <c r="T3098" s="14">
        <v>0</v>
      </c>
    </row>
    <row r="3099" spans="17:20" x14ac:dyDescent="0.3">
      <c r="Q3099" s="93">
        <v>46058</v>
      </c>
      <c r="R3099" t="s">
        <v>495</v>
      </c>
      <c r="S3099" t="s">
        <v>399</v>
      </c>
      <c r="T3099" s="14">
        <v>0</v>
      </c>
    </row>
    <row r="3100" spans="17:20" x14ac:dyDescent="0.3">
      <c r="Q3100" s="93">
        <v>46058</v>
      </c>
      <c r="R3100" t="s">
        <v>493</v>
      </c>
      <c r="S3100" t="s">
        <v>399</v>
      </c>
      <c r="T3100" s="14">
        <v>0</v>
      </c>
    </row>
    <row r="3101" spans="17:20" x14ac:dyDescent="0.3">
      <c r="Q3101" s="93">
        <v>46058</v>
      </c>
      <c r="R3101" t="s">
        <v>593</v>
      </c>
      <c r="S3101" t="s">
        <v>399</v>
      </c>
      <c r="T3101" s="14">
        <v>-1537.5</v>
      </c>
    </row>
    <row r="3102" spans="17:20" x14ac:dyDescent="0.3">
      <c r="Q3102" s="93">
        <v>46058</v>
      </c>
      <c r="R3102" t="s">
        <v>594</v>
      </c>
      <c r="S3102" t="s">
        <v>399</v>
      </c>
      <c r="T3102" s="14">
        <v>0</v>
      </c>
    </row>
    <row r="3103" spans="17:20" x14ac:dyDescent="0.3">
      <c r="Q3103" s="93">
        <v>46058</v>
      </c>
      <c r="R3103" t="s">
        <v>595</v>
      </c>
      <c r="S3103" t="s">
        <v>399</v>
      </c>
      <c r="T3103" s="14">
        <v>0</v>
      </c>
    </row>
    <row r="3104" spans="17:20" x14ac:dyDescent="0.3">
      <c r="Q3104" s="93">
        <v>46058</v>
      </c>
      <c r="R3104" t="s">
        <v>479</v>
      </c>
      <c r="S3104" t="s">
        <v>395</v>
      </c>
      <c r="T3104" s="14">
        <v>10639.8391636862</v>
      </c>
    </row>
    <row r="3105" spans="17:20" x14ac:dyDescent="0.3">
      <c r="Q3105" s="93">
        <v>46057</v>
      </c>
      <c r="R3105" t="s">
        <v>364</v>
      </c>
      <c r="S3105" t="s">
        <v>997</v>
      </c>
      <c r="T3105" s="14">
        <v>32396.071499999998</v>
      </c>
    </row>
    <row r="3106" spans="17:20" x14ac:dyDescent="0.3">
      <c r="Q3106" s="93">
        <v>46057</v>
      </c>
      <c r="R3106" t="s">
        <v>496</v>
      </c>
      <c r="S3106" t="s">
        <v>997</v>
      </c>
      <c r="T3106" s="14">
        <v>33196.071499999998</v>
      </c>
    </row>
    <row r="3107" spans="17:20" x14ac:dyDescent="0.3">
      <c r="Q3107" s="93">
        <v>46057</v>
      </c>
      <c r="R3107" t="s">
        <v>479</v>
      </c>
      <c r="S3107" t="s">
        <v>399</v>
      </c>
      <c r="T3107" s="14">
        <v>9897.6106</v>
      </c>
    </row>
    <row r="3108" spans="17:20" x14ac:dyDescent="0.3">
      <c r="Q3108" s="93">
        <v>46057</v>
      </c>
      <c r="R3108" t="s">
        <v>364</v>
      </c>
      <c r="S3108" t="s">
        <v>399</v>
      </c>
      <c r="T3108" s="14">
        <v>24496.071499999998</v>
      </c>
    </row>
    <row r="3109" spans="17:20" x14ac:dyDescent="0.3">
      <c r="Q3109" s="93">
        <v>46057</v>
      </c>
      <c r="R3109" t="s">
        <v>491</v>
      </c>
      <c r="S3109" t="s">
        <v>399</v>
      </c>
      <c r="T3109" s="14">
        <v>397.61059999999998</v>
      </c>
    </row>
    <row r="3110" spans="17:20" x14ac:dyDescent="0.3">
      <c r="Q3110" s="93">
        <v>46057</v>
      </c>
      <c r="R3110" t="s">
        <v>492</v>
      </c>
      <c r="S3110" t="s">
        <v>399</v>
      </c>
      <c r="T3110" s="14">
        <v>9500</v>
      </c>
    </row>
    <row r="3111" spans="17:20" x14ac:dyDescent="0.3">
      <c r="Q3111" s="93">
        <v>46057</v>
      </c>
      <c r="R3111" t="s">
        <v>496</v>
      </c>
      <c r="S3111" t="s">
        <v>399</v>
      </c>
      <c r="T3111" s="14">
        <v>25296.071499999998</v>
      </c>
    </row>
    <row r="3112" spans="17:20" x14ac:dyDescent="0.3">
      <c r="Q3112" s="93">
        <v>46057</v>
      </c>
      <c r="R3112" t="s">
        <v>497</v>
      </c>
      <c r="S3112" t="s">
        <v>399</v>
      </c>
      <c r="T3112" s="14">
        <v>397.61059999999998</v>
      </c>
    </row>
    <row r="3113" spans="17:20" x14ac:dyDescent="0.3">
      <c r="Q3113" s="93">
        <v>46057</v>
      </c>
      <c r="R3113" t="s">
        <v>498</v>
      </c>
      <c r="S3113" t="s">
        <v>399</v>
      </c>
      <c r="T3113" s="14">
        <v>9500</v>
      </c>
    </row>
    <row r="3114" spans="17:20" x14ac:dyDescent="0.3">
      <c r="Q3114" s="93">
        <v>46057</v>
      </c>
      <c r="R3114" t="s">
        <v>494</v>
      </c>
      <c r="S3114" t="s">
        <v>399</v>
      </c>
      <c r="T3114" s="14">
        <v>0</v>
      </c>
    </row>
    <row r="3115" spans="17:20" x14ac:dyDescent="0.3">
      <c r="Q3115" s="93">
        <v>46057</v>
      </c>
      <c r="R3115" t="s">
        <v>495</v>
      </c>
      <c r="S3115" t="s">
        <v>399</v>
      </c>
      <c r="T3115" s="14">
        <v>0</v>
      </c>
    </row>
    <row r="3116" spans="17:20" x14ac:dyDescent="0.3">
      <c r="Q3116" s="93">
        <v>46057</v>
      </c>
      <c r="R3116" t="s">
        <v>493</v>
      </c>
      <c r="S3116" t="s">
        <v>399</v>
      </c>
      <c r="T3116" s="14">
        <v>0</v>
      </c>
    </row>
    <row r="3117" spans="17:20" x14ac:dyDescent="0.3">
      <c r="Q3117" s="93">
        <v>46057</v>
      </c>
      <c r="R3117" t="s">
        <v>593</v>
      </c>
      <c r="S3117" t="s">
        <v>399</v>
      </c>
      <c r="T3117" s="14">
        <v>-800</v>
      </c>
    </row>
    <row r="3118" spans="17:20" x14ac:dyDescent="0.3">
      <c r="Q3118" s="93">
        <v>46057</v>
      </c>
      <c r="R3118" t="s">
        <v>594</v>
      </c>
      <c r="S3118" t="s">
        <v>399</v>
      </c>
      <c r="T3118" s="14">
        <v>0</v>
      </c>
    </row>
    <row r="3119" spans="17:20" x14ac:dyDescent="0.3">
      <c r="Q3119" s="93">
        <v>46057</v>
      </c>
      <c r="R3119" t="s">
        <v>595</v>
      </c>
      <c r="S3119" t="s">
        <v>399</v>
      </c>
      <c r="T3119" s="14">
        <v>0</v>
      </c>
    </row>
    <row r="3120" spans="17:20" x14ac:dyDescent="0.3">
      <c r="Q3120" s="93">
        <v>46057</v>
      </c>
      <c r="R3120" t="s">
        <v>479</v>
      </c>
      <c r="S3120" t="s">
        <v>395</v>
      </c>
      <c r="T3120" s="14">
        <v>10637.382260099899</v>
      </c>
    </row>
    <row r="3121" spans="17:20" x14ac:dyDescent="0.3">
      <c r="Q3121" s="93">
        <v>46057</v>
      </c>
      <c r="R3121" t="s">
        <v>479</v>
      </c>
      <c r="S3121" t="s">
        <v>415</v>
      </c>
      <c r="T3121" s="14">
        <v>6.1047439242558204</v>
      </c>
    </row>
    <row r="3122" spans="17:20" x14ac:dyDescent="0.3">
      <c r="Q3122" s="93">
        <v>46057</v>
      </c>
      <c r="R3122" t="s">
        <v>364</v>
      </c>
      <c r="S3122" t="s">
        <v>415</v>
      </c>
      <c r="T3122" s="14">
        <v>5.8644471620579104</v>
      </c>
    </row>
    <row r="3123" spans="17:20" x14ac:dyDescent="0.3">
      <c r="Q3123" s="93">
        <v>46056</v>
      </c>
      <c r="R3123" t="s">
        <v>479</v>
      </c>
      <c r="S3123" t="s">
        <v>399</v>
      </c>
      <c r="T3123" s="14">
        <v>9897.6106</v>
      </c>
    </row>
    <row r="3124" spans="17:20" x14ac:dyDescent="0.3">
      <c r="Q3124" s="93">
        <v>46056</v>
      </c>
      <c r="R3124" t="s">
        <v>364</v>
      </c>
      <c r="S3124" t="s">
        <v>399</v>
      </c>
      <c r="T3124" s="14">
        <v>25061.071499999998</v>
      </c>
    </row>
    <row r="3125" spans="17:20" x14ac:dyDescent="0.3">
      <c r="Q3125" s="93">
        <v>46056</v>
      </c>
      <c r="R3125" t="s">
        <v>491</v>
      </c>
      <c r="S3125" t="s">
        <v>399</v>
      </c>
      <c r="T3125" s="14">
        <v>397.61059999999998</v>
      </c>
    </row>
    <row r="3126" spans="17:20" x14ac:dyDescent="0.3">
      <c r="Q3126" s="93">
        <v>46056</v>
      </c>
      <c r="R3126" t="s">
        <v>492</v>
      </c>
      <c r="S3126" t="s">
        <v>399</v>
      </c>
      <c r="T3126" s="14">
        <v>9500</v>
      </c>
    </row>
    <row r="3127" spans="17:20" x14ac:dyDescent="0.3">
      <c r="Q3127" s="93">
        <v>46056</v>
      </c>
      <c r="R3127" t="s">
        <v>496</v>
      </c>
      <c r="S3127" t="s">
        <v>399</v>
      </c>
      <c r="T3127" s="14">
        <v>24261.071499999998</v>
      </c>
    </row>
    <row r="3128" spans="17:20" x14ac:dyDescent="0.3">
      <c r="Q3128" s="93">
        <v>46056</v>
      </c>
      <c r="R3128" t="s">
        <v>497</v>
      </c>
      <c r="S3128" t="s">
        <v>399</v>
      </c>
      <c r="T3128" s="14">
        <v>397.61059999999998</v>
      </c>
    </row>
    <row r="3129" spans="17:20" x14ac:dyDescent="0.3">
      <c r="Q3129" s="93">
        <v>46056</v>
      </c>
      <c r="R3129" t="s">
        <v>498</v>
      </c>
      <c r="S3129" t="s">
        <v>399</v>
      </c>
      <c r="T3129" s="14">
        <v>9500</v>
      </c>
    </row>
    <row r="3130" spans="17:20" x14ac:dyDescent="0.3">
      <c r="Q3130" s="93">
        <v>46056</v>
      </c>
      <c r="R3130" t="s">
        <v>494</v>
      </c>
      <c r="S3130" t="s">
        <v>399</v>
      </c>
      <c r="T3130" s="14">
        <v>0</v>
      </c>
    </row>
    <row r="3131" spans="17:20" x14ac:dyDescent="0.3">
      <c r="Q3131" s="93">
        <v>46056</v>
      </c>
      <c r="R3131" t="s">
        <v>495</v>
      </c>
      <c r="S3131" t="s">
        <v>399</v>
      </c>
      <c r="T3131" s="14">
        <v>0</v>
      </c>
    </row>
    <row r="3132" spans="17:20" x14ac:dyDescent="0.3">
      <c r="Q3132" s="93">
        <v>46056</v>
      </c>
      <c r="R3132" t="s">
        <v>493</v>
      </c>
      <c r="S3132" t="s">
        <v>399</v>
      </c>
      <c r="T3132" s="14">
        <v>0</v>
      </c>
    </row>
    <row r="3133" spans="17:20" x14ac:dyDescent="0.3">
      <c r="Q3133" s="93">
        <v>46056</v>
      </c>
      <c r="R3133" t="s">
        <v>593</v>
      </c>
      <c r="S3133" t="s">
        <v>399</v>
      </c>
      <c r="T3133" s="14">
        <v>800</v>
      </c>
    </row>
    <row r="3134" spans="17:20" x14ac:dyDescent="0.3">
      <c r="Q3134" s="93">
        <v>46056</v>
      </c>
      <c r="R3134" t="s">
        <v>594</v>
      </c>
      <c r="S3134" t="s">
        <v>399</v>
      </c>
      <c r="T3134" s="14">
        <v>0</v>
      </c>
    </row>
    <row r="3135" spans="17:20" x14ac:dyDescent="0.3">
      <c r="Q3135" s="93">
        <v>46056</v>
      </c>
      <c r="R3135" t="s">
        <v>595</v>
      </c>
      <c r="S3135" t="s">
        <v>399</v>
      </c>
      <c r="T3135" s="14">
        <v>0</v>
      </c>
    </row>
    <row r="3136" spans="17:20" x14ac:dyDescent="0.3">
      <c r="Q3136" s="93">
        <v>46056</v>
      </c>
      <c r="R3136" t="s">
        <v>479</v>
      </c>
      <c r="S3136" t="s">
        <v>395</v>
      </c>
      <c r="T3136" s="14">
        <v>10642.528564587499</v>
      </c>
    </row>
    <row r="3137" spans="17:20" x14ac:dyDescent="0.3">
      <c r="Q3137" s="93">
        <v>46056</v>
      </c>
      <c r="R3137" t="s">
        <v>479</v>
      </c>
      <c r="S3137" t="s">
        <v>415</v>
      </c>
      <c r="T3137" s="14">
        <v>6.1047439242558204</v>
      </c>
    </row>
    <row r="3138" spans="17:20" x14ac:dyDescent="0.3">
      <c r="Q3138" s="93">
        <v>46056</v>
      </c>
      <c r="R3138" t="s">
        <v>364</v>
      </c>
      <c r="S3138" t="s">
        <v>415</v>
      </c>
      <c r="T3138" s="14">
        <v>5.87329357815325</v>
      </c>
    </row>
    <row r="3139" spans="17:20" x14ac:dyDescent="0.3">
      <c r="Q3139" s="93">
        <v>46056</v>
      </c>
      <c r="R3139" t="s">
        <v>364</v>
      </c>
      <c r="S3139" t="s">
        <v>997</v>
      </c>
      <c r="T3139" s="14">
        <v>32961.071499999998</v>
      </c>
    </row>
    <row r="3140" spans="17:20" x14ac:dyDescent="0.3">
      <c r="Q3140" s="93">
        <v>46056</v>
      </c>
      <c r="R3140" t="s">
        <v>496</v>
      </c>
      <c r="S3140" t="s">
        <v>997</v>
      </c>
      <c r="T3140" s="14">
        <v>32161.071499999998</v>
      </c>
    </row>
    <row r="3141" spans="17:20" x14ac:dyDescent="0.3">
      <c r="Q3141" s="93">
        <v>46055</v>
      </c>
      <c r="R3141" t="s">
        <v>364</v>
      </c>
      <c r="S3141" t="s">
        <v>399</v>
      </c>
      <c r="T3141" s="14">
        <v>26061.071499999998</v>
      </c>
    </row>
    <row r="3142" spans="17:20" x14ac:dyDescent="0.3">
      <c r="Q3142" s="93">
        <v>46055</v>
      </c>
      <c r="R3142" t="s">
        <v>491</v>
      </c>
      <c r="S3142" t="s">
        <v>399</v>
      </c>
      <c r="T3142" s="14">
        <v>397.61059999999998</v>
      </c>
    </row>
    <row r="3143" spans="17:20" x14ac:dyDescent="0.3">
      <c r="Q3143" s="93">
        <v>46055</v>
      </c>
      <c r="R3143" t="s">
        <v>492</v>
      </c>
      <c r="S3143" t="s">
        <v>399</v>
      </c>
      <c r="T3143" s="14">
        <v>9500</v>
      </c>
    </row>
    <row r="3144" spans="17:20" x14ac:dyDescent="0.3">
      <c r="Q3144" s="93">
        <v>46055</v>
      </c>
      <c r="R3144" t="s">
        <v>496</v>
      </c>
      <c r="S3144" t="s">
        <v>399</v>
      </c>
      <c r="T3144" s="14">
        <v>24261.071499999998</v>
      </c>
    </row>
    <row r="3145" spans="17:20" x14ac:dyDescent="0.3">
      <c r="Q3145" s="93">
        <v>46055</v>
      </c>
      <c r="R3145" t="s">
        <v>497</v>
      </c>
      <c r="S3145" t="s">
        <v>399</v>
      </c>
      <c r="T3145" s="14">
        <v>397.61059999999998</v>
      </c>
    </row>
    <row r="3146" spans="17:20" x14ac:dyDescent="0.3">
      <c r="Q3146" s="93">
        <v>46055</v>
      </c>
      <c r="R3146" t="s">
        <v>498</v>
      </c>
      <c r="S3146" t="s">
        <v>399</v>
      </c>
      <c r="T3146" s="14">
        <v>9500</v>
      </c>
    </row>
    <row r="3147" spans="17:20" x14ac:dyDescent="0.3">
      <c r="Q3147" s="93">
        <v>46055</v>
      </c>
      <c r="R3147" t="s">
        <v>494</v>
      </c>
      <c r="S3147" t="s">
        <v>399</v>
      </c>
      <c r="T3147" s="14">
        <v>0</v>
      </c>
    </row>
    <row r="3148" spans="17:20" x14ac:dyDescent="0.3">
      <c r="Q3148" s="93">
        <v>46055</v>
      </c>
      <c r="R3148" t="s">
        <v>495</v>
      </c>
      <c r="S3148" t="s">
        <v>399</v>
      </c>
      <c r="T3148" s="14">
        <v>0</v>
      </c>
    </row>
    <row r="3149" spans="17:20" x14ac:dyDescent="0.3">
      <c r="Q3149" s="93">
        <v>46055</v>
      </c>
      <c r="R3149" t="s">
        <v>493</v>
      </c>
      <c r="S3149" t="s">
        <v>399</v>
      </c>
      <c r="T3149" s="14">
        <v>0</v>
      </c>
    </row>
    <row r="3150" spans="17:20" x14ac:dyDescent="0.3">
      <c r="Q3150" s="93">
        <v>46055</v>
      </c>
      <c r="R3150" t="s">
        <v>593</v>
      </c>
      <c r="S3150" t="s">
        <v>399</v>
      </c>
      <c r="T3150" s="14">
        <v>1800</v>
      </c>
    </row>
    <row r="3151" spans="17:20" x14ac:dyDescent="0.3">
      <c r="Q3151" s="93">
        <v>46055</v>
      </c>
      <c r="R3151" t="s">
        <v>594</v>
      </c>
      <c r="S3151" t="s">
        <v>399</v>
      </c>
      <c r="T3151" s="14">
        <v>0</v>
      </c>
    </row>
    <row r="3152" spans="17:20" x14ac:dyDescent="0.3">
      <c r="Q3152" s="93">
        <v>46055</v>
      </c>
      <c r="R3152" t="s">
        <v>595</v>
      </c>
      <c r="S3152" t="s">
        <v>399</v>
      </c>
      <c r="T3152" s="14">
        <v>0</v>
      </c>
    </row>
    <row r="3153" spans="17:20" x14ac:dyDescent="0.3">
      <c r="Q3153" s="93">
        <v>46055</v>
      </c>
      <c r="R3153" t="s">
        <v>479</v>
      </c>
      <c r="S3153" t="s">
        <v>395</v>
      </c>
      <c r="T3153" s="14">
        <v>10642.4562745775</v>
      </c>
    </row>
    <row r="3154" spans="17:20" x14ac:dyDescent="0.3">
      <c r="Q3154" s="93">
        <v>46055</v>
      </c>
      <c r="R3154" t="s">
        <v>479</v>
      </c>
      <c r="S3154" t="s">
        <v>415</v>
      </c>
      <c r="T3154" s="14">
        <v>6.1047439242558204</v>
      </c>
    </row>
    <row r="3155" spans="17:20" x14ac:dyDescent="0.3">
      <c r="Q3155" s="93">
        <v>46055</v>
      </c>
      <c r="R3155" t="s">
        <v>364</v>
      </c>
      <c r="S3155" t="s">
        <v>415</v>
      </c>
      <c r="T3155" s="14">
        <v>5.8599461318527597</v>
      </c>
    </row>
    <row r="3156" spans="17:20" x14ac:dyDescent="0.3">
      <c r="Q3156" s="93">
        <v>46055</v>
      </c>
      <c r="R3156" t="s">
        <v>364</v>
      </c>
      <c r="S3156" t="s">
        <v>997</v>
      </c>
      <c r="T3156" s="14">
        <v>33961.071499999998</v>
      </c>
    </row>
    <row r="3157" spans="17:20" x14ac:dyDescent="0.3">
      <c r="Q3157" s="93">
        <v>46055</v>
      </c>
      <c r="R3157" t="s">
        <v>496</v>
      </c>
      <c r="S3157" t="s">
        <v>997</v>
      </c>
      <c r="T3157" s="14">
        <v>32161.071499999998</v>
      </c>
    </row>
    <row r="3158" spans="17:20" x14ac:dyDescent="0.3">
      <c r="Q3158" s="93">
        <v>46055</v>
      </c>
      <c r="R3158" t="s">
        <v>479</v>
      </c>
      <c r="S3158" t="s">
        <v>399</v>
      </c>
      <c r="T3158" s="14">
        <v>9897.6106</v>
      </c>
    </row>
    <row r="3159" spans="17:20" x14ac:dyDescent="0.3">
      <c r="Q3159" s="93">
        <v>46052</v>
      </c>
      <c r="R3159" t="s">
        <v>479</v>
      </c>
      <c r="S3159" t="s">
        <v>399</v>
      </c>
      <c r="T3159" s="14">
        <v>9897.6106</v>
      </c>
    </row>
    <row r="3160" spans="17:20" x14ac:dyDescent="0.3">
      <c r="Q3160" s="93">
        <v>46052</v>
      </c>
      <c r="R3160" t="s">
        <v>364</v>
      </c>
      <c r="S3160" t="s">
        <v>399</v>
      </c>
      <c r="T3160" s="14">
        <v>24561.071499999998</v>
      </c>
    </row>
    <row r="3161" spans="17:20" x14ac:dyDescent="0.3">
      <c r="Q3161" s="93">
        <v>46052</v>
      </c>
      <c r="R3161" t="s">
        <v>491</v>
      </c>
      <c r="S3161" t="s">
        <v>399</v>
      </c>
      <c r="T3161" s="14">
        <v>397.61059999999998</v>
      </c>
    </row>
    <row r="3162" spans="17:20" x14ac:dyDescent="0.3">
      <c r="Q3162" s="93">
        <v>46052</v>
      </c>
      <c r="R3162" t="s">
        <v>492</v>
      </c>
      <c r="S3162" t="s">
        <v>399</v>
      </c>
      <c r="T3162" s="14">
        <v>9500</v>
      </c>
    </row>
    <row r="3163" spans="17:20" x14ac:dyDescent="0.3">
      <c r="Q3163" s="93">
        <v>46052</v>
      </c>
      <c r="R3163" t="s">
        <v>496</v>
      </c>
      <c r="S3163" t="s">
        <v>399</v>
      </c>
      <c r="T3163" s="14">
        <v>24149.930100000001</v>
      </c>
    </row>
    <row r="3164" spans="17:20" x14ac:dyDescent="0.3">
      <c r="Q3164" s="93">
        <v>46052</v>
      </c>
      <c r="R3164" t="s">
        <v>497</v>
      </c>
      <c r="S3164" t="s">
        <v>399</v>
      </c>
      <c r="T3164" s="14">
        <v>397.61059999999998</v>
      </c>
    </row>
    <row r="3165" spans="17:20" x14ac:dyDescent="0.3">
      <c r="Q3165" s="93">
        <v>46052</v>
      </c>
      <c r="R3165" t="s">
        <v>498</v>
      </c>
      <c r="S3165" t="s">
        <v>399</v>
      </c>
      <c r="T3165" s="14">
        <v>9500</v>
      </c>
    </row>
    <row r="3166" spans="17:20" x14ac:dyDescent="0.3">
      <c r="Q3166" s="93">
        <v>46052</v>
      </c>
      <c r="R3166" t="s">
        <v>494</v>
      </c>
      <c r="S3166" t="s">
        <v>399</v>
      </c>
      <c r="T3166" s="14">
        <v>0</v>
      </c>
    </row>
    <row r="3167" spans="17:20" x14ac:dyDescent="0.3">
      <c r="Q3167" s="93">
        <v>46052</v>
      </c>
      <c r="R3167" t="s">
        <v>495</v>
      </c>
      <c r="S3167" t="s">
        <v>399</v>
      </c>
      <c r="T3167" s="14">
        <v>0</v>
      </c>
    </row>
    <row r="3168" spans="17:20" x14ac:dyDescent="0.3">
      <c r="Q3168" s="93">
        <v>46052</v>
      </c>
      <c r="R3168" t="s">
        <v>493</v>
      </c>
      <c r="S3168" t="s">
        <v>399</v>
      </c>
      <c r="T3168" s="14">
        <v>0</v>
      </c>
    </row>
    <row r="3169" spans="17:20" x14ac:dyDescent="0.3">
      <c r="Q3169" s="93">
        <v>46052</v>
      </c>
      <c r="R3169" t="s">
        <v>593</v>
      </c>
      <c r="S3169" t="s">
        <v>399</v>
      </c>
      <c r="T3169" s="14">
        <v>411.14139999999998</v>
      </c>
    </row>
    <row r="3170" spans="17:20" x14ac:dyDescent="0.3">
      <c r="Q3170" s="93">
        <v>46052</v>
      </c>
      <c r="R3170" t="s">
        <v>594</v>
      </c>
      <c r="S3170" t="s">
        <v>399</v>
      </c>
      <c r="T3170" s="14">
        <v>0</v>
      </c>
    </row>
    <row r="3171" spans="17:20" x14ac:dyDescent="0.3">
      <c r="Q3171" s="93">
        <v>46052</v>
      </c>
      <c r="R3171" t="s">
        <v>595</v>
      </c>
      <c r="S3171" t="s">
        <v>399</v>
      </c>
      <c r="T3171" s="14">
        <v>0</v>
      </c>
    </row>
    <row r="3172" spans="17:20" x14ac:dyDescent="0.3">
      <c r="Q3172" s="93">
        <v>46052</v>
      </c>
      <c r="R3172" t="s">
        <v>479</v>
      </c>
      <c r="S3172" t="s">
        <v>395</v>
      </c>
      <c r="T3172" s="14">
        <v>10650.6363042014</v>
      </c>
    </row>
    <row r="3173" spans="17:20" x14ac:dyDescent="0.3">
      <c r="Q3173" s="93">
        <v>46052</v>
      </c>
      <c r="R3173" t="s">
        <v>479</v>
      </c>
      <c r="S3173" t="s">
        <v>415</v>
      </c>
      <c r="T3173" s="14">
        <v>6.1047439242558204</v>
      </c>
    </row>
    <row r="3174" spans="17:20" x14ac:dyDescent="0.3">
      <c r="Q3174" s="93">
        <v>46052</v>
      </c>
      <c r="R3174" t="s">
        <v>364</v>
      </c>
      <c r="S3174" t="s">
        <v>415</v>
      </c>
      <c r="T3174" s="14">
        <v>5.8121941406031503</v>
      </c>
    </row>
    <row r="3175" spans="17:20" x14ac:dyDescent="0.3">
      <c r="Q3175" s="93">
        <v>46052</v>
      </c>
      <c r="R3175" t="s">
        <v>364</v>
      </c>
      <c r="S3175" t="s">
        <v>997</v>
      </c>
      <c r="T3175" s="14">
        <v>32461.071499999998</v>
      </c>
    </row>
    <row r="3176" spans="17:20" x14ac:dyDescent="0.3">
      <c r="Q3176" s="93">
        <v>46052</v>
      </c>
      <c r="R3176" t="s">
        <v>496</v>
      </c>
      <c r="S3176" t="s">
        <v>997</v>
      </c>
      <c r="T3176" s="14">
        <v>32049.930100000001</v>
      </c>
    </row>
    <row r="3177" spans="17:20" x14ac:dyDescent="0.3">
      <c r="Q3177" s="93">
        <v>46051</v>
      </c>
      <c r="R3177" t="s">
        <v>479</v>
      </c>
      <c r="S3177" t="s">
        <v>415</v>
      </c>
      <c r="T3177" s="14">
        <v>6.1047439242558204</v>
      </c>
    </row>
    <row r="3178" spans="17:20" x14ac:dyDescent="0.3">
      <c r="Q3178" s="93">
        <v>46051</v>
      </c>
      <c r="R3178" t="s">
        <v>364</v>
      </c>
      <c r="S3178" t="s">
        <v>415</v>
      </c>
      <c r="T3178" s="14">
        <v>5.7956394295931997</v>
      </c>
    </row>
    <row r="3179" spans="17:20" x14ac:dyDescent="0.3">
      <c r="Q3179" s="93">
        <v>46051</v>
      </c>
      <c r="R3179" t="s">
        <v>364</v>
      </c>
      <c r="S3179" t="s">
        <v>997</v>
      </c>
      <c r="T3179" s="14">
        <v>33061.071499999998</v>
      </c>
    </row>
    <row r="3180" spans="17:20" x14ac:dyDescent="0.3">
      <c r="Q3180" s="93">
        <v>46051</v>
      </c>
      <c r="R3180" t="s">
        <v>496</v>
      </c>
      <c r="S3180" t="s">
        <v>997</v>
      </c>
      <c r="T3180" s="14">
        <v>30849.930100000001</v>
      </c>
    </row>
    <row r="3181" spans="17:20" x14ac:dyDescent="0.3">
      <c r="Q3181" s="93">
        <v>46051</v>
      </c>
      <c r="R3181" t="s">
        <v>479</v>
      </c>
      <c r="S3181" t="s">
        <v>399</v>
      </c>
      <c r="T3181" s="14">
        <v>9897.6106</v>
      </c>
    </row>
    <row r="3182" spans="17:20" x14ac:dyDescent="0.3">
      <c r="Q3182" s="93">
        <v>46051</v>
      </c>
      <c r="R3182" t="s">
        <v>364</v>
      </c>
      <c r="S3182" t="s">
        <v>399</v>
      </c>
      <c r="T3182" s="14">
        <v>25161.071499999998</v>
      </c>
    </row>
    <row r="3183" spans="17:20" x14ac:dyDescent="0.3">
      <c r="Q3183" s="93">
        <v>46051</v>
      </c>
      <c r="R3183" t="s">
        <v>491</v>
      </c>
      <c r="S3183" t="s">
        <v>399</v>
      </c>
      <c r="T3183" s="14">
        <v>397.61059999999998</v>
      </c>
    </row>
    <row r="3184" spans="17:20" x14ac:dyDescent="0.3">
      <c r="Q3184" s="93">
        <v>46051</v>
      </c>
      <c r="R3184" t="s">
        <v>492</v>
      </c>
      <c r="S3184" t="s">
        <v>399</v>
      </c>
      <c r="T3184" s="14">
        <v>9500</v>
      </c>
    </row>
    <row r="3185" spans="17:20" x14ac:dyDescent="0.3">
      <c r="Q3185" s="93">
        <v>46051</v>
      </c>
      <c r="R3185" t="s">
        <v>496</v>
      </c>
      <c r="S3185" t="s">
        <v>399</v>
      </c>
      <c r="T3185" s="14">
        <v>22949.930100000001</v>
      </c>
    </row>
    <row r="3186" spans="17:20" x14ac:dyDescent="0.3">
      <c r="Q3186" s="93">
        <v>46051</v>
      </c>
      <c r="R3186" t="s">
        <v>497</v>
      </c>
      <c r="S3186" t="s">
        <v>399</v>
      </c>
      <c r="T3186" s="14">
        <v>397.61059999999998</v>
      </c>
    </row>
    <row r="3187" spans="17:20" x14ac:dyDescent="0.3">
      <c r="Q3187" s="93">
        <v>46051</v>
      </c>
      <c r="R3187" t="s">
        <v>498</v>
      </c>
      <c r="S3187" t="s">
        <v>399</v>
      </c>
      <c r="T3187" s="14">
        <v>9500</v>
      </c>
    </row>
    <row r="3188" spans="17:20" x14ac:dyDescent="0.3">
      <c r="Q3188" s="93">
        <v>46051</v>
      </c>
      <c r="R3188" t="s">
        <v>494</v>
      </c>
      <c r="S3188" t="s">
        <v>399</v>
      </c>
      <c r="T3188" s="14">
        <v>0</v>
      </c>
    </row>
    <row r="3189" spans="17:20" x14ac:dyDescent="0.3">
      <c r="Q3189" s="93">
        <v>46051</v>
      </c>
      <c r="R3189" t="s">
        <v>495</v>
      </c>
      <c r="S3189" t="s">
        <v>399</v>
      </c>
      <c r="T3189" s="14">
        <v>0</v>
      </c>
    </row>
    <row r="3190" spans="17:20" x14ac:dyDescent="0.3">
      <c r="Q3190" s="93">
        <v>46051</v>
      </c>
      <c r="R3190" t="s">
        <v>493</v>
      </c>
      <c r="S3190" t="s">
        <v>399</v>
      </c>
      <c r="T3190" s="14">
        <v>0</v>
      </c>
    </row>
    <row r="3191" spans="17:20" x14ac:dyDescent="0.3">
      <c r="Q3191" s="93">
        <v>46051</v>
      </c>
      <c r="R3191" t="s">
        <v>593</v>
      </c>
      <c r="S3191" t="s">
        <v>399</v>
      </c>
      <c r="T3191" s="14">
        <v>2211.1414</v>
      </c>
    </row>
    <row r="3192" spans="17:20" x14ac:dyDescent="0.3">
      <c r="Q3192" s="93">
        <v>46051</v>
      </c>
      <c r="R3192" t="s">
        <v>594</v>
      </c>
      <c r="S3192" t="s">
        <v>399</v>
      </c>
      <c r="T3192" s="14">
        <v>0</v>
      </c>
    </row>
    <row r="3193" spans="17:20" x14ac:dyDescent="0.3">
      <c r="Q3193" s="93">
        <v>46051</v>
      </c>
      <c r="R3193" t="s">
        <v>595</v>
      </c>
      <c r="S3193" t="s">
        <v>399</v>
      </c>
      <c r="T3193" s="14">
        <v>0</v>
      </c>
    </row>
    <row r="3194" spans="17:20" x14ac:dyDescent="0.3">
      <c r="Q3194" s="93">
        <v>46051</v>
      </c>
      <c r="R3194" t="s">
        <v>479</v>
      </c>
      <c r="S3194" t="s">
        <v>395</v>
      </c>
      <c r="T3194" s="14">
        <v>10651.8182151167</v>
      </c>
    </row>
    <row r="3195" spans="17:20" x14ac:dyDescent="0.3">
      <c r="Q3195" s="93">
        <v>46050</v>
      </c>
      <c r="R3195" t="s">
        <v>479</v>
      </c>
      <c r="S3195" t="s">
        <v>399</v>
      </c>
      <c r="T3195" s="14">
        <v>9897.6106</v>
      </c>
    </row>
    <row r="3196" spans="17:20" x14ac:dyDescent="0.3">
      <c r="Q3196" s="93">
        <v>46050</v>
      </c>
      <c r="R3196" t="s">
        <v>364</v>
      </c>
      <c r="S3196" t="s">
        <v>399</v>
      </c>
      <c r="T3196" s="14">
        <v>25461.071499999998</v>
      </c>
    </row>
    <row r="3197" spans="17:20" x14ac:dyDescent="0.3">
      <c r="Q3197" s="93">
        <v>46050</v>
      </c>
      <c r="R3197" t="s">
        <v>491</v>
      </c>
      <c r="S3197" t="s">
        <v>399</v>
      </c>
      <c r="T3197" s="14">
        <v>397.61059999999998</v>
      </c>
    </row>
    <row r="3198" spans="17:20" x14ac:dyDescent="0.3">
      <c r="Q3198" s="93">
        <v>46050</v>
      </c>
      <c r="R3198" t="s">
        <v>492</v>
      </c>
      <c r="S3198" t="s">
        <v>399</v>
      </c>
      <c r="T3198" s="14">
        <v>9500</v>
      </c>
    </row>
    <row r="3199" spans="17:20" x14ac:dyDescent="0.3">
      <c r="Q3199" s="93">
        <v>46050</v>
      </c>
      <c r="R3199" t="s">
        <v>496</v>
      </c>
      <c r="S3199" t="s">
        <v>399</v>
      </c>
      <c r="T3199" s="14">
        <v>18349.930100000001</v>
      </c>
    </row>
    <row r="3200" spans="17:20" x14ac:dyDescent="0.3">
      <c r="Q3200" s="93">
        <v>46050</v>
      </c>
      <c r="R3200" t="s">
        <v>497</v>
      </c>
      <c r="S3200" t="s">
        <v>399</v>
      </c>
      <c r="T3200" s="14">
        <v>397.61059999999998</v>
      </c>
    </row>
    <row r="3201" spans="17:20" x14ac:dyDescent="0.3">
      <c r="Q3201" s="93">
        <v>46050</v>
      </c>
      <c r="R3201" t="s">
        <v>498</v>
      </c>
      <c r="S3201" t="s">
        <v>399</v>
      </c>
      <c r="T3201" s="14">
        <v>9500</v>
      </c>
    </row>
    <row r="3202" spans="17:20" x14ac:dyDescent="0.3">
      <c r="Q3202" s="93">
        <v>46050</v>
      </c>
      <c r="R3202" t="s">
        <v>494</v>
      </c>
      <c r="S3202" t="s">
        <v>399</v>
      </c>
      <c r="T3202" s="14">
        <v>3000</v>
      </c>
    </row>
    <row r="3203" spans="17:20" x14ac:dyDescent="0.3">
      <c r="Q3203" s="93">
        <v>46050</v>
      </c>
      <c r="R3203" t="s">
        <v>495</v>
      </c>
      <c r="S3203" t="s">
        <v>399</v>
      </c>
      <c r="T3203" s="14">
        <v>0</v>
      </c>
    </row>
    <row r="3204" spans="17:20" x14ac:dyDescent="0.3">
      <c r="Q3204" s="93">
        <v>46050</v>
      </c>
      <c r="R3204" t="s">
        <v>493</v>
      </c>
      <c r="S3204" t="s">
        <v>399</v>
      </c>
      <c r="T3204" s="14">
        <v>0</v>
      </c>
    </row>
    <row r="3205" spans="17:20" x14ac:dyDescent="0.3">
      <c r="Q3205" s="93">
        <v>46050</v>
      </c>
      <c r="R3205" t="s">
        <v>593</v>
      </c>
      <c r="S3205" t="s">
        <v>399</v>
      </c>
      <c r="T3205" s="14">
        <v>4111.1414000000004</v>
      </c>
    </row>
    <row r="3206" spans="17:20" x14ac:dyDescent="0.3">
      <c r="Q3206" s="93">
        <v>46050</v>
      </c>
      <c r="R3206" t="s">
        <v>594</v>
      </c>
      <c r="S3206" t="s">
        <v>399</v>
      </c>
      <c r="T3206" s="14">
        <v>0</v>
      </c>
    </row>
    <row r="3207" spans="17:20" x14ac:dyDescent="0.3">
      <c r="Q3207" s="93">
        <v>46050</v>
      </c>
      <c r="R3207" t="s">
        <v>595</v>
      </c>
      <c r="S3207" t="s">
        <v>399</v>
      </c>
      <c r="T3207" s="14">
        <v>0</v>
      </c>
    </row>
    <row r="3208" spans="17:20" x14ac:dyDescent="0.3">
      <c r="Q3208" s="93">
        <v>46050</v>
      </c>
      <c r="R3208" t="s">
        <v>479</v>
      </c>
      <c r="S3208" t="s">
        <v>395</v>
      </c>
      <c r="T3208" s="14">
        <v>10651.5998411739</v>
      </c>
    </row>
    <row r="3209" spans="17:20" x14ac:dyDescent="0.3">
      <c r="Q3209" s="93">
        <v>46050</v>
      </c>
      <c r="R3209" t="s">
        <v>479</v>
      </c>
      <c r="S3209" t="s">
        <v>415</v>
      </c>
      <c r="T3209" s="14">
        <v>6.1047439242558204</v>
      </c>
    </row>
    <row r="3210" spans="17:20" x14ac:dyDescent="0.3">
      <c r="Q3210" s="93">
        <v>46050</v>
      </c>
      <c r="R3210" t="s">
        <v>364</v>
      </c>
      <c r="S3210" t="s">
        <v>415</v>
      </c>
      <c r="T3210" s="14">
        <v>5.7558118170754797</v>
      </c>
    </row>
    <row r="3211" spans="17:20" x14ac:dyDescent="0.3">
      <c r="Q3211" s="93">
        <v>46050</v>
      </c>
      <c r="R3211" t="s">
        <v>364</v>
      </c>
      <c r="S3211" t="s">
        <v>997</v>
      </c>
      <c r="T3211" s="14">
        <v>33361.071499999998</v>
      </c>
    </row>
    <row r="3212" spans="17:20" x14ac:dyDescent="0.3">
      <c r="Q3212" s="93">
        <v>46050</v>
      </c>
      <c r="R3212" t="s">
        <v>496</v>
      </c>
      <c r="S3212" t="s">
        <v>997</v>
      </c>
      <c r="T3212" s="14">
        <v>26249.930100000001</v>
      </c>
    </row>
    <row r="3213" spans="17:20" x14ac:dyDescent="0.3">
      <c r="Q3213" s="93">
        <v>46049</v>
      </c>
      <c r="R3213" t="s">
        <v>479</v>
      </c>
      <c r="S3213" t="s">
        <v>399</v>
      </c>
      <c r="T3213" s="14">
        <v>9897.6106</v>
      </c>
    </row>
    <row r="3214" spans="17:20" x14ac:dyDescent="0.3">
      <c r="Q3214" s="93">
        <v>46049</v>
      </c>
      <c r="R3214" t="s">
        <v>364</v>
      </c>
      <c r="S3214" t="s">
        <v>399</v>
      </c>
      <c r="T3214" s="14">
        <v>26599.4067</v>
      </c>
    </row>
    <row r="3215" spans="17:20" x14ac:dyDescent="0.3">
      <c r="Q3215" s="93">
        <v>46049</v>
      </c>
      <c r="R3215" t="s">
        <v>491</v>
      </c>
      <c r="S3215" t="s">
        <v>399</v>
      </c>
      <c r="T3215" s="14">
        <v>397.61059999999998</v>
      </c>
    </row>
    <row r="3216" spans="17:20" x14ac:dyDescent="0.3">
      <c r="Q3216" s="93">
        <v>46049</v>
      </c>
      <c r="R3216" t="s">
        <v>492</v>
      </c>
      <c r="S3216" t="s">
        <v>399</v>
      </c>
      <c r="T3216" s="14">
        <v>9500</v>
      </c>
    </row>
    <row r="3217" spans="17:20" x14ac:dyDescent="0.3">
      <c r="Q3217" s="93">
        <v>46049</v>
      </c>
      <c r="R3217" t="s">
        <v>496</v>
      </c>
      <c r="S3217" t="s">
        <v>399</v>
      </c>
      <c r="T3217" s="14">
        <v>18699.4067</v>
      </c>
    </row>
    <row r="3218" spans="17:20" x14ac:dyDescent="0.3">
      <c r="Q3218" s="93">
        <v>46049</v>
      </c>
      <c r="R3218" t="s">
        <v>497</v>
      </c>
      <c r="S3218" t="s">
        <v>399</v>
      </c>
      <c r="T3218" s="14">
        <v>397.61059999999998</v>
      </c>
    </row>
    <row r="3219" spans="17:20" x14ac:dyDescent="0.3">
      <c r="Q3219" s="93">
        <v>46049</v>
      </c>
      <c r="R3219" t="s">
        <v>498</v>
      </c>
      <c r="S3219" t="s">
        <v>399</v>
      </c>
      <c r="T3219" s="14">
        <v>9500</v>
      </c>
    </row>
    <row r="3220" spans="17:20" x14ac:dyDescent="0.3">
      <c r="Q3220" s="93">
        <v>46049</v>
      </c>
      <c r="R3220" t="s">
        <v>494</v>
      </c>
      <c r="S3220" t="s">
        <v>399</v>
      </c>
      <c r="T3220" s="14">
        <v>3400</v>
      </c>
    </row>
    <row r="3221" spans="17:20" x14ac:dyDescent="0.3">
      <c r="Q3221" s="93">
        <v>46049</v>
      </c>
      <c r="R3221" t="s">
        <v>495</v>
      </c>
      <c r="S3221" t="s">
        <v>399</v>
      </c>
      <c r="T3221" s="14">
        <v>0</v>
      </c>
    </row>
    <row r="3222" spans="17:20" x14ac:dyDescent="0.3">
      <c r="Q3222" s="93">
        <v>46049</v>
      </c>
      <c r="R3222" t="s">
        <v>493</v>
      </c>
      <c r="S3222" t="s">
        <v>399</v>
      </c>
      <c r="T3222" s="14">
        <v>0</v>
      </c>
    </row>
    <row r="3223" spans="17:20" x14ac:dyDescent="0.3">
      <c r="Q3223" s="93">
        <v>46049</v>
      </c>
      <c r="R3223" t="s">
        <v>593</v>
      </c>
      <c r="S3223" t="s">
        <v>399</v>
      </c>
      <c r="T3223" s="14">
        <v>4500</v>
      </c>
    </row>
    <row r="3224" spans="17:20" x14ac:dyDescent="0.3">
      <c r="Q3224" s="93">
        <v>46049</v>
      </c>
      <c r="R3224" t="s">
        <v>594</v>
      </c>
      <c r="S3224" t="s">
        <v>399</v>
      </c>
      <c r="T3224" s="14">
        <v>0</v>
      </c>
    </row>
    <row r="3225" spans="17:20" x14ac:dyDescent="0.3">
      <c r="Q3225" s="93">
        <v>46049</v>
      </c>
      <c r="R3225" t="s">
        <v>595</v>
      </c>
      <c r="S3225" t="s">
        <v>399</v>
      </c>
      <c r="T3225" s="14">
        <v>0</v>
      </c>
    </row>
    <row r="3226" spans="17:20" x14ac:dyDescent="0.3">
      <c r="Q3226" s="93">
        <v>46049</v>
      </c>
      <c r="R3226" t="s">
        <v>479</v>
      </c>
      <c r="S3226" t="s">
        <v>395</v>
      </c>
      <c r="T3226" s="14">
        <v>10653.6692278833</v>
      </c>
    </row>
    <row r="3227" spans="17:20" x14ac:dyDescent="0.3">
      <c r="Q3227" s="93">
        <v>46049</v>
      </c>
      <c r="R3227" t="s">
        <v>479</v>
      </c>
      <c r="S3227" t="s">
        <v>415</v>
      </c>
      <c r="T3227" s="14">
        <v>6.1047439242558204</v>
      </c>
    </row>
    <row r="3228" spans="17:20" x14ac:dyDescent="0.3">
      <c r="Q3228" s="93">
        <v>46049</v>
      </c>
      <c r="R3228" t="s">
        <v>364</v>
      </c>
      <c r="S3228" t="s">
        <v>415</v>
      </c>
      <c r="T3228" s="14">
        <v>5.7371644341930104</v>
      </c>
    </row>
    <row r="3229" spans="17:20" x14ac:dyDescent="0.3">
      <c r="Q3229" s="93">
        <v>46049</v>
      </c>
      <c r="R3229" t="s">
        <v>364</v>
      </c>
      <c r="S3229" t="s">
        <v>997</v>
      </c>
      <c r="T3229" s="14">
        <v>34499.4067</v>
      </c>
    </row>
    <row r="3230" spans="17:20" x14ac:dyDescent="0.3">
      <c r="Q3230" s="93">
        <v>46049</v>
      </c>
      <c r="R3230" t="s">
        <v>496</v>
      </c>
      <c r="S3230" t="s">
        <v>997</v>
      </c>
      <c r="T3230" s="14">
        <v>26599.4067</v>
      </c>
    </row>
    <row r="3231" spans="17:20" x14ac:dyDescent="0.3">
      <c r="Q3231" s="93">
        <v>46048</v>
      </c>
      <c r="R3231" t="s">
        <v>479</v>
      </c>
      <c r="S3231" t="s">
        <v>399</v>
      </c>
      <c r="T3231" s="14">
        <v>9897.6106</v>
      </c>
    </row>
    <row r="3232" spans="17:20" x14ac:dyDescent="0.3">
      <c r="Q3232" s="93">
        <v>46048</v>
      </c>
      <c r="R3232" t="s">
        <v>364</v>
      </c>
      <c r="S3232" t="s">
        <v>399</v>
      </c>
      <c r="T3232" s="14">
        <v>27899.4067</v>
      </c>
    </row>
    <row r="3233" spans="17:20" x14ac:dyDescent="0.3">
      <c r="Q3233" s="93">
        <v>46048</v>
      </c>
      <c r="R3233" t="s">
        <v>491</v>
      </c>
      <c r="S3233" t="s">
        <v>399</v>
      </c>
      <c r="T3233" s="14">
        <v>397.61059999999998</v>
      </c>
    </row>
    <row r="3234" spans="17:20" x14ac:dyDescent="0.3">
      <c r="Q3234" s="93">
        <v>46048</v>
      </c>
      <c r="R3234" t="s">
        <v>492</v>
      </c>
      <c r="S3234" t="s">
        <v>399</v>
      </c>
      <c r="T3234" s="14">
        <v>9500</v>
      </c>
    </row>
    <row r="3235" spans="17:20" x14ac:dyDescent="0.3">
      <c r="Q3235" s="93">
        <v>46048</v>
      </c>
      <c r="R3235" t="s">
        <v>496</v>
      </c>
      <c r="S3235" t="s">
        <v>399</v>
      </c>
      <c r="T3235" s="14">
        <v>19599.4067</v>
      </c>
    </row>
    <row r="3236" spans="17:20" x14ac:dyDescent="0.3">
      <c r="Q3236" s="93">
        <v>46048</v>
      </c>
      <c r="R3236" t="s">
        <v>497</v>
      </c>
      <c r="S3236" t="s">
        <v>399</v>
      </c>
      <c r="T3236" s="14">
        <v>397.61059999999998</v>
      </c>
    </row>
    <row r="3237" spans="17:20" x14ac:dyDescent="0.3">
      <c r="Q3237" s="93">
        <v>46048</v>
      </c>
      <c r="R3237" t="s">
        <v>498</v>
      </c>
      <c r="S3237" t="s">
        <v>399</v>
      </c>
      <c r="T3237" s="14">
        <v>9500</v>
      </c>
    </row>
    <row r="3238" spans="17:20" x14ac:dyDescent="0.3">
      <c r="Q3238" s="93">
        <v>46048</v>
      </c>
      <c r="R3238" t="s">
        <v>494</v>
      </c>
      <c r="S3238" t="s">
        <v>399</v>
      </c>
      <c r="T3238" s="14">
        <v>4700</v>
      </c>
    </row>
    <row r="3239" spans="17:20" x14ac:dyDescent="0.3">
      <c r="Q3239" s="93">
        <v>46048</v>
      </c>
      <c r="R3239" t="s">
        <v>495</v>
      </c>
      <c r="S3239" t="s">
        <v>399</v>
      </c>
      <c r="T3239" s="14">
        <v>0</v>
      </c>
    </row>
    <row r="3240" spans="17:20" x14ac:dyDescent="0.3">
      <c r="Q3240" s="93">
        <v>46048</v>
      </c>
      <c r="R3240" t="s">
        <v>493</v>
      </c>
      <c r="S3240" t="s">
        <v>399</v>
      </c>
      <c r="T3240" s="14">
        <v>0</v>
      </c>
    </row>
    <row r="3241" spans="17:20" x14ac:dyDescent="0.3">
      <c r="Q3241" s="93">
        <v>46048</v>
      </c>
      <c r="R3241" t="s">
        <v>593</v>
      </c>
      <c r="S3241" t="s">
        <v>399</v>
      </c>
      <c r="T3241" s="14">
        <v>3600</v>
      </c>
    </row>
    <row r="3242" spans="17:20" x14ac:dyDescent="0.3">
      <c r="Q3242" s="93">
        <v>46048</v>
      </c>
      <c r="R3242" t="s">
        <v>594</v>
      </c>
      <c r="S3242" t="s">
        <v>399</v>
      </c>
      <c r="T3242" s="14">
        <v>0</v>
      </c>
    </row>
    <row r="3243" spans="17:20" x14ac:dyDescent="0.3">
      <c r="Q3243" s="93">
        <v>46048</v>
      </c>
      <c r="R3243" t="s">
        <v>595</v>
      </c>
      <c r="S3243" t="s">
        <v>399</v>
      </c>
      <c r="T3243" s="14">
        <v>0</v>
      </c>
    </row>
    <row r="3244" spans="17:20" x14ac:dyDescent="0.3">
      <c r="Q3244" s="93">
        <v>46048</v>
      </c>
      <c r="R3244" t="s">
        <v>479</v>
      </c>
      <c r="S3244" t="s">
        <v>395</v>
      </c>
      <c r="T3244" s="14">
        <v>10654.440653055401</v>
      </c>
    </row>
    <row r="3245" spans="17:20" x14ac:dyDescent="0.3">
      <c r="Q3245" s="93">
        <v>46048</v>
      </c>
      <c r="R3245" t="s">
        <v>479</v>
      </c>
      <c r="S3245" t="s">
        <v>415</v>
      </c>
      <c r="T3245" s="14">
        <v>6.1047439242558204</v>
      </c>
    </row>
    <row r="3246" spans="17:20" x14ac:dyDescent="0.3">
      <c r="Q3246" s="93">
        <v>46048</v>
      </c>
      <c r="R3246" t="s">
        <v>364</v>
      </c>
      <c r="S3246" t="s">
        <v>415</v>
      </c>
      <c r="T3246" s="14">
        <v>5.7196134795161298</v>
      </c>
    </row>
    <row r="3247" spans="17:20" x14ac:dyDescent="0.3">
      <c r="Q3247" s="93">
        <v>46048</v>
      </c>
      <c r="R3247" t="s">
        <v>364</v>
      </c>
      <c r="S3247" t="s">
        <v>997</v>
      </c>
      <c r="T3247" s="14">
        <v>35799.4067</v>
      </c>
    </row>
    <row r="3248" spans="17:20" x14ac:dyDescent="0.3">
      <c r="Q3248" s="93">
        <v>46048</v>
      </c>
      <c r="R3248" t="s">
        <v>496</v>
      </c>
      <c r="S3248" t="s">
        <v>997</v>
      </c>
      <c r="T3248" s="14">
        <v>27499.4067</v>
      </c>
    </row>
    <row r="3249" spans="17:20" x14ac:dyDescent="0.3">
      <c r="Q3249" s="93">
        <v>46045</v>
      </c>
      <c r="R3249" t="s">
        <v>479</v>
      </c>
      <c r="S3249" t="s">
        <v>415</v>
      </c>
      <c r="T3249" s="14">
        <v>6.1047439242558204</v>
      </c>
    </row>
    <row r="3250" spans="17:20" x14ac:dyDescent="0.3">
      <c r="Q3250" s="93">
        <v>46045</v>
      </c>
      <c r="R3250" t="s">
        <v>364</v>
      </c>
      <c r="S3250" t="s">
        <v>415</v>
      </c>
      <c r="T3250" s="14">
        <v>5.6820579868858001</v>
      </c>
    </row>
    <row r="3251" spans="17:20" x14ac:dyDescent="0.3">
      <c r="Q3251" s="93">
        <v>46045</v>
      </c>
      <c r="R3251" t="s">
        <v>364</v>
      </c>
      <c r="S3251" t="s">
        <v>997</v>
      </c>
      <c r="T3251" s="14">
        <v>35219.4067</v>
      </c>
    </row>
    <row r="3252" spans="17:20" x14ac:dyDescent="0.3">
      <c r="Q3252" s="93">
        <v>46045</v>
      </c>
      <c r="R3252" t="s">
        <v>496</v>
      </c>
      <c r="S3252" t="s">
        <v>997</v>
      </c>
      <c r="T3252" s="14">
        <v>26319.4067</v>
      </c>
    </row>
    <row r="3253" spans="17:20" x14ac:dyDescent="0.3">
      <c r="Q3253" s="93">
        <v>46045</v>
      </c>
      <c r="R3253" t="s">
        <v>479</v>
      </c>
      <c r="S3253" t="s">
        <v>399</v>
      </c>
      <c r="T3253" s="14">
        <v>9897.6106</v>
      </c>
    </row>
    <row r="3254" spans="17:20" x14ac:dyDescent="0.3">
      <c r="Q3254" s="93">
        <v>46045</v>
      </c>
      <c r="R3254" t="s">
        <v>364</v>
      </c>
      <c r="S3254" t="s">
        <v>399</v>
      </c>
      <c r="T3254" s="14">
        <v>27319.4067</v>
      </c>
    </row>
    <row r="3255" spans="17:20" x14ac:dyDescent="0.3">
      <c r="Q3255" s="93">
        <v>46045</v>
      </c>
      <c r="R3255" t="s">
        <v>491</v>
      </c>
      <c r="S3255" t="s">
        <v>399</v>
      </c>
      <c r="T3255" s="14">
        <v>397.61059999999998</v>
      </c>
    </row>
    <row r="3256" spans="17:20" x14ac:dyDescent="0.3">
      <c r="Q3256" s="93">
        <v>46045</v>
      </c>
      <c r="R3256" t="s">
        <v>492</v>
      </c>
      <c r="S3256" t="s">
        <v>399</v>
      </c>
      <c r="T3256" s="14">
        <v>9500</v>
      </c>
    </row>
    <row r="3257" spans="17:20" x14ac:dyDescent="0.3">
      <c r="Q3257" s="93">
        <v>46045</v>
      </c>
      <c r="R3257" t="s">
        <v>496</v>
      </c>
      <c r="S3257" t="s">
        <v>399</v>
      </c>
      <c r="T3257" s="14">
        <v>18419.4067</v>
      </c>
    </row>
    <row r="3258" spans="17:20" x14ac:dyDescent="0.3">
      <c r="Q3258" s="93">
        <v>46045</v>
      </c>
      <c r="R3258" t="s">
        <v>497</v>
      </c>
      <c r="S3258" t="s">
        <v>399</v>
      </c>
      <c r="T3258" s="14">
        <v>397.61059999999998</v>
      </c>
    </row>
    <row r="3259" spans="17:20" x14ac:dyDescent="0.3">
      <c r="Q3259" s="93">
        <v>46045</v>
      </c>
      <c r="R3259" t="s">
        <v>498</v>
      </c>
      <c r="S3259" t="s">
        <v>399</v>
      </c>
      <c r="T3259" s="14">
        <v>9500</v>
      </c>
    </row>
    <row r="3260" spans="17:20" x14ac:dyDescent="0.3">
      <c r="Q3260" s="93">
        <v>46045</v>
      </c>
      <c r="R3260" t="s">
        <v>494</v>
      </c>
      <c r="S3260" t="s">
        <v>399</v>
      </c>
      <c r="T3260" s="14">
        <v>1100</v>
      </c>
    </row>
    <row r="3261" spans="17:20" x14ac:dyDescent="0.3">
      <c r="Q3261" s="93">
        <v>46045</v>
      </c>
      <c r="R3261" t="s">
        <v>495</v>
      </c>
      <c r="S3261" t="s">
        <v>399</v>
      </c>
      <c r="T3261" s="14">
        <v>0</v>
      </c>
    </row>
    <row r="3262" spans="17:20" x14ac:dyDescent="0.3">
      <c r="Q3262" s="93">
        <v>46045</v>
      </c>
      <c r="R3262" t="s">
        <v>493</v>
      </c>
      <c r="S3262" t="s">
        <v>399</v>
      </c>
      <c r="T3262" s="14">
        <v>0</v>
      </c>
    </row>
    <row r="3263" spans="17:20" x14ac:dyDescent="0.3">
      <c r="Q3263" s="93">
        <v>46045</v>
      </c>
      <c r="R3263" t="s">
        <v>593</v>
      </c>
      <c r="S3263" t="s">
        <v>399</v>
      </c>
      <c r="T3263" s="14">
        <v>7800</v>
      </c>
    </row>
    <row r="3264" spans="17:20" x14ac:dyDescent="0.3">
      <c r="Q3264" s="93">
        <v>46045</v>
      </c>
      <c r="R3264" t="s">
        <v>594</v>
      </c>
      <c r="S3264" t="s">
        <v>399</v>
      </c>
      <c r="T3264" s="14">
        <v>0</v>
      </c>
    </row>
    <row r="3265" spans="17:20" x14ac:dyDescent="0.3">
      <c r="Q3265" s="93">
        <v>46045</v>
      </c>
      <c r="R3265" t="s">
        <v>595</v>
      </c>
      <c r="S3265" t="s">
        <v>399</v>
      </c>
      <c r="T3265" s="14">
        <v>0</v>
      </c>
    </row>
    <row r="3266" spans="17:20" x14ac:dyDescent="0.3">
      <c r="Q3266" s="93">
        <v>46045</v>
      </c>
      <c r="R3266" t="s">
        <v>479</v>
      </c>
      <c r="S3266" t="s">
        <v>395</v>
      </c>
      <c r="T3266" s="14">
        <v>10654.786003782599</v>
      </c>
    </row>
    <row r="3267" spans="17:20" x14ac:dyDescent="0.3">
      <c r="Q3267" s="93">
        <v>46044</v>
      </c>
      <c r="R3267" t="s">
        <v>479</v>
      </c>
      <c r="S3267" t="s">
        <v>399</v>
      </c>
      <c r="T3267" s="14">
        <v>9897.6106</v>
      </c>
    </row>
    <row r="3268" spans="17:20" x14ac:dyDescent="0.3">
      <c r="Q3268" s="93">
        <v>46044</v>
      </c>
      <c r="R3268" t="s">
        <v>364</v>
      </c>
      <c r="S3268" t="s">
        <v>399</v>
      </c>
      <c r="T3268" s="14">
        <v>27819.4067</v>
      </c>
    </row>
    <row r="3269" spans="17:20" x14ac:dyDescent="0.3">
      <c r="Q3269" s="93">
        <v>46044</v>
      </c>
      <c r="R3269" t="s">
        <v>491</v>
      </c>
      <c r="S3269" t="s">
        <v>399</v>
      </c>
      <c r="T3269" s="14">
        <v>397.61059999999998</v>
      </c>
    </row>
    <row r="3270" spans="17:20" x14ac:dyDescent="0.3">
      <c r="Q3270" s="93">
        <v>46044</v>
      </c>
      <c r="R3270" t="s">
        <v>492</v>
      </c>
      <c r="S3270" t="s">
        <v>399</v>
      </c>
      <c r="T3270" s="14">
        <v>9500</v>
      </c>
    </row>
    <row r="3271" spans="17:20" x14ac:dyDescent="0.3">
      <c r="Q3271" s="93">
        <v>46044</v>
      </c>
      <c r="R3271" t="s">
        <v>496</v>
      </c>
      <c r="S3271" t="s">
        <v>399</v>
      </c>
      <c r="T3271" s="14">
        <v>16719.4067</v>
      </c>
    </row>
    <row r="3272" spans="17:20" x14ac:dyDescent="0.3">
      <c r="Q3272" s="93">
        <v>46044</v>
      </c>
      <c r="R3272" t="s">
        <v>497</v>
      </c>
      <c r="S3272" t="s">
        <v>399</v>
      </c>
      <c r="T3272" s="14">
        <v>397.61059999999998</v>
      </c>
    </row>
    <row r="3273" spans="17:20" x14ac:dyDescent="0.3">
      <c r="Q3273" s="93">
        <v>46044</v>
      </c>
      <c r="R3273" t="s">
        <v>498</v>
      </c>
      <c r="S3273" t="s">
        <v>399</v>
      </c>
      <c r="T3273" s="14">
        <v>9500</v>
      </c>
    </row>
    <row r="3274" spans="17:20" x14ac:dyDescent="0.3">
      <c r="Q3274" s="93">
        <v>46044</v>
      </c>
      <c r="R3274" t="s">
        <v>494</v>
      </c>
      <c r="S3274" t="s">
        <v>399</v>
      </c>
      <c r="T3274" s="14">
        <v>1300</v>
      </c>
    </row>
    <row r="3275" spans="17:20" x14ac:dyDescent="0.3">
      <c r="Q3275" s="93">
        <v>46044</v>
      </c>
      <c r="R3275" t="s">
        <v>495</v>
      </c>
      <c r="S3275" t="s">
        <v>399</v>
      </c>
      <c r="T3275" s="14">
        <v>0</v>
      </c>
    </row>
    <row r="3276" spans="17:20" x14ac:dyDescent="0.3">
      <c r="Q3276" s="93">
        <v>46044</v>
      </c>
      <c r="R3276" t="s">
        <v>493</v>
      </c>
      <c r="S3276" t="s">
        <v>399</v>
      </c>
      <c r="T3276" s="14">
        <v>0</v>
      </c>
    </row>
    <row r="3277" spans="17:20" x14ac:dyDescent="0.3">
      <c r="Q3277" s="93">
        <v>46044</v>
      </c>
      <c r="R3277" t="s">
        <v>593</v>
      </c>
      <c r="S3277" t="s">
        <v>399</v>
      </c>
      <c r="T3277" s="14">
        <v>9800</v>
      </c>
    </row>
    <row r="3278" spans="17:20" x14ac:dyDescent="0.3">
      <c r="Q3278" s="93">
        <v>46044</v>
      </c>
      <c r="R3278" t="s">
        <v>594</v>
      </c>
      <c r="S3278" t="s">
        <v>399</v>
      </c>
      <c r="T3278" s="14">
        <v>0</v>
      </c>
    </row>
    <row r="3279" spans="17:20" x14ac:dyDescent="0.3">
      <c r="Q3279" s="93">
        <v>46044</v>
      </c>
      <c r="R3279" t="s">
        <v>595</v>
      </c>
      <c r="S3279" t="s">
        <v>399</v>
      </c>
      <c r="T3279" s="14">
        <v>0</v>
      </c>
    </row>
    <row r="3280" spans="17:20" x14ac:dyDescent="0.3">
      <c r="Q3280" s="93">
        <v>46044</v>
      </c>
      <c r="R3280" t="s">
        <v>479</v>
      </c>
      <c r="S3280" t="s">
        <v>395</v>
      </c>
      <c r="T3280" s="14">
        <v>10653.462915111801</v>
      </c>
    </row>
    <row r="3281" spans="17:20" x14ac:dyDescent="0.3">
      <c r="Q3281" s="93">
        <v>46044</v>
      </c>
      <c r="R3281" t="s">
        <v>479</v>
      </c>
      <c r="S3281" t="s">
        <v>415</v>
      </c>
      <c r="T3281" s="14">
        <v>6.1047439242558204</v>
      </c>
    </row>
    <row r="3282" spans="17:20" x14ac:dyDescent="0.3">
      <c r="Q3282" s="93">
        <v>46044</v>
      </c>
      <c r="R3282" t="s">
        <v>364</v>
      </c>
      <c r="S3282" t="s">
        <v>415</v>
      </c>
      <c r="T3282" s="14">
        <v>5.6902056304311497</v>
      </c>
    </row>
    <row r="3283" spans="17:20" x14ac:dyDescent="0.3">
      <c r="Q3283" s="93">
        <v>46044</v>
      </c>
      <c r="R3283" t="s">
        <v>364</v>
      </c>
      <c r="S3283" t="s">
        <v>997</v>
      </c>
      <c r="T3283" s="14">
        <v>35719.4067</v>
      </c>
    </row>
    <row r="3284" spans="17:20" x14ac:dyDescent="0.3">
      <c r="Q3284" s="93">
        <v>46044</v>
      </c>
      <c r="R3284" t="s">
        <v>496</v>
      </c>
      <c r="S3284" t="s">
        <v>997</v>
      </c>
      <c r="T3284" s="14">
        <v>24619.4067</v>
      </c>
    </row>
    <row r="3285" spans="17:20" x14ac:dyDescent="0.3">
      <c r="Q3285" s="93">
        <v>46043</v>
      </c>
      <c r="R3285" t="s">
        <v>479</v>
      </c>
      <c r="S3285" t="s">
        <v>399</v>
      </c>
      <c r="T3285" s="14">
        <v>9897.6106</v>
      </c>
    </row>
    <row r="3286" spans="17:20" x14ac:dyDescent="0.3">
      <c r="Q3286" s="93">
        <v>46043</v>
      </c>
      <c r="R3286" t="s">
        <v>364</v>
      </c>
      <c r="S3286" t="s">
        <v>399</v>
      </c>
      <c r="T3286" s="14">
        <v>27819.4067</v>
      </c>
    </row>
    <row r="3287" spans="17:20" x14ac:dyDescent="0.3">
      <c r="Q3287" s="93">
        <v>46043</v>
      </c>
      <c r="R3287" t="s">
        <v>491</v>
      </c>
      <c r="S3287" t="s">
        <v>399</v>
      </c>
      <c r="T3287" s="14">
        <v>397.61059999999998</v>
      </c>
    </row>
    <row r="3288" spans="17:20" x14ac:dyDescent="0.3">
      <c r="Q3288" s="93">
        <v>46043</v>
      </c>
      <c r="R3288" t="s">
        <v>492</v>
      </c>
      <c r="S3288" t="s">
        <v>399</v>
      </c>
      <c r="T3288" s="14">
        <v>9500</v>
      </c>
    </row>
    <row r="3289" spans="17:20" x14ac:dyDescent="0.3">
      <c r="Q3289" s="93">
        <v>46043</v>
      </c>
      <c r="R3289" t="s">
        <v>496</v>
      </c>
      <c r="S3289" t="s">
        <v>399</v>
      </c>
      <c r="T3289" s="14">
        <v>16619.4067</v>
      </c>
    </row>
    <row r="3290" spans="17:20" x14ac:dyDescent="0.3">
      <c r="Q3290" s="93">
        <v>46043</v>
      </c>
      <c r="R3290" t="s">
        <v>497</v>
      </c>
      <c r="S3290" t="s">
        <v>399</v>
      </c>
      <c r="T3290" s="14">
        <v>397.61059999999998</v>
      </c>
    </row>
    <row r="3291" spans="17:20" x14ac:dyDescent="0.3">
      <c r="Q3291" s="93">
        <v>46043</v>
      </c>
      <c r="R3291" t="s">
        <v>498</v>
      </c>
      <c r="S3291" t="s">
        <v>399</v>
      </c>
      <c r="T3291" s="14">
        <v>9500</v>
      </c>
    </row>
    <row r="3292" spans="17:20" x14ac:dyDescent="0.3">
      <c r="Q3292" s="93">
        <v>46043</v>
      </c>
      <c r="R3292" t="s">
        <v>494</v>
      </c>
      <c r="S3292" t="s">
        <v>399</v>
      </c>
      <c r="T3292" s="14">
        <v>400</v>
      </c>
    </row>
    <row r="3293" spans="17:20" x14ac:dyDescent="0.3">
      <c r="Q3293" s="93">
        <v>46043</v>
      </c>
      <c r="R3293" t="s">
        <v>495</v>
      </c>
      <c r="S3293" t="s">
        <v>399</v>
      </c>
      <c r="T3293" s="14">
        <v>0</v>
      </c>
    </row>
    <row r="3294" spans="17:20" x14ac:dyDescent="0.3">
      <c r="Q3294" s="93">
        <v>46043</v>
      </c>
      <c r="R3294" t="s">
        <v>493</v>
      </c>
      <c r="S3294" t="s">
        <v>399</v>
      </c>
      <c r="T3294" s="14">
        <v>0</v>
      </c>
    </row>
    <row r="3295" spans="17:20" x14ac:dyDescent="0.3">
      <c r="Q3295" s="93">
        <v>46043</v>
      </c>
      <c r="R3295" t="s">
        <v>593</v>
      </c>
      <c r="S3295" t="s">
        <v>399</v>
      </c>
      <c r="T3295" s="14">
        <v>10800</v>
      </c>
    </row>
    <row r="3296" spans="17:20" x14ac:dyDescent="0.3">
      <c r="Q3296" s="93">
        <v>46043</v>
      </c>
      <c r="R3296" t="s">
        <v>594</v>
      </c>
      <c r="S3296" t="s">
        <v>399</v>
      </c>
      <c r="T3296" s="14">
        <v>0</v>
      </c>
    </row>
    <row r="3297" spans="17:20" x14ac:dyDescent="0.3">
      <c r="Q3297" s="93">
        <v>46043</v>
      </c>
      <c r="R3297" t="s">
        <v>595</v>
      </c>
      <c r="S3297" t="s">
        <v>399</v>
      </c>
      <c r="T3297" s="14">
        <v>0</v>
      </c>
    </row>
    <row r="3298" spans="17:20" x14ac:dyDescent="0.3">
      <c r="Q3298" s="93">
        <v>46043</v>
      </c>
      <c r="R3298" t="s">
        <v>479</v>
      </c>
      <c r="S3298" t="s">
        <v>395</v>
      </c>
      <c r="T3298" s="14">
        <v>10654.700908728901</v>
      </c>
    </row>
    <row r="3299" spans="17:20" x14ac:dyDescent="0.3">
      <c r="Q3299" s="93">
        <v>46043</v>
      </c>
      <c r="R3299" t="s">
        <v>479</v>
      </c>
      <c r="S3299" t="s">
        <v>415</v>
      </c>
      <c r="T3299" s="14">
        <v>6.1047439242558204</v>
      </c>
    </row>
    <row r="3300" spans="17:20" x14ac:dyDescent="0.3">
      <c r="Q3300" s="93">
        <v>46043</v>
      </c>
      <c r="R3300" t="s">
        <v>364</v>
      </c>
      <c r="S3300" t="s">
        <v>415</v>
      </c>
      <c r="T3300" s="14">
        <v>5.6977831653179303</v>
      </c>
    </row>
    <row r="3301" spans="17:20" x14ac:dyDescent="0.3">
      <c r="Q3301" s="93">
        <v>46043</v>
      </c>
      <c r="R3301" t="s">
        <v>364</v>
      </c>
      <c r="S3301" t="s">
        <v>997</v>
      </c>
      <c r="T3301" s="14">
        <v>35719.4067</v>
      </c>
    </row>
    <row r="3302" spans="17:20" x14ac:dyDescent="0.3">
      <c r="Q3302" s="93">
        <v>46043</v>
      </c>
      <c r="R3302" t="s">
        <v>496</v>
      </c>
      <c r="S3302" t="s">
        <v>997</v>
      </c>
      <c r="T3302" s="14">
        <v>24519.4067</v>
      </c>
    </row>
    <row r="3303" spans="17:20" x14ac:dyDescent="0.3">
      <c r="Q3303" s="93">
        <v>46042</v>
      </c>
      <c r="R3303" t="s">
        <v>479</v>
      </c>
      <c r="S3303" t="s">
        <v>399</v>
      </c>
      <c r="T3303" s="14">
        <v>9897.6106</v>
      </c>
    </row>
    <row r="3304" spans="17:20" x14ac:dyDescent="0.3">
      <c r="Q3304" s="93">
        <v>46042</v>
      </c>
      <c r="R3304" t="s">
        <v>364</v>
      </c>
      <c r="S3304" t="s">
        <v>399</v>
      </c>
      <c r="T3304" s="14">
        <v>28119.4067</v>
      </c>
    </row>
    <row r="3305" spans="17:20" x14ac:dyDescent="0.3">
      <c r="Q3305" s="93">
        <v>46042</v>
      </c>
      <c r="R3305" t="s">
        <v>491</v>
      </c>
      <c r="S3305" t="s">
        <v>399</v>
      </c>
      <c r="T3305" s="14">
        <v>397.61059999999998</v>
      </c>
    </row>
    <row r="3306" spans="17:20" x14ac:dyDescent="0.3">
      <c r="Q3306" s="93">
        <v>46042</v>
      </c>
      <c r="R3306" t="s">
        <v>492</v>
      </c>
      <c r="S3306" t="s">
        <v>399</v>
      </c>
      <c r="T3306" s="14">
        <v>9500</v>
      </c>
    </row>
    <row r="3307" spans="17:20" x14ac:dyDescent="0.3">
      <c r="Q3307" s="93">
        <v>46042</v>
      </c>
      <c r="R3307" t="s">
        <v>496</v>
      </c>
      <c r="S3307" t="s">
        <v>399</v>
      </c>
      <c r="T3307" s="14">
        <v>19469.4067</v>
      </c>
    </row>
    <row r="3308" spans="17:20" x14ac:dyDescent="0.3">
      <c r="Q3308" s="93">
        <v>46042</v>
      </c>
      <c r="R3308" t="s">
        <v>497</v>
      </c>
      <c r="S3308" t="s">
        <v>399</v>
      </c>
      <c r="T3308" s="14">
        <v>397.61059999999998</v>
      </c>
    </row>
    <row r="3309" spans="17:20" x14ac:dyDescent="0.3">
      <c r="Q3309" s="93">
        <v>46042</v>
      </c>
      <c r="R3309" t="s">
        <v>498</v>
      </c>
      <c r="S3309" t="s">
        <v>399</v>
      </c>
      <c r="T3309" s="14">
        <v>9500</v>
      </c>
    </row>
    <row r="3310" spans="17:20" x14ac:dyDescent="0.3">
      <c r="Q3310" s="93">
        <v>46042</v>
      </c>
      <c r="R3310" t="s">
        <v>494</v>
      </c>
      <c r="S3310" t="s">
        <v>399</v>
      </c>
      <c r="T3310" s="14">
        <v>-2950</v>
      </c>
    </row>
    <row r="3311" spans="17:20" x14ac:dyDescent="0.3">
      <c r="Q3311" s="93">
        <v>46042</v>
      </c>
      <c r="R3311" t="s">
        <v>495</v>
      </c>
      <c r="S3311" t="s">
        <v>399</v>
      </c>
      <c r="T3311" s="14">
        <v>0</v>
      </c>
    </row>
    <row r="3312" spans="17:20" x14ac:dyDescent="0.3">
      <c r="Q3312" s="93">
        <v>46042</v>
      </c>
      <c r="R3312" t="s">
        <v>493</v>
      </c>
      <c r="S3312" t="s">
        <v>399</v>
      </c>
      <c r="T3312" s="14">
        <v>0</v>
      </c>
    </row>
    <row r="3313" spans="17:20" x14ac:dyDescent="0.3">
      <c r="Q3313" s="93">
        <v>46042</v>
      </c>
      <c r="R3313" t="s">
        <v>593</v>
      </c>
      <c r="S3313" t="s">
        <v>399</v>
      </c>
      <c r="T3313" s="14">
        <v>11600</v>
      </c>
    </row>
    <row r="3314" spans="17:20" x14ac:dyDescent="0.3">
      <c r="Q3314" s="93">
        <v>46042</v>
      </c>
      <c r="R3314" t="s">
        <v>594</v>
      </c>
      <c r="S3314" t="s">
        <v>399</v>
      </c>
      <c r="T3314" s="14">
        <v>0</v>
      </c>
    </row>
    <row r="3315" spans="17:20" x14ac:dyDescent="0.3">
      <c r="Q3315" s="93">
        <v>46042</v>
      </c>
      <c r="R3315" t="s">
        <v>595</v>
      </c>
      <c r="S3315" t="s">
        <v>399</v>
      </c>
      <c r="T3315" s="14">
        <v>0</v>
      </c>
    </row>
    <row r="3316" spans="17:20" x14ac:dyDescent="0.3">
      <c r="Q3316" s="93">
        <v>46042</v>
      </c>
      <c r="R3316" t="s">
        <v>479</v>
      </c>
      <c r="S3316" t="s">
        <v>395</v>
      </c>
      <c r="T3316" s="14">
        <v>10656.0377841589</v>
      </c>
    </row>
    <row r="3317" spans="17:20" x14ac:dyDescent="0.3">
      <c r="Q3317" s="93">
        <v>46042</v>
      </c>
      <c r="R3317" t="s">
        <v>479</v>
      </c>
      <c r="S3317" t="s">
        <v>415</v>
      </c>
      <c r="T3317" s="14">
        <v>6.1047439242558204</v>
      </c>
    </row>
    <row r="3318" spans="17:20" x14ac:dyDescent="0.3">
      <c r="Q3318" s="93">
        <v>46042</v>
      </c>
      <c r="R3318" t="s">
        <v>364</v>
      </c>
      <c r="S3318" t="s">
        <v>415</v>
      </c>
      <c r="T3318" s="14">
        <v>5.7033826840356499</v>
      </c>
    </row>
    <row r="3319" spans="17:20" x14ac:dyDescent="0.3">
      <c r="Q3319" s="93">
        <v>46042</v>
      </c>
      <c r="R3319" t="s">
        <v>364</v>
      </c>
      <c r="S3319" t="s">
        <v>997</v>
      </c>
      <c r="T3319" s="14">
        <v>35519.4067</v>
      </c>
    </row>
    <row r="3320" spans="17:20" x14ac:dyDescent="0.3">
      <c r="Q3320" s="93">
        <v>46042</v>
      </c>
      <c r="R3320" t="s">
        <v>496</v>
      </c>
      <c r="S3320" t="s">
        <v>997</v>
      </c>
      <c r="T3320" s="14">
        <v>26869.4067</v>
      </c>
    </row>
    <row r="3321" spans="17:20" x14ac:dyDescent="0.3">
      <c r="Q3321" s="93">
        <v>46041</v>
      </c>
      <c r="R3321" t="s">
        <v>479</v>
      </c>
      <c r="S3321" t="s">
        <v>399</v>
      </c>
      <c r="T3321" s="14">
        <v>9897.6106</v>
      </c>
    </row>
    <row r="3322" spans="17:20" x14ac:dyDescent="0.3">
      <c r="Q3322" s="93">
        <v>46041</v>
      </c>
      <c r="R3322" t="s">
        <v>364</v>
      </c>
      <c r="S3322" t="s">
        <v>399</v>
      </c>
      <c r="T3322" s="14">
        <v>29569.4067</v>
      </c>
    </row>
    <row r="3323" spans="17:20" x14ac:dyDescent="0.3">
      <c r="Q3323" s="93">
        <v>46041</v>
      </c>
      <c r="R3323" t="s">
        <v>491</v>
      </c>
      <c r="S3323" t="s">
        <v>399</v>
      </c>
      <c r="T3323" s="14">
        <v>397.61059999999998</v>
      </c>
    </row>
    <row r="3324" spans="17:20" x14ac:dyDescent="0.3">
      <c r="Q3324" s="93">
        <v>46041</v>
      </c>
      <c r="R3324" t="s">
        <v>492</v>
      </c>
      <c r="S3324" t="s">
        <v>399</v>
      </c>
      <c r="T3324" s="14">
        <v>9500</v>
      </c>
    </row>
    <row r="3325" spans="17:20" x14ac:dyDescent="0.3">
      <c r="Q3325" s="93">
        <v>46041</v>
      </c>
      <c r="R3325" t="s">
        <v>496</v>
      </c>
      <c r="S3325" t="s">
        <v>399</v>
      </c>
      <c r="T3325" s="14">
        <v>18969.4067</v>
      </c>
    </row>
    <row r="3326" spans="17:20" x14ac:dyDescent="0.3">
      <c r="Q3326" s="93">
        <v>46041</v>
      </c>
      <c r="R3326" t="s">
        <v>497</v>
      </c>
      <c r="S3326" t="s">
        <v>399</v>
      </c>
      <c r="T3326" s="14">
        <v>397.61059999999998</v>
      </c>
    </row>
    <row r="3327" spans="17:20" x14ac:dyDescent="0.3">
      <c r="Q3327" s="93">
        <v>46041</v>
      </c>
      <c r="R3327" t="s">
        <v>498</v>
      </c>
      <c r="S3327" t="s">
        <v>399</v>
      </c>
      <c r="T3327" s="14">
        <v>9500</v>
      </c>
    </row>
    <row r="3328" spans="17:20" x14ac:dyDescent="0.3">
      <c r="Q3328" s="93">
        <v>46041</v>
      </c>
      <c r="R3328" t="s">
        <v>494</v>
      </c>
      <c r="S3328" t="s">
        <v>399</v>
      </c>
      <c r="T3328" s="14">
        <v>-1000</v>
      </c>
    </row>
    <row r="3329" spans="17:20" x14ac:dyDescent="0.3">
      <c r="Q3329" s="93">
        <v>46041</v>
      </c>
      <c r="R3329" t="s">
        <v>495</v>
      </c>
      <c r="S3329" t="s">
        <v>399</v>
      </c>
      <c r="T3329" s="14">
        <v>0</v>
      </c>
    </row>
    <row r="3330" spans="17:20" x14ac:dyDescent="0.3">
      <c r="Q3330" s="93">
        <v>46041</v>
      </c>
      <c r="R3330" t="s">
        <v>493</v>
      </c>
      <c r="S3330" t="s">
        <v>399</v>
      </c>
      <c r="T3330" s="14">
        <v>0</v>
      </c>
    </row>
    <row r="3331" spans="17:20" x14ac:dyDescent="0.3">
      <c r="Q3331" s="93">
        <v>46041</v>
      </c>
      <c r="R3331" t="s">
        <v>593</v>
      </c>
      <c r="S3331" t="s">
        <v>399</v>
      </c>
      <c r="T3331" s="14">
        <v>11600</v>
      </c>
    </row>
    <row r="3332" spans="17:20" x14ac:dyDescent="0.3">
      <c r="Q3332" s="93">
        <v>46041</v>
      </c>
      <c r="R3332" t="s">
        <v>594</v>
      </c>
      <c r="S3332" t="s">
        <v>399</v>
      </c>
      <c r="T3332" s="14">
        <v>0</v>
      </c>
    </row>
    <row r="3333" spans="17:20" x14ac:dyDescent="0.3">
      <c r="Q3333" s="93">
        <v>46041</v>
      </c>
      <c r="R3333" t="s">
        <v>595</v>
      </c>
      <c r="S3333" t="s">
        <v>399</v>
      </c>
      <c r="T3333" s="14">
        <v>0</v>
      </c>
    </row>
    <row r="3334" spans="17:20" x14ac:dyDescent="0.3">
      <c r="Q3334" s="93">
        <v>46041</v>
      </c>
      <c r="R3334" t="s">
        <v>479</v>
      </c>
      <c r="S3334" t="s">
        <v>395</v>
      </c>
      <c r="T3334" s="14">
        <v>10650.9412250197</v>
      </c>
    </row>
    <row r="3335" spans="17:20" x14ac:dyDescent="0.3">
      <c r="Q3335" s="93">
        <v>46041</v>
      </c>
      <c r="R3335" t="s">
        <v>479</v>
      </c>
      <c r="S3335" t="s">
        <v>415</v>
      </c>
      <c r="T3335" s="14">
        <v>6.1047439242558204</v>
      </c>
    </row>
    <row r="3336" spans="17:20" x14ac:dyDescent="0.3">
      <c r="Q3336" s="93">
        <v>46041</v>
      </c>
      <c r="R3336" t="s">
        <v>364</v>
      </c>
      <c r="S3336" t="s">
        <v>415</v>
      </c>
      <c r="T3336" s="14">
        <v>5.6879942302369004</v>
      </c>
    </row>
    <row r="3337" spans="17:20" x14ac:dyDescent="0.3">
      <c r="Q3337" s="93">
        <v>46041</v>
      </c>
      <c r="R3337" t="s">
        <v>364</v>
      </c>
      <c r="S3337" t="s">
        <v>997</v>
      </c>
      <c r="T3337" s="14">
        <v>37469.4067</v>
      </c>
    </row>
    <row r="3338" spans="17:20" x14ac:dyDescent="0.3">
      <c r="Q3338" s="93">
        <v>46041</v>
      </c>
      <c r="R3338" t="s">
        <v>496</v>
      </c>
      <c r="S3338" t="s">
        <v>997</v>
      </c>
      <c r="T3338" s="14">
        <v>26869.4067</v>
      </c>
    </row>
    <row r="3339" spans="17:20" x14ac:dyDescent="0.3">
      <c r="Q3339" s="93">
        <v>46038</v>
      </c>
      <c r="R3339" t="s">
        <v>479</v>
      </c>
      <c r="S3339" t="s">
        <v>399</v>
      </c>
      <c r="T3339" s="14">
        <v>9897.6106</v>
      </c>
    </row>
    <row r="3340" spans="17:20" x14ac:dyDescent="0.3">
      <c r="Q3340" s="93">
        <v>46038</v>
      </c>
      <c r="R3340" t="s">
        <v>364</v>
      </c>
      <c r="S3340" t="s">
        <v>399</v>
      </c>
      <c r="T3340" s="14">
        <v>28869.4067</v>
      </c>
    </row>
    <row r="3341" spans="17:20" x14ac:dyDescent="0.3">
      <c r="Q3341" s="93">
        <v>46038</v>
      </c>
      <c r="R3341" t="s">
        <v>491</v>
      </c>
      <c r="S3341" t="s">
        <v>399</v>
      </c>
      <c r="T3341" s="14">
        <v>397.61059999999998</v>
      </c>
    </row>
    <row r="3342" spans="17:20" x14ac:dyDescent="0.3">
      <c r="Q3342" s="93">
        <v>46038</v>
      </c>
      <c r="R3342" t="s">
        <v>492</v>
      </c>
      <c r="S3342" t="s">
        <v>399</v>
      </c>
      <c r="T3342" s="14">
        <v>9500</v>
      </c>
    </row>
    <row r="3343" spans="17:20" x14ac:dyDescent="0.3">
      <c r="Q3343" s="93">
        <v>46038</v>
      </c>
      <c r="R3343" t="s">
        <v>496</v>
      </c>
      <c r="S3343" t="s">
        <v>399</v>
      </c>
      <c r="T3343" s="14">
        <v>20969.4067</v>
      </c>
    </row>
    <row r="3344" spans="17:20" x14ac:dyDescent="0.3">
      <c r="Q3344" s="93">
        <v>46038</v>
      </c>
      <c r="R3344" t="s">
        <v>497</v>
      </c>
      <c r="S3344" t="s">
        <v>399</v>
      </c>
      <c r="T3344" s="14">
        <v>397.61059999999998</v>
      </c>
    </row>
    <row r="3345" spans="17:20" x14ac:dyDescent="0.3">
      <c r="Q3345" s="93">
        <v>46038</v>
      </c>
      <c r="R3345" t="s">
        <v>498</v>
      </c>
      <c r="S3345" t="s">
        <v>399</v>
      </c>
      <c r="T3345" s="14">
        <v>9500</v>
      </c>
    </row>
    <row r="3346" spans="17:20" x14ac:dyDescent="0.3">
      <c r="Q3346" s="93">
        <v>46038</v>
      </c>
      <c r="R3346" t="s">
        <v>494</v>
      </c>
      <c r="S3346" t="s">
        <v>399</v>
      </c>
      <c r="T3346" s="14">
        <v>-3700</v>
      </c>
    </row>
    <row r="3347" spans="17:20" x14ac:dyDescent="0.3">
      <c r="Q3347" s="93">
        <v>46038</v>
      </c>
      <c r="R3347" t="s">
        <v>495</v>
      </c>
      <c r="S3347" t="s">
        <v>399</v>
      </c>
      <c r="T3347" s="14">
        <v>0</v>
      </c>
    </row>
    <row r="3348" spans="17:20" x14ac:dyDescent="0.3">
      <c r="Q3348" s="93">
        <v>46038</v>
      </c>
      <c r="R3348" t="s">
        <v>493</v>
      </c>
      <c r="S3348" t="s">
        <v>399</v>
      </c>
      <c r="T3348" s="14">
        <v>0</v>
      </c>
    </row>
    <row r="3349" spans="17:20" x14ac:dyDescent="0.3">
      <c r="Q3349" s="93">
        <v>46038</v>
      </c>
      <c r="R3349" t="s">
        <v>593</v>
      </c>
      <c r="S3349" t="s">
        <v>399</v>
      </c>
      <c r="T3349" s="14">
        <v>11600</v>
      </c>
    </row>
    <row r="3350" spans="17:20" x14ac:dyDescent="0.3">
      <c r="Q3350" s="93">
        <v>46038</v>
      </c>
      <c r="R3350" t="s">
        <v>594</v>
      </c>
      <c r="S3350" t="s">
        <v>399</v>
      </c>
      <c r="T3350" s="14">
        <v>0</v>
      </c>
    </row>
    <row r="3351" spans="17:20" x14ac:dyDescent="0.3">
      <c r="Q3351" s="93">
        <v>46038</v>
      </c>
      <c r="R3351" t="s">
        <v>595</v>
      </c>
      <c r="S3351" t="s">
        <v>399</v>
      </c>
      <c r="T3351" s="14">
        <v>0</v>
      </c>
    </row>
    <row r="3352" spans="17:20" x14ac:dyDescent="0.3">
      <c r="Q3352" s="93">
        <v>46038</v>
      </c>
      <c r="R3352" t="s">
        <v>479</v>
      </c>
      <c r="S3352" t="s">
        <v>395</v>
      </c>
      <c r="T3352" s="14">
        <v>10661.707610391501</v>
      </c>
    </row>
    <row r="3353" spans="17:20" x14ac:dyDescent="0.3">
      <c r="Q3353" s="93">
        <v>46038</v>
      </c>
      <c r="R3353" t="s">
        <v>479</v>
      </c>
      <c r="S3353" t="s">
        <v>415</v>
      </c>
      <c r="T3353" s="14">
        <v>6.1047439242558204</v>
      </c>
    </row>
    <row r="3354" spans="17:20" x14ac:dyDescent="0.3">
      <c r="Q3354" s="93">
        <v>46038</v>
      </c>
      <c r="R3354" t="s">
        <v>364</v>
      </c>
      <c r="S3354" t="s">
        <v>415</v>
      </c>
      <c r="T3354" s="14">
        <v>5.6953806959305702</v>
      </c>
    </row>
    <row r="3355" spans="17:20" x14ac:dyDescent="0.3">
      <c r="Q3355" s="93">
        <v>46038</v>
      </c>
      <c r="R3355" t="s">
        <v>364</v>
      </c>
      <c r="S3355" t="s">
        <v>997</v>
      </c>
      <c r="T3355" s="14">
        <v>36769.4067</v>
      </c>
    </row>
    <row r="3356" spans="17:20" x14ac:dyDescent="0.3">
      <c r="Q3356" s="93">
        <v>46038</v>
      </c>
      <c r="R3356" t="s">
        <v>496</v>
      </c>
      <c r="S3356" t="s">
        <v>997</v>
      </c>
      <c r="T3356" s="14">
        <v>28869.4067</v>
      </c>
    </row>
    <row r="3357" spans="17:20" x14ac:dyDescent="0.3">
      <c r="Q3357" s="93">
        <v>46037</v>
      </c>
      <c r="R3357" t="s">
        <v>479</v>
      </c>
      <c r="S3357" t="s">
        <v>399</v>
      </c>
      <c r="T3357" s="14">
        <v>9897.6106</v>
      </c>
    </row>
    <row r="3358" spans="17:20" x14ac:dyDescent="0.3">
      <c r="Q3358" s="93">
        <v>46037</v>
      </c>
      <c r="R3358" t="s">
        <v>364</v>
      </c>
      <c r="S3358" t="s">
        <v>399</v>
      </c>
      <c r="T3358" s="14">
        <v>28069.4067</v>
      </c>
    </row>
    <row r="3359" spans="17:20" x14ac:dyDescent="0.3">
      <c r="Q3359" s="93">
        <v>46037</v>
      </c>
      <c r="R3359" t="s">
        <v>491</v>
      </c>
      <c r="S3359" t="s">
        <v>399</v>
      </c>
      <c r="T3359" s="14">
        <v>397.61059999999998</v>
      </c>
    </row>
    <row r="3360" spans="17:20" x14ac:dyDescent="0.3">
      <c r="Q3360" s="93">
        <v>46037</v>
      </c>
      <c r="R3360" t="s">
        <v>492</v>
      </c>
      <c r="S3360" t="s">
        <v>399</v>
      </c>
      <c r="T3360" s="14">
        <v>9500</v>
      </c>
    </row>
    <row r="3361" spans="17:20" x14ac:dyDescent="0.3">
      <c r="Q3361" s="93">
        <v>46037</v>
      </c>
      <c r="R3361" t="s">
        <v>496</v>
      </c>
      <c r="S3361" t="s">
        <v>399</v>
      </c>
      <c r="T3361" s="14">
        <v>21939.4067</v>
      </c>
    </row>
    <row r="3362" spans="17:20" x14ac:dyDescent="0.3">
      <c r="Q3362" s="93">
        <v>46037</v>
      </c>
      <c r="R3362" t="s">
        <v>497</v>
      </c>
      <c r="S3362" t="s">
        <v>399</v>
      </c>
      <c r="T3362" s="14">
        <v>397.61059999999998</v>
      </c>
    </row>
    <row r="3363" spans="17:20" x14ac:dyDescent="0.3">
      <c r="Q3363" s="93">
        <v>46037</v>
      </c>
      <c r="R3363" t="s">
        <v>498</v>
      </c>
      <c r="S3363" t="s">
        <v>399</v>
      </c>
      <c r="T3363" s="14">
        <v>9500</v>
      </c>
    </row>
    <row r="3364" spans="17:20" x14ac:dyDescent="0.3">
      <c r="Q3364" s="93">
        <v>46037</v>
      </c>
      <c r="R3364" t="s">
        <v>494</v>
      </c>
      <c r="S3364" t="s">
        <v>399</v>
      </c>
      <c r="T3364" s="14">
        <v>-2300</v>
      </c>
    </row>
    <row r="3365" spans="17:20" x14ac:dyDescent="0.3">
      <c r="Q3365" s="93">
        <v>46037</v>
      </c>
      <c r="R3365" t="s">
        <v>495</v>
      </c>
      <c r="S3365" t="s">
        <v>399</v>
      </c>
      <c r="T3365" s="14">
        <v>0</v>
      </c>
    </row>
    <row r="3366" spans="17:20" x14ac:dyDescent="0.3">
      <c r="Q3366" s="93">
        <v>46037</v>
      </c>
      <c r="R3366" t="s">
        <v>493</v>
      </c>
      <c r="S3366" t="s">
        <v>399</v>
      </c>
      <c r="T3366" s="14">
        <v>0</v>
      </c>
    </row>
    <row r="3367" spans="17:20" x14ac:dyDescent="0.3">
      <c r="Q3367" s="93">
        <v>46037</v>
      </c>
      <c r="R3367" t="s">
        <v>593</v>
      </c>
      <c r="S3367" t="s">
        <v>399</v>
      </c>
      <c r="T3367" s="14">
        <v>8430</v>
      </c>
    </row>
    <row r="3368" spans="17:20" x14ac:dyDescent="0.3">
      <c r="Q3368" s="93">
        <v>46037</v>
      </c>
      <c r="R3368" t="s">
        <v>594</v>
      </c>
      <c r="S3368" t="s">
        <v>399</v>
      </c>
      <c r="T3368" s="14">
        <v>0</v>
      </c>
    </row>
    <row r="3369" spans="17:20" x14ac:dyDescent="0.3">
      <c r="Q3369" s="93">
        <v>46037</v>
      </c>
      <c r="R3369" t="s">
        <v>595</v>
      </c>
      <c r="S3369" t="s">
        <v>399</v>
      </c>
      <c r="T3369" s="14">
        <v>0</v>
      </c>
    </row>
    <row r="3370" spans="17:20" x14ac:dyDescent="0.3">
      <c r="Q3370" s="93">
        <v>46037</v>
      </c>
      <c r="R3370" t="s">
        <v>479</v>
      </c>
      <c r="S3370" t="s">
        <v>395</v>
      </c>
      <c r="T3370" s="14">
        <v>10657.061851833399</v>
      </c>
    </row>
    <row r="3371" spans="17:20" x14ac:dyDescent="0.3">
      <c r="Q3371" s="93">
        <v>46037</v>
      </c>
      <c r="R3371" t="s">
        <v>479</v>
      </c>
      <c r="S3371" t="s">
        <v>415</v>
      </c>
      <c r="T3371" s="14">
        <v>6.1047439242558204</v>
      </c>
    </row>
    <row r="3372" spans="17:20" x14ac:dyDescent="0.3">
      <c r="Q3372" s="93">
        <v>46037</v>
      </c>
      <c r="R3372" t="s">
        <v>364</v>
      </c>
      <c r="S3372" t="s">
        <v>415</v>
      </c>
      <c r="T3372" s="14">
        <v>5.7030623504835303</v>
      </c>
    </row>
    <row r="3373" spans="17:20" x14ac:dyDescent="0.3">
      <c r="Q3373" s="93">
        <v>46037</v>
      </c>
      <c r="R3373" t="s">
        <v>364</v>
      </c>
      <c r="S3373" t="s">
        <v>997</v>
      </c>
      <c r="T3373" s="14">
        <v>35969.4067</v>
      </c>
    </row>
    <row r="3374" spans="17:20" x14ac:dyDescent="0.3">
      <c r="Q3374" s="93">
        <v>46037</v>
      </c>
      <c r="R3374" t="s">
        <v>496</v>
      </c>
      <c r="S3374" t="s">
        <v>997</v>
      </c>
      <c r="T3374" s="14">
        <v>29839.4067</v>
      </c>
    </row>
    <row r="3375" spans="17:20" x14ac:dyDescent="0.3">
      <c r="Q3375" s="93">
        <v>46036</v>
      </c>
      <c r="R3375" t="s">
        <v>364</v>
      </c>
      <c r="S3375" t="s">
        <v>399</v>
      </c>
      <c r="T3375" s="14">
        <v>28069.4067</v>
      </c>
    </row>
    <row r="3376" spans="17:20" x14ac:dyDescent="0.3">
      <c r="Q3376" s="93">
        <v>46036</v>
      </c>
      <c r="R3376" t="s">
        <v>491</v>
      </c>
      <c r="S3376" t="s">
        <v>399</v>
      </c>
      <c r="T3376" s="14">
        <v>397.61059999999998</v>
      </c>
    </row>
    <row r="3377" spans="17:20" x14ac:dyDescent="0.3">
      <c r="Q3377" s="93">
        <v>46036</v>
      </c>
      <c r="R3377" t="s">
        <v>492</v>
      </c>
      <c r="S3377" t="s">
        <v>399</v>
      </c>
      <c r="T3377" s="14">
        <v>9500</v>
      </c>
    </row>
    <row r="3378" spans="17:20" x14ac:dyDescent="0.3">
      <c r="Q3378" s="93">
        <v>46036</v>
      </c>
      <c r="R3378" t="s">
        <v>496</v>
      </c>
      <c r="S3378" t="s">
        <v>399</v>
      </c>
      <c r="T3378" s="14">
        <v>21939.4067</v>
      </c>
    </row>
    <row r="3379" spans="17:20" x14ac:dyDescent="0.3">
      <c r="Q3379" s="93">
        <v>46036</v>
      </c>
      <c r="R3379" t="s">
        <v>497</v>
      </c>
      <c r="S3379" t="s">
        <v>399</v>
      </c>
      <c r="T3379" s="14">
        <v>397.61059999999998</v>
      </c>
    </row>
    <row r="3380" spans="17:20" x14ac:dyDescent="0.3">
      <c r="Q3380" s="93">
        <v>46036</v>
      </c>
      <c r="R3380" t="s">
        <v>498</v>
      </c>
      <c r="S3380" t="s">
        <v>399</v>
      </c>
      <c r="T3380" s="14">
        <v>9500</v>
      </c>
    </row>
    <row r="3381" spans="17:20" x14ac:dyDescent="0.3">
      <c r="Q3381" s="93">
        <v>46036</v>
      </c>
      <c r="R3381" t="s">
        <v>494</v>
      </c>
      <c r="S3381" t="s">
        <v>399</v>
      </c>
      <c r="T3381" s="14">
        <v>-1800</v>
      </c>
    </row>
    <row r="3382" spans="17:20" x14ac:dyDescent="0.3">
      <c r="Q3382" s="93">
        <v>46036</v>
      </c>
      <c r="R3382" t="s">
        <v>495</v>
      </c>
      <c r="S3382" t="s">
        <v>399</v>
      </c>
      <c r="T3382" s="14">
        <v>0</v>
      </c>
    </row>
    <row r="3383" spans="17:20" x14ac:dyDescent="0.3">
      <c r="Q3383" s="93">
        <v>46036</v>
      </c>
      <c r="R3383" t="s">
        <v>493</v>
      </c>
      <c r="S3383" t="s">
        <v>399</v>
      </c>
      <c r="T3383" s="14">
        <v>0</v>
      </c>
    </row>
    <row r="3384" spans="17:20" x14ac:dyDescent="0.3">
      <c r="Q3384" s="93">
        <v>46036</v>
      </c>
      <c r="R3384" t="s">
        <v>593</v>
      </c>
      <c r="S3384" t="s">
        <v>399</v>
      </c>
      <c r="T3384" s="14">
        <v>7930</v>
      </c>
    </row>
    <row r="3385" spans="17:20" x14ac:dyDescent="0.3">
      <c r="Q3385" s="93">
        <v>46036</v>
      </c>
      <c r="R3385" t="s">
        <v>594</v>
      </c>
      <c r="S3385" t="s">
        <v>399</v>
      </c>
      <c r="T3385" s="14">
        <v>0</v>
      </c>
    </row>
    <row r="3386" spans="17:20" x14ac:dyDescent="0.3">
      <c r="Q3386" s="93">
        <v>46036</v>
      </c>
      <c r="R3386" t="s">
        <v>595</v>
      </c>
      <c r="S3386" t="s">
        <v>399</v>
      </c>
      <c r="T3386" s="14">
        <v>0</v>
      </c>
    </row>
    <row r="3387" spans="17:20" x14ac:dyDescent="0.3">
      <c r="Q3387" s="93">
        <v>46036</v>
      </c>
      <c r="R3387" t="s">
        <v>479</v>
      </c>
      <c r="S3387" t="s">
        <v>395</v>
      </c>
      <c r="T3387" s="14">
        <v>10661.067838647699</v>
      </c>
    </row>
    <row r="3388" spans="17:20" x14ac:dyDescent="0.3">
      <c r="Q3388" s="93">
        <v>46036</v>
      </c>
      <c r="R3388" t="s">
        <v>479</v>
      </c>
      <c r="S3388" t="s">
        <v>415</v>
      </c>
      <c r="T3388" s="14">
        <v>6.1047439242558204</v>
      </c>
    </row>
    <row r="3389" spans="17:20" x14ac:dyDescent="0.3">
      <c r="Q3389" s="93">
        <v>46036</v>
      </c>
      <c r="R3389" t="s">
        <v>364</v>
      </c>
      <c r="S3389" t="s">
        <v>415</v>
      </c>
      <c r="T3389" s="14">
        <v>5.7055644768252503</v>
      </c>
    </row>
    <row r="3390" spans="17:20" x14ac:dyDescent="0.3">
      <c r="Q3390" s="93">
        <v>46036</v>
      </c>
      <c r="R3390" t="s">
        <v>364</v>
      </c>
      <c r="S3390" t="s">
        <v>997</v>
      </c>
      <c r="T3390" s="14">
        <v>35969.4067</v>
      </c>
    </row>
    <row r="3391" spans="17:20" x14ac:dyDescent="0.3">
      <c r="Q3391" s="93">
        <v>46036</v>
      </c>
      <c r="R3391" t="s">
        <v>496</v>
      </c>
      <c r="S3391" t="s">
        <v>997</v>
      </c>
      <c r="T3391" s="14">
        <v>29839.4067</v>
      </c>
    </row>
    <row r="3392" spans="17:20" x14ac:dyDescent="0.3">
      <c r="Q3392" s="93">
        <v>46036</v>
      </c>
      <c r="R3392" t="s">
        <v>479</v>
      </c>
      <c r="S3392" t="s">
        <v>399</v>
      </c>
      <c r="T3392" s="14">
        <v>9897.6106</v>
      </c>
    </row>
    <row r="3393" spans="17:20" x14ac:dyDescent="0.3">
      <c r="Q3393" s="93">
        <v>46035</v>
      </c>
      <c r="R3393" t="s">
        <v>479</v>
      </c>
      <c r="S3393" t="s">
        <v>399</v>
      </c>
      <c r="T3393" s="14">
        <v>9897.6106</v>
      </c>
    </row>
    <row r="3394" spans="17:20" x14ac:dyDescent="0.3">
      <c r="Q3394" s="93">
        <v>46035</v>
      </c>
      <c r="R3394" t="s">
        <v>364</v>
      </c>
      <c r="S3394" t="s">
        <v>399</v>
      </c>
      <c r="T3394" s="14">
        <v>27369.4067</v>
      </c>
    </row>
    <row r="3395" spans="17:20" x14ac:dyDescent="0.3">
      <c r="Q3395" s="93">
        <v>46035</v>
      </c>
      <c r="R3395" t="s">
        <v>491</v>
      </c>
      <c r="S3395" t="s">
        <v>399</v>
      </c>
      <c r="T3395" s="14">
        <v>397.61059999999998</v>
      </c>
    </row>
    <row r="3396" spans="17:20" x14ac:dyDescent="0.3">
      <c r="Q3396" s="93">
        <v>46035</v>
      </c>
      <c r="R3396" t="s">
        <v>492</v>
      </c>
      <c r="S3396" t="s">
        <v>399</v>
      </c>
      <c r="T3396" s="14">
        <v>9500</v>
      </c>
    </row>
    <row r="3397" spans="17:20" x14ac:dyDescent="0.3">
      <c r="Q3397" s="93">
        <v>46035</v>
      </c>
      <c r="R3397" t="s">
        <v>496</v>
      </c>
      <c r="S3397" t="s">
        <v>399</v>
      </c>
      <c r="T3397" s="14">
        <v>23939.4067</v>
      </c>
    </row>
    <row r="3398" spans="17:20" x14ac:dyDescent="0.3">
      <c r="Q3398" s="93">
        <v>46035</v>
      </c>
      <c r="R3398" t="s">
        <v>497</v>
      </c>
      <c r="S3398" t="s">
        <v>399</v>
      </c>
      <c r="T3398" s="14">
        <v>397.61059999999998</v>
      </c>
    </row>
    <row r="3399" spans="17:20" x14ac:dyDescent="0.3">
      <c r="Q3399" s="93">
        <v>46035</v>
      </c>
      <c r="R3399" t="s">
        <v>498</v>
      </c>
      <c r="S3399" t="s">
        <v>399</v>
      </c>
      <c r="T3399" s="14">
        <v>9500</v>
      </c>
    </row>
    <row r="3400" spans="17:20" x14ac:dyDescent="0.3">
      <c r="Q3400" s="93">
        <v>46035</v>
      </c>
      <c r="R3400" t="s">
        <v>494</v>
      </c>
      <c r="S3400" t="s">
        <v>399</v>
      </c>
      <c r="T3400" s="14">
        <v>-1000</v>
      </c>
    </row>
    <row r="3401" spans="17:20" x14ac:dyDescent="0.3">
      <c r="Q3401" s="93">
        <v>46035</v>
      </c>
      <c r="R3401" t="s">
        <v>495</v>
      </c>
      <c r="S3401" t="s">
        <v>399</v>
      </c>
      <c r="T3401" s="14">
        <v>0</v>
      </c>
    </row>
    <row r="3402" spans="17:20" x14ac:dyDescent="0.3">
      <c r="Q3402" s="93">
        <v>46035</v>
      </c>
      <c r="R3402" t="s">
        <v>493</v>
      </c>
      <c r="S3402" t="s">
        <v>399</v>
      </c>
      <c r="T3402" s="14">
        <v>0</v>
      </c>
    </row>
    <row r="3403" spans="17:20" x14ac:dyDescent="0.3">
      <c r="Q3403" s="93">
        <v>46035</v>
      </c>
      <c r="R3403" t="s">
        <v>593</v>
      </c>
      <c r="S3403" t="s">
        <v>399</v>
      </c>
      <c r="T3403" s="14">
        <v>4430</v>
      </c>
    </row>
    <row r="3404" spans="17:20" x14ac:dyDescent="0.3">
      <c r="Q3404" s="93">
        <v>46035</v>
      </c>
      <c r="R3404" t="s">
        <v>594</v>
      </c>
      <c r="S3404" t="s">
        <v>399</v>
      </c>
      <c r="T3404" s="14">
        <v>0</v>
      </c>
    </row>
    <row r="3405" spans="17:20" x14ac:dyDescent="0.3">
      <c r="Q3405" s="93">
        <v>46035</v>
      </c>
      <c r="R3405" t="s">
        <v>595</v>
      </c>
      <c r="S3405" t="s">
        <v>399</v>
      </c>
      <c r="T3405" s="14">
        <v>0</v>
      </c>
    </row>
    <row r="3406" spans="17:20" x14ac:dyDescent="0.3">
      <c r="Q3406" s="93">
        <v>46035</v>
      </c>
      <c r="R3406" t="s">
        <v>479</v>
      </c>
      <c r="S3406" t="s">
        <v>395</v>
      </c>
      <c r="T3406" s="14">
        <v>10669.3631627044</v>
      </c>
    </row>
    <row r="3407" spans="17:20" x14ac:dyDescent="0.3">
      <c r="Q3407" s="93">
        <v>46035</v>
      </c>
      <c r="R3407" t="s">
        <v>479</v>
      </c>
      <c r="S3407" t="s">
        <v>415</v>
      </c>
      <c r="T3407" s="14">
        <v>6.1047439242558204</v>
      </c>
    </row>
    <row r="3408" spans="17:20" x14ac:dyDescent="0.3">
      <c r="Q3408" s="93">
        <v>46035</v>
      </c>
      <c r="R3408" t="s">
        <v>364</v>
      </c>
      <c r="S3408" t="s">
        <v>415</v>
      </c>
      <c r="T3408" s="14">
        <v>5.7099278939670999</v>
      </c>
    </row>
    <row r="3409" spans="17:20" x14ac:dyDescent="0.3">
      <c r="Q3409" s="93">
        <v>46035</v>
      </c>
      <c r="R3409" t="s">
        <v>364</v>
      </c>
      <c r="S3409" t="s">
        <v>997</v>
      </c>
      <c r="T3409" s="14">
        <v>35269.4067</v>
      </c>
    </row>
    <row r="3410" spans="17:20" x14ac:dyDescent="0.3">
      <c r="Q3410" s="93">
        <v>46035</v>
      </c>
      <c r="R3410" t="s">
        <v>496</v>
      </c>
      <c r="S3410" t="s">
        <v>997</v>
      </c>
      <c r="T3410" s="14">
        <v>31839.4067</v>
      </c>
    </row>
    <row r="3411" spans="17:20" x14ac:dyDescent="0.3">
      <c r="Q3411" s="93">
        <v>46034</v>
      </c>
      <c r="R3411" t="s">
        <v>479</v>
      </c>
      <c r="S3411" t="s">
        <v>399</v>
      </c>
      <c r="T3411" s="14">
        <v>9897.6106</v>
      </c>
    </row>
    <row r="3412" spans="17:20" x14ac:dyDescent="0.3">
      <c r="Q3412" s="93">
        <v>46034</v>
      </c>
      <c r="R3412" t="s">
        <v>364</v>
      </c>
      <c r="S3412" t="s">
        <v>399</v>
      </c>
      <c r="T3412" s="14">
        <v>25469.4067</v>
      </c>
    </row>
    <row r="3413" spans="17:20" x14ac:dyDescent="0.3">
      <c r="Q3413" s="93">
        <v>46034</v>
      </c>
      <c r="R3413" t="s">
        <v>491</v>
      </c>
      <c r="S3413" t="s">
        <v>399</v>
      </c>
      <c r="T3413" s="14">
        <v>397.61059999999998</v>
      </c>
    </row>
    <row r="3414" spans="17:20" x14ac:dyDescent="0.3">
      <c r="Q3414" s="93">
        <v>46034</v>
      </c>
      <c r="R3414" t="s">
        <v>492</v>
      </c>
      <c r="S3414" t="s">
        <v>399</v>
      </c>
      <c r="T3414" s="14">
        <v>9500</v>
      </c>
    </row>
    <row r="3415" spans="17:20" x14ac:dyDescent="0.3">
      <c r="Q3415" s="93">
        <v>46034</v>
      </c>
      <c r="R3415" t="s">
        <v>496</v>
      </c>
      <c r="S3415" t="s">
        <v>399</v>
      </c>
      <c r="T3415" s="14">
        <v>22639.4067</v>
      </c>
    </row>
    <row r="3416" spans="17:20" x14ac:dyDescent="0.3">
      <c r="Q3416" s="93">
        <v>46034</v>
      </c>
      <c r="R3416" t="s">
        <v>497</v>
      </c>
      <c r="S3416" t="s">
        <v>399</v>
      </c>
      <c r="T3416" s="14">
        <v>397.61059999999998</v>
      </c>
    </row>
    <row r="3417" spans="17:20" x14ac:dyDescent="0.3">
      <c r="Q3417" s="93">
        <v>46034</v>
      </c>
      <c r="R3417" t="s">
        <v>498</v>
      </c>
      <c r="S3417" t="s">
        <v>399</v>
      </c>
      <c r="T3417" s="14">
        <v>9500</v>
      </c>
    </row>
    <row r="3418" spans="17:20" x14ac:dyDescent="0.3">
      <c r="Q3418" s="93">
        <v>46034</v>
      </c>
      <c r="R3418" t="s">
        <v>494</v>
      </c>
      <c r="S3418" t="s">
        <v>399</v>
      </c>
      <c r="T3418" s="14">
        <v>400</v>
      </c>
    </row>
    <row r="3419" spans="17:20" x14ac:dyDescent="0.3">
      <c r="Q3419" s="93">
        <v>46034</v>
      </c>
      <c r="R3419" t="s">
        <v>495</v>
      </c>
      <c r="S3419" t="s">
        <v>399</v>
      </c>
      <c r="T3419" s="14">
        <v>0</v>
      </c>
    </row>
    <row r="3420" spans="17:20" x14ac:dyDescent="0.3">
      <c r="Q3420" s="93">
        <v>46034</v>
      </c>
      <c r="R3420" t="s">
        <v>493</v>
      </c>
      <c r="S3420" t="s">
        <v>399</v>
      </c>
      <c r="T3420" s="14">
        <v>0</v>
      </c>
    </row>
    <row r="3421" spans="17:20" x14ac:dyDescent="0.3">
      <c r="Q3421" s="93">
        <v>46034</v>
      </c>
      <c r="R3421" t="s">
        <v>593</v>
      </c>
      <c r="S3421" t="s">
        <v>399</v>
      </c>
      <c r="T3421" s="14">
        <v>2430</v>
      </c>
    </row>
    <row r="3422" spans="17:20" x14ac:dyDescent="0.3">
      <c r="Q3422" s="93">
        <v>46034</v>
      </c>
      <c r="R3422" t="s">
        <v>594</v>
      </c>
      <c r="S3422" t="s">
        <v>399</v>
      </c>
      <c r="T3422" s="14">
        <v>0</v>
      </c>
    </row>
    <row r="3423" spans="17:20" x14ac:dyDescent="0.3">
      <c r="Q3423" s="93">
        <v>46034</v>
      </c>
      <c r="R3423" t="s">
        <v>595</v>
      </c>
      <c r="S3423" t="s">
        <v>399</v>
      </c>
      <c r="T3423" s="14">
        <v>0</v>
      </c>
    </row>
    <row r="3424" spans="17:20" x14ac:dyDescent="0.3">
      <c r="Q3424" s="93">
        <v>46034</v>
      </c>
      <c r="R3424" t="s">
        <v>479</v>
      </c>
      <c r="S3424" t="s">
        <v>395</v>
      </c>
      <c r="T3424" s="14">
        <v>10667.7075722547</v>
      </c>
    </row>
    <row r="3425" spans="17:20" x14ac:dyDescent="0.3">
      <c r="Q3425" s="93">
        <v>46034</v>
      </c>
      <c r="R3425" t="s">
        <v>479</v>
      </c>
      <c r="S3425" t="s">
        <v>415</v>
      </c>
      <c r="T3425" s="14">
        <v>6.1047439242558204</v>
      </c>
    </row>
    <row r="3426" spans="17:20" x14ac:dyDescent="0.3">
      <c r="Q3426" s="93">
        <v>46034</v>
      </c>
      <c r="R3426" t="s">
        <v>364</v>
      </c>
      <c r="S3426" t="s">
        <v>415</v>
      </c>
      <c r="T3426" s="14">
        <v>5.71918376720794</v>
      </c>
    </row>
    <row r="3427" spans="17:20" x14ac:dyDescent="0.3">
      <c r="Q3427" s="93">
        <v>46034</v>
      </c>
      <c r="R3427" t="s">
        <v>364</v>
      </c>
      <c r="S3427" t="s">
        <v>997</v>
      </c>
      <c r="T3427" s="14">
        <v>33369.4067</v>
      </c>
    </row>
    <row r="3428" spans="17:20" x14ac:dyDescent="0.3">
      <c r="Q3428" s="93">
        <v>46034</v>
      </c>
      <c r="R3428" t="s">
        <v>496</v>
      </c>
      <c r="S3428" t="s">
        <v>997</v>
      </c>
      <c r="T3428" s="14">
        <v>30539.4067</v>
      </c>
    </row>
    <row r="3429" spans="17:20" x14ac:dyDescent="0.3">
      <c r="Q3429" s="93">
        <v>46031</v>
      </c>
      <c r="R3429" t="s">
        <v>479</v>
      </c>
      <c r="S3429" t="s">
        <v>399</v>
      </c>
      <c r="T3429" s="14">
        <v>9897.6106</v>
      </c>
    </row>
    <row r="3430" spans="17:20" x14ac:dyDescent="0.3">
      <c r="Q3430" s="93">
        <v>46031</v>
      </c>
      <c r="R3430" t="s">
        <v>364</v>
      </c>
      <c r="S3430" t="s">
        <v>399</v>
      </c>
      <c r="T3430" s="14">
        <v>25010.313300000002</v>
      </c>
    </row>
    <row r="3431" spans="17:20" x14ac:dyDescent="0.3">
      <c r="Q3431" s="93">
        <v>46031</v>
      </c>
      <c r="R3431" t="s">
        <v>491</v>
      </c>
      <c r="S3431" t="s">
        <v>399</v>
      </c>
      <c r="T3431" s="14">
        <v>397.61059999999998</v>
      </c>
    </row>
    <row r="3432" spans="17:20" x14ac:dyDescent="0.3">
      <c r="Q3432" s="93">
        <v>46031</v>
      </c>
      <c r="R3432" t="s">
        <v>492</v>
      </c>
      <c r="S3432" t="s">
        <v>399</v>
      </c>
      <c r="T3432" s="14">
        <v>9500</v>
      </c>
    </row>
    <row r="3433" spans="17:20" x14ac:dyDescent="0.3">
      <c r="Q3433" s="93">
        <v>46031</v>
      </c>
      <c r="R3433" t="s">
        <v>496</v>
      </c>
      <c r="S3433" t="s">
        <v>399</v>
      </c>
      <c r="T3433" s="14">
        <v>22160.313300000002</v>
      </c>
    </row>
    <row r="3434" spans="17:20" x14ac:dyDescent="0.3">
      <c r="Q3434" s="93">
        <v>46031</v>
      </c>
      <c r="R3434" t="s">
        <v>497</v>
      </c>
      <c r="S3434" t="s">
        <v>399</v>
      </c>
      <c r="T3434" s="14">
        <v>397.61059999999998</v>
      </c>
    </row>
    <row r="3435" spans="17:20" x14ac:dyDescent="0.3">
      <c r="Q3435" s="93">
        <v>46031</v>
      </c>
      <c r="R3435" t="s">
        <v>498</v>
      </c>
      <c r="S3435" t="s">
        <v>399</v>
      </c>
      <c r="T3435" s="14">
        <v>9500</v>
      </c>
    </row>
    <row r="3436" spans="17:20" x14ac:dyDescent="0.3">
      <c r="Q3436" s="93">
        <v>46031</v>
      </c>
      <c r="R3436" t="s">
        <v>494</v>
      </c>
      <c r="S3436" t="s">
        <v>399</v>
      </c>
      <c r="T3436" s="14">
        <v>420</v>
      </c>
    </row>
    <row r="3437" spans="17:20" x14ac:dyDescent="0.3">
      <c r="Q3437" s="93">
        <v>46031</v>
      </c>
      <c r="R3437" t="s">
        <v>495</v>
      </c>
      <c r="S3437" t="s">
        <v>399</v>
      </c>
      <c r="T3437" s="14">
        <v>0</v>
      </c>
    </row>
    <row r="3438" spans="17:20" x14ac:dyDescent="0.3">
      <c r="Q3438" s="93">
        <v>46031</v>
      </c>
      <c r="R3438" t="s">
        <v>493</v>
      </c>
      <c r="S3438" t="s">
        <v>399</v>
      </c>
      <c r="T3438" s="14">
        <v>0</v>
      </c>
    </row>
    <row r="3439" spans="17:20" x14ac:dyDescent="0.3">
      <c r="Q3439" s="93">
        <v>46031</v>
      </c>
      <c r="R3439" t="s">
        <v>593</v>
      </c>
      <c r="S3439" t="s">
        <v>399</v>
      </c>
      <c r="T3439" s="14">
        <v>2430</v>
      </c>
    </row>
    <row r="3440" spans="17:20" x14ac:dyDescent="0.3">
      <c r="Q3440" s="93">
        <v>46031</v>
      </c>
      <c r="R3440" t="s">
        <v>594</v>
      </c>
      <c r="S3440" t="s">
        <v>399</v>
      </c>
      <c r="T3440" s="14">
        <v>0</v>
      </c>
    </row>
    <row r="3441" spans="17:20" x14ac:dyDescent="0.3">
      <c r="Q3441" s="93">
        <v>46031</v>
      </c>
      <c r="R3441" t="s">
        <v>595</v>
      </c>
      <c r="S3441" t="s">
        <v>399</v>
      </c>
      <c r="T3441" s="14">
        <v>0</v>
      </c>
    </row>
    <row r="3442" spans="17:20" x14ac:dyDescent="0.3">
      <c r="Q3442" s="93">
        <v>46031</v>
      </c>
      <c r="R3442" t="s">
        <v>479</v>
      </c>
      <c r="S3442" t="s">
        <v>395</v>
      </c>
      <c r="T3442" s="14">
        <v>10665.405205581899</v>
      </c>
    </row>
    <row r="3443" spans="17:20" x14ac:dyDescent="0.3">
      <c r="Q3443" s="93">
        <v>46031</v>
      </c>
      <c r="R3443" t="s">
        <v>479</v>
      </c>
      <c r="S3443" t="s">
        <v>415</v>
      </c>
      <c r="T3443" s="14">
        <v>6.1047439242558204</v>
      </c>
    </row>
    <row r="3444" spans="17:20" x14ac:dyDescent="0.3">
      <c r="Q3444" s="93">
        <v>46031</v>
      </c>
      <c r="R3444" t="s">
        <v>364</v>
      </c>
      <c r="S3444" t="s">
        <v>415</v>
      </c>
      <c r="T3444" s="14">
        <v>5.7264815561631304</v>
      </c>
    </row>
    <row r="3445" spans="17:20" x14ac:dyDescent="0.3">
      <c r="Q3445" s="93">
        <v>46031</v>
      </c>
      <c r="R3445" t="s">
        <v>364</v>
      </c>
      <c r="S3445" t="s">
        <v>997</v>
      </c>
      <c r="T3445" s="14">
        <v>32910.313300000002</v>
      </c>
    </row>
    <row r="3446" spans="17:20" x14ac:dyDescent="0.3">
      <c r="Q3446" s="93">
        <v>46031</v>
      </c>
      <c r="R3446" t="s">
        <v>496</v>
      </c>
      <c r="S3446" t="s">
        <v>997</v>
      </c>
      <c r="T3446" s="14">
        <v>30060.313300000002</v>
      </c>
    </row>
    <row r="3447" spans="17:20" x14ac:dyDescent="0.3">
      <c r="Q3447" s="93">
        <v>46030</v>
      </c>
      <c r="R3447" t="s">
        <v>364</v>
      </c>
      <c r="S3447" t="s">
        <v>399</v>
      </c>
      <c r="T3447" s="14">
        <v>25090.313300000002</v>
      </c>
    </row>
    <row r="3448" spans="17:20" x14ac:dyDescent="0.3">
      <c r="Q3448" s="93">
        <v>46030</v>
      </c>
      <c r="R3448" t="s">
        <v>491</v>
      </c>
      <c r="S3448" t="s">
        <v>399</v>
      </c>
      <c r="T3448" s="14">
        <v>397.61059999999998</v>
      </c>
    </row>
    <row r="3449" spans="17:20" x14ac:dyDescent="0.3">
      <c r="Q3449" s="93">
        <v>46030</v>
      </c>
      <c r="R3449" t="s">
        <v>492</v>
      </c>
      <c r="S3449" t="s">
        <v>399</v>
      </c>
      <c r="T3449" s="14">
        <v>9000</v>
      </c>
    </row>
    <row r="3450" spans="17:20" x14ac:dyDescent="0.3">
      <c r="Q3450" s="93">
        <v>46030</v>
      </c>
      <c r="R3450" t="s">
        <v>496</v>
      </c>
      <c r="S3450" t="s">
        <v>399</v>
      </c>
      <c r="T3450" s="14">
        <v>24590.313300000002</v>
      </c>
    </row>
    <row r="3451" spans="17:20" x14ac:dyDescent="0.3">
      <c r="Q3451" s="93">
        <v>46030</v>
      </c>
      <c r="R3451" t="s">
        <v>497</v>
      </c>
      <c r="S3451" t="s">
        <v>399</v>
      </c>
      <c r="T3451" s="14">
        <v>397.61059999999998</v>
      </c>
    </row>
    <row r="3452" spans="17:20" x14ac:dyDescent="0.3">
      <c r="Q3452" s="93">
        <v>46030</v>
      </c>
      <c r="R3452" t="s">
        <v>498</v>
      </c>
      <c r="S3452" t="s">
        <v>399</v>
      </c>
      <c r="T3452" s="14">
        <v>9000</v>
      </c>
    </row>
    <row r="3453" spans="17:20" x14ac:dyDescent="0.3">
      <c r="Q3453" s="93">
        <v>46030</v>
      </c>
      <c r="R3453" t="s">
        <v>494</v>
      </c>
      <c r="S3453" t="s">
        <v>399</v>
      </c>
      <c r="T3453" s="14">
        <v>-2330</v>
      </c>
    </row>
    <row r="3454" spans="17:20" x14ac:dyDescent="0.3">
      <c r="Q3454" s="93">
        <v>46030</v>
      </c>
      <c r="R3454" t="s">
        <v>495</v>
      </c>
      <c r="S3454" t="s">
        <v>399</v>
      </c>
      <c r="T3454" s="14">
        <v>0</v>
      </c>
    </row>
    <row r="3455" spans="17:20" x14ac:dyDescent="0.3">
      <c r="Q3455" s="93">
        <v>46030</v>
      </c>
      <c r="R3455" t="s">
        <v>493</v>
      </c>
      <c r="S3455" t="s">
        <v>399</v>
      </c>
      <c r="T3455" s="14">
        <v>0</v>
      </c>
    </row>
    <row r="3456" spans="17:20" x14ac:dyDescent="0.3">
      <c r="Q3456" s="93">
        <v>46030</v>
      </c>
      <c r="R3456" t="s">
        <v>593</v>
      </c>
      <c r="S3456" t="s">
        <v>399</v>
      </c>
      <c r="T3456" s="14">
        <v>2830</v>
      </c>
    </row>
    <row r="3457" spans="17:20" x14ac:dyDescent="0.3">
      <c r="Q3457" s="93">
        <v>46030</v>
      </c>
      <c r="R3457" t="s">
        <v>594</v>
      </c>
      <c r="S3457" t="s">
        <v>399</v>
      </c>
      <c r="T3457" s="14">
        <v>0</v>
      </c>
    </row>
    <row r="3458" spans="17:20" x14ac:dyDescent="0.3">
      <c r="Q3458" s="93">
        <v>46030</v>
      </c>
      <c r="R3458" t="s">
        <v>595</v>
      </c>
      <c r="S3458" t="s">
        <v>399</v>
      </c>
      <c r="T3458" s="14">
        <v>0</v>
      </c>
    </row>
    <row r="3459" spans="17:20" x14ac:dyDescent="0.3">
      <c r="Q3459" s="93">
        <v>46030</v>
      </c>
      <c r="R3459" t="s">
        <v>479</v>
      </c>
      <c r="S3459" t="s">
        <v>395</v>
      </c>
      <c r="T3459" s="14">
        <v>10138.365872980999</v>
      </c>
    </row>
    <row r="3460" spans="17:20" x14ac:dyDescent="0.3">
      <c r="Q3460" s="93">
        <v>46030</v>
      </c>
      <c r="R3460" t="s">
        <v>479</v>
      </c>
      <c r="S3460" t="s">
        <v>415</v>
      </c>
      <c r="T3460" s="14">
        <v>5.9719837907520903</v>
      </c>
    </row>
    <row r="3461" spans="17:20" x14ac:dyDescent="0.3">
      <c r="Q3461" s="93">
        <v>46030</v>
      </c>
      <c r="R3461" t="s">
        <v>364</v>
      </c>
      <c r="S3461" t="s">
        <v>415</v>
      </c>
      <c r="T3461" s="14">
        <v>5.7249623670594199</v>
      </c>
    </row>
    <row r="3462" spans="17:20" x14ac:dyDescent="0.3">
      <c r="Q3462" s="93">
        <v>46030</v>
      </c>
      <c r="R3462" t="s">
        <v>364</v>
      </c>
      <c r="S3462" t="s">
        <v>997</v>
      </c>
      <c r="T3462" s="14">
        <v>32990.313300000002</v>
      </c>
    </row>
    <row r="3463" spans="17:20" x14ac:dyDescent="0.3">
      <c r="Q3463" s="93">
        <v>46030</v>
      </c>
      <c r="R3463" t="s">
        <v>496</v>
      </c>
      <c r="S3463" t="s">
        <v>997</v>
      </c>
      <c r="T3463" s="14">
        <v>32490.313300000002</v>
      </c>
    </row>
    <row r="3464" spans="17:20" x14ac:dyDescent="0.3">
      <c r="Q3464" s="93">
        <v>46030</v>
      </c>
      <c r="R3464" t="s">
        <v>479</v>
      </c>
      <c r="S3464" t="s">
        <v>399</v>
      </c>
      <c r="T3464" s="14">
        <v>9397.6106</v>
      </c>
    </row>
    <row r="3465" spans="17:20" x14ac:dyDescent="0.3">
      <c r="Q3465" s="93">
        <v>46029</v>
      </c>
      <c r="R3465" t="s">
        <v>479</v>
      </c>
      <c r="S3465" t="s">
        <v>399</v>
      </c>
      <c r="T3465" s="14">
        <v>9397.6106</v>
      </c>
    </row>
    <row r="3466" spans="17:20" x14ac:dyDescent="0.3">
      <c r="Q3466" s="93">
        <v>46029</v>
      </c>
      <c r="R3466" t="s">
        <v>364</v>
      </c>
      <c r="S3466" t="s">
        <v>399</v>
      </c>
      <c r="T3466" s="14">
        <v>24290.313300000002</v>
      </c>
    </row>
    <row r="3467" spans="17:20" x14ac:dyDescent="0.3">
      <c r="Q3467" s="93">
        <v>46029</v>
      </c>
      <c r="R3467" t="s">
        <v>491</v>
      </c>
      <c r="S3467" t="s">
        <v>399</v>
      </c>
      <c r="T3467" s="14">
        <v>397.61059999999998</v>
      </c>
    </row>
    <row r="3468" spans="17:20" x14ac:dyDescent="0.3">
      <c r="Q3468" s="93">
        <v>46029</v>
      </c>
      <c r="R3468" t="s">
        <v>492</v>
      </c>
      <c r="S3468" t="s">
        <v>399</v>
      </c>
      <c r="T3468" s="14">
        <v>9000</v>
      </c>
    </row>
    <row r="3469" spans="17:20" x14ac:dyDescent="0.3">
      <c r="Q3469" s="93">
        <v>46029</v>
      </c>
      <c r="R3469" t="s">
        <v>496</v>
      </c>
      <c r="S3469" t="s">
        <v>399</v>
      </c>
      <c r="T3469" s="14">
        <v>28290.313300000002</v>
      </c>
    </row>
    <row r="3470" spans="17:20" x14ac:dyDescent="0.3">
      <c r="Q3470" s="93">
        <v>46029</v>
      </c>
      <c r="R3470" t="s">
        <v>497</v>
      </c>
      <c r="S3470" t="s">
        <v>399</v>
      </c>
      <c r="T3470" s="14">
        <v>397.61059999999998</v>
      </c>
    </row>
    <row r="3471" spans="17:20" x14ac:dyDescent="0.3">
      <c r="Q3471" s="93">
        <v>46029</v>
      </c>
      <c r="R3471" t="s">
        <v>498</v>
      </c>
      <c r="S3471" t="s">
        <v>399</v>
      </c>
      <c r="T3471" s="14">
        <v>9000</v>
      </c>
    </row>
    <row r="3472" spans="17:20" x14ac:dyDescent="0.3">
      <c r="Q3472" s="93">
        <v>46029</v>
      </c>
      <c r="R3472" t="s">
        <v>494</v>
      </c>
      <c r="S3472" t="s">
        <v>399</v>
      </c>
      <c r="T3472" s="14">
        <v>-4330</v>
      </c>
    </row>
    <row r="3473" spans="17:20" x14ac:dyDescent="0.3">
      <c r="Q3473" s="93">
        <v>46029</v>
      </c>
      <c r="R3473" t="s">
        <v>495</v>
      </c>
      <c r="S3473" t="s">
        <v>399</v>
      </c>
      <c r="T3473" s="14">
        <v>0</v>
      </c>
    </row>
    <row r="3474" spans="17:20" x14ac:dyDescent="0.3">
      <c r="Q3474" s="93">
        <v>46029</v>
      </c>
      <c r="R3474" t="s">
        <v>493</v>
      </c>
      <c r="S3474" t="s">
        <v>399</v>
      </c>
      <c r="T3474" s="14">
        <v>0</v>
      </c>
    </row>
    <row r="3475" spans="17:20" x14ac:dyDescent="0.3">
      <c r="Q3475" s="93">
        <v>46029</v>
      </c>
      <c r="R3475" t="s">
        <v>593</v>
      </c>
      <c r="S3475" t="s">
        <v>399</v>
      </c>
      <c r="T3475" s="14">
        <v>330</v>
      </c>
    </row>
    <row r="3476" spans="17:20" x14ac:dyDescent="0.3">
      <c r="Q3476" s="93">
        <v>46029</v>
      </c>
      <c r="R3476" t="s">
        <v>594</v>
      </c>
      <c r="S3476" t="s">
        <v>399</v>
      </c>
      <c r="T3476" s="14">
        <v>0</v>
      </c>
    </row>
    <row r="3477" spans="17:20" x14ac:dyDescent="0.3">
      <c r="Q3477" s="93">
        <v>46029</v>
      </c>
      <c r="R3477" t="s">
        <v>595</v>
      </c>
      <c r="S3477" t="s">
        <v>399</v>
      </c>
      <c r="T3477" s="14">
        <v>0</v>
      </c>
    </row>
    <row r="3478" spans="17:20" x14ac:dyDescent="0.3">
      <c r="Q3478" s="93">
        <v>46029</v>
      </c>
      <c r="R3478" t="s">
        <v>479</v>
      </c>
      <c r="S3478" t="s">
        <v>395</v>
      </c>
      <c r="T3478" s="14">
        <v>10158.5129710659</v>
      </c>
    </row>
    <row r="3479" spans="17:20" x14ac:dyDescent="0.3">
      <c r="Q3479" s="93">
        <v>46029</v>
      </c>
      <c r="R3479" t="s">
        <v>479</v>
      </c>
      <c r="S3479" t="s">
        <v>415</v>
      </c>
      <c r="T3479" s="14">
        <v>5.9719837907520903</v>
      </c>
    </row>
    <row r="3480" spans="17:20" x14ac:dyDescent="0.3">
      <c r="Q3480" s="93">
        <v>46029</v>
      </c>
      <c r="R3480" t="s">
        <v>364</v>
      </c>
      <c r="S3480" t="s">
        <v>415</v>
      </c>
      <c r="T3480" s="14">
        <v>5.73583426788207</v>
      </c>
    </row>
    <row r="3481" spans="17:20" x14ac:dyDescent="0.3">
      <c r="Q3481" s="93">
        <v>46029</v>
      </c>
      <c r="R3481" t="s">
        <v>364</v>
      </c>
      <c r="S3481" t="s">
        <v>997</v>
      </c>
      <c r="T3481" s="14">
        <v>32190.313300000002</v>
      </c>
    </row>
    <row r="3482" spans="17:20" x14ac:dyDescent="0.3">
      <c r="Q3482" s="93">
        <v>46029</v>
      </c>
      <c r="R3482" t="s">
        <v>496</v>
      </c>
      <c r="S3482" t="s">
        <v>997</v>
      </c>
      <c r="T3482" s="14">
        <v>36190.313300000002</v>
      </c>
    </row>
    <row r="3483" spans="17:20" x14ac:dyDescent="0.3">
      <c r="Q3483" s="93">
        <v>46028</v>
      </c>
      <c r="R3483" t="s">
        <v>479</v>
      </c>
      <c r="S3483" t="s">
        <v>399</v>
      </c>
      <c r="T3483" s="14">
        <v>9397.6106</v>
      </c>
    </row>
    <row r="3484" spans="17:20" x14ac:dyDescent="0.3">
      <c r="Q3484" s="93">
        <v>46028</v>
      </c>
      <c r="R3484" t="s">
        <v>364</v>
      </c>
      <c r="S3484" t="s">
        <v>399</v>
      </c>
      <c r="T3484" s="14">
        <v>23790.313300000002</v>
      </c>
    </row>
    <row r="3485" spans="17:20" x14ac:dyDescent="0.3">
      <c r="Q3485" s="93">
        <v>46028</v>
      </c>
      <c r="R3485" t="s">
        <v>491</v>
      </c>
      <c r="S3485" t="s">
        <v>399</v>
      </c>
      <c r="T3485" s="14">
        <v>397.61059999999998</v>
      </c>
    </row>
    <row r="3486" spans="17:20" x14ac:dyDescent="0.3">
      <c r="Q3486" s="93">
        <v>46028</v>
      </c>
      <c r="R3486" t="s">
        <v>492</v>
      </c>
      <c r="S3486" t="s">
        <v>399</v>
      </c>
      <c r="T3486" s="14">
        <v>9000</v>
      </c>
    </row>
    <row r="3487" spans="17:20" x14ac:dyDescent="0.3">
      <c r="Q3487" s="93">
        <v>46028</v>
      </c>
      <c r="R3487" t="s">
        <v>496</v>
      </c>
      <c r="S3487" t="s">
        <v>399</v>
      </c>
      <c r="T3487" s="14">
        <v>27790.313300000002</v>
      </c>
    </row>
    <row r="3488" spans="17:20" x14ac:dyDescent="0.3">
      <c r="Q3488" s="93">
        <v>46028</v>
      </c>
      <c r="R3488" t="s">
        <v>497</v>
      </c>
      <c r="S3488" t="s">
        <v>399</v>
      </c>
      <c r="T3488" s="14">
        <v>397.61059999999998</v>
      </c>
    </row>
    <row r="3489" spans="17:20" x14ac:dyDescent="0.3">
      <c r="Q3489" s="93">
        <v>46028</v>
      </c>
      <c r="R3489" t="s">
        <v>498</v>
      </c>
      <c r="S3489" t="s">
        <v>399</v>
      </c>
      <c r="T3489" s="14">
        <v>9000</v>
      </c>
    </row>
    <row r="3490" spans="17:20" x14ac:dyDescent="0.3">
      <c r="Q3490" s="93">
        <v>46028</v>
      </c>
      <c r="R3490" t="s">
        <v>494</v>
      </c>
      <c r="S3490" t="s">
        <v>399</v>
      </c>
      <c r="T3490" s="14">
        <v>-2500</v>
      </c>
    </row>
    <row r="3491" spans="17:20" x14ac:dyDescent="0.3">
      <c r="Q3491" s="93">
        <v>46028</v>
      </c>
      <c r="R3491" t="s">
        <v>495</v>
      </c>
      <c r="S3491" t="s">
        <v>399</v>
      </c>
      <c r="T3491" s="14">
        <v>0</v>
      </c>
    </row>
    <row r="3492" spans="17:20" x14ac:dyDescent="0.3">
      <c r="Q3492" s="93">
        <v>46028</v>
      </c>
      <c r="R3492" t="s">
        <v>493</v>
      </c>
      <c r="S3492" t="s">
        <v>399</v>
      </c>
      <c r="T3492" s="14">
        <v>0</v>
      </c>
    </row>
    <row r="3493" spans="17:20" x14ac:dyDescent="0.3">
      <c r="Q3493" s="93">
        <v>46028</v>
      </c>
      <c r="R3493" t="s">
        <v>593</v>
      </c>
      <c r="S3493" t="s">
        <v>399</v>
      </c>
      <c r="T3493" s="14">
        <v>-1500</v>
      </c>
    </row>
    <row r="3494" spans="17:20" x14ac:dyDescent="0.3">
      <c r="Q3494" s="93">
        <v>46028</v>
      </c>
      <c r="R3494" t="s">
        <v>594</v>
      </c>
      <c r="S3494" t="s">
        <v>399</v>
      </c>
      <c r="T3494" s="14">
        <v>0</v>
      </c>
    </row>
    <row r="3495" spans="17:20" x14ac:dyDescent="0.3">
      <c r="Q3495" s="93">
        <v>46028</v>
      </c>
      <c r="R3495" t="s">
        <v>595</v>
      </c>
      <c r="S3495" t="s">
        <v>399</v>
      </c>
      <c r="T3495" s="14">
        <v>0</v>
      </c>
    </row>
    <row r="3496" spans="17:20" x14ac:dyDescent="0.3">
      <c r="Q3496" s="93">
        <v>46028</v>
      </c>
      <c r="R3496" t="s">
        <v>479</v>
      </c>
      <c r="S3496" t="s">
        <v>395</v>
      </c>
      <c r="T3496" s="14">
        <v>10168.4163754252</v>
      </c>
    </row>
    <row r="3497" spans="17:20" x14ac:dyDescent="0.3">
      <c r="Q3497" s="93">
        <v>46028</v>
      </c>
      <c r="R3497" t="s">
        <v>479</v>
      </c>
      <c r="S3497" t="s">
        <v>415</v>
      </c>
      <c r="T3497" s="14">
        <v>5.9719837907520903</v>
      </c>
    </row>
    <row r="3498" spans="17:20" x14ac:dyDescent="0.3">
      <c r="Q3498" s="93">
        <v>46028</v>
      </c>
      <c r="R3498" t="s">
        <v>364</v>
      </c>
      <c r="S3498" t="s">
        <v>415</v>
      </c>
      <c r="T3498" s="14">
        <v>5.7206219580038002</v>
      </c>
    </row>
    <row r="3499" spans="17:20" x14ac:dyDescent="0.3">
      <c r="Q3499" s="93">
        <v>46028</v>
      </c>
      <c r="R3499" t="s">
        <v>364</v>
      </c>
      <c r="S3499" t="s">
        <v>997</v>
      </c>
      <c r="T3499" s="14">
        <v>31690.313300000002</v>
      </c>
    </row>
    <row r="3500" spans="17:20" x14ac:dyDescent="0.3">
      <c r="Q3500" s="93">
        <v>46028</v>
      </c>
      <c r="R3500" t="s">
        <v>496</v>
      </c>
      <c r="S3500" t="s">
        <v>997</v>
      </c>
      <c r="T3500" s="14">
        <v>35690.313300000002</v>
      </c>
    </row>
    <row r="3501" spans="17:20" x14ac:dyDescent="0.3">
      <c r="Q3501" s="93">
        <v>46027</v>
      </c>
      <c r="R3501" t="s">
        <v>364</v>
      </c>
      <c r="S3501" t="s">
        <v>997</v>
      </c>
      <c r="T3501" s="14">
        <v>33190.313300000002</v>
      </c>
    </row>
    <row r="3502" spans="17:20" x14ac:dyDescent="0.3">
      <c r="Q3502" s="93">
        <v>46027</v>
      </c>
      <c r="R3502" t="s">
        <v>496</v>
      </c>
      <c r="S3502" t="s">
        <v>997</v>
      </c>
      <c r="T3502" s="14">
        <v>38820.337</v>
      </c>
    </row>
    <row r="3503" spans="17:20" x14ac:dyDescent="0.3">
      <c r="Q3503" s="93">
        <v>46027</v>
      </c>
      <c r="R3503" t="s">
        <v>479</v>
      </c>
      <c r="S3503" t="s">
        <v>415</v>
      </c>
      <c r="T3503" s="14">
        <v>5.9719837907520903</v>
      </c>
    </row>
    <row r="3504" spans="17:20" x14ac:dyDescent="0.3">
      <c r="Q3504" s="93">
        <v>46027</v>
      </c>
      <c r="R3504" t="s">
        <v>364</v>
      </c>
      <c r="S3504" t="s">
        <v>415</v>
      </c>
      <c r="T3504" s="14">
        <v>5.7245106547397402</v>
      </c>
    </row>
    <row r="3505" spans="17:20" x14ac:dyDescent="0.3">
      <c r="Q3505" s="93">
        <v>46027</v>
      </c>
      <c r="R3505" t="s">
        <v>479</v>
      </c>
      <c r="S3505" t="s">
        <v>399</v>
      </c>
      <c r="T3505" s="14">
        <v>9397.6106</v>
      </c>
    </row>
    <row r="3506" spans="17:20" x14ac:dyDescent="0.3">
      <c r="Q3506" s="93">
        <v>46027</v>
      </c>
      <c r="R3506" t="s">
        <v>364</v>
      </c>
      <c r="S3506" t="s">
        <v>399</v>
      </c>
      <c r="T3506" s="14">
        <v>25290.313300000002</v>
      </c>
    </row>
    <row r="3507" spans="17:20" x14ac:dyDescent="0.3">
      <c r="Q3507" s="93">
        <v>46027</v>
      </c>
      <c r="R3507" t="s">
        <v>491</v>
      </c>
      <c r="S3507" t="s">
        <v>399</v>
      </c>
      <c r="T3507" s="14">
        <v>397.61059999999998</v>
      </c>
    </row>
    <row r="3508" spans="17:20" x14ac:dyDescent="0.3">
      <c r="Q3508" s="93">
        <v>46027</v>
      </c>
      <c r="R3508" t="s">
        <v>492</v>
      </c>
      <c r="S3508" t="s">
        <v>399</v>
      </c>
      <c r="T3508" s="14">
        <v>9000</v>
      </c>
    </row>
    <row r="3509" spans="17:20" x14ac:dyDescent="0.3">
      <c r="Q3509" s="93">
        <v>46027</v>
      </c>
      <c r="R3509" t="s">
        <v>496</v>
      </c>
      <c r="S3509" t="s">
        <v>399</v>
      </c>
      <c r="T3509" s="14">
        <v>30920.337</v>
      </c>
    </row>
    <row r="3510" spans="17:20" x14ac:dyDescent="0.3">
      <c r="Q3510" s="93">
        <v>46027</v>
      </c>
      <c r="R3510" t="s">
        <v>497</v>
      </c>
      <c r="S3510" t="s">
        <v>399</v>
      </c>
      <c r="T3510" s="14">
        <v>0</v>
      </c>
    </row>
    <row r="3511" spans="17:20" x14ac:dyDescent="0.3">
      <c r="Q3511" s="93">
        <v>46027</v>
      </c>
      <c r="R3511" t="s">
        <v>498</v>
      </c>
      <c r="S3511" t="s">
        <v>399</v>
      </c>
      <c r="T3511" s="14">
        <v>9000</v>
      </c>
    </row>
    <row r="3512" spans="17:20" x14ac:dyDescent="0.3">
      <c r="Q3512" s="93">
        <v>46027</v>
      </c>
      <c r="R3512" t="s">
        <v>494</v>
      </c>
      <c r="S3512" t="s">
        <v>399</v>
      </c>
      <c r="T3512" s="14">
        <v>-3130.0237000000002</v>
      </c>
    </row>
    <row r="3513" spans="17:20" x14ac:dyDescent="0.3">
      <c r="Q3513" s="93">
        <v>46027</v>
      </c>
      <c r="R3513" t="s">
        <v>495</v>
      </c>
      <c r="S3513" t="s">
        <v>399</v>
      </c>
      <c r="T3513" s="14">
        <v>397.61059999999998</v>
      </c>
    </row>
    <row r="3514" spans="17:20" x14ac:dyDescent="0.3">
      <c r="Q3514" s="93">
        <v>46027</v>
      </c>
      <c r="R3514" t="s">
        <v>493</v>
      </c>
      <c r="S3514" t="s">
        <v>399</v>
      </c>
      <c r="T3514" s="14">
        <v>0</v>
      </c>
    </row>
    <row r="3515" spans="17:20" x14ac:dyDescent="0.3">
      <c r="Q3515" s="93">
        <v>46027</v>
      </c>
      <c r="R3515" t="s">
        <v>593</v>
      </c>
      <c r="S3515" t="s">
        <v>399</v>
      </c>
      <c r="T3515" s="14">
        <v>-2500</v>
      </c>
    </row>
    <row r="3516" spans="17:20" x14ac:dyDescent="0.3">
      <c r="Q3516" s="93">
        <v>46027</v>
      </c>
      <c r="R3516" t="s">
        <v>594</v>
      </c>
      <c r="S3516" t="s">
        <v>399</v>
      </c>
      <c r="T3516" s="14">
        <v>0</v>
      </c>
    </row>
    <row r="3517" spans="17:20" x14ac:dyDescent="0.3">
      <c r="Q3517" s="93">
        <v>46027</v>
      </c>
      <c r="R3517" t="s">
        <v>595</v>
      </c>
      <c r="S3517" t="s">
        <v>399</v>
      </c>
      <c r="T3517" s="14">
        <v>0</v>
      </c>
    </row>
    <row r="3518" spans="17:20" x14ac:dyDescent="0.3">
      <c r="Q3518" s="93">
        <v>46027</v>
      </c>
      <c r="R3518" t="s">
        <v>479</v>
      </c>
      <c r="S3518" t="s">
        <v>395</v>
      </c>
      <c r="T3518" s="14">
        <v>10168.723611728599</v>
      </c>
    </row>
    <row r="3519" spans="17:20" x14ac:dyDescent="0.3">
      <c r="Q3519" s="93">
        <v>46022</v>
      </c>
      <c r="R3519" t="s">
        <v>479</v>
      </c>
      <c r="S3519" t="s">
        <v>399</v>
      </c>
      <c r="T3519" s="14">
        <v>9000</v>
      </c>
    </row>
    <row r="3520" spans="17:20" x14ac:dyDescent="0.3">
      <c r="Q3520" s="93">
        <v>46022</v>
      </c>
      <c r="R3520" t="s">
        <v>364</v>
      </c>
      <c r="S3520" t="s">
        <v>399</v>
      </c>
      <c r="T3520" s="14">
        <v>26185.313300000002</v>
      </c>
    </row>
    <row r="3521" spans="17:20" x14ac:dyDescent="0.3">
      <c r="Q3521" s="93">
        <v>46022</v>
      </c>
      <c r="R3521" t="s">
        <v>491</v>
      </c>
      <c r="S3521" t="s">
        <v>399</v>
      </c>
      <c r="T3521" s="14">
        <v>0</v>
      </c>
    </row>
    <row r="3522" spans="17:20" x14ac:dyDescent="0.3">
      <c r="Q3522" s="93">
        <v>46022</v>
      </c>
      <c r="R3522" t="s">
        <v>492</v>
      </c>
      <c r="S3522" t="s">
        <v>399</v>
      </c>
      <c r="T3522" s="14">
        <v>9000</v>
      </c>
    </row>
    <row r="3523" spans="17:20" x14ac:dyDescent="0.3">
      <c r="Q3523" s="93">
        <v>46022</v>
      </c>
      <c r="R3523" t="s">
        <v>496</v>
      </c>
      <c r="S3523" t="s">
        <v>399</v>
      </c>
      <c r="T3523" s="14">
        <v>31415.337</v>
      </c>
    </row>
    <row r="3524" spans="17:20" x14ac:dyDescent="0.3">
      <c r="Q3524" s="93">
        <v>46022</v>
      </c>
      <c r="R3524" t="s">
        <v>497</v>
      </c>
      <c r="S3524" t="s">
        <v>399</v>
      </c>
      <c r="T3524" s="14">
        <v>0</v>
      </c>
    </row>
    <row r="3525" spans="17:20" x14ac:dyDescent="0.3">
      <c r="Q3525" s="93">
        <v>46022</v>
      </c>
      <c r="R3525" t="s">
        <v>498</v>
      </c>
      <c r="S3525" t="s">
        <v>399</v>
      </c>
      <c r="T3525" s="14">
        <v>9000</v>
      </c>
    </row>
    <row r="3526" spans="17:20" x14ac:dyDescent="0.3">
      <c r="Q3526" s="93">
        <v>46022</v>
      </c>
      <c r="R3526" t="s">
        <v>494</v>
      </c>
      <c r="S3526" t="s">
        <v>399</v>
      </c>
      <c r="T3526" s="14">
        <v>-2730.0237000000002</v>
      </c>
    </row>
    <row r="3527" spans="17:20" x14ac:dyDescent="0.3">
      <c r="Q3527" s="93">
        <v>46022</v>
      </c>
      <c r="R3527" t="s">
        <v>495</v>
      </c>
      <c r="S3527" t="s">
        <v>399</v>
      </c>
      <c r="T3527" s="14">
        <v>0</v>
      </c>
    </row>
    <row r="3528" spans="17:20" x14ac:dyDescent="0.3">
      <c r="Q3528" s="93">
        <v>46022</v>
      </c>
      <c r="R3528" t="s">
        <v>493</v>
      </c>
      <c r="S3528" t="s">
        <v>399</v>
      </c>
      <c r="T3528" s="14">
        <v>0</v>
      </c>
    </row>
    <row r="3529" spans="17:20" x14ac:dyDescent="0.3">
      <c r="Q3529" s="93">
        <v>46022</v>
      </c>
      <c r="R3529" t="s">
        <v>593</v>
      </c>
      <c r="S3529" t="s">
        <v>399</v>
      </c>
      <c r="T3529" s="14">
        <v>-2500</v>
      </c>
    </row>
    <row r="3530" spans="17:20" x14ac:dyDescent="0.3">
      <c r="Q3530" s="93">
        <v>46022</v>
      </c>
      <c r="R3530" t="s">
        <v>594</v>
      </c>
      <c r="S3530" t="s">
        <v>399</v>
      </c>
      <c r="T3530" s="14">
        <v>0</v>
      </c>
    </row>
    <row r="3531" spans="17:20" x14ac:dyDescent="0.3">
      <c r="Q3531" s="93">
        <v>46022</v>
      </c>
      <c r="R3531" t="s">
        <v>595</v>
      </c>
      <c r="S3531" t="s">
        <v>399</v>
      </c>
      <c r="T3531" s="14">
        <v>0</v>
      </c>
    </row>
    <row r="3532" spans="17:20" x14ac:dyDescent="0.3">
      <c r="Q3532" s="93">
        <v>46022</v>
      </c>
      <c r="R3532" t="s">
        <v>479</v>
      </c>
      <c r="S3532" t="s">
        <v>395</v>
      </c>
      <c r="T3532" s="14">
        <v>9673.9225213129994</v>
      </c>
    </row>
    <row r="3533" spans="17:20" x14ac:dyDescent="0.3">
      <c r="Q3533" s="93">
        <v>46022</v>
      </c>
      <c r="R3533" t="s">
        <v>479</v>
      </c>
      <c r="S3533" t="s">
        <v>415</v>
      </c>
      <c r="T3533" s="14">
        <v>5.91</v>
      </c>
    </row>
    <row r="3534" spans="17:20" x14ac:dyDescent="0.3">
      <c r="Q3534" s="93">
        <v>46022</v>
      </c>
      <c r="R3534" t="s">
        <v>364</v>
      </c>
      <c r="S3534" t="s">
        <v>415</v>
      </c>
      <c r="T3534" s="14">
        <v>5.7191334515508299</v>
      </c>
    </row>
    <row r="3535" spans="17:20" x14ac:dyDescent="0.3">
      <c r="Q3535" s="93">
        <v>46022</v>
      </c>
      <c r="R3535" t="s">
        <v>364</v>
      </c>
      <c r="S3535" t="s">
        <v>997</v>
      </c>
      <c r="T3535" s="14">
        <v>33685.313300000002</v>
      </c>
    </row>
    <row r="3536" spans="17:20" x14ac:dyDescent="0.3">
      <c r="Q3536" s="93">
        <v>46022</v>
      </c>
      <c r="R3536" t="s">
        <v>496</v>
      </c>
      <c r="S3536" t="s">
        <v>997</v>
      </c>
      <c r="T3536" s="14">
        <v>38915.337</v>
      </c>
    </row>
    <row r="3537" spans="17:20" x14ac:dyDescent="0.3">
      <c r="Q3537" s="93">
        <v>46021</v>
      </c>
      <c r="R3537" t="s">
        <v>479</v>
      </c>
      <c r="S3537" t="s">
        <v>399</v>
      </c>
      <c r="T3537" s="14">
        <v>9000</v>
      </c>
    </row>
    <row r="3538" spans="17:20" x14ac:dyDescent="0.3">
      <c r="Q3538" s="93">
        <v>46021</v>
      </c>
      <c r="R3538" t="s">
        <v>364</v>
      </c>
      <c r="S3538" t="s">
        <v>399</v>
      </c>
      <c r="T3538" s="14">
        <v>26485.313300000002</v>
      </c>
    </row>
    <row r="3539" spans="17:20" x14ac:dyDescent="0.3">
      <c r="Q3539" s="93">
        <v>46021</v>
      </c>
      <c r="R3539" t="s">
        <v>491</v>
      </c>
      <c r="S3539" t="s">
        <v>399</v>
      </c>
      <c r="T3539" s="14">
        <v>0</v>
      </c>
    </row>
    <row r="3540" spans="17:20" x14ac:dyDescent="0.3">
      <c r="Q3540" s="93">
        <v>46021</v>
      </c>
      <c r="R3540" t="s">
        <v>492</v>
      </c>
      <c r="S3540" t="s">
        <v>399</v>
      </c>
      <c r="T3540" s="14">
        <v>9000</v>
      </c>
    </row>
    <row r="3541" spans="17:20" x14ac:dyDescent="0.3">
      <c r="Q3541" s="93">
        <v>46021</v>
      </c>
      <c r="R3541" t="s">
        <v>496</v>
      </c>
      <c r="S3541" t="s">
        <v>399</v>
      </c>
      <c r="T3541" s="14">
        <v>32215.337</v>
      </c>
    </row>
    <row r="3542" spans="17:20" x14ac:dyDescent="0.3">
      <c r="Q3542" s="93">
        <v>46021</v>
      </c>
      <c r="R3542" t="s">
        <v>497</v>
      </c>
      <c r="S3542" t="s">
        <v>399</v>
      </c>
      <c r="T3542" s="14">
        <v>0</v>
      </c>
    </row>
    <row r="3543" spans="17:20" x14ac:dyDescent="0.3">
      <c r="Q3543" s="93">
        <v>46021</v>
      </c>
      <c r="R3543" t="s">
        <v>498</v>
      </c>
      <c r="S3543" t="s">
        <v>399</v>
      </c>
      <c r="T3543" s="14">
        <v>9000</v>
      </c>
    </row>
    <row r="3544" spans="17:20" x14ac:dyDescent="0.3">
      <c r="Q3544" s="93">
        <v>46021</v>
      </c>
      <c r="R3544" t="s">
        <v>494</v>
      </c>
      <c r="S3544" t="s">
        <v>399</v>
      </c>
      <c r="T3544" s="14">
        <v>-3230.0237000000002</v>
      </c>
    </row>
    <row r="3545" spans="17:20" x14ac:dyDescent="0.3">
      <c r="Q3545" s="93">
        <v>46021</v>
      </c>
      <c r="R3545" t="s">
        <v>495</v>
      </c>
      <c r="S3545" t="s">
        <v>399</v>
      </c>
      <c r="T3545" s="14">
        <v>0</v>
      </c>
    </row>
    <row r="3546" spans="17:20" x14ac:dyDescent="0.3">
      <c r="Q3546" s="93">
        <v>46021</v>
      </c>
      <c r="R3546" t="s">
        <v>493</v>
      </c>
      <c r="S3546" t="s">
        <v>399</v>
      </c>
      <c r="T3546" s="14">
        <v>0</v>
      </c>
    </row>
    <row r="3547" spans="17:20" x14ac:dyDescent="0.3">
      <c r="Q3547" s="93">
        <v>46021</v>
      </c>
      <c r="R3547" t="s">
        <v>593</v>
      </c>
      <c r="S3547" t="s">
        <v>399</v>
      </c>
      <c r="T3547" s="14">
        <v>-2500</v>
      </c>
    </row>
    <row r="3548" spans="17:20" x14ac:dyDescent="0.3">
      <c r="Q3548" s="93">
        <v>46021</v>
      </c>
      <c r="R3548" t="s">
        <v>594</v>
      </c>
      <c r="S3548" t="s">
        <v>399</v>
      </c>
      <c r="T3548" s="14">
        <v>0</v>
      </c>
    </row>
    <row r="3549" spans="17:20" x14ac:dyDescent="0.3">
      <c r="Q3549" s="93">
        <v>46021</v>
      </c>
      <c r="R3549" t="s">
        <v>595</v>
      </c>
      <c r="S3549" t="s">
        <v>399</v>
      </c>
      <c r="T3549" s="14">
        <v>0</v>
      </c>
    </row>
    <row r="3550" spans="17:20" x14ac:dyDescent="0.3">
      <c r="Q3550" s="93">
        <v>46021</v>
      </c>
      <c r="R3550" t="s">
        <v>479</v>
      </c>
      <c r="S3550" t="s">
        <v>395</v>
      </c>
      <c r="T3550" s="14">
        <v>9674.2191179370002</v>
      </c>
    </row>
    <row r="3551" spans="17:20" x14ac:dyDescent="0.3">
      <c r="Q3551" s="93">
        <v>46021</v>
      </c>
      <c r="R3551" t="s">
        <v>479</v>
      </c>
      <c r="S3551" t="s">
        <v>415</v>
      </c>
      <c r="T3551" s="14">
        <v>5.6831578947368397</v>
      </c>
    </row>
    <row r="3552" spans="17:20" x14ac:dyDescent="0.3">
      <c r="Q3552" s="93">
        <v>46021</v>
      </c>
      <c r="R3552" t="s">
        <v>364</v>
      </c>
      <c r="S3552" t="s">
        <v>415</v>
      </c>
      <c r="T3552" s="14">
        <v>5.7136681485293197</v>
      </c>
    </row>
    <row r="3553" spans="17:20" x14ac:dyDescent="0.3">
      <c r="Q3553" s="93">
        <v>46021</v>
      </c>
      <c r="R3553" t="s">
        <v>364</v>
      </c>
      <c r="S3553" t="s">
        <v>997</v>
      </c>
      <c r="T3553" s="14">
        <v>33985.313300000002</v>
      </c>
    </row>
    <row r="3554" spans="17:20" x14ac:dyDescent="0.3">
      <c r="Q3554" s="93">
        <v>46021</v>
      </c>
      <c r="R3554" t="s">
        <v>496</v>
      </c>
      <c r="S3554" t="s">
        <v>997</v>
      </c>
      <c r="T3554" s="14">
        <v>39715.337</v>
      </c>
    </row>
    <row r="3555" spans="17:20" x14ac:dyDescent="0.3">
      <c r="Q3555" s="93">
        <v>46020</v>
      </c>
      <c r="R3555" t="s">
        <v>479</v>
      </c>
      <c r="S3555" t="s">
        <v>399</v>
      </c>
      <c r="T3555" s="14">
        <v>9500</v>
      </c>
    </row>
    <row r="3556" spans="17:20" x14ac:dyDescent="0.3">
      <c r="Q3556" s="93">
        <v>46020</v>
      </c>
      <c r="R3556" t="s">
        <v>364</v>
      </c>
      <c r="S3556" t="s">
        <v>399</v>
      </c>
      <c r="T3556" s="14">
        <v>27032.300999999999</v>
      </c>
    </row>
    <row r="3557" spans="17:20" x14ac:dyDescent="0.3">
      <c r="Q3557" s="93">
        <v>46020</v>
      </c>
      <c r="R3557" t="s">
        <v>491</v>
      </c>
      <c r="S3557" t="s">
        <v>399</v>
      </c>
      <c r="T3557" s="14">
        <v>500</v>
      </c>
    </row>
    <row r="3558" spans="17:20" x14ac:dyDescent="0.3">
      <c r="Q3558" s="93">
        <v>46020</v>
      </c>
      <c r="R3558" t="s">
        <v>492</v>
      </c>
      <c r="S3558" t="s">
        <v>399</v>
      </c>
      <c r="T3558" s="14">
        <v>9000</v>
      </c>
    </row>
    <row r="3559" spans="17:20" x14ac:dyDescent="0.3">
      <c r="Q3559" s="93">
        <v>46020</v>
      </c>
      <c r="R3559" t="s">
        <v>496</v>
      </c>
      <c r="S3559" t="s">
        <v>399</v>
      </c>
      <c r="T3559" s="14">
        <v>32635.337</v>
      </c>
    </row>
    <row r="3560" spans="17:20" x14ac:dyDescent="0.3">
      <c r="Q3560" s="93">
        <v>46020</v>
      </c>
      <c r="R3560" t="s">
        <v>497</v>
      </c>
      <c r="S3560" t="s">
        <v>399</v>
      </c>
      <c r="T3560" s="14">
        <v>500</v>
      </c>
    </row>
    <row r="3561" spans="17:20" x14ac:dyDescent="0.3">
      <c r="Q3561" s="93">
        <v>46020</v>
      </c>
      <c r="R3561" t="s">
        <v>498</v>
      </c>
      <c r="S3561" t="s">
        <v>399</v>
      </c>
      <c r="T3561" s="14">
        <v>9000</v>
      </c>
    </row>
    <row r="3562" spans="17:20" x14ac:dyDescent="0.3">
      <c r="Q3562" s="93">
        <v>46020</v>
      </c>
      <c r="R3562" t="s">
        <v>494</v>
      </c>
      <c r="S3562" t="s">
        <v>399</v>
      </c>
      <c r="T3562" s="14">
        <v>-420</v>
      </c>
    </row>
    <row r="3563" spans="17:20" x14ac:dyDescent="0.3">
      <c r="Q3563" s="93">
        <v>46020</v>
      </c>
      <c r="R3563" t="s">
        <v>495</v>
      </c>
      <c r="S3563" t="s">
        <v>399</v>
      </c>
      <c r="T3563" s="14">
        <v>0</v>
      </c>
    </row>
    <row r="3564" spans="17:20" x14ac:dyDescent="0.3">
      <c r="Q3564" s="93">
        <v>46020</v>
      </c>
      <c r="R3564" t="s">
        <v>493</v>
      </c>
      <c r="S3564" t="s">
        <v>399</v>
      </c>
      <c r="T3564" s="14">
        <v>0</v>
      </c>
    </row>
    <row r="3565" spans="17:20" x14ac:dyDescent="0.3">
      <c r="Q3565" s="93">
        <v>46020</v>
      </c>
      <c r="R3565" t="s">
        <v>593</v>
      </c>
      <c r="S3565" t="s">
        <v>399</v>
      </c>
      <c r="T3565" s="14">
        <v>-5183.0360000000001</v>
      </c>
    </row>
    <row r="3566" spans="17:20" x14ac:dyDescent="0.3">
      <c r="Q3566" s="93">
        <v>46020</v>
      </c>
      <c r="R3566" t="s">
        <v>594</v>
      </c>
      <c r="S3566" t="s">
        <v>399</v>
      </c>
      <c r="T3566" s="14">
        <v>0</v>
      </c>
    </row>
    <row r="3567" spans="17:20" x14ac:dyDescent="0.3">
      <c r="Q3567" s="93">
        <v>46020</v>
      </c>
      <c r="R3567" t="s">
        <v>595</v>
      </c>
      <c r="S3567" t="s">
        <v>399</v>
      </c>
      <c r="T3567" s="14">
        <v>0</v>
      </c>
    </row>
    <row r="3568" spans="17:20" x14ac:dyDescent="0.3">
      <c r="Q3568" s="93">
        <v>46020</v>
      </c>
      <c r="R3568" t="s">
        <v>479</v>
      </c>
      <c r="S3568" t="s">
        <v>395</v>
      </c>
      <c r="T3568" s="14">
        <v>9672.9338729230003</v>
      </c>
    </row>
    <row r="3569" spans="17:20" x14ac:dyDescent="0.3">
      <c r="Q3569" s="93">
        <v>46020</v>
      </c>
      <c r="R3569" t="s">
        <v>479</v>
      </c>
      <c r="S3569" t="s">
        <v>415</v>
      </c>
      <c r="T3569" s="14">
        <v>5.9294736842105298</v>
      </c>
    </row>
    <row r="3570" spans="17:20" x14ac:dyDescent="0.3">
      <c r="Q3570" s="93">
        <v>46020</v>
      </c>
      <c r="R3570" t="s">
        <v>364</v>
      </c>
      <c r="S3570" t="s">
        <v>415</v>
      </c>
      <c r="T3570" s="14">
        <v>5.72532736098636</v>
      </c>
    </row>
    <row r="3571" spans="17:20" x14ac:dyDescent="0.3">
      <c r="Q3571" s="93">
        <v>46020</v>
      </c>
      <c r="R3571" t="s">
        <v>364</v>
      </c>
      <c r="S3571" t="s">
        <v>997</v>
      </c>
      <c r="T3571" s="14">
        <v>34532.300999999999</v>
      </c>
    </row>
    <row r="3572" spans="17:20" x14ac:dyDescent="0.3">
      <c r="Q3572" s="93">
        <v>46020</v>
      </c>
      <c r="R3572" t="s">
        <v>496</v>
      </c>
      <c r="S3572" t="s">
        <v>997</v>
      </c>
      <c r="T3572" s="14">
        <v>40135.337</v>
      </c>
    </row>
    <row r="3573" spans="17:20" x14ac:dyDescent="0.3">
      <c r="Q3573" s="93">
        <v>46017</v>
      </c>
      <c r="R3573" t="s">
        <v>479</v>
      </c>
      <c r="S3573" t="s">
        <v>399</v>
      </c>
      <c r="T3573" s="14">
        <v>9500</v>
      </c>
    </row>
    <row r="3574" spans="17:20" x14ac:dyDescent="0.3">
      <c r="Q3574" s="93">
        <v>46017</v>
      </c>
      <c r="R3574" t="s">
        <v>364</v>
      </c>
      <c r="S3574" t="s">
        <v>399</v>
      </c>
      <c r="T3574" s="14">
        <v>26965.7228</v>
      </c>
    </row>
    <row r="3575" spans="17:20" x14ac:dyDescent="0.3">
      <c r="Q3575" s="93">
        <v>46017</v>
      </c>
      <c r="R3575" t="s">
        <v>491</v>
      </c>
      <c r="S3575" t="s">
        <v>399</v>
      </c>
      <c r="T3575" s="14">
        <v>500</v>
      </c>
    </row>
    <row r="3576" spans="17:20" x14ac:dyDescent="0.3">
      <c r="Q3576" s="93">
        <v>46017</v>
      </c>
      <c r="R3576" t="s">
        <v>492</v>
      </c>
      <c r="S3576" t="s">
        <v>399</v>
      </c>
      <c r="T3576" s="14">
        <v>9000</v>
      </c>
    </row>
    <row r="3577" spans="17:20" x14ac:dyDescent="0.3">
      <c r="Q3577" s="93">
        <v>46017</v>
      </c>
      <c r="R3577" t="s">
        <v>496</v>
      </c>
      <c r="S3577" t="s">
        <v>399</v>
      </c>
      <c r="T3577" s="14">
        <v>33448.758800000003</v>
      </c>
    </row>
    <row r="3578" spans="17:20" x14ac:dyDescent="0.3">
      <c r="Q3578" s="93">
        <v>46017</v>
      </c>
      <c r="R3578" t="s">
        <v>497</v>
      </c>
      <c r="S3578" t="s">
        <v>399</v>
      </c>
      <c r="T3578" s="14">
        <v>500</v>
      </c>
    </row>
    <row r="3579" spans="17:20" x14ac:dyDescent="0.3">
      <c r="Q3579" s="93">
        <v>46017</v>
      </c>
      <c r="R3579" t="s">
        <v>498</v>
      </c>
      <c r="S3579" t="s">
        <v>399</v>
      </c>
      <c r="T3579" s="14">
        <v>9000</v>
      </c>
    </row>
    <row r="3580" spans="17:20" x14ac:dyDescent="0.3">
      <c r="Q3580" s="93">
        <v>46017</v>
      </c>
      <c r="R3580" t="s">
        <v>494</v>
      </c>
      <c r="S3580" t="s">
        <v>399</v>
      </c>
      <c r="T3580" s="14">
        <v>-1300</v>
      </c>
    </row>
    <row r="3581" spans="17:20" x14ac:dyDescent="0.3">
      <c r="Q3581" s="93">
        <v>46017</v>
      </c>
      <c r="R3581" t="s">
        <v>495</v>
      </c>
      <c r="S3581" t="s">
        <v>399</v>
      </c>
      <c r="T3581" s="14">
        <v>0</v>
      </c>
    </row>
    <row r="3582" spans="17:20" x14ac:dyDescent="0.3">
      <c r="Q3582" s="93">
        <v>46017</v>
      </c>
      <c r="R3582" t="s">
        <v>493</v>
      </c>
      <c r="S3582" t="s">
        <v>399</v>
      </c>
      <c r="T3582" s="14">
        <v>0</v>
      </c>
    </row>
    <row r="3583" spans="17:20" x14ac:dyDescent="0.3">
      <c r="Q3583" s="93">
        <v>46017</v>
      </c>
      <c r="R3583" t="s">
        <v>593</v>
      </c>
      <c r="S3583" t="s">
        <v>399</v>
      </c>
      <c r="T3583" s="14">
        <v>-5183.0360000000001</v>
      </c>
    </row>
    <row r="3584" spans="17:20" x14ac:dyDescent="0.3">
      <c r="Q3584" s="93">
        <v>46017</v>
      </c>
      <c r="R3584" t="s">
        <v>594</v>
      </c>
      <c r="S3584" t="s">
        <v>399</v>
      </c>
      <c r="T3584" s="14">
        <v>0</v>
      </c>
    </row>
    <row r="3585" spans="17:20" x14ac:dyDescent="0.3">
      <c r="Q3585" s="93">
        <v>46017</v>
      </c>
      <c r="R3585" t="s">
        <v>595</v>
      </c>
      <c r="S3585" t="s">
        <v>399</v>
      </c>
      <c r="T3585" s="14">
        <v>0</v>
      </c>
    </row>
    <row r="3586" spans="17:20" x14ac:dyDescent="0.3">
      <c r="Q3586" s="93">
        <v>46017</v>
      </c>
      <c r="R3586" t="s">
        <v>479</v>
      </c>
      <c r="S3586" t="s">
        <v>395</v>
      </c>
      <c r="T3586" s="14">
        <v>9675.5896309960008</v>
      </c>
    </row>
    <row r="3587" spans="17:20" x14ac:dyDescent="0.3">
      <c r="Q3587" s="93">
        <v>46017</v>
      </c>
      <c r="R3587" t="s">
        <v>479</v>
      </c>
      <c r="S3587" t="s">
        <v>415</v>
      </c>
      <c r="T3587" s="14">
        <v>5.9294736842105298</v>
      </c>
    </row>
    <row r="3588" spans="17:20" x14ac:dyDescent="0.3">
      <c r="Q3588" s="93">
        <v>46017</v>
      </c>
      <c r="R3588" t="s">
        <v>364</v>
      </c>
      <c r="S3588" t="s">
        <v>415</v>
      </c>
      <c r="T3588" s="14">
        <v>5.7424551751301403</v>
      </c>
    </row>
    <row r="3589" spans="17:20" x14ac:dyDescent="0.3">
      <c r="Q3589" s="93">
        <v>46017</v>
      </c>
      <c r="R3589" t="s">
        <v>364</v>
      </c>
      <c r="S3589" t="s">
        <v>997</v>
      </c>
      <c r="T3589" s="14">
        <v>34465.722800000003</v>
      </c>
    </row>
    <row r="3590" spans="17:20" x14ac:dyDescent="0.3">
      <c r="Q3590" s="93">
        <v>46017</v>
      </c>
      <c r="R3590" t="s">
        <v>496</v>
      </c>
      <c r="S3590" t="s">
        <v>997</v>
      </c>
      <c r="T3590" s="14">
        <v>40948.758800000003</v>
      </c>
    </row>
    <row r="3591" spans="17:20" x14ac:dyDescent="0.3">
      <c r="Q3591" s="93">
        <v>46016</v>
      </c>
      <c r="R3591" t="s">
        <v>479</v>
      </c>
      <c r="S3591" t="s">
        <v>399</v>
      </c>
      <c r="T3591" s="14">
        <v>9500</v>
      </c>
    </row>
    <row r="3592" spans="17:20" x14ac:dyDescent="0.3">
      <c r="Q3592" s="93">
        <v>46016</v>
      </c>
      <c r="R3592" t="s">
        <v>364</v>
      </c>
      <c r="S3592" t="s">
        <v>399</v>
      </c>
      <c r="T3592" s="14">
        <v>21565.7228</v>
      </c>
    </row>
    <row r="3593" spans="17:20" x14ac:dyDescent="0.3">
      <c r="Q3593" s="93">
        <v>46016</v>
      </c>
      <c r="R3593" t="s">
        <v>491</v>
      </c>
      <c r="S3593" t="s">
        <v>399</v>
      </c>
      <c r="T3593" s="14">
        <v>500</v>
      </c>
    </row>
    <row r="3594" spans="17:20" x14ac:dyDescent="0.3">
      <c r="Q3594" s="93">
        <v>46016</v>
      </c>
      <c r="R3594" t="s">
        <v>492</v>
      </c>
      <c r="S3594" t="s">
        <v>399</v>
      </c>
      <c r="T3594" s="14">
        <v>9000</v>
      </c>
    </row>
    <row r="3595" spans="17:20" x14ac:dyDescent="0.3">
      <c r="Q3595" s="93">
        <v>46016</v>
      </c>
      <c r="R3595" t="s">
        <v>496</v>
      </c>
      <c r="S3595" t="s">
        <v>399</v>
      </c>
      <c r="T3595" s="14">
        <v>30588.7588</v>
      </c>
    </row>
    <row r="3596" spans="17:20" x14ac:dyDescent="0.3">
      <c r="Q3596" s="93">
        <v>46016</v>
      </c>
      <c r="R3596" t="s">
        <v>497</v>
      </c>
      <c r="S3596" t="s">
        <v>399</v>
      </c>
      <c r="T3596" s="14">
        <v>500</v>
      </c>
    </row>
    <row r="3597" spans="17:20" x14ac:dyDescent="0.3">
      <c r="Q3597" s="93">
        <v>46016</v>
      </c>
      <c r="R3597" t="s">
        <v>498</v>
      </c>
      <c r="S3597" t="s">
        <v>399</v>
      </c>
      <c r="T3597" s="14">
        <v>9000</v>
      </c>
    </row>
    <row r="3598" spans="17:20" x14ac:dyDescent="0.3">
      <c r="Q3598" s="93">
        <v>46016</v>
      </c>
      <c r="R3598" t="s">
        <v>494</v>
      </c>
      <c r="S3598" t="s">
        <v>399</v>
      </c>
      <c r="T3598" s="14">
        <v>-3840</v>
      </c>
    </row>
    <row r="3599" spans="17:20" x14ac:dyDescent="0.3">
      <c r="Q3599" s="93">
        <v>46016</v>
      </c>
      <c r="R3599" t="s">
        <v>495</v>
      </c>
      <c r="S3599" t="s">
        <v>399</v>
      </c>
      <c r="T3599" s="14">
        <v>0</v>
      </c>
    </row>
    <row r="3600" spans="17:20" x14ac:dyDescent="0.3">
      <c r="Q3600" s="93">
        <v>46016</v>
      </c>
      <c r="R3600" t="s">
        <v>493</v>
      </c>
      <c r="S3600" t="s">
        <v>399</v>
      </c>
      <c r="T3600" s="14">
        <v>0</v>
      </c>
    </row>
    <row r="3601" spans="17:20" x14ac:dyDescent="0.3">
      <c r="Q3601" s="93">
        <v>46016</v>
      </c>
      <c r="R3601" t="s">
        <v>593</v>
      </c>
      <c r="S3601" t="s">
        <v>399</v>
      </c>
      <c r="T3601" s="14">
        <v>-5183.0360000000001</v>
      </c>
    </row>
    <row r="3602" spans="17:20" x14ac:dyDescent="0.3">
      <c r="Q3602" s="93">
        <v>46016</v>
      </c>
      <c r="R3602" t="s">
        <v>594</v>
      </c>
      <c r="S3602" t="s">
        <v>399</v>
      </c>
      <c r="T3602" s="14">
        <v>0</v>
      </c>
    </row>
    <row r="3603" spans="17:20" x14ac:dyDescent="0.3">
      <c r="Q3603" s="93">
        <v>46016</v>
      </c>
      <c r="R3603" t="s">
        <v>595</v>
      </c>
      <c r="S3603" t="s">
        <v>399</v>
      </c>
      <c r="T3603" s="14">
        <v>0</v>
      </c>
    </row>
    <row r="3604" spans="17:20" x14ac:dyDescent="0.3">
      <c r="Q3604" s="93">
        <v>46016</v>
      </c>
      <c r="R3604" t="s">
        <v>479</v>
      </c>
      <c r="S3604" t="s">
        <v>395</v>
      </c>
      <c r="T3604" s="14">
        <v>9675.203411384</v>
      </c>
    </row>
    <row r="3605" spans="17:20" x14ac:dyDescent="0.3">
      <c r="Q3605" s="93">
        <v>46016</v>
      </c>
      <c r="R3605" t="s">
        <v>479</v>
      </c>
      <c r="S3605" t="s">
        <v>415</v>
      </c>
      <c r="T3605" s="14">
        <v>5.9294736842105298</v>
      </c>
    </row>
    <row r="3606" spans="17:20" x14ac:dyDescent="0.3">
      <c r="Q3606" s="93">
        <v>46016</v>
      </c>
      <c r="R3606" t="s">
        <v>364</v>
      </c>
      <c r="S3606" t="s">
        <v>415</v>
      </c>
      <c r="T3606" s="14">
        <v>5.8109893214147101</v>
      </c>
    </row>
    <row r="3607" spans="17:20" x14ac:dyDescent="0.3">
      <c r="Q3607" s="93">
        <v>46016</v>
      </c>
      <c r="R3607" t="s">
        <v>364</v>
      </c>
      <c r="S3607" t="s">
        <v>997</v>
      </c>
      <c r="T3607" s="14">
        <v>29065.7228</v>
      </c>
    </row>
    <row r="3608" spans="17:20" x14ac:dyDescent="0.3">
      <c r="Q3608" s="93">
        <v>46016</v>
      </c>
      <c r="R3608" t="s">
        <v>496</v>
      </c>
      <c r="S3608" t="s">
        <v>997</v>
      </c>
      <c r="T3608" s="14">
        <v>38088.758800000003</v>
      </c>
    </row>
    <row r="3609" spans="17:20" x14ac:dyDescent="0.3">
      <c r="Q3609" s="93">
        <v>46015</v>
      </c>
      <c r="R3609" t="s">
        <v>479</v>
      </c>
      <c r="S3609" t="s">
        <v>399</v>
      </c>
      <c r="T3609" s="14">
        <v>9500</v>
      </c>
    </row>
    <row r="3610" spans="17:20" x14ac:dyDescent="0.3">
      <c r="Q3610" s="93">
        <v>46015</v>
      </c>
      <c r="R3610" t="s">
        <v>364</v>
      </c>
      <c r="S3610" t="s">
        <v>399</v>
      </c>
      <c r="T3610" s="14">
        <v>23610.7228</v>
      </c>
    </row>
    <row r="3611" spans="17:20" x14ac:dyDescent="0.3">
      <c r="Q3611" s="93">
        <v>46015</v>
      </c>
      <c r="R3611" t="s">
        <v>491</v>
      </c>
      <c r="S3611" t="s">
        <v>399</v>
      </c>
      <c r="T3611" s="14">
        <v>500</v>
      </c>
    </row>
    <row r="3612" spans="17:20" x14ac:dyDescent="0.3">
      <c r="Q3612" s="93">
        <v>46015</v>
      </c>
      <c r="R3612" t="s">
        <v>492</v>
      </c>
      <c r="S3612" t="s">
        <v>399</v>
      </c>
      <c r="T3612" s="14">
        <v>9000</v>
      </c>
    </row>
    <row r="3613" spans="17:20" x14ac:dyDescent="0.3">
      <c r="Q3613" s="93">
        <v>46015</v>
      </c>
      <c r="R3613" t="s">
        <v>496</v>
      </c>
      <c r="S3613" t="s">
        <v>399</v>
      </c>
      <c r="T3613" s="14">
        <v>31993.7588</v>
      </c>
    </row>
    <row r="3614" spans="17:20" x14ac:dyDescent="0.3">
      <c r="Q3614" s="93">
        <v>46015</v>
      </c>
      <c r="R3614" t="s">
        <v>497</v>
      </c>
      <c r="S3614" t="s">
        <v>399</v>
      </c>
      <c r="T3614" s="14">
        <v>897.61059999999998</v>
      </c>
    </row>
    <row r="3615" spans="17:20" x14ac:dyDescent="0.3">
      <c r="Q3615" s="93">
        <v>46015</v>
      </c>
      <c r="R3615" t="s">
        <v>498</v>
      </c>
      <c r="S3615" t="s">
        <v>399</v>
      </c>
      <c r="T3615" s="14">
        <v>9500</v>
      </c>
    </row>
    <row r="3616" spans="17:20" x14ac:dyDescent="0.3">
      <c r="Q3616" s="93">
        <v>46015</v>
      </c>
      <c r="R3616" t="s">
        <v>494</v>
      </c>
      <c r="S3616" t="s">
        <v>399</v>
      </c>
      <c r="T3616" s="14">
        <v>-4500</v>
      </c>
    </row>
    <row r="3617" spans="17:20" x14ac:dyDescent="0.3">
      <c r="Q3617" s="93">
        <v>46015</v>
      </c>
      <c r="R3617" t="s">
        <v>495</v>
      </c>
      <c r="S3617" t="s">
        <v>399</v>
      </c>
      <c r="T3617" s="14">
        <v>-397.61059999999998</v>
      </c>
    </row>
    <row r="3618" spans="17:20" x14ac:dyDescent="0.3">
      <c r="Q3618" s="93">
        <v>46015</v>
      </c>
      <c r="R3618" t="s">
        <v>493</v>
      </c>
      <c r="S3618" t="s">
        <v>399</v>
      </c>
      <c r="T3618" s="14">
        <v>-500</v>
      </c>
    </row>
    <row r="3619" spans="17:20" x14ac:dyDescent="0.3">
      <c r="Q3619" s="93">
        <v>46015</v>
      </c>
      <c r="R3619" t="s">
        <v>593</v>
      </c>
      <c r="S3619" t="s">
        <v>399</v>
      </c>
      <c r="T3619" s="14">
        <v>-3883.0360000000001</v>
      </c>
    </row>
    <row r="3620" spans="17:20" x14ac:dyDescent="0.3">
      <c r="Q3620" s="93">
        <v>46015</v>
      </c>
      <c r="R3620" t="s">
        <v>594</v>
      </c>
      <c r="S3620" t="s">
        <v>399</v>
      </c>
      <c r="T3620" s="14">
        <v>0</v>
      </c>
    </row>
    <row r="3621" spans="17:20" x14ac:dyDescent="0.3">
      <c r="Q3621" s="93">
        <v>46015</v>
      </c>
      <c r="R3621" t="s">
        <v>595</v>
      </c>
      <c r="S3621" t="s">
        <v>399</v>
      </c>
      <c r="T3621" s="14">
        <v>0</v>
      </c>
    </row>
    <row r="3622" spans="17:20" x14ac:dyDescent="0.3">
      <c r="Q3622" s="93">
        <v>46015</v>
      </c>
      <c r="R3622" t="s">
        <v>479</v>
      </c>
      <c r="S3622" t="s">
        <v>395</v>
      </c>
      <c r="T3622" s="14">
        <v>9651.7101742060004</v>
      </c>
    </row>
    <row r="3623" spans="17:20" x14ac:dyDescent="0.3">
      <c r="Q3623" s="93">
        <v>46015</v>
      </c>
      <c r="R3623" t="s">
        <v>479</v>
      </c>
      <c r="S3623" t="s">
        <v>415</v>
      </c>
      <c r="T3623" s="14">
        <v>5.9294736842105298</v>
      </c>
    </row>
    <row r="3624" spans="17:20" x14ac:dyDescent="0.3">
      <c r="Q3624" s="93">
        <v>46015</v>
      </c>
      <c r="R3624" t="s">
        <v>364</v>
      </c>
      <c r="S3624" t="s">
        <v>415</v>
      </c>
      <c r="T3624" s="14">
        <v>5.8195633796137098</v>
      </c>
    </row>
    <row r="3625" spans="17:20" x14ac:dyDescent="0.3">
      <c r="Q3625" s="93">
        <v>46015</v>
      </c>
      <c r="R3625" t="s">
        <v>364</v>
      </c>
      <c r="S3625" t="s">
        <v>997</v>
      </c>
      <c r="T3625" s="14">
        <v>31110.7228</v>
      </c>
    </row>
    <row r="3626" spans="17:20" x14ac:dyDescent="0.3">
      <c r="Q3626" s="93">
        <v>46015</v>
      </c>
      <c r="R3626" t="s">
        <v>496</v>
      </c>
      <c r="S3626" t="s">
        <v>997</v>
      </c>
      <c r="T3626" s="14">
        <v>39493.758800000003</v>
      </c>
    </row>
    <row r="3627" spans="17:20" x14ac:dyDescent="0.3">
      <c r="Q3627" s="93">
        <v>46014</v>
      </c>
      <c r="R3627" t="s">
        <v>479</v>
      </c>
      <c r="S3627" t="s">
        <v>399</v>
      </c>
      <c r="T3627" s="14">
        <v>9897.6106</v>
      </c>
    </row>
    <row r="3628" spans="17:20" x14ac:dyDescent="0.3">
      <c r="Q3628" s="93">
        <v>46014</v>
      </c>
      <c r="R3628" t="s">
        <v>364</v>
      </c>
      <c r="S3628" t="s">
        <v>399</v>
      </c>
      <c r="T3628" s="14">
        <v>25510.7228</v>
      </c>
    </row>
    <row r="3629" spans="17:20" x14ac:dyDescent="0.3">
      <c r="Q3629" s="93">
        <v>46014</v>
      </c>
      <c r="R3629" t="s">
        <v>491</v>
      </c>
      <c r="S3629" t="s">
        <v>399</v>
      </c>
      <c r="T3629" s="14">
        <v>897.61059999999998</v>
      </c>
    </row>
    <row r="3630" spans="17:20" x14ac:dyDescent="0.3">
      <c r="Q3630" s="93">
        <v>46014</v>
      </c>
      <c r="R3630" t="s">
        <v>492</v>
      </c>
      <c r="S3630" t="s">
        <v>399</v>
      </c>
      <c r="T3630" s="14">
        <v>9000</v>
      </c>
    </row>
    <row r="3631" spans="17:20" x14ac:dyDescent="0.3">
      <c r="Q3631" s="93">
        <v>46014</v>
      </c>
      <c r="R3631" t="s">
        <v>496</v>
      </c>
      <c r="S3631" t="s">
        <v>399</v>
      </c>
      <c r="T3631" s="14">
        <v>32393.7588</v>
      </c>
    </row>
    <row r="3632" spans="17:20" x14ac:dyDescent="0.3">
      <c r="Q3632" s="93">
        <v>46014</v>
      </c>
      <c r="R3632" t="s">
        <v>497</v>
      </c>
      <c r="S3632" t="s">
        <v>399</v>
      </c>
      <c r="T3632" s="14">
        <v>897.61059999999998</v>
      </c>
    </row>
    <row r="3633" spans="17:20" x14ac:dyDescent="0.3">
      <c r="Q3633" s="93">
        <v>46014</v>
      </c>
      <c r="R3633" t="s">
        <v>498</v>
      </c>
      <c r="S3633" t="s">
        <v>399</v>
      </c>
      <c r="T3633" s="14">
        <v>9500</v>
      </c>
    </row>
    <row r="3634" spans="17:20" x14ac:dyDescent="0.3">
      <c r="Q3634" s="93">
        <v>46014</v>
      </c>
      <c r="R3634" t="s">
        <v>494</v>
      </c>
      <c r="S3634" t="s">
        <v>399</v>
      </c>
      <c r="T3634" s="14">
        <v>-4000</v>
      </c>
    </row>
    <row r="3635" spans="17:20" x14ac:dyDescent="0.3">
      <c r="Q3635" s="93">
        <v>46014</v>
      </c>
      <c r="R3635" t="s">
        <v>495</v>
      </c>
      <c r="S3635" t="s">
        <v>399</v>
      </c>
      <c r="T3635" s="14">
        <v>0</v>
      </c>
    </row>
    <row r="3636" spans="17:20" x14ac:dyDescent="0.3">
      <c r="Q3636" s="93">
        <v>46014</v>
      </c>
      <c r="R3636" t="s">
        <v>493</v>
      </c>
      <c r="S3636" t="s">
        <v>399</v>
      </c>
      <c r="T3636" s="14">
        <v>-500</v>
      </c>
    </row>
    <row r="3637" spans="17:20" x14ac:dyDescent="0.3">
      <c r="Q3637" s="93">
        <v>46014</v>
      </c>
      <c r="R3637" t="s">
        <v>593</v>
      </c>
      <c r="S3637" t="s">
        <v>399</v>
      </c>
      <c r="T3637" s="14">
        <v>-2883.0360000000001</v>
      </c>
    </row>
    <row r="3638" spans="17:20" x14ac:dyDescent="0.3">
      <c r="Q3638" s="93">
        <v>46014</v>
      </c>
      <c r="R3638" t="s">
        <v>594</v>
      </c>
      <c r="S3638" t="s">
        <v>399</v>
      </c>
      <c r="T3638" s="14">
        <v>0</v>
      </c>
    </row>
    <row r="3639" spans="17:20" x14ac:dyDescent="0.3">
      <c r="Q3639" s="93">
        <v>46014</v>
      </c>
      <c r="R3639" t="s">
        <v>595</v>
      </c>
      <c r="S3639" t="s">
        <v>399</v>
      </c>
      <c r="T3639" s="14">
        <v>0</v>
      </c>
    </row>
    <row r="3640" spans="17:20" x14ac:dyDescent="0.3">
      <c r="Q3640" s="93">
        <v>46014</v>
      </c>
      <c r="R3640" t="s">
        <v>479</v>
      </c>
      <c r="S3640" t="s">
        <v>395</v>
      </c>
      <c r="T3640" s="14">
        <v>10147.8482869049</v>
      </c>
    </row>
    <row r="3641" spans="17:20" x14ac:dyDescent="0.3">
      <c r="Q3641" s="93">
        <v>46014</v>
      </c>
      <c r="R3641" t="s">
        <v>479</v>
      </c>
      <c r="S3641" t="s">
        <v>415</v>
      </c>
      <c r="T3641" s="14">
        <v>5.9875439204488403</v>
      </c>
    </row>
    <row r="3642" spans="17:20" x14ac:dyDescent="0.3">
      <c r="Q3642" s="93">
        <v>46014</v>
      </c>
      <c r="R3642" t="s">
        <v>364</v>
      </c>
      <c r="S3642" t="s">
        <v>415</v>
      </c>
      <c r="T3642" s="14">
        <v>5.8002548435564698</v>
      </c>
    </row>
    <row r="3643" spans="17:20" x14ac:dyDescent="0.3">
      <c r="Q3643" s="93">
        <v>46014</v>
      </c>
      <c r="R3643" t="s">
        <v>364</v>
      </c>
      <c r="S3643" t="s">
        <v>997</v>
      </c>
      <c r="T3643" s="14">
        <v>33010.722800000003</v>
      </c>
    </row>
    <row r="3644" spans="17:20" x14ac:dyDescent="0.3">
      <c r="Q3644" s="93">
        <v>46014</v>
      </c>
      <c r="R3644" t="s">
        <v>496</v>
      </c>
      <c r="S3644" t="s">
        <v>997</v>
      </c>
      <c r="T3644" s="14">
        <v>39893.758800000003</v>
      </c>
    </row>
    <row r="3645" spans="17:20" x14ac:dyDescent="0.3">
      <c r="Q3645" s="93">
        <v>46013</v>
      </c>
      <c r="R3645" t="s">
        <v>479</v>
      </c>
      <c r="S3645" t="s">
        <v>399</v>
      </c>
      <c r="T3645" s="14">
        <v>10397.6106</v>
      </c>
    </row>
    <row r="3646" spans="17:20" x14ac:dyDescent="0.3">
      <c r="Q3646" s="93">
        <v>46013</v>
      </c>
      <c r="R3646" t="s">
        <v>364</v>
      </c>
      <c r="S3646" t="s">
        <v>399</v>
      </c>
      <c r="T3646" s="14">
        <v>23960.7228</v>
      </c>
    </row>
    <row r="3647" spans="17:20" x14ac:dyDescent="0.3">
      <c r="Q3647" s="93">
        <v>46013</v>
      </c>
      <c r="R3647" t="s">
        <v>491</v>
      </c>
      <c r="S3647" t="s">
        <v>399</v>
      </c>
      <c r="T3647" s="14">
        <v>897.61059999999998</v>
      </c>
    </row>
    <row r="3648" spans="17:20" x14ac:dyDescent="0.3">
      <c r="Q3648" s="93">
        <v>46013</v>
      </c>
      <c r="R3648" t="s">
        <v>492</v>
      </c>
      <c r="S3648" t="s">
        <v>399</v>
      </c>
      <c r="T3648" s="14">
        <v>9500</v>
      </c>
    </row>
    <row r="3649" spans="17:20" x14ac:dyDescent="0.3">
      <c r="Q3649" s="93">
        <v>46013</v>
      </c>
      <c r="R3649" t="s">
        <v>496</v>
      </c>
      <c r="S3649" t="s">
        <v>399</v>
      </c>
      <c r="T3649" s="14">
        <v>29843.7588</v>
      </c>
    </row>
    <row r="3650" spans="17:20" x14ac:dyDescent="0.3">
      <c r="Q3650" s="93">
        <v>46013</v>
      </c>
      <c r="R3650" t="s">
        <v>497</v>
      </c>
      <c r="S3650" t="s">
        <v>399</v>
      </c>
      <c r="T3650" s="14">
        <v>500</v>
      </c>
    </row>
    <row r="3651" spans="17:20" x14ac:dyDescent="0.3">
      <c r="Q3651" s="93">
        <v>46013</v>
      </c>
      <c r="R3651" t="s">
        <v>498</v>
      </c>
      <c r="S3651" t="s">
        <v>399</v>
      </c>
      <c r="T3651" s="14">
        <v>9500</v>
      </c>
    </row>
    <row r="3652" spans="17:20" x14ac:dyDescent="0.3">
      <c r="Q3652" s="93">
        <v>46013</v>
      </c>
      <c r="R3652" t="s">
        <v>494</v>
      </c>
      <c r="S3652" t="s">
        <v>399</v>
      </c>
      <c r="T3652" s="14">
        <v>-3000</v>
      </c>
    </row>
    <row r="3653" spans="17:20" x14ac:dyDescent="0.3">
      <c r="Q3653" s="93">
        <v>46013</v>
      </c>
      <c r="R3653" t="s">
        <v>495</v>
      </c>
      <c r="S3653" t="s">
        <v>399</v>
      </c>
      <c r="T3653" s="14">
        <v>397.61059999999998</v>
      </c>
    </row>
    <row r="3654" spans="17:20" x14ac:dyDescent="0.3">
      <c r="Q3654" s="93">
        <v>46013</v>
      </c>
      <c r="R3654" t="s">
        <v>493</v>
      </c>
      <c r="S3654" t="s">
        <v>399</v>
      </c>
      <c r="T3654" s="14">
        <v>0</v>
      </c>
    </row>
    <row r="3655" spans="17:20" x14ac:dyDescent="0.3">
      <c r="Q3655" s="93">
        <v>46013</v>
      </c>
      <c r="R3655" t="s">
        <v>593</v>
      </c>
      <c r="S3655" t="s">
        <v>399</v>
      </c>
      <c r="T3655" s="14">
        <v>-2883.0360000000001</v>
      </c>
    </row>
    <row r="3656" spans="17:20" x14ac:dyDescent="0.3">
      <c r="Q3656" s="93">
        <v>46013</v>
      </c>
      <c r="R3656" t="s">
        <v>594</v>
      </c>
      <c r="S3656" t="s">
        <v>399</v>
      </c>
      <c r="T3656" s="14">
        <v>0</v>
      </c>
    </row>
    <row r="3657" spans="17:20" x14ac:dyDescent="0.3">
      <c r="Q3657" s="93">
        <v>46013</v>
      </c>
      <c r="R3657" t="s">
        <v>595</v>
      </c>
      <c r="S3657" t="s">
        <v>399</v>
      </c>
      <c r="T3657" s="14">
        <v>0</v>
      </c>
    </row>
    <row r="3658" spans="17:20" x14ac:dyDescent="0.3">
      <c r="Q3658" s="93">
        <v>46013</v>
      </c>
      <c r="R3658" t="s">
        <v>479</v>
      </c>
      <c r="S3658" t="s">
        <v>395</v>
      </c>
      <c r="T3658" s="14">
        <v>10676.159290940301</v>
      </c>
    </row>
    <row r="3659" spans="17:20" x14ac:dyDescent="0.3">
      <c r="Q3659" s="93">
        <v>46013</v>
      </c>
      <c r="R3659" t="s">
        <v>479</v>
      </c>
      <c r="S3659" t="s">
        <v>415</v>
      </c>
      <c r="T3659" s="14">
        <v>6.1131716333943098</v>
      </c>
    </row>
    <row r="3660" spans="17:20" x14ac:dyDescent="0.3">
      <c r="Q3660" s="93">
        <v>46013</v>
      </c>
      <c r="R3660" t="s">
        <v>364</v>
      </c>
      <c r="S3660" t="s">
        <v>415</v>
      </c>
      <c r="T3660" s="14">
        <v>5.8364948662052996</v>
      </c>
    </row>
    <row r="3661" spans="17:20" x14ac:dyDescent="0.3">
      <c r="Q3661" s="93">
        <v>46013</v>
      </c>
      <c r="R3661" t="s">
        <v>364</v>
      </c>
      <c r="S3661" t="s">
        <v>997</v>
      </c>
      <c r="T3661" s="14">
        <v>29960.7228</v>
      </c>
    </row>
    <row r="3662" spans="17:20" x14ac:dyDescent="0.3">
      <c r="Q3662" s="93">
        <v>46013</v>
      </c>
      <c r="R3662" t="s">
        <v>496</v>
      </c>
      <c r="S3662" t="s">
        <v>997</v>
      </c>
      <c r="T3662" s="14">
        <v>35843.758800000003</v>
      </c>
    </row>
    <row r="3663" spans="17:20" x14ac:dyDescent="0.3">
      <c r="Q3663" s="93">
        <v>46010</v>
      </c>
      <c r="R3663" t="s">
        <v>479</v>
      </c>
      <c r="S3663" t="s">
        <v>399</v>
      </c>
      <c r="T3663" s="14">
        <v>10000</v>
      </c>
    </row>
    <row r="3664" spans="17:20" x14ac:dyDescent="0.3">
      <c r="Q3664" s="93">
        <v>46010</v>
      </c>
      <c r="R3664" t="s">
        <v>364</v>
      </c>
      <c r="S3664" t="s">
        <v>399</v>
      </c>
      <c r="T3664" s="14">
        <v>25510.7228</v>
      </c>
    </row>
    <row r="3665" spans="17:20" x14ac:dyDescent="0.3">
      <c r="Q3665" s="93">
        <v>46010</v>
      </c>
      <c r="R3665" t="s">
        <v>491</v>
      </c>
      <c r="S3665" t="s">
        <v>399</v>
      </c>
      <c r="T3665" s="14">
        <v>9500</v>
      </c>
    </row>
    <row r="3666" spans="17:20" x14ac:dyDescent="0.3">
      <c r="Q3666" s="93">
        <v>46010</v>
      </c>
      <c r="R3666" t="s">
        <v>492</v>
      </c>
      <c r="S3666" t="s">
        <v>399</v>
      </c>
      <c r="T3666" s="14">
        <v>500</v>
      </c>
    </row>
    <row r="3667" spans="17:20" x14ac:dyDescent="0.3">
      <c r="Q3667" s="93">
        <v>46010</v>
      </c>
      <c r="R3667" t="s">
        <v>496</v>
      </c>
      <c r="S3667" t="s">
        <v>399</v>
      </c>
      <c r="T3667" s="14">
        <v>29193.7588</v>
      </c>
    </row>
    <row r="3668" spans="17:20" x14ac:dyDescent="0.3">
      <c r="Q3668" s="93">
        <v>46010</v>
      </c>
      <c r="R3668" t="s">
        <v>497</v>
      </c>
      <c r="S3668" t="s">
        <v>399</v>
      </c>
      <c r="T3668" s="14">
        <v>500</v>
      </c>
    </row>
    <row r="3669" spans="17:20" x14ac:dyDescent="0.3">
      <c r="Q3669" s="93">
        <v>46010</v>
      </c>
      <c r="R3669" t="s">
        <v>498</v>
      </c>
      <c r="S3669" t="s">
        <v>399</v>
      </c>
      <c r="T3669" s="14">
        <v>9500</v>
      </c>
    </row>
    <row r="3670" spans="17:20" x14ac:dyDescent="0.3">
      <c r="Q3670" s="93">
        <v>46010</v>
      </c>
      <c r="R3670" t="s">
        <v>494</v>
      </c>
      <c r="S3670" t="s">
        <v>399</v>
      </c>
      <c r="T3670" s="14">
        <v>-2000</v>
      </c>
    </row>
    <row r="3671" spans="17:20" x14ac:dyDescent="0.3">
      <c r="Q3671" s="93">
        <v>46010</v>
      </c>
      <c r="R3671" t="s">
        <v>495</v>
      </c>
      <c r="S3671" t="s">
        <v>399</v>
      </c>
      <c r="T3671" s="14">
        <v>0</v>
      </c>
    </row>
    <row r="3672" spans="17:20" x14ac:dyDescent="0.3">
      <c r="Q3672" s="93">
        <v>46010</v>
      </c>
      <c r="R3672" t="s">
        <v>493</v>
      </c>
      <c r="S3672" t="s">
        <v>399</v>
      </c>
      <c r="T3672" s="14">
        <v>0</v>
      </c>
    </row>
    <row r="3673" spans="17:20" x14ac:dyDescent="0.3">
      <c r="Q3673" s="93">
        <v>46010</v>
      </c>
      <c r="R3673" t="s">
        <v>593</v>
      </c>
      <c r="S3673" t="s">
        <v>399</v>
      </c>
      <c r="T3673" s="14">
        <v>-1683.0360000000001</v>
      </c>
    </row>
    <row r="3674" spans="17:20" x14ac:dyDescent="0.3">
      <c r="Q3674" s="93">
        <v>46010</v>
      </c>
      <c r="R3674" t="s">
        <v>594</v>
      </c>
      <c r="S3674" t="s">
        <v>399</v>
      </c>
      <c r="T3674" s="14">
        <v>0</v>
      </c>
    </row>
    <row r="3675" spans="17:20" x14ac:dyDescent="0.3">
      <c r="Q3675" s="93">
        <v>46010</v>
      </c>
      <c r="R3675" t="s">
        <v>595</v>
      </c>
      <c r="S3675" t="s">
        <v>399</v>
      </c>
      <c r="T3675" s="14">
        <v>0</v>
      </c>
    </row>
    <row r="3676" spans="17:20" x14ac:dyDescent="0.3">
      <c r="Q3676" s="93">
        <v>46010</v>
      </c>
      <c r="R3676" t="s">
        <v>479</v>
      </c>
      <c r="S3676" t="s">
        <v>395</v>
      </c>
      <c r="T3676" s="14">
        <v>10186.354449274</v>
      </c>
    </row>
    <row r="3677" spans="17:20" x14ac:dyDescent="0.3">
      <c r="Q3677" s="93">
        <v>46010</v>
      </c>
      <c r="R3677" t="s">
        <v>479</v>
      </c>
      <c r="S3677" t="s">
        <v>415</v>
      </c>
      <c r="T3677" s="14">
        <v>6.0629999999999997</v>
      </c>
    </row>
    <row r="3678" spans="17:20" x14ac:dyDescent="0.3">
      <c r="Q3678" s="93">
        <v>46010</v>
      </c>
      <c r="R3678" t="s">
        <v>364</v>
      </c>
      <c r="S3678" t="s">
        <v>415</v>
      </c>
      <c r="T3678" s="14">
        <v>5.8490400882639104</v>
      </c>
    </row>
    <row r="3679" spans="17:20" x14ac:dyDescent="0.3">
      <c r="Q3679" s="93">
        <v>46010</v>
      </c>
      <c r="R3679" t="s">
        <v>364</v>
      </c>
      <c r="S3679" t="s">
        <v>997</v>
      </c>
      <c r="T3679" s="14">
        <v>30860.7228</v>
      </c>
    </row>
    <row r="3680" spans="17:20" x14ac:dyDescent="0.3">
      <c r="Q3680" s="93">
        <v>46010</v>
      </c>
      <c r="R3680" t="s">
        <v>496</v>
      </c>
      <c r="S3680" t="s">
        <v>997</v>
      </c>
      <c r="T3680" s="14">
        <v>35193.758800000003</v>
      </c>
    </row>
    <row r="3681" spans="17:20" x14ac:dyDescent="0.3">
      <c r="Q3681" s="93">
        <v>46009</v>
      </c>
      <c r="R3681" t="s">
        <v>479</v>
      </c>
      <c r="S3681" t="s">
        <v>399</v>
      </c>
      <c r="T3681" s="14">
        <v>10000</v>
      </c>
    </row>
    <row r="3682" spans="17:20" x14ac:dyDescent="0.3">
      <c r="Q3682" s="93">
        <v>46009</v>
      </c>
      <c r="R3682" t="s">
        <v>364</v>
      </c>
      <c r="S3682" t="s">
        <v>399</v>
      </c>
      <c r="T3682" s="14">
        <v>24660.7228</v>
      </c>
    </row>
    <row r="3683" spans="17:20" x14ac:dyDescent="0.3">
      <c r="Q3683" s="93">
        <v>46009</v>
      </c>
      <c r="R3683" t="s">
        <v>491</v>
      </c>
      <c r="S3683" t="s">
        <v>399</v>
      </c>
      <c r="T3683" s="14">
        <v>9500</v>
      </c>
    </row>
    <row r="3684" spans="17:20" x14ac:dyDescent="0.3">
      <c r="Q3684" s="93">
        <v>46009</v>
      </c>
      <c r="R3684" t="s">
        <v>492</v>
      </c>
      <c r="S3684" t="s">
        <v>399</v>
      </c>
      <c r="T3684" s="14">
        <v>500</v>
      </c>
    </row>
    <row r="3685" spans="17:20" x14ac:dyDescent="0.3">
      <c r="Q3685" s="93">
        <v>46009</v>
      </c>
      <c r="R3685" t="s">
        <v>496</v>
      </c>
      <c r="S3685" t="s">
        <v>399</v>
      </c>
      <c r="T3685" s="14">
        <v>29543.7588</v>
      </c>
    </row>
    <row r="3686" spans="17:20" x14ac:dyDescent="0.3">
      <c r="Q3686" s="93">
        <v>46009</v>
      </c>
      <c r="R3686" t="s">
        <v>497</v>
      </c>
      <c r="S3686" t="s">
        <v>399</v>
      </c>
      <c r="T3686" s="14">
        <v>500</v>
      </c>
    </row>
    <row r="3687" spans="17:20" x14ac:dyDescent="0.3">
      <c r="Q3687" s="93">
        <v>46009</v>
      </c>
      <c r="R3687" t="s">
        <v>498</v>
      </c>
      <c r="S3687" t="s">
        <v>399</v>
      </c>
      <c r="T3687" s="14">
        <v>9500</v>
      </c>
    </row>
    <row r="3688" spans="17:20" x14ac:dyDescent="0.3">
      <c r="Q3688" s="93">
        <v>46009</v>
      </c>
      <c r="R3688" t="s">
        <v>494</v>
      </c>
      <c r="S3688" t="s">
        <v>399</v>
      </c>
      <c r="T3688" s="14">
        <v>-2800</v>
      </c>
    </row>
    <row r="3689" spans="17:20" x14ac:dyDescent="0.3">
      <c r="Q3689" s="93">
        <v>46009</v>
      </c>
      <c r="R3689" t="s">
        <v>495</v>
      </c>
      <c r="S3689" t="s">
        <v>399</v>
      </c>
      <c r="T3689" s="14">
        <v>0</v>
      </c>
    </row>
    <row r="3690" spans="17:20" x14ac:dyDescent="0.3">
      <c r="Q3690" s="93">
        <v>46009</v>
      </c>
      <c r="R3690" t="s">
        <v>493</v>
      </c>
      <c r="S3690" t="s">
        <v>399</v>
      </c>
      <c r="T3690" s="14">
        <v>0</v>
      </c>
    </row>
    <row r="3691" spans="17:20" x14ac:dyDescent="0.3">
      <c r="Q3691" s="93">
        <v>46009</v>
      </c>
      <c r="R3691" t="s">
        <v>593</v>
      </c>
      <c r="S3691" t="s">
        <v>399</v>
      </c>
      <c r="T3691" s="14">
        <v>-2083.0360000000001</v>
      </c>
    </row>
    <row r="3692" spans="17:20" x14ac:dyDescent="0.3">
      <c r="Q3692" s="93">
        <v>46009</v>
      </c>
      <c r="R3692" t="s">
        <v>594</v>
      </c>
      <c r="S3692" t="s">
        <v>399</v>
      </c>
      <c r="T3692" s="14">
        <v>0</v>
      </c>
    </row>
    <row r="3693" spans="17:20" x14ac:dyDescent="0.3">
      <c r="Q3693" s="93">
        <v>46009</v>
      </c>
      <c r="R3693" t="s">
        <v>595</v>
      </c>
      <c r="S3693" t="s">
        <v>399</v>
      </c>
      <c r="T3693" s="14">
        <v>0</v>
      </c>
    </row>
    <row r="3694" spans="17:20" x14ac:dyDescent="0.3">
      <c r="Q3694" s="93">
        <v>46009</v>
      </c>
      <c r="R3694" t="s">
        <v>479</v>
      </c>
      <c r="S3694" t="s">
        <v>395</v>
      </c>
      <c r="T3694" s="14">
        <v>10189.723590926</v>
      </c>
    </row>
    <row r="3695" spans="17:20" x14ac:dyDescent="0.3">
      <c r="Q3695" s="93">
        <v>46009</v>
      </c>
      <c r="R3695" t="s">
        <v>479</v>
      </c>
      <c r="S3695" t="s">
        <v>415</v>
      </c>
      <c r="T3695" s="14">
        <v>6.0629999999999997</v>
      </c>
    </row>
    <row r="3696" spans="17:20" x14ac:dyDescent="0.3">
      <c r="Q3696" s="93">
        <v>46009</v>
      </c>
      <c r="R3696" t="s">
        <v>364</v>
      </c>
      <c r="S3696" t="s">
        <v>415</v>
      </c>
      <c r="T3696" s="14">
        <v>5.8630113057842399</v>
      </c>
    </row>
    <row r="3697" spans="17:20" x14ac:dyDescent="0.3">
      <c r="Q3697" s="93">
        <v>46009</v>
      </c>
      <c r="R3697" t="s">
        <v>364</v>
      </c>
      <c r="S3697" t="s">
        <v>997</v>
      </c>
      <c r="T3697" s="14">
        <v>29810.7228</v>
      </c>
    </row>
    <row r="3698" spans="17:20" x14ac:dyDescent="0.3">
      <c r="Q3698" s="93">
        <v>46009</v>
      </c>
      <c r="R3698" t="s">
        <v>496</v>
      </c>
      <c r="S3698" t="s">
        <v>997</v>
      </c>
      <c r="T3698" s="14">
        <v>35543.758800000003</v>
      </c>
    </row>
    <row r="3699" spans="17:20" x14ac:dyDescent="0.3">
      <c r="Q3699" s="93">
        <v>46008</v>
      </c>
      <c r="R3699" t="s">
        <v>479</v>
      </c>
      <c r="S3699" t="s">
        <v>399</v>
      </c>
      <c r="T3699" s="14">
        <v>10000</v>
      </c>
    </row>
    <row r="3700" spans="17:20" x14ac:dyDescent="0.3">
      <c r="Q3700" s="93">
        <v>46008</v>
      </c>
      <c r="R3700" t="s">
        <v>364</v>
      </c>
      <c r="S3700" t="s">
        <v>399</v>
      </c>
      <c r="T3700" s="14">
        <v>26660.7228</v>
      </c>
    </row>
    <row r="3701" spans="17:20" x14ac:dyDescent="0.3">
      <c r="Q3701" s="93">
        <v>46008</v>
      </c>
      <c r="R3701" t="s">
        <v>491</v>
      </c>
      <c r="S3701" t="s">
        <v>399</v>
      </c>
      <c r="T3701" s="14">
        <v>9500</v>
      </c>
    </row>
    <row r="3702" spans="17:20" x14ac:dyDescent="0.3">
      <c r="Q3702" s="93">
        <v>46008</v>
      </c>
      <c r="R3702" t="s">
        <v>492</v>
      </c>
      <c r="S3702" t="s">
        <v>399</v>
      </c>
      <c r="T3702" s="14">
        <v>500</v>
      </c>
    </row>
    <row r="3703" spans="17:20" x14ac:dyDescent="0.3">
      <c r="Q3703" s="93">
        <v>46008</v>
      </c>
      <c r="R3703" t="s">
        <v>496</v>
      </c>
      <c r="S3703" t="s">
        <v>399</v>
      </c>
      <c r="T3703" s="14">
        <v>29482.852200000001</v>
      </c>
    </row>
    <row r="3704" spans="17:20" x14ac:dyDescent="0.3">
      <c r="Q3704" s="93">
        <v>46008</v>
      </c>
      <c r="R3704" t="s">
        <v>497</v>
      </c>
      <c r="S3704" t="s">
        <v>399</v>
      </c>
      <c r="T3704" s="14">
        <v>500</v>
      </c>
    </row>
    <row r="3705" spans="17:20" x14ac:dyDescent="0.3">
      <c r="Q3705" s="93">
        <v>46008</v>
      </c>
      <c r="R3705" t="s">
        <v>498</v>
      </c>
      <c r="S3705" t="s">
        <v>399</v>
      </c>
      <c r="T3705" s="14">
        <v>9500</v>
      </c>
    </row>
    <row r="3706" spans="17:20" x14ac:dyDescent="0.3">
      <c r="Q3706" s="93">
        <v>46008</v>
      </c>
      <c r="R3706" t="s">
        <v>494</v>
      </c>
      <c r="S3706" t="s">
        <v>399</v>
      </c>
      <c r="T3706" s="14">
        <v>-739.09339999999997</v>
      </c>
    </row>
    <row r="3707" spans="17:20" x14ac:dyDescent="0.3">
      <c r="Q3707" s="93">
        <v>46008</v>
      </c>
      <c r="R3707" t="s">
        <v>495</v>
      </c>
      <c r="S3707" t="s">
        <v>399</v>
      </c>
      <c r="T3707" s="14">
        <v>0</v>
      </c>
    </row>
    <row r="3708" spans="17:20" x14ac:dyDescent="0.3">
      <c r="Q3708" s="93">
        <v>46008</v>
      </c>
      <c r="R3708" t="s">
        <v>493</v>
      </c>
      <c r="S3708" t="s">
        <v>399</v>
      </c>
      <c r="T3708" s="14">
        <v>0</v>
      </c>
    </row>
    <row r="3709" spans="17:20" x14ac:dyDescent="0.3">
      <c r="Q3709" s="93">
        <v>46008</v>
      </c>
      <c r="R3709" t="s">
        <v>593</v>
      </c>
      <c r="S3709" t="s">
        <v>399</v>
      </c>
      <c r="T3709" s="14">
        <v>-2083.0360000000001</v>
      </c>
    </row>
    <row r="3710" spans="17:20" x14ac:dyDescent="0.3">
      <c r="Q3710" s="93">
        <v>46008</v>
      </c>
      <c r="R3710" t="s">
        <v>594</v>
      </c>
      <c r="S3710" t="s">
        <v>399</v>
      </c>
      <c r="T3710" s="14">
        <v>0</v>
      </c>
    </row>
    <row r="3711" spans="17:20" x14ac:dyDescent="0.3">
      <c r="Q3711" s="93">
        <v>46008</v>
      </c>
      <c r="R3711" t="s">
        <v>595</v>
      </c>
      <c r="S3711" t="s">
        <v>399</v>
      </c>
      <c r="T3711" s="14">
        <v>0</v>
      </c>
    </row>
    <row r="3712" spans="17:20" x14ac:dyDescent="0.3">
      <c r="Q3712" s="93">
        <v>46008</v>
      </c>
      <c r="R3712" t="s">
        <v>479</v>
      </c>
      <c r="S3712" t="s">
        <v>395</v>
      </c>
      <c r="T3712" s="14">
        <v>10190.642748794</v>
      </c>
    </row>
    <row r="3713" spans="17:20" x14ac:dyDescent="0.3">
      <c r="Q3713" s="93">
        <v>46008</v>
      </c>
      <c r="R3713" t="s">
        <v>479</v>
      </c>
      <c r="S3713" t="s">
        <v>415</v>
      </c>
      <c r="T3713" s="14">
        <v>6.0629999999999997</v>
      </c>
    </row>
    <row r="3714" spans="17:20" x14ac:dyDescent="0.3">
      <c r="Q3714" s="93">
        <v>46008</v>
      </c>
      <c r="R3714" t="s">
        <v>364</v>
      </c>
      <c r="S3714" t="s">
        <v>415</v>
      </c>
      <c r="T3714" s="14">
        <v>5.8416039030761802</v>
      </c>
    </row>
    <row r="3715" spans="17:20" x14ac:dyDescent="0.3">
      <c r="Q3715" s="93">
        <v>46008</v>
      </c>
      <c r="R3715" t="s">
        <v>364</v>
      </c>
      <c r="S3715" t="s">
        <v>997</v>
      </c>
      <c r="T3715" s="14">
        <v>31810.7228</v>
      </c>
    </row>
    <row r="3716" spans="17:20" x14ac:dyDescent="0.3">
      <c r="Q3716" s="93">
        <v>46008</v>
      </c>
      <c r="R3716" t="s">
        <v>496</v>
      </c>
      <c r="S3716" t="s">
        <v>997</v>
      </c>
      <c r="T3716" s="14">
        <v>35482.852200000001</v>
      </c>
    </row>
    <row r="3717" spans="17:20" x14ac:dyDescent="0.3">
      <c r="Q3717" s="93">
        <v>46007</v>
      </c>
      <c r="R3717" t="s">
        <v>479</v>
      </c>
      <c r="S3717" t="s">
        <v>399</v>
      </c>
      <c r="T3717" s="14">
        <v>10000</v>
      </c>
    </row>
    <row r="3718" spans="17:20" x14ac:dyDescent="0.3">
      <c r="Q3718" s="93">
        <v>46007</v>
      </c>
      <c r="R3718" t="s">
        <v>364</v>
      </c>
      <c r="S3718" t="s">
        <v>399</v>
      </c>
      <c r="T3718" s="14">
        <v>27626.394400000001</v>
      </c>
    </row>
    <row r="3719" spans="17:20" x14ac:dyDescent="0.3">
      <c r="Q3719" s="93">
        <v>46007</v>
      </c>
      <c r="R3719" t="s">
        <v>491</v>
      </c>
      <c r="S3719" t="s">
        <v>399</v>
      </c>
      <c r="T3719" s="14">
        <v>9500</v>
      </c>
    </row>
    <row r="3720" spans="17:20" x14ac:dyDescent="0.3">
      <c r="Q3720" s="93">
        <v>46007</v>
      </c>
      <c r="R3720" t="s">
        <v>492</v>
      </c>
      <c r="S3720" t="s">
        <v>399</v>
      </c>
      <c r="T3720" s="14">
        <v>500</v>
      </c>
    </row>
    <row r="3721" spans="17:20" x14ac:dyDescent="0.3">
      <c r="Q3721" s="93">
        <v>46007</v>
      </c>
      <c r="R3721" t="s">
        <v>496</v>
      </c>
      <c r="S3721" t="s">
        <v>399</v>
      </c>
      <c r="T3721" s="14">
        <v>30040.450199999999</v>
      </c>
    </row>
    <row r="3722" spans="17:20" x14ac:dyDescent="0.3">
      <c r="Q3722" s="93">
        <v>46007</v>
      </c>
      <c r="R3722" t="s">
        <v>497</v>
      </c>
      <c r="S3722" t="s">
        <v>399</v>
      </c>
      <c r="T3722" s="14">
        <v>500</v>
      </c>
    </row>
    <row r="3723" spans="17:20" x14ac:dyDescent="0.3">
      <c r="Q3723" s="93">
        <v>46007</v>
      </c>
      <c r="R3723" t="s">
        <v>498</v>
      </c>
      <c r="S3723" t="s">
        <v>399</v>
      </c>
      <c r="T3723" s="14">
        <v>9500</v>
      </c>
    </row>
    <row r="3724" spans="17:20" x14ac:dyDescent="0.3">
      <c r="Q3724" s="93">
        <v>46007</v>
      </c>
      <c r="R3724" t="s">
        <v>494</v>
      </c>
      <c r="S3724" t="s">
        <v>399</v>
      </c>
      <c r="T3724" s="14">
        <v>-500</v>
      </c>
    </row>
    <row r="3725" spans="17:20" x14ac:dyDescent="0.3">
      <c r="Q3725" s="93">
        <v>46007</v>
      </c>
      <c r="R3725" t="s">
        <v>495</v>
      </c>
      <c r="S3725" t="s">
        <v>399</v>
      </c>
      <c r="T3725" s="14">
        <v>0</v>
      </c>
    </row>
    <row r="3726" spans="17:20" x14ac:dyDescent="0.3">
      <c r="Q3726" s="93">
        <v>46007</v>
      </c>
      <c r="R3726" t="s">
        <v>493</v>
      </c>
      <c r="S3726" t="s">
        <v>399</v>
      </c>
      <c r="T3726" s="14">
        <v>0</v>
      </c>
    </row>
    <row r="3727" spans="17:20" x14ac:dyDescent="0.3">
      <c r="Q3727" s="93">
        <v>46007</v>
      </c>
      <c r="R3727" t="s">
        <v>593</v>
      </c>
      <c r="S3727" t="s">
        <v>399</v>
      </c>
      <c r="T3727" s="14">
        <v>-1914.0558000000001</v>
      </c>
    </row>
    <row r="3728" spans="17:20" x14ac:dyDescent="0.3">
      <c r="Q3728" s="93">
        <v>46007</v>
      </c>
      <c r="R3728" t="s">
        <v>594</v>
      </c>
      <c r="S3728" t="s">
        <v>399</v>
      </c>
      <c r="T3728" s="14">
        <v>0</v>
      </c>
    </row>
    <row r="3729" spans="17:20" x14ac:dyDescent="0.3">
      <c r="Q3729" s="93">
        <v>46007</v>
      </c>
      <c r="R3729" t="s">
        <v>595</v>
      </c>
      <c r="S3729" t="s">
        <v>399</v>
      </c>
      <c r="T3729" s="14">
        <v>0</v>
      </c>
    </row>
    <row r="3730" spans="17:20" x14ac:dyDescent="0.3">
      <c r="Q3730" s="93">
        <v>46007</v>
      </c>
      <c r="R3730" t="s">
        <v>479</v>
      </c>
      <c r="S3730" t="s">
        <v>395</v>
      </c>
      <c r="T3730" s="14">
        <v>10190.281008884</v>
      </c>
    </row>
    <row r="3731" spans="17:20" x14ac:dyDescent="0.3">
      <c r="Q3731" s="93">
        <v>46007</v>
      </c>
      <c r="R3731" t="s">
        <v>479</v>
      </c>
      <c r="S3731" t="s">
        <v>415</v>
      </c>
      <c r="T3731" s="14">
        <v>6.0629999999999997</v>
      </c>
    </row>
    <row r="3732" spans="17:20" x14ac:dyDescent="0.3">
      <c r="Q3732" s="93">
        <v>46007</v>
      </c>
      <c r="R3732" t="s">
        <v>364</v>
      </c>
      <c r="S3732" t="s">
        <v>415</v>
      </c>
      <c r="T3732" s="14">
        <v>5.8381636332103399</v>
      </c>
    </row>
    <row r="3733" spans="17:20" x14ac:dyDescent="0.3">
      <c r="Q3733" s="93">
        <v>46007</v>
      </c>
      <c r="R3733" t="s">
        <v>364</v>
      </c>
      <c r="S3733" t="s">
        <v>997</v>
      </c>
      <c r="T3733" s="14">
        <v>32452.394400000001</v>
      </c>
    </row>
    <row r="3734" spans="17:20" x14ac:dyDescent="0.3">
      <c r="Q3734" s="93">
        <v>46007</v>
      </c>
      <c r="R3734" t="s">
        <v>496</v>
      </c>
      <c r="S3734" t="s">
        <v>997</v>
      </c>
      <c r="T3734" s="14">
        <v>35854.450199999999</v>
      </c>
    </row>
    <row r="3735" spans="17:20" x14ac:dyDescent="0.3">
      <c r="Q3735" s="93">
        <v>46006</v>
      </c>
      <c r="R3735" t="s">
        <v>479</v>
      </c>
      <c r="S3735" t="s">
        <v>399</v>
      </c>
      <c r="T3735" s="14">
        <v>10000</v>
      </c>
    </row>
    <row r="3736" spans="17:20" x14ac:dyDescent="0.3">
      <c r="Q3736" s="93">
        <v>46006</v>
      </c>
      <c r="R3736" t="s">
        <v>364</v>
      </c>
      <c r="S3736" t="s">
        <v>399</v>
      </c>
      <c r="T3736" s="14">
        <v>27726.394400000001</v>
      </c>
    </row>
    <row r="3737" spans="17:20" x14ac:dyDescent="0.3">
      <c r="Q3737" s="93">
        <v>46006</v>
      </c>
      <c r="R3737" t="s">
        <v>491</v>
      </c>
      <c r="S3737" t="s">
        <v>399</v>
      </c>
      <c r="T3737" s="14">
        <v>9500</v>
      </c>
    </row>
    <row r="3738" spans="17:20" x14ac:dyDescent="0.3">
      <c r="Q3738" s="93">
        <v>46006</v>
      </c>
      <c r="R3738" t="s">
        <v>492</v>
      </c>
      <c r="S3738" t="s">
        <v>399</v>
      </c>
      <c r="T3738" s="14">
        <v>500</v>
      </c>
    </row>
    <row r="3739" spans="17:20" x14ac:dyDescent="0.3">
      <c r="Q3739" s="93">
        <v>46006</v>
      </c>
      <c r="R3739" t="s">
        <v>496</v>
      </c>
      <c r="S3739" t="s">
        <v>399</v>
      </c>
      <c r="T3739" s="14">
        <v>30909.430400000001</v>
      </c>
    </row>
    <row r="3740" spans="17:20" x14ac:dyDescent="0.3">
      <c r="Q3740" s="93">
        <v>46006</v>
      </c>
      <c r="R3740" t="s">
        <v>497</v>
      </c>
      <c r="S3740" t="s">
        <v>399</v>
      </c>
      <c r="T3740" s="14">
        <v>500</v>
      </c>
    </row>
    <row r="3741" spans="17:20" x14ac:dyDescent="0.3">
      <c r="Q3741" s="93">
        <v>46006</v>
      </c>
      <c r="R3741" t="s">
        <v>498</v>
      </c>
      <c r="S3741" t="s">
        <v>399</v>
      </c>
      <c r="T3741" s="14">
        <v>9500</v>
      </c>
    </row>
    <row r="3742" spans="17:20" x14ac:dyDescent="0.3">
      <c r="Q3742" s="93">
        <v>46006</v>
      </c>
      <c r="R3742" t="s">
        <v>494</v>
      </c>
      <c r="S3742" t="s">
        <v>399</v>
      </c>
      <c r="T3742" s="14">
        <v>-2000</v>
      </c>
    </row>
    <row r="3743" spans="17:20" x14ac:dyDescent="0.3">
      <c r="Q3743" s="93">
        <v>46006</v>
      </c>
      <c r="R3743" t="s">
        <v>495</v>
      </c>
      <c r="S3743" t="s">
        <v>399</v>
      </c>
      <c r="T3743" s="14">
        <v>0</v>
      </c>
    </row>
    <row r="3744" spans="17:20" x14ac:dyDescent="0.3">
      <c r="Q3744" s="93">
        <v>46006</v>
      </c>
      <c r="R3744" t="s">
        <v>493</v>
      </c>
      <c r="S3744" t="s">
        <v>399</v>
      </c>
      <c r="T3744" s="14">
        <v>0</v>
      </c>
    </row>
    <row r="3745" spans="17:20" x14ac:dyDescent="0.3">
      <c r="Q3745" s="93">
        <v>46006</v>
      </c>
      <c r="R3745" t="s">
        <v>593</v>
      </c>
      <c r="S3745" t="s">
        <v>399</v>
      </c>
      <c r="T3745" s="14">
        <v>-1183.0360000000001</v>
      </c>
    </row>
    <row r="3746" spans="17:20" x14ac:dyDescent="0.3">
      <c r="Q3746" s="93">
        <v>46006</v>
      </c>
      <c r="R3746" t="s">
        <v>594</v>
      </c>
      <c r="S3746" t="s">
        <v>399</v>
      </c>
      <c r="T3746" s="14">
        <v>0</v>
      </c>
    </row>
    <row r="3747" spans="17:20" x14ac:dyDescent="0.3">
      <c r="Q3747" s="93">
        <v>46006</v>
      </c>
      <c r="R3747" t="s">
        <v>595</v>
      </c>
      <c r="S3747" t="s">
        <v>399</v>
      </c>
      <c r="T3747" s="14">
        <v>0</v>
      </c>
    </row>
    <row r="3748" spans="17:20" x14ac:dyDescent="0.3">
      <c r="Q3748" s="93">
        <v>46006</v>
      </c>
      <c r="R3748" t="s">
        <v>479</v>
      </c>
      <c r="S3748" t="s">
        <v>395</v>
      </c>
      <c r="T3748" s="14">
        <v>10192.838177071</v>
      </c>
    </row>
    <row r="3749" spans="17:20" x14ac:dyDescent="0.3">
      <c r="Q3749" s="93">
        <v>46006</v>
      </c>
      <c r="R3749" t="s">
        <v>479</v>
      </c>
      <c r="S3749" t="s">
        <v>415</v>
      </c>
      <c r="T3749" s="14">
        <v>6.0629999999999997</v>
      </c>
    </row>
    <row r="3750" spans="17:20" x14ac:dyDescent="0.3">
      <c r="Q3750" s="93">
        <v>46006</v>
      </c>
      <c r="R3750" t="s">
        <v>364</v>
      </c>
      <c r="S3750" t="s">
        <v>415</v>
      </c>
      <c r="T3750" s="14">
        <v>5.8354696742355596</v>
      </c>
    </row>
    <row r="3751" spans="17:20" x14ac:dyDescent="0.3">
      <c r="Q3751" s="93">
        <v>46006</v>
      </c>
      <c r="R3751" t="s">
        <v>364</v>
      </c>
      <c r="S3751" t="s">
        <v>997</v>
      </c>
      <c r="T3751" s="14">
        <v>32690.394400000001</v>
      </c>
    </row>
    <row r="3752" spans="17:20" x14ac:dyDescent="0.3">
      <c r="Q3752" s="93">
        <v>46006</v>
      </c>
      <c r="R3752" t="s">
        <v>496</v>
      </c>
      <c r="S3752" t="s">
        <v>997</v>
      </c>
      <c r="T3752" s="14">
        <v>36723.430399999997</v>
      </c>
    </row>
    <row r="3753" spans="17:20" x14ac:dyDescent="0.3">
      <c r="Q3753" s="93">
        <v>46003</v>
      </c>
      <c r="R3753" t="s">
        <v>479</v>
      </c>
      <c r="S3753" t="s">
        <v>399</v>
      </c>
      <c r="T3753" s="14">
        <v>9600</v>
      </c>
    </row>
    <row r="3754" spans="17:20" x14ac:dyDescent="0.3">
      <c r="Q3754" s="93">
        <v>46003</v>
      </c>
      <c r="R3754" t="s">
        <v>364</v>
      </c>
      <c r="S3754" t="s">
        <v>399</v>
      </c>
      <c r="T3754" s="14">
        <v>29026.394400000001</v>
      </c>
    </row>
    <row r="3755" spans="17:20" x14ac:dyDescent="0.3">
      <c r="Q3755" s="93">
        <v>46003</v>
      </c>
      <c r="R3755" t="s">
        <v>491</v>
      </c>
      <c r="S3755" t="s">
        <v>399</v>
      </c>
      <c r="T3755" s="14">
        <v>9100</v>
      </c>
    </row>
    <row r="3756" spans="17:20" x14ac:dyDescent="0.3">
      <c r="Q3756" s="93">
        <v>46003</v>
      </c>
      <c r="R3756" t="s">
        <v>492</v>
      </c>
      <c r="S3756" t="s">
        <v>399</v>
      </c>
      <c r="T3756" s="14">
        <v>500</v>
      </c>
    </row>
    <row r="3757" spans="17:20" x14ac:dyDescent="0.3">
      <c r="Q3757" s="93">
        <v>46003</v>
      </c>
      <c r="R3757" t="s">
        <v>496</v>
      </c>
      <c r="S3757" t="s">
        <v>399</v>
      </c>
      <c r="T3757" s="14">
        <v>32259.430400000001</v>
      </c>
    </row>
    <row r="3758" spans="17:20" x14ac:dyDescent="0.3">
      <c r="Q3758" s="93">
        <v>46003</v>
      </c>
      <c r="R3758" t="s">
        <v>497</v>
      </c>
      <c r="S3758" t="s">
        <v>399</v>
      </c>
      <c r="T3758" s="14">
        <v>500</v>
      </c>
    </row>
    <row r="3759" spans="17:20" x14ac:dyDescent="0.3">
      <c r="Q3759" s="93">
        <v>46003</v>
      </c>
      <c r="R3759" t="s">
        <v>498</v>
      </c>
      <c r="S3759" t="s">
        <v>399</v>
      </c>
      <c r="T3759" s="14">
        <v>9100</v>
      </c>
    </row>
    <row r="3760" spans="17:20" x14ac:dyDescent="0.3">
      <c r="Q3760" s="93">
        <v>46003</v>
      </c>
      <c r="R3760" t="s">
        <v>494</v>
      </c>
      <c r="S3760" t="s">
        <v>399</v>
      </c>
      <c r="T3760" s="14">
        <v>-1800</v>
      </c>
    </row>
    <row r="3761" spans="17:20" x14ac:dyDescent="0.3">
      <c r="Q3761" s="93">
        <v>46003</v>
      </c>
      <c r="R3761" t="s">
        <v>495</v>
      </c>
      <c r="S3761" t="s">
        <v>399</v>
      </c>
      <c r="T3761" s="14">
        <v>0</v>
      </c>
    </row>
    <row r="3762" spans="17:20" x14ac:dyDescent="0.3">
      <c r="Q3762" s="93">
        <v>46003</v>
      </c>
      <c r="R3762" t="s">
        <v>493</v>
      </c>
      <c r="S3762" t="s">
        <v>399</v>
      </c>
      <c r="T3762" s="14">
        <v>0</v>
      </c>
    </row>
    <row r="3763" spans="17:20" x14ac:dyDescent="0.3">
      <c r="Q3763" s="93">
        <v>46003</v>
      </c>
      <c r="R3763" t="s">
        <v>593</v>
      </c>
      <c r="S3763" t="s">
        <v>399</v>
      </c>
      <c r="T3763" s="14">
        <v>-1433.0360000000001</v>
      </c>
    </row>
    <row r="3764" spans="17:20" x14ac:dyDescent="0.3">
      <c r="Q3764" s="93">
        <v>46003</v>
      </c>
      <c r="R3764" t="s">
        <v>594</v>
      </c>
      <c r="S3764" t="s">
        <v>399</v>
      </c>
      <c r="T3764" s="14">
        <v>0</v>
      </c>
    </row>
    <row r="3765" spans="17:20" x14ac:dyDescent="0.3">
      <c r="Q3765" s="93">
        <v>46003</v>
      </c>
      <c r="R3765" t="s">
        <v>595</v>
      </c>
      <c r="S3765" t="s">
        <v>399</v>
      </c>
      <c r="T3765" s="14">
        <v>0</v>
      </c>
    </row>
    <row r="3766" spans="17:20" x14ac:dyDescent="0.3">
      <c r="Q3766" s="93">
        <v>46003</v>
      </c>
      <c r="R3766" t="s">
        <v>479</v>
      </c>
      <c r="S3766" t="s">
        <v>395</v>
      </c>
      <c r="T3766" s="14">
        <v>9781.4701309339998</v>
      </c>
    </row>
    <row r="3767" spans="17:20" x14ac:dyDescent="0.3">
      <c r="Q3767" s="93">
        <v>46003</v>
      </c>
      <c r="R3767" t="s">
        <v>479</v>
      </c>
      <c r="S3767" t="s">
        <v>415</v>
      </c>
      <c r="T3767" s="14">
        <v>6.0374999999999996</v>
      </c>
    </row>
    <row r="3768" spans="17:20" x14ac:dyDescent="0.3">
      <c r="Q3768" s="93">
        <v>46003</v>
      </c>
      <c r="R3768" t="s">
        <v>364</v>
      </c>
      <c r="S3768" t="s">
        <v>415</v>
      </c>
      <c r="T3768" s="14">
        <v>5.8217566654654602</v>
      </c>
    </row>
    <row r="3769" spans="17:20" x14ac:dyDescent="0.3">
      <c r="Q3769" s="93">
        <v>46003</v>
      </c>
      <c r="R3769" t="s">
        <v>364</v>
      </c>
      <c r="S3769" t="s">
        <v>997</v>
      </c>
      <c r="T3769" s="14">
        <v>33990.394399999997</v>
      </c>
    </row>
    <row r="3770" spans="17:20" x14ac:dyDescent="0.3">
      <c r="Q3770" s="93">
        <v>46003</v>
      </c>
      <c r="R3770" t="s">
        <v>496</v>
      </c>
      <c r="S3770" t="s">
        <v>997</v>
      </c>
      <c r="T3770" s="14">
        <v>38073.430399999997</v>
      </c>
    </row>
    <row r="3771" spans="17:20" x14ac:dyDescent="0.3">
      <c r="Q3771" s="93">
        <v>46002</v>
      </c>
      <c r="R3771" t="s">
        <v>364</v>
      </c>
      <c r="S3771" t="s">
        <v>399</v>
      </c>
      <c r="T3771" s="14">
        <v>29176.394400000001</v>
      </c>
    </row>
    <row r="3772" spans="17:20" x14ac:dyDescent="0.3">
      <c r="Q3772" s="93">
        <v>46002</v>
      </c>
      <c r="R3772" t="s">
        <v>491</v>
      </c>
      <c r="S3772" t="s">
        <v>399</v>
      </c>
      <c r="T3772" s="14">
        <v>9100</v>
      </c>
    </row>
    <row r="3773" spans="17:20" x14ac:dyDescent="0.3">
      <c r="Q3773" s="93">
        <v>46002</v>
      </c>
      <c r="R3773" t="s">
        <v>492</v>
      </c>
      <c r="S3773" t="s">
        <v>399</v>
      </c>
      <c r="T3773" s="14">
        <v>500</v>
      </c>
    </row>
    <row r="3774" spans="17:20" x14ac:dyDescent="0.3">
      <c r="Q3774" s="93">
        <v>46002</v>
      </c>
      <c r="R3774" t="s">
        <v>496</v>
      </c>
      <c r="S3774" t="s">
        <v>399</v>
      </c>
      <c r="T3774" s="14">
        <v>32159.430400000001</v>
      </c>
    </row>
    <row r="3775" spans="17:20" x14ac:dyDescent="0.3">
      <c r="Q3775" s="93">
        <v>46002</v>
      </c>
      <c r="R3775" t="s">
        <v>497</v>
      </c>
      <c r="S3775" t="s">
        <v>399</v>
      </c>
      <c r="T3775" s="14">
        <v>500</v>
      </c>
    </row>
    <row r="3776" spans="17:20" x14ac:dyDescent="0.3">
      <c r="Q3776" s="93">
        <v>46002</v>
      </c>
      <c r="R3776" t="s">
        <v>498</v>
      </c>
      <c r="S3776" t="s">
        <v>399</v>
      </c>
      <c r="T3776" s="14">
        <v>9500</v>
      </c>
    </row>
    <row r="3777" spans="17:20" x14ac:dyDescent="0.3">
      <c r="Q3777" s="93">
        <v>46002</v>
      </c>
      <c r="R3777" t="s">
        <v>494</v>
      </c>
      <c r="S3777" t="s">
        <v>399</v>
      </c>
      <c r="T3777" s="14">
        <v>-1300</v>
      </c>
    </row>
    <row r="3778" spans="17:20" x14ac:dyDescent="0.3">
      <c r="Q3778" s="93">
        <v>46002</v>
      </c>
      <c r="R3778" t="s">
        <v>495</v>
      </c>
      <c r="S3778" t="s">
        <v>399</v>
      </c>
      <c r="T3778" s="14">
        <v>0</v>
      </c>
    </row>
    <row r="3779" spans="17:20" x14ac:dyDescent="0.3">
      <c r="Q3779" s="93">
        <v>46002</v>
      </c>
      <c r="R3779" t="s">
        <v>493</v>
      </c>
      <c r="S3779" t="s">
        <v>399</v>
      </c>
      <c r="T3779" s="14">
        <v>-400</v>
      </c>
    </row>
    <row r="3780" spans="17:20" x14ac:dyDescent="0.3">
      <c r="Q3780" s="93">
        <v>46002</v>
      </c>
      <c r="R3780" t="s">
        <v>593</v>
      </c>
      <c r="S3780" t="s">
        <v>399</v>
      </c>
      <c r="T3780" s="14">
        <v>-1683.0360000000001</v>
      </c>
    </row>
    <row r="3781" spans="17:20" x14ac:dyDescent="0.3">
      <c r="Q3781" s="93">
        <v>46002</v>
      </c>
      <c r="R3781" t="s">
        <v>594</v>
      </c>
      <c r="S3781" t="s">
        <v>399</v>
      </c>
      <c r="T3781" s="14">
        <v>0</v>
      </c>
    </row>
    <row r="3782" spans="17:20" x14ac:dyDescent="0.3">
      <c r="Q3782" s="93">
        <v>46002</v>
      </c>
      <c r="R3782" t="s">
        <v>595</v>
      </c>
      <c r="S3782" t="s">
        <v>399</v>
      </c>
      <c r="T3782" s="14">
        <v>0</v>
      </c>
    </row>
    <row r="3783" spans="17:20" x14ac:dyDescent="0.3">
      <c r="Q3783" s="93">
        <v>46002</v>
      </c>
      <c r="R3783" t="s">
        <v>479</v>
      </c>
      <c r="S3783" t="s">
        <v>395</v>
      </c>
      <c r="T3783" s="14">
        <v>9780.9339134509992</v>
      </c>
    </row>
    <row r="3784" spans="17:20" x14ac:dyDescent="0.3">
      <c r="Q3784" s="93">
        <v>46002</v>
      </c>
      <c r="R3784" t="s">
        <v>479</v>
      </c>
      <c r="S3784" t="s">
        <v>415</v>
      </c>
      <c r="T3784" s="14">
        <v>6.0374999999999996</v>
      </c>
    </row>
    <row r="3785" spans="17:20" x14ac:dyDescent="0.3">
      <c r="Q3785" s="93">
        <v>46002</v>
      </c>
      <c r="R3785" t="s">
        <v>364</v>
      </c>
      <c r="S3785" t="s">
        <v>415</v>
      </c>
      <c r="T3785" s="14">
        <v>5.8148103569025702</v>
      </c>
    </row>
    <row r="3786" spans="17:20" x14ac:dyDescent="0.3">
      <c r="Q3786" s="93">
        <v>46002</v>
      </c>
      <c r="R3786" t="s">
        <v>364</v>
      </c>
      <c r="S3786" t="s">
        <v>997</v>
      </c>
      <c r="T3786" s="14">
        <v>34440.394399999997</v>
      </c>
    </row>
    <row r="3787" spans="17:20" x14ac:dyDescent="0.3">
      <c r="Q3787" s="93">
        <v>46002</v>
      </c>
      <c r="R3787" t="s">
        <v>496</v>
      </c>
      <c r="S3787" t="s">
        <v>997</v>
      </c>
      <c r="T3787" s="14">
        <v>38273.430399999997</v>
      </c>
    </row>
    <row r="3788" spans="17:20" x14ac:dyDescent="0.3">
      <c r="Q3788" s="93">
        <v>46002</v>
      </c>
      <c r="R3788" t="s">
        <v>479</v>
      </c>
      <c r="S3788" t="s">
        <v>399</v>
      </c>
      <c r="T3788" s="14">
        <v>9600</v>
      </c>
    </row>
    <row r="3789" spans="17:20" x14ac:dyDescent="0.3">
      <c r="Q3789" s="93">
        <v>46001</v>
      </c>
      <c r="R3789" t="s">
        <v>479</v>
      </c>
      <c r="S3789" t="s">
        <v>399</v>
      </c>
      <c r="T3789" s="14">
        <v>9600</v>
      </c>
    </row>
    <row r="3790" spans="17:20" x14ac:dyDescent="0.3">
      <c r="Q3790" s="93">
        <v>46001</v>
      </c>
      <c r="R3790" t="s">
        <v>364</v>
      </c>
      <c r="S3790" t="s">
        <v>399</v>
      </c>
      <c r="T3790" s="14">
        <v>29476.394400000001</v>
      </c>
    </row>
    <row r="3791" spans="17:20" x14ac:dyDescent="0.3">
      <c r="Q3791" s="93">
        <v>46001</v>
      </c>
      <c r="R3791" t="s">
        <v>491</v>
      </c>
      <c r="S3791" t="s">
        <v>399</v>
      </c>
      <c r="T3791" s="14">
        <v>9100</v>
      </c>
    </row>
    <row r="3792" spans="17:20" x14ac:dyDescent="0.3">
      <c r="Q3792" s="93">
        <v>46001</v>
      </c>
      <c r="R3792" t="s">
        <v>492</v>
      </c>
      <c r="S3792" t="s">
        <v>399</v>
      </c>
      <c r="T3792" s="14">
        <v>500</v>
      </c>
    </row>
    <row r="3793" spans="17:20" x14ac:dyDescent="0.3">
      <c r="Q3793" s="93">
        <v>46001</v>
      </c>
      <c r="R3793" t="s">
        <v>496</v>
      </c>
      <c r="S3793" t="s">
        <v>399</v>
      </c>
      <c r="T3793" s="14">
        <v>32454.430400000001</v>
      </c>
    </row>
    <row r="3794" spans="17:20" x14ac:dyDescent="0.3">
      <c r="Q3794" s="93">
        <v>46001</v>
      </c>
      <c r="R3794" t="s">
        <v>497</v>
      </c>
      <c r="S3794" t="s">
        <v>399</v>
      </c>
      <c r="T3794" s="14">
        <v>500</v>
      </c>
    </row>
    <row r="3795" spans="17:20" x14ac:dyDescent="0.3">
      <c r="Q3795" s="93">
        <v>46001</v>
      </c>
      <c r="R3795" t="s">
        <v>498</v>
      </c>
      <c r="S3795" t="s">
        <v>399</v>
      </c>
      <c r="T3795" s="14">
        <v>9500</v>
      </c>
    </row>
    <row r="3796" spans="17:20" x14ac:dyDescent="0.3">
      <c r="Q3796" s="93">
        <v>46001</v>
      </c>
      <c r="R3796" t="s">
        <v>494</v>
      </c>
      <c r="S3796" t="s">
        <v>399</v>
      </c>
      <c r="T3796" s="14">
        <v>-1795</v>
      </c>
    </row>
    <row r="3797" spans="17:20" x14ac:dyDescent="0.3">
      <c r="Q3797" s="93">
        <v>46001</v>
      </c>
      <c r="R3797" t="s">
        <v>495</v>
      </c>
      <c r="S3797" t="s">
        <v>399</v>
      </c>
      <c r="T3797" s="14">
        <v>0</v>
      </c>
    </row>
    <row r="3798" spans="17:20" x14ac:dyDescent="0.3">
      <c r="Q3798" s="93">
        <v>46001</v>
      </c>
      <c r="R3798" t="s">
        <v>493</v>
      </c>
      <c r="S3798" t="s">
        <v>399</v>
      </c>
      <c r="T3798" s="14">
        <v>-400</v>
      </c>
    </row>
    <row r="3799" spans="17:20" x14ac:dyDescent="0.3">
      <c r="Q3799" s="93">
        <v>46001</v>
      </c>
      <c r="R3799" t="s">
        <v>593</v>
      </c>
      <c r="S3799" t="s">
        <v>399</v>
      </c>
      <c r="T3799" s="14">
        <v>-1183.0360000000001</v>
      </c>
    </row>
    <row r="3800" spans="17:20" x14ac:dyDescent="0.3">
      <c r="Q3800" s="93">
        <v>46001</v>
      </c>
      <c r="R3800" t="s">
        <v>594</v>
      </c>
      <c r="S3800" t="s">
        <v>399</v>
      </c>
      <c r="T3800" s="14">
        <v>0</v>
      </c>
    </row>
    <row r="3801" spans="17:20" x14ac:dyDescent="0.3">
      <c r="Q3801" s="93">
        <v>46001</v>
      </c>
      <c r="R3801" t="s">
        <v>595</v>
      </c>
      <c r="S3801" t="s">
        <v>399</v>
      </c>
      <c r="T3801" s="14">
        <v>0</v>
      </c>
    </row>
    <row r="3802" spans="17:20" x14ac:dyDescent="0.3">
      <c r="Q3802" s="93">
        <v>46001</v>
      </c>
      <c r="R3802" t="s">
        <v>479</v>
      </c>
      <c r="S3802" t="s">
        <v>395</v>
      </c>
      <c r="T3802" s="14">
        <v>9779.499220877</v>
      </c>
    </row>
    <row r="3803" spans="17:20" x14ac:dyDescent="0.3">
      <c r="Q3803" s="93">
        <v>46001</v>
      </c>
      <c r="R3803" t="s">
        <v>479</v>
      </c>
      <c r="S3803" t="s">
        <v>415</v>
      </c>
      <c r="T3803" s="14">
        <v>6.0374999999999996</v>
      </c>
    </row>
    <row r="3804" spans="17:20" x14ac:dyDescent="0.3">
      <c r="Q3804" s="93">
        <v>46001</v>
      </c>
      <c r="R3804" t="s">
        <v>364</v>
      </c>
      <c r="S3804" t="s">
        <v>415</v>
      </c>
      <c r="T3804" s="14">
        <v>5.8120687419139996</v>
      </c>
    </row>
    <row r="3805" spans="17:20" x14ac:dyDescent="0.3">
      <c r="Q3805" s="93">
        <v>46001</v>
      </c>
      <c r="R3805" t="s">
        <v>364</v>
      </c>
      <c r="S3805" t="s">
        <v>997</v>
      </c>
      <c r="T3805" s="14">
        <v>34926.394399999997</v>
      </c>
    </row>
    <row r="3806" spans="17:20" x14ac:dyDescent="0.3">
      <c r="Q3806" s="93">
        <v>46001</v>
      </c>
      <c r="R3806" t="s">
        <v>496</v>
      </c>
      <c r="S3806" t="s">
        <v>997</v>
      </c>
      <c r="T3806" s="14">
        <v>38754.430399999997</v>
      </c>
    </row>
    <row r="3807" spans="17:20" x14ac:dyDescent="0.3">
      <c r="Q3807" s="93">
        <v>46000</v>
      </c>
      <c r="R3807" t="s">
        <v>479</v>
      </c>
      <c r="S3807" t="s">
        <v>399</v>
      </c>
      <c r="T3807" s="14">
        <v>10000</v>
      </c>
    </row>
    <row r="3808" spans="17:20" x14ac:dyDescent="0.3">
      <c r="Q3808" s="93">
        <v>46000</v>
      </c>
      <c r="R3808" t="s">
        <v>364</v>
      </c>
      <c r="S3808" t="s">
        <v>399</v>
      </c>
      <c r="T3808" s="14">
        <v>29471.394400000001</v>
      </c>
    </row>
    <row r="3809" spans="17:20" x14ac:dyDescent="0.3">
      <c r="Q3809" s="93">
        <v>46000</v>
      </c>
      <c r="R3809" t="s">
        <v>491</v>
      </c>
      <c r="S3809" t="s">
        <v>399</v>
      </c>
      <c r="T3809" s="14">
        <v>9500</v>
      </c>
    </row>
    <row r="3810" spans="17:20" x14ac:dyDescent="0.3">
      <c r="Q3810" s="93">
        <v>46000</v>
      </c>
      <c r="R3810" t="s">
        <v>492</v>
      </c>
      <c r="S3810" t="s">
        <v>399</v>
      </c>
      <c r="T3810" s="14">
        <v>500</v>
      </c>
    </row>
    <row r="3811" spans="17:20" x14ac:dyDescent="0.3">
      <c r="Q3811" s="93">
        <v>46000</v>
      </c>
      <c r="R3811" t="s">
        <v>496</v>
      </c>
      <c r="S3811" t="s">
        <v>399</v>
      </c>
      <c r="T3811" s="14">
        <v>33354.430399999997</v>
      </c>
    </row>
    <row r="3812" spans="17:20" x14ac:dyDescent="0.3">
      <c r="Q3812" s="93">
        <v>46000</v>
      </c>
      <c r="R3812" t="s">
        <v>497</v>
      </c>
      <c r="S3812" t="s">
        <v>399</v>
      </c>
      <c r="T3812" s="14">
        <v>500</v>
      </c>
    </row>
    <row r="3813" spans="17:20" x14ac:dyDescent="0.3">
      <c r="Q3813" s="93">
        <v>46000</v>
      </c>
      <c r="R3813" t="s">
        <v>498</v>
      </c>
      <c r="S3813" t="s">
        <v>399</v>
      </c>
      <c r="T3813" s="14">
        <v>9500</v>
      </c>
    </row>
    <row r="3814" spans="17:20" x14ac:dyDescent="0.3">
      <c r="Q3814" s="93">
        <v>46000</v>
      </c>
      <c r="R3814" t="s">
        <v>494</v>
      </c>
      <c r="S3814" t="s">
        <v>399</v>
      </c>
      <c r="T3814" s="14">
        <v>-1200</v>
      </c>
    </row>
    <row r="3815" spans="17:20" x14ac:dyDescent="0.3">
      <c r="Q3815" s="93">
        <v>46000</v>
      </c>
      <c r="R3815" t="s">
        <v>495</v>
      </c>
      <c r="S3815" t="s">
        <v>399</v>
      </c>
      <c r="T3815" s="14">
        <v>0</v>
      </c>
    </row>
    <row r="3816" spans="17:20" x14ac:dyDescent="0.3">
      <c r="Q3816" s="93">
        <v>46000</v>
      </c>
      <c r="R3816" t="s">
        <v>493</v>
      </c>
      <c r="S3816" t="s">
        <v>399</v>
      </c>
      <c r="T3816" s="14">
        <v>0</v>
      </c>
    </row>
    <row r="3817" spans="17:20" x14ac:dyDescent="0.3">
      <c r="Q3817" s="93">
        <v>46000</v>
      </c>
      <c r="R3817" t="s">
        <v>593</v>
      </c>
      <c r="S3817" t="s">
        <v>399</v>
      </c>
      <c r="T3817" s="14">
        <v>-2683.0360000000001</v>
      </c>
    </row>
    <row r="3818" spans="17:20" x14ac:dyDescent="0.3">
      <c r="Q3818" s="93">
        <v>46000</v>
      </c>
      <c r="R3818" t="s">
        <v>594</v>
      </c>
      <c r="S3818" t="s">
        <v>399</v>
      </c>
      <c r="T3818" s="14">
        <v>0</v>
      </c>
    </row>
    <row r="3819" spans="17:20" x14ac:dyDescent="0.3">
      <c r="Q3819" s="93">
        <v>46000</v>
      </c>
      <c r="R3819" t="s">
        <v>595</v>
      </c>
      <c r="S3819" t="s">
        <v>399</v>
      </c>
      <c r="T3819" s="14">
        <v>0</v>
      </c>
    </row>
    <row r="3820" spans="17:20" x14ac:dyDescent="0.3">
      <c r="Q3820" s="93">
        <v>46000</v>
      </c>
      <c r="R3820" t="s">
        <v>479</v>
      </c>
      <c r="S3820" t="s">
        <v>395</v>
      </c>
      <c r="T3820" s="14">
        <v>10196.956226221</v>
      </c>
    </row>
    <row r="3821" spans="17:20" x14ac:dyDescent="0.3">
      <c r="Q3821" s="93">
        <v>46000</v>
      </c>
      <c r="R3821" t="s">
        <v>479</v>
      </c>
      <c r="S3821" t="s">
        <v>415</v>
      </c>
      <c r="T3821" s="14">
        <v>6.0640000000000001</v>
      </c>
    </row>
    <row r="3822" spans="17:20" x14ac:dyDescent="0.3">
      <c r="Q3822" s="93">
        <v>46000</v>
      </c>
      <c r="R3822" t="s">
        <v>364</v>
      </c>
      <c r="S3822" t="s">
        <v>415</v>
      </c>
      <c r="T3822" s="14">
        <v>5.80667263275146</v>
      </c>
    </row>
    <row r="3823" spans="17:20" x14ac:dyDescent="0.3">
      <c r="Q3823" s="93">
        <v>46000</v>
      </c>
      <c r="R3823" t="s">
        <v>364</v>
      </c>
      <c r="S3823" t="s">
        <v>997</v>
      </c>
      <c r="T3823" s="14">
        <v>34921.394399999997</v>
      </c>
    </row>
    <row r="3824" spans="17:20" x14ac:dyDescent="0.3">
      <c r="Q3824" s="93">
        <v>45999</v>
      </c>
      <c r="R3824" t="s">
        <v>479</v>
      </c>
      <c r="S3824" t="s">
        <v>399</v>
      </c>
      <c r="T3824" s="14">
        <v>10000</v>
      </c>
    </row>
    <row r="3825" spans="17:20" x14ac:dyDescent="0.3">
      <c r="Q3825" s="93">
        <v>45999</v>
      </c>
      <c r="R3825" t="s">
        <v>364</v>
      </c>
      <c r="S3825" t="s">
        <v>399</v>
      </c>
      <c r="T3825" s="14">
        <v>28321.394400000001</v>
      </c>
    </row>
    <row r="3826" spans="17:20" x14ac:dyDescent="0.3">
      <c r="Q3826" s="93">
        <v>45999</v>
      </c>
      <c r="R3826" t="s">
        <v>491</v>
      </c>
      <c r="S3826" t="s">
        <v>399</v>
      </c>
      <c r="T3826" s="14">
        <v>9500</v>
      </c>
    </row>
    <row r="3827" spans="17:20" x14ac:dyDescent="0.3">
      <c r="Q3827" s="93">
        <v>45999</v>
      </c>
      <c r="R3827" t="s">
        <v>492</v>
      </c>
      <c r="S3827" t="s">
        <v>399</v>
      </c>
      <c r="T3827" s="14">
        <v>500</v>
      </c>
    </row>
    <row r="3828" spans="17:20" x14ac:dyDescent="0.3">
      <c r="Q3828" s="93">
        <v>45999</v>
      </c>
      <c r="R3828" t="s">
        <v>496</v>
      </c>
      <c r="S3828" t="s">
        <v>399</v>
      </c>
      <c r="T3828" s="14">
        <v>33804.430399999997</v>
      </c>
    </row>
    <row r="3829" spans="17:20" x14ac:dyDescent="0.3">
      <c r="Q3829" s="93">
        <v>45999</v>
      </c>
      <c r="R3829" t="s">
        <v>497</v>
      </c>
      <c r="S3829" t="s">
        <v>399</v>
      </c>
      <c r="T3829" s="14">
        <v>500</v>
      </c>
    </row>
    <row r="3830" spans="17:20" x14ac:dyDescent="0.3">
      <c r="Q3830" s="93">
        <v>45999</v>
      </c>
      <c r="R3830" t="s">
        <v>498</v>
      </c>
      <c r="S3830" t="s">
        <v>399</v>
      </c>
      <c r="T3830" s="14">
        <v>9500</v>
      </c>
    </row>
    <row r="3831" spans="17:20" x14ac:dyDescent="0.3">
      <c r="Q3831" s="93">
        <v>45999</v>
      </c>
      <c r="R3831" t="s">
        <v>494</v>
      </c>
      <c r="S3831" t="s">
        <v>399</v>
      </c>
      <c r="T3831" s="14">
        <v>-2800</v>
      </c>
    </row>
    <row r="3832" spans="17:20" x14ac:dyDescent="0.3">
      <c r="Q3832" s="93">
        <v>45999</v>
      </c>
      <c r="R3832" t="s">
        <v>495</v>
      </c>
      <c r="S3832" t="s">
        <v>399</v>
      </c>
      <c r="T3832" s="14">
        <v>0</v>
      </c>
    </row>
    <row r="3833" spans="17:20" x14ac:dyDescent="0.3">
      <c r="Q3833" s="93">
        <v>45999</v>
      </c>
      <c r="R3833" t="s">
        <v>493</v>
      </c>
      <c r="S3833" t="s">
        <v>399</v>
      </c>
      <c r="T3833" s="14">
        <v>0</v>
      </c>
    </row>
    <row r="3834" spans="17:20" x14ac:dyDescent="0.3">
      <c r="Q3834" s="93">
        <v>45999</v>
      </c>
      <c r="R3834" t="s">
        <v>593</v>
      </c>
      <c r="S3834" t="s">
        <v>399</v>
      </c>
      <c r="T3834" s="14">
        <v>-2683.0360000000001</v>
      </c>
    </row>
    <row r="3835" spans="17:20" x14ac:dyDescent="0.3">
      <c r="Q3835" s="93">
        <v>45999</v>
      </c>
      <c r="R3835" t="s">
        <v>594</v>
      </c>
      <c r="S3835" t="s">
        <v>399</v>
      </c>
      <c r="T3835" s="14">
        <v>0</v>
      </c>
    </row>
    <row r="3836" spans="17:20" x14ac:dyDescent="0.3">
      <c r="Q3836" s="93">
        <v>45999</v>
      </c>
      <c r="R3836" t="s">
        <v>595</v>
      </c>
      <c r="S3836" t="s">
        <v>399</v>
      </c>
      <c r="T3836" s="14">
        <v>0</v>
      </c>
    </row>
    <row r="3837" spans="17:20" x14ac:dyDescent="0.3">
      <c r="Q3837" s="93">
        <v>45999</v>
      </c>
      <c r="R3837" t="s">
        <v>479</v>
      </c>
      <c r="S3837" t="s">
        <v>395</v>
      </c>
      <c r="T3837" s="14">
        <v>10197.172635475999</v>
      </c>
    </row>
    <row r="3838" spans="17:20" x14ac:dyDescent="0.3">
      <c r="Q3838" s="93">
        <v>45999</v>
      </c>
      <c r="R3838" t="s">
        <v>479</v>
      </c>
      <c r="S3838" t="s">
        <v>415</v>
      </c>
      <c r="T3838" s="14">
        <v>6.0640000000000001</v>
      </c>
    </row>
    <row r="3839" spans="17:20" x14ac:dyDescent="0.3">
      <c r="Q3839" s="93">
        <v>45999</v>
      </c>
      <c r="R3839" t="s">
        <v>364</v>
      </c>
      <c r="S3839" t="s">
        <v>415</v>
      </c>
      <c r="T3839" s="14">
        <v>5.7931550313294098</v>
      </c>
    </row>
    <row r="3840" spans="17:20" x14ac:dyDescent="0.3">
      <c r="Q3840" s="93">
        <v>45999</v>
      </c>
      <c r="R3840" t="s">
        <v>364</v>
      </c>
      <c r="S3840" t="s">
        <v>997</v>
      </c>
      <c r="T3840" s="14">
        <v>34621.394399999997</v>
      </c>
    </row>
    <row r="3841" spans="17:20" x14ac:dyDescent="0.3">
      <c r="Q3841" s="93">
        <v>45996</v>
      </c>
      <c r="R3841" t="s">
        <v>364</v>
      </c>
      <c r="S3841" t="s">
        <v>399</v>
      </c>
      <c r="T3841" s="14">
        <v>28895.045399999999</v>
      </c>
    </row>
    <row r="3842" spans="17:20" x14ac:dyDescent="0.3">
      <c r="Q3842" s="93">
        <v>45996</v>
      </c>
      <c r="R3842" t="s">
        <v>491</v>
      </c>
      <c r="S3842" t="s">
        <v>399</v>
      </c>
      <c r="T3842" s="14">
        <v>9500</v>
      </c>
    </row>
    <row r="3843" spans="17:20" x14ac:dyDescent="0.3">
      <c r="Q3843" s="93">
        <v>45996</v>
      </c>
      <c r="R3843" t="s">
        <v>492</v>
      </c>
      <c r="S3843" t="s">
        <v>399</v>
      </c>
      <c r="T3843" s="14">
        <v>500</v>
      </c>
    </row>
    <row r="3844" spans="17:20" x14ac:dyDescent="0.3">
      <c r="Q3844" s="93">
        <v>45996</v>
      </c>
      <c r="R3844" t="s">
        <v>496</v>
      </c>
      <c r="S3844" t="s">
        <v>399</v>
      </c>
      <c r="T3844" s="14">
        <v>30459.101200000001</v>
      </c>
    </row>
    <row r="3845" spans="17:20" x14ac:dyDescent="0.3">
      <c r="Q3845" s="93">
        <v>45996</v>
      </c>
      <c r="R3845" t="s">
        <v>497</v>
      </c>
      <c r="S3845" t="s">
        <v>399</v>
      </c>
      <c r="T3845" s="14">
        <v>500</v>
      </c>
    </row>
    <row r="3846" spans="17:20" x14ac:dyDescent="0.3">
      <c r="Q3846" s="93">
        <v>45996</v>
      </c>
      <c r="R3846" t="s">
        <v>498</v>
      </c>
      <c r="S3846" t="s">
        <v>399</v>
      </c>
      <c r="T3846" s="14">
        <v>9500</v>
      </c>
    </row>
    <row r="3847" spans="17:20" x14ac:dyDescent="0.3">
      <c r="Q3847" s="93">
        <v>45996</v>
      </c>
      <c r="R3847" t="s">
        <v>494</v>
      </c>
      <c r="S3847" t="s">
        <v>399</v>
      </c>
      <c r="T3847" s="14">
        <v>-50</v>
      </c>
    </row>
    <row r="3848" spans="17:20" x14ac:dyDescent="0.3">
      <c r="Q3848" s="93">
        <v>45996</v>
      </c>
      <c r="R3848" t="s">
        <v>495</v>
      </c>
      <c r="S3848" t="s">
        <v>399</v>
      </c>
      <c r="T3848" s="14">
        <v>0</v>
      </c>
    </row>
    <row r="3849" spans="17:20" x14ac:dyDescent="0.3">
      <c r="Q3849" s="93">
        <v>45996</v>
      </c>
      <c r="R3849" t="s">
        <v>493</v>
      </c>
      <c r="S3849" t="s">
        <v>399</v>
      </c>
      <c r="T3849" s="14">
        <v>0</v>
      </c>
    </row>
    <row r="3850" spans="17:20" x14ac:dyDescent="0.3">
      <c r="Q3850" s="93">
        <v>45996</v>
      </c>
      <c r="R3850" t="s">
        <v>593</v>
      </c>
      <c r="S3850" t="s">
        <v>399</v>
      </c>
      <c r="T3850" s="14">
        <v>-1514.0558000000001</v>
      </c>
    </row>
    <row r="3851" spans="17:20" x14ac:dyDescent="0.3">
      <c r="Q3851" s="93">
        <v>45996</v>
      </c>
      <c r="R3851" t="s">
        <v>594</v>
      </c>
      <c r="S3851" t="s">
        <v>399</v>
      </c>
      <c r="T3851" s="14">
        <v>0</v>
      </c>
    </row>
    <row r="3852" spans="17:20" x14ac:dyDescent="0.3">
      <c r="Q3852" s="93">
        <v>45996</v>
      </c>
      <c r="R3852" t="s">
        <v>595</v>
      </c>
      <c r="S3852" t="s">
        <v>399</v>
      </c>
      <c r="T3852" s="14">
        <v>0</v>
      </c>
    </row>
    <row r="3853" spans="17:20" x14ac:dyDescent="0.3">
      <c r="Q3853" s="93">
        <v>45996</v>
      </c>
      <c r="R3853" t="s">
        <v>479</v>
      </c>
      <c r="S3853" t="s">
        <v>395</v>
      </c>
      <c r="T3853" s="14">
        <v>10198.641111098001</v>
      </c>
    </row>
    <row r="3854" spans="17:20" x14ac:dyDescent="0.3">
      <c r="Q3854" s="93">
        <v>45996</v>
      </c>
      <c r="R3854" t="s">
        <v>479</v>
      </c>
      <c r="S3854" t="s">
        <v>415</v>
      </c>
      <c r="T3854" s="14">
        <v>6.0640000000000001</v>
      </c>
    </row>
    <row r="3855" spans="17:20" x14ac:dyDescent="0.3">
      <c r="Q3855" s="93">
        <v>45996</v>
      </c>
      <c r="R3855" t="s">
        <v>364</v>
      </c>
      <c r="S3855" t="s">
        <v>415</v>
      </c>
      <c r="T3855" s="14">
        <v>5.7509275495919701</v>
      </c>
    </row>
    <row r="3856" spans="17:20" x14ac:dyDescent="0.3">
      <c r="Q3856" s="93">
        <v>45996</v>
      </c>
      <c r="R3856" t="s">
        <v>364</v>
      </c>
      <c r="S3856" t="s">
        <v>997</v>
      </c>
      <c r="T3856" s="14">
        <v>35195.045400000003</v>
      </c>
    </row>
    <row r="3857" spans="17:20" x14ac:dyDescent="0.3">
      <c r="Q3857" s="93">
        <v>45996</v>
      </c>
      <c r="R3857" t="s">
        <v>479</v>
      </c>
      <c r="S3857" t="s">
        <v>399</v>
      </c>
      <c r="T3857" s="14">
        <v>10000</v>
      </c>
    </row>
    <row r="3858" spans="17:20" x14ac:dyDescent="0.3">
      <c r="Q3858" s="93">
        <v>45995</v>
      </c>
      <c r="R3858" t="s">
        <v>479</v>
      </c>
      <c r="S3858" t="s">
        <v>399</v>
      </c>
      <c r="T3858" s="14">
        <v>10000</v>
      </c>
    </row>
    <row r="3859" spans="17:20" x14ac:dyDescent="0.3">
      <c r="Q3859" s="93">
        <v>45995</v>
      </c>
      <c r="R3859" t="s">
        <v>364</v>
      </c>
      <c r="S3859" t="s">
        <v>399</v>
      </c>
      <c r="T3859" s="14">
        <v>28019.101200000001</v>
      </c>
    </row>
    <row r="3860" spans="17:20" x14ac:dyDescent="0.3">
      <c r="Q3860" s="93">
        <v>45995</v>
      </c>
      <c r="R3860" t="s">
        <v>491</v>
      </c>
      <c r="S3860" t="s">
        <v>399</v>
      </c>
      <c r="T3860" s="14">
        <v>9500</v>
      </c>
    </row>
    <row r="3861" spans="17:20" x14ac:dyDescent="0.3">
      <c r="Q3861" s="93">
        <v>45995</v>
      </c>
      <c r="R3861" t="s">
        <v>492</v>
      </c>
      <c r="S3861" t="s">
        <v>399</v>
      </c>
      <c r="T3861" s="14">
        <v>500</v>
      </c>
    </row>
    <row r="3862" spans="17:20" x14ac:dyDescent="0.3">
      <c r="Q3862" s="93">
        <v>45995</v>
      </c>
      <c r="R3862" t="s">
        <v>496</v>
      </c>
      <c r="S3862" t="s">
        <v>399</v>
      </c>
      <c r="T3862" s="14">
        <v>27921.4774</v>
      </c>
    </row>
    <row r="3863" spans="17:20" x14ac:dyDescent="0.3">
      <c r="Q3863" s="93">
        <v>45995</v>
      </c>
      <c r="R3863" t="s">
        <v>497</v>
      </c>
      <c r="S3863" t="s">
        <v>399</v>
      </c>
      <c r="T3863" s="14">
        <v>897.61059999999998</v>
      </c>
    </row>
    <row r="3864" spans="17:20" x14ac:dyDescent="0.3">
      <c r="Q3864" s="93">
        <v>45995</v>
      </c>
      <c r="R3864" t="s">
        <v>498</v>
      </c>
      <c r="S3864" t="s">
        <v>399</v>
      </c>
      <c r="T3864" s="14">
        <v>9500</v>
      </c>
    </row>
    <row r="3865" spans="17:20" x14ac:dyDescent="0.3">
      <c r="Q3865" s="93">
        <v>45995</v>
      </c>
      <c r="R3865" t="s">
        <v>494</v>
      </c>
      <c r="S3865" t="s">
        <v>399</v>
      </c>
      <c r="T3865" s="14">
        <v>97.623800000000003</v>
      </c>
    </row>
    <row r="3866" spans="17:20" x14ac:dyDescent="0.3">
      <c r="Q3866" s="93">
        <v>45995</v>
      </c>
      <c r="R3866" t="s">
        <v>495</v>
      </c>
      <c r="S3866" t="s">
        <v>399</v>
      </c>
      <c r="T3866" s="14">
        <v>-397.61059999999998</v>
      </c>
    </row>
    <row r="3867" spans="17:20" x14ac:dyDescent="0.3">
      <c r="Q3867" s="93">
        <v>45995</v>
      </c>
      <c r="R3867" t="s">
        <v>493</v>
      </c>
      <c r="S3867" t="s">
        <v>399</v>
      </c>
      <c r="T3867" s="14">
        <v>0</v>
      </c>
    </row>
    <row r="3868" spans="17:20" x14ac:dyDescent="0.3">
      <c r="Q3868" s="93">
        <v>45995</v>
      </c>
      <c r="R3868" t="s">
        <v>593</v>
      </c>
      <c r="S3868" t="s">
        <v>399</v>
      </c>
      <c r="T3868" s="14">
        <v>0</v>
      </c>
    </row>
    <row r="3869" spans="17:20" x14ac:dyDescent="0.3">
      <c r="Q3869" s="93">
        <v>45995</v>
      </c>
      <c r="R3869" t="s">
        <v>594</v>
      </c>
      <c r="S3869" t="s">
        <v>399</v>
      </c>
      <c r="T3869" s="14">
        <v>0</v>
      </c>
    </row>
    <row r="3870" spans="17:20" x14ac:dyDescent="0.3">
      <c r="Q3870" s="93">
        <v>45995</v>
      </c>
      <c r="R3870" t="s">
        <v>595</v>
      </c>
      <c r="S3870" t="s">
        <v>399</v>
      </c>
      <c r="T3870" s="14">
        <v>0</v>
      </c>
    </row>
    <row r="3871" spans="17:20" x14ac:dyDescent="0.3">
      <c r="Q3871" s="93">
        <v>45995</v>
      </c>
      <c r="R3871" t="s">
        <v>479</v>
      </c>
      <c r="S3871" t="s">
        <v>395</v>
      </c>
      <c r="T3871" s="14">
        <v>10202.49412385</v>
      </c>
    </row>
    <row r="3872" spans="17:20" x14ac:dyDescent="0.3">
      <c r="Q3872" s="93">
        <v>45995</v>
      </c>
      <c r="R3872" t="s">
        <v>479</v>
      </c>
      <c r="S3872" t="s">
        <v>415</v>
      </c>
      <c r="T3872" s="14">
        <v>6.0640000000000001</v>
      </c>
    </row>
    <row r="3873" spans="17:20" x14ac:dyDescent="0.3">
      <c r="Q3873" s="93">
        <v>45995</v>
      </c>
      <c r="R3873" t="s">
        <v>364</v>
      </c>
      <c r="S3873" t="s">
        <v>415</v>
      </c>
      <c r="T3873" s="14">
        <v>5.68467026006764</v>
      </c>
    </row>
    <row r="3874" spans="17:20" x14ac:dyDescent="0.3">
      <c r="Q3874" s="93">
        <v>45995</v>
      </c>
      <c r="R3874" t="s">
        <v>364</v>
      </c>
      <c r="S3874" t="s">
        <v>997</v>
      </c>
      <c r="T3874" s="14">
        <v>35919.101199999997</v>
      </c>
    </row>
    <row r="3875" spans="17:20" x14ac:dyDescent="0.3">
      <c r="Q3875" s="93">
        <v>45994</v>
      </c>
      <c r="R3875" t="s">
        <v>479</v>
      </c>
      <c r="S3875" t="s">
        <v>399</v>
      </c>
      <c r="T3875" s="14">
        <v>10000</v>
      </c>
    </row>
    <row r="3876" spans="17:20" x14ac:dyDescent="0.3">
      <c r="Q3876" s="93">
        <v>45994</v>
      </c>
      <c r="R3876" t="s">
        <v>364</v>
      </c>
      <c r="S3876" t="s">
        <v>399</v>
      </c>
      <c r="T3876" s="14">
        <v>27269.101200000001</v>
      </c>
    </row>
    <row r="3877" spans="17:20" x14ac:dyDescent="0.3">
      <c r="Q3877" s="93">
        <v>45994</v>
      </c>
      <c r="R3877" t="s">
        <v>491</v>
      </c>
      <c r="S3877" t="s">
        <v>399</v>
      </c>
      <c r="T3877" s="14">
        <v>9500</v>
      </c>
    </row>
    <row r="3878" spans="17:20" x14ac:dyDescent="0.3">
      <c r="Q3878" s="93">
        <v>45994</v>
      </c>
      <c r="R3878" t="s">
        <v>492</v>
      </c>
      <c r="S3878" t="s">
        <v>399</v>
      </c>
      <c r="T3878" s="14">
        <v>500</v>
      </c>
    </row>
    <row r="3879" spans="17:20" x14ac:dyDescent="0.3">
      <c r="Q3879" s="93">
        <v>45994</v>
      </c>
      <c r="R3879" t="s">
        <v>496</v>
      </c>
      <c r="S3879" t="s">
        <v>399</v>
      </c>
      <c r="T3879" s="14">
        <v>26871.4774</v>
      </c>
    </row>
    <row r="3880" spans="17:20" x14ac:dyDescent="0.3">
      <c r="Q3880" s="93">
        <v>45994</v>
      </c>
      <c r="R3880" t="s">
        <v>497</v>
      </c>
      <c r="S3880" t="s">
        <v>399</v>
      </c>
      <c r="T3880" s="14">
        <v>897.61059999999998</v>
      </c>
    </row>
    <row r="3881" spans="17:20" x14ac:dyDescent="0.3">
      <c r="Q3881" s="93">
        <v>45994</v>
      </c>
      <c r="R3881" t="s">
        <v>498</v>
      </c>
      <c r="S3881" t="s">
        <v>399</v>
      </c>
      <c r="T3881" s="14">
        <v>9500</v>
      </c>
    </row>
    <row r="3882" spans="17:20" x14ac:dyDescent="0.3">
      <c r="Q3882" s="93">
        <v>45994</v>
      </c>
      <c r="R3882" t="s">
        <v>494</v>
      </c>
      <c r="S3882" t="s">
        <v>399</v>
      </c>
      <c r="T3882" s="14">
        <v>1397.6238000000001</v>
      </c>
    </row>
    <row r="3883" spans="17:20" x14ac:dyDescent="0.3">
      <c r="Q3883" s="93">
        <v>45994</v>
      </c>
      <c r="R3883" t="s">
        <v>495</v>
      </c>
      <c r="S3883" t="s">
        <v>399</v>
      </c>
      <c r="T3883" s="14">
        <v>0</v>
      </c>
    </row>
    <row r="3884" spans="17:20" x14ac:dyDescent="0.3">
      <c r="Q3884" s="93">
        <v>45994</v>
      </c>
      <c r="R3884" t="s">
        <v>493</v>
      </c>
      <c r="S3884" t="s">
        <v>399</v>
      </c>
      <c r="T3884" s="14">
        <v>0</v>
      </c>
    </row>
    <row r="3885" spans="17:20" x14ac:dyDescent="0.3">
      <c r="Q3885" s="93">
        <v>45994</v>
      </c>
      <c r="R3885" t="s">
        <v>593</v>
      </c>
      <c r="S3885" t="s">
        <v>399</v>
      </c>
      <c r="T3885" s="14">
        <v>-1000</v>
      </c>
    </row>
    <row r="3886" spans="17:20" x14ac:dyDescent="0.3">
      <c r="Q3886" s="93">
        <v>45994</v>
      </c>
      <c r="R3886" t="s">
        <v>594</v>
      </c>
      <c r="S3886" t="s">
        <v>399</v>
      </c>
      <c r="T3886" s="14">
        <v>-397.61059999999998</v>
      </c>
    </row>
    <row r="3887" spans="17:20" x14ac:dyDescent="0.3">
      <c r="Q3887" s="93">
        <v>45994</v>
      </c>
      <c r="R3887" t="s">
        <v>595</v>
      </c>
      <c r="S3887" t="s">
        <v>399</v>
      </c>
      <c r="T3887" s="14">
        <v>0</v>
      </c>
    </row>
    <row r="3888" spans="17:20" x14ac:dyDescent="0.3">
      <c r="Q3888" s="93">
        <v>45994</v>
      </c>
      <c r="R3888" t="s">
        <v>479</v>
      </c>
      <c r="S3888" t="s">
        <v>395</v>
      </c>
      <c r="T3888" s="14">
        <v>10207.24171667</v>
      </c>
    </row>
    <row r="3889" spans="17:20" x14ac:dyDescent="0.3">
      <c r="Q3889" s="93">
        <v>45994</v>
      </c>
      <c r="R3889" t="s">
        <v>479</v>
      </c>
      <c r="S3889" t="s">
        <v>415</v>
      </c>
      <c r="T3889" s="14">
        <v>6.0640000000000001</v>
      </c>
    </row>
    <row r="3890" spans="17:20" x14ac:dyDescent="0.3">
      <c r="Q3890" s="93">
        <v>45994</v>
      </c>
      <c r="R3890" t="s">
        <v>364</v>
      </c>
      <c r="S3890" t="s">
        <v>415</v>
      </c>
      <c r="T3890" s="14">
        <v>5.7206845613724697</v>
      </c>
    </row>
    <row r="3891" spans="17:20" x14ac:dyDescent="0.3">
      <c r="Q3891" s="93">
        <v>45994</v>
      </c>
      <c r="R3891" t="s">
        <v>364</v>
      </c>
      <c r="S3891" t="s">
        <v>997</v>
      </c>
      <c r="T3891" s="14">
        <v>32119.101200000001</v>
      </c>
    </row>
    <row r="3892" spans="17:20" x14ac:dyDescent="0.3">
      <c r="Q3892" s="93">
        <v>45993</v>
      </c>
      <c r="R3892" t="s">
        <v>494</v>
      </c>
      <c r="S3892" t="s">
        <v>399</v>
      </c>
      <c r="T3892" s="14">
        <v>900</v>
      </c>
    </row>
    <row r="3893" spans="17:20" x14ac:dyDescent="0.3">
      <c r="Q3893" s="93">
        <v>45993</v>
      </c>
      <c r="R3893" t="s">
        <v>495</v>
      </c>
      <c r="S3893" t="s">
        <v>399</v>
      </c>
      <c r="T3893" s="14">
        <v>0</v>
      </c>
    </row>
    <row r="3894" spans="17:20" x14ac:dyDescent="0.3">
      <c r="Q3894" s="93">
        <v>45993</v>
      </c>
      <c r="R3894" t="s">
        <v>493</v>
      </c>
      <c r="S3894" t="s">
        <v>399</v>
      </c>
      <c r="T3894" s="14">
        <v>0</v>
      </c>
    </row>
    <row r="3895" spans="17:20" x14ac:dyDescent="0.3">
      <c r="Q3895" s="93">
        <v>45993</v>
      </c>
      <c r="R3895" t="s">
        <v>593</v>
      </c>
      <c r="S3895" t="s">
        <v>399</v>
      </c>
      <c r="T3895" s="14">
        <v>0</v>
      </c>
    </row>
    <row r="3896" spans="17:20" x14ac:dyDescent="0.3">
      <c r="Q3896" s="93">
        <v>45993</v>
      </c>
      <c r="R3896" t="s">
        <v>594</v>
      </c>
      <c r="S3896" t="s">
        <v>399</v>
      </c>
      <c r="T3896" s="14">
        <v>0</v>
      </c>
    </row>
    <row r="3897" spans="17:20" x14ac:dyDescent="0.3">
      <c r="Q3897" s="93">
        <v>45993</v>
      </c>
      <c r="R3897" t="s">
        <v>595</v>
      </c>
      <c r="S3897" t="s">
        <v>399</v>
      </c>
      <c r="T3897" s="14">
        <v>0</v>
      </c>
    </row>
    <row r="3898" spans="17:20" x14ac:dyDescent="0.3">
      <c r="Q3898" s="93">
        <v>45993</v>
      </c>
      <c r="R3898" t="s">
        <v>479</v>
      </c>
      <c r="S3898" t="s">
        <v>395</v>
      </c>
      <c r="T3898" s="14">
        <v>10695.4982469073</v>
      </c>
    </row>
    <row r="3899" spans="17:20" x14ac:dyDescent="0.3">
      <c r="Q3899" s="93">
        <v>45993</v>
      </c>
      <c r="R3899" t="s">
        <v>479</v>
      </c>
      <c r="S3899" t="s">
        <v>415</v>
      </c>
      <c r="T3899" s="14">
        <v>6.1141333928200803</v>
      </c>
    </row>
    <row r="3900" spans="17:20" x14ac:dyDescent="0.3">
      <c r="Q3900" s="93">
        <v>45993</v>
      </c>
      <c r="R3900" t="s">
        <v>364</v>
      </c>
      <c r="S3900" t="s">
        <v>415</v>
      </c>
      <c r="T3900" s="14">
        <v>5.7283106623601299</v>
      </c>
    </row>
    <row r="3901" spans="17:20" x14ac:dyDescent="0.3">
      <c r="Q3901" s="93">
        <v>45993</v>
      </c>
      <c r="R3901" t="s">
        <v>364</v>
      </c>
      <c r="S3901" t="s">
        <v>997</v>
      </c>
      <c r="T3901" s="14">
        <v>31621.4774</v>
      </c>
    </row>
    <row r="3902" spans="17:20" x14ac:dyDescent="0.3">
      <c r="Q3902" s="93">
        <v>45993</v>
      </c>
      <c r="R3902" t="s">
        <v>479</v>
      </c>
      <c r="S3902" t="s">
        <v>399</v>
      </c>
      <c r="T3902" s="14">
        <v>10397.6106</v>
      </c>
    </row>
    <row r="3903" spans="17:20" x14ac:dyDescent="0.3">
      <c r="Q3903" s="93">
        <v>45993</v>
      </c>
      <c r="R3903" t="s">
        <v>364</v>
      </c>
      <c r="S3903" t="s">
        <v>399</v>
      </c>
      <c r="T3903" s="14">
        <v>26021.4774</v>
      </c>
    </row>
    <row r="3904" spans="17:20" x14ac:dyDescent="0.3">
      <c r="Q3904" s="93">
        <v>45993</v>
      </c>
      <c r="R3904" t="s">
        <v>491</v>
      </c>
      <c r="S3904" t="s">
        <v>399</v>
      </c>
      <c r="T3904" s="14">
        <v>9500</v>
      </c>
    </row>
    <row r="3905" spans="17:20" x14ac:dyDescent="0.3">
      <c r="Q3905" s="93">
        <v>45993</v>
      </c>
      <c r="R3905" t="s">
        <v>492</v>
      </c>
      <c r="S3905" t="s">
        <v>399</v>
      </c>
      <c r="T3905" s="14">
        <v>897.61059999999998</v>
      </c>
    </row>
    <row r="3906" spans="17:20" x14ac:dyDescent="0.3">
      <c r="Q3906" s="93">
        <v>45993</v>
      </c>
      <c r="R3906" t="s">
        <v>496</v>
      </c>
      <c r="S3906" t="s">
        <v>399</v>
      </c>
      <c r="T3906" s="14">
        <v>25121.4774</v>
      </c>
    </row>
    <row r="3907" spans="17:20" x14ac:dyDescent="0.3">
      <c r="Q3907" s="93">
        <v>45993</v>
      </c>
      <c r="R3907" t="s">
        <v>497</v>
      </c>
      <c r="S3907" t="s">
        <v>399</v>
      </c>
      <c r="T3907" s="14">
        <v>897.61059999999998</v>
      </c>
    </row>
    <row r="3908" spans="17:20" x14ac:dyDescent="0.3">
      <c r="Q3908" s="93">
        <v>45993</v>
      </c>
      <c r="R3908" t="s">
        <v>498</v>
      </c>
      <c r="S3908" t="s">
        <v>399</v>
      </c>
      <c r="T3908" s="14">
        <v>9500</v>
      </c>
    </row>
    <row r="3909" spans="17:20" x14ac:dyDescent="0.3">
      <c r="Q3909" s="93">
        <v>45992</v>
      </c>
      <c r="R3909" t="s">
        <v>479</v>
      </c>
      <c r="S3909" t="s">
        <v>399</v>
      </c>
      <c r="T3909" s="14">
        <v>10397.6106</v>
      </c>
    </row>
    <row r="3910" spans="17:20" x14ac:dyDescent="0.3">
      <c r="Q3910" s="93">
        <v>45992</v>
      </c>
      <c r="R3910" t="s">
        <v>364</v>
      </c>
      <c r="S3910" t="s">
        <v>399</v>
      </c>
      <c r="T3910" s="14">
        <v>25421.4774</v>
      </c>
    </row>
    <row r="3911" spans="17:20" x14ac:dyDescent="0.3">
      <c r="Q3911" s="93">
        <v>45992</v>
      </c>
      <c r="R3911" t="s">
        <v>491</v>
      </c>
      <c r="S3911" t="s">
        <v>399</v>
      </c>
      <c r="T3911" s="14">
        <v>9500</v>
      </c>
    </row>
    <row r="3912" spans="17:20" x14ac:dyDescent="0.3">
      <c r="Q3912" s="93">
        <v>45992</v>
      </c>
      <c r="R3912" t="s">
        <v>492</v>
      </c>
      <c r="S3912" t="s">
        <v>399</v>
      </c>
      <c r="T3912" s="14">
        <v>897.61059999999998</v>
      </c>
    </row>
    <row r="3913" spans="17:20" x14ac:dyDescent="0.3">
      <c r="Q3913" s="93">
        <v>45992</v>
      </c>
      <c r="R3913" t="s">
        <v>496</v>
      </c>
      <c r="S3913" t="s">
        <v>399</v>
      </c>
      <c r="T3913" s="14">
        <v>26421.4774</v>
      </c>
    </row>
    <row r="3914" spans="17:20" x14ac:dyDescent="0.3">
      <c r="Q3914" s="93">
        <v>45992</v>
      </c>
      <c r="R3914" t="s">
        <v>497</v>
      </c>
      <c r="S3914" t="s">
        <v>399</v>
      </c>
      <c r="T3914" s="14">
        <v>897.61059999999998</v>
      </c>
    </row>
    <row r="3915" spans="17:20" x14ac:dyDescent="0.3">
      <c r="Q3915" s="93">
        <v>45992</v>
      </c>
      <c r="R3915" t="s">
        <v>498</v>
      </c>
      <c r="S3915" t="s">
        <v>399</v>
      </c>
      <c r="T3915" s="14">
        <v>9500</v>
      </c>
    </row>
    <row r="3916" spans="17:20" x14ac:dyDescent="0.3">
      <c r="Q3916" s="93">
        <v>45992</v>
      </c>
      <c r="R3916" t="s">
        <v>494</v>
      </c>
      <c r="S3916" t="s">
        <v>399</v>
      </c>
      <c r="T3916" s="14">
        <v>-1000</v>
      </c>
    </row>
    <row r="3917" spans="17:20" x14ac:dyDescent="0.3">
      <c r="Q3917" s="93">
        <v>45992</v>
      </c>
      <c r="R3917" t="s">
        <v>495</v>
      </c>
      <c r="S3917" t="s">
        <v>399</v>
      </c>
      <c r="T3917" s="14">
        <v>0</v>
      </c>
    </row>
    <row r="3918" spans="17:20" x14ac:dyDescent="0.3">
      <c r="Q3918" s="93">
        <v>45992</v>
      </c>
      <c r="R3918" t="s">
        <v>493</v>
      </c>
      <c r="S3918" t="s">
        <v>399</v>
      </c>
      <c r="T3918" s="14">
        <v>0</v>
      </c>
    </row>
    <row r="3919" spans="17:20" x14ac:dyDescent="0.3">
      <c r="Q3919" s="93">
        <v>45992</v>
      </c>
      <c r="R3919" t="s">
        <v>593</v>
      </c>
      <c r="S3919" t="s">
        <v>399</v>
      </c>
      <c r="T3919" s="14">
        <v>0</v>
      </c>
    </row>
    <row r="3920" spans="17:20" x14ac:dyDescent="0.3">
      <c r="Q3920" s="93">
        <v>45992</v>
      </c>
      <c r="R3920" t="s">
        <v>594</v>
      </c>
      <c r="S3920" t="s">
        <v>399</v>
      </c>
      <c r="T3920" s="14">
        <v>0</v>
      </c>
    </row>
    <row r="3921" spans="17:20" x14ac:dyDescent="0.3">
      <c r="Q3921" s="93">
        <v>45992</v>
      </c>
      <c r="R3921" t="s">
        <v>595</v>
      </c>
      <c r="S3921" t="s">
        <v>399</v>
      </c>
      <c r="T3921" s="14">
        <v>0</v>
      </c>
    </row>
    <row r="3922" spans="17:20" x14ac:dyDescent="0.3">
      <c r="Q3922" s="93">
        <v>45992</v>
      </c>
      <c r="R3922" t="s">
        <v>479</v>
      </c>
      <c r="S3922" t="s">
        <v>395</v>
      </c>
      <c r="T3922" s="14">
        <v>10698.622476452299</v>
      </c>
    </row>
    <row r="3923" spans="17:20" x14ac:dyDescent="0.3">
      <c r="Q3923" s="93">
        <v>45992</v>
      </c>
      <c r="R3923" t="s">
        <v>479</v>
      </c>
      <c r="S3923" t="s">
        <v>415</v>
      </c>
      <c r="T3923" s="14">
        <v>6.1141333928200803</v>
      </c>
    </row>
    <row r="3924" spans="17:20" x14ac:dyDescent="0.3">
      <c r="Q3924" s="93">
        <v>45992</v>
      </c>
      <c r="R3924" t="s">
        <v>364</v>
      </c>
      <c r="S3924" t="s">
        <v>415</v>
      </c>
      <c r="T3924" s="14">
        <v>5.7375618786615199</v>
      </c>
    </row>
    <row r="3925" spans="17:20" x14ac:dyDescent="0.3">
      <c r="Q3925" s="93">
        <v>45992</v>
      </c>
      <c r="R3925" t="s">
        <v>364</v>
      </c>
      <c r="S3925" t="s">
        <v>997</v>
      </c>
      <c r="T3925" s="14">
        <v>31021.4774</v>
      </c>
    </row>
    <row r="3926" spans="17:20" x14ac:dyDescent="0.3">
      <c r="Q3926" s="93">
        <v>45989</v>
      </c>
      <c r="R3926" t="s">
        <v>479</v>
      </c>
      <c r="S3926" t="s">
        <v>399</v>
      </c>
      <c r="T3926" s="14">
        <v>10397.6106</v>
      </c>
    </row>
    <row r="3927" spans="17:20" x14ac:dyDescent="0.3">
      <c r="Q3927" s="93">
        <v>45989</v>
      </c>
      <c r="R3927" t="s">
        <v>364</v>
      </c>
      <c r="S3927" t="s">
        <v>399</v>
      </c>
      <c r="T3927" s="14">
        <v>25821.4774</v>
      </c>
    </row>
    <row r="3928" spans="17:20" x14ac:dyDescent="0.3">
      <c r="Q3928" s="93">
        <v>45989</v>
      </c>
      <c r="R3928" t="s">
        <v>491</v>
      </c>
      <c r="S3928" t="s">
        <v>399</v>
      </c>
      <c r="T3928" s="14">
        <v>9500</v>
      </c>
    </row>
    <row r="3929" spans="17:20" x14ac:dyDescent="0.3">
      <c r="Q3929" s="93">
        <v>45989</v>
      </c>
      <c r="R3929" t="s">
        <v>492</v>
      </c>
      <c r="S3929" t="s">
        <v>399</v>
      </c>
      <c r="T3929" s="14">
        <v>897.61059999999998</v>
      </c>
    </row>
    <row r="3930" spans="17:20" x14ac:dyDescent="0.3">
      <c r="Q3930" s="93">
        <v>45989</v>
      </c>
      <c r="R3930" t="s">
        <v>496</v>
      </c>
      <c r="S3930" t="s">
        <v>399</v>
      </c>
      <c r="T3930" s="14">
        <v>24321.4774</v>
      </c>
    </row>
    <row r="3931" spans="17:20" x14ac:dyDescent="0.3">
      <c r="Q3931" s="93">
        <v>45989</v>
      </c>
      <c r="R3931" t="s">
        <v>497</v>
      </c>
      <c r="S3931" t="s">
        <v>399</v>
      </c>
      <c r="T3931" s="14">
        <v>897.61059999999998</v>
      </c>
    </row>
    <row r="3932" spans="17:20" x14ac:dyDescent="0.3">
      <c r="Q3932" s="93">
        <v>45989</v>
      </c>
      <c r="R3932" t="s">
        <v>498</v>
      </c>
      <c r="S3932" t="s">
        <v>399</v>
      </c>
      <c r="T3932" s="14">
        <v>9500</v>
      </c>
    </row>
    <row r="3933" spans="17:20" x14ac:dyDescent="0.3">
      <c r="Q3933" s="93">
        <v>45989</v>
      </c>
      <c r="R3933" t="s">
        <v>494</v>
      </c>
      <c r="S3933" t="s">
        <v>399</v>
      </c>
      <c r="T3933" s="14">
        <v>1100</v>
      </c>
    </row>
    <row r="3934" spans="17:20" x14ac:dyDescent="0.3">
      <c r="Q3934" s="93">
        <v>45989</v>
      </c>
      <c r="R3934" t="s">
        <v>495</v>
      </c>
      <c r="S3934" t="s">
        <v>399</v>
      </c>
      <c r="T3934" s="14">
        <v>0</v>
      </c>
    </row>
    <row r="3935" spans="17:20" x14ac:dyDescent="0.3">
      <c r="Q3935" s="93">
        <v>45989</v>
      </c>
      <c r="R3935" t="s">
        <v>493</v>
      </c>
      <c r="S3935" t="s">
        <v>399</v>
      </c>
      <c r="T3935" s="14">
        <v>0</v>
      </c>
    </row>
    <row r="3936" spans="17:20" x14ac:dyDescent="0.3">
      <c r="Q3936" s="93">
        <v>45989</v>
      </c>
      <c r="R3936" t="s">
        <v>593</v>
      </c>
      <c r="S3936" t="s">
        <v>399</v>
      </c>
      <c r="T3936" s="14">
        <v>400</v>
      </c>
    </row>
    <row r="3937" spans="17:20" x14ac:dyDescent="0.3">
      <c r="Q3937" s="93">
        <v>45989</v>
      </c>
      <c r="R3937" t="s">
        <v>594</v>
      </c>
      <c r="S3937" t="s">
        <v>399</v>
      </c>
      <c r="T3937" s="14">
        <v>0</v>
      </c>
    </row>
    <row r="3938" spans="17:20" x14ac:dyDescent="0.3">
      <c r="Q3938" s="93">
        <v>45989</v>
      </c>
      <c r="R3938" t="s">
        <v>595</v>
      </c>
      <c r="S3938" t="s">
        <v>399</v>
      </c>
      <c r="T3938" s="14">
        <v>0</v>
      </c>
    </row>
    <row r="3939" spans="17:20" x14ac:dyDescent="0.3">
      <c r="Q3939" s="93">
        <v>45989</v>
      </c>
      <c r="R3939" t="s">
        <v>479</v>
      </c>
      <c r="S3939" t="s">
        <v>395</v>
      </c>
      <c r="T3939" s="14">
        <v>10703.6974604639</v>
      </c>
    </row>
    <row r="3940" spans="17:20" x14ac:dyDescent="0.3">
      <c r="Q3940" s="93">
        <v>45989</v>
      </c>
      <c r="R3940" t="s">
        <v>479</v>
      </c>
      <c r="S3940" t="s">
        <v>415</v>
      </c>
      <c r="T3940" s="14">
        <v>6.0602507489596098</v>
      </c>
    </row>
    <row r="3941" spans="17:20" x14ac:dyDescent="0.3">
      <c r="Q3941" s="93">
        <v>45989</v>
      </c>
      <c r="R3941" t="s">
        <v>364</v>
      </c>
      <c r="S3941" t="s">
        <v>415</v>
      </c>
      <c r="T3941" s="14">
        <v>5.72197718953006</v>
      </c>
    </row>
    <row r="3942" spans="17:20" x14ac:dyDescent="0.3">
      <c r="Q3942" s="93">
        <v>45989</v>
      </c>
      <c r="R3942" t="s">
        <v>364</v>
      </c>
      <c r="S3942" t="s">
        <v>997</v>
      </c>
      <c r="T3942" s="14">
        <v>31621.4774</v>
      </c>
    </row>
    <row r="3943" spans="17:20" x14ac:dyDescent="0.3">
      <c r="Q3943" s="93">
        <v>45988</v>
      </c>
      <c r="R3943" t="s">
        <v>479</v>
      </c>
      <c r="S3943" t="s">
        <v>399</v>
      </c>
      <c r="T3943" s="14">
        <v>11397.6106</v>
      </c>
    </row>
    <row r="3944" spans="17:20" x14ac:dyDescent="0.3">
      <c r="Q3944" s="93">
        <v>45988</v>
      </c>
      <c r="R3944" t="s">
        <v>364</v>
      </c>
      <c r="S3944" t="s">
        <v>399</v>
      </c>
      <c r="T3944" s="14">
        <v>22681.4774</v>
      </c>
    </row>
    <row r="3945" spans="17:20" x14ac:dyDescent="0.3">
      <c r="Q3945" s="93">
        <v>45988</v>
      </c>
      <c r="R3945" t="s">
        <v>491</v>
      </c>
      <c r="S3945" t="s">
        <v>399</v>
      </c>
      <c r="T3945" s="14">
        <v>10500</v>
      </c>
    </row>
    <row r="3946" spans="17:20" x14ac:dyDescent="0.3">
      <c r="Q3946" s="93">
        <v>45988</v>
      </c>
      <c r="R3946" t="s">
        <v>492</v>
      </c>
      <c r="S3946" t="s">
        <v>399</v>
      </c>
      <c r="T3946" s="14">
        <v>897.61059999999998</v>
      </c>
    </row>
    <row r="3947" spans="17:20" x14ac:dyDescent="0.3">
      <c r="Q3947" s="93">
        <v>45988</v>
      </c>
      <c r="R3947" t="s">
        <v>496</v>
      </c>
      <c r="S3947" t="s">
        <v>399</v>
      </c>
      <c r="T3947" s="14">
        <v>21181.4774</v>
      </c>
    </row>
    <row r="3948" spans="17:20" x14ac:dyDescent="0.3">
      <c r="Q3948" s="93">
        <v>45988</v>
      </c>
      <c r="R3948" t="s">
        <v>497</v>
      </c>
      <c r="S3948" t="s">
        <v>399</v>
      </c>
      <c r="T3948" s="14">
        <v>897.61059999999998</v>
      </c>
    </row>
    <row r="3949" spans="17:20" x14ac:dyDescent="0.3">
      <c r="Q3949" s="93">
        <v>45988</v>
      </c>
      <c r="R3949" t="s">
        <v>498</v>
      </c>
      <c r="S3949" t="s">
        <v>399</v>
      </c>
      <c r="T3949" s="14">
        <v>10500</v>
      </c>
    </row>
    <row r="3950" spans="17:20" x14ac:dyDescent="0.3">
      <c r="Q3950" s="93">
        <v>45988</v>
      </c>
      <c r="R3950" t="s">
        <v>494</v>
      </c>
      <c r="S3950" t="s">
        <v>399</v>
      </c>
      <c r="T3950" s="14">
        <v>1100</v>
      </c>
    </row>
    <row r="3951" spans="17:20" x14ac:dyDescent="0.3">
      <c r="Q3951" s="93">
        <v>45988</v>
      </c>
      <c r="R3951" t="s">
        <v>495</v>
      </c>
      <c r="S3951" t="s">
        <v>399</v>
      </c>
      <c r="T3951" s="14">
        <v>0</v>
      </c>
    </row>
    <row r="3952" spans="17:20" x14ac:dyDescent="0.3">
      <c r="Q3952" s="93">
        <v>45988</v>
      </c>
      <c r="R3952" t="s">
        <v>493</v>
      </c>
      <c r="S3952" t="s">
        <v>399</v>
      </c>
      <c r="T3952" s="14">
        <v>0</v>
      </c>
    </row>
    <row r="3953" spans="17:20" x14ac:dyDescent="0.3">
      <c r="Q3953" s="93">
        <v>45988</v>
      </c>
      <c r="R3953" t="s">
        <v>593</v>
      </c>
      <c r="S3953" t="s">
        <v>399</v>
      </c>
      <c r="T3953" s="14">
        <v>400</v>
      </c>
    </row>
    <row r="3954" spans="17:20" x14ac:dyDescent="0.3">
      <c r="Q3954" s="93">
        <v>45988</v>
      </c>
      <c r="R3954" t="s">
        <v>594</v>
      </c>
      <c r="S3954" t="s">
        <v>399</v>
      </c>
      <c r="T3954" s="14">
        <v>0</v>
      </c>
    </row>
    <row r="3955" spans="17:20" x14ac:dyDescent="0.3">
      <c r="Q3955" s="93">
        <v>45988</v>
      </c>
      <c r="R3955" t="s">
        <v>595</v>
      </c>
      <c r="S3955" t="s">
        <v>399</v>
      </c>
      <c r="T3955" s="14">
        <v>0</v>
      </c>
    </row>
    <row r="3956" spans="17:20" x14ac:dyDescent="0.3">
      <c r="Q3956" s="93">
        <v>45988</v>
      </c>
      <c r="R3956" t="s">
        <v>479</v>
      </c>
      <c r="S3956" t="s">
        <v>395</v>
      </c>
      <c r="T3956" s="14">
        <v>10704.841006296199</v>
      </c>
    </row>
    <row r="3957" spans="17:20" x14ac:dyDescent="0.3">
      <c r="Q3957" s="93">
        <v>45988</v>
      </c>
      <c r="R3957" t="s">
        <v>479</v>
      </c>
      <c r="S3957" t="s">
        <v>415</v>
      </c>
      <c r="T3957" s="14">
        <v>6.0602507489596098</v>
      </c>
    </row>
    <row r="3958" spans="17:20" x14ac:dyDescent="0.3">
      <c r="Q3958" s="93">
        <v>45988</v>
      </c>
      <c r="R3958" t="s">
        <v>364</v>
      </c>
      <c r="S3958" t="s">
        <v>415</v>
      </c>
      <c r="T3958" s="14">
        <v>5.7544847767884502</v>
      </c>
    </row>
    <row r="3959" spans="17:20" x14ac:dyDescent="0.3">
      <c r="Q3959" s="93">
        <v>45988</v>
      </c>
      <c r="R3959" t="s">
        <v>364</v>
      </c>
      <c r="S3959" t="s">
        <v>997</v>
      </c>
      <c r="T3959" s="14">
        <v>30581.4774</v>
      </c>
    </row>
    <row r="3960" spans="17:20" x14ac:dyDescent="0.3">
      <c r="Q3960" s="93">
        <v>45987</v>
      </c>
      <c r="R3960" t="s">
        <v>479</v>
      </c>
      <c r="S3960" t="s">
        <v>399</v>
      </c>
      <c r="T3960" s="14">
        <v>11397.6106</v>
      </c>
    </row>
    <row r="3961" spans="17:20" x14ac:dyDescent="0.3">
      <c r="Q3961" s="93">
        <v>45987</v>
      </c>
      <c r="R3961" t="s">
        <v>364</v>
      </c>
      <c r="S3961" t="s">
        <v>399</v>
      </c>
      <c r="T3961" s="14">
        <v>26681.4774</v>
      </c>
    </row>
    <row r="3962" spans="17:20" x14ac:dyDescent="0.3">
      <c r="Q3962" s="93">
        <v>45987</v>
      </c>
      <c r="R3962" t="s">
        <v>491</v>
      </c>
      <c r="S3962" t="s">
        <v>399</v>
      </c>
      <c r="T3962" s="14">
        <v>10500</v>
      </c>
    </row>
    <row r="3963" spans="17:20" x14ac:dyDescent="0.3">
      <c r="Q3963" s="93">
        <v>45987</v>
      </c>
      <c r="R3963" t="s">
        <v>492</v>
      </c>
      <c r="S3963" t="s">
        <v>399</v>
      </c>
      <c r="T3963" s="14">
        <v>897.61059999999998</v>
      </c>
    </row>
    <row r="3964" spans="17:20" x14ac:dyDescent="0.3">
      <c r="Q3964" s="93">
        <v>45987</v>
      </c>
      <c r="R3964" t="s">
        <v>496</v>
      </c>
      <c r="S3964" t="s">
        <v>399</v>
      </c>
      <c r="T3964" s="14">
        <v>22481.4774</v>
      </c>
    </row>
    <row r="3965" spans="17:20" x14ac:dyDescent="0.3">
      <c r="Q3965" s="93">
        <v>45987</v>
      </c>
      <c r="R3965" t="s">
        <v>497</v>
      </c>
      <c r="S3965" t="s">
        <v>399</v>
      </c>
      <c r="T3965" s="14">
        <v>897.61059999999998</v>
      </c>
    </row>
    <row r="3966" spans="17:20" x14ac:dyDescent="0.3">
      <c r="Q3966" s="93">
        <v>45987</v>
      </c>
      <c r="R3966" t="s">
        <v>498</v>
      </c>
      <c r="S3966" t="s">
        <v>399</v>
      </c>
      <c r="T3966" s="14">
        <v>10500</v>
      </c>
    </row>
    <row r="3967" spans="17:20" x14ac:dyDescent="0.3">
      <c r="Q3967" s="93">
        <v>45987</v>
      </c>
      <c r="R3967" t="s">
        <v>494</v>
      </c>
      <c r="S3967" t="s">
        <v>399</v>
      </c>
      <c r="T3967" s="14">
        <v>2700</v>
      </c>
    </row>
    <row r="3968" spans="17:20" x14ac:dyDescent="0.3">
      <c r="Q3968" s="93">
        <v>45987</v>
      </c>
      <c r="R3968" t="s">
        <v>495</v>
      </c>
      <c r="S3968" t="s">
        <v>399</v>
      </c>
      <c r="T3968" s="14">
        <v>0</v>
      </c>
    </row>
    <row r="3969" spans="17:20" x14ac:dyDescent="0.3">
      <c r="Q3969" s="93">
        <v>45987</v>
      </c>
      <c r="R3969" t="s">
        <v>493</v>
      </c>
      <c r="S3969" t="s">
        <v>399</v>
      </c>
      <c r="T3969" s="14">
        <v>0</v>
      </c>
    </row>
    <row r="3970" spans="17:20" x14ac:dyDescent="0.3">
      <c r="Q3970" s="93">
        <v>45987</v>
      </c>
      <c r="R3970" t="s">
        <v>593</v>
      </c>
      <c r="S3970" t="s">
        <v>399</v>
      </c>
      <c r="T3970" s="14">
        <v>1500</v>
      </c>
    </row>
    <row r="3971" spans="17:20" x14ac:dyDescent="0.3">
      <c r="Q3971" s="93">
        <v>45987</v>
      </c>
      <c r="R3971" t="s">
        <v>594</v>
      </c>
      <c r="S3971" t="s">
        <v>399</v>
      </c>
      <c r="T3971" s="14">
        <v>0</v>
      </c>
    </row>
    <row r="3972" spans="17:20" x14ac:dyDescent="0.3">
      <c r="Q3972" s="93">
        <v>45987</v>
      </c>
      <c r="R3972" t="s">
        <v>595</v>
      </c>
      <c r="S3972" t="s">
        <v>399</v>
      </c>
      <c r="T3972" s="14">
        <v>0</v>
      </c>
    </row>
    <row r="3973" spans="17:20" x14ac:dyDescent="0.3">
      <c r="Q3973" s="93">
        <v>45987</v>
      </c>
      <c r="R3973" t="s">
        <v>479</v>
      </c>
      <c r="S3973" t="s">
        <v>395</v>
      </c>
      <c r="T3973" s="14">
        <v>10705.3312926034</v>
      </c>
    </row>
    <row r="3974" spans="17:20" x14ac:dyDescent="0.3">
      <c r="Q3974" s="93">
        <v>45987</v>
      </c>
      <c r="R3974" t="s">
        <v>479</v>
      </c>
      <c r="S3974" t="s">
        <v>415</v>
      </c>
      <c r="T3974" s="14">
        <v>6.0602507489596098</v>
      </c>
    </row>
    <row r="3975" spans="17:20" x14ac:dyDescent="0.3">
      <c r="Q3975" s="93">
        <v>45987</v>
      </c>
      <c r="R3975" t="s">
        <v>364</v>
      </c>
      <c r="S3975" t="s">
        <v>415</v>
      </c>
      <c r="T3975" s="14">
        <v>5.6997243285352504</v>
      </c>
    </row>
    <row r="3976" spans="17:20" x14ac:dyDescent="0.3">
      <c r="Q3976" s="93">
        <v>45987</v>
      </c>
      <c r="R3976" t="s">
        <v>364</v>
      </c>
      <c r="S3976" t="s">
        <v>997</v>
      </c>
      <c r="T3976" s="14">
        <v>31081.4774</v>
      </c>
    </row>
    <row r="3977" spans="17:20" x14ac:dyDescent="0.3">
      <c r="Q3977" s="93">
        <v>45986</v>
      </c>
      <c r="R3977" t="s">
        <v>479</v>
      </c>
      <c r="S3977" t="s">
        <v>399</v>
      </c>
      <c r="T3977" s="14">
        <v>11397.6106</v>
      </c>
    </row>
    <row r="3978" spans="17:20" x14ac:dyDescent="0.3">
      <c r="Q3978" s="93">
        <v>45986</v>
      </c>
      <c r="R3978" t="s">
        <v>364</v>
      </c>
      <c r="S3978" t="s">
        <v>399</v>
      </c>
      <c r="T3978" s="14">
        <v>24931.4774</v>
      </c>
    </row>
    <row r="3979" spans="17:20" x14ac:dyDescent="0.3">
      <c r="Q3979" s="93">
        <v>45986</v>
      </c>
      <c r="R3979" t="s">
        <v>491</v>
      </c>
      <c r="S3979" t="s">
        <v>399</v>
      </c>
      <c r="T3979" s="14">
        <v>10500</v>
      </c>
    </row>
    <row r="3980" spans="17:20" x14ac:dyDescent="0.3">
      <c r="Q3980" s="93">
        <v>45986</v>
      </c>
      <c r="R3980" t="s">
        <v>492</v>
      </c>
      <c r="S3980" t="s">
        <v>399</v>
      </c>
      <c r="T3980" s="14">
        <v>897.61059999999998</v>
      </c>
    </row>
    <row r="3981" spans="17:20" x14ac:dyDescent="0.3">
      <c r="Q3981" s="93">
        <v>45986</v>
      </c>
      <c r="R3981" t="s">
        <v>496</v>
      </c>
      <c r="S3981" t="s">
        <v>399</v>
      </c>
      <c r="T3981" s="14">
        <v>21831.4774</v>
      </c>
    </row>
    <row r="3982" spans="17:20" x14ac:dyDescent="0.3">
      <c r="Q3982" s="93">
        <v>45986</v>
      </c>
      <c r="R3982" t="s">
        <v>497</v>
      </c>
      <c r="S3982" t="s">
        <v>399</v>
      </c>
      <c r="T3982" s="14">
        <v>897.61059999999998</v>
      </c>
    </row>
    <row r="3983" spans="17:20" x14ac:dyDescent="0.3">
      <c r="Q3983" s="93">
        <v>45986</v>
      </c>
      <c r="R3983" t="s">
        <v>498</v>
      </c>
      <c r="S3983" t="s">
        <v>399</v>
      </c>
      <c r="T3983" s="14">
        <v>10500</v>
      </c>
    </row>
    <row r="3984" spans="17:20" x14ac:dyDescent="0.3">
      <c r="Q3984" s="93">
        <v>45986</v>
      </c>
      <c r="R3984" t="s">
        <v>494</v>
      </c>
      <c r="S3984" t="s">
        <v>399</v>
      </c>
      <c r="T3984" s="14">
        <v>3100</v>
      </c>
    </row>
    <row r="3985" spans="17:20" x14ac:dyDescent="0.3">
      <c r="Q3985" s="93">
        <v>45986</v>
      </c>
      <c r="R3985" t="s">
        <v>495</v>
      </c>
      <c r="S3985" t="s">
        <v>399</v>
      </c>
      <c r="T3985" s="14">
        <v>0</v>
      </c>
    </row>
    <row r="3986" spans="17:20" x14ac:dyDescent="0.3">
      <c r="Q3986" s="93">
        <v>45986</v>
      </c>
      <c r="R3986" t="s">
        <v>493</v>
      </c>
      <c r="S3986" t="s">
        <v>399</v>
      </c>
      <c r="T3986" s="14">
        <v>0</v>
      </c>
    </row>
    <row r="3987" spans="17:20" x14ac:dyDescent="0.3">
      <c r="Q3987" s="93">
        <v>45986</v>
      </c>
      <c r="R3987" t="s">
        <v>593</v>
      </c>
      <c r="S3987" t="s">
        <v>399</v>
      </c>
      <c r="T3987" s="14">
        <v>0</v>
      </c>
    </row>
    <row r="3988" spans="17:20" x14ac:dyDescent="0.3">
      <c r="Q3988" s="93">
        <v>45986</v>
      </c>
      <c r="R3988" t="s">
        <v>594</v>
      </c>
      <c r="S3988" t="s">
        <v>399</v>
      </c>
      <c r="T3988" s="14">
        <v>0</v>
      </c>
    </row>
    <row r="3989" spans="17:20" x14ac:dyDescent="0.3">
      <c r="Q3989" s="93">
        <v>45986</v>
      </c>
      <c r="R3989" t="s">
        <v>595</v>
      </c>
      <c r="S3989" t="s">
        <v>399</v>
      </c>
      <c r="T3989" s="14">
        <v>0</v>
      </c>
    </row>
    <row r="3990" spans="17:20" x14ac:dyDescent="0.3">
      <c r="Q3990" s="93">
        <v>45986</v>
      </c>
      <c r="R3990" t="s">
        <v>479</v>
      </c>
      <c r="S3990" t="s">
        <v>395</v>
      </c>
      <c r="T3990" s="14">
        <v>10708.5007532325</v>
      </c>
    </row>
    <row r="3991" spans="17:20" x14ac:dyDescent="0.3">
      <c r="Q3991" s="93">
        <v>45986</v>
      </c>
      <c r="R3991" t="s">
        <v>479</v>
      </c>
      <c r="S3991" t="s">
        <v>415</v>
      </c>
      <c r="T3991" s="14">
        <v>6.0602507489596098</v>
      </c>
    </row>
    <row r="3992" spans="17:20" x14ac:dyDescent="0.3">
      <c r="Q3992" s="93">
        <v>45986</v>
      </c>
      <c r="R3992" t="s">
        <v>364</v>
      </c>
      <c r="S3992" t="s">
        <v>997</v>
      </c>
      <c r="T3992" s="14">
        <v>29331.4774</v>
      </c>
    </row>
    <row r="3993" spans="17:20" x14ac:dyDescent="0.3">
      <c r="Q3993" s="93">
        <v>45986</v>
      </c>
      <c r="R3993" t="s">
        <v>364</v>
      </c>
      <c r="S3993" t="s">
        <v>415</v>
      </c>
      <c r="T3993" s="14">
        <v>5.6594754848180804</v>
      </c>
    </row>
    <row r="3994" spans="17:20" x14ac:dyDescent="0.3">
      <c r="Q3994" s="93">
        <v>45985</v>
      </c>
      <c r="R3994" t="s">
        <v>479</v>
      </c>
      <c r="S3994" t="s">
        <v>399</v>
      </c>
      <c r="T3994" s="14">
        <v>11397.6106</v>
      </c>
    </row>
    <row r="3995" spans="17:20" x14ac:dyDescent="0.3">
      <c r="Q3995" s="93">
        <v>45985</v>
      </c>
      <c r="R3995" t="s">
        <v>364</v>
      </c>
      <c r="S3995" t="s">
        <v>399</v>
      </c>
      <c r="T3995" s="14">
        <v>24381.4774</v>
      </c>
    </row>
    <row r="3996" spans="17:20" x14ac:dyDescent="0.3">
      <c r="Q3996" s="93">
        <v>45985</v>
      </c>
      <c r="R3996" t="s">
        <v>491</v>
      </c>
      <c r="S3996" t="s">
        <v>399</v>
      </c>
      <c r="T3996" s="14">
        <v>10500</v>
      </c>
    </row>
    <row r="3997" spans="17:20" x14ac:dyDescent="0.3">
      <c r="Q3997" s="93">
        <v>45985</v>
      </c>
      <c r="R3997" t="s">
        <v>492</v>
      </c>
      <c r="S3997" t="s">
        <v>399</v>
      </c>
      <c r="T3997" s="14">
        <v>897.61059999999998</v>
      </c>
    </row>
    <row r="3998" spans="17:20" x14ac:dyDescent="0.3">
      <c r="Q3998" s="93">
        <v>45985</v>
      </c>
      <c r="R3998" t="s">
        <v>496</v>
      </c>
      <c r="S3998" t="s">
        <v>399</v>
      </c>
      <c r="T3998" s="14">
        <v>21881.4774</v>
      </c>
    </row>
    <row r="3999" spans="17:20" x14ac:dyDescent="0.3">
      <c r="Q3999" s="93">
        <v>45985</v>
      </c>
      <c r="R3999" t="s">
        <v>497</v>
      </c>
      <c r="S3999" t="s">
        <v>399</v>
      </c>
      <c r="T3999" s="14">
        <v>897.61059999999998</v>
      </c>
    </row>
    <row r="4000" spans="17:20" x14ac:dyDescent="0.3">
      <c r="Q4000" s="93">
        <v>45985</v>
      </c>
      <c r="R4000" t="s">
        <v>498</v>
      </c>
      <c r="S4000" t="s">
        <v>399</v>
      </c>
      <c r="T4000" s="14">
        <v>10500</v>
      </c>
    </row>
    <row r="4001" spans="17:20" x14ac:dyDescent="0.3">
      <c r="Q4001" s="93">
        <v>45985</v>
      </c>
      <c r="R4001" t="s">
        <v>494</v>
      </c>
      <c r="S4001" t="s">
        <v>399</v>
      </c>
      <c r="T4001" s="14">
        <v>500</v>
      </c>
    </row>
    <row r="4002" spans="17:20" x14ac:dyDescent="0.3">
      <c r="Q4002" s="93">
        <v>45985</v>
      </c>
      <c r="R4002" t="s">
        <v>495</v>
      </c>
      <c r="S4002" t="s">
        <v>399</v>
      </c>
      <c r="T4002" s="14">
        <v>0</v>
      </c>
    </row>
    <row r="4003" spans="17:20" x14ac:dyDescent="0.3">
      <c r="Q4003" s="93">
        <v>45985</v>
      </c>
      <c r="R4003" t="s">
        <v>493</v>
      </c>
      <c r="S4003" t="s">
        <v>399</v>
      </c>
      <c r="T4003" s="14">
        <v>0</v>
      </c>
    </row>
    <row r="4004" spans="17:20" x14ac:dyDescent="0.3">
      <c r="Q4004" s="93">
        <v>45985</v>
      </c>
      <c r="R4004" t="s">
        <v>593</v>
      </c>
      <c r="S4004" t="s">
        <v>399</v>
      </c>
      <c r="T4004" s="14">
        <v>2000</v>
      </c>
    </row>
    <row r="4005" spans="17:20" x14ac:dyDescent="0.3">
      <c r="Q4005" s="93">
        <v>45985</v>
      </c>
      <c r="R4005" t="s">
        <v>594</v>
      </c>
      <c r="S4005" t="s">
        <v>399</v>
      </c>
      <c r="T4005" s="14">
        <v>0</v>
      </c>
    </row>
    <row r="4006" spans="17:20" x14ac:dyDescent="0.3">
      <c r="Q4006" s="93">
        <v>45985</v>
      </c>
      <c r="R4006" t="s">
        <v>595</v>
      </c>
      <c r="S4006" t="s">
        <v>399</v>
      </c>
      <c r="T4006" s="14">
        <v>0</v>
      </c>
    </row>
    <row r="4007" spans="17:20" x14ac:dyDescent="0.3">
      <c r="Q4007" s="93">
        <v>45985</v>
      </c>
      <c r="R4007" t="s">
        <v>479</v>
      </c>
      <c r="S4007" t="s">
        <v>395</v>
      </c>
      <c r="T4007" s="14">
        <v>10709.332919664599</v>
      </c>
    </row>
    <row r="4008" spans="17:20" x14ac:dyDescent="0.3">
      <c r="Q4008" s="93">
        <v>45985</v>
      </c>
      <c r="R4008" t="s">
        <v>479</v>
      </c>
      <c r="S4008" t="s">
        <v>415</v>
      </c>
      <c r="T4008" s="14">
        <v>6.0602507489596098</v>
      </c>
    </row>
    <row r="4009" spans="17:20" x14ac:dyDescent="0.3">
      <c r="Q4009" s="93">
        <v>45985</v>
      </c>
      <c r="R4009" t="s">
        <v>364</v>
      </c>
      <c r="S4009" t="s">
        <v>415</v>
      </c>
      <c r="T4009" s="14">
        <v>5.6607811991611001</v>
      </c>
    </row>
    <row r="4010" spans="17:20" x14ac:dyDescent="0.3">
      <c r="Q4010" s="93">
        <v>45985</v>
      </c>
      <c r="R4010" t="s">
        <v>364</v>
      </c>
      <c r="S4010" t="s">
        <v>997</v>
      </c>
      <c r="T4010" s="14">
        <v>28781.4774</v>
      </c>
    </row>
    <row r="4011" spans="17:20" x14ac:dyDescent="0.3">
      <c r="Q4011" s="93">
        <v>45982</v>
      </c>
      <c r="R4011" t="s">
        <v>479</v>
      </c>
      <c r="S4011" t="s">
        <v>399</v>
      </c>
      <c r="T4011" s="14">
        <v>11397.6106</v>
      </c>
    </row>
    <row r="4012" spans="17:20" x14ac:dyDescent="0.3">
      <c r="Q4012" s="93">
        <v>45982</v>
      </c>
      <c r="R4012" t="s">
        <v>364</v>
      </c>
      <c r="S4012" t="s">
        <v>399</v>
      </c>
      <c r="T4012" s="14">
        <v>24881.4774</v>
      </c>
    </row>
    <row r="4013" spans="17:20" x14ac:dyDescent="0.3">
      <c r="Q4013" s="93">
        <v>45982</v>
      </c>
      <c r="R4013" t="s">
        <v>491</v>
      </c>
      <c r="S4013" t="s">
        <v>399</v>
      </c>
      <c r="T4013" s="14">
        <v>10500</v>
      </c>
    </row>
    <row r="4014" spans="17:20" x14ac:dyDescent="0.3">
      <c r="Q4014" s="93">
        <v>45982</v>
      </c>
      <c r="R4014" t="s">
        <v>492</v>
      </c>
      <c r="S4014" t="s">
        <v>399</v>
      </c>
      <c r="T4014" s="14">
        <v>897.61059999999998</v>
      </c>
    </row>
    <row r="4015" spans="17:20" x14ac:dyDescent="0.3">
      <c r="Q4015" s="93">
        <v>45982</v>
      </c>
      <c r="R4015" t="s">
        <v>496</v>
      </c>
      <c r="S4015" t="s">
        <v>399</v>
      </c>
      <c r="T4015" s="14">
        <v>21731.4774</v>
      </c>
    </row>
    <row r="4016" spans="17:20" x14ac:dyDescent="0.3">
      <c r="Q4016" s="93">
        <v>45982</v>
      </c>
      <c r="R4016" t="s">
        <v>497</v>
      </c>
      <c r="S4016" t="s">
        <v>399</v>
      </c>
      <c r="T4016" s="14">
        <v>897.61059999999998</v>
      </c>
    </row>
    <row r="4017" spans="17:20" x14ac:dyDescent="0.3">
      <c r="Q4017" s="93">
        <v>45982</v>
      </c>
      <c r="R4017" t="s">
        <v>498</v>
      </c>
      <c r="S4017" t="s">
        <v>399</v>
      </c>
      <c r="T4017" s="14">
        <v>10500</v>
      </c>
    </row>
    <row r="4018" spans="17:20" x14ac:dyDescent="0.3">
      <c r="Q4018" s="93">
        <v>45982</v>
      </c>
      <c r="R4018" t="s">
        <v>494</v>
      </c>
      <c r="S4018" t="s">
        <v>399</v>
      </c>
      <c r="T4018" s="14">
        <v>1150</v>
      </c>
    </row>
    <row r="4019" spans="17:20" x14ac:dyDescent="0.3">
      <c r="Q4019" s="93">
        <v>45982</v>
      </c>
      <c r="R4019" t="s">
        <v>495</v>
      </c>
      <c r="S4019" t="s">
        <v>399</v>
      </c>
      <c r="T4019" s="14">
        <v>0</v>
      </c>
    </row>
    <row r="4020" spans="17:20" x14ac:dyDescent="0.3">
      <c r="Q4020" s="93">
        <v>45982</v>
      </c>
      <c r="R4020" t="s">
        <v>493</v>
      </c>
      <c r="S4020" t="s">
        <v>399</v>
      </c>
      <c r="T4020" s="14">
        <v>0</v>
      </c>
    </row>
    <row r="4021" spans="17:20" x14ac:dyDescent="0.3">
      <c r="Q4021" s="93">
        <v>45982</v>
      </c>
      <c r="R4021" t="s">
        <v>593</v>
      </c>
      <c r="S4021" t="s">
        <v>399</v>
      </c>
      <c r="T4021" s="14">
        <v>2000</v>
      </c>
    </row>
    <row r="4022" spans="17:20" x14ac:dyDescent="0.3">
      <c r="Q4022" s="93">
        <v>45982</v>
      </c>
      <c r="R4022" t="s">
        <v>594</v>
      </c>
      <c r="S4022" t="s">
        <v>399</v>
      </c>
      <c r="T4022" s="14">
        <v>0</v>
      </c>
    </row>
    <row r="4023" spans="17:20" x14ac:dyDescent="0.3">
      <c r="Q4023" s="93">
        <v>45982</v>
      </c>
      <c r="R4023" t="s">
        <v>595</v>
      </c>
      <c r="S4023" t="s">
        <v>399</v>
      </c>
      <c r="T4023" s="14">
        <v>0</v>
      </c>
    </row>
    <row r="4024" spans="17:20" x14ac:dyDescent="0.3">
      <c r="Q4024" s="93">
        <v>45982</v>
      </c>
      <c r="R4024" t="s">
        <v>479</v>
      </c>
      <c r="S4024" t="s">
        <v>395</v>
      </c>
      <c r="T4024" s="14">
        <v>10707.1502350179</v>
      </c>
    </row>
    <row r="4025" spans="17:20" x14ac:dyDescent="0.3">
      <c r="Q4025" s="93">
        <v>45982</v>
      </c>
      <c r="R4025" t="s">
        <v>364</v>
      </c>
      <c r="S4025" t="s">
        <v>997</v>
      </c>
      <c r="T4025" s="14">
        <v>29281.4774</v>
      </c>
    </row>
    <row r="4026" spans="17:20" x14ac:dyDescent="0.3">
      <c r="Q4026" s="93">
        <v>45982</v>
      </c>
      <c r="R4026" t="s">
        <v>479</v>
      </c>
      <c r="S4026" t="s">
        <v>415</v>
      </c>
      <c r="T4026" s="14">
        <v>6.0602507489596098</v>
      </c>
    </row>
    <row r="4027" spans="17:20" x14ac:dyDescent="0.3">
      <c r="Q4027" s="93">
        <v>45982</v>
      </c>
      <c r="R4027" t="s">
        <v>364</v>
      </c>
      <c r="S4027" t="s">
        <v>415</v>
      </c>
      <c r="T4027" s="14">
        <v>5.6995295650621802</v>
      </c>
    </row>
    <row r="4028" spans="17:20" x14ac:dyDescent="0.3">
      <c r="Q4028" s="93">
        <v>45981</v>
      </c>
      <c r="R4028" t="s">
        <v>479</v>
      </c>
      <c r="S4028" t="s">
        <v>399</v>
      </c>
      <c r="T4028" s="14">
        <v>11397.6106</v>
      </c>
    </row>
    <row r="4029" spans="17:20" x14ac:dyDescent="0.3">
      <c r="Q4029" s="93">
        <v>45981</v>
      </c>
      <c r="R4029" t="s">
        <v>364</v>
      </c>
      <c r="S4029" t="s">
        <v>399</v>
      </c>
      <c r="T4029" s="14">
        <v>22181.4774</v>
      </c>
    </row>
    <row r="4030" spans="17:20" x14ac:dyDescent="0.3">
      <c r="Q4030" s="93">
        <v>45981</v>
      </c>
      <c r="R4030" t="s">
        <v>491</v>
      </c>
      <c r="S4030" t="s">
        <v>399</v>
      </c>
      <c r="T4030" s="14">
        <v>10500</v>
      </c>
    </row>
    <row r="4031" spans="17:20" x14ac:dyDescent="0.3">
      <c r="Q4031" s="93">
        <v>45981</v>
      </c>
      <c r="R4031" t="s">
        <v>492</v>
      </c>
      <c r="S4031" t="s">
        <v>399</v>
      </c>
      <c r="T4031" s="14">
        <v>897.61059999999998</v>
      </c>
    </row>
    <row r="4032" spans="17:20" x14ac:dyDescent="0.3">
      <c r="Q4032" s="93">
        <v>45981</v>
      </c>
      <c r="R4032" t="s">
        <v>496</v>
      </c>
      <c r="S4032" t="s">
        <v>399</v>
      </c>
      <c r="T4032" s="14">
        <v>21986.782899999998</v>
      </c>
    </row>
    <row r="4033" spans="17:20" x14ac:dyDescent="0.3">
      <c r="Q4033" s="93">
        <v>45981</v>
      </c>
      <c r="R4033" t="s">
        <v>497</v>
      </c>
      <c r="S4033" t="s">
        <v>399</v>
      </c>
      <c r="T4033" s="14">
        <v>897.61059999999998</v>
      </c>
    </row>
    <row r="4034" spans="17:20" x14ac:dyDescent="0.3">
      <c r="Q4034" s="93">
        <v>45981</v>
      </c>
      <c r="R4034" t="s">
        <v>498</v>
      </c>
      <c r="S4034" t="s">
        <v>399</v>
      </c>
      <c r="T4034" s="14">
        <v>10500</v>
      </c>
    </row>
    <row r="4035" spans="17:20" x14ac:dyDescent="0.3">
      <c r="Q4035" s="93">
        <v>45981</v>
      </c>
      <c r="R4035" t="s">
        <v>494</v>
      </c>
      <c r="S4035" t="s">
        <v>399</v>
      </c>
      <c r="T4035" s="14">
        <v>194.69450000000001</v>
      </c>
    </row>
    <row r="4036" spans="17:20" x14ac:dyDescent="0.3">
      <c r="Q4036" s="93">
        <v>45981</v>
      </c>
      <c r="R4036" t="s">
        <v>495</v>
      </c>
      <c r="S4036" t="s">
        <v>399</v>
      </c>
      <c r="T4036" s="14">
        <v>0</v>
      </c>
    </row>
    <row r="4037" spans="17:20" x14ac:dyDescent="0.3">
      <c r="Q4037" s="93">
        <v>45981</v>
      </c>
      <c r="R4037" t="s">
        <v>493</v>
      </c>
      <c r="S4037" t="s">
        <v>399</v>
      </c>
      <c r="T4037" s="14">
        <v>0</v>
      </c>
    </row>
    <row r="4038" spans="17:20" x14ac:dyDescent="0.3">
      <c r="Q4038" s="93">
        <v>45981</v>
      </c>
      <c r="R4038" t="s">
        <v>593</v>
      </c>
      <c r="S4038" t="s">
        <v>399</v>
      </c>
      <c r="T4038" s="14">
        <v>0</v>
      </c>
    </row>
    <row r="4039" spans="17:20" x14ac:dyDescent="0.3">
      <c r="Q4039" s="93">
        <v>45981</v>
      </c>
      <c r="R4039" t="s">
        <v>594</v>
      </c>
      <c r="S4039" t="s">
        <v>399</v>
      </c>
      <c r="T4039" s="14">
        <v>0</v>
      </c>
    </row>
    <row r="4040" spans="17:20" x14ac:dyDescent="0.3">
      <c r="Q4040" s="93">
        <v>45981</v>
      </c>
      <c r="R4040" t="s">
        <v>595</v>
      </c>
      <c r="S4040" t="s">
        <v>399</v>
      </c>
      <c r="T4040" s="14">
        <v>0</v>
      </c>
    </row>
    <row r="4041" spans="17:20" x14ac:dyDescent="0.3">
      <c r="Q4041" s="93">
        <v>45981</v>
      </c>
      <c r="R4041" t="s">
        <v>479</v>
      </c>
      <c r="S4041" t="s">
        <v>395</v>
      </c>
      <c r="T4041" s="14">
        <v>10707.883390070299</v>
      </c>
    </row>
    <row r="4042" spans="17:20" x14ac:dyDescent="0.3">
      <c r="Q4042" s="93">
        <v>45981</v>
      </c>
      <c r="R4042" t="s">
        <v>479</v>
      </c>
      <c r="S4042" t="s">
        <v>415</v>
      </c>
      <c r="T4042" s="14">
        <v>6.0602507489596098</v>
      </c>
    </row>
    <row r="4043" spans="17:20" x14ac:dyDescent="0.3">
      <c r="Q4043" s="93">
        <v>45981</v>
      </c>
      <c r="R4043" t="s">
        <v>364</v>
      </c>
      <c r="S4043" t="s">
        <v>415</v>
      </c>
      <c r="T4043" s="14">
        <v>5.6528327560152798</v>
      </c>
    </row>
    <row r="4044" spans="17:20" x14ac:dyDescent="0.3">
      <c r="Q4044" s="93">
        <v>45981</v>
      </c>
      <c r="R4044" t="s">
        <v>364</v>
      </c>
      <c r="S4044" t="s">
        <v>997</v>
      </c>
      <c r="T4044" s="14">
        <v>26581.4774</v>
      </c>
    </row>
    <row r="4045" spans="17:20" x14ac:dyDescent="0.3">
      <c r="Q4045" s="93">
        <v>45980</v>
      </c>
      <c r="R4045" t="s">
        <v>364</v>
      </c>
      <c r="S4045" t="s">
        <v>399</v>
      </c>
      <c r="T4045" s="14">
        <v>23474.678199999998</v>
      </c>
    </row>
    <row r="4046" spans="17:20" x14ac:dyDescent="0.3">
      <c r="Q4046" s="93">
        <v>45980</v>
      </c>
      <c r="R4046" t="s">
        <v>491</v>
      </c>
      <c r="S4046" t="s">
        <v>399</v>
      </c>
      <c r="T4046" s="14">
        <v>10500</v>
      </c>
    </row>
    <row r="4047" spans="17:20" x14ac:dyDescent="0.3">
      <c r="Q4047" s="93">
        <v>45980</v>
      </c>
      <c r="R4047" t="s">
        <v>492</v>
      </c>
      <c r="S4047" t="s">
        <v>399</v>
      </c>
      <c r="T4047" s="14">
        <v>897.61059999999998</v>
      </c>
    </row>
    <row r="4048" spans="17:20" x14ac:dyDescent="0.3">
      <c r="Q4048" s="93">
        <v>45980</v>
      </c>
      <c r="R4048" t="s">
        <v>496</v>
      </c>
      <c r="S4048" t="s">
        <v>399</v>
      </c>
      <c r="T4048" s="14">
        <v>20886.782899999998</v>
      </c>
    </row>
    <row r="4049" spans="17:20" x14ac:dyDescent="0.3">
      <c r="Q4049" s="93">
        <v>45980</v>
      </c>
      <c r="R4049" t="s">
        <v>497</v>
      </c>
      <c r="S4049" t="s">
        <v>399</v>
      </c>
      <c r="T4049" s="14">
        <v>897.61059999999998</v>
      </c>
    </row>
    <row r="4050" spans="17:20" x14ac:dyDescent="0.3">
      <c r="Q4050" s="93">
        <v>45980</v>
      </c>
      <c r="R4050" t="s">
        <v>498</v>
      </c>
      <c r="S4050" t="s">
        <v>399</v>
      </c>
      <c r="T4050" s="14">
        <v>10500</v>
      </c>
    </row>
    <row r="4051" spans="17:20" x14ac:dyDescent="0.3">
      <c r="Q4051" s="93">
        <v>45980</v>
      </c>
      <c r="R4051" t="s">
        <v>494</v>
      </c>
      <c r="S4051" t="s">
        <v>399</v>
      </c>
      <c r="T4051" s="14">
        <v>1660</v>
      </c>
    </row>
    <row r="4052" spans="17:20" x14ac:dyDescent="0.3">
      <c r="Q4052" s="93">
        <v>45980</v>
      </c>
      <c r="R4052" t="s">
        <v>495</v>
      </c>
      <c r="S4052" t="s">
        <v>399</v>
      </c>
      <c r="T4052" s="14">
        <v>0</v>
      </c>
    </row>
    <row r="4053" spans="17:20" x14ac:dyDescent="0.3">
      <c r="Q4053" s="93">
        <v>45980</v>
      </c>
      <c r="R4053" t="s">
        <v>493</v>
      </c>
      <c r="S4053" t="s">
        <v>399</v>
      </c>
      <c r="T4053" s="14">
        <v>0</v>
      </c>
    </row>
    <row r="4054" spans="17:20" x14ac:dyDescent="0.3">
      <c r="Q4054" s="93">
        <v>45980</v>
      </c>
      <c r="R4054" t="s">
        <v>593</v>
      </c>
      <c r="S4054" t="s">
        <v>399</v>
      </c>
      <c r="T4054" s="14">
        <v>927.89530000000002</v>
      </c>
    </row>
    <row r="4055" spans="17:20" x14ac:dyDescent="0.3">
      <c r="Q4055" s="93">
        <v>45980</v>
      </c>
      <c r="R4055" t="s">
        <v>594</v>
      </c>
      <c r="S4055" t="s">
        <v>399</v>
      </c>
      <c r="T4055" s="14">
        <v>0</v>
      </c>
    </row>
    <row r="4056" spans="17:20" x14ac:dyDescent="0.3">
      <c r="Q4056" s="93">
        <v>45980</v>
      </c>
      <c r="R4056" t="s">
        <v>595</v>
      </c>
      <c r="S4056" t="s">
        <v>399</v>
      </c>
      <c r="T4056" s="14">
        <v>0</v>
      </c>
    </row>
    <row r="4057" spans="17:20" x14ac:dyDescent="0.3">
      <c r="Q4057" s="93">
        <v>45980</v>
      </c>
      <c r="R4057" t="s">
        <v>479</v>
      </c>
      <c r="S4057" t="s">
        <v>395</v>
      </c>
      <c r="T4057" s="14">
        <v>10708.7774219246</v>
      </c>
    </row>
    <row r="4058" spans="17:20" x14ac:dyDescent="0.3">
      <c r="Q4058" s="93">
        <v>45980</v>
      </c>
      <c r="R4058" t="s">
        <v>479</v>
      </c>
      <c r="S4058" t="s">
        <v>415</v>
      </c>
      <c r="T4058" s="14">
        <v>6.0602507489596098</v>
      </c>
    </row>
    <row r="4059" spans="17:20" x14ac:dyDescent="0.3">
      <c r="Q4059" s="93">
        <v>45980</v>
      </c>
      <c r="R4059" t="s">
        <v>364</v>
      </c>
      <c r="S4059" t="s">
        <v>415</v>
      </c>
      <c r="T4059" s="14">
        <v>5.6358040563854797</v>
      </c>
    </row>
    <row r="4060" spans="17:20" x14ac:dyDescent="0.3">
      <c r="Q4060" s="93">
        <v>45980</v>
      </c>
      <c r="R4060" t="s">
        <v>364</v>
      </c>
      <c r="S4060" t="s">
        <v>997</v>
      </c>
      <c r="T4060" s="14">
        <v>27874.678199999998</v>
      </c>
    </row>
    <row r="4061" spans="17:20" x14ac:dyDescent="0.3">
      <c r="Q4061" s="93">
        <v>45980</v>
      </c>
      <c r="R4061" t="s">
        <v>479</v>
      </c>
      <c r="S4061" t="s">
        <v>399</v>
      </c>
      <c r="T4061" s="14">
        <v>11397.6106</v>
      </c>
    </row>
    <row r="4062" spans="17:20" x14ac:dyDescent="0.3">
      <c r="Q4062" s="93">
        <v>45979</v>
      </c>
      <c r="R4062" t="s">
        <v>479</v>
      </c>
      <c r="S4062" t="s">
        <v>399</v>
      </c>
      <c r="T4062" s="14">
        <v>11397.6106</v>
      </c>
    </row>
    <row r="4063" spans="17:20" x14ac:dyDescent="0.3">
      <c r="Q4063" s="93">
        <v>45979</v>
      </c>
      <c r="R4063" t="s">
        <v>364</v>
      </c>
      <c r="S4063" t="s">
        <v>399</v>
      </c>
      <c r="T4063" s="14">
        <v>22286.782899999998</v>
      </c>
    </row>
    <row r="4064" spans="17:20" x14ac:dyDescent="0.3">
      <c r="Q4064" s="93">
        <v>45979</v>
      </c>
      <c r="R4064" t="s">
        <v>491</v>
      </c>
      <c r="S4064" t="s">
        <v>399</v>
      </c>
      <c r="T4064" s="14">
        <v>10500</v>
      </c>
    </row>
    <row r="4065" spans="17:20" x14ac:dyDescent="0.3">
      <c r="Q4065" s="93">
        <v>45979</v>
      </c>
      <c r="R4065" t="s">
        <v>492</v>
      </c>
      <c r="S4065" t="s">
        <v>399</v>
      </c>
      <c r="T4065" s="14">
        <v>897.61059999999998</v>
      </c>
    </row>
    <row r="4066" spans="17:20" x14ac:dyDescent="0.3">
      <c r="Q4066" s="93">
        <v>45979</v>
      </c>
      <c r="R4066" t="s">
        <v>496</v>
      </c>
      <c r="S4066" t="s">
        <v>399</v>
      </c>
      <c r="T4066" s="14">
        <v>25036.782899999998</v>
      </c>
    </row>
    <row r="4067" spans="17:20" x14ac:dyDescent="0.3">
      <c r="Q4067" s="93">
        <v>45979</v>
      </c>
      <c r="R4067" t="s">
        <v>497</v>
      </c>
      <c r="S4067" t="s">
        <v>399</v>
      </c>
      <c r="T4067" s="14">
        <v>897.61059999999998</v>
      </c>
    </row>
    <row r="4068" spans="17:20" x14ac:dyDescent="0.3">
      <c r="Q4068" s="93">
        <v>45979</v>
      </c>
      <c r="R4068" t="s">
        <v>498</v>
      </c>
      <c r="S4068" t="s">
        <v>399</v>
      </c>
      <c r="T4068" s="14">
        <v>10500</v>
      </c>
    </row>
    <row r="4069" spans="17:20" x14ac:dyDescent="0.3">
      <c r="Q4069" s="93">
        <v>45979</v>
      </c>
      <c r="R4069" t="s">
        <v>494</v>
      </c>
      <c r="S4069" t="s">
        <v>399</v>
      </c>
      <c r="T4069" s="14">
        <v>-2750</v>
      </c>
    </row>
    <row r="4070" spans="17:20" x14ac:dyDescent="0.3">
      <c r="Q4070" s="93">
        <v>45979</v>
      </c>
      <c r="R4070" t="s">
        <v>495</v>
      </c>
      <c r="S4070" t="s">
        <v>399</v>
      </c>
      <c r="T4070" s="14">
        <v>0</v>
      </c>
    </row>
    <row r="4071" spans="17:20" x14ac:dyDescent="0.3">
      <c r="Q4071" s="93">
        <v>45979</v>
      </c>
      <c r="R4071" t="s">
        <v>493</v>
      </c>
      <c r="S4071" t="s">
        <v>399</v>
      </c>
      <c r="T4071" s="14">
        <v>0</v>
      </c>
    </row>
    <row r="4072" spans="17:20" x14ac:dyDescent="0.3">
      <c r="Q4072" s="93">
        <v>45979</v>
      </c>
      <c r="R4072" t="s">
        <v>593</v>
      </c>
      <c r="S4072" t="s">
        <v>399</v>
      </c>
      <c r="T4072" s="14">
        <v>0</v>
      </c>
    </row>
    <row r="4073" spans="17:20" x14ac:dyDescent="0.3">
      <c r="Q4073" s="93">
        <v>45979</v>
      </c>
      <c r="R4073" t="s">
        <v>594</v>
      </c>
      <c r="S4073" t="s">
        <v>399</v>
      </c>
      <c r="T4073" s="14">
        <v>0</v>
      </c>
    </row>
    <row r="4074" spans="17:20" x14ac:dyDescent="0.3">
      <c r="Q4074" s="93">
        <v>45979</v>
      </c>
      <c r="R4074" t="s">
        <v>595</v>
      </c>
      <c r="S4074" t="s">
        <v>399</v>
      </c>
      <c r="T4074" s="14">
        <v>0</v>
      </c>
    </row>
    <row r="4075" spans="17:20" x14ac:dyDescent="0.3">
      <c r="Q4075" s="93">
        <v>45979</v>
      </c>
      <c r="R4075" t="s">
        <v>479</v>
      </c>
      <c r="S4075" t="s">
        <v>395</v>
      </c>
      <c r="T4075" s="14">
        <v>11295.024327560601</v>
      </c>
    </row>
    <row r="4076" spans="17:20" x14ac:dyDescent="0.3">
      <c r="Q4076" s="93">
        <v>45979</v>
      </c>
      <c r="R4076" t="s">
        <v>479</v>
      </c>
      <c r="S4076" t="s">
        <v>415</v>
      </c>
      <c r="T4076" s="14">
        <v>6.0602507489596098</v>
      </c>
    </row>
    <row r="4077" spans="17:20" x14ac:dyDescent="0.3">
      <c r="Q4077" s="93">
        <v>45979</v>
      </c>
      <c r="R4077" t="s">
        <v>364</v>
      </c>
      <c r="S4077" t="s">
        <v>415</v>
      </c>
      <c r="T4077" s="14">
        <v>5.6726646099406803</v>
      </c>
    </row>
    <row r="4078" spans="17:20" x14ac:dyDescent="0.3">
      <c r="Q4078" s="93">
        <v>45979</v>
      </c>
      <c r="R4078" t="s">
        <v>364</v>
      </c>
      <c r="S4078" t="s">
        <v>997</v>
      </c>
      <c r="T4078" s="14">
        <v>26686.782899999998</v>
      </c>
    </row>
    <row r="4079" spans="17:20" x14ac:dyDescent="0.3">
      <c r="Q4079" s="93">
        <v>45978</v>
      </c>
      <c r="R4079" t="s">
        <v>479</v>
      </c>
      <c r="S4079" t="s">
        <v>399</v>
      </c>
      <c r="T4079" s="14">
        <v>11397.6106</v>
      </c>
    </row>
    <row r="4080" spans="17:20" x14ac:dyDescent="0.3">
      <c r="Q4080" s="93">
        <v>45978</v>
      </c>
      <c r="R4080" t="s">
        <v>364</v>
      </c>
      <c r="S4080" t="s">
        <v>399</v>
      </c>
      <c r="T4080" s="14">
        <v>21586.782899999998</v>
      </c>
    </row>
    <row r="4081" spans="17:20" x14ac:dyDescent="0.3">
      <c r="Q4081" s="93">
        <v>45978</v>
      </c>
      <c r="R4081" t="s">
        <v>491</v>
      </c>
      <c r="S4081" t="s">
        <v>399</v>
      </c>
      <c r="T4081" s="14">
        <v>10500</v>
      </c>
    </row>
    <row r="4082" spans="17:20" x14ac:dyDescent="0.3">
      <c r="Q4082" s="93">
        <v>45978</v>
      </c>
      <c r="R4082" t="s">
        <v>492</v>
      </c>
      <c r="S4082" t="s">
        <v>399</v>
      </c>
      <c r="T4082" s="14">
        <v>897.61059999999998</v>
      </c>
    </row>
    <row r="4083" spans="17:20" x14ac:dyDescent="0.3">
      <c r="Q4083" s="93">
        <v>45978</v>
      </c>
      <c r="R4083" t="s">
        <v>496</v>
      </c>
      <c r="S4083" t="s">
        <v>399</v>
      </c>
      <c r="T4083" s="14">
        <v>25836.782899999998</v>
      </c>
    </row>
    <row r="4084" spans="17:20" x14ac:dyDescent="0.3">
      <c r="Q4084" s="93">
        <v>45978</v>
      </c>
      <c r="R4084" t="s">
        <v>497</v>
      </c>
      <c r="S4084" t="s">
        <v>399</v>
      </c>
      <c r="T4084" s="14">
        <v>897.61059999999998</v>
      </c>
    </row>
    <row r="4085" spans="17:20" x14ac:dyDescent="0.3">
      <c r="Q4085" s="93">
        <v>45978</v>
      </c>
      <c r="R4085" t="s">
        <v>498</v>
      </c>
      <c r="S4085" t="s">
        <v>399</v>
      </c>
      <c r="T4085" s="14">
        <v>10500</v>
      </c>
    </row>
    <row r="4086" spans="17:20" x14ac:dyDescent="0.3">
      <c r="Q4086" s="93">
        <v>45978</v>
      </c>
      <c r="R4086" t="s">
        <v>494</v>
      </c>
      <c r="S4086" t="s">
        <v>399</v>
      </c>
      <c r="T4086" s="14">
        <v>-4250</v>
      </c>
    </row>
    <row r="4087" spans="17:20" x14ac:dyDescent="0.3">
      <c r="Q4087" s="93">
        <v>45978</v>
      </c>
      <c r="R4087" t="s">
        <v>495</v>
      </c>
      <c r="S4087" t="s">
        <v>399</v>
      </c>
      <c r="T4087" s="14">
        <v>0</v>
      </c>
    </row>
    <row r="4088" spans="17:20" x14ac:dyDescent="0.3">
      <c r="Q4088" s="93">
        <v>45978</v>
      </c>
      <c r="R4088" t="s">
        <v>493</v>
      </c>
      <c r="S4088" t="s">
        <v>399</v>
      </c>
      <c r="T4088" s="14">
        <v>0</v>
      </c>
    </row>
    <row r="4089" spans="17:20" x14ac:dyDescent="0.3">
      <c r="Q4089" s="93">
        <v>45978</v>
      </c>
      <c r="R4089" t="s">
        <v>593</v>
      </c>
      <c r="S4089" t="s">
        <v>399</v>
      </c>
      <c r="T4089" s="14">
        <v>0</v>
      </c>
    </row>
    <row r="4090" spans="17:20" x14ac:dyDescent="0.3">
      <c r="Q4090" s="93">
        <v>45978</v>
      </c>
      <c r="R4090" t="s">
        <v>594</v>
      </c>
      <c r="S4090" t="s">
        <v>399</v>
      </c>
      <c r="T4090" s="14">
        <v>0</v>
      </c>
    </row>
    <row r="4091" spans="17:20" x14ac:dyDescent="0.3">
      <c r="Q4091" s="93">
        <v>45978</v>
      </c>
      <c r="R4091" t="s">
        <v>595</v>
      </c>
      <c r="S4091" t="s">
        <v>399</v>
      </c>
      <c r="T4091" s="14">
        <v>0</v>
      </c>
    </row>
    <row r="4092" spans="17:20" x14ac:dyDescent="0.3">
      <c r="Q4092" s="93">
        <v>45978</v>
      </c>
      <c r="R4092" t="s">
        <v>479</v>
      </c>
      <c r="S4092" t="s">
        <v>395</v>
      </c>
      <c r="T4092" s="14">
        <v>11280.5978768685</v>
      </c>
    </row>
    <row r="4093" spans="17:20" x14ac:dyDescent="0.3">
      <c r="Q4093" s="93">
        <v>45978</v>
      </c>
      <c r="R4093" t="s">
        <v>479</v>
      </c>
      <c r="S4093" t="s">
        <v>415</v>
      </c>
      <c r="T4093" s="14">
        <v>6.0602507489596098</v>
      </c>
    </row>
    <row r="4094" spans="17:20" x14ac:dyDescent="0.3">
      <c r="Q4094" s="93">
        <v>45978</v>
      </c>
      <c r="R4094" t="s">
        <v>364</v>
      </c>
      <c r="S4094" t="s">
        <v>415</v>
      </c>
      <c r="T4094" s="14">
        <v>5.6410810051546596</v>
      </c>
    </row>
    <row r="4095" spans="17:20" x14ac:dyDescent="0.3">
      <c r="Q4095" s="93">
        <v>45978</v>
      </c>
      <c r="R4095" t="s">
        <v>364</v>
      </c>
      <c r="S4095" t="s">
        <v>997</v>
      </c>
      <c r="T4095" s="14">
        <v>25986.782899999998</v>
      </c>
    </row>
    <row r="4096" spans="17:20" x14ac:dyDescent="0.3">
      <c r="Q4096" s="93">
        <v>45975</v>
      </c>
      <c r="R4096" t="s">
        <v>479</v>
      </c>
      <c r="S4096" t="s">
        <v>415</v>
      </c>
      <c r="T4096" s="14">
        <v>6.0602507489596098</v>
      </c>
    </row>
    <row r="4097" spans="17:20" x14ac:dyDescent="0.3">
      <c r="Q4097" s="93">
        <v>45975</v>
      </c>
      <c r="R4097" t="s">
        <v>364</v>
      </c>
      <c r="S4097" t="s">
        <v>415</v>
      </c>
      <c r="T4097" s="14">
        <v>5.6244801418282702</v>
      </c>
    </row>
    <row r="4098" spans="17:20" x14ac:dyDescent="0.3">
      <c r="Q4098" s="93">
        <v>45975</v>
      </c>
      <c r="R4098" t="s">
        <v>364</v>
      </c>
      <c r="S4098" t="s">
        <v>997</v>
      </c>
      <c r="T4098" s="14">
        <v>29786.782899999998</v>
      </c>
    </row>
    <row r="4099" spans="17:20" x14ac:dyDescent="0.3">
      <c r="Q4099" s="93">
        <v>45975</v>
      </c>
      <c r="R4099" t="s">
        <v>479</v>
      </c>
      <c r="S4099" t="s">
        <v>399</v>
      </c>
      <c r="T4099" s="14">
        <v>11397.6106</v>
      </c>
    </row>
    <row r="4100" spans="17:20" x14ac:dyDescent="0.3">
      <c r="Q4100" s="93">
        <v>45975</v>
      </c>
      <c r="R4100" t="s">
        <v>364</v>
      </c>
      <c r="S4100" t="s">
        <v>399</v>
      </c>
      <c r="T4100" s="14">
        <v>23886.782899999998</v>
      </c>
    </row>
    <row r="4101" spans="17:20" x14ac:dyDescent="0.3">
      <c r="Q4101" s="93">
        <v>45975</v>
      </c>
      <c r="R4101" t="s">
        <v>491</v>
      </c>
      <c r="S4101" t="s">
        <v>399</v>
      </c>
      <c r="T4101" s="14">
        <v>10500</v>
      </c>
    </row>
    <row r="4102" spans="17:20" x14ac:dyDescent="0.3">
      <c r="Q4102" s="93">
        <v>45975</v>
      </c>
      <c r="R4102" t="s">
        <v>492</v>
      </c>
      <c r="S4102" t="s">
        <v>399</v>
      </c>
      <c r="T4102" s="14">
        <v>897.61059999999998</v>
      </c>
    </row>
    <row r="4103" spans="17:20" x14ac:dyDescent="0.3">
      <c r="Q4103" s="93">
        <v>45975</v>
      </c>
      <c r="R4103" t="s">
        <v>496</v>
      </c>
      <c r="S4103" t="s">
        <v>399</v>
      </c>
      <c r="T4103" s="14">
        <v>26036.782899999998</v>
      </c>
    </row>
    <row r="4104" spans="17:20" x14ac:dyDescent="0.3">
      <c r="Q4104" s="93">
        <v>45975</v>
      </c>
      <c r="R4104" t="s">
        <v>497</v>
      </c>
      <c r="S4104" t="s">
        <v>399</v>
      </c>
      <c r="T4104" s="14">
        <v>897.61059999999998</v>
      </c>
    </row>
    <row r="4105" spans="17:20" x14ac:dyDescent="0.3">
      <c r="Q4105" s="93">
        <v>45975</v>
      </c>
      <c r="R4105" t="s">
        <v>498</v>
      </c>
      <c r="S4105" t="s">
        <v>399</v>
      </c>
      <c r="T4105" s="14">
        <v>10500</v>
      </c>
    </row>
    <row r="4106" spans="17:20" x14ac:dyDescent="0.3">
      <c r="Q4106" s="93">
        <v>45975</v>
      </c>
      <c r="R4106" t="s">
        <v>494</v>
      </c>
      <c r="S4106" t="s">
        <v>399</v>
      </c>
      <c r="T4106" s="14">
        <v>-2150</v>
      </c>
    </row>
    <row r="4107" spans="17:20" x14ac:dyDescent="0.3">
      <c r="Q4107" s="93">
        <v>45975</v>
      </c>
      <c r="R4107" t="s">
        <v>495</v>
      </c>
      <c r="S4107" t="s">
        <v>399</v>
      </c>
      <c r="T4107" s="14">
        <v>0</v>
      </c>
    </row>
    <row r="4108" spans="17:20" x14ac:dyDescent="0.3">
      <c r="Q4108" s="93">
        <v>45975</v>
      </c>
      <c r="R4108" t="s">
        <v>493</v>
      </c>
      <c r="S4108" t="s">
        <v>399</v>
      </c>
      <c r="T4108" s="14">
        <v>0</v>
      </c>
    </row>
    <row r="4109" spans="17:20" x14ac:dyDescent="0.3">
      <c r="Q4109" s="93">
        <v>45975</v>
      </c>
      <c r="R4109" t="s">
        <v>593</v>
      </c>
      <c r="S4109" t="s">
        <v>399</v>
      </c>
      <c r="T4109" s="14">
        <v>0</v>
      </c>
    </row>
    <row r="4110" spans="17:20" x14ac:dyDescent="0.3">
      <c r="Q4110" s="93">
        <v>45975</v>
      </c>
      <c r="R4110" t="s">
        <v>594</v>
      </c>
      <c r="S4110" t="s">
        <v>399</v>
      </c>
      <c r="T4110" s="14">
        <v>0</v>
      </c>
    </row>
    <row r="4111" spans="17:20" x14ac:dyDescent="0.3">
      <c r="Q4111" s="93">
        <v>45975</v>
      </c>
      <c r="R4111" t="s">
        <v>595</v>
      </c>
      <c r="S4111" t="s">
        <v>399</v>
      </c>
      <c r="T4111" s="14">
        <v>0</v>
      </c>
    </row>
    <row r="4112" spans="17:20" x14ac:dyDescent="0.3">
      <c r="Q4112" s="93">
        <v>45975</v>
      </c>
      <c r="R4112" t="s">
        <v>479</v>
      </c>
      <c r="S4112" t="s">
        <v>395</v>
      </c>
      <c r="T4112" s="14">
        <v>11292.7925214442</v>
      </c>
    </row>
    <row r="4113" spans="17:20" x14ac:dyDescent="0.3">
      <c r="Q4113" s="93">
        <v>45974</v>
      </c>
      <c r="R4113" t="s">
        <v>479</v>
      </c>
      <c r="S4113" t="s">
        <v>415</v>
      </c>
      <c r="T4113" s="14">
        <v>6.0602507489596098</v>
      </c>
    </row>
    <row r="4114" spans="17:20" x14ac:dyDescent="0.3">
      <c r="Q4114" s="93">
        <v>45974</v>
      </c>
      <c r="R4114" t="s">
        <v>364</v>
      </c>
      <c r="S4114" t="s">
        <v>415</v>
      </c>
      <c r="T4114" s="14">
        <v>5.6268701578873399</v>
      </c>
    </row>
    <row r="4115" spans="17:20" x14ac:dyDescent="0.3">
      <c r="Q4115" s="93">
        <v>45974</v>
      </c>
      <c r="R4115" t="s">
        <v>364</v>
      </c>
      <c r="S4115" t="s">
        <v>997</v>
      </c>
      <c r="T4115" s="14">
        <v>30486.782899999998</v>
      </c>
    </row>
    <row r="4116" spans="17:20" x14ac:dyDescent="0.3">
      <c r="Q4116" s="93">
        <v>45974</v>
      </c>
      <c r="R4116" t="s">
        <v>479</v>
      </c>
      <c r="S4116" t="s">
        <v>399</v>
      </c>
      <c r="T4116" s="14">
        <v>11397.6106</v>
      </c>
    </row>
    <row r="4117" spans="17:20" x14ac:dyDescent="0.3">
      <c r="Q4117" s="93">
        <v>45974</v>
      </c>
      <c r="R4117" t="s">
        <v>364</v>
      </c>
      <c r="S4117" t="s">
        <v>399</v>
      </c>
      <c r="T4117" s="14">
        <v>24586.782899999998</v>
      </c>
    </row>
    <row r="4118" spans="17:20" x14ac:dyDescent="0.3">
      <c r="Q4118" s="93">
        <v>45974</v>
      </c>
      <c r="R4118" t="s">
        <v>491</v>
      </c>
      <c r="S4118" t="s">
        <v>399</v>
      </c>
      <c r="T4118" s="14">
        <v>10500</v>
      </c>
    </row>
    <row r="4119" spans="17:20" x14ac:dyDescent="0.3">
      <c r="Q4119" s="93">
        <v>45974</v>
      </c>
      <c r="R4119" t="s">
        <v>492</v>
      </c>
      <c r="S4119" t="s">
        <v>399</v>
      </c>
      <c r="T4119" s="14">
        <v>897.61059999999998</v>
      </c>
    </row>
    <row r="4120" spans="17:20" x14ac:dyDescent="0.3">
      <c r="Q4120" s="93">
        <v>45974</v>
      </c>
      <c r="R4120" t="s">
        <v>496</v>
      </c>
      <c r="S4120" t="s">
        <v>399</v>
      </c>
      <c r="T4120" s="14">
        <v>26436.782899999998</v>
      </c>
    </row>
    <row r="4121" spans="17:20" x14ac:dyDescent="0.3">
      <c r="Q4121" s="93">
        <v>45974</v>
      </c>
      <c r="R4121" t="s">
        <v>497</v>
      </c>
      <c r="S4121" t="s">
        <v>399</v>
      </c>
      <c r="T4121" s="14">
        <v>897.61059999999998</v>
      </c>
    </row>
    <row r="4122" spans="17:20" x14ac:dyDescent="0.3">
      <c r="Q4122" s="93">
        <v>45974</v>
      </c>
      <c r="R4122" t="s">
        <v>498</v>
      </c>
      <c r="S4122" t="s">
        <v>399</v>
      </c>
      <c r="T4122" s="14">
        <v>10500</v>
      </c>
    </row>
    <row r="4123" spans="17:20" x14ac:dyDescent="0.3">
      <c r="Q4123" s="93">
        <v>45974</v>
      </c>
      <c r="R4123" t="s">
        <v>494</v>
      </c>
      <c r="S4123" t="s">
        <v>399</v>
      </c>
      <c r="T4123" s="14">
        <v>-1800</v>
      </c>
    </row>
    <row r="4124" spans="17:20" x14ac:dyDescent="0.3">
      <c r="Q4124" s="93">
        <v>45974</v>
      </c>
      <c r="R4124" t="s">
        <v>495</v>
      </c>
      <c r="S4124" t="s">
        <v>399</v>
      </c>
      <c r="T4124" s="14">
        <v>0</v>
      </c>
    </row>
    <row r="4125" spans="17:20" x14ac:dyDescent="0.3">
      <c r="Q4125" s="93">
        <v>45974</v>
      </c>
      <c r="R4125" t="s">
        <v>493</v>
      </c>
      <c r="S4125" t="s">
        <v>399</v>
      </c>
      <c r="T4125" s="14">
        <v>0</v>
      </c>
    </row>
    <row r="4126" spans="17:20" x14ac:dyDescent="0.3">
      <c r="Q4126" s="93">
        <v>45974</v>
      </c>
      <c r="R4126" t="s">
        <v>593</v>
      </c>
      <c r="S4126" t="s">
        <v>399</v>
      </c>
      <c r="T4126" s="14">
        <v>-50</v>
      </c>
    </row>
    <row r="4127" spans="17:20" x14ac:dyDescent="0.3">
      <c r="Q4127" s="93">
        <v>45974</v>
      </c>
      <c r="R4127" t="s">
        <v>594</v>
      </c>
      <c r="S4127" t="s">
        <v>399</v>
      </c>
      <c r="T4127" s="14">
        <v>0</v>
      </c>
    </row>
    <row r="4128" spans="17:20" x14ac:dyDescent="0.3">
      <c r="Q4128" s="93">
        <v>45974</v>
      </c>
      <c r="R4128" t="s">
        <v>595</v>
      </c>
      <c r="S4128" t="s">
        <v>399</v>
      </c>
      <c r="T4128" s="14">
        <v>0</v>
      </c>
    </row>
    <row r="4129" spans="17:20" x14ac:dyDescent="0.3">
      <c r="Q4129" s="93">
        <v>45974</v>
      </c>
      <c r="R4129" t="s">
        <v>479</v>
      </c>
      <c r="S4129" t="s">
        <v>395</v>
      </c>
      <c r="T4129" s="14">
        <v>11291.7041099127</v>
      </c>
    </row>
    <row r="4130" spans="17:20" x14ac:dyDescent="0.3">
      <c r="Q4130" s="93">
        <v>45973</v>
      </c>
      <c r="R4130" t="s">
        <v>479</v>
      </c>
      <c r="S4130" t="s">
        <v>399</v>
      </c>
      <c r="T4130" s="14">
        <v>11397.6106</v>
      </c>
    </row>
    <row r="4131" spans="17:20" x14ac:dyDescent="0.3">
      <c r="Q4131" s="93">
        <v>45973</v>
      </c>
      <c r="R4131" t="s">
        <v>364</v>
      </c>
      <c r="S4131" t="s">
        <v>399</v>
      </c>
      <c r="T4131" s="14">
        <v>25486.782899999998</v>
      </c>
    </row>
    <row r="4132" spans="17:20" x14ac:dyDescent="0.3">
      <c r="Q4132" s="93">
        <v>45973</v>
      </c>
      <c r="R4132" t="s">
        <v>491</v>
      </c>
      <c r="S4132" t="s">
        <v>399</v>
      </c>
      <c r="T4132" s="14">
        <v>10500</v>
      </c>
    </row>
    <row r="4133" spans="17:20" x14ac:dyDescent="0.3">
      <c r="Q4133" s="93">
        <v>45973</v>
      </c>
      <c r="R4133" t="s">
        <v>492</v>
      </c>
      <c r="S4133" t="s">
        <v>399</v>
      </c>
      <c r="T4133" s="14">
        <v>897.61059999999998</v>
      </c>
    </row>
    <row r="4134" spans="17:20" x14ac:dyDescent="0.3">
      <c r="Q4134" s="93">
        <v>45973</v>
      </c>
      <c r="R4134" t="s">
        <v>496</v>
      </c>
      <c r="S4134" t="s">
        <v>399</v>
      </c>
      <c r="T4134" s="14">
        <v>25136.782899999998</v>
      </c>
    </row>
    <row r="4135" spans="17:20" x14ac:dyDescent="0.3">
      <c r="Q4135" s="93">
        <v>45973</v>
      </c>
      <c r="R4135" t="s">
        <v>497</v>
      </c>
      <c r="S4135" t="s">
        <v>399</v>
      </c>
      <c r="T4135" s="14">
        <v>897.61059999999998</v>
      </c>
    </row>
    <row r="4136" spans="17:20" x14ac:dyDescent="0.3">
      <c r="Q4136" s="93">
        <v>45973</v>
      </c>
      <c r="R4136" t="s">
        <v>498</v>
      </c>
      <c r="S4136" t="s">
        <v>399</v>
      </c>
      <c r="T4136" s="14">
        <v>10500</v>
      </c>
    </row>
    <row r="4137" spans="17:20" x14ac:dyDescent="0.3">
      <c r="Q4137" s="93">
        <v>45973</v>
      </c>
      <c r="R4137" t="s">
        <v>494</v>
      </c>
      <c r="S4137" t="s">
        <v>399</v>
      </c>
      <c r="T4137" s="14">
        <v>200</v>
      </c>
    </row>
    <row r="4138" spans="17:20" x14ac:dyDescent="0.3">
      <c r="Q4138" s="93">
        <v>45973</v>
      </c>
      <c r="R4138" t="s">
        <v>495</v>
      </c>
      <c r="S4138" t="s">
        <v>399</v>
      </c>
      <c r="T4138" s="14">
        <v>0</v>
      </c>
    </row>
    <row r="4139" spans="17:20" x14ac:dyDescent="0.3">
      <c r="Q4139" s="93">
        <v>45973</v>
      </c>
      <c r="R4139" t="s">
        <v>493</v>
      </c>
      <c r="S4139" t="s">
        <v>399</v>
      </c>
      <c r="T4139" s="14">
        <v>0</v>
      </c>
    </row>
    <row r="4140" spans="17:20" x14ac:dyDescent="0.3">
      <c r="Q4140" s="93">
        <v>45973</v>
      </c>
      <c r="R4140" t="s">
        <v>593</v>
      </c>
      <c r="S4140" t="s">
        <v>399</v>
      </c>
      <c r="T4140" s="14">
        <v>150</v>
      </c>
    </row>
    <row r="4141" spans="17:20" x14ac:dyDescent="0.3">
      <c r="Q4141" s="93">
        <v>45973</v>
      </c>
      <c r="R4141" t="s">
        <v>594</v>
      </c>
      <c r="S4141" t="s">
        <v>399</v>
      </c>
      <c r="T4141" s="14">
        <v>0</v>
      </c>
    </row>
    <row r="4142" spans="17:20" x14ac:dyDescent="0.3">
      <c r="Q4142" s="93">
        <v>45973</v>
      </c>
      <c r="R4142" t="s">
        <v>595</v>
      </c>
      <c r="S4142" t="s">
        <v>399</v>
      </c>
      <c r="T4142" s="14">
        <v>0</v>
      </c>
    </row>
    <row r="4143" spans="17:20" x14ac:dyDescent="0.3">
      <c r="Q4143" s="93">
        <v>45973</v>
      </c>
      <c r="R4143" t="s">
        <v>479</v>
      </c>
      <c r="S4143" t="s">
        <v>395</v>
      </c>
      <c r="T4143" s="14">
        <v>11268.8256719892</v>
      </c>
    </row>
    <row r="4144" spans="17:20" x14ac:dyDescent="0.3">
      <c r="Q4144" s="93">
        <v>45973</v>
      </c>
      <c r="R4144" t="s">
        <v>479</v>
      </c>
      <c r="S4144" t="s">
        <v>415</v>
      </c>
      <c r="T4144" s="14">
        <v>6.0602507489596098</v>
      </c>
    </row>
    <row r="4145" spans="17:20" x14ac:dyDescent="0.3">
      <c r="Q4145" s="93">
        <v>45973</v>
      </c>
      <c r="R4145" t="s">
        <v>364</v>
      </c>
      <c r="S4145" t="s">
        <v>415</v>
      </c>
      <c r="T4145" s="14">
        <v>5.6257810643600603</v>
      </c>
    </row>
    <row r="4146" spans="17:20" x14ac:dyDescent="0.3">
      <c r="Q4146" s="93">
        <v>45973</v>
      </c>
      <c r="R4146" t="s">
        <v>364</v>
      </c>
      <c r="S4146" t="s">
        <v>997</v>
      </c>
      <c r="T4146" s="14">
        <v>31386.782899999998</v>
      </c>
    </row>
    <row r="4147" spans="17:20" x14ac:dyDescent="0.3">
      <c r="Q4147" s="93">
        <v>45972</v>
      </c>
      <c r="R4147" t="s">
        <v>479</v>
      </c>
      <c r="S4147" t="s">
        <v>399</v>
      </c>
      <c r="T4147" s="14">
        <v>11397.6106</v>
      </c>
    </row>
    <row r="4148" spans="17:20" x14ac:dyDescent="0.3">
      <c r="Q4148" s="93">
        <v>45972</v>
      </c>
      <c r="R4148" t="s">
        <v>364</v>
      </c>
      <c r="S4148" t="s">
        <v>399</v>
      </c>
      <c r="T4148" s="14">
        <v>18336.782899999998</v>
      </c>
    </row>
    <row r="4149" spans="17:20" x14ac:dyDescent="0.3">
      <c r="Q4149" s="93">
        <v>45972</v>
      </c>
      <c r="R4149" t="s">
        <v>491</v>
      </c>
      <c r="S4149" t="s">
        <v>399</v>
      </c>
      <c r="T4149" s="14">
        <v>10500</v>
      </c>
    </row>
    <row r="4150" spans="17:20" x14ac:dyDescent="0.3">
      <c r="Q4150" s="93">
        <v>45972</v>
      </c>
      <c r="R4150" t="s">
        <v>492</v>
      </c>
      <c r="S4150" t="s">
        <v>399</v>
      </c>
      <c r="T4150" s="14">
        <v>897.61059999999998</v>
      </c>
    </row>
    <row r="4151" spans="17:20" x14ac:dyDescent="0.3">
      <c r="Q4151" s="93">
        <v>45972</v>
      </c>
      <c r="R4151" t="s">
        <v>496</v>
      </c>
      <c r="S4151" t="s">
        <v>399</v>
      </c>
      <c r="T4151" s="14">
        <v>22136.782899999998</v>
      </c>
    </row>
    <row r="4152" spans="17:20" x14ac:dyDescent="0.3">
      <c r="Q4152" s="93">
        <v>45972</v>
      </c>
      <c r="R4152" t="s">
        <v>497</v>
      </c>
      <c r="S4152" t="s">
        <v>399</v>
      </c>
      <c r="T4152" s="14">
        <v>897.61059999999998</v>
      </c>
    </row>
    <row r="4153" spans="17:20" x14ac:dyDescent="0.3">
      <c r="Q4153" s="93">
        <v>45972</v>
      </c>
      <c r="R4153" t="s">
        <v>498</v>
      </c>
      <c r="S4153" t="s">
        <v>399</v>
      </c>
      <c r="T4153" s="14">
        <v>10500</v>
      </c>
    </row>
    <row r="4154" spans="17:20" x14ac:dyDescent="0.3">
      <c r="Q4154" s="93">
        <v>45972</v>
      </c>
      <c r="R4154" t="s">
        <v>494</v>
      </c>
      <c r="S4154" t="s">
        <v>399</v>
      </c>
      <c r="T4154" s="14">
        <v>-3600</v>
      </c>
    </row>
    <row r="4155" spans="17:20" x14ac:dyDescent="0.3">
      <c r="Q4155" s="93">
        <v>45972</v>
      </c>
      <c r="R4155" t="s">
        <v>495</v>
      </c>
      <c r="S4155" t="s">
        <v>399</v>
      </c>
      <c r="T4155" s="14">
        <v>0</v>
      </c>
    </row>
    <row r="4156" spans="17:20" x14ac:dyDescent="0.3">
      <c r="Q4156" s="93">
        <v>45972</v>
      </c>
      <c r="R4156" t="s">
        <v>493</v>
      </c>
      <c r="S4156" t="s">
        <v>399</v>
      </c>
      <c r="T4156" s="14">
        <v>0</v>
      </c>
    </row>
    <row r="4157" spans="17:20" x14ac:dyDescent="0.3">
      <c r="Q4157" s="93">
        <v>45972</v>
      </c>
      <c r="R4157" t="s">
        <v>593</v>
      </c>
      <c r="S4157" t="s">
        <v>399</v>
      </c>
      <c r="T4157" s="14">
        <v>-200</v>
      </c>
    </row>
    <row r="4158" spans="17:20" x14ac:dyDescent="0.3">
      <c r="Q4158" s="93">
        <v>45972</v>
      </c>
      <c r="R4158" t="s">
        <v>594</v>
      </c>
      <c r="S4158" t="s">
        <v>399</v>
      </c>
      <c r="T4158" s="14">
        <v>0</v>
      </c>
    </row>
    <row r="4159" spans="17:20" x14ac:dyDescent="0.3">
      <c r="Q4159" s="93">
        <v>45972</v>
      </c>
      <c r="R4159" t="s">
        <v>595</v>
      </c>
      <c r="S4159" t="s">
        <v>399</v>
      </c>
      <c r="T4159" s="14">
        <v>0</v>
      </c>
    </row>
    <row r="4160" spans="17:20" x14ac:dyDescent="0.3">
      <c r="Q4160" s="93">
        <v>45972</v>
      </c>
      <c r="R4160" t="s">
        <v>479</v>
      </c>
      <c r="S4160" t="s">
        <v>395</v>
      </c>
      <c r="T4160" s="14">
        <v>11269.594145102899</v>
      </c>
    </row>
    <row r="4161" spans="17:20" x14ac:dyDescent="0.3">
      <c r="Q4161" s="93">
        <v>45972</v>
      </c>
      <c r="R4161" t="s">
        <v>479</v>
      </c>
      <c r="S4161" t="s">
        <v>415</v>
      </c>
      <c r="T4161" s="14">
        <v>6.0602507489596098</v>
      </c>
    </row>
    <row r="4162" spans="17:20" x14ac:dyDescent="0.3">
      <c r="Q4162" s="93">
        <v>45972</v>
      </c>
      <c r="R4162" t="s">
        <v>364</v>
      </c>
      <c r="S4162" t="s">
        <v>415</v>
      </c>
      <c r="T4162" s="14">
        <v>5.6861989265910404</v>
      </c>
    </row>
    <row r="4163" spans="17:20" x14ac:dyDescent="0.3">
      <c r="Q4163" s="93">
        <v>45972</v>
      </c>
      <c r="R4163" t="s">
        <v>364</v>
      </c>
      <c r="S4163" t="s">
        <v>997</v>
      </c>
      <c r="T4163" s="14">
        <v>24236.782899999998</v>
      </c>
    </row>
    <row r="4164" spans="17:20" x14ac:dyDescent="0.3">
      <c r="Q4164" s="93">
        <v>45971</v>
      </c>
      <c r="R4164" t="s">
        <v>479</v>
      </c>
      <c r="S4164" t="s">
        <v>399</v>
      </c>
      <c r="T4164" s="14">
        <v>11397.6106</v>
      </c>
    </row>
    <row r="4165" spans="17:20" x14ac:dyDescent="0.3">
      <c r="Q4165" s="93">
        <v>45971</v>
      </c>
      <c r="R4165" t="s">
        <v>364</v>
      </c>
      <c r="S4165" t="s">
        <v>399</v>
      </c>
      <c r="T4165" s="14">
        <v>19336.782899999998</v>
      </c>
    </row>
    <row r="4166" spans="17:20" x14ac:dyDescent="0.3">
      <c r="Q4166" s="93">
        <v>45971</v>
      </c>
      <c r="R4166" t="s">
        <v>491</v>
      </c>
      <c r="S4166" t="s">
        <v>399</v>
      </c>
      <c r="T4166" s="14">
        <v>10500</v>
      </c>
    </row>
    <row r="4167" spans="17:20" x14ac:dyDescent="0.3">
      <c r="Q4167" s="93">
        <v>45971</v>
      </c>
      <c r="R4167" t="s">
        <v>492</v>
      </c>
      <c r="S4167" t="s">
        <v>399</v>
      </c>
      <c r="T4167" s="14">
        <v>897.61059999999998</v>
      </c>
    </row>
    <row r="4168" spans="17:20" x14ac:dyDescent="0.3">
      <c r="Q4168" s="93">
        <v>45971</v>
      </c>
      <c r="R4168" t="s">
        <v>496</v>
      </c>
      <c r="S4168" t="s">
        <v>399</v>
      </c>
      <c r="T4168" s="14">
        <v>21941.453699999998</v>
      </c>
    </row>
    <row r="4169" spans="17:20" x14ac:dyDescent="0.3">
      <c r="Q4169" s="93">
        <v>45971</v>
      </c>
      <c r="R4169" t="s">
        <v>497</v>
      </c>
      <c r="S4169" t="s">
        <v>399</v>
      </c>
      <c r="T4169" s="14">
        <v>897.61059999999998</v>
      </c>
    </row>
    <row r="4170" spans="17:20" x14ac:dyDescent="0.3">
      <c r="Q4170" s="93">
        <v>45971</v>
      </c>
      <c r="R4170" t="s">
        <v>498</v>
      </c>
      <c r="S4170" t="s">
        <v>399</v>
      </c>
      <c r="T4170" s="14">
        <v>10500</v>
      </c>
    </row>
    <row r="4171" spans="17:20" x14ac:dyDescent="0.3">
      <c r="Q4171" s="93">
        <v>45971</v>
      </c>
      <c r="R4171" t="s">
        <v>494</v>
      </c>
      <c r="S4171" t="s">
        <v>399</v>
      </c>
      <c r="T4171" s="14">
        <v>-2604.6707999999999</v>
      </c>
    </row>
    <row r="4172" spans="17:20" x14ac:dyDescent="0.3">
      <c r="Q4172" s="93">
        <v>45971</v>
      </c>
      <c r="R4172" t="s">
        <v>495</v>
      </c>
      <c r="S4172" t="s">
        <v>399</v>
      </c>
      <c r="T4172" s="14">
        <v>0</v>
      </c>
    </row>
    <row r="4173" spans="17:20" x14ac:dyDescent="0.3">
      <c r="Q4173" s="93">
        <v>45971</v>
      </c>
      <c r="R4173" t="s">
        <v>493</v>
      </c>
      <c r="S4173" t="s">
        <v>399</v>
      </c>
      <c r="T4173" s="14">
        <v>0</v>
      </c>
    </row>
    <row r="4174" spans="17:20" x14ac:dyDescent="0.3">
      <c r="Q4174" s="93">
        <v>45971</v>
      </c>
      <c r="R4174" t="s">
        <v>593</v>
      </c>
      <c r="S4174" t="s">
        <v>399</v>
      </c>
      <c r="T4174" s="14">
        <v>0</v>
      </c>
    </row>
    <row r="4175" spans="17:20" x14ac:dyDescent="0.3">
      <c r="Q4175" s="93">
        <v>45971</v>
      </c>
      <c r="R4175" t="s">
        <v>594</v>
      </c>
      <c r="S4175" t="s">
        <v>399</v>
      </c>
      <c r="T4175" s="14">
        <v>0</v>
      </c>
    </row>
    <row r="4176" spans="17:20" x14ac:dyDescent="0.3">
      <c r="Q4176" s="93">
        <v>45971</v>
      </c>
      <c r="R4176" t="s">
        <v>595</v>
      </c>
      <c r="S4176" t="s">
        <v>399</v>
      </c>
      <c r="T4176" s="14">
        <v>0</v>
      </c>
    </row>
    <row r="4177" spans="17:20" x14ac:dyDescent="0.3">
      <c r="Q4177" s="93">
        <v>45971</v>
      </c>
      <c r="R4177" t="s">
        <v>479</v>
      </c>
      <c r="S4177" t="s">
        <v>395</v>
      </c>
      <c r="T4177" s="14">
        <v>11277.3687675905</v>
      </c>
    </row>
    <row r="4178" spans="17:20" x14ac:dyDescent="0.3">
      <c r="Q4178" s="93">
        <v>45971</v>
      </c>
      <c r="R4178" t="s">
        <v>479</v>
      </c>
      <c r="S4178" t="s">
        <v>415</v>
      </c>
      <c r="T4178" s="14">
        <v>6.0602507489596098</v>
      </c>
    </row>
    <row r="4179" spans="17:20" x14ac:dyDescent="0.3">
      <c r="Q4179" s="93">
        <v>45971</v>
      </c>
      <c r="R4179" t="s">
        <v>364</v>
      </c>
      <c r="S4179" t="s">
        <v>415</v>
      </c>
      <c r="T4179" s="14">
        <v>5.6665371920285503</v>
      </c>
    </row>
    <row r="4180" spans="17:20" x14ac:dyDescent="0.3">
      <c r="Q4180" s="93">
        <v>45971</v>
      </c>
      <c r="R4180" t="s">
        <v>364</v>
      </c>
      <c r="S4180" t="s">
        <v>997</v>
      </c>
      <c r="T4180" s="14">
        <v>25236.782899999998</v>
      </c>
    </row>
    <row r="4181" spans="17:20" x14ac:dyDescent="0.3">
      <c r="Q4181" s="93">
        <v>45968</v>
      </c>
      <c r="R4181" t="s">
        <v>594</v>
      </c>
      <c r="S4181" t="s">
        <v>399</v>
      </c>
      <c r="T4181" s="14">
        <v>0</v>
      </c>
    </row>
    <row r="4182" spans="17:20" x14ac:dyDescent="0.3">
      <c r="Q4182" s="93">
        <v>45968</v>
      </c>
      <c r="R4182" t="s">
        <v>595</v>
      </c>
      <c r="S4182" t="s">
        <v>399</v>
      </c>
      <c r="T4182" s="14">
        <v>0</v>
      </c>
    </row>
    <row r="4183" spans="17:20" x14ac:dyDescent="0.3">
      <c r="Q4183" s="93">
        <v>45968</v>
      </c>
      <c r="R4183" t="s">
        <v>479</v>
      </c>
      <c r="S4183" t="s">
        <v>395</v>
      </c>
      <c r="T4183" s="14">
        <v>11280.667808043299</v>
      </c>
    </row>
    <row r="4184" spans="17:20" x14ac:dyDescent="0.3">
      <c r="Q4184" s="93">
        <v>45968</v>
      </c>
      <c r="R4184" t="s">
        <v>479</v>
      </c>
      <c r="S4184" t="s">
        <v>415</v>
      </c>
      <c r="T4184" s="14">
        <v>6.0602507489596098</v>
      </c>
    </row>
    <row r="4185" spans="17:20" x14ac:dyDescent="0.3">
      <c r="Q4185" s="93">
        <v>45968</v>
      </c>
      <c r="R4185" t="s">
        <v>364</v>
      </c>
      <c r="S4185" t="s">
        <v>415</v>
      </c>
      <c r="T4185" s="14">
        <v>5.6448006121738104</v>
      </c>
    </row>
    <row r="4186" spans="17:20" x14ac:dyDescent="0.3">
      <c r="Q4186" s="93">
        <v>45968</v>
      </c>
      <c r="R4186" t="s">
        <v>364</v>
      </c>
      <c r="S4186" t="s">
        <v>997</v>
      </c>
      <c r="T4186" s="14">
        <v>27436.782899999998</v>
      </c>
    </row>
    <row r="4187" spans="17:20" x14ac:dyDescent="0.3">
      <c r="Q4187" s="93">
        <v>45968</v>
      </c>
      <c r="R4187" t="s">
        <v>479</v>
      </c>
      <c r="S4187" t="s">
        <v>399</v>
      </c>
      <c r="T4187" s="14">
        <v>11397.6106</v>
      </c>
    </row>
    <row r="4188" spans="17:20" x14ac:dyDescent="0.3">
      <c r="Q4188" s="93">
        <v>45968</v>
      </c>
      <c r="R4188" t="s">
        <v>364</v>
      </c>
      <c r="S4188" t="s">
        <v>399</v>
      </c>
      <c r="T4188" s="14">
        <v>21536.782899999998</v>
      </c>
    </row>
    <row r="4189" spans="17:20" x14ac:dyDescent="0.3">
      <c r="Q4189" s="93">
        <v>45968</v>
      </c>
      <c r="R4189" t="s">
        <v>491</v>
      </c>
      <c r="S4189" t="s">
        <v>399</v>
      </c>
      <c r="T4189" s="14">
        <v>10500</v>
      </c>
    </row>
    <row r="4190" spans="17:20" x14ac:dyDescent="0.3">
      <c r="Q4190" s="93">
        <v>45968</v>
      </c>
      <c r="R4190" t="s">
        <v>492</v>
      </c>
      <c r="S4190" t="s">
        <v>399</v>
      </c>
      <c r="T4190" s="14">
        <v>897.61059999999998</v>
      </c>
    </row>
    <row r="4191" spans="17:20" x14ac:dyDescent="0.3">
      <c r="Q4191" s="93">
        <v>45968</v>
      </c>
      <c r="R4191" t="s">
        <v>496</v>
      </c>
      <c r="S4191" t="s">
        <v>399</v>
      </c>
      <c r="T4191" s="14">
        <v>20541.453699999998</v>
      </c>
    </row>
    <row r="4192" spans="17:20" x14ac:dyDescent="0.3">
      <c r="Q4192" s="93">
        <v>45968</v>
      </c>
      <c r="R4192" t="s">
        <v>497</v>
      </c>
      <c r="S4192" t="s">
        <v>399</v>
      </c>
      <c r="T4192" s="14">
        <v>897.61059999999998</v>
      </c>
    </row>
    <row r="4193" spans="17:20" x14ac:dyDescent="0.3">
      <c r="Q4193" s="93">
        <v>45968</v>
      </c>
      <c r="R4193" t="s">
        <v>498</v>
      </c>
      <c r="S4193" t="s">
        <v>399</v>
      </c>
      <c r="T4193" s="14">
        <v>10500</v>
      </c>
    </row>
    <row r="4194" spans="17:20" x14ac:dyDescent="0.3">
      <c r="Q4194" s="93">
        <v>45968</v>
      </c>
      <c r="R4194" t="s">
        <v>494</v>
      </c>
      <c r="S4194" t="s">
        <v>399</v>
      </c>
      <c r="T4194" s="14">
        <v>995.32920000000001</v>
      </c>
    </row>
    <row r="4195" spans="17:20" x14ac:dyDescent="0.3">
      <c r="Q4195" s="93">
        <v>45968</v>
      </c>
      <c r="R4195" t="s">
        <v>495</v>
      </c>
      <c r="S4195" t="s">
        <v>399</v>
      </c>
      <c r="T4195" s="14">
        <v>0</v>
      </c>
    </row>
    <row r="4196" spans="17:20" x14ac:dyDescent="0.3">
      <c r="Q4196" s="93">
        <v>45968</v>
      </c>
      <c r="R4196" t="s">
        <v>493</v>
      </c>
      <c r="S4196" t="s">
        <v>399</v>
      </c>
      <c r="T4196" s="14">
        <v>0</v>
      </c>
    </row>
    <row r="4197" spans="17:20" x14ac:dyDescent="0.3">
      <c r="Q4197" s="93">
        <v>45968</v>
      </c>
      <c r="R4197" t="s">
        <v>593</v>
      </c>
      <c r="S4197" t="s">
        <v>399</v>
      </c>
      <c r="T4197" s="14">
        <v>0</v>
      </c>
    </row>
    <row r="4198" spans="17:20" x14ac:dyDescent="0.3">
      <c r="Q4198" s="93">
        <v>45967</v>
      </c>
      <c r="R4198" t="s">
        <v>479</v>
      </c>
      <c r="S4198" t="s">
        <v>399</v>
      </c>
      <c r="T4198" s="14">
        <v>11397.6106</v>
      </c>
    </row>
    <row r="4199" spans="17:20" x14ac:dyDescent="0.3">
      <c r="Q4199" s="93">
        <v>45967</v>
      </c>
      <c r="R4199" t="s">
        <v>364</v>
      </c>
      <c r="S4199" t="s">
        <v>399</v>
      </c>
      <c r="T4199" s="14">
        <v>20741.453699999998</v>
      </c>
    </row>
    <row r="4200" spans="17:20" x14ac:dyDescent="0.3">
      <c r="Q4200" s="93">
        <v>45967</v>
      </c>
      <c r="R4200" t="s">
        <v>491</v>
      </c>
      <c r="S4200" t="s">
        <v>399</v>
      </c>
      <c r="T4200" s="14">
        <v>10500</v>
      </c>
    </row>
    <row r="4201" spans="17:20" x14ac:dyDescent="0.3">
      <c r="Q4201" s="93">
        <v>45967</v>
      </c>
      <c r="R4201" t="s">
        <v>492</v>
      </c>
      <c r="S4201" t="s">
        <v>399</v>
      </c>
      <c r="T4201" s="14">
        <v>897.61059999999998</v>
      </c>
    </row>
    <row r="4202" spans="17:20" x14ac:dyDescent="0.3">
      <c r="Q4202" s="93">
        <v>45967</v>
      </c>
      <c r="R4202" t="s">
        <v>496</v>
      </c>
      <c r="S4202" t="s">
        <v>399</v>
      </c>
      <c r="T4202" s="14">
        <v>21041.453699999998</v>
      </c>
    </row>
    <row r="4203" spans="17:20" x14ac:dyDescent="0.3">
      <c r="Q4203" s="93">
        <v>45967</v>
      </c>
      <c r="R4203" t="s">
        <v>497</v>
      </c>
      <c r="S4203" t="s">
        <v>399</v>
      </c>
      <c r="T4203" s="14">
        <v>897.61059999999998</v>
      </c>
    </row>
    <row r="4204" spans="17:20" x14ac:dyDescent="0.3">
      <c r="Q4204" s="93">
        <v>45967</v>
      </c>
      <c r="R4204" t="s">
        <v>498</v>
      </c>
      <c r="S4204" t="s">
        <v>399</v>
      </c>
      <c r="T4204" s="14">
        <v>10500</v>
      </c>
    </row>
    <row r="4205" spans="17:20" x14ac:dyDescent="0.3">
      <c r="Q4205" s="93">
        <v>45967</v>
      </c>
      <c r="R4205" t="s">
        <v>494</v>
      </c>
      <c r="S4205" t="s">
        <v>399</v>
      </c>
      <c r="T4205" s="14">
        <v>-300</v>
      </c>
    </row>
    <row r="4206" spans="17:20" x14ac:dyDescent="0.3">
      <c r="Q4206" s="93">
        <v>45967</v>
      </c>
      <c r="R4206" t="s">
        <v>495</v>
      </c>
      <c r="S4206" t="s">
        <v>399</v>
      </c>
      <c r="T4206" s="14">
        <v>0</v>
      </c>
    </row>
    <row r="4207" spans="17:20" x14ac:dyDescent="0.3">
      <c r="Q4207" s="93">
        <v>45967</v>
      </c>
      <c r="R4207" t="s">
        <v>493</v>
      </c>
      <c r="S4207" t="s">
        <v>399</v>
      </c>
      <c r="T4207" s="14">
        <v>0</v>
      </c>
    </row>
    <row r="4208" spans="17:20" x14ac:dyDescent="0.3">
      <c r="Q4208" s="93">
        <v>45967</v>
      </c>
      <c r="R4208" t="s">
        <v>593</v>
      </c>
      <c r="S4208" t="s">
        <v>399</v>
      </c>
      <c r="T4208" s="14">
        <v>0</v>
      </c>
    </row>
    <row r="4209" spans="17:20" x14ac:dyDescent="0.3">
      <c r="Q4209" s="93">
        <v>45967</v>
      </c>
      <c r="R4209" t="s">
        <v>594</v>
      </c>
      <c r="S4209" t="s">
        <v>399</v>
      </c>
      <c r="T4209" s="14">
        <v>0</v>
      </c>
    </row>
    <row r="4210" spans="17:20" x14ac:dyDescent="0.3">
      <c r="Q4210" s="93">
        <v>45967</v>
      </c>
      <c r="R4210" t="s">
        <v>595</v>
      </c>
      <c r="S4210" t="s">
        <v>399</v>
      </c>
      <c r="T4210" s="14">
        <v>0</v>
      </c>
    </row>
    <row r="4211" spans="17:20" x14ac:dyDescent="0.3">
      <c r="Q4211" s="93">
        <v>45967</v>
      </c>
      <c r="R4211" t="s">
        <v>479</v>
      </c>
      <c r="S4211" t="s">
        <v>395</v>
      </c>
      <c r="T4211" s="14">
        <v>11278.8472316158</v>
      </c>
    </row>
    <row r="4212" spans="17:20" x14ac:dyDescent="0.3">
      <c r="Q4212" s="93">
        <v>45967</v>
      </c>
      <c r="R4212" t="s">
        <v>479</v>
      </c>
      <c r="S4212" t="s">
        <v>415</v>
      </c>
      <c r="T4212" s="14">
        <v>6.0602507489596098</v>
      </c>
    </row>
    <row r="4213" spans="17:20" x14ac:dyDescent="0.3">
      <c r="Q4213" s="93">
        <v>45967</v>
      </c>
      <c r="R4213" t="s">
        <v>364</v>
      </c>
      <c r="S4213" t="s">
        <v>415</v>
      </c>
      <c r="T4213" s="14">
        <v>5.64303001641386</v>
      </c>
    </row>
    <row r="4214" spans="17:20" x14ac:dyDescent="0.3">
      <c r="Q4214" s="93">
        <v>45967</v>
      </c>
      <c r="R4214" t="s">
        <v>364</v>
      </c>
      <c r="S4214" t="s">
        <v>997</v>
      </c>
      <c r="T4214" s="14">
        <v>26641.453699999998</v>
      </c>
    </row>
    <row r="4215" spans="17:20" x14ac:dyDescent="0.3">
      <c r="Q4215" s="93">
        <v>45966</v>
      </c>
      <c r="R4215" t="s">
        <v>479</v>
      </c>
      <c r="S4215" t="s">
        <v>399</v>
      </c>
      <c r="T4215" s="14">
        <v>11397.6106</v>
      </c>
    </row>
    <row r="4216" spans="17:20" x14ac:dyDescent="0.3">
      <c r="Q4216" s="93">
        <v>45966</v>
      </c>
      <c r="R4216" t="s">
        <v>364</v>
      </c>
      <c r="S4216" t="s">
        <v>399</v>
      </c>
      <c r="T4216" s="14">
        <v>21341.453699999998</v>
      </c>
    </row>
    <row r="4217" spans="17:20" x14ac:dyDescent="0.3">
      <c r="Q4217" s="93">
        <v>45966</v>
      </c>
      <c r="R4217" t="s">
        <v>491</v>
      </c>
      <c r="S4217" t="s">
        <v>399</v>
      </c>
      <c r="T4217" s="14">
        <v>10500</v>
      </c>
    </row>
    <row r="4218" spans="17:20" x14ac:dyDescent="0.3">
      <c r="Q4218" s="93">
        <v>45966</v>
      </c>
      <c r="R4218" t="s">
        <v>492</v>
      </c>
      <c r="S4218" t="s">
        <v>399</v>
      </c>
      <c r="T4218" s="14">
        <v>897.61059999999998</v>
      </c>
    </row>
    <row r="4219" spans="17:20" x14ac:dyDescent="0.3">
      <c r="Q4219" s="93">
        <v>45966</v>
      </c>
      <c r="R4219" t="s">
        <v>496</v>
      </c>
      <c r="S4219" t="s">
        <v>399</v>
      </c>
      <c r="T4219" s="14">
        <v>20741.453699999998</v>
      </c>
    </row>
    <row r="4220" spans="17:20" x14ac:dyDescent="0.3">
      <c r="Q4220" s="93">
        <v>45966</v>
      </c>
      <c r="R4220" t="s">
        <v>497</v>
      </c>
      <c r="S4220" t="s">
        <v>399</v>
      </c>
      <c r="T4220" s="14">
        <v>897.61059999999998</v>
      </c>
    </row>
    <row r="4221" spans="17:20" x14ac:dyDescent="0.3">
      <c r="Q4221" s="93">
        <v>45966</v>
      </c>
      <c r="R4221" t="s">
        <v>498</v>
      </c>
      <c r="S4221" t="s">
        <v>399</v>
      </c>
      <c r="T4221" s="14">
        <v>10500</v>
      </c>
    </row>
    <row r="4222" spans="17:20" x14ac:dyDescent="0.3">
      <c r="Q4222" s="93">
        <v>45966</v>
      </c>
      <c r="R4222" t="s">
        <v>494</v>
      </c>
      <c r="S4222" t="s">
        <v>399</v>
      </c>
      <c r="T4222" s="14">
        <v>600</v>
      </c>
    </row>
    <row r="4223" spans="17:20" x14ac:dyDescent="0.3">
      <c r="Q4223" s="93">
        <v>45966</v>
      </c>
      <c r="R4223" t="s">
        <v>495</v>
      </c>
      <c r="S4223" t="s">
        <v>399</v>
      </c>
      <c r="T4223" s="14">
        <v>0</v>
      </c>
    </row>
    <row r="4224" spans="17:20" x14ac:dyDescent="0.3">
      <c r="Q4224" s="93">
        <v>45966</v>
      </c>
      <c r="R4224" t="s">
        <v>493</v>
      </c>
      <c r="S4224" t="s">
        <v>399</v>
      </c>
      <c r="T4224" s="14">
        <v>0</v>
      </c>
    </row>
    <row r="4225" spans="17:20" x14ac:dyDescent="0.3">
      <c r="Q4225" s="93">
        <v>45966</v>
      </c>
      <c r="R4225" t="s">
        <v>593</v>
      </c>
      <c r="S4225" t="s">
        <v>399</v>
      </c>
      <c r="T4225" s="14">
        <v>0</v>
      </c>
    </row>
    <row r="4226" spans="17:20" x14ac:dyDescent="0.3">
      <c r="Q4226" s="93">
        <v>45966</v>
      </c>
      <c r="R4226" t="s">
        <v>594</v>
      </c>
      <c r="S4226" t="s">
        <v>399</v>
      </c>
      <c r="T4226" s="14">
        <v>0</v>
      </c>
    </row>
    <row r="4227" spans="17:20" x14ac:dyDescent="0.3">
      <c r="Q4227" s="93">
        <v>45966</v>
      </c>
      <c r="R4227" t="s">
        <v>595</v>
      </c>
      <c r="S4227" t="s">
        <v>399</v>
      </c>
      <c r="T4227" s="14">
        <v>0</v>
      </c>
    </row>
    <row r="4228" spans="17:20" x14ac:dyDescent="0.3">
      <c r="Q4228" s="93">
        <v>45966</v>
      </c>
      <c r="R4228" t="s">
        <v>479</v>
      </c>
      <c r="S4228" t="s">
        <v>395</v>
      </c>
      <c r="T4228" s="14">
        <v>11276.7076194358</v>
      </c>
    </row>
    <row r="4229" spans="17:20" x14ac:dyDescent="0.3">
      <c r="Q4229" s="93">
        <v>45966</v>
      </c>
      <c r="R4229" t="s">
        <v>479</v>
      </c>
      <c r="S4229" t="s">
        <v>415</v>
      </c>
      <c r="T4229" s="14">
        <v>6.0602507489596098</v>
      </c>
    </row>
    <row r="4230" spans="17:20" x14ac:dyDescent="0.3">
      <c r="Q4230" s="93">
        <v>45966</v>
      </c>
      <c r="R4230" t="s">
        <v>364</v>
      </c>
      <c r="S4230" t="s">
        <v>415</v>
      </c>
      <c r="T4230" s="14">
        <v>5.64465188250949</v>
      </c>
    </row>
    <row r="4231" spans="17:20" x14ac:dyDescent="0.3">
      <c r="Q4231" s="93">
        <v>45966</v>
      </c>
      <c r="R4231" t="s">
        <v>364</v>
      </c>
      <c r="S4231" t="s">
        <v>997</v>
      </c>
      <c r="T4231" s="14">
        <v>27241.453699999998</v>
      </c>
    </row>
    <row r="4232" spans="17:20" x14ac:dyDescent="0.3">
      <c r="Q4232" s="93">
        <v>45965</v>
      </c>
      <c r="R4232" t="s">
        <v>492</v>
      </c>
      <c r="S4232" t="s">
        <v>399</v>
      </c>
      <c r="T4232" s="14">
        <v>897.61059999999998</v>
      </c>
    </row>
    <row r="4233" spans="17:20" x14ac:dyDescent="0.3">
      <c r="Q4233" s="93">
        <v>45965</v>
      </c>
      <c r="R4233" t="s">
        <v>496</v>
      </c>
      <c r="S4233" t="s">
        <v>399</v>
      </c>
      <c r="T4233" s="14">
        <v>20941.453699999998</v>
      </c>
    </row>
    <row r="4234" spans="17:20" x14ac:dyDescent="0.3">
      <c r="Q4234" s="93">
        <v>45965</v>
      </c>
      <c r="R4234" t="s">
        <v>497</v>
      </c>
      <c r="S4234" t="s">
        <v>399</v>
      </c>
      <c r="T4234" s="14">
        <v>897.61059999999998</v>
      </c>
    </row>
    <row r="4235" spans="17:20" x14ac:dyDescent="0.3">
      <c r="Q4235" s="93">
        <v>45965</v>
      </c>
      <c r="R4235" t="s">
        <v>498</v>
      </c>
      <c r="S4235" t="s">
        <v>399</v>
      </c>
      <c r="T4235" s="14">
        <v>10500</v>
      </c>
    </row>
    <row r="4236" spans="17:20" x14ac:dyDescent="0.3">
      <c r="Q4236" s="93">
        <v>45965</v>
      </c>
      <c r="R4236" t="s">
        <v>494</v>
      </c>
      <c r="S4236" t="s">
        <v>399</v>
      </c>
      <c r="T4236" s="14">
        <v>800</v>
      </c>
    </row>
    <row r="4237" spans="17:20" x14ac:dyDescent="0.3">
      <c r="Q4237" s="93">
        <v>45965</v>
      </c>
      <c r="R4237" t="s">
        <v>495</v>
      </c>
      <c r="S4237" t="s">
        <v>399</v>
      </c>
      <c r="T4237" s="14">
        <v>0</v>
      </c>
    </row>
    <row r="4238" spans="17:20" x14ac:dyDescent="0.3">
      <c r="Q4238" s="93">
        <v>45965</v>
      </c>
      <c r="R4238" t="s">
        <v>493</v>
      </c>
      <c r="S4238" t="s">
        <v>399</v>
      </c>
      <c r="T4238" s="14">
        <v>0</v>
      </c>
    </row>
    <row r="4239" spans="17:20" x14ac:dyDescent="0.3">
      <c r="Q4239" s="93">
        <v>45965</v>
      </c>
      <c r="R4239" t="s">
        <v>593</v>
      </c>
      <c r="S4239" t="s">
        <v>399</v>
      </c>
      <c r="T4239" s="14">
        <v>0</v>
      </c>
    </row>
    <row r="4240" spans="17:20" x14ac:dyDescent="0.3">
      <c r="Q4240" s="93">
        <v>45965</v>
      </c>
      <c r="R4240" t="s">
        <v>594</v>
      </c>
      <c r="S4240" t="s">
        <v>399</v>
      </c>
      <c r="T4240" s="14">
        <v>0</v>
      </c>
    </row>
    <row r="4241" spans="17:20" x14ac:dyDescent="0.3">
      <c r="Q4241" s="93">
        <v>45965</v>
      </c>
      <c r="R4241" t="s">
        <v>595</v>
      </c>
      <c r="S4241" t="s">
        <v>399</v>
      </c>
      <c r="T4241" s="14">
        <v>0</v>
      </c>
    </row>
    <row r="4242" spans="17:20" x14ac:dyDescent="0.3">
      <c r="Q4242" s="93">
        <v>45965</v>
      </c>
      <c r="R4242" t="s">
        <v>479</v>
      </c>
      <c r="S4242" t="s">
        <v>395</v>
      </c>
      <c r="T4242" s="14">
        <v>11280.903266999299</v>
      </c>
    </row>
    <row r="4243" spans="17:20" x14ac:dyDescent="0.3">
      <c r="Q4243" s="93">
        <v>45965</v>
      </c>
      <c r="R4243" t="s">
        <v>479</v>
      </c>
      <c r="S4243" t="s">
        <v>415</v>
      </c>
      <c r="T4243" s="14">
        <v>6.0602507489596098</v>
      </c>
    </row>
    <row r="4244" spans="17:20" x14ac:dyDescent="0.3">
      <c r="Q4244" s="93">
        <v>45965</v>
      </c>
      <c r="R4244" t="s">
        <v>364</v>
      </c>
      <c r="S4244" t="s">
        <v>415</v>
      </c>
      <c r="T4244" s="14">
        <v>5.6488896931639996</v>
      </c>
    </row>
    <row r="4245" spans="17:20" x14ac:dyDescent="0.3">
      <c r="Q4245" s="93">
        <v>45965</v>
      </c>
      <c r="R4245" t="s">
        <v>364</v>
      </c>
      <c r="S4245" t="s">
        <v>997</v>
      </c>
      <c r="T4245" s="14">
        <v>27641.453699999998</v>
      </c>
    </row>
    <row r="4246" spans="17:20" x14ac:dyDescent="0.3">
      <c r="Q4246" s="93">
        <v>45965</v>
      </c>
      <c r="R4246" t="s">
        <v>479</v>
      </c>
      <c r="S4246" t="s">
        <v>399</v>
      </c>
      <c r="T4246" s="14">
        <v>11397.6106</v>
      </c>
    </row>
    <row r="4247" spans="17:20" x14ac:dyDescent="0.3">
      <c r="Q4247" s="93">
        <v>45965</v>
      </c>
      <c r="R4247" t="s">
        <v>364</v>
      </c>
      <c r="S4247" t="s">
        <v>399</v>
      </c>
      <c r="T4247" s="14">
        <v>21741.453699999998</v>
      </c>
    </row>
    <row r="4248" spans="17:20" x14ac:dyDescent="0.3">
      <c r="Q4248" s="93">
        <v>45965</v>
      </c>
      <c r="R4248" t="s">
        <v>491</v>
      </c>
      <c r="S4248" t="s">
        <v>399</v>
      </c>
      <c r="T4248" s="14">
        <v>10500</v>
      </c>
    </row>
    <row r="4249" spans="17:20" x14ac:dyDescent="0.3">
      <c r="Q4249" s="93">
        <v>45964</v>
      </c>
      <c r="R4249" t="s">
        <v>479</v>
      </c>
      <c r="S4249" t="s">
        <v>399</v>
      </c>
      <c r="T4249" s="14">
        <v>11397.6106</v>
      </c>
    </row>
    <row r="4250" spans="17:20" x14ac:dyDescent="0.3">
      <c r="Q4250" s="93">
        <v>45964</v>
      </c>
      <c r="R4250" t="s">
        <v>364</v>
      </c>
      <c r="S4250" t="s">
        <v>399</v>
      </c>
      <c r="T4250" s="14">
        <v>20941.453699999998</v>
      </c>
    </row>
    <row r="4251" spans="17:20" x14ac:dyDescent="0.3">
      <c r="Q4251" s="93">
        <v>45964</v>
      </c>
      <c r="R4251" t="s">
        <v>491</v>
      </c>
      <c r="S4251" t="s">
        <v>399</v>
      </c>
      <c r="T4251" s="14">
        <v>10500</v>
      </c>
    </row>
    <row r="4252" spans="17:20" x14ac:dyDescent="0.3">
      <c r="Q4252" s="93">
        <v>45964</v>
      </c>
      <c r="R4252" t="s">
        <v>492</v>
      </c>
      <c r="S4252" t="s">
        <v>399</v>
      </c>
      <c r="T4252" s="14">
        <v>897.61059999999998</v>
      </c>
    </row>
    <row r="4253" spans="17:20" x14ac:dyDescent="0.3">
      <c r="Q4253" s="93">
        <v>45964</v>
      </c>
      <c r="R4253" t="s">
        <v>496</v>
      </c>
      <c r="S4253" t="s">
        <v>399</v>
      </c>
      <c r="T4253" s="14">
        <v>18741.453699999998</v>
      </c>
    </row>
    <row r="4254" spans="17:20" x14ac:dyDescent="0.3">
      <c r="Q4254" s="93">
        <v>45964</v>
      </c>
      <c r="R4254" t="s">
        <v>497</v>
      </c>
      <c r="S4254" t="s">
        <v>399</v>
      </c>
      <c r="T4254" s="14">
        <v>897.61059999999998</v>
      </c>
    </row>
    <row r="4255" spans="17:20" x14ac:dyDescent="0.3">
      <c r="Q4255" s="93">
        <v>45964</v>
      </c>
      <c r="R4255" t="s">
        <v>498</v>
      </c>
      <c r="S4255" t="s">
        <v>399</v>
      </c>
      <c r="T4255" s="14">
        <v>10500</v>
      </c>
    </row>
    <row r="4256" spans="17:20" x14ac:dyDescent="0.3">
      <c r="Q4256" s="93">
        <v>45964</v>
      </c>
      <c r="R4256" t="s">
        <v>494</v>
      </c>
      <c r="S4256" t="s">
        <v>399</v>
      </c>
      <c r="T4256" s="14">
        <v>-300</v>
      </c>
    </row>
    <row r="4257" spans="17:20" x14ac:dyDescent="0.3">
      <c r="Q4257" s="93">
        <v>45964</v>
      </c>
      <c r="R4257" t="s">
        <v>495</v>
      </c>
      <c r="S4257" t="s">
        <v>399</v>
      </c>
      <c r="T4257" s="14">
        <v>0</v>
      </c>
    </row>
    <row r="4258" spans="17:20" x14ac:dyDescent="0.3">
      <c r="Q4258" s="93">
        <v>45964</v>
      </c>
      <c r="R4258" t="s">
        <v>493</v>
      </c>
      <c r="S4258" t="s">
        <v>399</v>
      </c>
      <c r="T4258" s="14">
        <v>0</v>
      </c>
    </row>
    <row r="4259" spans="17:20" x14ac:dyDescent="0.3">
      <c r="Q4259" s="93">
        <v>45964</v>
      </c>
      <c r="R4259" t="s">
        <v>593</v>
      </c>
      <c r="S4259" t="s">
        <v>399</v>
      </c>
      <c r="T4259" s="14">
        <v>2500</v>
      </c>
    </row>
    <row r="4260" spans="17:20" x14ac:dyDescent="0.3">
      <c r="Q4260" s="93">
        <v>45964</v>
      </c>
      <c r="R4260" t="s">
        <v>594</v>
      </c>
      <c r="S4260" t="s">
        <v>399</v>
      </c>
      <c r="T4260" s="14">
        <v>0</v>
      </c>
    </row>
    <row r="4261" spans="17:20" x14ac:dyDescent="0.3">
      <c r="Q4261" s="93">
        <v>45964</v>
      </c>
      <c r="R4261" t="s">
        <v>595</v>
      </c>
      <c r="S4261" t="s">
        <v>399</v>
      </c>
      <c r="T4261" s="14">
        <v>0</v>
      </c>
    </row>
    <row r="4262" spans="17:20" x14ac:dyDescent="0.3">
      <c r="Q4262" s="93">
        <v>45964</v>
      </c>
      <c r="R4262" t="s">
        <v>479</v>
      </c>
      <c r="S4262" t="s">
        <v>395</v>
      </c>
      <c r="T4262" s="14">
        <v>11282.3043668716</v>
      </c>
    </row>
    <row r="4263" spans="17:20" x14ac:dyDescent="0.3">
      <c r="Q4263" s="93">
        <v>45964</v>
      </c>
      <c r="R4263" t="s">
        <v>479</v>
      </c>
      <c r="S4263" t="s">
        <v>415</v>
      </c>
      <c r="T4263" s="14">
        <v>6.0602507489596098</v>
      </c>
    </row>
    <row r="4264" spans="17:20" x14ac:dyDescent="0.3">
      <c r="Q4264" s="93">
        <v>45964</v>
      </c>
      <c r="R4264" t="s">
        <v>364</v>
      </c>
      <c r="S4264" t="s">
        <v>415</v>
      </c>
      <c r="T4264" s="14">
        <v>5.6633863653219301</v>
      </c>
    </row>
    <row r="4265" spans="17:20" x14ac:dyDescent="0.3">
      <c r="Q4265" s="93">
        <v>45964</v>
      </c>
      <c r="R4265" t="s">
        <v>364</v>
      </c>
      <c r="S4265" t="s">
        <v>997</v>
      </c>
      <c r="T4265" s="14">
        <v>26841.453699999998</v>
      </c>
    </row>
    <row r="4266" spans="17:20" x14ac:dyDescent="0.3">
      <c r="Q4266" s="93">
        <v>45961</v>
      </c>
      <c r="R4266" t="s">
        <v>479</v>
      </c>
      <c r="S4266" t="s">
        <v>399</v>
      </c>
      <c r="T4266" s="14">
        <v>10922.6106</v>
      </c>
    </row>
    <row r="4267" spans="17:20" x14ac:dyDescent="0.3">
      <c r="Q4267" s="93">
        <v>45961</v>
      </c>
      <c r="R4267" t="s">
        <v>364</v>
      </c>
      <c r="S4267" t="s">
        <v>399</v>
      </c>
      <c r="T4267" s="14">
        <v>18941.453699999998</v>
      </c>
    </row>
    <row r="4268" spans="17:20" x14ac:dyDescent="0.3">
      <c r="Q4268" s="93">
        <v>45961</v>
      </c>
      <c r="R4268" t="s">
        <v>491</v>
      </c>
      <c r="S4268" t="s">
        <v>399</v>
      </c>
      <c r="T4268" s="14">
        <v>10025</v>
      </c>
    </row>
    <row r="4269" spans="17:20" x14ac:dyDescent="0.3">
      <c r="Q4269" s="93">
        <v>45961</v>
      </c>
      <c r="R4269" t="s">
        <v>492</v>
      </c>
      <c r="S4269" t="s">
        <v>399</v>
      </c>
      <c r="T4269" s="14">
        <v>897.61059999999998</v>
      </c>
    </row>
    <row r="4270" spans="17:20" x14ac:dyDescent="0.3">
      <c r="Q4270" s="93">
        <v>45961</v>
      </c>
      <c r="R4270" t="s">
        <v>496</v>
      </c>
      <c r="S4270" t="s">
        <v>399</v>
      </c>
      <c r="T4270" s="14">
        <v>17941.453699999998</v>
      </c>
    </row>
    <row r="4271" spans="17:20" x14ac:dyDescent="0.3">
      <c r="Q4271" s="93">
        <v>45961</v>
      </c>
      <c r="R4271" t="s">
        <v>497</v>
      </c>
      <c r="S4271" t="s">
        <v>399</v>
      </c>
      <c r="T4271" s="14">
        <v>897.61059999999998</v>
      </c>
    </row>
    <row r="4272" spans="17:20" x14ac:dyDescent="0.3">
      <c r="Q4272" s="93">
        <v>45961</v>
      </c>
      <c r="R4272" t="s">
        <v>498</v>
      </c>
      <c r="S4272" t="s">
        <v>399</v>
      </c>
      <c r="T4272" s="14">
        <v>10025</v>
      </c>
    </row>
    <row r="4273" spans="17:20" x14ac:dyDescent="0.3">
      <c r="Q4273" s="93">
        <v>45961</v>
      </c>
      <c r="R4273" t="s">
        <v>494</v>
      </c>
      <c r="S4273" t="s">
        <v>399</v>
      </c>
      <c r="T4273" s="14">
        <v>200</v>
      </c>
    </row>
    <row r="4274" spans="17:20" x14ac:dyDescent="0.3">
      <c r="Q4274" s="93">
        <v>45961</v>
      </c>
      <c r="R4274" t="s">
        <v>495</v>
      </c>
      <c r="S4274" t="s">
        <v>399</v>
      </c>
      <c r="T4274" s="14">
        <v>0</v>
      </c>
    </row>
    <row r="4275" spans="17:20" x14ac:dyDescent="0.3">
      <c r="Q4275" s="93">
        <v>45961</v>
      </c>
      <c r="R4275" t="s">
        <v>493</v>
      </c>
      <c r="S4275" t="s">
        <v>399</v>
      </c>
      <c r="T4275" s="14">
        <v>0</v>
      </c>
    </row>
    <row r="4276" spans="17:20" x14ac:dyDescent="0.3">
      <c r="Q4276" s="93">
        <v>45961</v>
      </c>
      <c r="R4276" t="s">
        <v>593</v>
      </c>
      <c r="S4276" t="s">
        <v>399</v>
      </c>
      <c r="T4276" s="14">
        <v>800</v>
      </c>
    </row>
    <row r="4277" spans="17:20" x14ac:dyDescent="0.3">
      <c r="Q4277" s="93">
        <v>45961</v>
      </c>
      <c r="R4277" t="s">
        <v>594</v>
      </c>
      <c r="S4277" t="s">
        <v>399</v>
      </c>
      <c r="T4277" s="14">
        <v>0</v>
      </c>
    </row>
    <row r="4278" spans="17:20" x14ac:dyDescent="0.3">
      <c r="Q4278" s="93">
        <v>45961</v>
      </c>
      <c r="R4278" t="s">
        <v>595</v>
      </c>
      <c r="S4278" t="s">
        <v>399</v>
      </c>
      <c r="T4278" s="14">
        <v>0</v>
      </c>
    </row>
    <row r="4279" spans="17:20" x14ac:dyDescent="0.3">
      <c r="Q4279" s="93">
        <v>45961</v>
      </c>
      <c r="R4279" t="s">
        <v>479</v>
      </c>
      <c r="S4279" t="s">
        <v>395</v>
      </c>
      <c r="T4279" s="14">
        <v>10778.9286661639</v>
      </c>
    </row>
    <row r="4280" spans="17:20" x14ac:dyDescent="0.3">
      <c r="Q4280" s="93">
        <v>45961</v>
      </c>
      <c r="R4280" t="s">
        <v>479</v>
      </c>
      <c r="S4280" t="s">
        <v>415</v>
      </c>
      <c r="T4280" s="14">
        <v>6.0715684742070701</v>
      </c>
    </row>
    <row r="4281" spans="17:20" x14ac:dyDescent="0.3">
      <c r="Q4281" s="93">
        <v>45961</v>
      </c>
      <c r="R4281" t="s">
        <v>364</v>
      </c>
      <c r="S4281" t="s">
        <v>415</v>
      </c>
      <c r="T4281" s="14">
        <v>5.6121322283969199</v>
      </c>
    </row>
    <row r="4282" spans="17:20" x14ac:dyDescent="0.3">
      <c r="Q4282" s="93">
        <v>45961</v>
      </c>
      <c r="R4282" t="s">
        <v>364</v>
      </c>
      <c r="S4282" t="s">
        <v>997</v>
      </c>
      <c r="T4282" s="14">
        <v>24841.453699999998</v>
      </c>
    </row>
    <row r="4283" spans="17:20" x14ac:dyDescent="0.3">
      <c r="Q4283" s="93">
        <v>45960</v>
      </c>
      <c r="R4283" t="s">
        <v>479</v>
      </c>
      <c r="S4283" t="s">
        <v>415</v>
      </c>
      <c r="T4283" s="14">
        <v>6.2129887523905802</v>
      </c>
    </row>
    <row r="4284" spans="17:20" x14ac:dyDescent="0.3">
      <c r="Q4284" s="93">
        <v>45960</v>
      </c>
      <c r="R4284" t="s">
        <v>364</v>
      </c>
      <c r="S4284" t="s">
        <v>415</v>
      </c>
      <c r="T4284" s="14">
        <v>5.6238337838785597</v>
      </c>
    </row>
    <row r="4285" spans="17:20" x14ac:dyDescent="0.3">
      <c r="Q4285" s="93">
        <v>45960</v>
      </c>
      <c r="R4285" t="s">
        <v>364</v>
      </c>
      <c r="S4285" t="s">
        <v>997</v>
      </c>
      <c r="T4285" s="14">
        <v>24141.453699999998</v>
      </c>
    </row>
    <row r="4286" spans="17:20" x14ac:dyDescent="0.3">
      <c r="Q4286" s="93">
        <v>45960</v>
      </c>
      <c r="R4286" t="s">
        <v>479</v>
      </c>
      <c r="S4286" t="s">
        <v>399</v>
      </c>
      <c r="T4286" s="14">
        <v>9022.6106</v>
      </c>
    </row>
    <row r="4287" spans="17:20" x14ac:dyDescent="0.3">
      <c r="Q4287" s="93">
        <v>45960</v>
      </c>
      <c r="R4287" t="s">
        <v>364</v>
      </c>
      <c r="S4287" t="s">
        <v>399</v>
      </c>
      <c r="T4287" s="14">
        <v>18241.453699999998</v>
      </c>
    </row>
    <row r="4288" spans="17:20" x14ac:dyDescent="0.3">
      <c r="Q4288" s="93">
        <v>45960</v>
      </c>
      <c r="R4288" t="s">
        <v>491</v>
      </c>
      <c r="S4288" t="s">
        <v>399</v>
      </c>
      <c r="T4288" s="14">
        <v>8125</v>
      </c>
    </row>
    <row r="4289" spans="17:20" x14ac:dyDescent="0.3">
      <c r="Q4289" s="93">
        <v>45960</v>
      </c>
      <c r="R4289" t="s">
        <v>492</v>
      </c>
      <c r="S4289" t="s">
        <v>399</v>
      </c>
      <c r="T4289" s="14">
        <v>897.61059999999998</v>
      </c>
    </row>
    <row r="4290" spans="17:20" x14ac:dyDescent="0.3">
      <c r="Q4290" s="93">
        <v>45960</v>
      </c>
      <c r="R4290" t="s">
        <v>496</v>
      </c>
      <c r="S4290" t="s">
        <v>399</v>
      </c>
      <c r="T4290" s="14">
        <v>17991.453699999998</v>
      </c>
    </row>
    <row r="4291" spans="17:20" x14ac:dyDescent="0.3">
      <c r="Q4291" s="93">
        <v>45960</v>
      </c>
      <c r="R4291" t="s">
        <v>497</v>
      </c>
      <c r="S4291" t="s">
        <v>399</v>
      </c>
      <c r="T4291" s="14">
        <v>897.61059999999998</v>
      </c>
    </row>
    <row r="4292" spans="17:20" x14ac:dyDescent="0.3">
      <c r="Q4292" s="93">
        <v>45960</v>
      </c>
      <c r="R4292" t="s">
        <v>498</v>
      </c>
      <c r="S4292" t="s">
        <v>399</v>
      </c>
      <c r="T4292" s="14">
        <v>8125</v>
      </c>
    </row>
    <row r="4293" spans="17:20" x14ac:dyDescent="0.3">
      <c r="Q4293" s="93">
        <v>45960</v>
      </c>
      <c r="R4293" t="s">
        <v>494</v>
      </c>
      <c r="S4293" t="s">
        <v>399</v>
      </c>
      <c r="T4293" s="14">
        <v>-250</v>
      </c>
    </row>
    <row r="4294" spans="17:20" x14ac:dyDescent="0.3">
      <c r="Q4294" s="93">
        <v>45960</v>
      </c>
      <c r="R4294" t="s">
        <v>495</v>
      </c>
      <c r="S4294" t="s">
        <v>399</v>
      </c>
      <c r="T4294" s="14">
        <v>0</v>
      </c>
    </row>
    <row r="4295" spans="17:20" x14ac:dyDescent="0.3">
      <c r="Q4295" s="93">
        <v>45960</v>
      </c>
      <c r="R4295" t="s">
        <v>493</v>
      </c>
      <c r="S4295" t="s">
        <v>399</v>
      </c>
      <c r="T4295" s="14">
        <v>0</v>
      </c>
    </row>
    <row r="4296" spans="17:20" x14ac:dyDescent="0.3">
      <c r="Q4296" s="93">
        <v>45960</v>
      </c>
      <c r="R4296" t="s">
        <v>593</v>
      </c>
      <c r="S4296" t="s">
        <v>399</v>
      </c>
      <c r="T4296" s="14">
        <v>500</v>
      </c>
    </row>
    <row r="4297" spans="17:20" x14ac:dyDescent="0.3">
      <c r="Q4297" s="93">
        <v>45960</v>
      </c>
      <c r="R4297" t="s">
        <v>594</v>
      </c>
      <c r="S4297" t="s">
        <v>399</v>
      </c>
      <c r="T4297" s="14">
        <v>0</v>
      </c>
    </row>
    <row r="4298" spans="17:20" x14ac:dyDescent="0.3">
      <c r="Q4298" s="93">
        <v>45960</v>
      </c>
      <c r="R4298" t="s">
        <v>595</v>
      </c>
      <c r="S4298" t="s">
        <v>399</v>
      </c>
      <c r="T4298" s="14">
        <v>0</v>
      </c>
    </row>
    <row r="4299" spans="17:20" x14ac:dyDescent="0.3">
      <c r="Q4299" s="93">
        <v>45960</v>
      </c>
      <c r="R4299" t="s">
        <v>479</v>
      </c>
      <c r="S4299" t="s">
        <v>395</v>
      </c>
      <c r="T4299" s="14">
        <v>8774.3706580161597</v>
      </c>
    </row>
    <row r="4300" spans="17:20" x14ac:dyDescent="0.3">
      <c r="Q4300" s="93">
        <v>45959</v>
      </c>
      <c r="R4300" t="s">
        <v>479</v>
      </c>
      <c r="S4300" t="s">
        <v>399</v>
      </c>
      <c r="T4300" s="14">
        <v>9022.6106</v>
      </c>
    </row>
    <row r="4301" spans="17:20" x14ac:dyDescent="0.3">
      <c r="Q4301" s="93">
        <v>45959</v>
      </c>
      <c r="R4301" t="s">
        <v>364</v>
      </c>
      <c r="S4301" t="s">
        <v>399</v>
      </c>
      <c r="T4301" s="14">
        <v>17991.453699999998</v>
      </c>
    </row>
    <row r="4302" spans="17:20" x14ac:dyDescent="0.3">
      <c r="Q4302" s="93">
        <v>45959</v>
      </c>
      <c r="R4302" t="s">
        <v>491</v>
      </c>
      <c r="S4302" t="s">
        <v>399</v>
      </c>
      <c r="T4302" s="14">
        <v>8125</v>
      </c>
    </row>
    <row r="4303" spans="17:20" x14ac:dyDescent="0.3">
      <c r="Q4303" s="93">
        <v>45959</v>
      </c>
      <c r="R4303" t="s">
        <v>492</v>
      </c>
      <c r="S4303" t="s">
        <v>399</v>
      </c>
      <c r="T4303" s="14">
        <v>897.61059999999998</v>
      </c>
    </row>
    <row r="4304" spans="17:20" x14ac:dyDescent="0.3">
      <c r="Q4304" s="93">
        <v>45959</v>
      </c>
      <c r="R4304" t="s">
        <v>496</v>
      </c>
      <c r="S4304" t="s">
        <v>399</v>
      </c>
      <c r="T4304" s="14">
        <v>20991.453699999998</v>
      </c>
    </row>
    <row r="4305" spans="17:20" x14ac:dyDescent="0.3">
      <c r="Q4305" s="93">
        <v>45959</v>
      </c>
      <c r="R4305" t="s">
        <v>497</v>
      </c>
      <c r="S4305" t="s">
        <v>399</v>
      </c>
      <c r="T4305" s="14">
        <v>897.61059999999998</v>
      </c>
    </row>
    <row r="4306" spans="17:20" x14ac:dyDescent="0.3">
      <c r="Q4306" s="93">
        <v>45959</v>
      </c>
      <c r="R4306" t="s">
        <v>498</v>
      </c>
      <c r="S4306" t="s">
        <v>399</v>
      </c>
      <c r="T4306" s="14">
        <v>8125</v>
      </c>
    </row>
    <row r="4307" spans="17:20" x14ac:dyDescent="0.3">
      <c r="Q4307" s="93">
        <v>45959</v>
      </c>
      <c r="R4307" t="s">
        <v>494</v>
      </c>
      <c r="S4307" t="s">
        <v>399</v>
      </c>
      <c r="T4307" s="14">
        <v>-3000</v>
      </c>
    </row>
    <row r="4308" spans="17:20" x14ac:dyDescent="0.3">
      <c r="Q4308" s="93">
        <v>45959</v>
      </c>
      <c r="R4308" t="s">
        <v>495</v>
      </c>
      <c r="S4308" t="s">
        <v>399</v>
      </c>
      <c r="T4308" s="14">
        <v>0</v>
      </c>
    </row>
    <row r="4309" spans="17:20" x14ac:dyDescent="0.3">
      <c r="Q4309" s="93">
        <v>45959</v>
      </c>
      <c r="R4309" t="s">
        <v>493</v>
      </c>
      <c r="S4309" t="s">
        <v>399</v>
      </c>
      <c r="T4309" s="14">
        <v>0</v>
      </c>
    </row>
    <row r="4310" spans="17:20" x14ac:dyDescent="0.3">
      <c r="Q4310" s="93">
        <v>45959</v>
      </c>
      <c r="R4310" t="s">
        <v>593</v>
      </c>
      <c r="S4310" t="s">
        <v>399</v>
      </c>
      <c r="T4310" s="14">
        <v>0</v>
      </c>
    </row>
    <row r="4311" spans="17:20" x14ac:dyDescent="0.3">
      <c r="Q4311" s="93">
        <v>45959</v>
      </c>
      <c r="R4311" t="s">
        <v>594</v>
      </c>
      <c r="S4311" t="s">
        <v>399</v>
      </c>
      <c r="T4311" s="14">
        <v>0</v>
      </c>
    </row>
    <row r="4312" spans="17:20" x14ac:dyDescent="0.3">
      <c r="Q4312" s="93">
        <v>45959</v>
      </c>
      <c r="R4312" t="s">
        <v>595</v>
      </c>
      <c r="S4312" t="s">
        <v>399</v>
      </c>
      <c r="T4312" s="14">
        <v>0</v>
      </c>
    </row>
    <row r="4313" spans="17:20" x14ac:dyDescent="0.3">
      <c r="Q4313" s="93">
        <v>45959</v>
      </c>
      <c r="R4313" t="s">
        <v>479</v>
      </c>
      <c r="S4313" t="s">
        <v>395</v>
      </c>
      <c r="T4313" s="14">
        <v>8771.7687717721292</v>
      </c>
    </row>
    <row r="4314" spans="17:20" x14ac:dyDescent="0.3">
      <c r="Q4314" s="93">
        <v>45959</v>
      </c>
      <c r="R4314" t="s">
        <v>479</v>
      </c>
      <c r="S4314" t="s">
        <v>415</v>
      </c>
      <c r="T4314" s="14">
        <v>6.2129887523905802</v>
      </c>
    </row>
    <row r="4315" spans="17:20" x14ac:dyDescent="0.3">
      <c r="Q4315" s="93">
        <v>45959</v>
      </c>
      <c r="R4315" t="s">
        <v>364</v>
      </c>
      <c r="S4315" t="s">
        <v>415</v>
      </c>
      <c r="T4315" s="14">
        <v>5.6106892696110799</v>
      </c>
    </row>
    <row r="4316" spans="17:20" x14ac:dyDescent="0.3">
      <c r="Q4316" s="93">
        <v>45959</v>
      </c>
      <c r="R4316" t="s">
        <v>364</v>
      </c>
      <c r="S4316" t="s">
        <v>997</v>
      </c>
      <c r="T4316" s="14">
        <v>23891.453699999998</v>
      </c>
    </row>
    <row r="4317" spans="17:20" x14ac:dyDescent="0.3">
      <c r="Q4317" s="93">
        <v>45958</v>
      </c>
      <c r="R4317" t="s">
        <v>479</v>
      </c>
      <c r="S4317" t="s">
        <v>399</v>
      </c>
      <c r="T4317" s="14">
        <v>9022.6106</v>
      </c>
    </row>
    <row r="4318" spans="17:20" x14ac:dyDescent="0.3">
      <c r="Q4318" s="93">
        <v>45958</v>
      </c>
      <c r="R4318" t="s">
        <v>364</v>
      </c>
      <c r="S4318" t="s">
        <v>399</v>
      </c>
      <c r="T4318" s="14">
        <v>17691.453699999998</v>
      </c>
    </row>
    <row r="4319" spans="17:20" x14ac:dyDescent="0.3">
      <c r="Q4319" s="93">
        <v>45958</v>
      </c>
      <c r="R4319" t="s">
        <v>491</v>
      </c>
      <c r="S4319" t="s">
        <v>399</v>
      </c>
      <c r="T4319" s="14">
        <v>8125</v>
      </c>
    </row>
    <row r="4320" spans="17:20" x14ac:dyDescent="0.3">
      <c r="Q4320" s="93">
        <v>45958</v>
      </c>
      <c r="R4320" t="s">
        <v>492</v>
      </c>
      <c r="S4320" t="s">
        <v>399</v>
      </c>
      <c r="T4320" s="14">
        <v>897.61059999999998</v>
      </c>
    </row>
    <row r="4321" spans="17:20" x14ac:dyDescent="0.3">
      <c r="Q4321" s="93">
        <v>45958</v>
      </c>
      <c r="R4321" t="s">
        <v>496</v>
      </c>
      <c r="S4321" t="s">
        <v>399</v>
      </c>
      <c r="T4321" s="14">
        <v>21491.453699999998</v>
      </c>
    </row>
    <row r="4322" spans="17:20" x14ac:dyDescent="0.3">
      <c r="Q4322" s="93">
        <v>45958</v>
      </c>
      <c r="R4322" t="s">
        <v>497</v>
      </c>
      <c r="S4322" t="s">
        <v>399</v>
      </c>
      <c r="T4322" s="14">
        <v>897.61059999999998</v>
      </c>
    </row>
    <row r="4323" spans="17:20" x14ac:dyDescent="0.3">
      <c r="Q4323" s="93">
        <v>45958</v>
      </c>
      <c r="R4323" t="s">
        <v>498</v>
      </c>
      <c r="S4323" t="s">
        <v>399</v>
      </c>
      <c r="T4323" s="14">
        <v>8125</v>
      </c>
    </row>
    <row r="4324" spans="17:20" x14ac:dyDescent="0.3">
      <c r="Q4324" s="93">
        <v>45958</v>
      </c>
      <c r="R4324" t="s">
        <v>494</v>
      </c>
      <c r="S4324" t="s">
        <v>399</v>
      </c>
      <c r="T4324" s="14">
        <v>-4300</v>
      </c>
    </row>
    <row r="4325" spans="17:20" x14ac:dyDescent="0.3">
      <c r="Q4325" s="93">
        <v>45958</v>
      </c>
      <c r="R4325" t="s">
        <v>495</v>
      </c>
      <c r="S4325" t="s">
        <v>399</v>
      </c>
      <c r="T4325" s="14">
        <v>0</v>
      </c>
    </row>
    <row r="4326" spans="17:20" x14ac:dyDescent="0.3">
      <c r="Q4326" s="93">
        <v>45958</v>
      </c>
      <c r="R4326" t="s">
        <v>493</v>
      </c>
      <c r="S4326" t="s">
        <v>399</v>
      </c>
      <c r="T4326" s="14">
        <v>0</v>
      </c>
    </row>
    <row r="4327" spans="17:20" x14ac:dyDescent="0.3">
      <c r="Q4327" s="93">
        <v>45958</v>
      </c>
      <c r="R4327" t="s">
        <v>593</v>
      </c>
      <c r="S4327" t="s">
        <v>399</v>
      </c>
      <c r="T4327" s="14">
        <v>500</v>
      </c>
    </row>
    <row r="4328" spans="17:20" x14ac:dyDescent="0.3">
      <c r="Q4328" s="93">
        <v>45958</v>
      </c>
      <c r="R4328" t="s">
        <v>594</v>
      </c>
      <c r="S4328" t="s">
        <v>399</v>
      </c>
      <c r="T4328" s="14">
        <v>0</v>
      </c>
    </row>
    <row r="4329" spans="17:20" x14ac:dyDescent="0.3">
      <c r="Q4329" s="93">
        <v>45958</v>
      </c>
      <c r="R4329" t="s">
        <v>595</v>
      </c>
      <c r="S4329" t="s">
        <v>399</v>
      </c>
      <c r="T4329" s="14">
        <v>0</v>
      </c>
    </row>
    <row r="4330" spans="17:20" x14ac:dyDescent="0.3">
      <c r="Q4330" s="93">
        <v>45958</v>
      </c>
      <c r="R4330" t="s">
        <v>479</v>
      </c>
      <c r="S4330" t="s">
        <v>395</v>
      </c>
      <c r="T4330" s="14">
        <v>8770.0850545110807</v>
      </c>
    </row>
    <row r="4331" spans="17:20" x14ac:dyDescent="0.3">
      <c r="Q4331" s="93">
        <v>45958</v>
      </c>
      <c r="R4331" t="s">
        <v>479</v>
      </c>
      <c r="S4331" t="s">
        <v>415</v>
      </c>
      <c r="T4331" s="14">
        <v>6.2129887523905802</v>
      </c>
    </row>
    <row r="4332" spans="17:20" x14ac:dyDescent="0.3">
      <c r="Q4332" s="93">
        <v>45958</v>
      </c>
      <c r="R4332" t="s">
        <v>364</v>
      </c>
      <c r="S4332" t="s">
        <v>415</v>
      </c>
      <c r="T4332" s="14">
        <v>5.5960561868745797</v>
      </c>
    </row>
    <row r="4333" spans="17:20" x14ac:dyDescent="0.3">
      <c r="Q4333" s="93">
        <v>45958</v>
      </c>
      <c r="R4333" t="s">
        <v>364</v>
      </c>
      <c r="S4333" t="s">
        <v>997</v>
      </c>
      <c r="T4333" s="14">
        <v>23591.453699999998</v>
      </c>
    </row>
    <row r="4334" spans="17:20" x14ac:dyDescent="0.3">
      <c r="Q4334" s="93">
        <v>45957</v>
      </c>
      <c r="R4334" t="s">
        <v>479</v>
      </c>
      <c r="S4334" t="s">
        <v>399</v>
      </c>
      <c r="T4334" s="14">
        <v>9022.6106</v>
      </c>
    </row>
    <row r="4335" spans="17:20" x14ac:dyDescent="0.3">
      <c r="Q4335" s="93">
        <v>45957</v>
      </c>
      <c r="R4335" t="s">
        <v>364</v>
      </c>
      <c r="S4335" t="s">
        <v>399</v>
      </c>
      <c r="T4335" s="14">
        <v>19091.453699999998</v>
      </c>
    </row>
    <row r="4336" spans="17:20" x14ac:dyDescent="0.3">
      <c r="Q4336" s="93">
        <v>45957</v>
      </c>
      <c r="R4336" t="s">
        <v>491</v>
      </c>
      <c r="S4336" t="s">
        <v>399</v>
      </c>
      <c r="T4336" s="14">
        <v>8125</v>
      </c>
    </row>
    <row r="4337" spans="17:20" x14ac:dyDescent="0.3">
      <c r="Q4337" s="93">
        <v>45957</v>
      </c>
      <c r="R4337" t="s">
        <v>492</v>
      </c>
      <c r="S4337" t="s">
        <v>399</v>
      </c>
      <c r="T4337" s="14">
        <v>897.61059999999998</v>
      </c>
    </row>
    <row r="4338" spans="17:20" x14ac:dyDescent="0.3">
      <c r="Q4338" s="93">
        <v>45957</v>
      </c>
      <c r="R4338" t="s">
        <v>496</v>
      </c>
      <c r="S4338" t="s">
        <v>399</v>
      </c>
      <c r="T4338" s="14">
        <v>22876.782899999998</v>
      </c>
    </row>
    <row r="4339" spans="17:20" x14ac:dyDescent="0.3">
      <c r="Q4339" s="93">
        <v>45957</v>
      </c>
      <c r="R4339" t="s">
        <v>497</v>
      </c>
      <c r="S4339" t="s">
        <v>399</v>
      </c>
      <c r="T4339" s="14">
        <v>897.61059999999998</v>
      </c>
    </row>
    <row r="4340" spans="17:20" x14ac:dyDescent="0.3">
      <c r="Q4340" s="93">
        <v>45957</v>
      </c>
      <c r="R4340" t="s">
        <v>498</v>
      </c>
      <c r="S4340" t="s">
        <v>399</v>
      </c>
      <c r="T4340" s="14">
        <v>8125</v>
      </c>
    </row>
    <row r="4341" spans="17:20" x14ac:dyDescent="0.3">
      <c r="Q4341" s="93">
        <v>45957</v>
      </c>
      <c r="R4341" t="s">
        <v>494</v>
      </c>
      <c r="S4341" t="s">
        <v>399</v>
      </c>
      <c r="T4341" s="14">
        <v>-4285.3292000000001</v>
      </c>
    </row>
    <row r="4342" spans="17:20" x14ac:dyDescent="0.3">
      <c r="Q4342" s="93">
        <v>45957</v>
      </c>
      <c r="R4342" t="s">
        <v>495</v>
      </c>
      <c r="S4342" t="s">
        <v>399</v>
      </c>
      <c r="T4342" s="14">
        <v>0</v>
      </c>
    </row>
    <row r="4343" spans="17:20" x14ac:dyDescent="0.3">
      <c r="Q4343" s="93">
        <v>45957</v>
      </c>
      <c r="R4343" t="s">
        <v>493</v>
      </c>
      <c r="S4343" t="s">
        <v>399</v>
      </c>
      <c r="T4343" s="14">
        <v>0</v>
      </c>
    </row>
    <row r="4344" spans="17:20" x14ac:dyDescent="0.3">
      <c r="Q4344" s="93">
        <v>45957</v>
      </c>
      <c r="R4344" t="s">
        <v>593</v>
      </c>
      <c r="S4344" t="s">
        <v>399</v>
      </c>
      <c r="T4344" s="14">
        <v>500</v>
      </c>
    </row>
    <row r="4345" spans="17:20" x14ac:dyDescent="0.3">
      <c r="Q4345" s="93">
        <v>45957</v>
      </c>
      <c r="R4345" t="s">
        <v>594</v>
      </c>
      <c r="S4345" t="s">
        <v>399</v>
      </c>
      <c r="T4345" s="14">
        <v>0</v>
      </c>
    </row>
    <row r="4346" spans="17:20" x14ac:dyDescent="0.3">
      <c r="Q4346" s="93">
        <v>45957</v>
      </c>
      <c r="R4346" t="s">
        <v>595</v>
      </c>
      <c r="S4346" t="s">
        <v>399</v>
      </c>
      <c r="T4346" s="14">
        <v>0</v>
      </c>
    </row>
    <row r="4347" spans="17:20" x14ac:dyDescent="0.3">
      <c r="Q4347" s="93">
        <v>45957</v>
      </c>
      <c r="R4347" t="s">
        <v>479</v>
      </c>
      <c r="S4347" t="s">
        <v>395</v>
      </c>
      <c r="T4347" s="14">
        <v>8772.0299007497306</v>
      </c>
    </row>
    <row r="4348" spans="17:20" x14ac:dyDescent="0.3">
      <c r="Q4348" s="93">
        <v>45957</v>
      </c>
      <c r="R4348" t="s">
        <v>479</v>
      </c>
      <c r="S4348" t="s">
        <v>415</v>
      </c>
      <c r="T4348" s="14">
        <v>6.2129887523905802</v>
      </c>
    </row>
    <row r="4349" spans="17:20" x14ac:dyDescent="0.3">
      <c r="Q4349" s="93">
        <v>45957</v>
      </c>
      <c r="R4349" t="s">
        <v>364</v>
      </c>
      <c r="S4349" t="s">
        <v>415</v>
      </c>
      <c r="T4349" s="14">
        <v>5.5962139933460504</v>
      </c>
    </row>
    <row r="4350" spans="17:20" x14ac:dyDescent="0.3">
      <c r="Q4350" s="93">
        <v>45957</v>
      </c>
      <c r="R4350" t="s">
        <v>364</v>
      </c>
      <c r="S4350" t="s">
        <v>997</v>
      </c>
      <c r="T4350" s="14">
        <v>24991.453699999998</v>
      </c>
    </row>
    <row r="4351" spans="17:20" x14ac:dyDescent="0.3">
      <c r="Q4351" s="93">
        <v>45954</v>
      </c>
      <c r="R4351" t="s">
        <v>364</v>
      </c>
      <c r="S4351" t="s">
        <v>997</v>
      </c>
      <c r="T4351" s="14">
        <v>27286.782899999998</v>
      </c>
    </row>
    <row r="4352" spans="17:20" x14ac:dyDescent="0.3">
      <c r="Q4352" s="93">
        <v>45954</v>
      </c>
      <c r="R4352" t="s">
        <v>479</v>
      </c>
      <c r="S4352" t="s">
        <v>399</v>
      </c>
      <c r="T4352" s="14">
        <v>9022.6106</v>
      </c>
    </row>
    <row r="4353" spans="17:20" x14ac:dyDescent="0.3">
      <c r="Q4353" s="93">
        <v>45954</v>
      </c>
      <c r="R4353" t="s">
        <v>364</v>
      </c>
      <c r="S4353" t="s">
        <v>399</v>
      </c>
      <c r="T4353" s="14">
        <v>21386.782899999998</v>
      </c>
    </row>
    <row r="4354" spans="17:20" x14ac:dyDescent="0.3">
      <c r="Q4354" s="93">
        <v>45954</v>
      </c>
      <c r="R4354" t="s">
        <v>491</v>
      </c>
      <c r="S4354" t="s">
        <v>399</v>
      </c>
      <c r="T4354" s="14">
        <v>8125</v>
      </c>
    </row>
    <row r="4355" spans="17:20" x14ac:dyDescent="0.3">
      <c r="Q4355" s="93">
        <v>45954</v>
      </c>
      <c r="R4355" t="s">
        <v>492</v>
      </c>
      <c r="S4355" t="s">
        <v>399</v>
      </c>
      <c r="T4355" s="14">
        <v>897.61059999999998</v>
      </c>
    </row>
    <row r="4356" spans="17:20" x14ac:dyDescent="0.3">
      <c r="Q4356" s="93">
        <v>45954</v>
      </c>
      <c r="R4356" t="s">
        <v>496</v>
      </c>
      <c r="S4356" t="s">
        <v>399</v>
      </c>
      <c r="T4356" s="14">
        <v>23776.782899999998</v>
      </c>
    </row>
    <row r="4357" spans="17:20" x14ac:dyDescent="0.3">
      <c r="Q4357" s="93">
        <v>45954</v>
      </c>
      <c r="R4357" t="s">
        <v>497</v>
      </c>
      <c r="S4357" t="s">
        <v>399</v>
      </c>
      <c r="T4357" s="14">
        <v>897.61059999999998</v>
      </c>
    </row>
    <row r="4358" spans="17:20" x14ac:dyDescent="0.3">
      <c r="Q4358" s="93">
        <v>45954</v>
      </c>
      <c r="R4358" t="s">
        <v>498</v>
      </c>
      <c r="S4358" t="s">
        <v>399</v>
      </c>
      <c r="T4358" s="14">
        <v>8125</v>
      </c>
    </row>
    <row r="4359" spans="17:20" x14ac:dyDescent="0.3">
      <c r="Q4359" s="93">
        <v>45954</v>
      </c>
      <c r="R4359" t="s">
        <v>494</v>
      </c>
      <c r="S4359" t="s">
        <v>399</v>
      </c>
      <c r="T4359" s="14">
        <v>-2390</v>
      </c>
    </row>
    <row r="4360" spans="17:20" x14ac:dyDescent="0.3">
      <c r="Q4360" s="93">
        <v>45954</v>
      </c>
      <c r="R4360" t="s">
        <v>495</v>
      </c>
      <c r="S4360" t="s">
        <v>399</v>
      </c>
      <c r="T4360" s="14">
        <v>0</v>
      </c>
    </row>
    <row r="4361" spans="17:20" x14ac:dyDescent="0.3">
      <c r="Q4361" s="93">
        <v>45954</v>
      </c>
      <c r="R4361" t="s">
        <v>493</v>
      </c>
      <c r="S4361" t="s">
        <v>399</v>
      </c>
      <c r="T4361" s="14">
        <v>0</v>
      </c>
    </row>
    <row r="4362" spans="17:20" x14ac:dyDescent="0.3">
      <c r="Q4362" s="93">
        <v>45954</v>
      </c>
      <c r="R4362" t="s">
        <v>593</v>
      </c>
      <c r="S4362" t="s">
        <v>399</v>
      </c>
      <c r="T4362" s="14">
        <v>0</v>
      </c>
    </row>
    <row r="4363" spans="17:20" x14ac:dyDescent="0.3">
      <c r="Q4363" s="93">
        <v>45954</v>
      </c>
      <c r="R4363" t="s">
        <v>594</v>
      </c>
      <c r="S4363" t="s">
        <v>399</v>
      </c>
      <c r="T4363" s="14">
        <v>0</v>
      </c>
    </row>
    <row r="4364" spans="17:20" x14ac:dyDescent="0.3">
      <c r="Q4364" s="93">
        <v>45954</v>
      </c>
      <c r="R4364" t="s">
        <v>595</v>
      </c>
      <c r="S4364" t="s">
        <v>399</v>
      </c>
      <c r="T4364" s="14">
        <v>0</v>
      </c>
    </row>
    <row r="4365" spans="17:20" x14ac:dyDescent="0.3">
      <c r="Q4365" s="93">
        <v>45954</v>
      </c>
      <c r="R4365" t="s">
        <v>479</v>
      </c>
      <c r="S4365" t="s">
        <v>395</v>
      </c>
      <c r="T4365" s="14">
        <v>8775.1521076232602</v>
      </c>
    </row>
    <row r="4366" spans="17:20" x14ac:dyDescent="0.3">
      <c r="Q4366" s="93">
        <v>45954</v>
      </c>
      <c r="R4366" t="s">
        <v>479</v>
      </c>
      <c r="S4366" t="s">
        <v>415</v>
      </c>
      <c r="T4366" s="14">
        <v>6.2129887523905802</v>
      </c>
    </row>
    <row r="4367" spans="17:20" x14ac:dyDescent="0.3">
      <c r="Q4367" s="93">
        <v>45954</v>
      </c>
      <c r="R4367" t="s">
        <v>364</v>
      </c>
      <c r="S4367" t="s">
        <v>415</v>
      </c>
      <c r="T4367" s="14">
        <v>5.5585214814751902</v>
      </c>
    </row>
    <row r="4368" spans="17:20" x14ac:dyDescent="0.3">
      <c r="Q4368" s="93">
        <v>45953</v>
      </c>
      <c r="R4368" t="s">
        <v>479</v>
      </c>
      <c r="S4368" t="s">
        <v>399</v>
      </c>
      <c r="T4368" s="14">
        <v>9022.6106</v>
      </c>
    </row>
    <row r="4369" spans="17:20" x14ac:dyDescent="0.3">
      <c r="Q4369" s="93">
        <v>45953</v>
      </c>
      <c r="R4369" t="s">
        <v>364</v>
      </c>
      <c r="S4369" t="s">
        <v>399</v>
      </c>
      <c r="T4369" s="14">
        <v>22186.782899999998</v>
      </c>
    </row>
    <row r="4370" spans="17:20" x14ac:dyDescent="0.3">
      <c r="Q4370" s="93">
        <v>45953</v>
      </c>
      <c r="R4370" t="s">
        <v>491</v>
      </c>
      <c r="S4370" t="s">
        <v>399</v>
      </c>
      <c r="T4370" s="14">
        <v>8125</v>
      </c>
    </row>
    <row r="4371" spans="17:20" x14ac:dyDescent="0.3">
      <c r="Q4371" s="93">
        <v>45953</v>
      </c>
      <c r="R4371" t="s">
        <v>492</v>
      </c>
      <c r="S4371" t="s">
        <v>399</v>
      </c>
      <c r="T4371" s="14">
        <v>897.61059999999998</v>
      </c>
    </row>
    <row r="4372" spans="17:20" x14ac:dyDescent="0.3">
      <c r="Q4372" s="93">
        <v>45953</v>
      </c>
      <c r="R4372" t="s">
        <v>496</v>
      </c>
      <c r="S4372" t="s">
        <v>399</v>
      </c>
      <c r="T4372" s="14">
        <v>23926.782899999998</v>
      </c>
    </row>
    <row r="4373" spans="17:20" x14ac:dyDescent="0.3">
      <c r="Q4373" s="93">
        <v>45953</v>
      </c>
      <c r="R4373" t="s">
        <v>497</v>
      </c>
      <c r="S4373" t="s">
        <v>399</v>
      </c>
      <c r="T4373" s="14">
        <v>897.61059999999998</v>
      </c>
    </row>
    <row r="4374" spans="17:20" x14ac:dyDescent="0.3">
      <c r="Q4374" s="93">
        <v>45953</v>
      </c>
      <c r="R4374" t="s">
        <v>498</v>
      </c>
      <c r="S4374" t="s">
        <v>399</v>
      </c>
      <c r="T4374" s="14">
        <v>8125</v>
      </c>
    </row>
    <row r="4375" spans="17:20" x14ac:dyDescent="0.3">
      <c r="Q4375" s="93">
        <v>45953</v>
      </c>
      <c r="R4375" t="s">
        <v>494</v>
      </c>
      <c r="S4375" t="s">
        <v>399</v>
      </c>
      <c r="T4375" s="14">
        <v>-1740</v>
      </c>
    </row>
    <row r="4376" spans="17:20" x14ac:dyDescent="0.3">
      <c r="Q4376" s="93">
        <v>45953</v>
      </c>
      <c r="R4376" t="s">
        <v>495</v>
      </c>
      <c r="S4376" t="s">
        <v>399</v>
      </c>
      <c r="T4376" s="14">
        <v>0</v>
      </c>
    </row>
    <row r="4377" spans="17:20" x14ac:dyDescent="0.3">
      <c r="Q4377" s="93">
        <v>45953</v>
      </c>
      <c r="R4377" t="s">
        <v>493</v>
      </c>
      <c r="S4377" t="s">
        <v>399</v>
      </c>
      <c r="T4377" s="14">
        <v>0</v>
      </c>
    </row>
    <row r="4378" spans="17:20" x14ac:dyDescent="0.3">
      <c r="Q4378" s="93">
        <v>45953</v>
      </c>
      <c r="R4378" t="s">
        <v>593</v>
      </c>
      <c r="S4378" t="s">
        <v>399</v>
      </c>
      <c r="T4378" s="14">
        <v>0</v>
      </c>
    </row>
    <row r="4379" spans="17:20" x14ac:dyDescent="0.3">
      <c r="Q4379" s="93">
        <v>45953</v>
      </c>
      <c r="R4379" t="s">
        <v>594</v>
      </c>
      <c r="S4379" t="s">
        <v>399</v>
      </c>
      <c r="T4379" s="14">
        <v>0</v>
      </c>
    </row>
    <row r="4380" spans="17:20" x14ac:dyDescent="0.3">
      <c r="Q4380" s="93">
        <v>45953</v>
      </c>
      <c r="R4380" t="s">
        <v>595</v>
      </c>
      <c r="S4380" t="s">
        <v>399</v>
      </c>
      <c r="T4380" s="14">
        <v>0</v>
      </c>
    </row>
    <row r="4381" spans="17:20" x14ac:dyDescent="0.3">
      <c r="Q4381" s="93">
        <v>45953</v>
      </c>
      <c r="R4381" t="s">
        <v>479</v>
      </c>
      <c r="S4381" t="s">
        <v>395</v>
      </c>
      <c r="T4381" s="14">
        <v>8776.3577555320007</v>
      </c>
    </row>
    <row r="4382" spans="17:20" x14ac:dyDescent="0.3">
      <c r="Q4382" s="93">
        <v>45953</v>
      </c>
      <c r="R4382" t="s">
        <v>479</v>
      </c>
      <c r="S4382" t="s">
        <v>415</v>
      </c>
      <c r="T4382" s="14">
        <v>6.2129887523905802</v>
      </c>
    </row>
    <row r="4383" spans="17:20" x14ac:dyDescent="0.3">
      <c r="Q4383" s="93">
        <v>45953</v>
      </c>
      <c r="R4383" t="s">
        <v>364</v>
      </c>
      <c r="S4383" t="s">
        <v>415</v>
      </c>
      <c r="T4383" s="14">
        <v>5.5458173855148098</v>
      </c>
    </row>
    <row r="4384" spans="17:20" x14ac:dyDescent="0.3">
      <c r="Q4384" s="93">
        <v>45953</v>
      </c>
      <c r="R4384" t="s">
        <v>364</v>
      </c>
      <c r="S4384" t="s">
        <v>997</v>
      </c>
      <c r="T4384" s="14">
        <v>28086.782899999998</v>
      </c>
    </row>
    <row r="4385" spans="17:20" x14ac:dyDescent="0.3">
      <c r="Q4385" s="93">
        <v>45952</v>
      </c>
      <c r="R4385" t="s">
        <v>479</v>
      </c>
      <c r="S4385" t="s">
        <v>399</v>
      </c>
      <c r="T4385" s="14">
        <v>9022.6106</v>
      </c>
    </row>
    <row r="4386" spans="17:20" x14ac:dyDescent="0.3">
      <c r="Q4386" s="93">
        <v>45952</v>
      </c>
      <c r="R4386" t="s">
        <v>364</v>
      </c>
      <c r="S4386" t="s">
        <v>399</v>
      </c>
      <c r="T4386" s="14">
        <v>29676.782899999998</v>
      </c>
    </row>
    <row r="4387" spans="17:20" x14ac:dyDescent="0.3">
      <c r="Q4387" s="93">
        <v>45952</v>
      </c>
      <c r="R4387" t="s">
        <v>491</v>
      </c>
      <c r="S4387" t="s">
        <v>399</v>
      </c>
      <c r="T4387" s="14">
        <v>8125</v>
      </c>
    </row>
    <row r="4388" spans="17:20" x14ac:dyDescent="0.3">
      <c r="Q4388" s="93">
        <v>45952</v>
      </c>
      <c r="R4388" t="s">
        <v>492</v>
      </c>
      <c r="S4388" t="s">
        <v>399</v>
      </c>
      <c r="T4388" s="14">
        <v>897.61059999999998</v>
      </c>
    </row>
    <row r="4389" spans="17:20" x14ac:dyDescent="0.3">
      <c r="Q4389" s="93">
        <v>45952</v>
      </c>
      <c r="R4389" t="s">
        <v>496</v>
      </c>
      <c r="S4389" t="s">
        <v>399</v>
      </c>
      <c r="T4389" s="14">
        <v>29476.782899999998</v>
      </c>
    </row>
    <row r="4390" spans="17:20" x14ac:dyDescent="0.3">
      <c r="Q4390" s="93">
        <v>45952</v>
      </c>
      <c r="R4390" t="s">
        <v>497</v>
      </c>
      <c r="S4390" t="s">
        <v>399</v>
      </c>
      <c r="T4390" s="14">
        <v>897.61059999999998</v>
      </c>
    </row>
    <row r="4391" spans="17:20" x14ac:dyDescent="0.3">
      <c r="Q4391" s="93">
        <v>45952</v>
      </c>
      <c r="R4391" t="s">
        <v>498</v>
      </c>
      <c r="S4391" t="s">
        <v>399</v>
      </c>
      <c r="T4391" s="14">
        <v>8125</v>
      </c>
    </row>
    <row r="4392" spans="17:20" x14ac:dyDescent="0.3">
      <c r="Q4392" s="93">
        <v>45952</v>
      </c>
      <c r="R4392" t="s">
        <v>494</v>
      </c>
      <c r="S4392" t="s">
        <v>399</v>
      </c>
      <c r="T4392" s="14">
        <v>200</v>
      </c>
    </row>
    <row r="4393" spans="17:20" x14ac:dyDescent="0.3">
      <c r="Q4393" s="93">
        <v>45952</v>
      </c>
      <c r="R4393" t="s">
        <v>495</v>
      </c>
      <c r="S4393" t="s">
        <v>399</v>
      </c>
      <c r="T4393" s="14">
        <v>0</v>
      </c>
    </row>
    <row r="4394" spans="17:20" x14ac:dyDescent="0.3">
      <c r="Q4394" s="93">
        <v>45952</v>
      </c>
      <c r="R4394" t="s">
        <v>493</v>
      </c>
      <c r="S4394" t="s">
        <v>399</v>
      </c>
      <c r="T4394" s="14">
        <v>0</v>
      </c>
    </row>
    <row r="4395" spans="17:20" x14ac:dyDescent="0.3">
      <c r="Q4395" s="93">
        <v>45952</v>
      </c>
      <c r="R4395" t="s">
        <v>593</v>
      </c>
      <c r="S4395" t="s">
        <v>399</v>
      </c>
      <c r="T4395" s="14">
        <v>0</v>
      </c>
    </row>
    <row r="4396" spans="17:20" x14ac:dyDescent="0.3">
      <c r="Q4396" s="93">
        <v>45952</v>
      </c>
      <c r="R4396" t="s">
        <v>594</v>
      </c>
      <c r="S4396" t="s">
        <v>399</v>
      </c>
      <c r="T4396" s="14">
        <v>0</v>
      </c>
    </row>
    <row r="4397" spans="17:20" x14ac:dyDescent="0.3">
      <c r="Q4397" s="93">
        <v>45952</v>
      </c>
      <c r="R4397" t="s">
        <v>595</v>
      </c>
      <c r="S4397" t="s">
        <v>399</v>
      </c>
      <c r="T4397" s="14">
        <v>0</v>
      </c>
    </row>
    <row r="4398" spans="17:20" x14ac:dyDescent="0.3">
      <c r="Q4398" s="93">
        <v>45952</v>
      </c>
      <c r="R4398" t="s">
        <v>479</v>
      </c>
      <c r="S4398" t="s">
        <v>395</v>
      </c>
      <c r="T4398" s="14">
        <v>8777.5263665058301</v>
      </c>
    </row>
    <row r="4399" spans="17:20" x14ac:dyDescent="0.3">
      <c r="Q4399" s="93">
        <v>45952</v>
      </c>
      <c r="R4399" t="s">
        <v>479</v>
      </c>
      <c r="S4399" t="s">
        <v>415</v>
      </c>
      <c r="T4399" s="14">
        <v>6.2129887523905802</v>
      </c>
    </row>
    <row r="4400" spans="17:20" x14ac:dyDescent="0.3">
      <c r="Q4400" s="93">
        <v>45952</v>
      </c>
      <c r="R4400" t="s">
        <v>364</v>
      </c>
      <c r="S4400" t="s">
        <v>415</v>
      </c>
      <c r="T4400" s="14">
        <v>5.5155372082423</v>
      </c>
    </row>
    <row r="4401" spans="17:20" x14ac:dyDescent="0.3">
      <c r="Q4401" s="93">
        <v>45951</v>
      </c>
      <c r="R4401" t="s">
        <v>479</v>
      </c>
      <c r="S4401" t="s">
        <v>399</v>
      </c>
      <c r="T4401" s="14">
        <v>9022.6106</v>
      </c>
    </row>
    <row r="4402" spans="17:20" x14ac:dyDescent="0.3">
      <c r="Q4402" s="93">
        <v>45951</v>
      </c>
      <c r="R4402" t="s">
        <v>364</v>
      </c>
      <c r="S4402" t="s">
        <v>399</v>
      </c>
      <c r="T4402" s="14">
        <v>26326.782899999998</v>
      </c>
    </row>
    <row r="4403" spans="17:20" x14ac:dyDescent="0.3">
      <c r="Q4403" s="93">
        <v>45951</v>
      </c>
      <c r="R4403" t="s">
        <v>491</v>
      </c>
      <c r="S4403" t="s">
        <v>399</v>
      </c>
      <c r="T4403" s="14">
        <v>8125</v>
      </c>
    </row>
    <row r="4404" spans="17:20" x14ac:dyDescent="0.3">
      <c r="Q4404" s="93">
        <v>45951</v>
      </c>
      <c r="R4404" t="s">
        <v>492</v>
      </c>
      <c r="S4404" t="s">
        <v>399</v>
      </c>
      <c r="T4404" s="14">
        <v>897.61059999999998</v>
      </c>
    </row>
    <row r="4405" spans="17:20" x14ac:dyDescent="0.3">
      <c r="Q4405" s="93">
        <v>45951</v>
      </c>
      <c r="R4405" t="s">
        <v>496</v>
      </c>
      <c r="S4405" t="s">
        <v>399</v>
      </c>
      <c r="T4405" s="14">
        <v>20726.782899999998</v>
      </c>
    </row>
    <row r="4406" spans="17:20" x14ac:dyDescent="0.3">
      <c r="Q4406" s="93">
        <v>45951</v>
      </c>
      <c r="R4406" t="s">
        <v>497</v>
      </c>
      <c r="S4406" t="s">
        <v>399</v>
      </c>
      <c r="T4406" s="14">
        <v>897.61059999999998</v>
      </c>
    </row>
    <row r="4407" spans="17:20" x14ac:dyDescent="0.3">
      <c r="Q4407" s="93">
        <v>45951</v>
      </c>
      <c r="R4407" t="s">
        <v>498</v>
      </c>
      <c r="S4407" t="s">
        <v>399</v>
      </c>
      <c r="T4407" s="14">
        <v>8125</v>
      </c>
    </row>
    <row r="4408" spans="17:20" x14ac:dyDescent="0.3">
      <c r="Q4408" s="93">
        <v>45951</v>
      </c>
      <c r="R4408" t="s">
        <v>494</v>
      </c>
      <c r="S4408" t="s">
        <v>399</v>
      </c>
      <c r="T4408" s="14">
        <v>5600</v>
      </c>
    </row>
    <row r="4409" spans="17:20" x14ac:dyDescent="0.3">
      <c r="Q4409" s="93">
        <v>45951</v>
      </c>
      <c r="R4409" t="s">
        <v>495</v>
      </c>
      <c r="S4409" t="s">
        <v>399</v>
      </c>
      <c r="T4409" s="14">
        <v>0</v>
      </c>
    </row>
    <row r="4410" spans="17:20" x14ac:dyDescent="0.3">
      <c r="Q4410" s="93">
        <v>45951</v>
      </c>
      <c r="R4410" t="s">
        <v>493</v>
      </c>
      <c r="S4410" t="s">
        <v>399</v>
      </c>
      <c r="T4410" s="14">
        <v>0</v>
      </c>
    </row>
    <row r="4411" spans="17:20" x14ac:dyDescent="0.3">
      <c r="Q4411" s="93">
        <v>45951</v>
      </c>
      <c r="R4411" t="s">
        <v>593</v>
      </c>
      <c r="S4411" t="s">
        <v>399</v>
      </c>
      <c r="T4411" s="14">
        <v>0</v>
      </c>
    </row>
    <row r="4412" spans="17:20" x14ac:dyDescent="0.3">
      <c r="Q4412" s="93">
        <v>45951</v>
      </c>
      <c r="R4412" t="s">
        <v>594</v>
      </c>
      <c r="S4412" t="s">
        <v>399</v>
      </c>
      <c r="T4412" s="14">
        <v>0</v>
      </c>
    </row>
    <row r="4413" spans="17:20" x14ac:dyDescent="0.3">
      <c r="Q4413" s="93">
        <v>45951</v>
      </c>
      <c r="R4413" t="s">
        <v>595</v>
      </c>
      <c r="S4413" t="s">
        <v>399</v>
      </c>
      <c r="T4413" s="14">
        <v>0</v>
      </c>
    </row>
    <row r="4414" spans="17:20" x14ac:dyDescent="0.3">
      <c r="Q4414" s="93">
        <v>45951</v>
      </c>
      <c r="R4414" t="s">
        <v>479</v>
      </c>
      <c r="S4414" t="s">
        <v>395</v>
      </c>
      <c r="T4414" s="14">
        <v>8783.7529316628406</v>
      </c>
    </row>
    <row r="4415" spans="17:20" x14ac:dyDescent="0.3">
      <c r="Q4415" s="93">
        <v>45951</v>
      </c>
      <c r="R4415" t="s">
        <v>479</v>
      </c>
      <c r="S4415" t="s">
        <v>415</v>
      </c>
      <c r="T4415" s="14">
        <v>6.2129887523905802</v>
      </c>
    </row>
    <row r="4416" spans="17:20" x14ac:dyDescent="0.3">
      <c r="Q4416" s="93">
        <v>45951</v>
      </c>
      <c r="R4416" t="s">
        <v>364</v>
      </c>
      <c r="S4416" t="s">
        <v>415</v>
      </c>
      <c r="T4416" s="14">
        <v>5.5278917992772998</v>
      </c>
    </row>
    <row r="4417" spans="17:20" x14ac:dyDescent="0.3">
      <c r="Q4417" s="93">
        <v>45950</v>
      </c>
      <c r="R4417" t="s">
        <v>479</v>
      </c>
      <c r="S4417" t="s">
        <v>399</v>
      </c>
      <c r="T4417" s="14">
        <v>9022.6106</v>
      </c>
    </row>
    <row r="4418" spans="17:20" x14ac:dyDescent="0.3">
      <c r="Q4418" s="93">
        <v>45950</v>
      </c>
      <c r="R4418" t="s">
        <v>364</v>
      </c>
      <c r="S4418" t="s">
        <v>399</v>
      </c>
      <c r="T4418" s="14">
        <v>30426.782899999998</v>
      </c>
    </row>
    <row r="4419" spans="17:20" x14ac:dyDescent="0.3">
      <c r="Q4419" s="93">
        <v>45950</v>
      </c>
      <c r="R4419" t="s">
        <v>491</v>
      </c>
      <c r="S4419" t="s">
        <v>399</v>
      </c>
      <c r="T4419" s="14">
        <v>8125</v>
      </c>
    </row>
    <row r="4420" spans="17:20" x14ac:dyDescent="0.3">
      <c r="Q4420" s="93">
        <v>45950</v>
      </c>
      <c r="R4420" t="s">
        <v>492</v>
      </c>
      <c r="S4420" t="s">
        <v>399</v>
      </c>
      <c r="T4420" s="14">
        <v>897.61059999999998</v>
      </c>
    </row>
    <row r="4421" spans="17:20" x14ac:dyDescent="0.3">
      <c r="Q4421" s="93">
        <v>45950</v>
      </c>
      <c r="R4421" t="s">
        <v>496</v>
      </c>
      <c r="S4421" t="s">
        <v>399</v>
      </c>
      <c r="T4421" s="14">
        <v>26626.782899999998</v>
      </c>
    </row>
    <row r="4422" spans="17:20" x14ac:dyDescent="0.3">
      <c r="Q4422" s="93">
        <v>45950</v>
      </c>
      <c r="R4422" t="s">
        <v>497</v>
      </c>
      <c r="S4422" t="s">
        <v>399</v>
      </c>
      <c r="T4422" s="14">
        <v>897.61059999999998</v>
      </c>
    </row>
    <row r="4423" spans="17:20" x14ac:dyDescent="0.3">
      <c r="Q4423" s="93">
        <v>45950</v>
      </c>
      <c r="R4423" t="s">
        <v>498</v>
      </c>
      <c r="S4423" t="s">
        <v>399</v>
      </c>
      <c r="T4423" s="14">
        <v>8125</v>
      </c>
    </row>
    <row r="4424" spans="17:20" x14ac:dyDescent="0.3">
      <c r="Q4424" s="93">
        <v>45950</v>
      </c>
      <c r="R4424" t="s">
        <v>494</v>
      </c>
      <c r="S4424" t="s">
        <v>399</v>
      </c>
      <c r="T4424" s="14">
        <v>3800</v>
      </c>
    </row>
    <row r="4425" spans="17:20" x14ac:dyDescent="0.3">
      <c r="Q4425" s="93">
        <v>45950</v>
      </c>
      <c r="R4425" t="s">
        <v>495</v>
      </c>
      <c r="S4425" t="s">
        <v>399</v>
      </c>
      <c r="T4425" s="14">
        <v>0</v>
      </c>
    </row>
    <row r="4426" spans="17:20" x14ac:dyDescent="0.3">
      <c r="Q4426" s="93">
        <v>45950</v>
      </c>
      <c r="R4426" t="s">
        <v>493</v>
      </c>
      <c r="S4426" t="s">
        <v>399</v>
      </c>
      <c r="T4426" s="14">
        <v>0</v>
      </c>
    </row>
    <row r="4427" spans="17:20" x14ac:dyDescent="0.3">
      <c r="Q4427" s="93">
        <v>45950</v>
      </c>
      <c r="R4427" t="s">
        <v>593</v>
      </c>
      <c r="S4427" t="s">
        <v>399</v>
      </c>
      <c r="T4427" s="14">
        <v>0</v>
      </c>
    </row>
    <row r="4428" spans="17:20" x14ac:dyDescent="0.3">
      <c r="Q4428" s="93">
        <v>45950</v>
      </c>
      <c r="R4428" t="s">
        <v>594</v>
      </c>
      <c r="S4428" t="s">
        <v>399</v>
      </c>
      <c r="T4428" s="14">
        <v>0</v>
      </c>
    </row>
    <row r="4429" spans="17:20" x14ac:dyDescent="0.3">
      <c r="Q4429" s="93">
        <v>45950</v>
      </c>
      <c r="R4429" t="s">
        <v>595</v>
      </c>
      <c r="S4429" t="s">
        <v>399</v>
      </c>
      <c r="T4429" s="14">
        <v>0</v>
      </c>
    </row>
    <row r="4430" spans="17:20" x14ac:dyDescent="0.3">
      <c r="Q4430" s="93">
        <v>45950</v>
      </c>
      <c r="R4430" t="s">
        <v>479</v>
      </c>
      <c r="S4430" t="s">
        <v>395</v>
      </c>
      <c r="T4430" s="14">
        <v>8780.2123484118492</v>
      </c>
    </row>
    <row r="4431" spans="17:20" x14ac:dyDescent="0.3">
      <c r="Q4431" s="93">
        <v>45950</v>
      </c>
      <c r="R4431" t="s">
        <v>479</v>
      </c>
      <c r="S4431" t="s">
        <v>415</v>
      </c>
      <c r="T4431" s="14">
        <v>6.2129887523905802</v>
      </c>
    </row>
    <row r="4432" spans="17:20" x14ac:dyDescent="0.3">
      <c r="Q4432" s="93">
        <v>45950</v>
      </c>
      <c r="R4432" t="s">
        <v>364</v>
      </c>
      <c r="S4432" t="s">
        <v>415</v>
      </c>
      <c r="T4432" s="14">
        <v>5.5394015681493602</v>
      </c>
    </row>
    <row r="4433" spans="17:20" x14ac:dyDescent="0.3">
      <c r="Q4433" s="93">
        <v>45947</v>
      </c>
      <c r="R4433" t="s">
        <v>479</v>
      </c>
      <c r="S4433" t="s">
        <v>399</v>
      </c>
      <c r="T4433" s="14">
        <v>9022.6106</v>
      </c>
    </row>
    <row r="4434" spans="17:20" x14ac:dyDescent="0.3">
      <c r="Q4434" s="93">
        <v>45947</v>
      </c>
      <c r="R4434" t="s">
        <v>364</v>
      </c>
      <c r="S4434" t="s">
        <v>399</v>
      </c>
      <c r="T4434" s="14">
        <v>28026.782899999998</v>
      </c>
    </row>
    <row r="4435" spans="17:20" x14ac:dyDescent="0.3">
      <c r="Q4435" s="93">
        <v>45947</v>
      </c>
      <c r="R4435" t="s">
        <v>491</v>
      </c>
      <c r="S4435" t="s">
        <v>399</v>
      </c>
      <c r="T4435" s="14">
        <v>8125</v>
      </c>
    </row>
    <row r="4436" spans="17:20" x14ac:dyDescent="0.3">
      <c r="Q4436" s="93">
        <v>45947</v>
      </c>
      <c r="R4436" t="s">
        <v>492</v>
      </c>
      <c r="S4436" t="s">
        <v>399</v>
      </c>
      <c r="T4436" s="14">
        <v>897.61059999999998</v>
      </c>
    </row>
    <row r="4437" spans="17:20" x14ac:dyDescent="0.3">
      <c r="Q4437" s="93">
        <v>45947</v>
      </c>
      <c r="R4437" t="s">
        <v>496</v>
      </c>
      <c r="S4437" t="s">
        <v>399</v>
      </c>
      <c r="T4437" s="14">
        <v>25871.782899999998</v>
      </c>
    </row>
    <row r="4438" spans="17:20" x14ac:dyDescent="0.3">
      <c r="Q4438" s="93">
        <v>45947</v>
      </c>
      <c r="R4438" t="s">
        <v>497</v>
      </c>
      <c r="S4438" t="s">
        <v>399</v>
      </c>
      <c r="T4438" s="14">
        <v>897.61059999999998</v>
      </c>
    </row>
    <row r="4439" spans="17:20" x14ac:dyDescent="0.3">
      <c r="Q4439" s="93">
        <v>45947</v>
      </c>
      <c r="R4439" t="s">
        <v>498</v>
      </c>
      <c r="S4439" t="s">
        <v>399</v>
      </c>
      <c r="T4439" s="14">
        <v>8125</v>
      </c>
    </row>
    <row r="4440" spans="17:20" x14ac:dyDescent="0.3">
      <c r="Q4440" s="93">
        <v>45947</v>
      </c>
      <c r="R4440" t="s">
        <v>494</v>
      </c>
      <c r="S4440" t="s">
        <v>399</v>
      </c>
      <c r="T4440" s="14">
        <v>1970</v>
      </c>
    </row>
    <row r="4441" spans="17:20" x14ac:dyDescent="0.3">
      <c r="Q4441" s="93">
        <v>45947</v>
      </c>
      <c r="R4441" t="s">
        <v>495</v>
      </c>
      <c r="S4441" t="s">
        <v>399</v>
      </c>
      <c r="T4441" s="14">
        <v>0</v>
      </c>
    </row>
    <row r="4442" spans="17:20" x14ac:dyDescent="0.3">
      <c r="Q4442" s="93">
        <v>45947</v>
      </c>
      <c r="R4442" t="s">
        <v>493</v>
      </c>
      <c r="S4442" t="s">
        <v>399</v>
      </c>
      <c r="T4442" s="14">
        <v>0</v>
      </c>
    </row>
    <row r="4443" spans="17:20" x14ac:dyDescent="0.3">
      <c r="Q4443" s="93">
        <v>45947</v>
      </c>
      <c r="R4443" t="s">
        <v>593</v>
      </c>
      <c r="S4443" t="s">
        <v>399</v>
      </c>
      <c r="T4443" s="14">
        <v>185</v>
      </c>
    </row>
    <row r="4444" spans="17:20" x14ac:dyDescent="0.3">
      <c r="Q4444" s="93">
        <v>45947</v>
      </c>
      <c r="R4444" t="s">
        <v>594</v>
      </c>
      <c r="S4444" t="s">
        <v>399</v>
      </c>
      <c r="T4444" s="14">
        <v>0</v>
      </c>
    </row>
    <row r="4445" spans="17:20" x14ac:dyDescent="0.3">
      <c r="Q4445" s="93">
        <v>45947</v>
      </c>
      <c r="R4445" t="s">
        <v>595</v>
      </c>
      <c r="S4445" t="s">
        <v>399</v>
      </c>
      <c r="T4445" s="14">
        <v>0</v>
      </c>
    </row>
    <row r="4446" spans="17:20" x14ac:dyDescent="0.3">
      <c r="Q4446" s="93">
        <v>45947</v>
      </c>
      <c r="R4446" t="s">
        <v>479</v>
      </c>
      <c r="S4446" t="s">
        <v>395</v>
      </c>
      <c r="T4446" s="14">
        <v>8782.1140977800296</v>
      </c>
    </row>
    <row r="4447" spans="17:20" x14ac:dyDescent="0.3">
      <c r="Q4447" s="93">
        <v>45947</v>
      </c>
      <c r="R4447" t="s">
        <v>479</v>
      </c>
      <c r="S4447" t="s">
        <v>415</v>
      </c>
      <c r="T4447" s="14">
        <v>6.2129887523905802</v>
      </c>
    </row>
    <row r="4448" spans="17:20" x14ac:dyDescent="0.3">
      <c r="Q4448" s="93">
        <v>45947</v>
      </c>
      <c r="R4448" t="s">
        <v>364</v>
      </c>
      <c r="S4448" t="s">
        <v>415</v>
      </c>
      <c r="T4448" s="14">
        <v>5.5541932681114101</v>
      </c>
    </row>
    <row r="4449" spans="17:20" x14ac:dyDescent="0.3">
      <c r="Q4449" s="93">
        <v>45946</v>
      </c>
      <c r="R4449" t="s">
        <v>479</v>
      </c>
      <c r="S4449" t="s">
        <v>399</v>
      </c>
      <c r="T4449" s="14">
        <v>9022.6106</v>
      </c>
    </row>
    <row r="4450" spans="17:20" x14ac:dyDescent="0.3">
      <c r="Q4450" s="93">
        <v>45946</v>
      </c>
      <c r="R4450" t="s">
        <v>364</v>
      </c>
      <c r="S4450" t="s">
        <v>399</v>
      </c>
      <c r="T4450" s="14">
        <v>27841.782899999998</v>
      </c>
    </row>
    <row r="4451" spans="17:20" x14ac:dyDescent="0.3">
      <c r="Q4451" s="93">
        <v>45946</v>
      </c>
      <c r="R4451" t="s">
        <v>491</v>
      </c>
      <c r="S4451" t="s">
        <v>399</v>
      </c>
      <c r="T4451" s="14">
        <v>8125</v>
      </c>
    </row>
    <row r="4452" spans="17:20" x14ac:dyDescent="0.3">
      <c r="Q4452" s="93">
        <v>45946</v>
      </c>
      <c r="R4452" t="s">
        <v>492</v>
      </c>
      <c r="S4452" t="s">
        <v>399</v>
      </c>
      <c r="T4452" s="14">
        <v>897.61059999999998</v>
      </c>
    </row>
    <row r="4453" spans="17:20" x14ac:dyDescent="0.3">
      <c r="Q4453" s="93">
        <v>45946</v>
      </c>
      <c r="R4453" t="s">
        <v>496</v>
      </c>
      <c r="S4453" t="s">
        <v>399</v>
      </c>
      <c r="T4453" s="14">
        <v>23991.782899999998</v>
      </c>
    </row>
    <row r="4454" spans="17:20" x14ac:dyDescent="0.3">
      <c r="Q4454" s="93">
        <v>45946</v>
      </c>
      <c r="R4454" t="s">
        <v>497</v>
      </c>
      <c r="S4454" t="s">
        <v>399</v>
      </c>
      <c r="T4454" s="14">
        <v>897.61059999999998</v>
      </c>
    </row>
    <row r="4455" spans="17:20" x14ac:dyDescent="0.3">
      <c r="Q4455" s="93">
        <v>45946</v>
      </c>
      <c r="R4455" t="s">
        <v>498</v>
      </c>
      <c r="S4455" t="s">
        <v>399</v>
      </c>
      <c r="T4455" s="14">
        <v>8125</v>
      </c>
    </row>
    <row r="4456" spans="17:20" x14ac:dyDescent="0.3">
      <c r="Q4456" s="93">
        <v>45946</v>
      </c>
      <c r="R4456" t="s">
        <v>494</v>
      </c>
      <c r="S4456" t="s">
        <v>399</v>
      </c>
      <c r="T4456" s="14">
        <v>4250</v>
      </c>
    </row>
    <row r="4457" spans="17:20" x14ac:dyDescent="0.3">
      <c r="Q4457" s="93">
        <v>45946</v>
      </c>
      <c r="R4457" t="s">
        <v>495</v>
      </c>
      <c r="S4457" t="s">
        <v>399</v>
      </c>
      <c r="T4457" s="14">
        <v>0</v>
      </c>
    </row>
    <row r="4458" spans="17:20" x14ac:dyDescent="0.3">
      <c r="Q4458" s="93">
        <v>45946</v>
      </c>
      <c r="R4458" t="s">
        <v>493</v>
      </c>
      <c r="S4458" t="s">
        <v>399</v>
      </c>
      <c r="T4458" s="14">
        <v>0</v>
      </c>
    </row>
    <row r="4459" spans="17:20" x14ac:dyDescent="0.3">
      <c r="Q4459" s="93">
        <v>45946</v>
      </c>
      <c r="R4459" t="s">
        <v>593</v>
      </c>
      <c r="S4459" t="s">
        <v>399</v>
      </c>
      <c r="T4459" s="14">
        <v>-400</v>
      </c>
    </row>
    <row r="4460" spans="17:20" x14ac:dyDescent="0.3">
      <c r="Q4460" s="93">
        <v>45946</v>
      </c>
      <c r="R4460" t="s">
        <v>594</v>
      </c>
      <c r="S4460" t="s">
        <v>399</v>
      </c>
      <c r="T4460" s="14">
        <v>0</v>
      </c>
    </row>
    <row r="4461" spans="17:20" x14ac:dyDescent="0.3">
      <c r="Q4461" s="93">
        <v>45946</v>
      </c>
      <c r="R4461" t="s">
        <v>595</v>
      </c>
      <c r="S4461" t="s">
        <v>399</v>
      </c>
      <c r="T4461" s="14">
        <v>0</v>
      </c>
    </row>
    <row r="4462" spans="17:20" x14ac:dyDescent="0.3">
      <c r="Q4462" s="93">
        <v>45946</v>
      </c>
      <c r="R4462" t="s">
        <v>479</v>
      </c>
      <c r="S4462" t="s">
        <v>395</v>
      </c>
      <c r="T4462" s="14">
        <v>8782.8001540761907</v>
      </c>
    </row>
    <row r="4463" spans="17:20" x14ac:dyDescent="0.3">
      <c r="Q4463" s="93">
        <v>45946</v>
      </c>
      <c r="R4463" t="s">
        <v>479</v>
      </c>
      <c r="S4463" t="s">
        <v>415</v>
      </c>
      <c r="T4463" s="14">
        <v>6.2129887523905802</v>
      </c>
    </row>
    <row r="4464" spans="17:20" x14ac:dyDescent="0.3">
      <c r="Q4464" s="93">
        <v>45946</v>
      </c>
      <c r="R4464" t="s">
        <v>364</v>
      </c>
      <c r="S4464" t="s">
        <v>415</v>
      </c>
      <c r="T4464" s="14">
        <v>5.5568633349448904</v>
      </c>
    </row>
    <row r="4465" spans="17:20" x14ac:dyDescent="0.3">
      <c r="Q4465" s="93">
        <v>45945</v>
      </c>
      <c r="R4465" t="s">
        <v>479</v>
      </c>
      <c r="S4465" t="s">
        <v>399</v>
      </c>
      <c r="T4465" s="14">
        <v>9022.6106</v>
      </c>
    </row>
    <row r="4466" spans="17:20" x14ac:dyDescent="0.3">
      <c r="Q4466" s="93">
        <v>45945</v>
      </c>
      <c r="R4466" t="s">
        <v>364</v>
      </c>
      <c r="S4466" t="s">
        <v>399</v>
      </c>
      <c r="T4466" s="14">
        <v>27371.782899999998</v>
      </c>
    </row>
    <row r="4467" spans="17:20" x14ac:dyDescent="0.3">
      <c r="Q4467" s="93">
        <v>45945</v>
      </c>
      <c r="R4467" t="s">
        <v>491</v>
      </c>
      <c r="S4467" t="s">
        <v>399</v>
      </c>
      <c r="T4467" s="14">
        <v>8125</v>
      </c>
    </row>
    <row r="4468" spans="17:20" x14ac:dyDescent="0.3">
      <c r="Q4468" s="93">
        <v>45945</v>
      </c>
      <c r="R4468" t="s">
        <v>492</v>
      </c>
      <c r="S4468" t="s">
        <v>399</v>
      </c>
      <c r="T4468" s="14">
        <v>897.61059999999998</v>
      </c>
    </row>
    <row r="4469" spans="17:20" x14ac:dyDescent="0.3">
      <c r="Q4469" s="93">
        <v>45945</v>
      </c>
      <c r="R4469" t="s">
        <v>496</v>
      </c>
      <c r="S4469" t="s">
        <v>399</v>
      </c>
      <c r="T4469" s="14">
        <v>23591.782899999998</v>
      </c>
    </row>
    <row r="4470" spans="17:20" x14ac:dyDescent="0.3">
      <c r="Q4470" s="93">
        <v>45945</v>
      </c>
      <c r="R4470" t="s">
        <v>497</v>
      </c>
      <c r="S4470" t="s">
        <v>399</v>
      </c>
      <c r="T4470" s="14">
        <v>897.61059999999998</v>
      </c>
    </row>
    <row r="4471" spans="17:20" x14ac:dyDescent="0.3">
      <c r="Q4471" s="93">
        <v>45945</v>
      </c>
      <c r="R4471" t="s">
        <v>498</v>
      </c>
      <c r="S4471" t="s">
        <v>399</v>
      </c>
      <c r="T4471" s="14">
        <v>8125</v>
      </c>
    </row>
    <row r="4472" spans="17:20" x14ac:dyDescent="0.3">
      <c r="Q4472" s="93">
        <v>45945</v>
      </c>
      <c r="R4472" t="s">
        <v>494</v>
      </c>
      <c r="S4472" t="s">
        <v>399</v>
      </c>
      <c r="T4472" s="14">
        <v>4280</v>
      </c>
    </row>
    <row r="4473" spans="17:20" x14ac:dyDescent="0.3">
      <c r="Q4473" s="93">
        <v>45945</v>
      </c>
      <c r="R4473" t="s">
        <v>495</v>
      </c>
      <c r="S4473" t="s">
        <v>399</v>
      </c>
      <c r="T4473" s="14">
        <v>0</v>
      </c>
    </row>
    <row r="4474" spans="17:20" x14ac:dyDescent="0.3">
      <c r="Q4474" s="93">
        <v>45945</v>
      </c>
      <c r="R4474" t="s">
        <v>493</v>
      </c>
      <c r="S4474" t="s">
        <v>399</v>
      </c>
      <c r="T4474" s="14">
        <v>0</v>
      </c>
    </row>
    <row r="4475" spans="17:20" x14ac:dyDescent="0.3">
      <c r="Q4475" s="93">
        <v>45945</v>
      </c>
      <c r="R4475" t="s">
        <v>593</v>
      </c>
      <c r="S4475" t="s">
        <v>399</v>
      </c>
      <c r="T4475" s="14">
        <v>-500</v>
      </c>
    </row>
    <row r="4476" spans="17:20" x14ac:dyDescent="0.3">
      <c r="Q4476" s="93">
        <v>45945</v>
      </c>
      <c r="R4476" t="s">
        <v>594</v>
      </c>
      <c r="S4476" t="s">
        <v>399</v>
      </c>
      <c r="T4476" s="14">
        <v>0</v>
      </c>
    </row>
    <row r="4477" spans="17:20" x14ac:dyDescent="0.3">
      <c r="Q4477" s="93">
        <v>45945</v>
      </c>
      <c r="R4477" t="s">
        <v>595</v>
      </c>
      <c r="S4477" t="s">
        <v>399</v>
      </c>
      <c r="T4477" s="14">
        <v>0</v>
      </c>
    </row>
    <row r="4478" spans="17:20" x14ac:dyDescent="0.3">
      <c r="Q4478" s="93">
        <v>45945</v>
      </c>
      <c r="R4478" t="s">
        <v>479</v>
      </c>
      <c r="S4478" t="s">
        <v>395</v>
      </c>
      <c r="T4478" s="14">
        <v>8787.4037015492795</v>
      </c>
    </row>
    <row r="4479" spans="17:20" x14ac:dyDescent="0.3">
      <c r="Q4479" s="93">
        <v>45945</v>
      </c>
      <c r="R4479" t="s">
        <v>479</v>
      </c>
      <c r="S4479" t="s">
        <v>415</v>
      </c>
      <c r="T4479" s="14">
        <v>6.2129887523905802</v>
      </c>
    </row>
    <row r="4480" spans="17:20" x14ac:dyDescent="0.3">
      <c r="Q4480" s="93">
        <v>45945</v>
      </c>
      <c r="R4480" t="s">
        <v>364</v>
      </c>
      <c r="S4480" t="s">
        <v>415</v>
      </c>
      <c r="T4480" s="14">
        <v>5.5547959541210599</v>
      </c>
    </row>
    <row r="4481" spans="17:20" x14ac:dyDescent="0.3">
      <c r="Q4481" s="93">
        <v>45944</v>
      </c>
      <c r="R4481" t="s">
        <v>479</v>
      </c>
      <c r="S4481" t="s">
        <v>399</v>
      </c>
      <c r="T4481" s="14">
        <v>9022.6106</v>
      </c>
    </row>
    <row r="4482" spans="17:20" x14ac:dyDescent="0.3">
      <c r="Q4482" s="93">
        <v>45944</v>
      </c>
      <c r="R4482" t="s">
        <v>364</v>
      </c>
      <c r="S4482" t="s">
        <v>399</v>
      </c>
      <c r="T4482" s="14">
        <v>24091.782899999998</v>
      </c>
    </row>
    <row r="4483" spans="17:20" x14ac:dyDescent="0.3">
      <c r="Q4483" s="93">
        <v>45944</v>
      </c>
      <c r="R4483" t="s">
        <v>491</v>
      </c>
      <c r="S4483" t="s">
        <v>399</v>
      </c>
      <c r="T4483" s="14">
        <v>8125</v>
      </c>
    </row>
    <row r="4484" spans="17:20" x14ac:dyDescent="0.3">
      <c r="Q4484" s="93">
        <v>45944</v>
      </c>
      <c r="R4484" t="s">
        <v>492</v>
      </c>
      <c r="S4484" t="s">
        <v>399</v>
      </c>
      <c r="T4484" s="14">
        <v>897.61059999999998</v>
      </c>
    </row>
    <row r="4485" spans="17:20" x14ac:dyDescent="0.3">
      <c r="Q4485" s="93">
        <v>45944</v>
      </c>
      <c r="R4485" t="s">
        <v>496</v>
      </c>
      <c r="S4485" t="s">
        <v>399</v>
      </c>
      <c r="T4485" s="14">
        <v>22291.782899999998</v>
      </c>
    </row>
    <row r="4486" spans="17:20" x14ac:dyDescent="0.3">
      <c r="Q4486" s="93">
        <v>45944</v>
      </c>
      <c r="R4486" t="s">
        <v>497</v>
      </c>
      <c r="S4486" t="s">
        <v>399</v>
      </c>
      <c r="T4486" s="14">
        <v>897.61059999999998</v>
      </c>
    </row>
    <row r="4487" spans="17:20" x14ac:dyDescent="0.3">
      <c r="Q4487" s="93">
        <v>45944</v>
      </c>
      <c r="R4487" t="s">
        <v>498</v>
      </c>
      <c r="S4487" t="s">
        <v>399</v>
      </c>
      <c r="T4487" s="14">
        <v>8125</v>
      </c>
    </row>
    <row r="4488" spans="17:20" x14ac:dyDescent="0.3">
      <c r="Q4488" s="93">
        <v>45944</v>
      </c>
      <c r="R4488" t="s">
        <v>494</v>
      </c>
      <c r="S4488" t="s">
        <v>399</v>
      </c>
      <c r="T4488" s="14">
        <v>2300</v>
      </c>
    </row>
    <row r="4489" spans="17:20" x14ac:dyDescent="0.3">
      <c r="Q4489" s="93">
        <v>45944</v>
      </c>
      <c r="R4489" t="s">
        <v>495</v>
      </c>
      <c r="S4489" t="s">
        <v>399</v>
      </c>
      <c r="T4489" s="14">
        <v>0</v>
      </c>
    </row>
    <row r="4490" spans="17:20" x14ac:dyDescent="0.3">
      <c r="Q4490" s="93">
        <v>45944</v>
      </c>
      <c r="R4490" t="s">
        <v>493</v>
      </c>
      <c r="S4490" t="s">
        <v>399</v>
      </c>
      <c r="T4490" s="14">
        <v>0</v>
      </c>
    </row>
    <row r="4491" spans="17:20" x14ac:dyDescent="0.3">
      <c r="Q4491" s="93">
        <v>45944</v>
      </c>
      <c r="R4491" t="s">
        <v>593</v>
      </c>
      <c r="S4491" t="s">
        <v>399</v>
      </c>
      <c r="T4491" s="14">
        <v>-500</v>
      </c>
    </row>
    <row r="4492" spans="17:20" x14ac:dyDescent="0.3">
      <c r="Q4492" s="93">
        <v>45944</v>
      </c>
      <c r="R4492" t="s">
        <v>594</v>
      </c>
      <c r="S4492" t="s">
        <v>399</v>
      </c>
      <c r="T4492" s="14">
        <v>0</v>
      </c>
    </row>
    <row r="4493" spans="17:20" x14ac:dyDescent="0.3">
      <c r="Q4493" s="93">
        <v>45944</v>
      </c>
      <c r="R4493" t="s">
        <v>595</v>
      </c>
      <c r="S4493" t="s">
        <v>399</v>
      </c>
      <c r="T4493" s="14">
        <v>0</v>
      </c>
    </row>
    <row r="4494" spans="17:20" x14ac:dyDescent="0.3">
      <c r="Q4494" s="93">
        <v>45944</v>
      </c>
      <c r="R4494" t="s">
        <v>479</v>
      </c>
      <c r="S4494" t="s">
        <v>395</v>
      </c>
      <c r="T4494" s="14">
        <v>8788.8315333173105</v>
      </c>
    </row>
    <row r="4495" spans="17:20" x14ac:dyDescent="0.3">
      <c r="Q4495" s="93">
        <v>45944</v>
      </c>
      <c r="R4495" t="s">
        <v>479</v>
      </c>
      <c r="S4495" t="s">
        <v>415</v>
      </c>
      <c r="T4495" s="14">
        <v>6.2129887523905802</v>
      </c>
    </row>
    <row r="4496" spans="17:20" x14ac:dyDescent="0.3">
      <c r="Q4496" s="93">
        <v>45944</v>
      </c>
      <c r="R4496" t="s">
        <v>364</v>
      </c>
      <c r="S4496" t="s">
        <v>415</v>
      </c>
      <c r="T4496" s="14">
        <v>5.5693125522063402</v>
      </c>
    </row>
    <row r="4497" spans="17:20" x14ac:dyDescent="0.3">
      <c r="Q4497" s="93">
        <v>45943</v>
      </c>
      <c r="R4497" t="s">
        <v>479</v>
      </c>
      <c r="S4497" t="s">
        <v>399</v>
      </c>
      <c r="T4497" s="14">
        <v>9022.6106</v>
      </c>
    </row>
    <row r="4498" spans="17:20" x14ac:dyDescent="0.3">
      <c r="Q4498" s="93">
        <v>45943</v>
      </c>
      <c r="R4498" t="s">
        <v>364</v>
      </c>
      <c r="S4498" t="s">
        <v>399</v>
      </c>
      <c r="T4498" s="14">
        <v>23791.782899999998</v>
      </c>
    </row>
    <row r="4499" spans="17:20" x14ac:dyDescent="0.3">
      <c r="Q4499" s="93">
        <v>45943</v>
      </c>
      <c r="R4499" t="s">
        <v>491</v>
      </c>
      <c r="S4499" t="s">
        <v>399</v>
      </c>
      <c r="T4499" s="14">
        <v>8125</v>
      </c>
    </row>
    <row r="4500" spans="17:20" x14ac:dyDescent="0.3">
      <c r="Q4500" s="93">
        <v>45943</v>
      </c>
      <c r="R4500" t="s">
        <v>492</v>
      </c>
      <c r="S4500" t="s">
        <v>399</v>
      </c>
      <c r="T4500" s="14">
        <v>897.61059999999998</v>
      </c>
    </row>
    <row r="4501" spans="17:20" x14ac:dyDescent="0.3">
      <c r="Q4501" s="93">
        <v>45943</v>
      </c>
      <c r="R4501" t="s">
        <v>496</v>
      </c>
      <c r="S4501" t="s">
        <v>399</v>
      </c>
      <c r="T4501" s="14">
        <v>22791.782899999998</v>
      </c>
    </row>
    <row r="4502" spans="17:20" x14ac:dyDescent="0.3">
      <c r="Q4502" s="93">
        <v>45943</v>
      </c>
      <c r="R4502" t="s">
        <v>497</v>
      </c>
      <c r="S4502" t="s">
        <v>399</v>
      </c>
      <c r="T4502" s="14">
        <v>897.61059999999998</v>
      </c>
    </row>
    <row r="4503" spans="17:20" x14ac:dyDescent="0.3">
      <c r="Q4503" s="93">
        <v>45943</v>
      </c>
      <c r="R4503" t="s">
        <v>498</v>
      </c>
      <c r="S4503" t="s">
        <v>399</v>
      </c>
      <c r="T4503" s="14">
        <v>8125</v>
      </c>
    </row>
    <row r="4504" spans="17:20" x14ac:dyDescent="0.3">
      <c r="Q4504" s="93">
        <v>45943</v>
      </c>
      <c r="R4504" t="s">
        <v>494</v>
      </c>
      <c r="S4504" t="s">
        <v>399</v>
      </c>
      <c r="T4504" s="14">
        <v>1800</v>
      </c>
    </row>
    <row r="4505" spans="17:20" x14ac:dyDescent="0.3">
      <c r="Q4505" s="93">
        <v>45943</v>
      </c>
      <c r="R4505" t="s">
        <v>495</v>
      </c>
      <c r="S4505" t="s">
        <v>399</v>
      </c>
      <c r="T4505" s="14">
        <v>0</v>
      </c>
    </row>
    <row r="4506" spans="17:20" x14ac:dyDescent="0.3">
      <c r="Q4506" s="93">
        <v>45943</v>
      </c>
      <c r="R4506" t="s">
        <v>493</v>
      </c>
      <c r="S4506" t="s">
        <v>399</v>
      </c>
      <c r="T4506" s="14">
        <v>0</v>
      </c>
    </row>
    <row r="4507" spans="17:20" x14ac:dyDescent="0.3">
      <c r="Q4507" s="93">
        <v>45943</v>
      </c>
      <c r="R4507" t="s">
        <v>593</v>
      </c>
      <c r="S4507" t="s">
        <v>399</v>
      </c>
      <c r="T4507" s="14">
        <v>-800</v>
      </c>
    </row>
    <row r="4508" spans="17:20" x14ac:dyDescent="0.3">
      <c r="Q4508" s="93">
        <v>45943</v>
      </c>
      <c r="R4508" t="s">
        <v>594</v>
      </c>
      <c r="S4508" t="s">
        <v>399</v>
      </c>
      <c r="T4508" s="14">
        <v>0</v>
      </c>
    </row>
    <row r="4509" spans="17:20" x14ac:dyDescent="0.3">
      <c r="Q4509" s="93">
        <v>45943</v>
      </c>
      <c r="R4509" t="s">
        <v>595</v>
      </c>
      <c r="S4509" t="s">
        <v>399</v>
      </c>
      <c r="T4509" s="14">
        <v>0</v>
      </c>
    </row>
    <row r="4510" spans="17:20" x14ac:dyDescent="0.3">
      <c r="Q4510" s="93">
        <v>45943</v>
      </c>
      <c r="R4510" t="s">
        <v>479</v>
      </c>
      <c r="S4510" t="s">
        <v>395</v>
      </c>
      <c r="T4510" s="14">
        <v>8793.1348634648602</v>
      </c>
    </row>
    <row r="4511" spans="17:20" x14ac:dyDescent="0.3">
      <c r="Q4511" s="93">
        <v>45943</v>
      </c>
      <c r="R4511" t="s">
        <v>479</v>
      </c>
      <c r="S4511" t="s">
        <v>415</v>
      </c>
      <c r="T4511" s="14">
        <v>6.2129887523905802</v>
      </c>
    </row>
    <row r="4512" spans="17:20" x14ac:dyDescent="0.3">
      <c r="Q4512" s="93">
        <v>45943</v>
      </c>
      <c r="R4512" t="s">
        <v>364</v>
      </c>
      <c r="S4512" t="s">
        <v>415</v>
      </c>
      <c r="T4512" s="14">
        <v>5.5764912393345698</v>
      </c>
    </row>
    <row r="4513" spans="17:20" x14ac:dyDescent="0.3">
      <c r="Q4513" s="93">
        <v>45940</v>
      </c>
      <c r="R4513" t="s">
        <v>479</v>
      </c>
      <c r="S4513" t="s">
        <v>399</v>
      </c>
      <c r="T4513" s="14">
        <v>9022.6106</v>
      </c>
    </row>
    <row r="4514" spans="17:20" x14ac:dyDescent="0.3">
      <c r="Q4514" s="93">
        <v>45940</v>
      </c>
      <c r="R4514" t="s">
        <v>364</v>
      </c>
      <c r="S4514" t="s">
        <v>399</v>
      </c>
      <c r="T4514" s="14">
        <v>22391.782899999998</v>
      </c>
    </row>
    <row r="4515" spans="17:20" x14ac:dyDescent="0.3">
      <c r="Q4515" s="93">
        <v>45940</v>
      </c>
      <c r="R4515" t="s">
        <v>491</v>
      </c>
      <c r="S4515" t="s">
        <v>399</v>
      </c>
      <c r="T4515" s="14">
        <v>8125</v>
      </c>
    </row>
    <row r="4516" spans="17:20" x14ac:dyDescent="0.3">
      <c r="Q4516" s="93">
        <v>45940</v>
      </c>
      <c r="R4516" t="s">
        <v>492</v>
      </c>
      <c r="S4516" t="s">
        <v>399</v>
      </c>
      <c r="T4516" s="14">
        <v>897.61059999999998</v>
      </c>
    </row>
    <row r="4517" spans="17:20" x14ac:dyDescent="0.3">
      <c r="Q4517" s="93">
        <v>45940</v>
      </c>
      <c r="R4517" t="s">
        <v>496</v>
      </c>
      <c r="S4517" t="s">
        <v>399</v>
      </c>
      <c r="T4517" s="14">
        <v>20862.6895</v>
      </c>
    </row>
    <row r="4518" spans="17:20" x14ac:dyDescent="0.3">
      <c r="Q4518" s="93">
        <v>45940</v>
      </c>
      <c r="R4518" t="s">
        <v>497</v>
      </c>
      <c r="S4518" t="s">
        <v>399</v>
      </c>
      <c r="T4518" s="14">
        <v>897.61059999999998</v>
      </c>
    </row>
    <row r="4519" spans="17:20" x14ac:dyDescent="0.3">
      <c r="Q4519" s="93">
        <v>45940</v>
      </c>
      <c r="R4519" t="s">
        <v>498</v>
      </c>
      <c r="S4519" t="s">
        <v>399</v>
      </c>
      <c r="T4519" s="14">
        <v>8125</v>
      </c>
    </row>
    <row r="4520" spans="17:20" x14ac:dyDescent="0.3">
      <c r="Q4520" s="93">
        <v>45940</v>
      </c>
      <c r="R4520" t="s">
        <v>494</v>
      </c>
      <c r="S4520" t="s">
        <v>399</v>
      </c>
      <c r="T4520" s="14">
        <v>1829.0934</v>
      </c>
    </row>
    <row r="4521" spans="17:20" x14ac:dyDescent="0.3">
      <c r="Q4521" s="93">
        <v>45940</v>
      </c>
      <c r="R4521" t="s">
        <v>495</v>
      </c>
      <c r="S4521" t="s">
        <v>399</v>
      </c>
      <c r="T4521" s="14">
        <v>0</v>
      </c>
    </row>
    <row r="4522" spans="17:20" x14ac:dyDescent="0.3">
      <c r="Q4522" s="93">
        <v>45940</v>
      </c>
      <c r="R4522" t="s">
        <v>493</v>
      </c>
      <c r="S4522" t="s">
        <v>399</v>
      </c>
      <c r="T4522" s="14">
        <v>0</v>
      </c>
    </row>
    <row r="4523" spans="17:20" x14ac:dyDescent="0.3">
      <c r="Q4523" s="93">
        <v>45940</v>
      </c>
      <c r="R4523" t="s">
        <v>593</v>
      </c>
      <c r="S4523" t="s">
        <v>399</v>
      </c>
      <c r="T4523" s="14">
        <v>-300</v>
      </c>
    </row>
    <row r="4524" spans="17:20" x14ac:dyDescent="0.3">
      <c r="Q4524" s="93">
        <v>45940</v>
      </c>
      <c r="R4524" t="s">
        <v>594</v>
      </c>
      <c r="S4524" t="s">
        <v>399</v>
      </c>
      <c r="T4524" s="14">
        <v>0</v>
      </c>
    </row>
    <row r="4525" spans="17:20" x14ac:dyDescent="0.3">
      <c r="Q4525" s="93">
        <v>45940</v>
      </c>
      <c r="R4525" t="s">
        <v>595</v>
      </c>
      <c r="S4525" t="s">
        <v>399</v>
      </c>
      <c r="T4525" s="14">
        <v>0</v>
      </c>
    </row>
    <row r="4526" spans="17:20" x14ac:dyDescent="0.3">
      <c r="Q4526" s="93">
        <v>45940</v>
      </c>
      <c r="R4526" t="s">
        <v>479</v>
      </c>
      <c r="S4526" t="s">
        <v>395</v>
      </c>
      <c r="T4526" s="14">
        <v>8791.8125569911699</v>
      </c>
    </row>
    <row r="4527" spans="17:20" x14ac:dyDescent="0.3">
      <c r="Q4527" s="93">
        <v>45940</v>
      </c>
      <c r="R4527" t="s">
        <v>479</v>
      </c>
      <c r="S4527" t="s">
        <v>415</v>
      </c>
      <c r="T4527" s="14">
        <v>6.2129887523905802</v>
      </c>
    </row>
    <row r="4528" spans="17:20" x14ac:dyDescent="0.3">
      <c r="Q4528" s="93">
        <v>45940</v>
      </c>
      <c r="R4528" t="s">
        <v>364</v>
      </c>
      <c r="S4528" t="s">
        <v>415</v>
      </c>
      <c r="T4528" s="14">
        <v>5.55135200556093</v>
      </c>
    </row>
    <row r="4529" spans="17:20" x14ac:dyDescent="0.3">
      <c r="Q4529" s="93">
        <v>45939</v>
      </c>
      <c r="R4529" t="s">
        <v>479</v>
      </c>
      <c r="S4529" t="s">
        <v>415</v>
      </c>
      <c r="T4529" s="14">
        <v>6.2129887523905802</v>
      </c>
    </row>
    <row r="4530" spans="17:20" x14ac:dyDescent="0.3">
      <c r="Q4530" s="93">
        <v>45939</v>
      </c>
      <c r="R4530" t="s">
        <v>364</v>
      </c>
      <c r="S4530" t="s">
        <v>415</v>
      </c>
      <c r="T4530" s="14">
        <v>5.5658463415372097</v>
      </c>
    </row>
    <row r="4531" spans="17:20" x14ac:dyDescent="0.3">
      <c r="Q4531" s="93">
        <v>45939</v>
      </c>
      <c r="R4531" t="s">
        <v>479</v>
      </c>
      <c r="S4531" t="s">
        <v>399</v>
      </c>
      <c r="T4531" s="14">
        <v>9022.6106</v>
      </c>
    </row>
    <row r="4532" spans="17:20" x14ac:dyDescent="0.3">
      <c r="Q4532" s="93">
        <v>45939</v>
      </c>
      <c r="R4532" t="s">
        <v>364</v>
      </c>
      <c r="S4532" t="s">
        <v>399</v>
      </c>
      <c r="T4532" s="14">
        <v>21441.782899999998</v>
      </c>
    </row>
    <row r="4533" spans="17:20" x14ac:dyDescent="0.3">
      <c r="Q4533" s="93">
        <v>45939</v>
      </c>
      <c r="R4533" t="s">
        <v>491</v>
      </c>
      <c r="S4533" t="s">
        <v>399</v>
      </c>
      <c r="T4533" s="14">
        <v>8125</v>
      </c>
    </row>
    <row r="4534" spans="17:20" x14ac:dyDescent="0.3">
      <c r="Q4534" s="93">
        <v>45939</v>
      </c>
      <c r="R4534" t="s">
        <v>492</v>
      </c>
      <c r="S4534" t="s">
        <v>399</v>
      </c>
      <c r="T4534" s="14">
        <v>897.61059999999998</v>
      </c>
    </row>
    <row r="4535" spans="17:20" x14ac:dyDescent="0.3">
      <c r="Q4535" s="93">
        <v>45939</v>
      </c>
      <c r="R4535" t="s">
        <v>496</v>
      </c>
      <c r="S4535" t="s">
        <v>399</v>
      </c>
      <c r="T4535" s="14">
        <v>20812.6895</v>
      </c>
    </row>
    <row r="4536" spans="17:20" x14ac:dyDescent="0.3">
      <c r="Q4536" s="93">
        <v>45939</v>
      </c>
      <c r="R4536" t="s">
        <v>497</v>
      </c>
      <c r="S4536" t="s">
        <v>399</v>
      </c>
      <c r="T4536" s="14">
        <v>897.61059999999998</v>
      </c>
    </row>
    <row r="4537" spans="17:20" x14ac:dyDescent="0.3">
      <c r="Q4537" s="93">
        <v>45939</v>
      </c>
      <c r="R4537" t="s">
        <v>498</v>
      </c>
      <c r="S4537" t="s">
        <v>399</v>
      </c>
      <c r="T4537" s="14">
        <v>8125</v>
      </c>
    </row>
    <row r="4538" spans="17:20" x14ac:dyDescent="0.3">
      <c r="Q4538" s="93">
        <v>45939</v>
      </c>
      <c r="R4538" t="s">
        <v>494</v>
      </c>
      <c r="S4538" t="s">
        <v>399</v>
      </c>
      <c r="T4538" s="14">
        <v>1229.0934</v>
      </c>
    </row>
    <row r="4539" spans="17:20" x14ac:dyDescent="0.3">
      <c r="Q4539" s="93">
        <v>45939</v>
      </c>
      <c r="R4539" t="s">
        <v>495</v>
      </c>
      <c r="S4539" t="s">
        <v>399</v>
      </c>
      <c r="T4539" s="14">
        <v>0</v>
      </c>
    </row>
    <row r="4540" spans="17:20" x14ac:dyDescent="0.3">
      <c r="Q4540" s="93">
        <v>45939</v>
      </c>
      <c r="R4540" t="s">
        <v>493</v>
      </c>
      <c r="S4540" t="s">
        <v>399</v>
      </c>
      <c r="T4540" s="14">
        <v>0</v>
      </c>
    </row>
    <row r="4541" spans="17:20" x14ac:dyDescent="0.3">
      <c r="Q4541" s="93">
        <v>45939</v>
      </c>
      <c r="R4541" t="s">
        <v>593</v>
      </c>
      <c r="S4541" t="s">
        <v>399</v>
      </c>
      <c r="T4541" s="14">
        <v>-600</v>
      </c>
    </row>
    <row r="4542" spans="17:20" x14ac:dyDescent="0.3">
      <c r="Q4542" s="93">
        <v>45939</v>
      </c>
      <c r="R4542" t="s">
        <v>594</v>
      </c>
      <c r="S4542" t="s">
        <v>399</v>
      </c>
      <c r="T4542" s="14">
        <v>0</v>
      </c>
    </row>
    <row r="4543" spans="17:20" x14ac:dyDescent="0.3">
      <c r="Q4543" s="93">
        <v>45939</v>
      </c>
      <c r="R4543" t="s">
        <v>595</v>
      </c>
      <c r="S4543" t="s">
        <v>399</v>
      </c>
      <c r="T4543" s="14">
        <v>0</v>
      </c>
    </row>
    <row r="4544" spans="17:20" x14ac:dyDescent="0.3">
      <c r="Q4544" s="93">
        <v>45939</v>
      </c>
      <c r="R4544" t="s">
        <v>479</v>
      </c>
      <c r="S4544" t="s">
        <v>395</v>
      </c>
      <c r="T4544" s="14">
        <v>8792.0797015263306</v>
      </c>
    </row>
    <row r="4545" spans="17:20" x14ac:dyDescent="0.3">
      <c r="Q4545" s="93">
        <v>45938</v>
      </c>
      <c r="R4545" t="s">
        <v>479</v>
      </c>
      <c r="S4545" t="s">
        <v>399</v>
      </c>
      <c r="T4545" s="14">
        <v>9022.6106</v>
      </c>
    </row>
    <row r="4546" spans="17:20" x14ac:dyDescent="0.3">
      <c r="Q4546" s="93">
        <v>45938</v>
      </c>
      <c r="R4546" t="s">
        <v>364</v>
      </c>
      <c r="S4546" t="s">
        <v>399</v>
      </c>
      <c r="T4546" s="14">
        <v>21612.6895</v>
      </c>
    </row>
    <row r="4547" spans="17:20" x14ac:dyDescent="0.3">
      <c r="Q4547" s="93">
        <v>45938</v>
      </c>
      <c r="R4547" t="s">
        <v>491</v>
      </c>
      <c r="S4547" t="s">
        <v>399</v>
      </c>
      <c r="T4547" s="14">
        <v>8125</v>
      </c>
    </row>
    <row r="4548" spans="17:20" x14ac:dyDescent="0.3">
      <c r="Q4548" s="93">
        <v>45938</v>
      </c>
      <c r="R4548" t="s">
        <v>492</v>
      </c>
      <c r="S4548" t="s">
        <v>399</v>
      </c>
      <c r="T4548" s="14">
        <v>897.61059999999998</v>
      </c>
    </row>
    <row r="4549" spans="17:20" x14ac:dyDescent="0.3">
      <c r="Q4549" s="93">
        <v>45938</v>
      </c>
      <c r="R4549" t="s">
        <v>496</v>
      </c>
      <c r="S4549" t="s">
        <v>399</v>
      </c>
      <c r="T4549" s="14">
        <v>21712.6895</v>
      </c>
    </row>
    <row r="4550" spans="17:20" x14ac:dyDescent="0.3">
      <c r="Q4550" s="93">
        <v>45938</v>
      </c>
      <c r="R4550" t="s">
        <v>497</v>
      </c>
      <c r="S4550" t="s">
        <v>399</v>
      </c>
      <c r="T4550" s="14">
        <v>897.61059999999998</v>
      </c>
    </row>
    <row r="4551" spans="17:20" x14ac:dyDescent="0.3">
      <c r="Q4551" s="93">
        <v>45938</v>
      </c>
      <c r="R4551" t="s">
        <v>498</v>
      </c>
      <c r="S4551" t="s">
        <v>399</v>
      </c>
      <c r="T4551" s="14">
        <v>8125</v>
      </c>
    </row>
    <row r="4552" spans="17:20" x14ac:dyDescent="0.3">
      <c r="Q4552" s="93">
        <v>45938</v>
      </c>
      <c r="R4552" t="s">
        <v>494</v>
      </c>
      <c r="S4552" t="s">
        <v>399</v>
      </c>
      <c r="T4552" s="14">
        <v>-100</v>
      </c>
    </row>
    <row r="4553" spans="17:20" x14ac:dyDescent="0.3">
      <c r="Q4553" s="93">
        <v>45938</v>
      </c>
      <c r="R4553" t="s">
        <v>495</v>
      </c>
      <c r="S4553" t="s">
        <v>399</v>
      </c>
      <c r="T4553" s="14">
        <v>0</v>
      </c>
    </row>
    <row r="4554" spans="17:20" x14ac:dyDescent="0.3">
      <c r="Q4554" s="93">
        <v>45938</v>
      </c>
      <c r="R4554" t="s">
        <v>493</v>
      </c>
      <c r="S4554" t="s">
        <v>399</v>
      </c>
      <c r="T4554" s="14">
        <v>0</v>
      </c>
    </row>
    <row r="4555" spans="17:20" x14ac:dyDescent="0.3">
      <c r="Q4555" s="93">
        <v>45938</v>
      </c>
      <c r="R4555" t="s">
        <v>593</v>
      </c>
      <c r="S4555" t="s">
        <v>399</v>
      </c>
      <c r="T4555" s="14">
        <v>0</v>
      </c>
    </row>
    <row r="4556" spans="17:20" x14ac:dyDescent="0.3">
      <c r="Q4556" s="93">
        <v>45938</v>
      </c>
      <c r="R4556" t="s">
        <v>594</v>
      </c>
      <c r="S4556" t="s">
        <v>399</v>
      </c>
      <c r="T4556" s="14">
        <v>0</v>
      </c>
    </row>
    <row r="4557" spans="17:20" x14ac:dyDescent="0.3">
      <c r="Q4557" s="93">
        <v>45938</v>
      </c>
      <c r="R4557" t="s">
        <v>595</v>
      </c>
      <c r="S4557" t="s">
        <v>399</v>
      </c>
      <c r="T4557" s="14">
        <v>0</v>
      </c>
    </row>
    <row r="4558" spans="17:20" x14ac:dyDescent="0.3">
      <c r="Q4558" s="93">
        <v>45938</v>
      </c>
      <c r="R4558" t="s">
        <v>479</v>
      </c>
      <c r="S4558" t="s">
        <v>395</v>
      </c>
      <c r="T4558" s="14">
        <v>8793.8687614717892</v>
      </c>
    </row>
    <row r="4559" spans="17:20" x14ac:dyDescent="0.3">
      <c r="Q4559" s="93">
        <v>45938</v>
      </c>
      <c r="R4559" t="s">
        <v>479</v>
      </c>
      <c r="S4559" t="s">
        <v>415</v>
      </c>
      <c r="T4559" s="14">
        <v>6.2129887523905802</v>
      </c>
    </row>
    <row r="4560" spans="17:20" x14ac:dyDescent="0.3">
      <c r="Q4560" s="93">
        <v>45938</v>
      </c>
      <c r="R4560" t="s">
        <v>364</v>
      </c>
      <c r="S4560" t="s">
        <v>415</v>
      </c>
      <c r="T4560" s="14">
        <v>5.5461492615252697</v>
      </c>
    </row>
    <row r="4561" spans="17:20" x14ac:dyDescent="0.3">
      <c r="Q4561" s="93">
        <v>45937</v>
      </c>
      <c r="R4561" t="s">
        <v>479</v>
      </c>
      <c r="S4561" t="s">
        <v>399</v>
      </c>
      <c r="T4561" s="14">
        <v>9022.6106</v>
      </c>
    </row>
    <row r="4562" spans="17:20" x14ac:dyDescent="0.3">
      <c r="Q4562" s="93">
        <v>45937</v>
      </c>
      <c r="R4562" t="s">
        <v>364</v>
      </c>
      <c r="S4562" t="s">
        <v>399</v>
      </c>
      <c r="T4562" s="14">
        <v>21012.6895</v>
      </c>
    </row>
    <row r="4563" spans="17:20" x14ac:dyDescent="0.3">
      <c r="Q4563" s="93">
        <v>45937</v>
      </c>
      <c r="R4563" t="s">
        <v>491</v>
      </c>
      <c r="S4563" t="s">
        <v>399</v>
      </c>
      <c r="T4563" s="14">
        <v>8125</v>
      </c>
    </row>
    <row r="4564" spans="17:20" x14ac:dyDescent="0.3">
      <c r="Q4564" s="93">
        <v>45937</v>
      </c>
      <c r="R4564" t="s">
        <v>492</v>
      </c>
      <c r="S4564" t="s">
        <v>399</v>
      </c>
      <c r="T4564" s="14">
        <v>897.61059999999998</v>
      </c>
    </row>
    <row r="4565" spans="17:20" x14ac:dyDescent="0.3">
      <c r="Q4565" s="93">
        <v>45937</v>
      </c>
      <c r="R4565" t="s">
        <v>496</v>
      </c>
      <c r="S4565" t="s">
        <v>399</v>
      </c>
      <c r="T4565" s="14">
        <v>19912.6895</v>
      </c>
    </row>
    <row r="4566" spans="17:20" x14ac:dyDescent="0.3">
      <c r="Q4566" s="93">
        <v>45937</v>
      </c>
      <c r="R4566" t="s">
        <v>497</v>
      </c>
      <c r="S4566" t="s">
        <v>399</v>
      </c>
      <c r="T4566" s="14">
        <v>897.61059999999998</v>
      </c>
    </row>
    <row r="4567" spans="17:20" x14ac:dyDescent="0.3">
      <c r="Q4567" s="93">
        <v>45937</v>
      </c>
      <c r="R4567" t="s">
        <v>498</v>
      </c>
      <c r="S4567" t="s">
        <v>399</v>
      </c>
      <c r="T4567" s="14">
        <v>8125</v>
      </c>
    </row>
    <row r="4568" spans="17:20" x14ac:dyDescent="0.3">
      <c r="Q4568" s="93">
        <v>45937</v>
      </c>
      <c r="R4568" t="s">
        <v>494</v>
      </c>
      <c r="S4568" t="s">
        <v>399</v>
      </c>
      <c r="T4568" s="14">
        <v>800</v>
      </c>
    </row>
    <row r="4569" spans="17:20" x14ac:dyDescent="0.3">
      <c r="Q4569" s="93">
        <v>45937</v>
      </c>
      <c r="R4569" t="s">
        <v>495</v>
      </c>
      <c r="S4569" t="s">
        <v>399</v>
      </c>
      <c r="T4569" s="14">
        <v>0</v>
      </c>
    </row>
    <row r="4570" spans="17:20" x14ac:dyDescent="0.3">
      <c r="Q4570" s="93">
        <v>45937</v>
      </c>
      <c r="R4570" t="s">
        <v>493</v>
      </c>
      <c r="S4570" t="s">
        <v>399</v>
      </c>
      <c r="T4570" s="14">
        <v>0</v>
      </c>
    </row>
    <row r="4571" spans="17:20" x14ac:dyDescent="0.3">
      <c r="Q4571" s="93">
        <v>45937</v>
      </c>
      <c r="R4571" t="s">
        <v>593</v>
      </c>
      <c r="S4571" t="s">
        <v>399</v>
      </c>
      <c r="T4571" s="14">
        <v>300</v>
      </c>
    </row>
    <row r="4572" spans="17:20" x14ac:dyDescent="0.3">
      <c r="Q4572" s="93">
        <v>45937</v>
      </c>
      <c r="R4572" t="s">
        <v>594</v>
      </c>
      <c r="S4572" t="s">
        <v>399</v>
      </c>
      <c r="T4572" s="14">
        <v>0</v>
      </c>
    </row>
    <row r="4573" spans="17:20" x14ac:dyDescent="0.3">
      <c r="Q4573" s="93">
        <v>45937</v>
      </c>
      <c r="R4573" t="s">
        <v>595</v>
      </c>
      <c r="S4573" t="s">
        <v>399</v>
      </c>
      <c r="T4573" s="14">
        <v>0</v>
      </c>
    </row>
    <row r="4574" spans="17:20" x14ac:dyDescent="0.3">
      <c r="Q4574" s="93">
        <v>45937</v>
      </c>
      <c r="R4574" t="s">
        <v>479</v>
      </c>
      <c r="S4574" t="s">
        <v>395</v>
      </c>
      <c r="T4574" s="14">
        <v>8790.6487360334195</v>
      </c>
    </row>
    <row r="4575" spans="17:20" x14ac:dyDescent="0.3">
      <c r="Q4575" s="93">
        <v>45937</v>
      </c>
      <c r="R4575" t="s">
        <v>479</v>
      </c>
      <c r="S4575" t="s">
        <v>415</v>
      </c>
      <c r="T4575" s="14">
        <v>6.2129887523905802</v>
      </c>
    </row>
    <row r="4576" spans="17:20" x14ac:dyDescent="0.3">
      <c r="Q4576" s="93">
        <v>45937</v>
      </c>
      <c r="R4576" t="s">
        <v>364</v>
      </c>
      <c r="S4576" t="s">
        <v>415</v>
      </c>
      <c r="T4576" s="14">
        <v>5.5658761191031401</v>
      </c>
    </row>
    <row r="4577" spans="17:20" x14ac:dyDescent="0.3">
      <c r="Q4577" s="93">
        <v>45936</v>
      </c>
      <c r="R4577" t="s">
        <v>479</v>
      </c>
      <c r="S4577" t="s">
        <v>399</v>
      </c>
      <c r="T4577" s="14">
        <v>9022.6106</v>
      </c>
    </row>
    <row r="4578" spans="17:20" x14ac:dyDescent="0.3">
      <c r="Q4578" s="93">
        <v>45936</v>
      </c>
      <c r="R4578" t="s">
        <v>364</v>
      </c>
      <c r="S4578" t="s">
        <v>399</v>
      </c>
      <c r="T4578" s="14">
        <v>22412.6895</v>
      </c>
    </row>
    <row r="4579" spans="17:20" x14ac:dyDescent="0.3">
      <c r="Q4579" s="93">
        <v>45936</v>
      </c>
      <c r="R4579" t="s">
        <v>491</v>
      </c>
      <c r="S4579" t="s">
        <v>399</v>
      </c>
      <c r="T4579" s="14">
        <v>8125</v>
      </c>
    </row>
    <row r="4580" spans="17:20" x14ac:dyDescent="0.3">
      <c r="Q4580" s="93">
        <v>45936</v>
      </c>
      <c r="R4580" t="s">
        <v>492</v>
      </c>
      <c r="S4580" t="s">
        <v>399</v>
      </c>
      <c r="T4580" s="14">
        <v>897.61059999999998</v>
      </c>
    </row>
    <row r="4581" spans="17:20" x14ac:dyDescent="0.3">
      <c r="Q4581" s="93">
        <v>45936</v>
      </c>
      <c r="R4581" t="s">
        <v>496</v>
      </c>
      <c r="S4581" t="s">
        <v>399</v>
      </c>
      <c r="T4581" s="14">
        <v>19612.6895</v>
      </c>
    </row>
    <row r="4582" spans="17:20" x14ac:dyDescent="0.3">
      <c r="Q4582" s="93">
        <v>45936</v>
      </c>
      <c r="R4582" t="s">
        <v>497</v>
      </c>
      <c r="S4582" t="s">
        <v>399</v>
      </c>
      <c r="T4582" s="14">
        <v>647.61059999999998</v>
      </c>
    </row>
    <row r="4583" spans="17:20" x14ac:dyDescent="0.3">
      <c r="Q4583" s="93">
        <v>45936</v>
      </c>
      <c r="R4583" t="s">
        <v>498</v>
      </c>
      <c r="S4583" t="s">
        <v>399</v>
      </c>
      <c r="T4583" s="14">
        <v>8125</v>
      </c>
    </row>
    <row r="4584" spans="17:20" x14ac:dyDescent="0.3">
      <c r="Q4584" s="93">
        <v>45936</v>
      </c>
      <c r="R4584" t="s">
        <v>494</v>
      </c>
      <c r="S4584" t="s">
        <v>399</v>
      </c>
      <c r="T4584" s="14">
        <v>2300</v>
      </c>
    </row>
    <row r="4585" spans="17:20" x14ac:dyDescent="0.3">
      <c r="Q4585" s="93">
        <v>45936</v>
      </c>
      <c r="R4585" t="s">
        <v>495</v>
      </c>
      <c r="S4585" t="s">
        <v>399</v>
      </c>
      <c r="T4585" s="14">
        <v>250</v>
      </c>
    </row>
    <row r="4586" spans="17:20" x14ac:dyDescent="0.3">
      <c r="Q4586" s="93">
        <v>45936</v>
      </c>
      <c r="R4586" t="s">
        <v>493</v>
      </c>
      <c r="S4586" t="s">
        <v>399</v>
      </c>
      <c r="T4586" s="14">
        <v>0</v>
      </c>
    </row>
    <row r="4587" spans="17:20" x14ac:dyDescent="0.3">
      <c r="Q4587" s="93">
        <v>45936</v>
      </c>
      <c r="R4587" t="s">
        <v>593</v>
      </c>
      <c r="S4587" t="s">
        <v>399</v>
      </c>
      <c r="T4587" s="14">
        <v>500</v>
      </c>
    </row>
    <row r="4588" spans="17:20" x14ac:dyDescent="0.3">
      <c r="Q4588" s="93">
        <v>45936</v>
      </c>
      <c r="R4588" t="s">
        <v>594</v>
      </c>
      <c r="S4588" t="s">
        <v>399</v>
      </c>
      <c r="T4588" s="14">
        <v>0</v>
      </c>
    </row>
    <row r="4589" spans="17:20" x14ac:dyDescent="0.3">
      <c r="Q4589" s="93">
        <v>45936</v>
      </c>
      <c r="R4589" t="s">
        <v>595</v>
      </c>
      <c r="S4589" t="s">
        <v>399</v>
      </c>
      <c r="T4589" s="14">
        <v>0</v>
      </c>
    </row>
    <row r="4590" spans="17:20" x14ac:dyDescent="0.3">
      <c r="Q4590" s="93">
        <v>45936</v>
      </c>
      <c r="R4590" t="s">
        <v>479</v>
      </c>
      <c r="S4590" t="s">
        <v>395</v>
      </c>
      <c r="T4590" s="14">
        <v>8795.9709190293906</v>
      </c>
    </row>
    <row r="4591" spans="17:20" x14ac:dyDescent="0.3">
      <c r="Q4591" s="93">
        <v>45936</v>
      </c>
      <c r="R4591" t="s">
        <v>479</v>
      </c>
      <c r="S4591" t="s">
        <v>415</v>
      </c>
      <c r="T4591" s="14">
        <v>6.2129887523905802</v>
      </c>
    </row>
    <row r="4592" spans="17:20" x14ac:dyDescent="0.3">
      <c r="Q4592" s="93">
        <v>45936</v>
      </c>
      <c r="R4592" t="s">
        <v>364</v>
      </c>
      <c r="S4592" t="s">
        <v>415</v>
      </c>
      <c r="T4592" s="14">
        <v>5.5675350512649304</v>
      </c>
    </row>
    <row r="4593" spans="17:20" x14ac:dyDescent="0.3">
      <c r="Q4593" s="93">
        <v>45933</v>
      </c>
      <c r="R4593" t="s">
        <v>479</v>
      </c>
      <c r="S4593" t="s">
        <v>399</v>
      </c>
      <c r="T4593" s="14">
        <v>8772.6106</v>
      </c>
    </row>
    <row r="4594" spans="17:20" x14ac:dyDescent="0.3">
      <c r="Q4594" s="93">
        <v>45933</v>
      </c>
      <c r="R4594" t="s">
        <v>364</v>
      </c>
      <c r="S4594" t="s">
        <v>399</v>
      </c>
      <c r="T4594" s="14">
        <v>21812.6895</v>
      </c>
    </row>
    <row r="4595" spans="17:20" x14ac:dyDescent="0.3">
      <c r="Q4595" s="93">
        <v>45933</v>
      </c>
      <c r="R4595" t="s">
        <v>491</v>
      </c>
      <c r="S4595" t="s">
        <v>399</v>
      </c>
      <c r="T4595" s="14">
        <v>8125</v>
      </c>
    </row>
    <row r="4596" spans="17:20" x14ac:dyDescent="0.3">
      <c r="Q4596" s="93">
        <v>45933</v>
      </c>
      <c r="R4596" t="s">
        <v>492</v>
      </c>
      <c r="S4596" t="s">
        <v>399</v>
      </c>
      <c r="T4596" s="14">
        <v>647.61059999999998</v>
      </c>
    </row>
    <row r="4597" spans="17:20" x14ac:dyDescent="0.3">
      <c r="Q4597" s="93">
        <v>45933</v>
      </c>
      <c r="R4597" t="s">
        <v>496</v>
      </c>
      <c r="S4597" t="s">
        <v>399</v>
      </c>
      <c r="T4597" s="14">
        <v>20612.6895</v>
      </c>
    </row>
    <row r="4598" spans="17:20" x14ac:dyDescent="0.3">
      <c r="Q4598" s="93">
        <v>45933</v>
      </c>
      <c r="R4598" t="s">
        <v>497</v>
      </c>
      <c r="S4598" t="s">
        <v>399</v>
      </c>
      <c r="T4598" s="14">
        <v>647.61059999999998</v>
      </c>
    </row>
    <row r="4599" spans="17:20" x14ac:dyDescent="0.3">
      <c r="Q4599" s="93">
        <v>45933</v>
      </c>
      <c r="R4599" t="s">
        <v>498</v>
      </c>
      <c r="S4599" t="s">
        <v>399</v>
      </c>
      <c r="T4599" s="14">
        <v>8125</v>
      </c>
    </row>
    <row r="4600" spans="17:20" x14ac:dyDescent="0.3">
      <c r="Q4600" s="93">
        <v>45933</v>
      </c>
      <c r="R4600" t="s">
        <v>494</v>
      </c>
      <c r="S4600" t="s">
        <v>399</v>
      </c>
      <c r="T4600" s="14">
        <v>2200</v>
      </c>
    </row>
    <row r="4601" spans="17:20" x14ac:dyDescent="0.3">
      <c r="Q4601" s="93">
        <v>45933</v>
      </c>
      <c r="R4601" t="s">
        <v>495</v>
      </c>
      <c r="S4601" t="s">
        <v>399</v>
      </c>
      <c r="T4601" s="14">
        <v>0</v>
      </c>
    </row>
    <row r="4602" spans="17:20" x14ac:dyDescent="0.3">
      <c r="Q4602" s="93">
        <v>45933</v>
      </c>
      <c r="R4602" t="s">
        <v>493</v>
      </c>
      <c r="S4602" t="s">
        <v>399</v>
      </c>
      <c r="T4602" s="14">
        <v>0</v>
      </c>
    </row>
    <row r="4603" spans="17:20" x14ac:dyDescent="0.3">
      <c r="Q4603" s="93">
        <v>45933</v>
      </c>
      <c r="R4603" t="s">
        <v>593</v>
      </c>
      <c r="S4603" t="s">
        <v>399</v>
      </c>
      <c r="T4603" s="14">
        <v>-1000</v>
      </c>
    </row>
    <row r="4604" spans="17:20" x14ac:dyDescent="0.3">
      <c r="Q4604" s="93">
        <v>45933</v>
      </c>
      <c r="R4604" t="s">
        <v>594</v>
      </c>
      <c r="S4604" t="s">
        <v>399</v>
      </c>
      <c r="T4604" s="14">
        <v>0</v>
      </c>
    </row>
    <row r="4605" spans="17:20" x14ac:dyDescent="0.3">
      <c r="Q4605" s="93">
        <v>45933</v>
      </c>
      <c r="R4605" t="s">
        <v>595</v>
      </c>
      <c r="S4605" t="s">
        <v>399</v>
      </c>
      <c r="T4605" s="14">
        <v>0</v>
      </c>
    </row>
    <row r="4606" spans="17:20" x14ac:dyDescent="0.3">
      <c r="Q4606" s="93">
        <v>45933</v>
      </c>
      <c r="R4606" t="s">
        <v>479</v>
      </c>
      <c r="S4606" t="s">
        <v>395</v>
      </c>
      <c r="T4606" s="14">
        <v>8492.5833747717897</v>
      </c>
    </row>
    <row r="4607" spans="17:20" x14ac:dyDescent="0.3">
      <c r="Q4607" s="93">
        <v>45933</v>
      </c>
      <c r="R4607" t="s">
        <v>479</v>
      </c>
      <c r="S4607" t="s">
        <v>415</v>
      </c>
      <c r="T4607" s="14">
        <v>6.1798740018165201</v>
      </c>
    </row>
    <row r="4608" spans="17:20" x14ac:dyDescent="0.3">
      <c r="Q4608" s="93">
        <v>45933</v>
      </c>
      <c r="R4608" t="s">
        <v>364</v>
      </c>
      <c r="S4608" t="s">
        <v>415</v>
      </c>
      <c r="T4608" s="14">
        <v>5.55993803102547</v>
      </c>
    </row>
    <row r="4609" spans="17:20" x14ac:dyDescent="0.3">
      <c r="Q4609" s="93">
        <v>45932</v>
      </c>
      <c r="R4609" t="s">
        <v>479</v>
      </c>
      <c r="S4609" t="s">
        <v>399</v>
      </c>
      <c r="T4609" s="14">
        <v>8772.6106</v>
      </c>
    </row>
    <row r="4610" spans="17:20" x14ac:dyDescent="0.3">
      <c r="Q4610" s="93">
        <v>45932</v>
      </c>
      <c r="R4610" t="s">
        <v>364</v>
      </c>
      <c r="S4610" t="s">
        <v>399</v>
      </c>
      <c r="T4610" s="14">
        <v>22812.6895</v>
      </c>
    </row>
    <row r="4611" spans="17:20" x14ac:dyDescent="0.3">
      <c r="Q4611" s="93">
        <v>45932</v>
      </c>
      <c r="R4611" t="s">
        <v>491</v>
      </c>
      <c r="S4611" t="s">
        <v>399</v>
      </c>
      <c r="T4611" s="14">
        <v>8125</v>
      </c>
    </row>
    <row r="4612" spans="17:20" x14ac:dyDescent="0.3">
      <c r="Q4612" s="93">
        <v>45932</v>
      </c>
      <c r="R4612" t="s">
        <v>492</v>
      </c>
      <c r="S4612" t="s">
        <v>399</v>
      </c>
      <c r="T4612" s="14">
        <v>647.61059999999998</v>
      </c>
    </row>
    <row r="4613" spans="17:20" x14ac:dyDescent="0.3">
      <c r="Q4613" s="93">
        <v>45932</v>
      </c>
      <c r="R4613" t="s">
        <v>496</v>
      </c>
      <c r="S4613" t="s">
        <v>399</v>
      </c>
      <c r="T4613" s="14">
        <v>20412.6895</v>
      </c>
    </row>
    <row r="4614" spans="17:20" x14ac:dyDescent="0.3">
      <c r="Q4614" s="93">
        <v>45932</v>
      </c>
      <c r="R4614" t="s">
        <v>497</v>
      </c>
      <c r="S4614" t="s">
        <v>399</v>
      </c>
      <c r="T4614" s="14">
        <v>647.61059999999998</v>
      </c>
    </row>
    <row r="4615" spans="17:20" x14ac:dyDescent="0.3">
      <c r="Q4615" s="93">
        <v>45932</v>
      </c>
      <c r="R4615" t="s">
        <v>498</v>
      </c>
      <c r="S4615" t="s">
        <v>399</v>
      </c>
      <c r="T4615" s="14">
        <v>8125</v>
      </c>
    </row>
    <row r="4616" spans="17:20" x14ac:dyDescent="0.3">
      <c r="Q4616" s="93">
        <v>45932</v>
      </c>
      <c r="R4616" t="s">
        <v>494</v>
      </c>
      <c r="S4616" t="s">
        <v>399</v>
      </c>
      <c r="T4616" s="14">
        <v>2400</v>
      </c>
    </row>
    <row r="4617" spans="17:20" x14ac:dyDescent="0.3">
      <c r="Q4617" s="93">
        <v>45932</v>
      </c>
      <c r="R4617" t="s">
        <v>495</v>
      </c>
      <c r="S4617" t="s">
        <v>399</v>
      </c>
      <c r="T4617" s="14">
        <v>0</v>
      </c>
    </row>
    <row r="4618" spans="17:20" x14ac:dyDescent="0.3">
      <c r="Q4618" s="93">
        <v>45932</v>
      </c>
      <c r="R4618" t="s">
        <v>493</v>
      </c>
      <c r="S4618" t="s">
        <v>399</v>
      </c>
      <c r="T4618" s="14">
        <v>0</v>
      </c>
    </row>
    <row r="4619" spans="17:20" x14ac:dyDescent="0.3">
      <c r="Q4619" s="93">
        <v>45932</v>
      </c>
      <c r="R4619" t="s">
        <v>593</v>
      </c>
      <c r="S4619" t="s">
        <v>399</v>
      </c>
      <c r="T4619" s="14">
        <v>0</v>
      </c>
    </row>
    <row r="4620" spans="17:20" x14ac:dyDescent="0.3">
      <c r="Q4620" s="93">
        <v>45932</v>
      </c>
      <c r="R4620" t="s">
        <v>594</v>
      </c>
      <c r="S4620" t="s">
        <v>399</v>
      </c>
      <c r="T4620" s="14">
        <v>0</v>
      </c>
    </row>
    <row r="4621" spans="17:20" x14ac:dyDescent="0.3">
      <c r="Q4621" s="93">
        <v>45932</v>
      </c>
      <c r="R4621" t="s">
        <v>595</v>
      </c>
      <c r="S4621" t="s">
        <v>399</v>
      </c>
      <c r="T4621" s="14">
        <v>0</v>
      </c>
    </row>
    <row r="4622" spans="17:20" x14ac:dyDescent="0.3">
      <c r="Q4622" s="93">
        <v>45932</v>
      </c>
      <c r="R4622" t="s">
        <v>479</v>
      </c>
      <c r="S4622" t="s">
        <v>395</v>
      </c>
      <c r="T4622" s="14">
        <v>8491.3287725262198</v>
      </c>
    </row>
    <row r="4623" spans="17:20" x14ac:dyDescent="0.3">
      <c r="Q4623" s="93">
        <v>45932</v>
      </c>
      <c r="R4623" t="s">
        <v>479</v>
      </c>
      <c r="S4623" t="s">
        <v>415</v>
      </c>
      <c r="T4623" s="14">
        <v>6.1798740018165201</v>
      </c>
    </row>
    <row r="4624" spans="17:20" x14ac:dyDescent="0.3">
      <c r="Q4624" s="93">
        <v>45932</v>
      </c>
      <c r="R4624" t="s">
        <v>364</v>
      </c>
      <c r="S4624" t="s">
        <v>415</v>
      </c>
      <c r="T4624" s="14">
        <v>5.5529271070822199</v>
      </c>
    </row>
    <row r="4625" spans="17:20" x14ac:dyDescent="0.3">
      <c r="Q4625" s="93">
        <v>45931</v>
      </c>
      <c r="R4625" t="s">
        <v>479</v>
      </c>
      <c r="S4625" t="s">
        <v>399</v>
      </c>
      <c r="T4625" s="14">
        <v>8772.6106</v>
      </c>
    </row>
    <row r="4626" spans="17:20" x14ac:dyDescent="0.3">
      <c r="Q4626" s="93">
        <v>45931</v>
      </c>
      <c r="R4626" t="s">
        <v>364</v>
      </c>
      <c r="S4626" t="s">
        <v>399</v>
      </c>
      <c r="T4626" s="14">
        <v>23212.6895</v>
      </c>
    </row>
    <row r="4627" spans="17:20" x14ac:dyDescent="0.3">
      <c r="Q4627" s="93">
        <v>45931</v>
      </c>
      <c r="R4627" t="s">
        <v>491</v>
      </c>
      <c r="S4627" t="s">
        <v>399</v>
      </c>
      <c r="T4627" s="14">
        <v>8125</v>
      </c>
    </row>
    <row r="4628" spans="17:20" x14ac:dyDescent="0.3">
      <c r="Q4628" s="93">
        <v>45931</v>
      </c>
      <c r="R4628" t="s">
        <v>492</v>
      </c>
      <c r="S4628" t="s">
        <v>399</v>
      </c>
      <c r="T4628" s="14">
        <v>647.61059999999998</v>
      </c>
    </row>
    <row r="4629" spans="17:20" x14ac:dyDescent="0.3">
      <c r="Q4629" s="93">
        <v>45931</v>
      </c>
      <c r="R4629" t="s">
        <v>496</v>
      </c>
      <c r="S4629" t="s">
        <v>399</v>
      </c>
      <c r="T4629" s="14">
        <v>21547.6895</v>
      </c>
    </row>
    <row r="4630" spans="17:20" x14ac:dyDescent="0.3">
      <c r="Q4630" s="93">
        <v>45931</v>
      </c>
      <c r="R4630" t="s">
        <v>497</v>
      </c>
      <c r="S4630" t="s">
        <v>399</v>
      </c>
      <c r="T4630" s="14">
        <v>647.61059999999998</v>
      </c>
    </row>
    <row r="4631" spans="17:20" x14ac:dyDescent="0.3">
      <c r="Q4631" s="93">
        <v>45931</v>
      </c>
      <c r="R4631" t="s">
        <v>498</v>
      </c>
      <c r="S4631" t="s">
        <v>399</v>
      </c>
      <c r="T4631" s="14">
        <v>8125</v>
      </c>
    </row>
    <row r="4632" spans="17:20" x14ac:dyDescent="0.3">
      <c r="Q4632" s="93">
        <v>45931</v>
      </c>
      <c r="R4632" t="s">
        <v>494</v>
      </c>
      <c r="S4632" t="s">
        <v>399</v>
      </c>
      <c r="T4632" s="14">
        <v>2200</v>
      </c>
    </row>
    <row r="4633" spans="17:20" x14ac:dyDescent="0.3">
      <c r="Q4633" s="93">
        <v>45931</v>
      </c>
      <c r="R4633" t="s">
        <v>495</v>
      </c>
      <c r="S4633" t="s">
        <v>399</v>
      </c>
      <c r="T4633" s="14">
        <v>0</v>
      </c>
    </row>
    <row r="4634" spans="17:20" x14ac:dyDescent="0.3">
      <c r="Q4634" s="93">
        <v>45931</v>
      </c>
      <c r="R4634" t="s">
        <v>493</v>
      </c>
      <c r="S4634" t="s">
        <v>399</v>
      </c>
      <c r="T4634" s="14">
        <v>0</v>
      </c>
    </row>
    <row r="4635" spans="17:20" x14ac:dyDescent="0.3">
      <c r="Q4635" s="93">
        <v>45931</v>
      </c>
      <c r="R4635" t="s">
        <v>593</v>
      </c>
      <c r="S4635" t="s">
        <v>399</v>
      </c>
      <c r="T4635" s="14">
        <v>-535</v>
      </c>
    </row>
    <row r="4636" spans="17:20" x14ac:dyDescent="0.3">
      <c r="Q4636" s="93">
        <v>45931</v>
      </c>
      <c r="R4636" t="s">
        <v>594</v>
      </c>
      <c r="S4636" t="s">
        <v>399</v>
      </c>
      <c r="T4636" s="14">
        <v>0</v>
      </c>
    </row>
    <row r="4637" spans="17:20" x14ac:dyDescent="0.3">
      <c r="Q4637" s="93">
        <v>45931</v>
      </c>
      <c r="R4637" t="s">
        <v>595</v>
      </c>
      <c r="S4637" t="s">
        <v>399</v>
      </c>
      <c r="T4637" s="14">
        <v>0</v>
      </c>
    </row>
    <row r="4638" spans="17:20" x14ac:dyDescent="0.3">
      <c r="Q4638" s="93">
        <v>45931</v>
      </c>
      <c r="R4638" t="s">
        <v>479</v>
      </c>
      <c r="S4638" t="s">
        <v>395</v>
      </c>
      <c r="T4638" s="14">
        <v>8501.2888501143807</v>
      </c>
    </row>
    <row r="4639" spans="17:20" x14ac:dyDescent="0.3">
      <c r="Q4639" s="93">
        <v>45931</v>
      </c>
      <c r="R4639" t="s">
        <v>479</v>
      </c>
      <c r="S4639" t="s">
        <v>415</v>
      </c>
      <c r="T4639" s="14">
        <v>6.1798740018165201</v>
      </c>
    </row>
    <row r="4640" spans="17:20" x14ac:dyDescent="0.3">
      <c r="Q4640" s="93">
        <v>45931</v>
      </c>
      <c r="R4640" t="s">
        <v>364</v>
      </c>
      <c r="S4640" t="s">
        <v>415</v>
      </c>
      <c r="T4640" s="14">
        <v>5.5425374948473802</v>
      </c>
    </row>
    <row r="4641" spans="17:20" x14ac:dyDescent="0.3">
      <c r="Q4641" s="93">
        <v>45930</v>
      </c>
      <c r="R4641" t="s">
        <v>479</v>
      </c>
      <c r="S4641" t="s">
        <v>399</v>
      </c>
      <c r="T4641" s="14">
        <v>8772.6106</v>
      </c>
    </row>
    <row r="4642" spans="17:20" x14ac:dyDescent="0.3">
      <c r="Q4642" s="93">
        <v>45930</v>
      </c>
      <c r="R4642" t="s">
        <v>364</v>
      </c>
      <c r="S4642" t="s">
        <v>399</v>
      </c>
      <c r="T4642" s="14">
        <v>23097.6895</v>
      </c>
    </row>
    <row r="4643" spans="17:20" x14ac:dyDescent="0.3">
      <c r="Q4643" s="93">
        <v>45930</v>
      </c>
      <c r="R4643" t="s">
        <v>491</v>
      </c>
      <c r="S4643" t="s">
        <v>399</v>
      </c>
      <c r="T4643" s="14">
        <v>8125</v>
      </c>
    </row>
    <row r="4644" spans="17:20" x14ac:dyDescent="0.3">
      <c r="Q4644" s="93">
        <v>45930</v>
      </c>
      <c r="R4644" t="s">
        <v>492</v>
      </c>
      <c r="S4644" t="s">
        <v>399</v>
      </c>
      <c r="T4644" s="14">
        <v>647.61059999999998</v>
      </c>
    </row>
    <row r="4645" spans="17:20" x14ac:dyDescent="0.3">
      <c r="Q4645" s="93">
        <v>45930</v>
      </c>
      <c r="R4645" t="s">
        <v>496</v>
      </c>
      <c r="S4645" t="s">
        <v>399</v>
      </c>
      <c r="T4645" s="14">
        <v>21848.212899999999</v>
      </c>
    </row>
    <row r="4646" spans="17:20" x14ac:dyDescent="0.3">
      <c r="Q4646" s="93">
        <v>45930</v>
      </c>
      <c r="R4646" t="s">
        <v>497</v>
      </c>
      <c r="S4646" t="s">
        <v>399</v>
      </c>
      <c r="T4646" s="14">
        <v>647.61059999999998</v>
      </c>
    </row>
    <row r="4647" spans="17:20" x14ac:dyDescent="0.3">
      <c r="Q4647" s="93">
        <v>45930</v>
      </c>
      <c r="R4647" t="s">
        <v>498</v>
      </c>
      <c r="S4647" t="s">
        <v>399</v>
      </c>
      <c r="T4647" s="14">
        <v>8125</v>
      </c>
    </row>
    <row r="4648" spans="17:20" x14ac:dyDescent="0.3">
      <c r="Q4648" s="93">
        <v>45930</v>
      </c>
      <c r="R4648" t="s">
        <v>494</v>
      </c>
      <c r="S4648" t="s">
        <v>399</v>
      </c>
      <c r="T4648" s="14">
        <v>999.47659999999996</v>
      </c>
    </row>
    <row r="4649" spans="17:20" x14ac:dyDescent="0.3">
      <c r="Q4649" s="93">
        <v>45930</v>
      </c>
      <c r="R4649" t="s">
        <v>495</v>
      </c>
      <c r="S4649" t="s">
        <v>399</v>
      </c>
      <c r="T4649" s="14">
        <v>0</v>
      </c>
    </row>
    <row r="4650" spans="17:20" x14ac:dyDescent="0.3">
      <c r="Q4650" s="93">
        <v>45930</v>
      </c>
      <c r="R4650" t="s">
        <v>493</v>
      </c>
      <c r="S4650" t="s">
        <v>399</v>
      </c>
      <c r="T4650" s="14">
        <v>0</v>
      </c>
    </row>
    <row r="4651" spans="17:20" x14ac:dyDescent="0.3">
      <c r="Q4651" s="93">
        <v>45930</v>
      </c>
      <c r="R4651" t="s">
        <v>593</v>
      </c>
      <c r="S4651" t="s">
        <v>399</v>
      </c>
      <c r="T4651" s="14">
        <v>250</v>
      </c>
    </row>
    <row r="4652" spans="17:20" x14ac:dyDescent="0.3">
      <c r="Q4652" s="93">
        <v>45930</v>
      </c>
      <c r="R4652" t="s">
        <v>594</v>
      </c>
      <c r="S4652" t="s">
        <v>399</v>
      </c>
      <c r="T4652" s="14">
        <v>0</v>
      </c>
    </row>
    <row r="4653" spans="17:20" x14ac:dyDescent="0.3">
      <c r="Q4653" s="93">
        <v>45930</v>
      </c>
      <c r="R4653" t="s">
        <v>595</v>
      </c>
      <c r="S4653" t="s">
        <v>399</v>
      </c>
      <c r="T4653" s="14">
        <v>0</v>
      </c>
    </row>
    <row r="4654" spans="17:20" x14ac:dyDescent="0.3">
      <c r="Q4654" s="93">
        <v>45930</v>
      </c>
      <c r="R4654" t="s">
        <v>479</v>
      </c>
      <c r="S4654" t="s">
        <v>395</v>
      </c>
      <c r="T4654" s="14">
        <v>8502.2391234462102</v>
      </c>
    </row>
    <row r="4655" spans="17:20" x14ac:dyDescent="0.3">
      <c r="Q4655" s="93">
        <v>45930</v>
      </c>
      <c r="R4655" t="s">
        <v>479</v>
      </c>
      <c r="S4655" t="s">
        <v>415</v>
      </c>
      <c r="T4655" s="14">
        <v>6.1798740018165201</v>
      </c>
    </row>
    <row r="4656" spans="17:20" x14ac:dyDescent="0.3">
      <c r="Q4656" s="93">
        <v>45930</v>
      </c>
      <c r="R4656" t="s">
        <v>364</v>
      </c>
      <c r="S4656" t="s">
        <v>415</v>
      </c>
      <c r="T4656" s="14">
        <v>5.5264566215129198</v>
      </c>
    </row>
    <row r="4657" spans="17:20" x14ac:dyDescent="0.3">
      <c r="Q4657" s="93">
        <v>45929</v>
      </c>
      <c r="R4657" t="s">
        <v>594</v>
      </c>
      <c r="S4657" t="s">
        <v>399</v>
      </c>
      <c r="T4657" s="14">
        <v>0</v>
      </c>
    </row>
    <row r="4658" spans="17:20" x14ac:dyDescent="0.3">
      <c r="Q4658" s="93">
        <v>45929</v>
      </c>
      <c r="R4658" t="s">
        <v>595</v>
      </c>
      <c r="S4658" t="s">
        <v>399</v>
      </c>
      <c r="T4658" s="14">
        <v>0</v>
      </c>
    </row>
    <row r="4659" spans="17:20" x14ac:dyDescent="0.3">
      <c r="Q4659" s="93">
        <v>45929</v>
      </c>
      <c r="R4659" t="s">
        <v>479</v>
      </c>
      <c r="S4659" t="s">
        <v>395</v>
      </c>
      <c r="T4659" s="14">
        <v>8503.0293627906794</v>
      </c>
    </row>
    <row r="4660" spans="17:20" x14ac:dyDescent="0.3">
      <c r="Q4660" s="93">
        <v>45929</v>
      </c>
      <c r="R4660" t="s">
        <v>479</v>
      </c>
      <c r="S4660" t="s">
        <v>415</v>
      </c>
      <c r="T4660" s="14">
        <v>6.1798740018165201</v>
      </c>
    </row>
    <row r="4661" spans="17:20" x14ac:dyDescent="0.3">
      <c r="Q4661" s="93">
        <v>45929</v>
      </c>
      <c r="R4661" t="s">
        <v>364</v>
      </c>
      <c r="S4661" t="s">
        <v>415</v>
      </c>
      <c r="T4661" s="14">
        <v>5.52172229192439</v>
      </c>
    </row>
    <row r="4662" spans="17:20" x14ac:dyDescent="0.3">
      <c r="Q4662" s="93">
        <v>45929</v>
      </c>
      <c r="R4662" t="s">
        <v>479</v>
      </c>
      <c r="S4662" t="s">
        <v>399</v>
      </c>
      <c r="T4662" s="14">
        <v>8772.6106</v>
      </c>
    </row>
    <row r="4663" spans="17:20" x14ac:dyDescent="0.3">
      <c r="Q4663" s="93">
        <v>45929</v>
      </c>
      <c r="R4663" t="s">
        <v>364</v>
      </c>
      <c r="S4663" t="s">
        <v>399</v>
      </c>
      <c r="T4663" s="14">
        <v>21747.6895</v>
      </c>
    </row>
    <row r="4664" spans="17:20" x14ac:dyDescent="0.3">
      <c r="Q4664" s="93">
        <v>45929</v>
      </c>
      <c r="R4664" t="s">
        <v>491</v>
      </c>
      <c r="S4664" t="s">
        <v>399</v>
      </c>
      <c r="T4664" s="14">
        <v>8125</v>
      </c>
    </row>
    <row r="4665" spans="17:20" x14ac:dyDescent="0.3">
      <c r="Q4665" s="93">
        <v>45929</v>
      </c>
      <c r="R4665" t="s">
        <v>492</v>
      </c>
      <c r="S4665" t="s">
        <v>399</v>
      </c>
      <c r="T4665" s="14">
        <v>647.61059999999998</v>
      </c>
    </row>
    <row r="4666" spans="17:20" x14ac:dyDescent="0.3">
      <c r="Q4666" s="93">
        <v>45929</v>
      </c>
      <c r="R4666" t="s">
        <v>496</v>
      </c>
      <c r="S4666" t="s">
        <v>399</v>
      </c>
      <c r="T4666" s="14">
        <v>19498.212899999999</v>
      </c>
    </row>
    <row r="4667" spans="17:20" x14ac:dyDescent="0.3">
      <c r="Q4667" s="93">
        <v>45929</v>
      </c>
      <c r="R4667" t="s">
        <v>497</v>
      </c>
      <c r="S4667" t="s">
        <v>399</v>
      </c>
      <c r="T4667" s="14">
        <v>897.61059999999998</v>
      </c>
    </row>
    <row r="4668" spans="17:20" x14ac:dyDescent="0.3">
      <c r="Q4668" s="93">
        <v>45929</v>
      </c>
      <c r="R4668" t="s">
        <v>498</v>
      </c>
      <c r="S4668" t="s">
        <v>399</v>
      </c>
      <c r="T4668" s="14">
        <v>8125</v>
      </c>
    </row>
    <row r="4669" spans="17:20" x14ac:dyDescent="0.3">
      <c r="Q4669" s="93">
        <v>45929</v>
      </c>
      <c r="R4669" t="s">
        <v>494</v>
      </c>
      <c r="S4669" t="s">
        <v>399</v>
      </c>
      <c r="T4669" s="14">
        <v>999.47659999999996</v>
      </c>
    </row>
    <row r="4670" spans="17:20" x14ac:dyDescent="0.3">
      <c r="Q4670" s="93">
        <v>45929</v>
      </c>
      <c r="R4670" t="s">
        <v>495</v>
      </c>
      <c r="S4670" t="s">
        <v>399</v>
      </c>
      <c r="T4670" s="14">
        <v>-250</v>
      </c>
    </row>
    <row r="4671" spans="17:20" x14ac:dyDescent="0.3">
      <c r="Q4671" s="93">
        <v>45929</v>
      </c>
      <c r="R4671" t="s">
        <v>493</v>
      </c>
      <c r="S4671" t="s">
        <v>399</v>
      </c>
      <c r="T4671" s="14">
        <v>0</v>
      </c>
    </row>
    <row r="4672" spans="17:20" x14ac:dyDescent="0.3">
      <c r="Q4672" s="93">
        <v>45929</v>
      </c>
      <c r="R4672" t="s">
        <v>593</v>
      </c>
      <c r="S4672" t="s">
        <v>399</v>
      </c>
      <c r="T4672" s="14">
        <v>1250</v>
      </c>
    </row>
    <row r="4673" spans="17:20" x14ac:dyDescent="0.3">
      <c r="Q4673" s="93">
        <v>45926</v>
      </c>
      <c r="R4673" t="s">
        <v>479</v>
      </c>
      <c r="S4673" t="s">
        <v>399</v>
      </c>
      <c r="T4673" s="14">
        <v>8772.6106</v>
      </c>
    </row>
    <row r="4674" spans="17:20" x14ac:dyDescent="0.3">
      <c r="Q4674" s="93">
        <v>45926</v>
      </c>
      <c r="R4674" t="s">
        <v>364</v>
      </c>
      <c r="S4674" t="s">
        <v>399</v>
      </c>
      <c r="T4674" s="14">
        <v>19898.212899999999</v>
      </c>
    </row>
    <row r="4675" spans="17:20" x14ac:dyDescent="0.3">
      <c r="Q4675" s="93">
        <v>45926</v>
      </c>
      <c r="R4675" t="s">
        <v>491</v>
      </c>
      <c r="S4675" t="s">
        <v>399</v>
      </c>
      <c r="T4675" s="14">
        <v>8125</v>
      </c>
    </row>
    <row r="4676" spans="17:20" x14ac:dyDescent="0.3">
      <c r="Q4676" s="93">
        <v>45926</v>
      </c>
      <c r="R4676" t="s">
        <v>492</v>
      </c>
      <c r="S4676" t="s">
        <v>399</v>
      </c>
      <c r="T4676" s="14">
        <v>647.61059999999998</v>
      </c>
    </row>
    <row r="4677" spans="17:20" x14ac:dyDescent="0.3">
      <c r="Q4677" s="93">
        <v>45926</v>
      </c>
      <c r="R4677" t="s">
        <v>496</v>
      </c>
      <c r="S4677" t="s">
        <v>399</v>
      </c>
      <c r="T4677" s="14">
        <v>18498.212899999999</v>
      </c>
    </row>
    <row r="4678" spans="17:20" x14ac:dyDescent="0.3">
      <c r="Q4678" s="93">
        <v>45926</v>
      </c>
      <c r="R4678" t="s">
        <v>497</v>
      </c>
      <c r="S4678" t="s">
        <v>399</v>
      </c>
      <c r="T4678" s="14">
        <v>897.61059999999998</v>
      </c>
    </row>
    <row r="4679" spans="17:20" x14ac:dyDescent="0.3">
      <c r="Q4679" s="93">
        <v>45926</v>
      </c>
      <c r="R4679" t="s">
        <v>498</v>
      </c>
      <c r="S4679" t="s">
        <v>399</v>
      </c>
      <c r="T4679" s="14">
        <v>8125</v>
      </c>
    </row>
    <row r="4680" spans="17:20" x14ac:dyDescent="0.3">
      <c r="Q4680" s="93">
        <v>45926</v>
      </c>
      <c r="R4680" t="s">
        <v>494</v>
      </c>
      <c r="S4680" t="s">
        <v>399</v>
      </c>
      <c r="T4680" s="14">
        <v>2000</v>
      </c>
    </row>
    <row r="4681" spans="17:20" x14ac:dyDescent="0.3">
      <c r="Q4681" s="93">
        <v>45926</v>
      </c>
      <c r="R4681" t="s">
        <v>495</v>
      </c>
      <c r="S4681" t="s">
        <v>399</v>
      </c>
      <c r="T4681" s="14">
        <v>0</v>
      </c>
    </row>
    <row r="4682" spans="17:20" x14ac:dyDescent="0.3">
      <c r="Q4682" s="93">
        <v>45926</v>
      </c>
      <c r="R4682" t="s">
        <v>493</v>
      </c>
      <c r="S4682" t="s">
        <v>399</v>
      </c>
      <c r="T4682" s="14">
        <v>0</v>
      </c>
    </row>
    <row r="4683" spans="17:20" x14ac:dyDescent="0.3">
      <c r="Q4683" s="93">
        <v>45926</v>
      </c>
      <c r="R4683" t="s">
        <v>593</v>
      </c>
      <c r="S4683" t="s">
        <v>399</v>
      </c>
      <c r="T4683" s="14">
        <v>-600</v>
      </c>
    </row>
    <row r="4684" spans="17:20" x14ac:dyDescent="0.3">
      <c r="Q4684" s="93">
        <v>45926</v>
      </c>
      <c r="R4684" t="s">
        <v>594</v>
      </c>
      <c r="S4684" t="s">
        <v>399</v>
      </c>
      <c r="T4684" s="14">
        <v>-250</v>
      </c>
    </row>
    <row r="4685" spans="17:20" x14ac:dyDescent="0.3">
      <c r="Q4685" s="93">
        <v>45926</v>
      </c>
      <c r="R4685" t="s">
        <v>595</v>
      </c>
      <c r="S4685" t="s">
        <v>399</v>
      </c>
      <c r="T4685" s="14">
        <v>0</v>
      </c>
    </row>
    <row r="4686" spans="17:20" x14ac:dyDescent="0.3">
      <c r="Q4686" s="93">
        <v>45926</v>
      </c>
      <c r="R4686" t="s">
        <v>479</v>
      </c>
      <c r="S4686" t="s">
        <v>395</v>
      </c>
      <c r="T4686" s="14">
        <v>8505.1629359246399</v>
      </c>
    </row>
    <row r="4687" spans="17:20" x14ac:dyDescent="0.3">
      <c r="Q4687" s="93">
        <v>45926</v>
      </c>
      <c r="R4687" t="s">
        <v>479</v>
      </c>
      <c r="S4687" t="s">
        <v>415</v>
      </c>
      <c r="T4687" s="14">
        <v>6.1798740018165201</v>
      </c>
    </row>
    <row r="4688" spans="17:20" x14ac:dyDescent="0.3">
      <c r="Q4688" s="93">
        <v>45926</v>
      </c>
      <c r="R4688" t="s">
        <v>364</v>
      </c>
      <c r="S4688" t="s">
        <v>415</v>
      </c>
      <c r="T4688" s="14">
        <v>5.5315178032897601</v>
      </c>
    </row>
    <row r="4689" spans="17:20" x14ac:dyDescent="0.3">
      <c r="Q4689" s="93">
        <v>45925</v>
      </c>
      <c r="R4689" t="s">
        <v>479</v>
      </c>
      <c r="S4689" t="s">
        <v>399</v>
      </c>
      <c r="T4689" s="14">
        <v>9022.6106</v>
      </c>
    </row>
    <row r="4690" spans="17:20" x14ac:dyDescent="0.3">
      <c r="Q4690" s="93">
        <v>45925</v>
      </c>
      <c r="R4690" t="s">
        <v>364</v>
      </c>
      <c r="S4690" t="s">
        <v>399</v>
      </c>
      <c r="T4690" s="14">
        <v>21098.212899999999</v>
      </c>
    </row>
    <row r="4691" spans="17:20" x14ac:dyDescent="0.3">
      <c r="Q4691" s="93">
        <v>45925</v>
      </c>
      <c r="R4691" t="s">
        <v>491</v>
      </c>
      <c r="S4691" t="s">
        <v>399</v>
      </c>
      <c r="T4691" s="14">
        <v>8125</v>
      </c>
    </row>
    <row r="4692" spans="17:20" x14ac:dyDescent="0.3">
      <c r="Q4692" s="93">
        <v>45925</v>
      </c>
      <c r="R4692" t="s">
        <v>492</v>
      </c>
      <c r="S4692" t="s">
        <v>399</v>
      </c>
      <c r="T4692" s="14">
        <v>897.61059999999998</v>
      </c>
    </row>
    <row r="4693" spans="17:20" x14ac:dyDescent="0.3">
      <c r="Q4693" s="93">
        <v>45925</v>
      </c>
      <c r="R4693" t="s">
        <v>496</v>
      </c>
      <c r="S4693" t="s">
        <v>399</v>
      </c>
      <c r="T4693" s="14">
        <v>18498.212899999999</v>
      </c>
    </row>
    <row r="4694" spans="17:20" x14ac:dyDescent="0.3">
      <c r="Q4694" s="93">
        <v>45925</v>
      </c>
      <c r="R4694" t="s">
        <v>497</v>
      </c>
      <c r="S4694" t="s">
        <v>399</v>
      </c>
      <c r="T4694" s="14">
        <v>897.61059999999998</v>
      </c>
    </row>
    <row r="4695" spans="17:20" x14ac:dyDescent="0.3">
      <c r="Q4695" s="93">
        <v>45925</v>
      </c>
      <c r="R4695" t="s">
        <v>498</v>
      </c>
      <c r="S4695" t="s">
        <v>399</v>
      </c>
      <c r="T4695" s="14">
        <v>8125</v>
      </c>
    </row>
    <row r="4696" spans="17:20" x14ac:dyDescent="0.3">
      <c r="Q4696" s="93">
        <v>45925</v>
      </c>
      <c r="R4696" t="s">
        <v>494</v>
      </c>
      <c r="S4696" t="s">
        <v>399</v>
      </c>
      <c r="T4696" s="14">
        <v>2000</v>
      </c>
    </row>
    <row r="4697" spans="17:20" x14ac:dyDescent="0.3">
      <c r="Q4697" s="93">
        <v>45925</v>
      </c>
      <c r="R4697" t="s">
        <v>495</v>
      </c>
      <c r="S4697" t="s">
        <v>399</v>
      </c>
      <c r="T4697" s="14">
        <v>0</v>
      </c>
    </row>
    <row r="4698" spans="17:20" x14ac:dyDescent="0.3">
      <c r="Q4698" s="93">
        <v>45925</v>
      </c>
      <c r="R4698" t="s">
        <v>493</v>
      </c>
      <c r="S4698" t="s">
        <v>399</v>
      </c>
      <c r="T4698" s="14">
        <v>0</v>
      </c>
    </row>
    <row r="4699" spans="17:20" x14ac:dyDescent="0.3">
      <c r="Q4699" s="93">
        <v>45925</v>
      </c>
      <c r="R4699" t="s">
        <v>593</v>
      </c>
      <c r="S4699" t="s">
        <v>399</v>
      </c>
      <c r="T4699" s="14">
        <v>600</v>
      </c>
    </row>
    <row r="4700" spans="17:20" x14ac:dyDescent="0.3">
      <c r="Q4700" s="93">
        <v>45925</v>
      </c>
      <c r="R4700" t="s">
        <v>594</v>
      </c>
      <c r="S4700" t="s">
        <v>399</v>
      </c>
      <c r="T4700" s="14">
        <v>0</v>
      </c>
    </row>
    <row r="4701" spans="17:20" x14ac:dyDescent="0.3">
      <c r="Q4701" s="93">
        <v>45925</v>
      </c>
      <c r="R4701" t="s">
        <v>595</v>
      </c>
      <c r="S4701" t="s">
        <v>399</v>
      </c>
      <c r="T4701" s="14">
        <v>0</v>
      </c>
    </row>
    <row r="4702" spans="17:20" x14ac:dyDescent="0.3">
      <c r="Q4702" s="93">
        <v>45925</v>
      </c>
      <c r="R4702" t="s">
        <v>479</v>
      </c>
      <c r="S4702" t="s">
        <v>395</v>
      </c>
      <c r="T4702" s="14">
        <v>8813.0865447123997</v>
      </c>
    </row>
    <row r="4703" spans="17:20" x14ac:dyDescent="0.3">
      <c r="Q4703" s="93">
        <v>45925</v>
      </c>
      <c r="R4703" t="s">
        <v>479</v>
      </c>
      <c r="S4703" t="s">
        <v>415</v>
      </c>
      <c r="T4703" s="14">
        <v>6.2129887523905802</v>
      </c>
    </row>
    <row r="4704" spans="17:20" x14ac:dyDescent="0.3">
      <c r="Q4704" s="93">
        <v>45925</v>
      </c>
      <c r="R4704" t="s">
        <v>364</v>
      </c>
      <c r="S4704" t="s">
        <v>415</v>
      </c>
      <c r="T4704" s="14">
        <v>5.5249854318229996</v>
      </c>
    </row>
    <row r="4705" spans="17:20" x14ac:dyDescent="0.3">
      <c r="Q4705" s="93">
        <v>45924</v>
      </c>
      <c r="R4705" t="s">
        <v>479</v>
      </c>
      <c r="S4705" t="s">
        <v>399</v>
      </c>
      <c r="T4705" s="14">
        <v>9022.6106</v>
      </c>
    </row>
    <row r="4706" spans="17:20" x14ac:dyDescent="0.3">
      <c r="Q4706" s="93">
        <v>45924</v>
      </c>
      <c r="R4706" t="s">
        <v>364</v>
      </c>
      <c r="S4706" t="s">
        <v>399</v>
      </c>
      <c r="T4706" s="14">
        <v>20098.212899999999</v>
      </c>
    </row>
    <row r="4707" spans="17:20" x14ac:dyDescent="0.3">
      <c r="Q4707" s="93">
        <v>45924</v>
      </c>
      <c r="R4707" t="s">
        <v>491</v>
      </c>
      <c r="S4707" t="s">
        <v>399</v>
      </c>
      <c r="T4707" s="14">
        <v>8125</v>
      </c>
    </row>
    <row r="4708" spans="17:20" x14ac:dyDescent="0.3">
      <c r="Q4708" s="93">
        <v>45924</v>
      </c>
      <c r="R4708" t="s">
        <v>492</v>
      </c>
      <c r="S4708" t="s">
        <v>399</v>
      </c>
      <c r="T4708" s="14">
        <v>897.61059999999998</v>
      </c>
    </row>
    <row r="4709" spans="17:20" x14ac:dyDescent="0.3">
      <c r="Q4709" s="93">
        <v>45924</v>
      </c>
      <c r="R4709" t="s">
        <v>496</v>
      </c>
      <c r="S4709" t="s">
        <v>399</v>
      </c>
      <c r="T4709" s="14">
        <v>18298.212899999999</v>
      </c>
    </row>
    <row r="4710" spans="17:20" x14ac:dyDescent="0.3">
      <c r="Q4710" s="93">
        <v>45924</v>
      </c>
      <c r="R4710" t="s">
        <v>497</v>
      </c>
      <c r="S4710" t="s">
        <v>399</v>
      </c>
      <c r="T4710" s="14">
        <v>897.61059999999998</v>
      </c>
    </row>
    <row r="4711" spans="17:20" x14ac:dyDescent="0.3">
      <c r="Q4711" s="93">
        <v>45924</v>
      </c>
      <c r="R4711" t="s">
        <v>498</v>
      </c>
      <c r="S4711" t="s">
        <v>399</v>
      </c>
      <c r="T4711" s="14">
        <v>8125</v>
      </c>
    </row>
    <row r="4712" spans="17:20" x14ac:dyDescent="0.3">
      <c r="Q4712" s="93">
        <v>45924</v>
      </c>
      <c r="R4712" t="s">
        <v>494</v>
      </c>
      <c r="S4712" t="s">
        <v>399</v>
      </c>
      <c r="T4712" s="14">
        <v>1200</v>
      </c>
    </row>
    <row r="4713" spans="17:20" x14ac:dyDescent="0.3">
      <c r="Q4713" s="93">
        <v>45924</v>
      </c>
      <c r="R4713" t="s">
        <v>495</v>
      </c>
      <c r="S4713" t="s">
        <v>399</v>
      </c>
      <c r="T4713" s="14">
        <v>0</v>
      </c>
    </row>
    <row r="4714" spans="17:20" x14ac:dyDescent="0.3">
      <c r="Q4714" s="93">
        <v>45924</v>
      </c>
      <c r="R4714" t="s">
        <v>493</v>
      </c>
      <c r="S4714" t="s">
        <v>399</v>
      </c>
      <c r="T4714" s="14">
        <v>0</v>
      </c>
    </row>
    <row r="4715" spans="17:20" x14ac:dyDescent="0.3">
      <c r="Q4715" s="93">
        <v>45924</v>
      </c>
      <c r="R4715" t="s">
        <v>593</v>
      </c>
      <c r="S4715" t="s">
        <v>399</v>
      </c>
      <c r="T4715" s="14">
        <v>600</v>
      </c>
    </row>
    <row r="4716" spans="17:20" x14ac:dyDescent="0.3">
      <c r="Q4716" s="93">
        <v>45924</v>
      </c>
      <c r="R4716" t="s">
        <v>594</v>
      </c>
      <c r="S4716" t="s">
        <v>399</v>
      </c>
      <c r="T4716" s="14">
        <v>0</v>
      </c>
    </row>
    <row r="4717" spans="17:20" x14ac:dyDescent="0.3">
      <c r="Q4717" s="93">
        <v>45924</v>
      </c>
      <c r="R4717" t="s">
        <v>595</v>
      </c>
      <c r="S4717" t="s">
        <v>399</v>
      </c>
      <c r="T4717" s="14">
        <v>0</v>
      </c>
    </row>
    <row r="4718" spans="17:20" x14ac:dyDescent="0.3">
      <c r="Q4718" s="93">
        <v>45924</v>
      </c>
      <c r="R4718" t="s">
        <v>479</v>
      </c>
      <c r="S4718" t="s">
        <v>395</v>
      </c>
      <c r="T4718" s="14">
        <v>8815.7678429644202</v>
      </c>
    </row>
    <row r="4719" spans="17:20" x14ac:dyDescent="0.3">
      <c r="Q4719" s="93">
        <v>45924</v>
      </c>
      <c r="R4719" t="s">
        <v>479</v>
      </c>
      <c r="S4719" t="s">
        <v>415</v>
      </c>
      <c r="T4719" s="14">
        <v>6.2129887523905802</v>
      </c>
    </row>
    <row r="4720" spans="17:20" x14ac:dyDescent="0.3">
      <c r="Q4720" s="93">
        <v>45924</v>
      </c>
      <c r="R4720" t="s">
        <v>364</v>
      </c>
      <c r="S4720" t="s">
        <v>415</v>
      </c>
      <c r="T4720" s="14">
        <v>5.5491162057498196</v>
      </c>
    </row>
    <row r="4721" spans="17:20" x14ac:dyDescent="0.3">
      <c r="Q4721" s="93">
        <v>45923</v>
      </c>
      <c r="R4721" t="s">
        <v>479</v>
      </c>
      <c r="S4721" t="s">
        <v>415</v>
      </c>
      <c r="T4721" s="14">
        <v>6.2129887523905802</v>
      </c>
    </row>
    <row r="4722" spans="17:20" x14ac:dyDescent="0.3">
      <c r="Q4722" s="93">
        <v>45923</v>
      </c>
      <c r="R4722" t="s">
        <v>364</v>
      </c>
      <c r="S4722" t="s">
        <v>415</v>
      </c>
      <c r="T4722" s="14">
        <v>5.5719931264020204</v>
      </c>
    </row>
    <row r="4723" spans="17:20" x14ac:dyDescent="0.3">
      <c r="Q4723" s="93">
        <v>45923</v>
      </c>
      <c r="R4723" t="s">
        <v>479</v>
      </c>
      <c r="S4723" t="s">
        <v>399</v>
      </c>
      <c r="T4723" s="14">
        <v>9022.6106</v>
      </c>
    </row>
    <row r="4724" spans="17:20" x14ac:dyDescent="0.3">
      <c r="Q4724" s="93">
        <v>45923</v>
      </c>
      <c r="R4724" t="s">
        <v>364</v>
      </c>
      <c r="S4724" t="s">
        <v>399</v>
      </c>
      <c r="T4724" s="14">
        <v>17948.212899999999</v>
      </c>
    </row>
    <row r="4725" spans="17:20" x14ac:dyDescent="0.3">
      <c r="Q4725" s="93">
        <v>45923</v>
      </c>
      <c r="R4725" t="s">
        <v>491</v>
      </c>
      <c r="S4725" t="s">
        <v>399</v>
      </c>
      <c r="T4725" s="14">
        <v>8125</v>
      </c>
    </row>
    <row r="4726" spans="17:20" x14ac:dyDescent="0.3">
      <c r="Q4726" s="93">
        <v>45923</v>
      </c>
      <c r="R4726" t="s">
        <v>492</v>
      </c>
      <c r="S4726" t="s">
        <v>399</v>
      </c>
      <c r="T4726" s="14">
        <v>897.61059999999998</v>
      </c>
    </row>
    <row r="4727" spans="17:20" x14ac:dyDescent="0.3">
      <c r="Q4727" s="93">
        <v>45923</v>
      </c>
      <c r="R4727" t="s">
        <v>496</v>
      </c>
      <c r="S4727" t="s">
        <v>399</v>
      </c>
      <c r="T4727" s="14">
        <v>16048.2129</v>
      </c>
    </row>
    <row r="4728" spans="17:20" x14ac:dyDescent="0.3">
      <c r="Q4728" s="93">
        <v>45923</v>
      </c>
      <c r="R4728" t="s">
        <v>497</v>
      </c>
      <c r="S4728" t="s">
        <v>399</v>
      </c>
      <c r="T4728" s="14">
        <v>897.61059999999998</v>
      </c>
    </row>
    <row r="4729" spans="17:20" x14ac:dyDescent="0.3">
      <c r="Q4729" s="93">
        <v>45923</v>
      </c>
      <c r="R4729" t="s">
        <v>498</v>
      </c>
      <c r="S4729" t="s">
        <v>399</v>
      </c>
      <c r="T4729" s="14">
        <v>8125</v>
      </c>
    </row>
    <row r="4730" spans="17:20" x14ac:dyDescent="0.3">
      <c r="Q4730" s="93">
        <v>45923</v>
      </c>
      <c r="R4730" t="s">
        <v>494</v>
      </c>
      <c r="S4730" t="s">
        <v>399</v>
      </c>
      <c r="T4730" s="14">
        <v>2200</v>
      </c>
    </row>
    <row r="4731" spans="17:20" x14ac:dyDescent="0.3">
      <c r="Q4731" s="93">
        <v>45923</v>
      </c>
      <c r="R4731" t="s">
        <v>495</v>
      </c>
      <c r="S4731" t="s">
        <v>399</v>
      </c>
      <c r="T4731" s="14">
        <v>0</v>
      </c>
    </row>
    <row r="4732" spans="17:20" x14ac:dyDescent="0.3">
      <c r="Q4732" s="93">
        <v>45923</v>
      </c>
      <c r="R4732" t="s">
        <v>493</v>
      </c>
      <c r="S4732" t="s">
        <v>399</v>
      </c>
      <c r="T4732" s="14">
        <v>0</v>
      </c>
    </row>
    <row r="4733" spans="17:20" x14ac:dyDescent="0.3">
      <c r="Q4733" s="93">
        <v>45923</v>
      </c>
      <c r="R4733" t="s">
        <v>593</v>
      </c>
      <c r="S4733" t="s">
        <v>399</v>
      </c>
      <c r="T4733" s="14">
        <v>-300</v>
      </c>
    </row>
    <row r="4734" spans="17:20" x14ac:dyDescent="0.3">
      <c r="Q4734" s="93">
        <v>45923</v>
      </c>
      <c r="R4734" t="s">
        <v>594</v>
      </c>
      <c r="S4734" t="s">
        <v>399</v>
      </c>
      <c r="T4734" s="14">
        <v>0</v>
      </c>
    </row>
    <row r="4735" spans="17:20" x14ac:dyDescent="0.3">
      <c r="Q4735" s="93">
        <v>45923</v>
      </c>
      <c r="R4735" t="s">
        <v>595</v>
      </c>
      <c r="S4735" t="s">
        <v>399</v>
      </c>
      <c r="T4735" s="14">
        <v>0</v>
      </c>
    </row>
    <row r="4736" spans="17:20" x14ac:dyDescent="0.3">
      <c r="Q4736" s="93">
        <v>45923</v>
      </c>
      <c r="R4736" t="s">
        <v>479</v>
      </c>
      <c r="S4736" t="s">
        <v>395</v>
      </c>
      <c r="T4736" s="14">
        <v>8808.4793298371405</v>
      </c>
    </row>
    <row r="4737" spans="17:20" x14ac:dyDescent="0.3">
      <c r="Q4737" s="93">
        <v>45922</v>
      </c>
      <c r="R4737" t="s">
        <v>479</v>
      </c>
      <c r="S4737" t="s">
        <v>399</v>
      </c>
      <c r="T4737" s="14">
        <v>9022.6106</v>
      </c>
    </row>
    <row r="4738" spans="17:20" x14ac:dyDescent="0.3">
      <c r="Q4738" s="93">
        <v>45922</v>
      </c>
      <c r="R4738" t="s">
        <v>364</v>
      </c>
      <c r="S4738" t="s">
        <v>399</v>
      </c>
      <c r="T4738" s="14">
        <v>17748.212899999999</v>
      </c>
    </row>
    <row r="4739" spans="17:20" x14ac:dyDescent="0.3">
      <c r="Q4739" s="93">
        <v>45922</v>
      </c>
      <c r="R4739" t="s">
        <v>491</v>
      </c>
      <c r="S4739" t="s">
        <v>399</v>
      </c>
      <c r="T4739" s="14">
        <v>8125</v>
      </c>
    </row>
    <row r="4740" spans="17:20" x14ac:dyDescent="0.3">
      <c r="Q4740" s="93">
        <v>45922</v>
      </c>
      <c r="R4740" t="s">
        <v>492</v>
      </c>
      <c r="S4740" t="s">
        <v>399</v>
      </c>
      <c r="T4740" s="14">
        <v>897.61059999999998</v>
      </c>
    </row>
    <row r="4741" spans="17:20" x14ac:dyDescent="0.3">
      <c r="Q4741" s="93">
        <v>45922</v>
      </c>
      <c r="R4741" t="s">
        <v>496</v>
      </c>
      <c r="S4741" t="s">
        <v>399</v>
      </c>
      <c r="T4741" s="14">
        <v>15748.2129</v>
      </c>
    </row>
    <row r="4742" spans="17:20" x14ac:dyDescent="0.3">
      <c r="Q4742" s="93">
        <v>45922</v>
      </c>
      <c r="R4742" t="s">
        <v>497</v>
      </c>
      <c r="S4742" t="s">
        <v>399</v>
      </c>
      <c r="T4742" s="14">
        <v>897.61059999999998</v>
      </c>
    </row>
    <row r="4743" spans="17:20" x14ac:dyDescent="0.3">
      <c r="Q4743" s="93">
        <v>45922</v>
      </c>
      <c r="R4743" t="s">
        <v>498</v>
      </c>
      <c r="S4743" t="s">
        <v>399</v>
      </c>
      <c r="T4743" s="14">
        <v>8125</v>
      </c>
    </row>
    <row r="4744" spans="17:20" x14ac:dyDescent="0.3">
      <c r="Q4744" s="93">
        <v>45922</v>
      </c>
      <c r="R4744" t="s">
        <v>494</v>
      </c>
      <c r="S4744" t="s">
        <v>399</v>
      </c>
      <c r="T4744" s="14">
        <v>2000</v>
      </c>
    </row>
    <row r="4745" spans="17:20" x14ac:dyDescent="0.3">
      <c r="Q4745" s="93">
        <v>45922</v>
      </c>
      <c r="R4745" t="s">
        <v>495</v>
      </c>
      <c r="S4745" t="s">
        <v>399</v>
      </c>
      <c r="T4745" s="14">
        <v>0</v>
      </c>
    </row>
    <row r="4746" spans="17:20" x14ac:dyDescent="0.3">
      <c r="Q4746" s="93">
        <v>45922</v>
      </c>
      <c r="R4746" t="s">
        <v>493</v>
      </c>
      <c r="S4746" t="s">
        <v>399</v>
      </c>
      <c r="T4746" s="14">
        <v>0</v>
      </c>
    </row>
    <row r="4747" spans="17:20" x14ac:dyDescent="0.3">
      <c r="Q4747" s="93">
        <v>45922</v>
      </c>
      <c r="R4747" t="s">
        <v>593</v>
      </c>
      <c r="S4747" t="s">
        <v>399</v>
      </c>
      <c r="T4747" s="14">
        <v>0</v>
      </c>
    </row>
    <row r="4748" spans="17:20" x14ac:dyDescent="0.3">
      <c r="Q4748" s="93">
        <v>45922</v>
      </c>
      <c r="R4748" t="s">
        <v>594</v>
      </c>
      <c r="S4748" t="s">
        <v>399</v>
      </c>
      <c r="T4748" s="14">
        <v>0</v>
      </c>
    </row>
    <row r="4749" spans="17:20" x14ac:dyDescent="0.3">
      <c r="Q4749" s="93">
        <v>45922</v>
      </c>
      <c r="R4749" t="s">
        <v>595</v>
      </c>
      <c r="S4749" t="s">
        <v>399</v>
      </c>
      <c r="T4749" s="14">
        <v>0</v>
      </c>
    </row>
    <row r="4750" spans="17:20" x14ac:dyDescent="0.3">
      <c r="Q4750" s="93">
        <v>45922</v>
      </c>
      <c r="R4750" t="s">
        <v>479</v>
      </c>
      <c r="S4750" t="s">
        <v>395</v>
      </c>
      <c r="T4750" s="14">
        <v>8809.2578004803399</v>
      </c>
    </row>
    <row r="4751" spans="17:20" x14ac:dyDescent="0.3">
      <c r="Q4751" s="93">
        <v>45922</v>
      </c>
      <c r="R4751" t="s">
        <v>479</v>
      </c>
      <c r="S4751" t="s">
        <v>415</v>
      </c>
      <c r="T4751" s="14">
        <v>6.2438107229754802</v>
      </c>
    </row>
    <row r="4752" spans="17:20" x14ac:dyDescent="0.3">
      <c r="Q4752" s="93">
        <v>45922</v>
      </c>
      <c r="R4752" t="s">
        <v>364</v>
      </c>
      <c r="S4752" t="s">
        <v>415</v>
      </c>
      <c r="T4752" s="14">
        <v>5.5912851321498396</v>
      </c>
    </row>
    <row r="4753" spans="17:20" x14ac:dyDescent="0.3">
      <c r="Q4753" s="93">
        <v>45919</v>
      </c>
      <c r="R4753" t="s">
        <v>479</v>
      </c>
      <c r="S4753" t="s">
        <v>399</v>
      </c>
      <c r="T4753" s="14">
        <v>9522.6106</v>
      </c>
    </row>
    <row r="4754" spans="17:20" x14ac:dyDescent="0.3">
      <c r="Q4754" s="93">
        <v>45919</v>
      </c>
      <c r="R4754" t="s">
        <v>364</v>
      </c>
      <c r="S4754" t="s">
        <v>399</v>
      </c>
      <c r="T4754" s="14">
        <v>17748.212899999999</v>
      </c>
    </row>
    <row r="4755" spans="17:20" x14ac:dyDescent="0.3">
      <c r="Q4755" s="93">
        <v>45919</v>
      </c>
      <c r="R4755" t="s">
        <v>491</v>
      </c>
      <c r="S4755" t="s">
        <v>399</v>
      </c>
      <c r="T4755" s="14">
        <v>8625</v>
      </c>
    </row>
    <row r="4756" spans="17:20" x14ac:dyDescent="0.3">
      <c r="Q4756" s="93">
        <v>45919</v>
      </c>
      <c r="R4756" t="s">
        <v>492</v>
      </c>
      <c r="S4756" t="s">
        <v>399</v>
      </c>
      <c r="T4756" s="14">
        <v>897.61059999999998</v>
      </c>
    </row>
    <row r="4757" spans="17:20" x14ac:dyDescent="0.3">
      <c r="Q4757" s="93">
        <v>45919</v>
      </c>
      <c r="R4757" t="s">
        <v>496</v>
      </c>
      <c r="S4757" t="s">
        <v>399</v>
      </c>
      <c r="T4757" s="14">
        <v>19248.212899999999</v>
      </c>
    </row>
    <row r="4758" spans="17:20" x14ac:dyDescent="0.3">
      <c r="Q4758" s="93">
        <v>45919</v>
      </c>
      <c r="R4758" t="s">
        <v>497</v>
      </c>
      <c r="S4758" t="s">
        <v>399</v>
      </c>
      <c r="T4758" s="14">
        <v>897.61059999999998</v>
      </c>
    </row>
    <row r="4759" spans="17:20" x14ac:dyDescent="0.3">
      <c r="Q4759" s="93">
        <v>45919</v>
      </c>
      <c r="R4759" t="s">
        <v>498</v>
      </c>
      <c r="S4759" t="s">
        <v>399</v>
      </c>
      <c r="T4759" s="14">
        <v>8625</v>
      </c>
    </row>
    <row r="4760" spans="17:20" x14ac:dyDescent="0.3">
      <c r="Q4760" s="93">
        <v>45919</v>
      </c>
      <c r="R4760" t="s">
        <v>494</v>
      </c>
      <c r="S4760" t="s">
        <v>399</v>
      </c>
      <c r="T4760" s="14">
        <v>-1500</v>
      </c>
    </row>
    <row r="4761" spans="17:20" x14ac:dyDescent="0.3">
      <c r="Q4761" s="93">
        <v>45919</v>
      </c>
      <c r="R4761" t="s">
        <v>495</v>
      </c>
      <c r="S4761" t="s">
        <v>399</v>
      </c>
      <c r="T4761" s="14">
        <v>0</v>
      </c>
    </row>
    <row r="4762" spans="17:20" x14ac:dyDescent="0.3">
      <c r="Q4762" s="93">
        <v>45919</v>
      </c>
      <c r="R4762" t="s">
        <v>493</v>
      </c>
      <c r="S4762" t="s">
        <v>399</v>
      </c>
      <c r="T4762" s="14">
        <v>0</v>
      </c>
    </row>
    <row r="4763" spans="17:20" x14ac:dyDescent="0.3">
      <c r="Q4763" s="93">
        <v>45919</v>
      </c>
      <c r="R4763" t="s">
        <v>593</v>
      </c>
      <c r="S4763" t="s">
        <v>399</v>
      </c>
      <c r="T4763" s="14">
        <v>0</v>
      </c>
    </row>
    <row r="4764" spans="17:20" x14ac:dyDescent="0.3">
      <c r="Q4764" s="93">
        <v>45919</v>
      </c>
      <c r="R4764" t="s">
        <v>594</v>
      </c>
      <c r="S4764" t="s">
        <v>399</v>
      </c>
      <c r="T4764" s="14">
        <v>0</v>
      </c>
    </row>
    <row r="4765" spans="17:20" x14ac:dyDescent="0.3">
      <c r="Q4765" s="93">
        <v>45919</v>
      </c>
      <c r="R4765" t="s">
        <v>595</v>
      </c>
      <c r="S4765" t="s">
        <v>399</v>
      </c>
      <c r="T4765" s="14">
        <v>0</v>
      </c>
    </row>
    <row r="4766" spans="17:20" x14ac:dyDescent="0.3">
      <c r="Q4766" s="93">
        <v>45919</v>
      </c>
      <c r="R4766" t="s">
        <v>479</v>
      </c>
      <c r="S4766" t="s">
        <v>395</v>
      </c>
      <c r="T4766" s="14">
        <v>8810.1329037351406</v>
      </c>
    </row>
    <row r="4767" spans="17:20" x14ac:dyDescent="0.3">
      <c r="Q4767" s="93">
        <v>45919</v>
      </c>
      <c r="R4767" t="s">
        <v>479</v>
      </c>
      <c r="S4767" t="s">
        <v>415</v>
      </c>
      <c r="T4767" s="14">
        <v>6.2438107229754802</v>
      </c>
    </row>
    <row r="4768" spans="17:20" x14ac:dyDescent="0.3">
      <c r="Q4768" s="93">
        <v>45919</v>
      </c>
      <c r="R4768" t="s">
        <v>364</v>
      </c>
      <c r="S4768" t="s">
        <v>415</v>
      </c>
      <c r="T4768" s="14">
        <v>5.5912851321498396</v>
      </c>
    </row>
    <row r="4769" spans="17:20" x14ac:dyDescent="0.3">
      <c r="Q4769" s="93">
        <v>45918</v>
      </c>
      <c r="R4769" t="s">
        <v>479</v>
      </c>
      <c r="S4769" t="s">
        <v>399</v>
      </c>
      <c r="T4769" s="14">
        <v>9522.6106</v>
      </c>
    </row>
    <row r="4770" spans="17:20" x14ac:dyDescent="0.3">
      <c r="Q4770" s="93">
        <v>45918</v>
      </c>
      <c r="R4770" t="s">
        <v>364</v>
      </c>
      <c r="S4770" t="s">
        <v>399</v>
      </c>
      <c r="T4770" s="14">
        <v>18068.212899999999</v>
      </c>
    </row>
    <row r="4771" spans="17:20" x14ac:dyDescent="0.3">
      <c r="Q4771" s="93">
        <v>45918</v>
      </c>
      <c r="R4771" t="s">
        <v>491</v>
      </c>
      <c r="S4771" t="s">
        <v>399</v>
      </c>
      <c r="T4771" s="14">
        <v>8625</v>
      </c>
    </row>
    <row r="4772" spans="17:20" x14ac:dyDescent="0.3">
      <c r="Q4772" s="93">
        <v>45918</v>
      </c>
      <c r="R4772" t="s">
        <v>492</v>
      </c>
      <c r="S4772" t="s">
        <v>399</v>
      </c>
      <c r="T4772" s="14">
        <v>897.61059999999998</v>
      </c>
    </row>
    <row r="4773" spans="17:20" x14ac:dyDescent="0.3">
      <c r="Q4773" s="93">
        <v>45918</v>
      </c>
      <c r="R4773" t="s">
        <v>496</v>
      </c>
      <c r="S4773" t="s">
        <v>399</v>
      </c>
      <c r="T4773" s="14">
        <v>19368.212899999999</v>
      </c>
    </row>
    <row r="4774" spans="17:20" x14ac:dyDescent="0.3">
      <c r="Q4774" s="93">
        <v>45918</v>
      </c>
      <c r="R4774" t="s">
        <v>497</v>
      </c>
      <c r="S4774" t="s">
        <v>399</v>
      </c>
      <c r="T4774" s="14">
        <v>897.61059999999998</v>
      </c>
    </row>
    <row r="4775" spans="17:20" x14ac:dyDescent="0.3">
      <c r="Q4775" s="93">
        <v>45918</v>
      </c>
      <c r="R4775" t="s">
        <v>498</v>
      </c>
      <c r="S4775" t="s">
        <v>399</v>
      </c>
      <c r="T4775" s="14">
        <v>8625</v>
      </c>
    </row>
    <row r="4776" spans="17:20" x14ac:dyDescent="0.3">
      <c r="Q4776" s="93">
        <v>45918</v>
      </c>
      <c r="R4776" t="s">
        <v>494</v>
      </c>
      <c r="S4776" t="s">
        <v>399</v>
      </c>
      <c r="T4776" s="14">
        <v>200</v>
      </c>
    </row>
    <row r="4777" spans="17:20" x14ac:dyDescent="0.3">
      <c r="Q4777" s="93">
        <v>45918</v>
      </c>
      <c r="R4777" t="s">
        <v>495</v>
      </c>
      <c r="S4777" t="s">
        <v>399</v>
      </c>
      <c r="T4777" s="14">
        <v>0</v>
      </c>
    </row>
    <row r="4778" spans="17:20" x14ac:dyDescent="0.3">
      <c r="Q4778" s="93">
        <v>45918</v>
      </c>
      <c r="R4778" t="s">
        <v>493</v>
      </c>
      <c r="S4778" t="s">
        <v>399</v>
      </c>
      <c r="T4778" s="14">
        <v>0</v>
      </c>
    </row>
    <row r="4779" spans="17:20" x14ac:dyDescent="0.3">
      <c r="Q4779" s="93">
        <v>45918</v>
      </c>
      <c r="R4779" t="s">
        <v>593</v>
      </c>
      <c r="S4779" t="s">
        <v>399</v>
      </c>
      <c r="T4779" s="14">
        <v>-1500</v>
      </c>
    </row>
    <row r="4780" spans="17:20" x14ac:dyDescent="0.3">
      <c r="Q4780" s="93">
        <v>45918</v>
      </c>
      <c r="R4780" t="s">
        <v>594</v>
      </c>
      <c r="S4780" t="s">
        <v>399</v>
      </c>
      <c r="T4780" s="14">
        <v>0</v>
      </c>
    </row>
    <row r="4781" spans="17:20" x14ac:dyDescent="0.3">
      <c r="Q4781" s="93">
        <v>45918</v>
      </c>
      <c r="R4781" t="s">
        <v>595</v>
      </c>
      <c r="S4781" t="s">
        <v>399</v>
      </c>
      <c r="T4781" s="14">
        <v>0</v>
      </c>
    </row>
    <row r="4782" spans="17:20" x14ac:dyDescent="0.3">
      <c r="Q4782" s="93">
        <v>45918</v>
      </c>
      <c r="R4782" t="s">
        <v>479</v>
      </c>
      <c r="S4782" t="s">
        <v>395</v>
      </c>
      <c r="T4782" s="14">
        <v>8804.7605281313899</v>
      </c>
    </row>
    <row r="4783" spans="17:20" x14ac:dyDescent="0.3">
      <c r="Q4783" s="93">
        <v>45918</v>
      </c>
      <c r="R4783" t="s">
        <v>479</v>
      </c>
      <c r="S4783" t="s">
        <v>415</v>
      </c>
      <c r="T4783" s="14">
        <v>6.2438107229754802</v>
      </c>
    </row>
    <row r="4784" spans="17:20" x14ac:dyDescent="0.3">
      <c r="Q4784" s="93">
        <v>45918</v>
      </c>
      <c r="R4784" t="s">
        <v>364</v>
      </c>
      <c r="S4784" t="s">
        <v>415</v>
      </c>
      <c r="T4784" s="14">
        <v>5.5874545794177601</v>
      </c>
    </row>
    <row r="4785" spans="17:20" x14ac:dyDescent="0.3">
      <c r="Q4785" s="93">
        <v>45917</v>
      </c>
      <c r="R4785" t="s">
        <v>479</v>
      </c>
      <c r="S4785" t="s">
        <v>399</v>
      </c>
      <c r="T4785" s="14">
        <v>9522.6106</v>
      </c>
    </row>
    <row r="4786" spans="17:20" x14ac:dyDescent="0.3">
      <c r="Q4786" s="93">
        <v>45917</v>
      </c>
      <c r="R4786" t="s">
        <v>364</v>
      </c>
      <c r="S4786" t="s">
        <v>399</v>
      </c>
      <c r="T4786" s="14">
        <v>19368.212899999999</v>
      </c>
    </row>
    <row r="4787" spans="17:20" x14ac:dyDescent="0.3">
      <c r="Q4787" s="93">
        <v>45917</v>
      </c>
      <c r="R4787" t="s">
        <v>491</v>
      </c>
      <c r="S4787" t="s">
        <v>399</v>
      </c>
      <c r="T4787" s="14">
        <v>8625</v>
      </c>
    </row>
    <row r="4788" spans="17:20" x14ac:dyDescent="0.3">
      <c r="Q4788" s="93">
        <v>45917</v>
      </c>
      <c r="R4788" t="s">
        <v>492</v>
      </c>
      <c r="S4788" t="s">
        <v>399</v>
      </c>
      <c r="T4788" s="14">
        <v>897.61059999999998</v>
      </c>
    </row>
    <row r="4789" spans="17:20" x14ac:dyDescent="0.3">
      <c r="Q4789" s="93">
        <v>45917</v>
      </c>
      <c r="R4789" t="s">
        <v>496</v>
      </c>
      <c r="S4789" t="s">
        <v>399</v>
      </c>
      <c r="T4789" s="14">
        <v>19765.8367</v>
      </c>
    </row>
    <row r="4790" spans="17:20" x14ac:dyDescent="0.3">
      <c r="Q4790" s="93">
        <v>45917</v>
      </c>
      <c r="R4790" t="s">
        <v>497</v>
      </c>
      <c r="S4790" t="s">
        <v>399</v>
      </c>
      <c r="T4790" s="14">
        <v>897.61059999999998</v>
      </c>
    </row>
    <row r="4791" spans="17:20" x14ac:dyDescent="0.3">
      <c r="Q4791" s="93">
        <v>45917</v>
      </c>
      <c r="R4791" t="s">
        <v>498</v>
      </c>
      <c r="S4791" t="s">
        <v>399</v>
      </c>
      <c r="T4791" s="14">
        <v>8625</v>
      </c>
    </row>
    <row r="4792" spans="17:20" x14ac:dyDescent="0.3">
      <c r="Q4792" s="93">
        <v>45917</v>
      </c>
      <c r="R4792" t="s">
        <v>494</v>
      </c>
      <c r="S4792" t="s">
        <v>399</v>
      </c>
      <c r="T4792" s="14">
        <v>1000</v>
      </c>
    </row>
    <row r="4793" spans="17:20" x14ac:dyDescent="0.3">
      <c r="Q4793" s="93">
        <v>45917</v>
      </c>
      <c r="R4793" t="s">
        <v>495</v>
      </c>
      <c r="S4793" t="s">
        <v>399</v>
      </c>
      <c r="T4793" s="14">
        <v>0</v>
      </c>
    </row>
    <row r="4794" spans="17:20" x14ac:dyDescent="0.3">
      <c r="Q4794" s="93">
        <v>45917</v>
      </c>
      <c r="R4794" t="s">
        <v>493</v>
      </c>
      <c r="S4794" t="s">
        <v>399</v>
      </c>
      <c r="T4794" s="14">
        <v>0</v>
      </c>
    </row>
    <row r="4795" spans="17:20" x14ac:dyDescent="0.3">
      <c r="Q4795" s="93">
        <v>45917</v>
      </c>
      <c r="R4795" t="s">
        <v>593</v>
      </c>
      <c r="S4795" t="s">
        <v>399</v>
      </c>
      <c r="T4795" s="14">
        <v>-1397.6238000000001</v>
      </c>
    </row>
    <row r="4796" spans="17:20" x14ac:dyDescent="0.3">
      <c r="Q4796" s="93">
        <v>45917</v>
      </c>
      <c r="R4796" t="s">
        <v>594</v>
      </c>
      <c r="S4796" t="s">
        <v>399</v>
      </c>
      <c r="T4796" s="14">
        <v>0</v>
      </c>
    </row>
    <row r="4797" spans="17:20" x14ac:dyDescent="0.3">
      <c r="Q4797" s="93">
        <v>45917</v>
      </c>
      <c r="R4797" t="s">
        <v>595</v>
      </c>
      <c r="S4797" t="s">
        <v>399</v>
      </c>
      <c r="T4797" s="14">
        <v>0</v>
      </c>
    </row>
    <row r="4798" spans="17:20" x14ac:dyDescent="0.3">
      <c r="Q4798" s="93">
        <v>45917</v>
      </c>
      <c r="R4798" t="s">
        <v>479</v>
      </c>
      <c r="S4798" t="s">
        <v>395</v>
      </c>
      <c r="T4798" s="14">
        <v>8815.2792312693691</v>
      </c>
    </row>
    <row r="4799" spans="17:20" x14ac:dyDescent="0.3">
      <c r="Q4799" s="93">
        <v>45917</v>
      </c>
      <c r="R4799" t="s">
        <v>479</v>
      </c>
      <c r="S4799" t="s">
        <v>415</v>
      </c>
      <c r="T4799" s="14">
        <v>6.2438107229754802</v>
      </c>
    </row>
    <row r="4800" spans="17:20" x14ac:dyDescent="0.3">
      <c r="Q4800" s="93">
        <v>45917</v>
      </c>
      <c r="R4800" t="s">
        <v>364</v>
      </c>
      <c r="S4800" t="s">
        <v>415</v>
      </c>
      <c r="T4800" s="14">
        <v>5.58210091288288</v>
      </c>
    </row>
    <row r="4801" spans="17:20" x14ac:dyDescent="0.3">
      <c r="Q4801" s="93">
        <v>45916</v>
      </c>
      <c r="R4801" t="s">
        <v>479</v>
      </c>
      <c r="S4801" t="s">
        <v>399</v>
      </c>
      <c r="T4801" s="14">
        <v>9522.6106</v>
      </c>
    </row>
    <row r="4802" spans="17:20" x14ac:dyDescent="0.3">
      <c r="Q4802" s="93">
        <v>45916</v>
      </c>
      <c r="R4802" t="s">
        <v>364</v>
      </c>
      <c r="S4802" t="s">
        <v>399</v>
      </c>
      <c r="T4802" s="14">
        <v>23045.8367</v>
      </c>
    </row>
    <row r="4803" spans="17:20" x14ac:dyDescent="0.3">
      <c r="Q4803" s="93">
        <v>45916</v>
      </c>
      <c r="R4803" t="s">
        <v>491</v>
      </c>
      <c r="S4803" t="s">
        <v>399</v>
      </c>
      <c r="T4803" s="14">
        <v>8625</v>
      </c>
    </row>
    <row r="4804" spans="17:20" x14ac:dyDescent="0.3">
      <c r="Q4804" s="93">
        <v>45916</v>
      </c>
      <c r="R4804" t="s">
        <v>492</v>
      </c>
      <c r="S4804" t="s">
        <v>399</v>
      </c>
      <c r="T4804" s="14">
        <v>897.61059999999998</v>
      </c>
    </row>
    <row r="4805" spans="17:20" x14ac:dyDescent="0.3">
      <c r="Q4805" s="93">
        <v>45916</v>
      </c>
      <c r="R4805" t="s">
        <v>496</v>
      </c>
      <c r="S4805" t="s">
        <v>399</v>
      </c>
      <c r="T4805" s="14">
        <v>19045.8367</v>
      </c>
    </row>
    <row r="4806" spans="17:20" x14ac:dyDescent="0.3">
      <c r="Q4806" s="93">
        <v>45916</v>
      </c>
      <c r="R4806" t="s">
        <v>497</v>
      </c>
      <c r="S4806" t="s">
        <v>399</v>
      </c>
      <c r="T4806" s="14">
        <v>897.61059999999998</v>
      </c>
    </row>
    <row r="4807" spans="17:20" x14ac:dyDescent="0.3">
      <c r="Q4807" s="93">
        <v>45916</v>
      </c>
      <c r="R4807" t="s">
        <v>498</v>
      </c>
      <c r="S4807" t="s">
        <v>399</v>
      </c>
      <c r="T4807" s="14">
        <v>8625</v>
      </c>
    </row>
    <row r="4808" spans="17:20" x14ac:dyDescent="0.3">
      <c r="Q4808" s="93">
        <v>45916</v>
      </c>
      <c r="R4808" t="s">
        <v>494</v>
      </c>
      <c r="S4808" t="s">
        <v>399</v>
      </c>
      <c r="T4808" s="14">
        <v>4000</v>
      </c>
    </row>
    <row r="4809" spans="17:20" x14ac:dyDescent="0.3">
      <c r="Q4809" s="93">
        <v>45916</v>
      </c>
      <c r="R4809" t="s">
        <v>495</v>
      </c>
      <c r="S4809" t="s">
        <v>399</v>
      </c>
      <c r="T4809" s="14">
        <v>0</v>
      </c>
    </row>
    <row r="4810" spans="17:20" x14ac:dyDescent="0.3">
      <c r="Q4810" s="93">
        <v>45916</v>
      </c>
      <c r="R4810" t="s">
        <v>493</v>
      </c>
      <c r="S4810" t="s">
        <v>399</v>
      </c>
      <c r="T4810" s="14">
        <v>0</v>
      </c>
    </row>
    <row r="4811" spans="17:20" x14ac:dyDescent="0.3">
      <c r="Q4811" s="93">
        <v>45916</v>
      </c>
      <c r="R4811" t="s">
        <v>593</v>
      </c>
      <c r="S4811" t="s">
        <v>399</v>
      </c>
      <c r="T4811" s="14">
        <v>0</v>
      </c>
    </row>
    <row r="4812" spans="17:20" x14ac:dyDescent="0.3">
      <c r="Q4812" s="93">
        <v>45916</v>
      </c>
      <c r="R4812" t="s">
        <v>594</v>
      </c>
      <c r="S4812" t="s">
        <v>399</v>
      </c>
      <c r="T4812" s="14">
        <v>0</v>
      </c>
    </row>
    <row r="4813" spans="17:20" x14ac:dyDescent="0.3">
      <c r="Q4813" s="93">
        <v>45916</v>
      </c>
      <c r="R4813" t="s">
        <v>595</v>
      </c>
      <c r="S4813" t="s">
        <v>399</v>
      </c>
      <c r="T4813" s="14">
        <v>0</v>
      </c>
    </row>
    <row r="4814" spans="17:20" x14ac:dyDescent="0.3">
      <c r="Q4814" s="93">
        <v>45916</v>
      </c>
      <c r="R4814" t="s">
        <v>479</v>
      </c>
      <c r="S4814" t="s">
        <v>395</v>
      </c>
      <c r="T4814" s="14">
        <v>8812.1816565008303</v>
      </c>
    </row>
    <row r="4815" spans="17:20" x14ac:dyDescent="0.3">
      <c r="Q4815" s="93">
        <v>45916</v>
      </c>
      <c r="R4815" t="s">
        <v>479</v>
      </c>
      <c r="S4815" t="s">
        <v>415</v>
      </c>
      <c r="T4815" s="14">
        <v>6.2438107229754802</v>
      </c>
    </row>
    <row r="4816" spans="17:20" x14ac:dyDescent="0.3">
      <c r="Q4816" s="93">
        <v>45916</v>
      </c>
      <c r="R4816" t="s">
        <v>364</v>
      </c>
      <c r="S4816" t="s">
        <v>415</v>
      </c>
      <c r="T4816" s="14">
        <v>5.5706629070437703</v>
      </c>
    </row>
    <row r="4817" spans="17:20" x14ac:dyDescent="0.3">
      <c r="Q4817" s="93">
        <v>45915</v>
      </c>
      <c r="R4817" t="s">
        <v>479</v>
      </c>
      <c r="S4817" t="s">
        <v>399</v>
      </c>
      <c r="T4817" s="14">
        <v>9522.6106</v>
      </c>
    </row>
    <row r="4818" spans="17:20" x14ac:dyDescent="0.3">
      <c r="Q4818" s="93">
        <v>45915</v>
      </c>
      <c r="R4818" t="s">
        <v>364</v>
      </c>
      <c r="S4818" t="s">
        <v>399</v>
      </c>
      <c r="T4818" s="14">
        <v>23545.8367</v>
      </c>
    </row>
    <row r="4819" spans="17:20" x14ac:dyDescent="0.3">
      <c r="Q4819" s="93">
        <v>45915</v>
      </c>
      <c r="R4819" t="s">
        <v>491</v>
      </c>
      <c r="S4819" t="s">
        <v>399</v>
      </c>
      <c r="T4819" s="14">
        <v>8625</v>
      </c>
    </row>
    <row r="4820" spans="17:20" x14ac:dyDescent="0.3">
      <c r="Q4820" s="93">
        <v>45915</v>
      </c>
      <c r="R4820" t="s">
        <v>492</v>
      </c>
      <c r="S4820" t="s">
        <v>399</v>
      </c>
      <c r="T4820" s="14">
        <v>897.61059999999998</v>
      </c>
    </row>
    <row r="4821" spans="17:20" x14ac:dyDescent="0.3">
      <c r="Q4821" s="93">
        <v>45915</v>
      </c>
      <c r="R4821" t="s">
        <v>496</v>
      </c>
      <c r="S4821" t="s">
        <v>399</v>
      </c>
      <c r="T4821" s="14">
        <v>21545.8367</v>
      </c>
    </row>
    <row r="4822" spans="17:20" x14ac:dyDescent="0.3">
      <c r="Q4822" s="93">
        <v>45915</v>
      </c>
      <c r="R4822" t="s">
        <v>497</v>
      </c>
      <c r="S4822" t="s">
        <v>399</v>
      </c>
      <c r="T4822" s="14">
        <v>897.61059999999998</v>
      </c>
    </row>
    <row r="4823" spans="17:20" x14ac:dyDescent="0.3">
      <c r="Q4823" s="93">
        <v>45915</v>
      </c>
      <c r="R4823" t="s">
        <v>498</v>
      </c>
      <c r="S4823" t="s">
        <v>399</v>
      </c>
      <c r="T4823" s="14">
        <v>9100</v>
      </c>
    </row>
    <row r="4824" spans="17:20" x14ac:dyDescent="0.3">
      <c r="Q4824" s="93">
        <v>45915</v>
      </c>
      <c r="R4824" t="s">
        <v>494</v>
      </c>
      <c r="S4824" t="s">
        <v>399</v>
      </c>
      <c r="T4824" s="14">
        <v>2000</v>
      </c>
    </row>
    <row r="4825" spans="17:20" x14ac:dyDescent="0.3">
      <c r="Q4825" s="93">
        <v>45915</v>
      </c>
      <c r="R4825" t="s">
        <v>495</v>
      </c>
      <c r="S4825" t="s">
        <v>399</v>
      </c>
      <c r="T4825" s="14">
        <v>0</v>
      </c>
    </row>
    <row r="4826" spans="17:20" x14ac:dyDescent="0.3">
      <c r="Q4826" s="93">
        <v>45915</v>
      </c>
      <c r="R4826" t="s">
        <v>493</v>
      </c>
      <c r="S4826" t="s">
        <v>399</v>
      </c>
      <c r="T4826" s="14">
        <v>-475</v>
      </c>
    </row>
    <row r="4827" spans="17:20" x14ac:dyDescent="0.3">
      <c r="Q4827" s="93">
        <v>45915</v>
      </c>
      <c r="R4827" t="s">
        <v>593</v>
      </c>
      <c r="S4827" t="s">
        <v>399</v>
      </c>
      <c r="T4827" s="14">
        <v>0</v>
      </c>
    </row>
    <row r="4828" spans="17:20" x14ac:dyDescent="0.3">
      <c r="Q4828" s="93">
        <v>45915</v>
      </c>
      <c r="R4828" t="s">
        <v>594</v>
      </c>
      <c r="S4828" t="s">
        <v>399</v>
      </c>
      <c r="T4828" s="14">
        <v>0</v>
      </c>
    </row>
    <row r="4829" spans="17:20" x14ac:dyDescent="0.3">
      <c r="Q4829" s="93">
        <v>45915</v>
      </c>
      <c r="R4829" t="s">
        <v>595</v>
      </c>
      <c r="S4829" t="s">
        <v>399</v>
      </c>
      <c r="T4829" s="14">
        <v>0</v>
      </c>
    </row>
    <row r="4830" spans="17:20" x14ac:dyDescent="0.3">
      <c r="Q4830" s="93">
        <v>45915</v>
      </c>
      <c r="R4830" t="s">
        <v>479</v>
      </c>
      <c r="S4830" t="s">
        <v>395</v>
      </c>
      <c r="T4830" s="14">
        <v>8812.0115678996699</v>
      </c>
    </row>
    <row r="4831" spans="17:20" x14ac:dyDescent="0.3">
      <c r="Q4831" s="93">
        <v>45915</v>
      </c>
      <c r="R4831" t="s">
        <v>479</v>
      </c>
      <c r="S4831" t="s">
        <v>415</v>
      </c>
      <c r="T4831" s="14">
        <v>6.2438107229754802</v>
      </c>
    </row>
    <row r="4832" spans="17:20" x14ac:dyDescent="0.3">
      <c r="Q4832" s="93">
        <v>45915</v>
      </c>
      <c r="R4832" t="s">
        <v>364</v>
      </c>
      <c r="S4832" t="s">
        <v>415</v>
      </c>
      <c r="T4832" s="14">
        <v>5.5579218010970104</v>
      </c>
    </row>
    <row r="4833" spans="17:20" x14ac:dyDescent="0.3">
      <c r="Q4833" s="93">
        <v>45912</v>
      </c>
      <c r="R4833" t="s">
        <v>479</v>
      </c>
      <c r="S4833" t="s">
        <v>399</v>
      </c>
      <c r="T4833" s="14">
        <v>9522.6106</v>
      </c>
    </row>
    <row r="4834" spans="17:20" x14ac:dyDescent="0.3">
      <c r="Q4834" s="93">
        <v>45912</v>
      </c>
      <c r="R4834" t="s">
        <v>364</v>
      </c>
      <c r="S4834" t="s">
        <v>399</v>
      </c>
      <c r="T4834" s="14">
        <v>22745.8367</v>
      </c>
    </row>
    <row r="4835" spans="17:20" x14ac:dyDescent="0.3">
      <c r="Q4835" s="93">
        <v>45912</v>
      </c>
      <c r="R4835" t="s">
        <v>491</v>
      </c>
      <c r="S4835" t="s">
        <v>399</v>
      </c>
      <c r="T4835" s="14">
        <v>8625</v>
      </c>
    </row>
    <row r="4836" spans="17:20" x14ac:dyDescent="0.3">
      <c r="Q4836" s="93">
        <v>45912</v>
      </c>
      <c r="R4836" t="s">
        <v>492</v>
      </c>
      <c r="S4836" t="s">
        <v>399</v>
      </c>
      <c r="T4836" s="14">
        <v>897.61059999999998</v>
      </c>
    </row>
    <row r="4837" spans="17:20" x14ac:dyDescent="0.3">
      <c r="Q4837" s="93">
        <v>45912</v>
      </c>
      <c r="R4837" t="s">
        <v>496</v>
      </c>
      <c r="S4837" t="s">
        <v>399</v>
      </c>
      <c r="T4837" s="14">
        <v>21245.8367</v>
      </c>
    </row>
    <row r="4838" spans="17:20" x14ac:dyDescent="0.3">
      <c r="Q4838" s="93">
        <v>45912</v>
      </c>
      <c r="R4838" t="s">
        <v>497</v>
      </c>
      <c r="S4838" t="s">
        <v>399</v>
      </c>
      <c r="T4838" s="14">
        <v>897.61059999999998</v>
      </c>
    </row>
    <row r="4839" spans="17:20" x14ac:dyDescent="0.3">
      <c r="Q4839" s="93">
        <v>45912</v>
      </c>
      <c r="R4839" t="s">
        <v>498</v>
      </c>
      <c r="S4839" t="s">
        <v>399</v>
      </c>
      <c r="T4839" s="14">
        <v>11000</v>
      </c>
    </row>
    <row r="4840" spans="17:20" x14ac:dyDescent="0.3">
      <c r="Q4840" s="93">
        <v>45912</v>
      </c>
      <c r="R4840" t="s">
        <v>494</v>
      </c>
      <c r="S4840" t="s">
        <v>399</v>
      </c>
      <c r="T4840" s="14">
        <v>1500</v>
      </c>
    </row>
    <row r="4841" spans="17:20" x14ac:dyDescent="0.3">
      <c r="Q4841" s="93">
        <v>45912</v>
      </c>
      <c r="R4841" t="s">
        <v>495</v>
      </c>
      <c r="S4841" t="s">
        <v>399</v>
      </c>
      <c r="T4841" s="14">
        <v>0</v>
      </c>
    </row>
    <row r="4842" spans="17:20" x14ac:dyDescent="0.3">
      <c r="Q4842" s="93">
        <v>45912</v>
      </c>
      <c r="R4842" t="s">
        <v>493</v>
      </c>
      <c r="S4842" t="s">
        <v>399</v>
      </c>
      <c r="T4842" s="14">
        <v>-2375</v>
      </c>
    </row>
    <row r="4843" spans="17:20" x14ac:dyDescent="0.3">
      <c r="Q4843" s="93">
        <v>45912</v>
      </c>
      <c r="R4843" t="s">
        <v>593</v>
      </c>
      <c r="S4843" t="s">
        <v>399</v>
      </c>
      <c r="T4843" s="14">
        <v>0</v>
      </c>
    </row>
    <row r="4844" spans="17:20" x14ac:dyDescent="0.3">
      <c r="Q4844" s="93">
        <v>45912</v>
      </c>
      <c r="R4844" t="s">
        <v>594</v>
      </c>
      <c r="S4844" t="s">
        <v>399</v>
      </c>
      <c r="T4844" s="14">
        <v>0</v>
      </c>
    </row>
    <row r="4845" spans="17:20" x14ac:dyDescent="0.3">
      <c r="Q4845" s="93">
        <v>45912</v>
      </c>
      <c r="R4845" t="s">
        <v>595</v>
      </c>
      <c r="S4845" t="s">
        <v>399</v>
      </c>
      <c r="T4845" s="14">
        <v>0</v>
      </c>
    </row>
    <row r="4846" spans="17:20" x14ac:dyDescent="0.3">
      <c r="Q4846" s="93">
        <v>45912</v>
      </c>
      <c r="R4846" t="s">
        <v>479</v>
      </c>
      <c r="S4846" t="s">
        <v>395</v>
      </c>
      <c r="T4846" s="14">
        <v>8821.4893021042499</v>
      </c>
    </row>
    <row r="4847" spans="17:20" x14ac:dyDescent="0.3">
      <c r="Q4847" s="93">
        <v>45912</v>
      </c>
      <c r="R4847" t="s">
        <v>479</v>
      </c>
      <c r="S4847" t="s">
        <v>415</v>
      </c>
      <c r="T4847" s="14">
        <v>6.2438107229754802</v>
      </c>
    </row>
    <row r="4848" spans="17:20" x14ac:dyDescent="0.3">
      <c r="Q4848" s="93">
        <v>45912</v>
      </c>
      <c r="R4848" t="s">
        <v>364</v>
      </c>
      <c r="S4848" t="s">
        <v>415</v>
      </c>
      <c r="T4848" s="14">
        <v>5.5669932388110404</v>
      </c>
    </row>
    <row r="4849" spans="17:20" x14ac:dyDescent="0.3">
      <c r="Q4849" s="93">
        <v>45911</v>
      </c>
      <c r="R4849" t="s">
        <v>479</v>
      </c>
      <c r="S4849" t="s">
        <v>399</v>
      </c>
      <c r="T4849" s="14">
        <v>9522.6106</v>
      </c>
    </row>
    <row r="4850" spans="17:20" x14ac:dyDescent="0.3">
      <c r="Q4850" s="93">
        <v>45911</v>
      </c>
      <c r="R4850" t="s">
        <v>364</v>
      </c>
      <c r="S4850" t="s">
        <v>399</v>
      </c>
      <c r="T4850" s="14">
        <v>22745.8367</v>
      </c>
    </row>
    <row r="4851" spans="17:20" x14ac:dyDescent="0.3">
      <c r="Q4851" s="93">
        <v>45911</v>
      </c>
      <c r="R4851" t="s">
        <v>491</v>
      </c>
      <c r="S4851" t="s">
        <v>399</v>
      </c>
      <c r="T4851" s="14">
        <v>8625</v>
      </c>
    </row>
    <row r="4852" spans="17:20" x14ac:dyDescent="0.3">
      <c r="Q4852" s="93">
        <v>45911</v>
      </c>
      <c r="R4852" t="s">
        <v>492</v>
      </c>
      <c r="S4852" t="s">
        <v>399</v>
      </c>
      <c r="T4852" s="14">
        <v>897.61059999999998</v>
      </c>
    </row>
    <row r="4853" spans="17:20" x14ac:dyDescent="0.3">
      <c r="Q4853" s="93">
        <v>45911</v>
      </c>
      <c r="R4853" t="s">
        <v>496</v>
      </c>
      <c r="S4853" t="s">
        <v>399</v>
      </c>
      <c r="T4853" s="14">
        <v>20445.8367</v>
      </c>
    </row>
    <row r="4854" spans="17:20" x14ac:dyDescent="0.3">
      <c r="Q4854" s="93">
        <v>45911</v>
      </c>
      <c r="R4854" t="s">
        <v>497</v>
      </c>
      <c r="S4854" t="s">
        <v>399</v>
      </c>
      <c r="T4854" s="14">
        <v>897.61059999999998</v>
      </c>
    </row>
    <row r="4855" spans="17:20" x14ac:dyDescent="0.3">
      <c r="Q4855" s="93">
        <v>45911</v>
      </c>
      <c r="R4855" t="s">
        <v>498</v>
      </c>
      <c r="S4855" t="s">
        <v>399</v>
      </c>
      <c r="T4855" s="14">
        <v>11000</v>
      </c>
    </row>
    <row r="4856" spans="17:20" x14ac:dyDescent="0.3">
      <c r="Q4856" s="93">
        <v>45911</v>
      </c>
      <c r="R4856" t="s">
        <v>494</v>
      </c>
      <c r="S4856" t="s">
        <v>399</v>
      </c>
      <c r="T4856" s="14">
        <v>2300</v>
      </c>
    </row>
    <row r="4857" spans="17:20" x14ac:dyDescent="0.3">
      <c r="Q4857" s="93">
        <v>45911</v>
      </c>
      <c r="R4857" t="s">
        <v>495</v>
      </c>
      <c r="S4857" t="s">
        <v>399</v>
      </c>
      <c r="T4857" s="14">
        <v>0</v>
      </c>
    </row>
    <row r="4858" spans="17:20" x14ac:dyDescent="0.3">
      <c r="Q4858" s="93">
        <v>45911</v>
      </c>
      <c r="R4858" t="s">
        <v>493</v>
      </c>
      <c r="S4858" t="s">
        <v>399</v>
      </c>
      <c r="T4858" s="14">
        <v>-2375</v>
      </c>
    </row>
    <row r="4859" spans="17:20" x14ac:dyDescent="0.3">
      <c r="Q4859" s="93">
        <v>45911</v>
      </c>
      <c r="R4859" t="s">
        <v>593</v>
      </c>
      <c r="S4859" t="s">
        <v>399</v>
      </c>
      <c r="T4859" s="14">
        <v>0</v>
      </c>
    </row>
    <row r="4860" spans="17:20" x14ac:dyDescent="0.3">
      <c r="Q4860" s="93">
        <v>45911</v>
      </c>
      <c r="R4860" t="s">
        <v>594</v>
      </c>
      <c r="S4860" t="s">
        <v>399</v>
      </c>
      <c r="T4860" s="14">
        <v>0</v>
      </c>
    </row>
    <row r="4861" spans="17:20" x14ac:dyDescent="0.3">
      <c r="Q4861" s="93">
        <v>45911</v>
      </c>
      <c r="R4861" t="s">
        <v>595</v>
      </c>
      <c r="S4861" t="s">
        <v>399</v>
      </c>
      <c r="T4861" s="14">
        <v>0</v>
      </c>
    </row>
    <row r="4862" spans="17:20" x14ac:dyDescent="0.3">
      <c r="Q4862" s="93">
        <v>45911</v>
      </c>
      <c r="R4862" t="s">
        <v>479</v>
      </c>
      <c r="S4862" t="s">
        <v>395</v>
      </c>
      <c r="T4862" s="14">
        <v>8817.0264499643908</v>
      </c>
    </row>
    <row r="4863" spans="17:20" x14ac:dyDescent="0.3">
      <c r="Q4863" s="93">
        <v>45911</v>
      </c>
      <c r="R4863" t="s">
        <v>479</v>
      </c>
      <c r="S4863" t="s">
        <v>415</v>
      </c>
      <c r="T4863" s="14">
        <v>6.2438107229754802</v>
      </c>
    </row>
    <row r="4864" spans="17:20" x14ac:dyDescent="0.3">
      <c r="Q4864" s="93">
        <v>45911</v>
      </c>
      <c r="R4864" t="s">
        <v>364</v>
      </c>
      <c r="S4864" t="s">
        <v>415</v>
      </c>
      <c r="T4864" s="14">
        <v>5.5669932388110404</v>
      </c>
    </row>
    <row r="4865" spans="17:20" x14ac:dyDescent="0.3">
      <c r="Q4865" s="93">
        <v>45910</v>
      </c>
      <c r="R4865" t="s">
        <v>493</v>
      </c>
      <c r="S4865" t="s">
        <v>399</v>
      </c>
      <c r="T4865" s="14">
        <v>-475</v>
      </c>
    </row>
    <row r="4866" spans="17:20" x14ac:dyDescent="0.3">
      <c r="Q4866" s="93">
        <v>45910</v>
      </c>
      <c r="R4866" t="s">
        <v>593</v>
      </c>
      <c r="S4866" t="s">
        <v>399</v>
      </c>
      <c r="T4866" s="14">
        <v>-250</v>
      </c>
    </row>
    <row r="4867" spans="17:20" x14ac:dyDescent="0.3">
      <c r="Q4867" s="93">
        <v>45910</v>
      </c>
      <c r="R4867" t="s">
        <v>594</v>
      </c>
      <c r="S4867" t="s">
        <v>399</v>
      </c>
      <c r="T4867" s="14">
        <v>0</v>
      </c>
    </row>
    <row r="4868" spans="17:20" x14ac:dyDescent="0.3">
      <c r="Q4868" s="93">
        <v>45910</v>
      </c>
      <c r="R4868" t="s">
        <v>595</v>
      </c>
      <c r="S4868" t="s">
        <v>399</v>
      </c>
      <c r="T4868" s="14">
        <v>0</v>
      </c>
    </row>
    <row r="4869" spans="17:20" x14ac:dyDescent="0.3">
      <c r="Q4869" s="93">
        <v>45910</v>
      </c>
      <c r="R4869" t="s">
        <v>479</v>
      </c>
      <c r="S4869" t="s">
        <v>395</v>
      </c>
      <c r="T4869" s="14">
        <v>10837.678466084501</v>
      </c>
    </row>
    <row r="4870" spans="17:20" x14ac:dyDescent="0.3">
      <c r="Q4870" s="93">
        <v>45910</v>
      </c>
      <c r="R4870" t="s">
        <v>479</v>
      </c>
      <c r="S4870" t="s">
        <v>415</v>
      </c>
      <c r="T4870" s="14">
        <v>6.1034539840655997</v>
      </c>
    </row>
    <row r="4871" spans="17:20" x14ac:dyDescent="0.3">
      <c r="Q4871" s="93">
        <v>45910</v>
      </c>
      <c r="R4871" t="s">
        <v>364</v>
      </c>
      <c r="S4871" t="s">
        <v>415</v>
      </c>
      <c r="T4871" s="14">
        <v>5.5669932388110404</v>
      </c>
    </row>
    <row r="4872" spans="17:20" x14ac:dyDescent="0.3">
      <c r="Q4872" s="93">
        <v>45910</v>
      </c>
      <c r="R4872" t="s">
        <v>479</v>
      </c>
      <c r="S4872" t="s">
        <v>399</v>
      </c>
      <c r="T4872" s="14">
        <v>11422.6106</v>
      </c>
    </row>
    <row r="4873" spans="17:20" x14ac:dyDescent="0.3">
      <c r="Q4873" s="93">
        <v>45910</v>
      </c>
      <c r="R4873" t="s">
        <v>364</v>
      </c>
      <c r="S4873" t="s">
        <v>399</v>
      </c>
      <c r="T4873" s="14">
        <v>22745.8367</v>
      </c>
    </row>
    <row r="4874" spans="17:20" x14ac:dyDescent="0.3">
      <c r="Q4874" s="93">
        <v>45910</v>
      </c>
      <c r="R4874" t="s">
        <v>491</v>
      </c>
      <c r="S4874" t="s">
        <v>399</v>
      </c>
      <c r="T4874" s="14">
        <v>10525</v>
      </c>
    </row>
    <row r="4875" spans="17:20" x14ac:dyDescent="0.3">
      <c r="Q4875" s="93">
        <v>45910</v>
      </c>
      <c r="R4875" t="s">
        <v>492</v>
      </c>
      <c r="S4875" t="s">
        <v>399</v>
      </c>
      <c r="T4875" s="14">
        <v>897.61059999999998</v>
      </c>
    </row>
    <row r="4876" spans="17:20" x14ac:dyDescent="0.3">
      <c r="Q4876" s="93">
        <v>45910</v>
      </c>
      <c r="R4876" t="s">
        <v>496</v>
      </c>
      <c r="S4876" t="s">
        <v>399</v>
      </c>
      <c r="T4876" s="14">
        <v>20285.8367</v>
      </c>
    </row>
    <row r="4877" spans="17:20" x14ac:dyDescent="0.3">
      <c r="Q4877" s="93">
        <v>45910</v>
      </c>
      <c r="R4877" t="s">
        <v>497</v>
      </c>
      <c r="S4877" t="s">
        <v>399</v>
      </c>
      <c r="T4877" s="14">
        <v>897.61059999999998</v>
      </c>
    </row>
    <row r="4878" spans="17:20" x14ac:dyDescent="0.3">
      <c r="Q4878" s="93">
        <v>45910</v>
      </c>
      <c r="R4878" t="s">
        <v>498</v>
      </c>
      <c r="S4878" t="s">
        <v>399</v>
      </c>
      <c r="T4878" s="14">
        <v>11000</v>
      </c>
    </row>
    <row r="4879" spans="17:20" x14ac:dyDescent="0.3">
      <c r="Q4879" s="93">
        <v>45910</v>
      </c>
      <c r="R4879" t="s">
        <v>494</v>
      </c>
      <c r="S4879" t="s">
        <v>399</v>
      </c>
      <c r="T4879" s="14">
        <v>2710</v>
      </c>
    </row>
    <row r="4880" spans="17:20" x14ac:dyDescent="0.3">
      <c r="Q4880" s="93">
        <v>45910</v>
      </c>
      <c r="R4880" t="s">
        <v>495</v>
      </c>
      <c r="S4880" t="s">
        <v>399</v>
      </c>
      <c r="T4880" s="14">
        <v>0</v>
      </c>
    </row>
    <row r="4881" spans="17:20" x14ac:dyDescent="0.3">
      <c r="Q4881" s="93">
        <v>45909</v>
      </c>
      <c r="R4881" t="s">
        <v>479</v>
      </c>
      <c r="S4881" t="s">
        <v>399</v>
      </c>
      <c r="T4881" s="14">
        <v>11897.6106</v>
      </c>
    </row>
    <row r="4882" spans="17:20" x14ac:dyDescent="0.3">
      <c r="Q4882" s="93">
        <v>45909</v>
      </c>
      <c r="R4882" t="s">
        <v>364</v>
      </c>
      <c r="S4882" t="s">
        <v>399</v>
      </c>
      <c r="T4882" s="14">
        <v>22245.8367</v>
      </c>
    </row>
    <row r="4883" spans="17:20" x14ac:dyDescent="0.3">
      <c r="Q4883" s="93">
        <v>45909</v>
      </c>
      <c r="R4883" t="s">
        <v>491</v>
      </c>
      <c r="S4883" t="s">
        <v>399</v>
      </c>
      <c r="T4883" s="14">
        <v>11000</v>
      </c>
    </row>
    <row r="4884" spans="17:20" x14ac:dyDescent="0.3">
      <c r="Q4884" s="93">
        <v>45909</v>
      </c>
      <c r="R4884" t="s">
        <v>492</v>
      </c>
      <c r="S4884" t="s">
        <v>399</v>
      </c>
      <c r="T4884" s="14">
        <v>897.61059999999998</v>
      </c>
    </row>
    <row r="4885" spans="17:20" x14ac:dyDescent="0.3">
      <c r="Q4885" s="93">
        <v>45909</v>
      </c>
      <c r="R4885" t="s">
        <v>496</v>
      </c>
      <c r="S4885" t="s">
        <v>399</v>
      </c>
      <c r="T4885" s="14">
        <v>19785.8367</v>
      </c>
    </row>
    <row r="4886" spans="17:20" x14ac:dyDescent="0.3">
      <c r="Q4886" s="93">
        <v>45909</v>
      </c>
      <c r="R4886" t="s">
        <v>497</v>
      </c>
      <c r="S4886" t="s">
        <v>399</v>
      </c>
      <c r="T4886" s="14">
        <v>897.61059999999998</v>
      </c>
    </row>
    <row r="4887" spans="17:20" x14ac:dyDescent="0.3">
      <c r="Q4887" s="93">
        <v>45909</v>
      </c>
      <c r="R4887" t="s">
        <v>498</v>
      </c>
      <c r="S4887" t="s">
        <v>399</v>
      </c>
      <c r="T4887" s="14">
        <v>11000</v>
      </c>
    </row>
    <row r="4888" spans="17:20" x14ac:dyDescent="0.3">
      <c r="Q4888" s="93">
        <v>45909</v>
      </c>
      <c r="R4888" t="s">
        <v>494</v>
      </c>
      <c r="S4888" t="s">
        <v>399</v>
      </c>
      <c r="T4888" s="14">
        <v>3100</v>
      </c>
    </row>
    <row r="4889" spans="17:20" x14ac:dyDescent="0.3">
      <c r="Q4889" s="93">
        <v>45909</v>
      </c>
      <c r="R4889" t="s">
        <v>495</v>
      </c>
      <c r="S4889" t="s">
        <v>399</v>
      </c>
      <c r="T4889" s="14">
        <v>0</v>
      </c>
    </row>
    <row r="4890" spans="17:20" x14ac:dyDescent="0.3">
      <c r="Q4890" s="93">
        <v>45909</v>
      </c>
      <c r="R4890" t="s">
        <v>493</v>
      </c>
      <c r="S4890" t="s">
        <v>399</v>
      </c>
      <c r="T4890" s="14">
        <v>0</v>
      </c>
    </row>
    <row r="4891" spans="17:20" x14ac:dyDescent="0.3">
      <c r="Q4891" s="93">
        <v>45909</v>
      </c>
      <c r="R4891" t="s">
        <v>593</v>
      </c>
      <c r="S4891" t="s">
        <v>399</v>
      </c>
      <c r="T4891" s="14">
        <v>-640</v>
      </c>
    </row>
    <row r="4892" spans="17:20" x14ac:dyDescent="0.3">
      <c r="Q4892" s="93">
        <v>45909</v>
      </c>
      <c r="R4892" t="s">
        <v>594</v>
      </c>
      <c r="S4892" t="s">
        <v>399</v>
      </c>
      <c r="T4892" s="14">
        <v>0</v>
      </c>
    </row>
    <row r="4893" spans="17:20" x14ac:dyDescent="0.3">
      <c r="Q4893" s="93">
        <v>45909</v>
      </c>
      <c r="R4893" t="s">
        <v>595</v>
      </c>
      <c r="S4893" t="s">
        <v>399</v>
      </c>
      <c r="T4893" s="14">
        <v>0</v>
      </c>
    </row>
    <row r="4894" spans="17:20" x14ac:dyDescent="0.3">
      <c r="Q4894" s="93">
        <v>45909</v>
      </c>
      <c r="R4894" t="s">
        <v>479</v>
      </c>
      <c r="S4894" t="s">
        <v>395</v>
      </c>
      <c r="T4894" s="14">
        <v>11336.091778672901</v>
      </c>
    </row>
    <row r="4895" spans="17:20" x14ac:dyDescent="0.3">
      <c r="Q4895" s="93">
        <v>45909</v>
      </c>
      <c r="R4895" t="s">
        <v>479</v>
      </c>
      <c r="S4895" t="s">
        <v>415</v>
      </c>
      <c r="T4895" s="14">
        <v>6.0913388924495502</v>
      </c>
    </row>
    <row r="4896" spans="17:20" x14ac:dyDescent="0.3">
      <c r="Q4896" s="93">
        <v>45909</v>
      </c>
      <c r="R4896" t="s">
        <v>364</v>
      </c>
      <c r="S4896" t="s">
        <v>415</v>
      </c>
      <c r="T4896" s="14">
        <v>5.5927731915788099</v>
      </c>
    </row>
    <row r="4897" spans="17:20" x14ac:dyDescent="0.3">
      <c r="Q4897" s="93">
        <v>45908</v>
      </c>
      <c r="R4897" t="s">
        <v>479</v>
      </c>
      <c r="S4897" t="s">
        <v>399</v>
      </c>
      <c r="T4897" s="14">
        <v>11897.6106</v>
      </c>
    </row>
    <row r="4898" spans="17:20" x14ac:dyDescent="0.3">
      <c r="Q4898" s="93">
        <v>45908</v>
      </c>
      <c r="R4898" t="s">
        <v>364</v>
      </c>
      <c r="S4898" t="s">
        <v>399</v>
      </c>
      <c r="T4898" s="14">
        <v>20785.8367</v>
      </c>
    </row>
    <row r="4899" spans="17:20" x14ac:dyDescent="0.3">
      <c r="Q4899" s="93">
        <v>45908</v>
      </c>
      <c r="R4899" t="s">
        <v>491</v>
      </c>
      <c r="S4899" t="s">
        <v>399</v>
      </c>
      <c r="T4899" s="14">
        <v>11000</v>
      </c>
    </row>
    <row r="4900" spans="17:20" x14ac:dyDescent="0.3">
      <c r="Q4900" s="93">
        <v>45908</v>
      </c>
      <c r="R4900" t="s">
        <v>492</v>
      </c>
      <c r="S4900" t="s">
        <v>399</v>
      </c>
      <c r="T4900" s="14">
        <v>897.61059999999998</v>
      </c>
    </row>
    <row r="4901" spans="17:20" x14ac:dyDescent="0.3">
      <c r="Q4901" s="93">
        <v>45908</v>
      </c>
      <c r="R4901" t="s">
        <v>496</v>
      </c>
      <c r="S4901" t="s">
        <v>399</v>
      </c>
      <c r="T4901" s="14">
        <v>19985.8367</v>
      </c>
    </row>
    <row r="4902" spans="17:20" x14ac:dyDescent="0.3">
      <c r="Q4902" s="93">
        <v>45908</v>
      </c>
      <c r="R4902" t="s">
        <v>497</v>
      </c>
      <c r="S4902" t="s">
        <v>399</v>
      </c>
      <c r="T4902" s="14">
        <v>897.61059999999998</v>
      </c>
    </row>
    <row r="4903" spans="17:20" x14ac:dyDescent="0.3">
      <c r="Q4903" s="93">
        <v>45908</v>
      </c>
      <c r="R4903" t="s">
        <v>498</v>
      </c>
      <c r="S4903" t="s">
        <v>399</v>
      </c>
      <c r="T4903" s="14">
        <v>11000</v>
      </c>
    </row>
    <row r="4904" spans="17:20" x14ac:dyDescent="0.3">
      <c r="Q4904" s="93">
        <v>45908</v>
      </c>
      <c r="R4904" t="s">
        <v>494</v>
      </c>
      <c r="S4904" t="s">
        <v>399</v>
      </c>
      <c r="T4904" s="14">
        <v>800</v>
      </c>
    </row>
    <row r="4905" spans="17:20" x14ac:dyDescent="0.3">
      <c r="Q4905" s="93">
        <v>45908</v>
      </c>
      <c r="R4905" t="s">
        <v>495</v>
      </c>
      <c r="S4905" t="s">
        <v>399</v>
      </c>
      <c r="T4905" s="14">
        <v>0</v>
      </c>
    </row>
    <row r="4906" spans="17:20" x14ac:dyDescent="0.3">
      <c r="Q4906" s="93">
        <v>45908</v>
      </c>
      <c r="R4906" t="s">
        <v>493</v>
      </c>
      <c r="S4906" t="s">
        <v>399</v>
      </c>
      <c r="T4906" s="14">
        <v>0</v>
      </c>
    </row>
    <row r="4907" spans="17:20" x14ac:dyDescent="0.3">
      <c r="Q4907" s="93">
        <v>45908</v>
      </c>
      <c r="R4907" t="s">
        <v>593</v>
      </c>
      <c r="S4907" t="s">
        <v>399</v>
      </c>
      <c r="T4907" s="14">
        <v>0</v>
      </c>
    </row>
    <row r="4908" spans="17:20" x14ac:dyDescent="0.3">
      <c r="Q4908" s="93">
        <v>45908</v>
      </c>
      <c r="R4908" t="s">
        <v>594</v>
      </c>
      <c r="S4908" t="s">
        <v>399</v>
      </c>
      <c r="T4908" s="14">
        <v>0</v>
      </c>
    </row>
    <row r="4909" spans="17:20" x14ac:dyDescent="0.3">
      <c r="Q4909" s="93">
        <v>45908</v>
      </c>
      <c r="R4909" t="s">
        <v>595</v>
      </c>
      <c r="S4909" t="s">
        <v>399</v>
      </c>
      <c r="T4909" s="14">
        <v>0</v>
      </c>
    </row>
    <row r="4910" spans="17:20" x14ac:dyDescent="0.3">
      <c r="Q4910" s="93">
        <v>45908</v>
      </c>
      <c r="R4910" t="s">
        <v>479</v>
      </c>
      <c r="S4910" t="s">
        <v>395</v>
      </c>
      <c r="T4910" s="14">
        <v>12377.622744828301</v>
      </c>
    </row>
    <row r="4911" spans="17:20" x14ac:dyDescent="0.3">
      <c r="Q4911" s="93">
        <v>45908</v>
      </c>
      <c r="R4911" t="s">
        <v>479</v>
      </c>
      <c r="S4911" t="s">
        <v>415</v>
      </c>
      <c r="T4911" s="14">
        <v>6.0913388924495502</v>
      </c>
    </row>
    <row r="4912" spans="17:20" x14ac:dyDescent="0.3">
      <c r="Q4912" s="93">
        <v>45908</v>
      </c>
      <c r="R4912" t="s">
        <v>364</v>
      </c>
      <c r="S4912" t="s">
        <v>415</v>
      </c>
      <c r="T4912" s="14">
        <v>5.6189664532484302</v>
      </c>
    </row>
    <row r="4913" spans="17:20" x14ac:dyDescent="0.3">
      <c r="Q4913" s="93">
        <v>45905</v>
      </c>
      <c r="R4913" t="s">
        <v>479</v>
      </c>
      <c r="S4913" t="s">
        <v>399</v>
      </c>
      <c r="T4913" s="14">
        <v>11897.6106</v>
      </c>
    </row>
    <row r="4914" spans="17:20" x14ac:dyDescent="0.3">
      <c r="Q4914" s="93">
        <v>45905</v>
      </c>
      <c r="R4914" t="s">
        <v>364</v>
      </c>
      <c r="S4914" t="s">
        <v>399</v>
      </c>
      <c r="T4914" s="14">
        <v>21285.8367</v>
      </c>
    </row>
    <row r="4915" spans="17:20" x14ac:dyDescent="0.3">
      <c r="Q4915" s="93">
        <v>45905</v>
      </c>
      <c r="R4915" t="s">
        <v>491</v>
      </c>
      <c r="S4915" t="s">
        <v>399</v>
      </c>
      <c r="T4915" s="14">
        <v>11000</v>
      </c>
    </row>
    <row r="4916" spans="17:20" x14ac:dyDescent="0.3">
      <c r="Q4916" s="93">
        <v>45905</v>
      </c>
      <c r="R4916" t="s">
        <v>492</v>
      </c>
      <c r="S4916" t="s">
        <v>399</v>
      </c>
      <c r="T4916" s="14">
        <v>897.61059999999998</v>
      </c>
    </row>
    <row r="4917" spans="17:20" x14ac:dyDescent="0.3">
      <c r="Q4917" s="93">
        <v>45905</v>
      </c>
      <c r="R4917" t="s">
        <v>496</v>
      </c>
      <c r="S4917" t="s">
        <v>399</v>
      </c>
      <c r="T4917" s="14">
        <v>19985.8367</v>
      </c>
    </row>
    <row r="4918" spans="17:20" x14ac:dyDescent="0.3">
      <c r="Q4918" s="93">
        <v>45905</v>
      </c>
      <c r="R4918" t="s">
        <v>497</v>
      </c>
      <c r="S4918" t="s">
        <v>399</v>
      </c>
      <c r="T4918" s="14">
        <v>897.61059999999998</v>
      </c>
    </row>
    <row r="4919" spans="17:20" x14ac:dyDescent="0.3">
      <c r="Q4919" s="93">
        <v>45905</v>
      </c>
      <c r="R4919" t="s">
        <v>498</v>
      </c>
      <c r="S4919" t="s">
        <v>399</v>
      </c>
      <c r="T4919" s="14">
        <v>11000</v>
      </c>
    </row>
    <row r="4920" spans="17:20" x14ac:dyDescent="0.3">
      <c r="Q4920" s="93">
        <v>45905</v>
      </c>
      <c r="R4920" t="s">
        <v>494</v>
      </c>
      <c r="S4920" t="s">
        <v>399</v>
      </c>
      <c r="T4920" s="14">
        <v>1300</v>
      </c>
    </row>
    <row r="4921" spans="17:20" x14ac:dyDescent="0.3">
      <c r="Q4921" s="93">
        <v>45905</v>
      </c>
      <c r="R4921" t="s">
        <v>495</v>
      </c>
      <c r="S4921" t="s">
        <v>399</v>
      </c>
      <c r="T4921" s="14">
        <v>0</v>
      </c>
    </row>
    <row r="4922" spans="17:20" x14ac:dyDescent="0.3">
      <c r="Q4922" s="93">
        <v>45905</v>
      </c>
      <c r="R4922" t="s">
        <v>493</v>
      </c>
      <c r="S4922" t="s">
        <v>399</v>
      </c>
      <c r="T4922" s="14">
        <v>0</v>
      </c>
    </row>
    <row r="4923" spans="17:20" x14ac:dyDescent="0.3">
      <c r="Q4923" s="93">
        <v>45905</v>
      </c>
      <c r="R4923" t="s">
        <v>593</v>
      </c>
      <c r="S4923" t="s">
        <v>399</v>
      </c>
      <c r="T4923" s="14">
        <v>0</v>
      </c>
    </row>
    <row r="4924" spans="17:20" x14ac:dyDescent="0.3">
      <c r="Q4924" s="93">
        <v>45905</v>
      </c>
      <c r="R4924" t="s">
        <v>594</v>
      </c>
      <c r="S4924" t="s">
        <v>399</v>
      </c>
      <c r="T4924" s="14">
        <v>0</v>
      </c>
    </row>
    <row r="4925" spans="17:20" x14ac:dyDescent="0.3">
      <c r="Q4925" s="93">
        <v>45905</v>
      </c>
      <c r="R4925" t="s">
        <v>595</v>
      </c>
      <c r="S4925" t="s">
        <v>399</v>
      </c>
      <c r="T4925" s="14">
        <v>0</v>
      </c>
    </row>
    <row r="4926" spans="17:20" x14ac:dyDescent="0.3">
      <c r="Q4926" s="93">
        <v>45905</v>
      </c>
      <c r="R4926" t="s">
        <v>479</v>
      </c>
      <c r="S4926" t="s">
        <v>395</v>
      </c>
      <c r="T4926" s="14">
        <v>12900.5318715826</v>
      </c>
    </row>
    <row r="4927" spans="17:20" x14ac:dyDescent="0.3">
      <c r="Q4927" s="93">
        <v>45905</v>
      </c>
      <c r="R4927" t="s">
        <v>479</v>
      </c>
      <c r="S4927" t="s">
        <v>415</v>
      </c>
      <c r="T4927" s="14">
        <v>6.0913388924495502</v>
      </c>
    </row>
    <row r="4928" spans="17:20" x14ac:dyDescent="0.3">
      <c r="Q4928" s="93">
        <v>45905</v>
      </c>
      <c r="R4928" t="s">
        <v>364</v>
      </c>
      <c r="S4928" t="s">
        <v>415</v>
      </c>
      <c r="T4928" s="14">
        <v>5.59456134134488</v>
      </c>
    </row>
    <row r="4929" spans="17:20" x14ac:dyDescent="0.3">
      <c r="Q4929" s="93">
        <v>45904</v>
      </c>
      <c r="R4929" t="s">
        <v>479</v>
      </c>
      <c r="S4929" t="s">
        <v>399</v>
      </c>
      <c r="T4929" s="14">
        <v>11897.6106</v>
      </c>
    </row>
    <row r="4930" spans="17:20" x14ac:dyDescent="0.3">
      <c r="Q4930" s="93">
        <v>45904</v>
      </c>
      <c r="R4930" t="s">
        <v>364</v>
      </c>
      <c r="S4930" t="s">
        <v>399</v>
      </c>
      <c r="T4930" s="14">
        <v>18985.8367</v>
      </c>
    </row>
    <row r="4931" spans="17:20" x14ac:dyDescent="0.3">
      <c r="Q4931" s="93">
        <v>45904</v>
      </c>
      <c r="R4931" t="s">
        <v>491</v>
      </c>
      <c r="S4931" t="s">
        <v>399</v>
      </c>
      <c r="T4931" s="14">
        <v>11000</v>
      </c>
    </row>
    <row r="4932" spans="17:20" x14ac:dyDescent="0.3">
      <c r="Q4932" s="93">
        <v>45904</v>
      </c>
      <c r="R4932" t="s">
        <v>492</v>
      </c>
      <c r="S4932" t="s">
        <v>399</v>
      </c>
      <c r="T4932" s="14">
        <v>897.61059999999998</v>
      </c>
    </row>
    <row r="4933" spans="17:20" x14ac:dyDescent="0.3">
      <c r="Q4933" s="93">
        <v>45904</v>
      </c>
      <c r="R4933" t="s">
        <v>496</v>
      </c>
      <c r="S4933" t="s">
        <v>399</v>
      </c>
      <c r="T4933" s="14">
        <v>19985.8367</v>
      </c>
    </row>
    <row r="4934" spans="17:20" x14ac:dyDescent="0.3">
      <c r="Q4934" s="93">
        <v>45904</v>
      </c>
      <c r="R4934" t="s">
        <v>497</v>
      </c>
      <c r="S4934" t="s">
        <v>399</v>
      </c>
      <c r="T4934" s="14">
        <v>897.61059999999998</v>
      </c>
    </row>
    <row r="4935" spans="17:20" x14ac:dyDescent="0.3">
      <c r="Q4935" s="93">
        <v>45904</v>
      </c>
      <c r="R4935" t="s">
        <v>498</v>
      </c>
      <c r="S4935" t="s">
        <v>399</v>
      </c>
      <c r="T4935" s="14">
        <v>11000</v>
      </c>
    </row>
    <row r="4936" spans="17:20" x14ac:dyDescent="0.3">
      <c r="Q4936" s="93">
        <v>45904</v>
      </c>
      <c r="R4936" t="s">
        <v>494</v>
      </c>
      <c r="S4936" t="s">
        <v>399</v>
      </c>
      <c r="T4936" s="14">
        <v>-1000</v>
      </c>
    </row>
    <row r="4937" spans="17:20" x14ac:dyDescent="0.3">
      <c r="Q4937" s="93">
        <v>45904</v>
      </c>
      <c r="R4937" t="s">
        <v>495</v>
      </c>
      <c r="S4937" t="s">
        <v>399</v>
      </c>
      <c r="T4937" s="14">
        <v>0</v>
      </c>
    </row>
    <row r="4938" spans="17:20" x14ac:dyDescent="0.3">
      <c r="Q4938" s="93">
        <v>45904</v>
      </c>
      <c r="R4938" t="s">
        <v>493</v>
      </c>
      <c r="S4938" t="s">
        <v>399</v>
      </c>
      <c r="T4938" s="14">
        <v>0</v>
      </c>
    </row>
    <row r="4939" spans="17:20" x14ac:dyDescent="0.3">
      <c r="Q4939" s="93">
        <v>45904</v>
      </c>
      <c r="R4939" t="s">
        <v>593</v>
      </c>
      <c r="S4939" t="s">
        <v>399</v>
      </c>
      <c r="T4939" s="14">
        <v>0</v>
      </c>
    </row>
    <row r="4940" spans="17:20" x14ac:dyDescent="0.3">
      <c r="Q4940" s="93">
        <v>45904</v>
      </c>
      <c r="R4940" t="s">
        <v>594</v>
      </c>
      <c r="S4940" t="s">
        <v>399</v>
      </c>
      <c r="T4940" s="14">
        <v>0</v>
      </c>
    </row>
    <row r="4941" spans="17:20" x14ac:dyDescent="0.3">
      <c r="Q4941" s="93">
        <v>45904</v>
      </c>
      <c r="R4941" t="s">
        <v>595</v>
      </c>
      <c r="S4941" t="s">
        <v>399</v>
      </c>
      <c r="T4941" s="14">
        <v>0</v>
      </c>
    </row>
    <row r="4942" spans="17:20" x14ac:dyDescent="0.3">
      <c r="Q4942" s="93">
        <v>45904</v>
      </c>
      <c r="R4942" t="s">
        <v>479</v>
      </c>
      <c r="S4942" t="s">
        <v>395</v>
      </c>
      <c r="T4942" s="14">
        <v>12900.2212401694</v>
      </c>
    </row>
    <row r="4943" spans="17:20" x14ac:dyDescent="0.3">
      <c r="Q4943" s="93">
        <v>45904</v>
      </c>
      <c r="R4943" t="s">
        <v>479</v>
      </c>
      <c r="S4943" t="s">
        <v>415</v>
      </c>
      <c r="T4943" s="14">
        <v>6.0913388924495502</v>
      </c>
    </row>
    <row r="4944" spans="17:20" x14ac:dyDescent="0.3">
      <c r="Q4944" s="93">
        <v>45904</v>
      </c>
      <c r="R4944" t="s">
        <v>364</v>
      </c>
      <c r="S4944" t="s">
        <v>415</v>
      </c>
      <c r="T4944" s="14">
        <v>5.6170776566302196</v>
      </c>
    </row>
    <row r="4945" spans="17:20" x14ac:dyDescent="0.3">
      <c r="Q4945" s="93">
        <v>45903</v>
      </c>
      <c r="R4945" t="s">
        <v>479</v>
      </c>
      <c r="S4945" t="s">
        <v>399</v>
      </c>
      <c r="T4945" s="14">
        <v>11897.6106</v>
      </c>
    </row>
    <row r="4946" spans="17:20" x14ac:dyDescent="0.3">
      <c r="Q4946" s="93">
        <v>45903</v>
      </c>
      <c r="R4946" t="s">
        <v>364</v>
      </c>
      <c r="S4946" t="s">
        <v>399</v>
      </c>
      <c r="T4946" s="14">
        <v>20985.8367</v>
      </c>
    </row>
    <row r="4947" spans="17:20" x14ac:dyDescent="0.3">
      <c r="Q4947" s="93">
        <v>45903</v>
      </c>
      <c r="R4947" t="s">
        <v>491</v>
      </c>
      <c r="S4947" t="s">
        <v>399</v>
      </c>
      <c r="T4947" s="14">
        <v>11000</v>
      </c>
    </row>
    <row r="4948" spans="17:20" x14ac:dyDescent="0.3">
      <c r="Q4948" s="93">
        <v>45903</v>
      </c>
      <c r="R4948" t="s">
        <v>492</v>
      </c>
      <c r="S4948" t="s">
        <v>399</v>
      </c>
      <c r="T4948" s="14">
        <v>897.61059999999998</v>
      </c>
    </row>
    <row r="4949" spans="17:20" x14ac:dyDescent="0.3">
      <c r="Q4949" s="93">
        <v>45903</v>
      </c>
      <c r="R4949" t="s">
        <v>496</v>
      </c>
      <c r="S4949" t="s">
        <v>399</v>
      </c>
      <c r="T4949" s="14">
        <v>19985.8367</v>
      </c>
    </row>
    <row r="4950" spans="17:20" x14ac:dyDescent="0.3">
      <c r="Q4950" s="93">
        <v>45903</v>
      </c>
      <c r="R4950" t="s">
        <v>497</v>
      </c>
      <c r="S4950" t="s">
        <v>399</v>
      </c>
      <c r="T4950" s="14">
        <v>897.61059999999998</v>
      </c>
    </row>
    <row r="4951" spans="17:20" x14ac:dyDescent="0.3">
      <c r="Q4951" s="93">
        <v>45903</v>
      </c>
      <c r="R4951" t="s">
        <v>498</v>
      </c>
      <c r="S4951" t="s">
        <v>399</v>
      </c>
      <c r="T4951" s="14">
        <v>11000</v>
      </c>
    </row>
    <row r="4952" spans="17:20" x14ac:dyDescent="0.3">
      <c r="Q4952" s="93">
        <v>45903</v>
      </c>
      <c r="R4952" t="s">
        <v>494</v>
      </c>
      <c r="S4952" t="s">
        <v>399</v>
      </c>
      <c r="T4952" s="14">
        <v>0</v>
      </c>
    </row>
    <row r="4953" spans="17:20" x14ac:dyDescent="0.3">
      <c r="Q4953" s="93">
        <v>45903</v>
      </c>
      <c r="R4953" t="s">
        <v>495</v>
      </c>
      <c r="S4953" t="s">
        <v>399</v>
      </c>
      <c r="T4953" s="14">
        <v>0</v>
      </c>
    </row>
    <row r="4954" spans="17:20" x14ac:dyDescent="0.3">
      <c r="Q4954" s="93">
        <v>45903</v>
      </c>
      <c r="R4954" t="s">
        <v>493</v>
      </c>
      <c r="S4954" t="s">
        <v>399</v>
      </c>
      <c r="T4954" s="14">
        <v>0</v>
      </c>
    </row>
    <row r="4955" spans="17:20" x14ac:dyDescent="0.3">
      <c r="Q4955" s="93">
        <v>45903</v>
      </c>
      <c r="R4955" t="s">
        <v>593</v>
      </c>
      <c r="S4955" t="s">
        <v>399</v>
      </c>
      <c r="T4955" s="14">
        <v>1000</v>
      </c>
    </row>
    <row r="4956" spans="17:20" x14ac:dyDescent="0.3">
      <c r="Q4956" s="93">
        <v>45903</v>
      </c>
      <c r="R4956" t="s">
        <v>594</v>
      </c>
      <c r="S4956" t="s">
        <v>399</v>
      </c>
      <c r="T4956" s="14">
        <v>0</v>
      </c>
    </row>
    <row r="4957" spans="17:20" x14ac:dyDescent="0.3">
      <c r="Q4957" s="93">
        <v>45903</v>
      </c>
      <c r="R4957" t="s">
        <v>595</v>
      </c>
      <c r="S4957" t="s">
        <v>399</v>
      </c>
      <c r="T4957" s="14">
        <v>0</v>
      </c>
    </row>
    <row r="4958" spans="17:20" x14ac:dyDescent="0.3">
      <c r="Q4958" s="93">
        <v>45903</v>
      </c>
      <c r="R4958" t="s">
        <v>479</v>
      </c>
      <c r="S4958" t="s">
        <v>395</v>
      </c>
      <c r="T4958" s="14">
        <v>12901.195122633</v>
      </c>
    </row>
    <row r="4959" spans="17:20" x14ac:dyDescent="0.3">
      <c r="Q4959" s="93">
        <v>45903</v>
      </c>
      <c r="R4959" t="s">
        <v>479</v>
      </c>
      <c r="S4959" t="s">
        <v>415</v>
      </c>
      <c r="T4959" s="14">
        <v>6.0913388924495502</v>
      </c>
    </row>
    <row r="4960" spans="17:20" x14ac:dyDescent="0.3">
      <c r="Q4960" s="93">
        <v>45903</v>
      </c>
      <c r="R4960" t="s">
        <v>364</v>
      </c>
      <c r="S4960" t="s">
        <v>415</v>
      </c>
      <c r="T4960" s="14">
        <v>5.6025842953404901</v>
      </c>
    </row>
    <row r="4961" spans="17:20" x14ac:dyDescent="0.3">
      <c r="Q4961" s="93">
        <v>45898</v>
      </c>
      <c r="R4961" t="s">
        <v>496</v>
      </c>
      <c r="S4961" t="s">
        <v>399</v>
      </c>
      <c r="T4961" s="14">
        <v>23035.8367</v>
      </c>
    </row>
    <row r="4962" spans="17:20" x14ac:dyDescent="0.3">
      <c r="Q4962" s="93">
        <v>45898</v>
      </c>
      <c r="R4962" t="s">
        <v>497</v>
      </c>
      <c r="S4962" t="s">
        <v>399</v>
      </c>
      <c r="T4962" s="14">
        <v>897.61059999999998</v>
      </c>
    </row>
    <row r="4963" spans="17:20" x14ac:dyDescent="0.3">
      <c r="Q4963" s="93">
        <v>45898</v>
      </c>
      <c r="R4963" t="s">
        <v>498</v>
      </c>
      <c r="S4963" t="s">
        <v>399</v>
      </c>
      <c r="T4963" s="14">
        <v>11000</v>
      </c>
    </row>
    <row r="4964" spans="17:20" x14ac:dyDescent="0.3">
      <c r="Q4964" s="93">
        <v>45898</v>
      </c>
      <c r="R4964" t="s">
        <v>494</v>
      </c>
      <c r="S4964" t="s">
        <v>399</v>
      </c>
      <c r="T4964" s="14">
        <v>-2850</v>
      </c>
    </row>
    <row r="4965" spans="17:20" x14ac:dyDescent="0.3">
      <c r="Q4965" s="93">
        <v>45898</v>
      </c>
      <c r="R4965" t="s">
        <v>495</v>
      </c>
      <c r="S4965" t="s">
        <v>399</v>
      </c>
      <c r="T4965" s="14">
        <v>0</v>
      </c>
    </row>
    <row r="4966" spans="17:20" x14ac:dyDescent="0.3">
      <c r="Q4966" s="93">
        <v>45898</v>
      </c>
      <c r="R4966" t="s">
        <v>493</v>
      </c>
      <c r="S4966" t="s">
        <v>399</v>
      </c>
      <c r="T4966" s="14">
        <v>0</v>
      </c>
    </row>
    <row r="4967" spans="17:20" x14ac:dyDescent="0.3">
      <c r="Q4967" s="93">
        <v>45898</v>
      </c>
      <c r="R4967" t="s">
        <v>593</v>
      </c>
      <c r="S4967" t="s">
        <v>399</v>
      </c>
      <c r="T4967" s="14">
        <v>-900</v>
      </c>
    </row>
    <row r="4968" spans="17:20" x14ac:dyDescent="0.3">
      <c r="Q4968" s="93">
        <v>45898</v>
      </c>
      <c r="R4968" t="s">
        <v>594</v>
      </c>
      <c r="S4968" t="s">
        <v>399</v>
      </c>
      <c r="T4968" s="14">
        <v>0</v>
      </c>
    </row>
    <row r="4969" spans="17:20" x14ac:dyDescent="0.3">
      <c r="Q4969" s="93">
        <v>45898</v>
      </c>
      <c r="R4969" t="s">
        <v>595</v>
      </c>
      <c r="S4969" t="s">
        <v>399</v>
      </c>
      <c r="T4969" s="14">
        <v>0</v>
      </c>
    </row>
    <row r="4970" spans="17:20" x14ac:dyDescent="0.3">
      <c r="Q4970" s="93">
        <v>45898</v>
      </c>
      <c r="R4970" t="s">
        <v>479</v>
      </c>
      <c r="S4970" t="s">
        <v>395</v>
      </c>
      <c r="T4970" s="14">
        <v>12907.530213604299</v>
      </c>
    </row>
    <row r="4971" spans="17:20" x14ac:dyDescent="0.3">
      <c r="Q4971" s="93">
        <v>45898</v>
      </c>
      <c r="R4971" t="s">
        <v>479</v>
      </c>
      <c r="S4971" t="s">
        <v>415</v>
      </c>
      <c r="T4971" s="14">
        <v>6.0913388924495502</v>
      </c>
    </row>
    <row r="4972" spans="17:20" x14ac:dyDescent="0.3">
      <c r="Q4972" s="93">
        <v>45898</v>
      </c>
      <c r="R4972" t="s">
        <v>364</v>
      </c>
      <c r="S4972" t="s">
        <v>415</v>
      </c>
      <c r="T4972" s="14">
        <v>5.6323674626986797</v>
      </c>
    </row>
    <row r="4973" spans="17:20" x14ac:dyDescent="0.3">
      <c r="Q4973" s="93">
        <v>45898</v>
      </c>
      <c r="R4973" t="s">
        <v>479</v>
      </c>
      <c r="S4973" t="s">
        <v>399</v>
      </c>
      <c r="T4973" s="14">
        <v>11897.6106</v>
      </c>
    </row>
    <row r="4974" spans="17:20" x14ac:dyDescent="0.3">
      <c r="Q4974" s="93">
        <v>45898</v>
      </c>
      <c r="R4974" t="s">
        <v>364</v>
      </c>
      <c r="S4974" t="s">
        <v>399</v>
      </c>
      <c r="T4974" s="14">
        <v>19285.8367</v>
      </c>
    </row>
    <row r="4975" spans="17:20" x14ac:dyDescent="0.3">
      <c r="Q4975" s="93">
        <v>45898</v>
      </c>
      <c r="R4975" t="s">
        <v>491</v>
      </c>
      <c r="S4975" t="s">
        <v>399</v>
      </c>
      <c r="T4975" s="14">
        <v>11000</v>
      </c>
    </row>
    <row r="4976" spans="17:20" x14ac:dyDescent="0.3">
      <c r="Q4976" s="93">
        <v>45898</v>
      </c>
      <c r="R4976" t="s">
        <v>492</v>
      </c>
      <c r="S4976" t="s">
        <v>399</v>
      </c>
      <c r="T4976" s="14">
        <v>897.61059999999998</v>
      </c>
    </row>
    <row r="4977" spans="17:20" x14ac:dyDescent="0.3">
      <c r="Q4977" s="93">
        <v>45897</v>
      </c>
      <c r="R4977" t="s">
        <v>479</v>
      </c>
      <c r="S4977" t="s">
        <v>399</v>
      </c>
      <c r="T4977" s="14">
        <v>11897.6106</v>
      </c>
    </row>
    <row r="4978" spans="17:20" x14ac:dyDescent="0.3">
      <c r="Q4978" s="93">
        <v>45897</v>
      </c>
      <c r="R4978" t="s">
        <v>364</v>
      </c>
      <c r="S4978" t="s">
        <v>399</v>
      </c>
      <c r="T4978" s="14">
        <v>19285.8367</v>
      </c>
    </row>
    <row r="4979" spans="17:20" x14ac:dyDescent="0.3">
      <c r="Q4979" s="93">
        <v>45897</v>
      </c>
      <c r="R4979" t="s">
        <v>491</v>
      </c>
      <c r="S4979" t="s">
        <v>399</v>
      </c>
      <c r="T4979" s="14">
        <v>11000</v>
      </c>
    </row>
    <row r="4980" spans="17:20" x14ac:dyDescent="0.3">
      <c r="Q4980" s="93">
        <v>45897</v>
      </c>
      <c r="R4980" t="s">
        <v>492</v>
      </c>
      <c r="S4980" t="s">
        <v>399</v>
      </c>
      <c r="T4980" s="14">
        <v>897.61059999999998</v>
      </c>
    </row>
    <row r="4981" spans="17:20" x14ac:dyDescent="0.3">
      <c r="Q4981" s="93">
        <v>45897</v>
      </c>
      <c r="R4981" t="s">
        <v>496</v>
      </c>
      <c r="S4981" t="s">
        <v>399</v>
      </c>
      <c r="T4981" s="14">
        <v>23035.8367</v>
      </c>
    </row>
    <row r="4982" spans="17:20" x14ac:dyDescent="0.3">
      <c r="Q4982" s="93">
        <v>45897</v>
      </c>
      <c r="R4982" t="s">
        <v>497</v>
      </c>
      <c r="S4982" t="s">
        <v>399</v>
      </c>
      <c r="T4982" s="14">
        <v>897.61059999999998</v>
      </c>
    </row>
    <row r="4983" spans="17:20" x14ac:dyDescent="0.3">
      <c r="Q4983" s="93">
        <v>45897</v>
      </c>
      <c r="R4983" t="s">
        <v>498</v>
      </c>
      <c r="S4983" t="s">
        <v>399</v>
      </c>
      <c r="T4983" s="14">
        <v>11000</v>
      </c>
    </row>
    <row r="4984" spans="17:20" x14ac:dyDescent="0.3">
      <c r="Q4984" s="93">
        <v>45897</v>
      </c>
      <c r="R4984" t="s">
        <v>494</v>
      </c>
      <c r="S4984" t="s">
        <v>399</v>
      </c>
      <c r="T4984" s="14">
        <v>-2850</v>
      </c>
    </row>
    <row r="4985" spans="17:20" x14ac:dyDescent="0.3">
      <c r="Q4985" s="93">
        <v>45897</v>
      </c>
      <c r="R4985" t="s">
        <v>495</v>
      </c>
      <c r="S4985" t="s">
        <v>399</v>
      </c>
      <c r="T4985" s="14">
        <v>0</v>
      </c>
    </row>
    <row r="4986" spans="17:20" x14ac:dyDescent="0.3">
      <c r="Q4986" s="93">
        <v>45897</v>
      </c>
      <c r="R4986" t="s">
        <v>493</v>
      </c>
      <c r="S4986" t="s">
        <v>399</v>
      </c>
      <c r="T4986" s="14">
        <v>0</v>
      </c>
    </row>
    <row r="4987" spans="17:20" x14ac:dyDescent="0.3">
      <c r="Q4987" s="93">
        <v>45897</v>
      </c>
      <c r="R4987" t="s">
        <v>593</v>
      </c>
      <c r="S4987" t="s">
        <v>399</v>
      </c>
      <c r="T4987" s="14">
        <v>-900</v>
      </c>
    </row>
    <row r="4988" spans="17:20" x14ac:dyDescent="0.3">
      <c r="Q4988" s="93">
        <v>45897</v>
      </c>
      <c r="R4988" t="s">
        <v>594</v>
      </c>
      <c r="S4988" t="s">
        <v>399</v>
      </c>
      <c r="T4988" s="14">
        <v>0</v>
      </c>
    </row>
    <row r="4989" spans="17:20" x14ac:dyDescent="0.3">
      <c r="Q4989" s="93">
        <v>45897</v>
      </c>
      <c r="R4989" t="s">
        <v>595</v>
      </c>
      <c r="S4989" t="s">
        <v>399</v>
      </c>
      <c r="T4989" s="14">
        <v>0</v>
      </c>
    </row>
    <row r="4990" spans="17:20" x14ac:dyDescent="0.3">
      <c r="Q4990" s="93">
        <v>45897</v>
      </c>
      <c r="R4990" t="s">
        <v>479</v>
      </c>
      <c r="S4990" t="s">
        <v>395</v>
      </c>
      <c r="T4990" s="14">
        <v>12907.530213604299</v>
      </c>
    </row>
    <row r="4991" spans="17:20" x14ac:dyDescent="0.3">
      <c r="Q4991" s="93">
        <v>45897</v>
      </c>
      <c r="R4991" t="s">
        <v>479</v>
      </c>
      <c r="S4991" t="s">
        <v>415</v>
      </c>
      <c r="T4991" s="14">
        <v>6.0913388924495502</v>
      </c>
    </row>
    <row r="4992" spans="17:20" x14ac:dyDescent="0.3">
      <c r="Q4992" s="93">
        <v>45897</v>
      </c>
      <c r="R4992" t="s">
        <v>364</v>
      </c>
      <c r="S4992" t="s">
        <v>415</v>
      </c>
      <c r="T4992" s="14">
        <v>5.63799856045976</v>
      </c>
    </row>
    <row r="4993" spans="17:20" x14ac:dyDescent="0.3">
      <c r="Q4993" s="93">
        <v>45896</v>
      </c>
      <c r="R4993" t="s">
        <v>479</v>
      </c>
      <c r="S4993" t="s">
        <v>399</v>
      </c>
      <c r="T4993" s="14">
        <v>11897.6106</v>
      </c>
    </row>
    <row r="4994" spans="17:20" x14ac:dyDescent="0.3">
      <c r="Q4994" s="93">
        <v>45896</v>
      </c>
      <c r="R4994" t="s">
        <v>364</v>
      </c>
      <c r="S4994" t="s">
        <v>399</v>
      </c>
      <c r="T4994" s="14">
        <v>21735.8367</v>
      </c>
    </row>
    <row r="4995" spans="17:20" x14ac:dyDescent="0.3">
      <c r="Q4995" s="93">
        <v>45896</v>
      </c>
      <c r="R4995" t="s">
        <v>491</v>
      </c>
      <c r="S4995" t="s">
        <v>399</v>
      </c>
      <c r="T4995" s="14">
        <v>11000</v>
      </c>
    </row>
    <row r="4996" spans="17:20" x14ac:dyDescent="0.3">
      <c r="Q4996" s="93">
        <v>45896</v>
      </c>
      <c r="R4996" t="s">
        <v>492</v>
      </c>
      <c r="S4996" t="s">
        <v>399</v>
      </c>
      <c r="T4996" s="14">
        <v>897.61059999999998</v>
      </c>
    </row>
    <row r="4997" spans="17:20" x14ac:dyDescent="0.3">
      <c r="Q4997" s="93">
        <v>45896</v>
      </c>
      <c r="R4997" t="s">
        <v>496</v>
      </c>
      <c r="S4997" t="s">
        <v>399</v>
      </c>
      <c r="T4997" s="14">
        <v>25035.8367</v>
      </c>
    </row>
    <row r="4998" spans="17:20" x14ac:dyDescent="0.3">
      <c r="Q4998" s="93">
        <v>45896</v>
      </c>
      <c r="R4998" t="s">
        <v>497</v>
      </c>
      <c r="S4998" t="s">
        <v>399</v>
      </c>
      <c r="T4998" s="14">
        <v>897.61059999999998</v>
      </c>
    </row>
    <row r="4999" spans="17:20" x14ac:dyDescent="0.3">
      <c r="Q4999" s="93">
        <v>45896</v>
      </c>
      <c r="R4999" t="s">
        <v>498</v>
      </c>
      <c r="S4999" t="s">
        <v>399</v>
      </c>
      <c r="T4999" s="14">
        <v>11000</v>
      </c>
    </row>
    <row r="5000" spans="17:20" x14ac:dyDescent="0.3">
      <c r="Q5000" s="93">
        <v>45896</v>
      </c>
      <c r="R5000" t="s">
        <v>494</v>
      </c>
      <c r="S5000" t="s">
        <v>399</v>
      </c>
      <c r="T5000" s="14">
        <v>-2800</v>
      </c>
    </row>
    <row r="5001" spans="17:20" x14ac:dyDescent="0.3">
      <c r="Q5001" s="93">
        <v>45896</v>
      </c>
      <c r="R5001" t="s">
        <v>495</v>
      </c>
      <c r="S5001" t="s">
        <v>399</v>
      </c>
      <c r="T5001" s="14">
        <v>0</v>
      </c>
    </row>
    <row r="5002" spans="17:20" x14ac:dyDescent="0.3">
      <c r="Q5002" s="93">
        <v>45896</v>
      </c>
      <c r="R5002" t="s">
        <v>493</v>
      </c>
      <c r="S5002" t="s">
        <v>399</v>
      </c>
      <c r="T5002" s="14">
        <v>0</v>
      </c>
    </row>
    <row r="5003" spans="17:20" x14ac:dyDescent="0.3">
      <c r="Q5003" s="93">
        <v>45896</v>
      </c>
      <c r="R5003" t="s">
        <v>593</v>
      </c>
      <c r="S5003" t="s">
        <v>399</v>
      </c>
      <c r="T5003" s="14">
        <v>-500</v>
      </c>
    </row>
    <row r="5004" spans="17:20" x14ac:dyDescent="0.3">
      <c r="Q5004" s="93">
        <v>45896</v>
      </c>
      <c r="R5004" t="s">
        <v>594</v>
      </c>
      <c r="S5004" t="s">
        <v>399</v>
      </c>
      <c r="T5004" s="14">
        <v>0</v>
      </c>
    </row>
    <row r="5005" spans="17:20" x14ac:dyDescent="0.3">
      <c r="Q5005" s="93">
        <v>45896</v>
      </c>
      <c r="R5005" t="s">
        <v>595</v>
      </c>
      <c r="S5005" t="s">
        <v>399</v>
      </c>
      <c r="T5005" s="14">
        <v>0</v>
      </c>
    </row>
    <row r="5006" spans="17:20" x14ac:dyDescent="0.3">
      <c r="Q5006" s="93">
        <v>45896</v>
      </c>
      <c r="R5006" t="s">
        <v>479</v>
      </c>
      <c r="S5006" t="s">
        <v>395</v>
      </c>
      <c r="T5006" s="14">
        <v>12909.557843558599</v>
      </c>
    </row>
    <row r="5007" spans="17:20" x14ac:dyDescent="0.3">
      <c r="Q5007" s="93">
        <v>45896</v>
      </c>
      <c r="R5007" t="s">
        <v>479</v>
      </c>
      <c r="S5007" t="s">
        <v>415</v>
      </c>
      <c r="T5007" s="14">
        <v>6.0913388924495502</v>
      </c>
    </row>
    <row r="5008" spans="17:20" x14ac:dyDescent="0.3">
      <c r="Q5008" s="93">
        <v>45896</v>
      </c>
      <c r="R5008" t="s">
        <v>364</v>
      </c>
      <c r="S5008" t="s">
        <v>415</v>
      </c>
      <c r="T5008" s="14">
        <v>5.6330897590889597</v>
      </c>
    </row>
    <row r="5009" spans="17:20" x14ac:dyDescent="0.3">
      <c r="Q5009" s="93">
        <v>45895</v>
      </c>
      <c r="R5009" t="s">
        <v>479</v>
      </c>
      <c r="S5009" t="s">
        <v>399</v>
      </c>
      <c r="T5009" s="14">
        <v>11897.6106</v>
      </c>
    </row>
    <row r="5010" spans="17:20" x14ac:dyDescent="0.3">
      <c r="Q5010" s="93">
        <v>45895</v>
      </c>
      <c r="R5010" t="s">
        <v>364</v>
      </c>
      <c r="S5010" t="s">
        <v>399</v>
      </c>
      <c r="T5010" s="14">
        <v>19635.8367</v>
      </c>
    </row>
    <row r="5011" spans="17:20" x14ac:dyDescent="0.3">
      <c r="Q5011" s="93">
        <v>45895</v>
      </c>
      <c r="R5011" t="s">
        <v>491</v>
      </c>
      <c r="S5011" t="s">
        <v>399</v>
      </c>
      <c r="T5011" s="14">
        <v>11000</v>
      </c>
    </row>
    <row r="5012" spans="17:20" x14ac:dyDescent="0.3">
      <c r="Q5012" s="93">
        <v>45895</v>
      </c>
      <c r="R5012" t="s">
        <v>492</v>
      </c>
      <c r="S5012" t="s">
        <v>399</v>
      </c>
      <c r="T5012" s="14">
        <v>897.61059999999998</v>
      </c>
    </row>
    <row r="5013" spans="17:20" x14ac:dyDescent="0.3">
      <c r="Q5013" s="93">
        <v>45895</v>
      </c>
      <c r="R5013" t="s">
        <v>496</v>
      </c>
      <c r="S5013" t="s">
        <v>399</v>
      </c>
      <c r="T5013" s="14">
        <v>25035.8367</v>
      </c>
    </row>
    <row r="5014" spans="17:20" x14ac:dyDescent="0.3">
      <c r="Q5014" s="93">
        <v>45895</v>
      </c>
      <c r="R5014" t="s">
        <v>497</v>
      </c>
      <c r="S5014" t="s">
        <v>399</v>
      </c>
      <c r="T5014" s="14">
        <v>897.61059999999998</v>
      </c>
    </row>
    <row r="5015" spans="17:20" x14ac:dyDescent="0.3">
      <c r="Q5015" s="93">
        <v>45895</v>
      </c>
      <c r="R5015" t="s">
        <v>498</v>
      </c>
      <c r="S5015" t="s">
        <v>399</v>
      </c>
      <c r="T5015" s="14">
        <v>11000</v>
      </c>
    </row>
    <row r="5016" spans="17:20" x14ac:dyDescent="0.3">
      <c r="Q5016" s="93">
        <v>45895</v>
      </c>
      <c r="R5016" t="s">
        <v>494</v>
      </c>
      <c r="S5016" t="s">
        <v>399</v>
      </c>
      <c r="T5016" s="14">
        <v>-3800</v>
      </c>
    </row>
    <row r="5017" spans="17:20" x14ac:dyDescent="0.3">
      <c r="Q5017" s="93">
        <v>45895</v>
      </c>
      <c r="R5017" t="s">
        <v>495</v>
      </c>
      <c r="S5017" t="s">
        <v>399</v>
      </c>
      <c r="T5017" s="14">
        <v>0</v>
      </c>
    </row>
    <row r="5018" spans="17:20" x14ac:dyDescent="0.3">
      <c r="Q5018" s="93">
        <v>45895</v>
      </c>
      <c r="R5018" t="s">
        <v>493</v>
      </c>
      <c r="S5018" t="s">
        <v>399</v>
      </c>
      <c r="T5018" s="14">
        <v>0</v>
      </c>
    </row>
    <row r="5019" spans="17:20" x14ac:dyDescent="0.3">
      <c r="Q5019" s="93">
        <v>45895</v>
      </c>
      <c r="R5019" t="s">
        <v>593</v>
      </c>
      <c r="S5019" t="s">
        <v>399</v>
      </c>
      <c r="T5019" s="14">
        <v>-1600</v>
      </c>
    </row>
    <row r="5020" spans="17:20" x14ac:dyDescent="0.3">
      <c r="Q5020" s="93">
        <v>45895</v>
      </c>
      <c r="R5020" t="s">
        <v>594</v>
      </c>
      <c r="S5020" t="s">
        <v>399</v>
      </c>
      <c r="T5020" s="14">
        <v>0</v>
      </c>
    </row>
    <row r="5021" spans="17:20" x14ac:dyDescent="0.3">
      <c r="Q5021" s="93">
        <v>45895</v>
      </c>
      <c r="R5021" t="s">
        <v>595</v>
      </c>
      <c r="S5021" t="s">
        <v>399</v>
      </c>
      <c r="T5021" s="14">
        <v>0</v>
      </c>
    </row>
    <row r="5022" spans="17:20" x14ac:dyDescent="0.3">
      <c r="Q5022" s="93">
        <v>45895</v>
      </c>
      <c r="R5022" t="s">
        <v>479</v>
      </c>
      <c r="S5022" t="s">
        <v>395</v>
      </c>
      <c r="T5022" s="14">
        <v>12911.9154589846</v>
      </c>
    </row>
    <row r="5023" spans="17:20" x14ac:dyDescent="0.3">
      <c r="Q5023" s="93">
        <v>45895</v>
      </c>
      <c r="R5023" t="s">
        <v>479</v>
      </c>
      <c r="S5023" t="s">
        <v>415</v>
      </c>
      <c r="T5023" s="14">
        <v>6.0913388924495502</v>
      </c>
    </row>
    <row r="5024" spans="17:20" x14ac:dyDescent="0.3">
      <c r="Q5024" s="93">
        <v>45895</v>
      </c>
      <c r="R5024" t="s">
        <v>364</v>
      </c>
      <c r="S5024" t="s">
        <v>415</v>
      </c>
      <c r="T5024" s="14">
        <v>5.6457955326141001</v>
      </c>
    </row>
    <row r="5025" spans="17:20" x14ac:dyDescent="0.3">
      <c r="Q5025" s="93">
        <v>45894</v>
      </c>
      <c r="R5025" t="s">
        <v>479</v>
      </c>
      <c r="S5025" t="s">
        <v>399</v>
      </c>
      <c r="T5025" s="14">
        <v>11897.6106</v>
      </c>
    </row>
    <row r="5026" spans="17:20" x14ac:dyDescent="0.3">
      <c r="Q5026" s="93">
        <v>45894</v>
      </c>
      <c r="R5026" t="s">
        <v>364</v>
      </c>
      <c r="S5026" t="s">
        <v>399</v>
      </c>
      <c r="T5026" s="14">
        <v>19585.8367</v>
      </c>
    </row>
    <row r="5027" spans="17:20" x14ac:dyDescent="0.3">
      <c r="Q5027" s="93">
        <v>45894</v>
      </c>
      <c r="R5027" t="s">
        <v>491</v>
      </c>
      <c r="S5027" t="s">
        <v>399</v>
      </c>
      <c r="T5027" s="14">
        <v>11000</v>
      </c>
    </row>
    <row r="5028" spans="17:20" x14ac:dyDescent="0.3">
      <c r="Q5028" s="93">
        <v>45894</v>
      </c>
      <c r="R5028" t="s">
        <v>492</v>
      </c>
      <c r="S5028" t="s">
        <v>399</v>
      </c>
      <c r="T5028" s="14">
        <v>897.61059999999998</v>
      </c>
    </row>
    <row r="5029" spans="17:20" x14ac:dyDescent="0.3">
      <c r="Q5029" s="93">
        <v>45894</v>
      </c>
      <c r="R5029" t="s">
        <v>496</v>
      </c>
      <c r="S5029" t="s">
        <v>399</v>
      </c>
      <c r="T5029" s="14">
        <v>25024.930100000001</v>
      </c>
    </row>
    <row r="5030" spans="17:20" x14ac:dyDescent="0.3">
      <c r="Q5030" s="93">
        <v>45894</v>
      </c>
      <c r="R5030" t="s">
        <v>497</v>
      </c>
      <c r="S5030" t="s">
        <v>399</v>
      </c>
      <c r="T5030" s="14">
        <v>897.61059999999998</v>
      </c>
    </row>
    <row r="5031" spans="17:20" x14ac:dyDescent="0.3">
      <c r="Q5031" s="93">
        <v>45894</v>
      </c>
      <c r="R5031" t="s">
        <v>498</v>
      </c>
      <c r="S5031" t="s">
        <v>399</v>
      </c>
      <c r="T5031" s="14">
        <v>11000</v>
      </c>
    </row>
    <row r="5032" spans="17:20" x14ac:dyDescent="0.3">
      <c r="Q5032" s="93">
        <v>45894</v>
      </c>
      <c r="R5032" t="s">
        <v>494</v>
      </c>
      <c r="S5032" t="s">
        <v>399</v>
      </c>
      <c r="T5032" s="14">
        <v>700</v>
      </c>
    </row>
    <row r="5033" spans="17:20" x14ac:dyDescent="0.3">
      <c r="Q5033" s="93">
        <v>45894</v>
      </c>
      <c r="R5033" t="s">
        <v>495</v>
      </c>
      <c r="S5033" t="s">
        <v>399</v>
      </c>
      <c r="T5033" s="14">
        <v>0</v>
      </c>
    </row>
    <row r="5034" spans="17:20" x14ac:dyDescent="0.3">
      <c r="Q5034" s="93">
        <v>45894</v>
      </c>
      <c r="R5034" t="s">
        <v>493</v>
      </c>
      <c r="S5034" t="s">
        <v>399</v>
      </c>
      <c r="T5034" s="14">
        <v>0</v>
      </c>
    </row>
    <row r="5035" spans="17:20" x14ac:dyDescent="0.3">
      <c r="Q5035" s="93">
        <v>45894</v>
      </c>
      <c r="R5035" t="s">
        <v>593</v>
      </c>
      <c r="S5035" t="s">
        <v>399</v>
      </c>
      <c r="T5035" s="14">
        <v>-6139.0933999999997</v>
      </c>
    </row>
    <row r="5036" spans="17:20" x14ac:dyDescent="0.3">
      <c r="Q5036" s="93">
        <v>45894</v>
      </c>
      <c r="R5036" t="s">
        <v>594</v>
      </c>
      <c r="S5036" t="s">
        <v>399</v>
      </c>
      <c r="T5036" s="14">
        <v>0</v>
      </c>
    </row>
    <row r="5037" spans="17:20" x14ac:dyDescent="0.3">
      <c r="Q5037" s="93">
        <v>45894</v>
      </c>
      <c r="R5037" t="s">
        <v>595</v>
      </c>
      <c r="S5037" t="s">
        <v>399</v>
      </c>
      <c r="T5037" s="14">
        <v>0</v>
      </c>
    </row>
    <row r="5038" spans="17:20" x14ac:dyDescent="0.3">
      <c r="Q5038" s="93">
        <v>45894</v>
      </c>
      <c r="R5038" t="s">
        <v>479</v>
      </c>
      <c r="S5038" t="s">
        <v>395</v>
      </c>
      <c r="T5038" s="14">
        <v>12926.7906809449</v>
      </c>
    </row>
    <row r="5039" spans="17:20" x14ac:dyDescent="0.3">
      <c r="Q5039" s="93">
        <v>45894</v>
      </c>
      <c r="R5039" t="s">
        <v>479</v>
      </c>
      <c r="S5039" t="s">
        <v>415</v>
      </c>
      <c r="T5039" s="14">
        <v>6.0913388924495502</v>
      </c>
    </row>
    <row r="5040" spans="17:20" x14ac:dyDescent="0.3">
      <c r="Q5040" s="93">
        <v>45894</v>
      </c>
      <c r="R5040" t="s">
        <v>364</v>
      </c>
      <c r="S5040" t="s">
        <v>415</v>
      </c>
      <c r="T5040" s="14">
        <v>5.6214049369665204</v>
      </c>
    </row>
    <row r="5041" spans="17:20" x14ac:dyDescent="0.3">
      <c r="Q5041" s="93">
        <v>45891</v>
      </c>
      <c r="R5041" t="s">
        <v>479</v>
      </c>
      <c r="S5041" t="s">
        <v>399</v>
      </c>
      <c r="T5041" s="14">
        <v>11897.6106</v>
      </c>
    </row>
    <row r="5042" spans="17:20" x14ac:dyDescent="0.3">
      <c r="Q5042" s="93">
        <v>45891</v>
      </c>
      <c r="R5042" t="s">
        <v>364</v>
      </c>
      <c r="S5042" t="s">
        <v>399</v>
      </c>
      <c r="T5042" s="14">
        <v>22185.8367</v>
      </c>
    </row>
    <row r="5043" spans="17:20" x14ac:dyDescent="0.3">
      <c r="Q5043" s="93">
        <v>45891</v>
      </c>
      <c r="R5043" t="s">
        <v>491</v>
      </c>
      <c r="S5043" t="s">
        <v>399</v>
      </c>
      <c r="T5043" s="14">
        <v>11000</v>
      </c>
    </row>
    <row r="5044" spans="17:20" x14ac:dyDescent="0.3">
      <c r="Q5044" s="93">
        <v>45891</v>
      </c>
      <c r="R5044" t="s">
        <v>492</v>
      </c>
      <c r="S5044" t="s">
        <v>399</v>
      </c>
      <c r="T5044" s="14">
        <v>897.61059999999998</v>
      </c>
    </row>
    <row r="5045" spans="17:20" x14ac:dyDescent="0.3">
      <c r="Q5045" s="93">
        <v>45891</v>
      </c>
      <c r="R5045" t="s">
        <v>496</v>
      </c>
      <c r="S5045" t="s">
        <v>399</v>
      </c>
      <c r="T5045" s="14">
        <v>24524.930100000001</v>
      </c>
    </row>
    <row r="5046" spans="17:20" x14ac:dyDescent="0.3">
      <c r="Q5046" s="93">
        <v>45891</v>
      </c>
      <c r="R5046" t="s">
        <v>497</v>
      </c>
      <c r="S5046" t="s">
        <v>399</v>
      </c>
      <c r="T5046" s="14">
        <v>897.61059999999998</v>
      </c>
    </row>
    <row r="5047" spans="17:20" x14ac:dyDescent="0.3">
      <c r="Q5047" s="93">
        <v>45891</v>
      </c>
      <c r="R5047" t="s">
        <v>498</v>
      </c>
      <c r="S5047" t="s">
        <v>399</v>
      </c>
      <c r="T5047" s="14">
        <v>11000</v>
      </c>
    </row>
    <row r="5048" spans="17:20" x14ac:dyDescent="0.3">
      <c r="Q5048" s="93">
        <v>45891</v>
      </c>
      <c r="R5048" t="s">
        <v>494</v>
      </c>
      <c r="S5048" t="s">
        <v>399</v>
      </c>
      <c r="T5048" s="14">
        <v>3050</v>
      </c>
    </row>
    <row r="5049" spans="17:20" x14ac:dyDescent="0.3">
      <c r="Q5049" s="93">
        <v>45891</v>
      </c>
      <c r="R5049" t="s">
        <v>495</v>
      </c>
      <c r="S5049" t="s">
        <v>399</v>
      </c>
      <c r="T5049" s="14">
        <v>0</v>
      </c>
    </row>
    <row r="5050" spans="17:20" x14ac:dyDescent="0.3">
      <c r="Q5050" s="93">
        <v>45891</v>
      </c>
      <c r="R5050" t="s">
        <v>493</v>
      </c>
      <c r="S5050" t="s">
        <v>399</v>
      </c>
      <c r="T5050" s="14">
        <v>0</v>
      </c>
    </row>
    <row r="5051" spans="17:20" x14ac:dyDescent="0.3">
      <c r="Q5051" s="93">
        <v>45891</v>
      </c>
      <c r="R5051" t="s">
        <v>593</v>
      </c>
      <c r="S5051" t="s">
        <v>399</v>
      </c>
      <c r="T5051" s="14">
        <v>-5389.0933999999997</v>
      </c>
    </row>
    <row r="5052" spans="17:20" x14ac:dyDescent="0.3">
      <c r="Q5052" s="93">
        <v>45891</v>
      </c>
      <c r="R5052" t="s">
        <v>594</v>
      </c>
      <c r="S5052" t="s">
        <v>399</v>
      </c>
      <c r="T5052" s="14">
        <v>0</v>
      </c>
    </row>
    <row r="5053" spans="17:20" x14ac:dyDescent="0.3">
      <c r="Q5053" s="93">
        <v>45891</v>
      </c>
      <c r="R5053" t="s">
        <v>595</v>
      </c>
      <c r="S5053" t="s">
        <v>399</v>
      </c>
      <c r="T5053" s="14">
        <v>0</v>
      </c>
    </row>
    <row r="5054" spans="17:20" x14ac:dyDescent="0.3">
      <c r="Q5054" s="93">
        <v>45891</v>
      </c>
      <c r="R5054" t="s">
        <v>479</v>
      </c>
      <c r="S5054" t="s">
        <v>395</v>
      </c>
      <c r="T5054" s="14">
        <v>12952.0248532967</v>
      </c>
    </row>
    <row r="5055" spans="17:20" x14ac:dyDescent="0.3">
      <c r="Q5055" s="93">
        <v>45891</v>
      </c>
      <c r="R5055" t="s">
        <v>479</v>
      </c>
      <c r="S5055" t="s">
        <v>415</v>
      </c>
      <c r="T5055" s="14">
        <v>6.0913388924495502</v>
      </c>
    </row>
    <row r="5056" spans="17:20" x14ac:dyDescent="0.3">
      <c r="Q5056" s="93">
        <v>45891</v>
      </c>
      <c r="R5056" t="s">
        <v>364</v>
      </c>
      <c r="S5056" t="s">
        <v>415</v>
      </c>
      <c r="T5056" s="14">
        <v>5.5950073372711699</v>
      </c>
    </row>
    <row r="5057" spans="17:20" x14ac:dyDescent="0.3">
      <c r="Q5057" s="93">
        <v>45890</v>
      </c>
      <c r="R5057" t="s">
        <v>479</v>
      </c>
      <c r="S5057" t="s">
        <v>399</v>
      </c>
      <c r="T5057" s="14">
        <v>11897.6106</v>
      </c>
    </row>
    <row r="5058" spans="17:20" x14ac:dyDescent="0.3">
      <c r="Q5058" s="93">
        <v>45890</v>
      </c>
      <c r="R5058" t="s">
        <v>364</v>
      </c>
      <c r="S5058" t="s">
        <v>399</v>
      </c>
      <c r="T5058" s="14">
        <v>21635.8367</v>
      </c>
    </row>
    <row r="5059" spans="17:20" x14ac:dyDescent="0.3">
      <c r="Q5059" s="93">
        <v>45890</v>
      </c>
      <c r="R5059" t="s">
        <v>491</v>
      </c>
      <c r="S5059" t="s">
        <v>399</v>
      </c>
      <c r="T5059" s="14">
        <v>11000</v>
      </c>
    </row>
    <row r="5060" spans="17:20" x14ac:dyDescent="0.3">
      <c r="Q5060" s="93">
        <v>45890</v>
      </c>
      <c r="R5060" t="s">
        <v>492</v>
      </c>
      <c r="S5060" t="s">
        <v>399</v>
      </c>
      <c r="T5060" s="14">
        <v>897.61059999999998</v>
      </c>
    </row>
    <row r="5061" spans="17:20" x14ac:dyDescent="0.3">
      <c r="Q5061" s="93">
        <v>45890</v>
      </c>
      <c r="R5061" t="s">
        <v>496</v>
      </c>
      <c r="S5061" t="s">
        <v>399</v>
      </c>
      <c r="T5061" s="14">
        <v>22574.930100000001</v>
      </c>
    </row>
    <row r="5062" spans="17:20" x14ac:dyDescent="0.3">
      <c r="Q5062" s="93">
        <v>45890</v>
      </c>
      <c r="R5062" t="s">
        <v>497</v>
      </c>
      <c r="S5062" t="s">
        <v>399</v>
      </c>
      <c r="T5062" s="14">
        <v>897.61059999999998</v>
      </c>
    </row>
    <row r="5063" spans="17:20" x14ac:dyDescent="0.3">
      <c r="Q5063" s="93">
        <v>45890</v>
      </c>
      <c r="R5063" t="s">
        <v>498</v>
      </c>
      <c r="S5063" t="s">
        <v>399</v>
      </c>
      <c r="T5063" s="14">
        <v>10500</v>
      </c>
    </row>
    <row r="5064" spans="17:20" x14ac:dyDescent="0.3">
      <c r="Q5064" s="93">
        <v>45890</v>
      </c>
      <c r="R5064" t="s">
        <v>494</v>
      </c>
      <c r="S5064" t="s">
        <v>399</v>
      </c>
      <c r="T5064" s="14">
        <v>2950</v>
      </c>
    </row>
    <row r="5065" spans="17:20" x14ac:dyDescent="0.3">
      <c r="Q5065" s="93">
        <v>45890</v>
      </c>
      <c r="R5065" t="s">
        <v>495</v>
      </c>
      <c r="S5065" t="s">
        <v>399</v>
      </c>
      <c r="T5065" s="14">
        <v>0</v>
      </c>
    </row>
    <row r="5066" spans="17:20" x14ac:dyDescent="0.3">
      <c r="Q5066" s="93">
        <v>45890</v>
      </c>
      <c r="R5066" t="s">
        <v>493</v>
      </c>
      <c r="S5066" t="s">
        <v>399</v>
      </c>
      <c r="T5066" s="14">
        <v>500</v>
      </c>
    </row>
    <row r="5067" spans="17:20" x14ac:dyDescent="0.3">
      <c r="Q5067" s="93">
        <v>45890</v>
      </c>
      <c r="R5067" t="s">
        <v>593</v>
      </c>
      <c r="S5067" t="s">
        <v>399</v>
      </c>
      <c r="T5067" s="14">
        <v>-3889.0934000000002</v>
      </c>
    </row>
    <row r="5068" spans="17:20" x14ac:dyDescent="0.3">
      <c r="Q5068" s="93">
        <v>45890</v>
      </c>
      <c r="R5068" t="s">
        <v>594</v>
      </c>
      <c r="S5068" t="s">
        <v>399</v>
      </c>
      <c r="T5068" s="14">
        <v>0</v>
      </c>
    </row>
    <row r="5069" spans="17:20" x14ac:dyDescent="0.3">
      <c r="Q5069" s="93">
        <v>45890</v>
      </c>
      <c r="R5069" t="s">
        <v>595</v>
      </c>
      <c r="S5069" t="s">
        <v>399</v>
      </c>
      <c r="T5069" s="14">
        <v>0</v>
      </c>
    </row>
    <row r="5070" spans="17:20" x14ac:dyDescent="0.3">
      <c r="Q5070" s="93">
        <v>45890</v>
      </c>
      <c r="R5070" t="s">
        <v>479</v>
      </c>
      <c r="S5070" t="s">
        <v>395</v>
      </c>
      <c r="T5070" s="14">
        <v>12965.6891272879</v>
      </c>
    </row>
    <row r="5071" spans="17:20" x14ac:dyDescent="0.3">
      <c r="Q5071" s="93">
        <v>45890</v>
      </c>
      <c r="R5071" t="s">
        <v>479</v>
      </c>
      <c r="S5071" t="s">
        <v>415</v>
      </c>
      <c r="T5071" s="14">
        <v>6.0913388924495502</v>
      </c>
    </row>
    <row r="5072" spans="17:20" x14ac:dyDescent="0.3">
      <c r="Q5072" s="93">
        <v>45890</v>
      </c>
      <c r="R5072" t="s">
        <v>364</v>
      </c>
      <c r="S5072" t="s">
        <v>415</v>
      </c>
      <c r="T5072" s="14">
        <v>5.5897962624204904</v>
      </c>
    </row>
    <row r="5073" spans="17:20" x14ac:dyDescent="0.3">
      <c r="Q5073" s="93">
        <v>45889</v>
      </c>
      <c r="R5073" t="s">
        <v>479</v>
      </c>
      <c r="S5073" t="s">
        <v>399</v>
      </c>
      <c r="T5073" s="14">
        <v>11897.6106</v>
      </c>
    </row>
    <row r="5074" spans="17:20" x14ac:dyDescent="0.3">
      <c r="Q5074" s="93">
        <v>45889</v>
      </c>
      <c r="R5074" t="s">
        <v>364</v>
      </c>
      <c r="S5074" t="s">
        <v>399</v>
      </c>
      <c r="T5074" s="14">
        <v>24724.930100000001</v>
      </c>
    </row>
    <row r="5075" spans="17:20" x14ac:dyDescent="0.3">
      <c r="Q5075" s="93">
        <v>45889</v>
      </c>
      <c r="R5075" t="s">
        <v>491</v>
      </c>
      <c r="S5075" t="s">
        <v>399</v>
      </c>
      <c r="T5075" s="14">
        <v>11000</v>
      </c>
    </row>
    <row r="5076" spans="17:20" x14ac:dyDescent="0.3">
      <c r="Q5076" s="93">
        <v>45889</v>
      </c>
      <c r="R5076" t="s">
        <v>492</v>
      </c>
      <c r="S5076" t="s">
        <v>399</v>
      </c>
      <c r="T5076" s="14">
        <v>897.61059999999998</v>
      </c>
    </row>
    <row r="5077" spans="17:20" x14ac:dyDescent="0.3">
      <c r="Q5077" s="93">
        <v>45889</v>
      </c>
      <c r="R5077" t="s">
        <v>496</v>
      </c>
      <c r="S5077" t="s">
        <v>399</v>
      </c>
      <c r="T5077" s="14">
        <v>21574.930100000001</v>
      </c>
    </row>
    <row r="5078" spans="17:20" x14ac:dyDescent="0.3">
      <c r="Q5078" s="93">
        <v>45889</v>
      </c>
      <c r="R5078" t="s">
        <v>497</v>
      </c>
      <c r="S5078" t="s">
        <v>399</v>
      </c>
      <c r="T5078" s="14">
        <v>897.61059999999998</v>
      </c>
    </row>
    <row r="5079" spans="17:20" x14ac:dyDescent="0.3">
      <c r="Q5079" s="93">
        <v>45889</v>
      </c>
      <c r="R5079" t="s">
        <v>498</v>
      </c>
      <c r="S5079" t="s">
        <v>399</v>
      </c>
      <c r="T5079" s="14">
        <v>10500</v>
      </c>
    </row>
    <row r="5080" spans="17:20" x14ac:dyDescent="0.3">
      <c r="Q5080" s="93">
        <v>45889</v>
      </c>
      <c r="R5080" t="s">
        <v>494</v>
      </c>
      <c r="S5080" t="s">
        <v>399</v>
      </c>
      <c r="T5080" s="14">
        <v>3450</v>
      </c>
    </row>
    <row r="5081" spans="17:20" x14ac:dyDescent="0.3">
      <c r="Q5081" s="93">
        <v>45889</v>
      </c>
      <c r="R5081" t="s">
        <v>495</v>
      </c>
      <c r="S5081" t="s">
        <v>399</v>
      </c>
      <c r="T5081" s="14">
        <v>0</v>
      </c>
    </row>
    <row r="5082" spans="17:20" x14ac:dyDescent="0.3">
      <c r="Q5082" s="93">
        <v>45889</v>
      </c>
      <c r="R5082" t="s">
        <v>493</v>
      </c>
      <c r="S5082" t="s">
        <v>399</v>
      </c>
      <c r="T5082" s="14">
        <v>500</v>
      </c>
    </row>
    <row r="5083" spans="17:20" x14ac:dyDescent="0.3">
      <c r="Q5083" s="93">
        <v>45889</v>
      </c>
      <c r="R5083" t="s">
        <v>593</v>
      </c>
      <c r="S5083" t="s">
        <v>399</v>
      </c>
      <c r="T5083" s="14">
        <v>-300</v>
      </c>
    </row>
    <row r="5084" spans="17:20" x14ac:dyDescent="0.3">
      <c r="Q5084" s="93">
        <v>45889</v>
      </c>
      <c r="R5084" t="s">
        <v>594</v>
      </c>
      <c r="S5084" t="s">
        <v>399</v>
      </c>
      <c r="T5084" s="14">
        <v>0</v>
      </c>
    </row>
    <row r="5085" spans="17:20" x14ac:dyDescent="0.3">
      <c r="Q5085" s="93">
        <v>45889</v>
      </c>
      <c r="R5085" t="s">
        <v>595</v>
      </c>
      <c r="S5085" t="s">
        <v>399</v>
      </c>
      <c r="T5085" s="14">
        <v>0</v>
      </c>
    </row>
    <row r="5086" spans="17:20" x14ac:dyDescent="0.3">
      <c r="Q5086" s="93">
        <v>45889</v>
      </c>
      <c r="R5086" t="s">
        <v>479</v>
      </c>
      <c r="S5086" t="s">
        <v>395</v>
      </c>
      <c r="T5086" s="14">
        <v>12986.397224071299</v>
      </c>
    </row>
    <row r="5087" spans="17:20" x14ac:dyDescent="0.3">
      <c r="Q5087" s="93">
        <v>45889</v>
      </c>
      <c r="R5087" t="s">
        <v>479</v>
      </c>
      <c r="S5087" t="s">
        <v>415</v>
      </c>
      <c r="T5087" s="14">
        <v>6.0913388924495502</v>
      </c>
    </row>
    <row r="5088" spans="17:20" x14ac:dyDescent="0.3">
      <c r="Q5088" s="93">
        <v>45889</v>
      </c>
      <c r="R5088" t="s">
        <v>364</v>
      </c>
      <c r="S5088" t="s">
        <v>415</v>
      </c>
      <c r="T5088" s="14">
        <v>5.5170382916471796</v>
      </c>
    </row>
    <row r="5089" spans="17:20" x14ac:dyDescent="0.3">
      <c r="Q5089" s="93">
        <v>45888</v>
      </c>
      <c r="R5089" t="s">
        <v>479</v>
      </c>
      <c r="S5089" t="s">
        <v>399</v>
      </c>
      <c r="T5089" s="14">
        <v>11397.6106</v>
      </c>
    </row>
    <row r="5090" spans="17:20" x14ac:dyDescent="0.3">
      <c r="Q5090" s="93">
        <v>45888</v>
      </c>
      <c r="R5090" t="s">
        <v>364</v>
      </c>
      <c r="S5090" t="s">
        <v>399</v>
      </c>
      <c r="T5090" s="14">
        <v>23184.930100000001</v>
      </c>
    </row>
    <row r="5091" spans="17:20" x14ac:dyDescent="0.3">
      <c r="Q5091" s="93">
        <v>45888</v>
      </c>
      <c r="R5091" t="s">
        <v>491</v>
      </c>
      <c r="S5091" t="s">
        <v>399</v>
      </c>
      <c r="T5091" s="14">
        <v>10500</v>
      </c>
    </row>
    <row r="5092" spans="17:20" x14ac:dyDescent="0.3">
      <c r="Q5092" s="93">
        <v>45888</v>
      </c>
      <c r="R5092" t="s">
        <v>492</v>
      </c>
      <c r="S5092" t="s">
        <v>399</v>
      </c>
      <c r="T5092" s="14">
        <v>897.61059999999998</v>
      </c>
    </row>
    <row r="5093" spans="17:20" x14ac:dyDescent="0.3">
      <c r="Q5093" s="93">
        <v>45888</v>
      </c>
      <c r="R5093" t="s">
        <v>496</v>
      </c>
      <c r="S5093" t="s">
        <v>399</v>
      </c>
      <c r="T5093" s="14">
        <v>19984.930100000001</v>
      </c>
    </row>
    <row r="5094" spans="17:20" x14ac:dyDescent="0.3">
      <c r="Q5094" s="93">
        <v>45888</v>
      </c>
      <c r="R5094" t="s">
        <v>497</v>
      </c>
      <c r="S5094" t="s">
        <v>399</v>
      </c>
      <c r="T5094" s="14">
        <v>897.61059999999998</v>
      </c>
    </row>
    <row r="5095" spans="17:20" x14ac:dyDescent="0.3">
      <c r="Q5095" s="93">
        <v>45888</v>
      </c>
      <c r="R5095" t="s">
        <v>498</v>
      </c>
      <c r="S5095" t="s">
        <v>399</v>
      </c>
      <c r="T5095" s="14">
        <v>10500</v>
      </c>
    </row>
    <row r="5096" spans="17:20" x14ac:dyDescent="0.3">
      <c r="Q5096" s="93">
        <v>45888</v>
      </c>
      <c r="R5096" t="s">
        <v>494</v>
      </c>
      <c r="S5096" t="s">
        <v>399</v>
      </c>
      <c r="T5096" s="14">
        <v>2200</v>
      </c>
    </row>
    <row r="5097" spans="17:20" x14ac:dyDescent="0.3">
      <c r="Q5097" s="93">
        <v>45888</v>
      </c>
      <c r="R5097" t="s">
        <v>495</v>
      </c>
      <c r="S5097" t="s">
        <v>399</v>
      </c>
      <c r="T5097" s="14">
        <v>0</v>
      </c>
    </row>
    <row r="5098" spans="17:20" x14ac:dyDescent="0.3">
      <c r="Q5098" s="93">
        <v>45888</v>
      </c>
      <c r="R5098" t="s">
        <v>493</v>
      </c>
      <c r="S5098" t="s">
        <v>399</v>
      </c>
      <c r="T5098" s="14">
        <v>0</v>
      </c>
    </row>
    <row r="5099" spans="17:20" x14ac:dyDescent="0.3">
      <c r="Q5099" s="93">
        <v>45888</v>
      </c>
      <c r="R5099" t="s">
        <v>593</v>
      </c>
      <c r="S5099" t="s">
        <v>399</v>
      </c>
      <c r="T5099" s="14">
        <v>1000</v>
      </c>
    </row>
    <row r="5100" spans="17:20" x14ac:dyDescent="0.3">
      <c r="Q5100" s="93">
        <v>45888</v>
      </c>
      <c r="R5100" t="s">
        <v>594</v>
      </c>
      <c r="S5100" t="s">
        <v>399</v>
      </c>
      <c r="T5100" s="14">
        <v>0</v>
      </c>
    </row>
    <row r="5101" spans="17:20" x14ac:dyDescent="0.3">
      <c r="Q5101" s="93">
        <v>45888</v>
      </c>
      <c r="R5101" t="s">
        <v>595</v>
      </c>
      <c r="S5101" t="s">
        <v>399</v>
      </c>
      <c r="T5101" s="14">
        <v>0</v>
      </c>
    </row>
    <row r="5102" spans="17:20" x14ac:dyDescent="0.3">
      <c r="Q5102" s="93">
        <v>45888</v>
      </c>
      <c r="R5102" t="s">
        <v>479</v>
      </c>
      <c r="S5102" t="s">
        <v>395</v>
      </c>
      <c r="T5102" s="14">
        <v>12466.459691629299</v>
      </c>
    </row>
    <row r="5103" spans="17:20" x14ac:dyDescent="0.3">
      <c r="Q5103" s="93">
        <v>45888</v>
      </c>
      <c r="R5103" t="s">
        <v>479</v>
      </c>
      <c r="S5103" t="s">
        <v>415</v>
      </c>
      <c r="T5103" s="14">
        <v>6.0602507489596098</v>
      </c>
    </row>
    <row r="5104" spans="17:20" x14ac:dyDescent="0.3">
      <c r="Q5104" s="93">
        <v>45888</v>
      </c>
      <c r="R5104" t="s">
        <v>364</v>
      </c>
      <c r="S5104" t="s">
        <v>415</v>
      </c>
      <c r="T5104" s="14">
        <v>5.5050580514797396</v>
      </c>
    </row>
    <row r="5105" spans="17:20" x14ac:dyDescent="0.3">
      <c r="Q5105" s="93">
        <v>45887</v>
      </c>
      <c r="R5105" t="s">
        <v>479</v>
      </c>
      <c r="S5105" t="s">
        <v>399</v>
      </c>
      <c r="T5105" s="14">
        <v>11397.6106</v>
      </c>
    </row>
    <row r="5106" spans="17:20" x14ac:dyDescent="0.3">
      <c r="Q5106" s="93">
        <v>45887</v>
      </c>
      <c r="R5106" t="s">
        <v>364</v>
      </c>
      <c r="S5106" t="s">
        <v>399</v>
      </c>
      <c r="T5106" s="14">
        <v>22184.930100000001</v>
      </c>
    </row>
    <row r="5107" spans="17:20" x14ac:dyDescent="0.3">
      <c r="Q5107" s="93">
        <v>45887</v>
      </c>
      <c r="R5107" t="s">
        <v>491</v>
      </c>
      <c r="S5107" t="s">
        <v>399</v>
      </c>
      <c r="T5107" s="14">
        <v>10500</v>
      </c>
    </row>
    <row r="5108" spans="17:20" x14ac:dyDescent="0.3">
      <c r="Q5108" s="93">
        <v>45887</v>
      </c>
      <c r="R5108" t="s">
        <v>492</v>
      </c>
      <c r="S5108" t="s">
        <v>399</v>
      </c>
      <c r="T5108" s="14">
        <v>897.61059999999998</v>
      </c>
    </row>
    <row r="5109" spans="17:20" x14ac:dyDescent="0.3">
      <c r="Q5109" s="93">
        <v>45887</v>
      </c>
      <c r="R5109" t="s">
        <v>496</v>
      </c>
      <c r="S5109" t="s">
        <v>399</v>
      </c>
      <c r="T5109" s="14">
        <v>19984.930100000001</v>
      </c>
    </row>
    <row r="5110" spans="17:20" x14ac:dyDescent="0.3">
      <c r="Q5110" s="93">
        <v>45887</v>
      </c>
      <c r="R5110" t="s">
        <v>497</v>
      </c>
      <c r="S5110" t="s">
        <v>399</v>
      </c>
      <c r="T5110" s="14">
        <v>897.61059999999998</v>
      </c>
    </row>
    <row r="5111" spans="17:20" x14ac:dyDescent="0.3">
      <c r="Q5111" s="93">
        <v>45887</v>
      </c>
      <c r="R5111" t="s">
        <v>498</v>
      </c>
      <c r="S5111" t="s">
        <v>399</v>
      </c>
      <c r="T5111" s="14">
        <v>10500</v>
      </c>
    </row>
    <row r="5112" spans="17:20" x14ac:dyDescent="0.3">
      <c r="Q5112" s="93">
        <v>45887</v>
      </c>
      <c r="R5112" t="s">
        <v>494</v>
      </c>
      <c r="S5112" t="s">
        <v>399</v>
      </c>
      <c r="T5112" s="14">
        <v>2200</v>
      </c>
    </row>
    <row r="5113" spans="17:20" x14ac:dyDescent="0.3">
      <c r="Q5113" s="93">
        <v>45887</v>
      </c>
      <c r="R5113" t="s">
        <v>495</v>
      </c>
      <c r="S5113" t="s">
        <v>399</v>
      </c>
      <c r="T5113" s="14">
        <v>0</v>
      </c>
    </row>
    <row r="5114" spans="17:20" x14ac:dyDescent="0.3">
      <c r="Q5114" s="93">
        <v>45887</v>
      </c>
      <c r="R5114" t="s">
        <v>493</v>
      </c>
      <c r="S5114" t="s">
        <v>399</v>
      </c>
      <c r="T5114" s="14">
        <v>0</v>
      </c>
    </row>
    <row r="5115" spans="17:20" x14ac:dyDescent="0.3">
      <c r="Q5115" s="93">
        <v>45887</v>
      </c>
      <c r="R5115" t="s">
        <v>593</v>
      </c>
      <c r="S5115" t="s">
        <v>399</v>
      </c>
      <c r="T5115" s="14">
        <v>0</v>
      </c>
    </row>
    <row r="5116" spans="17:20" x14ac:dyDescent="0.3">
      <c r="Q5116" s="93">
        <v>45887</v>
      </c>
      <c r="R5116" t="s">
        <v>594</v>
      </c>
      <c r="S5116" t="s">
        <v>399</v>
      </c>
      <c r="T5116" s="14">
        <v>0</v>
      </c>
    </row>
    <row r="5117" spans="17:20" x14ac:dyDescent="0.3">
      <c r="Q5117" s="93">
        <v>45887</v>
      </c>
      <c r="R5117" t="s">
        <v>595</v>
      </c>
      <c r="S5117" t="s">
        <v>399</v>
      </c>
      <c r="T5117" s="14">
        <v>0</v>
      </c>
    </row>
    <row r="5118" spans="17:20" x14ac:dyDescent="0.3">
      <c r="Q5118" s="93">
        <v>45887</v>
      </c>
      <c r="R5118" t="s">
        <v>479</v>
      </c>
      <c r="S5118" t="s">
        <v>395</v>
      </c>
      <c r="T5118" s="14">
        <v>12470.934546795001</v>
      </c>
    </row>
    <row r="5119" spans="17:20" x14ac:dyDescent="0.3">
      <c r="Q5119" s="93">
        <v>45887</v>
      </c>
      <c r="R5119" t="s">
        <v>479</v>
      </c>
      <c r="S5119" t="s">
        <v>415</v>
      </c>
      <c r="T5119" s="14">
        <v>6.0602507489596098</v>
      </c>
    </row>
    <row r="5120" spans="17:20" x14ac:dyDescent="0.3">
      <c r="Q5120" s="93">
        <v>45887</v>
      </c>
      <c r="R5120" t="s">
        <v>364</v>
      </c>
      <c r="S5120" t="s">
        <v>415</v>
      </c>
      <c r="T5120" s="14">
        <v>5.50528604640499</v>
      </c>
    </row>
    <row r="5121" spans="17:20" x14ac:dyDescent="0.3">
      <c r="Q5121" s="93">
        <v>45884</v>
      </c>
      <c r="R5121" t="s">
        <v>479</v>
      </c>
      <c r="S5121" t="s">
        <v>399</v>
      </c>
      <c r="T5121" s="14">
        <v>11397.6106</v>
      </c>
    </row>
    <row r="5122" spans="17:20" x14ac:dyDescent="0.3">
      <c r="Q5122" s="93">
        <v>45884</v>
      </c>
      <c r="R5122" t="s">
        <v>364</v>
      </c>
      <c r="S5122" t="s">
        <v>399</v>
      </c>
      <c r="T5122" s="14">
        <v>21984.930100000001</v>
      </c>
    </row>
    <row r="5123" spans="17:20" x14ac:dyDescent="0.3">
      <c r="Q5123" s="93">
        <v>45884</v>
      </c>
      <c r="R5123" t="s">
        <v>491</v>
      </c>
      <c r="S5123" t="s">
        <v>399</v>
      </c>
      <c r="T5123" s="14">
        <v>10500</v>
      </c>
    </row>
    <row r="5124" spans="17:20" x14ac:dyDescent="0.3">
      <c r="Q5124" s="93">
        <v>45884</v>
      </c>
      <c r="R5124" t="s">
        <v>492</v>
      </c>
      <c r="S5124" t="s">
        <v>399</v>
      </c>
      <c r="T5124" s="14">
        <v>897.61059999999998</v>
      </c>
    </row>
    <row r="5125" spans="17:20" x14ac:dyDescent="0.3">
      <c r="Q5125" s="93">
        <v>45884</v>
      </c>
      <c r="R5125" t="s">
        <v>496</v>
      </c>
      <c r="S5125" t="s">
        <v>399</v>
      </c>
      <c r="T5125" s="14">
        <v>18084.930100000001</v>
      </c>
    </row>
    <row r="5126" spans="17:20" x14ac:dyDescent="0.3">
      <c r="Q5126" s="93">
        <v>45884</v>
      </c>
      <c r="R5126" t="s">
        <v>497</v>
      </c>
      <c r="S5126" t="s">
        <v>399</v>
      </c>
      <c r="T5126" s="14">
        <v>897.61059999999998</v>
      </c>
    </row>
    <row r="5127" spans="17:20" x14ac:dyDescent="0.3">
      <c r="Q5127" s="93">
        <v>45884</v>
      </c>
      <c r="R5127" t="s">
        <v>498</v>
      </c>
      <c r="S5127" t="s">
        <v>399</v>
      </c>
      <c r="T5127" s="14">
        <v>10500</v>
      </c>
    </row>
    <row r="5128" spans="17:20" x14ac:dyDescent="0.3">
      <c r="Q5128" s="93">
        <v>45884</v>
      </c>
      <c r="R5128" t="s">
        <v>494</v>
      </c>
      <c r="S5128" t="s">
        <v>399</v>
      </c>
      <c r="T5128" s="14">
        <v>3900</v>
      </c>
    </row>
    <row r="5129" spans="17:20" x14ac:dyDescent="0.3">
      <c r="Q5129" s="93">
        <v>45884</v>
      </c>
      <c r="R5129" t="s">
        <v>495</v>
      </c>
      <c r="S5129" t="s">
        <v>399</v>
      </c>
      <c r="T5129" s="14">
        <v>0</v>
      </c>
    </row>
    <row r="5130" spans="17:20" x14ac:dyDescent="0.3">
      <c r="Q5130" s="93">
        <v>45884</v>
      </c>
      <c r="R5130" t="s">
        <v>493</v>
      </c>
      <c r="S5130" t="s">
        <v>399</v>
      </c>
      <c r="T5130" s="14">
        <v>0</v>
      </c>
    </row>
    <row r="5131" spans="17:20" x14ac:dyDescent="0.3">
      <c r="Q5131" s="93">
        <v>45884</v>
      </c>
      <c r="R5131" t="s">
        <v>593</v>
      </c>
      <c r="S5131" t="s">
        <v>399</v>
      </c>
      <c r="T5131" s="14">
        <v>0</v>
      </c>
    </row>
    <row r="5132" spans="17:20" x14ac:dyDescent="0.3">
      <c r="Q5132" s="93">
        <v>45884</v>
      </c>
      <c r="R5132" t="s">
        <v>594</v>
      </c>
      <c r="S5132" t="s">
        <v>399</v>
      </c>
      <c r="T5132" s="14">
        <v>0</v>
      </c>
    </row>
    <row r="5133" spans="17:20" x14ac:dyDescent="0.3">
      <c r="Q5133" s="93">
        <v>45884</v>
      </c>
      <c r="R5133" t="s">
        <v>595</v>
      </c>
      <c r="S5133" t="s">
        <v>399</v>
      </c>
      <c r="T5133" s="14">
        <v>0</v>
      </c>
    </row>
    <row r="5134" spans="17:20" x14ac:dyDescent="0.3">
      <c r="Q5134" s="93">
        <v>45884</v>
      </c>
      <c r="R5134" t="s">
        <v>479</v>
      </c>
      <c r="S5134" t="s">
        <v>395</v>
      </c>
      <c r="T5134" s="14">
        <v>12470.3554102463</v>
      </c>
    </row>
    <row r="5135" spans="17:20" x14ac:dyDescent="0.3">
      <c r="Q5135" s="93">
        <v>45884</v>
      </c>
      <c r="R5135" t="s">
        <v>479</v>
      </c>
      <c r="S5135" t="s">
        <v>415</v>
      </c>
      <c r="T5135" s="14">
        <v>6.0602507489596098</v>
      </c>
    </row>
    <row r="5136" spans="17:20" x14ac:dyDescent="0.3">
      <c r="Q5136" s="93">
        <v>45884</v>
      </c>
      <c r="R5136" t="s">
        <v>364</v>
      </c>
      <c r="S5136" t="s">
        <v>415</v>
      </c>
      <c r="T5136" s="14">
        <v>5.5086091049250099</v>
      </c>
    </row>
    <row r="5137" spans="17:20" x14ac:dyDescent="0.3">
      <c r="Q5137" s="93">
        <v>45883</v>
      </c>
      <c r="R5137" t="s">
        <v>479</v>
      </c>
      <c r="S5137" t="s">
        <v>399</v>
      </c>
      <c r="T5137" s="14">
        <v>11397.6106</v>
      </c>
    </row>
    <row r="5138" spans="17:20" x14ac:dyDescent="0.3">
      <c r="Q5138" s="93">
        <v>45883</v>
      </c>
      <c r="R5138" t="s">
        <v>364</v>
      </c>
      <c r="S5138" t="s">
        <v>399</v>
      </c>
      <c r="T5138" s="14">
        <v>20084.930100000001</v>
      </c>
    </row>
    <row r="5139" spans="17:20" x14ac:dyDescent="0.3">
      <c r="Q5139" s="93">
        <v>45883</v>
      </c>
      <c r="R5139" t="s">
        <v>491</v>
      </c>
      <c r="S5139" t="s">
        <v>399</v>
      </c>
      <c r="T5139" s="14">
        <v>10500</v>
      </c>
    </row>
    <row r="5140" spans="17:20" x14ac:dyDescent="0.3">
      <c r="Q5140" s="93">
        <v>45883</v>
      </c>
      <c r="R5140" t="s">
        <v>492</v>
      </c>
      <c r="S5140" t="s">
        <v>399</v>
      </c>
      <c r="T5140" s="14">
        <v>897.61059999999998</v>
      </c>
    </row>
    <row r="5141" spans="17:20" x14ac:dyDescent="0.3">
      <c r="Q5141" s="93">
        <v>45883</v>
      </c>
      <c r="R5141" t="s">
        <v>496</v>
      </c>
      <c r="S5141" t="s">
        <v>399</v>
      </c>
      <c r="T5141" s="14">
        <v>17884.930100000001</v>
      </c>
    </row>
    <row r="5142" spans="17:20" x14ac:dyDescent="0.3">
      <c r="Q5142" s="93">
        <v>45883</v>
      </c>
      <c r="R5142" t="s">
        <v>497</v>
      </c>
      <c r="S5142" t="s">
        <v>399</v>
      </c>
      <c r="T5142" s="14">
        <v>897.61059999999998</v>
      </c>
    </row>
    <row r="5143" spans="17:20" x14ac:dyDescent="0.3">
      <c r="Q5143" s="93">
        <v>45883</v>
      </c>
      <c r="R5143" t="s">
        <v>498</v>
      </c>
      <c r="S5143" t="s">
        <v>399</v>
      </c>
      <c r="T5143" s="14">
        <v>10000</v>
      </c>
    </row>
    <row r="5144" spans="17:20" x14ac:dyDescent="0.3">
      <c r="Q5144" s="93">
        <v>45883</v>
      </c>
      <c r="R5144" t="s">
        <v>494</v>
      </c>
      <c r="S5144" t="s">
        <v>399</v>
      </c>
      <c r="T5144" s="14">
        <v>2500</v>
      </c>
    </row>
    <row r="5145" spans="17:20" x14ac:dyDescent="0.3">
      <c r="Q5145" s="93">
        <v>45883</v>
      </c>
      <c r="R5145" t="s">
        <v>495</v>
      </c>
      <c r="S5145" t="s">
        <v>399</v>
      </c>
      <c r="T5145" s="14">
        <v>0</v>
      </c>
    </row>
    <row r="5146" spans="17:20" x14ac:dyDescent="0.3">
      <c r="Q5146" s="93">
        <v>45883</v>
      </c>
      <c r="R5146" t="s">
        <v>493</v>
      </c>
      <c r="S5146" t="s">
        <v>399</v>
      </c>
      <c r="T5146" s="14">
        <v>0</v>
      </c>
    </row>
    <row r="5147" spans="17:20" x14ac:dyDescent="0.3">
      <c r="Q5147" s="93">
        <v>45883</v>
      </c>
      <c r="R5147" t="s">
        <v>593</v>
      </c>
      <c r="S5147" t="s">
        <v>399</v>
      </c>
      <c r="T5147" s="14">
        <v>-300</v>
      </c>
    </row>
    <row r="5148" spans="17:20" x14ac:dyDescent="0.3">
      <c r="Q5148" s="93">
        <v>45883</v>
      </c>
      <c r="R5148" t="s">
        <v>594</v>
      </c>
      <c r="S5148" t="s">
        <v>399</v>
      </c>
      <c r="T5148" s="14">
        <v>0</v>
      </c>
    </row>
    <row r="5149" spans="17:20" x14ac:dyDescent="0.3">
      <c r="Q5149" s="93">
        <v>45883</v>
      </c>
      <c r="R5149" t="s">
        <v>595</v>
      </c>
      <c r="S5149" t="s">
        <v>399</v>
      </c>
      <c r="T5149" s="14">
        <v>500</v>
      </c>
    </row>
    <row r="5150" spans="17:20" x14ac:dyDescent="0.3">
      <c r="Q5150" s="93">
        <v>45883</v>
      </c>
      <c r="R5150" t="s">
        <v>479</v>
      </c>
      <c r="S5150" t="s">
        <v>395</v>
      </c>
      <c r="T5150" s="14">
        <v>12474.7832475823</v>
      </c>
    </row>
    <row r="5151" spans="17:20" x14ac:dyDescent="0.3">
      <c r="Q5151" s="93">
        <v>45883</v>
      </c>
      <c r="R5151" t="s">
        <v>479</v>
      </c>
      <c r="S5151" t="s">
        <v>415</v>
      </c>
      <c r="T5151" s="14">
        <v>6.0602507489596098</v>
      </c>
    </row>
    <row r="5152" spans="17:20" x14ac:dyDescent="0.3">
      <c r="Q5152" s="93">
        <v>45883</v>
      </c>
      <c r="R5152" t="s">
        <v>364</v>
      </c>
      <c r="S5152" t="s">
        <v>415</v>
      </c>
      <c r="T5152" s="14">
        <v>5.5074319686081497</v>
      </c>
    </row>
    <row r="5153" spans="17:20" x14ac:dyDescent="0.3">
      <c r="Q5153" s="93">
        <v>45882</v>
      </c>
      <c r="R5153" t="s">
        <v>479</v>
      </c>
      <c r="S5153" t="s">
        <v>399</v>
      </c>
      <c r="T5153" s="14">
        <v>10897.6106</v>
      </c>
    </row>
    <row r="5154" spans="17:20" x14ac:dyDescent="0.3">
      <c r="Q5154" s="93">
        <v>45882</v>
      </c>
      <c r="R5154" t="s">
        <v>364</v>
      </c>
      <c r="S5154" t="s">
        <v>399</v>
      </c>
      <c r="T5154" s="14">
        <v>19584.930100000001</v>
      </c>
    </row>
    <row r="5155" spans="17:20" x14ac:dyDescent="0.3">
      <c r="Q5155" s="93">
        <v>45882</v>
      </c>
      <c r="R5155" t="s">
        <v>491</v>
      </c>
      <c r="S5155" t="s">
        <v>399</v>
      </c>
      <c r="T5155" s="14">
        <v>10000</v>
      </c>
    </row>
    <row r="5156" spans="17:20" x14ac:dyDescent="0.3">
      <c r="Q5156" s="93">
        <v>45882</v>
      </c>
      <c r="R5156" t="s">
        <v>492</v>
      </c>
      <c r="S5156" t="s">
        <v>399</v>
      </c>
      <c r="T5156" s="14">
        <v>897.61059999999998</v>
      </c>
    </row>
    <row r="5157" spans="17:20" x14ac:dyDescent="0.3">
      <c r="Q5157" s="93">
        <v>45882</v>
      </c>
      <c r="R5157" t="s">
        <v>496</v>
      </c>
      <c r="S5157" t="s">
        <v>399</v>
      </c>
      <c r="T5157" s="14">
        <v>15434.9301</v>
      </c>
    </row>
    <row r="5158" spans="17:20" x14ac:dyDescent="0.3">
      <c r="Q5158" s="93">
        <v>45882</v>
      </c>
      <c r="R5158" t="s">
        <v>497</v>
      </c>
      <c r="S5158" t="s">
        <v>399</v>
      </c>
      <c r="T5158" s="14">
        <v>1097.6106</v>
      </c>
    </row>
    <row r="5159" spans="17:20" x14ac:dyDescent="0.3">
      <c r="Q5159" s="93">
        <v>45882</v>
      </c>
      <c r="R5159" t="s">
        <v>498</v>
      </c>
      <c r="S5159" t="s">
        <v>399</v>
      </c>
      <c r="T5159" s="14">
        <v>10000</v>
      </c>
    </row>
    <row r="5160" spans="17:20" x14ac:dyDescent="0.3">
      <c r="Q5160" s="93">
        <v>45882</v>
      </c>
      <c r="R5160" t="s">
        <v>494</v>
      </c>
      <c r="S5160" t="s">
        <v>399</v>
      </c>
      <c r="T5160" s="14">
        <v>5250</v>
      </c>
    </row>
    <row r="5161" spans="17:20" x14ac:dyDescent="0.3">
      <c r="Q5161" s="93">
        <v>45882</v>
      </c>
      <c r="R5161" t="s">
        <v>495</v>
      </c>
      <c r="S5161" t="s">
        <v>399</v>
      </c>
      <c r="T5161" s="14">
        <v>-200</v>
      </c>
    </row>
    <row r="5162" spans="17:20" x14ac:dyDescent="0.3">
      <c r="Q5162" s="93">
        <v>45882</v>
      </c>
      <c r="R5162" t="s">
        <v>493</v>
      </c>
      <c r="S5162" t="s">
        <v>399</v>
      </c>
      <c r="T5162" s="14">
        <v>0</v>
      </c>
    </row>
    <row r="5163" spans="17:20" x14ac:dyDescent="0.3">
      <c r="Q5163" s="93">
        <v>45882</v>
      </c>
      <c r="R5163" t="s">
        <v>593</v>
      </c>
      <c r="S5163" t="s">
        <v>399</v>
      </c>
      <c r="T5163" s="14">
        <v>-1100</v>
      </c>
    </row>
    <row r="5164" spans="17:20" x14ac:dyDescent="0.3">
      <c r="Q5164" s="93">
        <v>45882</v>
      </c>
      <c r="R5164" t="s">
        <v>594</v>
      </c>
      <c r="S5164" t="s">
        <v>399</v>
      </c>
      <c r="T5164" s="14">
        <v>0</v>
      </c>
    </row>
    <row r="5165" spans="17:20" x14ac:dyDescent="0.3">
      <c r="Q5165" s="93">
        <v>45882</v>
      </c>
      <c r="R5165" t="s">
        <v>595</v>
      </c>
      <c r="S5165" t="s">
        <v>399</v>
      </c>
      <c r="T5165" s="14">
        <v>0</v>
      </c>
    </row>
    <row r="5166" spans="17:20" x14ac:dyDescent="0.3">
      <c r="Q5166" s="93">
        <v>45882</v>
      </c>
      <c r="R5166" t="s">
        <v>479</v>
      </c>
      <c r="S5166" t="s">
        <v>395</v>
      </c>
      <c r="T5166" s="14">
        <v>11858.3264608056</v>
      </c>
    </row>
    <row r="5167" spans="17:20" x14ac:dyDescent="0.3">
      <c r="Q5167" s="93">
        <v>45882</v>
      </c>
      <c r="R5167" t="s">
        <v>479</v>
      </c>
      <c r="S5167" t="s">
        <v>415</v>
      </c>
      <c r="T5167" s="14">
        <v>5.9873104820794403</v>
      </c>
    </row>
    <row r="5168" spans="17:20" x14ac:dyDescent="0.3">
      <c r="Q5168" s="93">
        <v>45882</v>
      </c>
      <c r="R5168" t="s">
        <v>364</v>
      </c>
      <c r="S5168" t="s">
        <v>415</v>
      </c>
      <c r="T5168" s="14">
        <v>5.5127276721809704</v>
      </c>
    </row>
    <row r="5169" spans="17:20" x14ac:dyDescent="0.3">
      <c r="Q5169" s="93">
        <v>45881</v>
      </c>
      <c r="R5169" t="s">
        <v>479</v>
      </c>
      <c r="S5169" t="s">
        <v>399</v>
      </c>
      <c r="T5169" s="14">
        <v>10897.6106</v>
      </c>
    </row>
    <row r="5170" spans="17:20" x14ac:dyDescent="0.3">
      <c r="Q5170" s="93">
        <v>45881</v>
      </c>
      <c r="R5170" t="s">
        <v>364</v>
      </c>
      <c r="S5170" t="s">
        <v>399</v>
      </c>
      <c r="T5170" s="14">
        <v>20384.930100000001</v>
      </c>
    </row>
    <row r="5171" spans="17:20" x14ac:dyDescent="0.3">
      <c r="Q5171" s="93">
        <v>45881</v>
      </c>
      <c r="R5171" t="s">
        <v>491</v>
      </c>
      <c r="S5171" t="s">
        <v>399</v>
      </c>
      <c r="T5171" s="14">
        <v>10000</v>
      </c>
    </row>
    <row r="5172" spans="17:20" x14ac:dyDescent="0.3">
      <c r="Q5172" s="93">
        <v>45881</v>
      </c>
      <c r="R5172" t="s">
        <v>492</v>
      </c>
      <c r="S5172" t="s">
        <v>399</v>
      </c>
      <c r="T5172" s="14">
        <v>897.61059999999998</v>
      </c>
    </row>
    <row r="5173" spans="17:20" x14ac:dyDescent="0.3">
      <c r="Q5173" s="93">
        <v>45881</v>
      </c>
      <c r="R5173" t="s">
        <v>496</v>
      </c>
      <c r="S5173" t="s">
        <v>399</v>
      </c>
      <c r="T5173" s="14">
        <v>16234.4067</v>
      </c>
    </row>
    <row r="5174" spans="17:20" x14ac:dyDescent="0.3">
      <c r="Q5174" s="93">
        <v>45881</v>
      </c>
      <c r="R5174" t="s">
        <v>497</v>
      </c>
      <c r="S5174" t="s">
        <v>399</v>
      </c>
      <c r="T5174" s="14">
        <v>1097.6106</v>
      </c>
    </row>
    <row r="5175" spans="17:20" x14ac:dyDescent="0.3">
      <c r="Q5175" s="93">
        <v>45881</v>
      </c>
      <c r="R5175" t="s">
        <v>498</v>
      </c>
      <c r="S5175" t="s">
        <v>399</v>
      </c>
      <c r="T5175" s="14">
        <v>10000</v>
      </c>
    </row>
    <row r="5176" spans="17:20" x14ac:dyDescent="0.3">
      <c r="Q5176" s="93">
        <v>45881</v>
      </c>
      <c r="R5176" t="s">
        <v>494</v>
      </c>
      <c r="S5176" t="s">
        <v>399</v>
      </c>
      <c r="T5176" s="14">
        <v>5250</v>
      </c>
    </row>
    <row r="5177" spans="17:20" x14ac:dyDescent="0.3">
      <c r="Q5177" s="93">
        <v>45881</v>
      </c>
      <c r="R5177" t="s">
        <v>495</v>
      </c>
      <c r="S5177" t="s">
        <v>399</v>
      </c>
      <c r="T5177" s="14">
        <v>0</v>
      </c>
    </row>
    <row r="5178" spans="17:20" x14ac:dyDescent="0.3">
      <c r="Q5178" s="93">
        <v>45881</v>
      </c>
      <c r="R5178" t="s">
        <v>493</v>
      </c>
      <c r="S5178" t="s">
        <v>399</v>
      </c>
      <c r="T5178" s="14">
        <v>0</v>
      </c>
    </row>
    <row r="5179" spans="17:20" x14ac:dyDescent="0.3">
      <c r="Q5179" s="93">
        <v>45881</v>
      </c>
      <c r="R5179" t="s">
        <v>593</v>
      </c>
      <c r="S5179" t="s">
        <v>399</v>
      </c>
      <c r="T5179" s="14">
        <v>-1099.4766</v>
      </c>
    </row>
    <row r="5180" spans="17:20" x14ac:dyDescent="0.3">
      <c r="Q5180" s="93">
        <v>45881</v>
      </c>
      <c r="R5180" t="s">
        <v>594</v>
      </c>
      <c r="S5180" t="s">
        <v>399</v>
      </c>
      <c r="T5180" s="14">
        <v>-200</v>
      </c>
    </row>
    <row r="5181" spans="17:20" x14ac:dyDescent="0.3">
      <c r="Q5181" s="93">
        <v>45881</v>
      </c>
      <c r="R5181" t="s">
        <v>595</v>
      </c>
      <c r="S5181" t="s">
        <v>399</v>
      </c>
      <c r="T5181" s="14">
        <v>0</v>
      </c>
    </row>
    <row r="5182" spans="17:20" x14ac:dyDescent="0.3">
      <c r="Q5182" s="93">
        <v>45881</v>
      </c>
      <c r="R5182" t="s">
        <v>479</v>
      </c>
      <c r="S5182" t="s">
        <v>395</v>
      </c>
      <c r="T5182" s="14">
        <v>11868.237631117199</v>
      </c>
    </row>
    <row r="5183" spans="17:20" x14ac:dyDescent="0.3">
      <c r="Q5183" s="93">
        <v>45881</v>
      </c>
      <c r="R5183" t="s">
        <v>479</v>
      </c>
      <c r="S5183" t="s">
        <v>415</v>
      </c>
      <c r="T5183" s="14">
        <v>5.9873104820794403</v>
      </c>
    </row>
    <row r="5184" spans="17:20" x14ac:dyDescent="0.3">
      <c r="Q5184" s="93">
        <v>45881</v>
      </c>
      <c r="R5184" t="s">
        <v>364</v>
      </c>
      <c r="S5184" t="s">
        <v>415</v>
      </c>
      <c r="T5184" s="14">
        <v>5.5323410758224796</v>
      </c>
    </row>
    <row r="5185" spans="17:20" x14ac:dyDescent="0.3">
      <c r="Q5185" s="93">
        <v>45880</v>
      </c>
      <c r="R5185" t="s">
        <v>479</v>
      </c>
      <c r="S5185" t="s">
        <v>415</v>
      </c>
      <c r="T5185" s="14">
        <v>5.9925853025515199</v>
      </c>
    </row>
    <row r="5186" spans="17:20" x14ac:dyDescent="0.3">
      <c r="Q5186" s="93">
        <v>45880</v>
      </c>
      <c r="R5186" t="s">
        <v>364</v>
      </c>
      <c r="S5186" t="s">
        <v>415</v>
      </c>
      <c r="T5186" s="14">
        <v>5.5854552987058899</v>
      </c>
    </row>
    <row r="5187" spans="17:20" x14ac:dyDescent="0.3">
      <c r="Q5187" s="93">
        <v>45880</v>
      </c>
      <c r="R5187" t="s">
        <v>479</v>
      </c>
      <c r="S5187" t="s">
        <v>399</v>
      </c>
      <c r="T5187" s="14">
        <v>11097.6106</v>
      </c>
    </row>
    <row r="5188" spans="17:20" x14ac:dyDescent="0.3">
      <c r="Q5188" s="93">
        <v>45880</v>
      </c>
      <c r="R5188" t="s">
        <v>364</v>
      </c>
      <c r="S5188" t="s">
        <v>399</v>
      </c>
      <c r="T5188" s="14">
        <v>17134.930100000001</v>
      </c>
    </row>
    <row r="5189" spans="17:20" x14ac:dyDescent="0.3">
      <c r="Q5189" s="93">
        <v>45880</v>
      </c>
      <c r="R5189" t="s">
        <v>491</v>
      </c>
      <c r="S5189" t="s">
        <v>399</v>
      </c>
      <c r="T5189" s="14">
        <v>10000</v>
      </c>
    </row>
    <row r="5190" spans="17:20" x14ac:dyDescent="0.3">
      <c r="Q5190" s="93">
        <v>45880</v>
      </c>
      <c r="R5190" t="s">
        <v>492</v>
      </c>
      <c r="S5190" t="s">
        <v>399</v>
      </c>
      <c r="T5190" s="14">
        <v>1097.6106</v>
      </c>
    </row>
    <row r="5191" spans="17:20" x14ac:dyDescent="0.3">
      <c r="Q5191" s="93">
        <v>45880</v>
      </c>
      <c r="R5191" t="s">
        <v>496</v>
      </c>
      <c r="S5191" t="s">
        <v>399</v>
      </c>
      <c r="T5191" s="14">
        <v>16034.4067</v>
      </c>
    </row>
    <row r="5192" spans="17:20" x14ac:dyDescent="0.3">
      <c r="Q5192" s="93">
        <v>45880</v>
      </c>
      <c r="R5192" t="s">
        <v>497</v>
      </c>
      <c r="S5192" t="s">
        <v>399</v>
      </c>
      <c r="T5192" s="14">
        <v>1097.6106</v>
      </c>
    </row>
    <row r="5193" spans="17:20" x14ac:dyDescent="0.3">
      <c r="Q5193" s="93">
        <v>45880</v>
      </c>
      <c r="R5193" t="s">
        <v>498</v>
      </c>
      <c r="S5193" t="s">
        <v>399</v>
      </c>
      <c r="T5193" s="14">
        <v>8000</v>
      </c>
    </row>
    <row r="5194" spans="17:20" x14ac:dyDescent="0.3">
      <c r="Q5194" s="93">
        <v>45880</v>
      </c>
      <c r="R5194" t="s">
        <v>494</v>
      </c>
      <c r="S5194" t="s">
        <v>399</v>
      </c>
      <c r="T5194" s="14">
        <v>2200</v>
      </c>
    </row>
    <row r="5195" spans="17:20" x14ac:dyDescent="0.3">
      <c r="Q5195" s="93">
        <v>45880</v>
      </c>
      <c r="R5195" t="s">
        <v>495</v>
      </c>
      <c r="S5195" t="s">
        <v>399</v>
      </c>
      <c r="T5195" s="14">
        <v>0</v>
      </c>
    </row>
    <row r="5196" spans="17:20" x14ac:dyDescent="0.3">
      <c r="Q5196" s="93">
        <v>45880</v>
      </c>
      <c r="R5196" t="s">
        <v>493</v>
      </c>
      <c r="S5196" t="s">
        <v>399</v>
      </c>
      <c r="T5196" s="14">
        <v>0</v>
      </c>
    </row>
    <row r="5197" spans="17:20" x14ac:dyDescent="0.3">
      <c r="Q5197" s="93">
        <v>45880</v>
      </c>
      <c r="R5197" t="s">
        <v>593</v>
      </c>
      <c r="S5197" t="s">
        <v>399</v>
      </c>
      <c r="T5197" s="14">
        <v>-1099.4766</v>
      </c>
    </row>
    <row r="5198" spans="17:20" x14ac:dyDescent="0.3">
      <c r="Q5198" s="93">
        <v>45880</v>
      </c>
      <c r="R5198" t="s">
        <v>594</v>
      </c>
      <c r="S5198" t="s">
        <v>399</v>
      </c>
      <c r="T5198" s="14">
        <v>0</v>
      </c>
    </row>
    <row r="5199" spans="17:20" x14ac:dyDescent="0.3">
      <c r="Q5199" s="93">
        <v>45880</v>
      </c>
      <c r="R5199" t="s">
        <v>595</v>
      </c>
      <c r="S5199" t="s">
        <v>399</v>
      </c>
      <c r="T5199" s="14">
        <v>2000</v>
      </c>
    </row>
    <row r="5200" spans="17:20" x14ac:dyDescent="0.3">
      <c r="Q5200" s="93">
        <v>45880</v>
      </c>
      <c r="R5200" t="s">
        <v>479</v>
      </c>
      <c r="S5200" t="s">
        <v>395</v>
      </c>
      <c r="T5200" s="14">
        <v>12096.438677436099</v>
      </c>
    </row>
    <row r="5201" spans="17:20" x14ac:dyDescent="0.3">
      <c r="Q5201" s="93">
        <v>45877</v>
      </c>
      <c r="R5201" t="s">
        <v>364</v>
      </c>
      <c r="S5201" t="s">
        <v>399</v>
      </c>
      <c r="T5201" s="14">
        <v>17234.4067</v>
      </c>
    </row>
    <row r="5202" spans="17:20" x14ac:dyDescent="0.3">
      <c r="Q5202" s="93">
        <v>45877</v>
      </c>
      <c r="R5202" t="s">
        <v>491</v>
      </c>
      <c r="S5202" t="s">
        <v>399</v>
      </c>
      <c r="T5202" s="14">
        <v>10000</v>
      </c>
    </row>
    <row r="5203" spans="17:20" x14ac:dyDescent="0.3">
      <c r="Q5203" s="93">
        <v>45877</v>
      </c>
      <c r="R5203" t="s">
        <v>492</v>
      </c>
      <c r="S5203" t="s">
        <v>399</v>
      </c>
      <c r="T5203" s="14">
        <v>1097.6106</v>
      </c>
    </row>
    <row r="5204" spans="17:20" x14ac:dyDescent="0.3">
      <c r="Q5204" s="93">
        <v>45877</v>
      </c>
      <c r="R5204" t="s">
        <v>496</v>
      </c>
      <c r="S5204" t="s">
        <v>399</v>
      </c>
      <c r="T5204" s="14">
        <v>16334.4067</v>
      </c>
    </row>
    <row r="5205" spans="17:20" x14ac:dyDescent="0.3">
      <c r="Q5205" s="93">
        <v>45877</v>
      </c>
      <c r="R5205" t="s">
        <v>497</v>
      </c>
      <c r="S5205" t="s">
        <v>399</v>
      </c>
      <c r="T5205" s="14">
        <v>1097.6106</v>
      </c>
    </row>
    <row r="5206" spans="17:20" x14ac:dyDescent="0.3">
      <c r="Q5206" s="93">
        <v>45877</v>
      </c>
      <c r="R5206" t="s">
        <v>498</v>
      </c>
      <c r="S5206" t="s">
        <v>399</v>
      </c>
      <c r="T5206" s="14">
        <v>8000</v>
      </c>
    </row>
    <row r="5207" spans="17:20" x14ac:dyDescent="0.3">
      <c r="Q5207" s="93">
        <v>45877</v>
      </c>
      <c r="R5207" t="s">
        <v>494</v>
      </c>
      <c r="S5207" t="s">
        <v>399</v>
      </c>
      <c r="T5207" s="14">
        <v>3200</v>
      </c>
    </row>
    <row r="5208" spans="17:20" x14ac:dyDescent="0.3">
      <c r="Q5208" s="93">
        <v>45877</v>
      </c>
      <c r="R5208" t="s">
        <v>495</v>
      </c>
      <c r="S5208" t="s">
        <v>399</v>
      </c>
      <c r="T5208" s="14">
        <v>0</v>
      </c>
    </row>
    <row r="5209" spans="17:20" x14ac:dyDescent="0.3">
      <c r="Q5209" s="93">
        <v>45877</v>
      </c>
      <c r="R5209" t="s">
        <v>493</v>
      </c>
      <c r="S5209" t="s">
        <v>399</v>
      </c>
      <c r="T5209" s="14">
        <v>0</v>
      </c>
    </row>
    <row r="5210" spans="17:20" x14ac:dyDescent="0.3">
      <c r="Q5210" s="93">
        <v>45877</v>
      </c>
      <c r="R5210" t="s">
        <v>593</v>
      </c>
      <c r="S5210" t="s">
        <v>399</v>
      </c>
      <c r="T5210" s="14">
        <v>-2300</v>
      </c>
    </row>
    <row r="5211" spans="17:20" x14ac:dyDescent="0.3">
      <c r="Q5211" s="93">
        <v>45877</v>
      </c>
      <c r="R5211" t="s">
        <v>594</v>
      </c>
      <c r="S5211" t="s">
        <v>399</v>
      </c>
      <c r="T5211" s="14">
        <v>0</v>
      </c>
    </row>
    <row r="5212" spans="17:20" x14ac:dyDescent="0.3">
      <c r="Q5212" s="93">
        <v>45877</v>
      </c>
      <c r="R5212" t="s">
        <v>595</v>
      </c>
      <c r="S5212" t="s">
        <v>399</v>
      </c>
      <c r="T5212" s="14">
        <v>2000</v>
      </c>
    </row>
    <row r="5213" spans="17:20" x14ac:dyDescent="0.3">
      <c r="Q5213" s="93">
        <v>45877</v>
      </c>
      <c r="R5213" t="s">
        <v>479</v>
      </c>
      <c r="S5213" t="s">
        <v>395</v>
      </c>
      <c r="T5213" s="14">
        <v>12106.8088792084</v>
      </c>
    </row>
    <row r="5214" spans="17:20" x14ac:dyDescent="0.3">
      <c r="Q5214" s="93">
        <v>45877</v>
      </c>
      <c r="R5214" t="s">
        <v>479</v>
      </c>
      <c r="S5214" t="s">
        <v>415</v>
      </c>
      <c r="T5214" s="14">
        <v>5.9601338279974101</v>
      </c>
    </row>
    <row r="5215" spans="17:20" x14ac:dyDescent="0.3">
      <c r="Q5215" s="93">
        <v>45877</v>
      </c>
      <c r="R5215" t="s">
        <v>364</v>
      </c>
      <c r="S5215" t="s">
        <v>415</v>
      </c>
      <c r="T5215" s="14">
        <v>5.5820760641560101</v>
      </c>
    </row>
    <row r="5216" spans="17:20" x14ac:dyDescent="0.3">
      <c r="Q5216" s="93">
        <v>45877</v>
      </c>
      <c r="R5216" t="s">
        <v>479</v>
      </c>
      <c r="S5216" t="s">
        <v>399</v>
      </c>
      <c r="T5216" s="14">
        <v>11097.6106</v>
      </c>
    </row>
    <row r="5217" spans="17:20" x14ac:dyDescent="0.3">
      <c r="Q5217" s="93">
        <v>45876</v>
      </c>
      <c r="R5217" t="s">
        <v>497</v>
      </c>
      <c r="S5217" t="s">
        <v>399</v>
      </c>
      <c r="T5217" s="14">
        <v>1097.6106</v>
      </c>
    </row>
    <row r="5218" spans="17:20" x14ac:dyDescent="0.3">
      <c r="Q5218" s="93">
        <v>45876</v>
      </c>
      <c r="R5218" t="s">
        <v>498</v>
      </c>
      <c r="S5218" t="s">
        <v>399</v>
      </c>
      <c r="T5218" s="14">
        <v>9000</v>
      </c>
    </row>
    <row r="5219" spans="17:20" x14ac:dyDescent="0.3">
      <c r="Q5219" s="93">
        <v>45876</v>
      </c>
      <c r="R5219" t="s">
        <v>494</v>
      </c>
      <c r="S5219" t="s">
        <v>399</v>
      </c>
      <c r="T5219" s="14">
        <v>2000</v>
      </c>
    </row>
    <row r="5220" spans="17:20" x14ac:dyDescent="0.3">
      <c r="Q5220" s="93">
        <v>45876</v>
      </c>
      <c r="R5220" t="s">
        <v>495</v>
      </c>
      <c r="S5220" t="s">
        <v>399</v>
      </c>
      <c r="T5220" s="14">
        <v>0</v>
      </c>
    </row>
    <row r="5221" spans="17:20" x14ac:dyDescent="0.3">
      <c r="Q5221" s="93">
        <v>45876</v>
      </c>
      <c r="R5221" t="s">
        <v>493</v>
      </c>
      <c r="S5221" t="s">
        <v>399</v>
      </c>
      <c r="T5221" s="14">
        <v>0</v>
      </c>
    </row>
    <row r="5222" spans="17:20" x14ac:dyDescent="0.3">
      <c r="Q5222" s="93">
        <v>45876</v>
      </c>
      <c r="R5222" t="s">
        <v>593</v>
      </c>
      <c r="S5222" t="s">
        <v>399</v>
      </c>
      <c r="T5222" s="14">
        <v>-700</v>
      </c>
    </row>
    <row r="5223" spans="17:20" x14ac:dyDescent="0.3">
      <c r="Q5223" s="93">
        <v>45876</v>
      </c>
      <c r="R5223" t="s">
        <v>594</v>
      </c>
      <c r="S5223" t="s">
        <v>399</v>
      </c>
      <c r="T5223" s="14">
        <v>0</v>
      </c>
    </row>
    <row r="5224" spans="17:20" x14ac:dyDescent="0.3">
      <c r="Q5224" s="93">
        <v>45876</v>
      </c>
      <c r="R5224" t="s">
        <v>595</v>
      </c>
      <c r="S5224" t="s">
        <v>399</v>
      </c>
      <c r="T5224" s="14">
        <v>2000</v>
      </c>
    </row>
    <row r="5225" spans="17:20" x14ac:dyDescent="0.3">
      <c r="Q5225" s="93">
        <v>45876</v>
      </c>
      <c r="R5225" t="s">
        <v>479</v>
      </c>
      <c r="S5225" t="s">
        <v>395</v>
      </c>
      <c r="T5225" s="14">
        <v>12111.0079620586</v>
      </c>
    </row>
    <row r="5226" spans="17:20" x14ac:dyDescent="0.3">
      <c r="Q5226" s="93">
        <v>45876</v>
      </c>
      <c r="R5226" t="s">
        <v>479</v>
      </c>
      <c r="S5226" t="s">
        <v>415</v>
      </c>
      <c r="T5226" s="14">
        <v>5.9601338279974101</v>
      </c>
    </row>
    <row r="5227" spans="17:20" x14ac:dyDescent="0.3">
      <c r="Q5227" s="93">
        <v>45876</v>
      </c>
      <c r="R5227" t="s">
        <v>364</v>
      </c>
      <c r="S5227" t="s">
        <v>415</v>
      </c>
      <c r="T5227" s="14">
        <v>5.5751106795104102</v>
      </c>
    </row>
    <row r="5228" spans="17:20" x14ac:dyDescent="0.3">
      <c r="Q5228" s="93">
        <v>45876</v>
      </c>
      <c r="R5228" t="s">
        <v>479</v>
      </c>
      <c r="S5228" t="s">
        <v>399</v>
      </c>
      <c r="T5228" s="14">
        <v>12097.6106</v>
      </c>
    </row>
    <row r="5229" spans="17:20" x14ac:dyDescent="0.3">
      <c r="Q5229" s="93">
        <v>45876</v>
      </c>
      <c r="R5229" t="s">
        <v>364</v>
      </c>
      <c r="S5229" t="s">
        <v>399</v>
      </c>
      <c r="T5229" s="14">
        <v>17634.4067</v>
      </c>
    </row>
    <row r="5230" spans="17:20" x14ac:dyDescent="0.3">
      <c r="Q5230" s="93">
        <v>45876</v>
      </c>
      <c r="R5230" t="s">
        <v>491</v>
      </c>
      <c r="S5230" t="s">
        <v>399</v>
      </c>
      <c r="T5230" s="14">
        <v>11000</v>
      </c>
    </row>
    <row r="5231" spans="17:20" x14ac:dyDescent="0.3">
      <c r="Q5231" s="93">
        <v>45876</v>
      </c>
      <c r="R5231" t="s">
        <v>492</v>
      </c>
      <c r="S5231" t="s">
        <v>399</v>
      </c>
      <c r="T5231" s="14">
        <v>1097.6106</v>
      </c>
    </row>
    <row r="5232" spans="17:20" x14ac:dyDescent="0.3">
      <c r="Q5232" s="93">
        <v>45876</v>
      </c>
      <c r="R5232" t="s">
        <v>496</v>
      </c>
      <c r="S5232" t="s">
        <v>399</v>
      </c>
      <c r="T5232" s="14">
        <v>16334.4067</v>
      </c>
    </row>
    <row r="5233" spans="17:20" x14ac:dyDescent="0.3">
      <c r="Q5233" s="93">
        <v>45875</v>
      </c>
      <c r="R5233" t="s">
        <v>479</v>
      </c>
      <c r="S5233" t="s">
        <v>399</v>
      </c>
      <c r="T5233" s="14">
        <v>12097.6106</v>
      </c>
    </row>
    <row r="5234" spans="17:20" x14ac:dyDescent="0.3">
      <c r="Q5234" s="93">
        <v>45875</v>
      </c>
      <c r="R5234" t="s">
        <v>364</v>
      </c>
      <c r="S5234" t="s">
        <v>399</v>
      </c>
      <c r="T5234" s="14">
        <v>18334.4067</v>
      </c>
    </row>
    <row r="5235" spans="17:20" x14ac:dyDescent="0.3">
      <c r="Q5235" s="93">
        <v>45875</v>
      </c>
      <c r="R5235" t="s">
        <v>491</v>
      </c>
      <c r="S5235" t="s">
        <v>399</v>
      </c>
      <c r="T5235" s="14">
        <v>11000</v>
      </c>
    </row>
    <row r="5236" spans="17:20" x14ac:dyDescent="0.3">
      <c r="Q5236" s="93">
        <v>45875</v>
      </c>
      <c r="R5236" t="s">
        <v>492</v>
      </c>
      <c r="S5236" t="s">
        <v>399</v>
      </c>
      <c r="T5236" s="14">
        <v>1097.6106</v>
      </c>
    </row>
    <row r="5237" spans="17:20" x14ac:dyDescent="0.3">
      <c r="Q5237" s="93">
        <v>45875</v>
      </c>
      <c r="R5237" t="s">
        <v>496</v>
      </c>
      <c r="S5237" t="s">
        <v>399</v>
      </c>
      <c r="T5237" s="14">
        <v>16334.4067</v>
      </c>
    </row>
    <row r="5238" spans="17:20" x14ac:dyDescent="0.3">
      <c r="Q5238" s="93">
        <v>45875</v>
      </c>
      <c r="R5238" t="s">
        <v>497</v>
      </c>
      <c r="S5238" t="s">
        <v>399</v>
      </c>
      <c r="T5238" s="14">
        <v>1097.6106</v>
      </c>
    </row>
    <row r="5239" spans="17:20" x14ac:dyDescent="0.3">
      <c r="Q5239" s="93">
        <v>45875</v>
      </c>
      <c r="R5239" t="s">
        <v>498</v>
      </c>
      <c r="S5239" t="s">
        <v>399</v>
      </c>
      <c r="T5239" s="14">
        <v>9000</v>
      </c>
    </row>
    <row r="5240" spans="17:20" x14ac:dyDescent="0.3">
      <c r="Q5240" s="93">
        <v>45875</v>
      </c>
      <c r="R5240" t="s">
        <v>494</v>
      </c>
      <c r="S5240" t="s">
        <v>399</v>
      </c>
      <c r="T5240" s="14">
        <v>2000</v>
      </c>
    </row>
    <row r="5241" spans="17:20" x14ac:dyDescent="0.3">
      <c r="Q5241" s="93">
        <v>45875</v>
      </c>
      <c r="R5241" t="s">
        <v>495</v>
      </c>
      <c r="S5241" t="s">
        <v>399</v>
      </c>
      <c r="T5241" s="14">
        <v>0</v>
      </c>
    </row>
    <row r="5242" spans="17:20" x14ac:dyDescent="0.3">
      <c r="Q5242" s="93">
        <v>45875</v>
      </c>
      <c r="R5242" t="s">
        <v>493</v>
      </c>
      <c r="S5242" t="s">
        <v>399</v>
      </c>
      <c r="T5242" s="14">
        <v>0</v>
      </c>
    </row>
    <row r="5243" spans="17:20" x14ac:dyDescent="0.3">
      <c r="Q5243" s="93">
        <v>45875</v>
      </c>
      <c r="R5243" t="s">
        <v>593</v>
      </c>
      <c r="S5243" t="s">
        <v>399</v>
      </c>
      <c r="T5243" s="14">
        <v>0</v>
      </c>
    </row>
    <row r="5244" spans="17:20" x14ac:dyDescent="0.3">
      <c r="Q5244" s="93">
        <v>45875</v>
      </c>
      <c r="R5244" t="s">
        <v>594</v>
      </c>
      <c r="S5244" t="s">
        <v>399</v>
      </c>
      <c r="T5244" s="14">
        <v>0</v>
      </c>
    </row>
    <row r="5245" spans="17:20" x14ac:dyDescent="0.3">
      <c r="Q5245" s="93">
        <v>45875</v>
      </c>
      <c r="R5245" t="s">
        <v>595</v>
      </c>
      <c r="S5245" t="s">
        <v>399</v>
      </c>
      <c r="T5245" s="14">
        <v>2000</v>
      </c>
    </row>
    <row r="5246" spans="17:20" x14ac:dyDescent="0.3">
      <c r="Q5246" s="93">
        <v>45875</v>
      </c>
      <c r="R5246" t="s">
        <v>479</v>
      </c>
      <c r="S5246" t="s">
        <v>395</v>
      </c>
      <c r="T5246" s="14">
        <v>12123.6343038738</v>
      </c>
    </row>
    <row r="5247" spans="17:20" x14ac:dyDescent="0.3">
      <c r="Q5247" s="93">
        <v>45875</v>
      </c>
      <c r="R5247" t="s">
        <v>479</v>
      </c>
      <c r="S5247" t="s">
        <v>415</v>
      </c>
      <c r="T5247" s="14">
        <v>5.9601338279974101</v>
      </c>
    </row>
    <row r="5248" spans="17:20" x14ac:dyDescent="0.3">
      <c r="Q5248" s="93">
        <v>45875</v>
      </c>
      <c r="R5248" t="s">
        <v>364</v>
      </c>
      <c r="S5248" t="s">
        <v>415</v>
      </c>
      <c r="T5248" s="14">
        <v>5.6055137644568598</v>
      </c>
    </row>
    <row r="5249" spans="17:20" x14ac:dyDescent="0.3">
      <c r="Q5249" s="93">
        <v>45874</v>
      </c>
      <c r="R5249" t="s">
        <v>491</v>
      </c>
      <c r="S5249" t="s">
        <v>399</v>
      </c>
      <c r="T5249" s="14">
        <v>11000</v>
      </c>
    </row>
    <row r="5250" spans="17:20" x14ac:dyDescent="0.3">
      <c r="Q5250" s="93">
        <v>45874</v>
      </c>
      <c r="R5250" t="s">
        <v>492</v>
      </c>
      <c r="S5250" t="s">
        <v>399</v>
      </c>
      <c r="T5250" s="14">
        <v>1097.6106</v>
      </c>
    </row>
    <row r="5251" spans="17:20" x14ac:dyDescent="0.3">
      <c r="Q5251" s="93">
        <v>45874</v>
      </c>
      <c r="R5251" t="s">
        <v>496</v>
      </c>
      <c r="S5251" t="s">
        <v>399</v>
      </c>
      <c r="T5251" s="14">
        <v>16924.4067</v>
      </c>
    </row>
    <row r="5252" spans="17:20" x14ac:dyDescent="0.3">
      <c r="Q5252" s="93">
        <v>45874</v>
      </c>
      <c r="R5252" t="s">
        <v>497</v>
      </c>
      <c r="S5252" t="s">
        <v>399</v>
      </c>
      <c r="T5252" s="14">
        <v>1097.6106</v>
      </c>
    </row>
    <row r="5253" spans="17:20" x14ac:dyDescent="0.3">
      <c r="Q5253" s="93">
        <v>45874</v>
      </c>
      <c r="R5253" t="s">
        <v>498</v>
      </c>
      <c r="S5253" t="s">
        <v>399</v>
      </c>
      <c r="T5253" s="14">
        <v>9000</v>
      </c>
    </row>
    <row r="5254" spans="17:20" x14ac:dyDescent="0.3">
      <c r="Q5254" s="93">
        <v>45874</v>
      </c>
      <c r="R5254" t="s">
        <v>494</v>
      </c>
      <c r="S5254" t="s">
        <v>399</v>
      </c>
      <c r="T5254" s="14">
        <v>2000</v>
      </c>
    </row>
    <row r="5255" spans="17:20" x14ac:dyDescent="0.3">
      <c r="Q5255" s="93">
        <v>45874</v>
      </c>
      <c r="R5255" t="s">
        <v>495</v>
      </c>
      <c r="S5255" t="s">
        <v>399</v>
      </c>
      <c r="T5255" s="14">
        <v>0</v>
      </c>
    </row>
    <row r="5256" spans="17:20" x14ac:dyDescent="0.3">
      <c r="Q5256" s="93">
        <v>45874</v>
      </c>
      <c r="R5256" t="s">
        <v>493</v>
      </c>
      <c r="S5256" t="s">
        <v>399</v>
      </c>
      <c r="T5256" s="14">
        <v>0</v>
      </c>
    </row>
    <row r="5257" spans="17:20" x14ac:dyDescent="0.3">
      <c r="Q5257" s="93">
        <v>45874</v>
      </c>
      <c r="R5257" t="s">
        <v>593</v>
      </c>
      <c r="S5257" t="s">
        <v>399</v>
      </c>
      <c r="T5257" s="14">
        <v>-590</v>
      </c>
    </row>
    <row r="5258" spans="17:20" x14ac:dyDescent="0.3">
      <c r="Q5258" s="93">
        <v>45874</v>
      </c>
      <c r="R5258" t="s">
        <v>594</v>
      </c>
      <c r="S5258" t="s">
        <v>399</v>
      </c>
      <c r="T5258" s="14">
        <v>0</v>
      </c>
    </row>
    <row r="5259" spans="17:20" x14ac:dyDescent="0.3">
      <c r="Q5259" s="93">
        <v>45874</v>
      </c>
      <c r="R5259" t="s">
        <v>595</v>
      </c>
      <c r="S5259" t="s">
        <v>399</v>
      </c>
      <c r="T5259" s="14">
        <v>2000</v>
      </c>
    </row>
    <row r="5260" spans="17:20" x14ac:dyDescent="0.3">
      <c r="Q5260" s="93">
        <v>45874</v>
      </c>
      <c r="R5260" t="s">
        <v>479</v>
      </c>
      <c r="S5260" t="s">
        <v>395</v>
      </c>
      <c r="T5260" s="14">
        <v>12114.188398746999</v>
      </c>
    </row>
    <row r="5261" spans="17:20" x14ac:dyDescent="0.3">
      <c r="Q5261" s="93">
        <v>45874</v>
      </c>
      <c r="R5261" t="s">
        <v>479</v>
      </c>
      <c r="S5261" t="s">
        <v>415</v>
      </c>
      <c r="T5261" s="14">
        <v>5.9601338279974101</v>
      </c>
    </row>
    <row r="5262" spans="17:20" x14ac:dyDescent="0.3">
      <c r="Q5262" s="93">
        <v>45874</v>
      </c>
      <c r="R5262" t="s">
        <v>364</v>
      </c>
      <c r="S5262" t="s">
        <v>415</v>
      </c>
      <c r="T5262" s="14">
        <v>5.6055137644568598</v>
      </c>
    </row>
    <row r="5263" spans="17:20" x14ac:dyDescent="0.3">
      <c r="Q5263" s="93">
        <v>45874</v>
      </c>
      <c r="R5263" t="s">
        <v>479</v>
      </c>
      <c r="S5263" t="s">
        <v>399</v>
      </c>
      <c r="T5263" s="14">
        <v>12097.6106</v>
      </c>
    </row>
    <row r="5264" spans="17:20" x14ac:dyDescent="0.3">
      <c r="Q5264" s="93">
        <v>45874</v>
      </c>
      <c r="R5264" t="s">
        <v>364</v>
      </c>
      <c r="S5264" t="s">
        <v>399</v>
      </c>
      <c r="T5264" s="14">
        <v>18334.4067</v>
      </c>
    </row>
    <row r="5265" spans="17:20" x14ac:dyDescent="0.3">
      <c r="Q5265" s="93">
        <v>45873</v>
      </c>
      <c r="R5265" t="s">
        <v>593</v>
      </c>
      <c r="S5265" t="s">
        <v>399</v>
      </c>
      <c r="T5265" s="14">
        <v>-2290</v>
      </c>
    </row>
    <row r="5266" spans="17:20" x14ac:dyDescent="0.3">
      <c r="Q5266" s="93">
        <v>45873</v>
      </c>
      <c r="R5266" t="s">
        <v>594</v>
      </c>
      <c r="S5266" t="s">
        <v>399</v>
      </c>
      <c r="T5266" s="14">
        <v>0</v>
      </c>
    </row>
    <row r="5267" spans="17:20" x14ac:dyDescent="0.3">
      <c r="Q5267" s="93">
        <v>45873</v>
      </c>
      <c r="R5267" t="s">
        <v>595</v>
      </c>
      <c r="S5267" t="s">
        <v>399</v>
      </c>
      <c r="T5267" s="14">
        <v>0</v>
      </c>
    </row>
    <row r="5268" spans="17:20" x14ac:dyDescent="0.3">
      <c r="Q5268" s="93">
        <v>45873</v>
      </c>
      <c r="R5268" t="s">
        <v>479</v>
      </c>
      <c r="S5268" t="s">
        <v>395</v>
      </c>
      <c r="T5268" s="14">
        <v>9984.0135307400305</v>
      </c>
    </row>
    <row r="5269" spans="17:20" x14ac:dyDescent="0.3">
      <c r="Q5269" s="93">
        <v>45873</v>
      </c>
      <c r="R5269" t="s">
        <v>479</v>
      </c>
      <c r="S5269" t="s">
        <v>415</v>
      </c>
      <c r="T5269" s="14">
        <v>6.0710776641555197</v>
      </c>
    </row>
    <row r="5270" spans="17:20" x14ac:dyDescent="0.3">
      <c r="Q5270" s="93">
        <v>45873</v>
      </c>
      <c r="R5270" t="s">
        <v>364</v>
      </c>
      <c r="S5270" t="s">
        <v>415</v>
      </c>
      <c r="T5270" s="14">
        <v>5.6062534805862603</v>
      </c>
    </row>
    <row r="5271" spans="17:20" x14ac:dyDescent="0.3">
      <c r="Q5271" s="93">
        <v>45873</v>
      </c>
      <c r="R5271" t="s">
        <v>479</v>
      </c>
      <c r="S5271" t="s">
        <v>399</v>
      </c>
      <c r="T5271" s="14">
        <v>10097.6106</v>
      </c>
    </row>
    <row r="5272" spans="17:20" x14ac:dyDescent="0.3">
      <c r="Q5272" s="93">
        <v>45873</v>
      </c>
      <c r="R5272" t="s">
        <v>364</v>
      </c>
      <c r="S5272" t="s">
        <v>399</v>
      </c>
      <c r="T5272" s="14">
        <v>18334.4067</v>
      </c>
    </row>
    <row r="5273" spans="17:20" x14ac:dyDescent="0.3">
      <c r="Q5273" s="93">
        <v>45873</v>
      </c>
      <c r="R5273" t="s">
        <v>491</v>
      </c>
      <c r="S5273" t="s">
        <v>399</v>
      </c>
      <c r="T5273" s="14">
        <v>9000</v>
      </c>
    </row>
    <row r="5274" spans="17:20" x14ac:dyDescent="0.3">
      <c r="Q5274" s="93">
        <v>45873</v>
      </c>
      <c r="R5274" t="s">
        <v>492</v>
      </c>
      <c r="S5274" t="s">
        <v>399</v>
      </c>
      <c r="T5274" s="14">
        <v>1097.6106</v>
      </c>
    </row>
    <row r="5275" spans="17:20" x14ac:dyDescent="0.3">
      <c r="Q5275" s="93">
        <v>45873</v>
      </c>
      <c r="R5275" t="s">
        <v>496</v>
      </c>
      <c r="S5275" t="s">
        <v>399</v>
      </c>
      <c r="T5275" s="14">
        <v>18424.4067</v>
      </c>
    </row>
    <row r="5276" spans="17:20" x14ac:dyDescent="0.3">
      <c r="Q5276" s="93">
        <v>45873</v>
      </c>
      <c r="R5276" t="s">
        <v>497</v>
      </c>
      <c r="S5276" t="s">
        <v>399</v>
      </c>
      <c r="T5276" s="14">
        <v>1097.6106</v>
      </c>
    </row>
    <row r="5277" spans="17:20" x14ac:dyDescent="0.3">
      <c r="Q5277" s="93">
        <v>45873</v>
      </c>
      <c r="R5277" t="s">
        <v>498</v>
      </c>
      <c r="S5277" t="s">
        <v>399</v>
      </c>
      <c r="T5277" s="14">
        <v>9000</v>
      </c>
    </row>
    <row r="5278" spans="17:20" x14ac:dyDescent="0.3">
      <c r="Q5278" s="93">
        <v>45873</v>
      </c>
      <c r="R5278" t="s">
        <v>494</v>
      </c>
      <c r="S5278" t="s">
        <v>399</v>
      </c>
      <c r="T5278" s="14">
        <v>2200</v>
      </c>
    </row>
    <row r="5279" spans="17:20" x14ac:dyDescent="0.3">
      <c r="Q5279" s="93">
        <v>45873</v>
      </c>
      <c r="R5279" t="s">
        <v>495</v>
      </c>
      <c r="S5279" t="s">
        <v>399</v>
      </c>
      <c r="T5279" s="14">
        <v>0</v>
      </c>
    </row>
    <row r="5280" spans="17:20" x14ac:dyDescent="0.3">
      <c r="Q5280" s="93">
        <v>45873</v>
      </c>
      <c r="R5280" t="s">
        <v>493</v>
      </c>
      <c r="S5280" t="s">
        <v>399</v>
      </c>
      <c r="T5280" s="14">
        <v>0</v>
      </c>
    </row>
    <row r="5281" spans="17:20" x14ac:dyDescent="0.3">
      <c r="Q5281" s="93">
        <v>45870</v>
      </c>
      <c r="R5281" t="s">
        <v>479</v>
      </c>
      <c r="S5281" t="s">
        <v>399</v>
      </c>
      <c r="T5281" s="14">
        <v>10097.6106</v>
      </c>
    </row>
    <row r="5282" spans="17:20" x14ac:dyDescent="0.3">
      <c r="Q5282" s="93">
        <v>45870</v>
      </c>
      <c r="R5282" t="s">
        <v>364</v>
      </c>
      <c r="S5282" t="s">
        <v>399</v>
      </c>
      <c r="T5282" s="14">
        <v>17494.4067</v>
      </c>
    </row>
    <row r="5283" spans="17:20" x14ac:dyDescent="0.3">
      <c r="Q5283" s="93">
        <v>45870</v>
      </c>
      <c r="R5283" t="s">
        <v>491</v>
      </c>
      <c r="S5283" t="s">
        <v>399</v>
      </c>
      <c r="T5283" s="14">
        <v>9000</v>
      </c>
    </row>
    <row r="5284" spans="17:20" x14ac:dyDescent="0.3">
      <c r="Q5284" s="93">
        <v>45870</v>
      </c>
      <c r="R5284" t="s">
        <v>492</v>
      </c>
      <c r="S5284" t="s">
        <v>399</v>
      </c>
      <c r="T5284" s="14">
        <v>1097.6106</v>
      </c>
    </row>
    <row r="5285" spans="17:20" x14ac:dyDescent="0.3">
      <c r="Q5285" s="93">
        <v>45870</v>
      </c>
      <c r="R5285" t="s">
        <v>496</v>
      </c>
      <c r="S5285" t="s">
        <v>399</v>
      </c>
      <c r="T5285" s="14">
        <v>18994.4067</v>
      </c>
    </row>
    <row r="5286" spans="17:20" x14ac:dyDescent="0.3">
      <c r="Q5286" s="93">
        <v>45870</v>
      </c>
      <c r="R5286" t="s">
        <v>497</v>
      </c>
      <c r="S5286" t="s">
        <v>399</v>
      </c>
      <c r="T5286" s="14">
        <v>1097.6106</v>
      </c>
    </row>
    <row r="5287" spans="17:20" x14ac:dyDescent="0.3">
      <c r="Q5287" s="93">
        <v>45870</v>
      </c>
      <c r="R5287" t="s">
        <v>498</v>
      </c>
      <c r="S5287" t="s">
        <v>399</v>
      </c>
      <c r="T5287" s="14">
        <v>9000</v>
      </c>
    </row>
    <row r="5288" spans="17:20" x14ac:dyDescent="0.3">
      <c r="Q5288" s="93">
        <v>45870</v>
      </c>
      <c r="R5288" t="s">
        <v>494</v>
      </c>
      <c r="S5288" t="s">
        <v>399</v>
      </c>
      <c r="T5288" s="14">
        <v>1200</v>
      </c>
    </row>
    <row r="5289" spans="17:20" x14ac:dyDescent="0.3">
      <c r="Q5289" s="93">
        <v>45870</v>
      </c>
      <c r="R5289" t="s">
        <v>495</v>
      </c>
      <c r="S5289" t="s">
        <v>399</v>
      </c>
      <c r="T5289" s="14">
        <v>0</v>
      </c>
    </row>
    <row r="5290" spans="17:20" x14ac:dyDescent="0.3">
      <c r="Q5290" s="93">
        <v>45870</v>
      </c>
      <c r="R5290" t="s">
        <v>493</v>
      </c>
      <c r="S5290" t="s">
        <v>399</v>
      </c>
      <c r="T5290" s="14">
        <v>0</v>
      </c>
    </row>
    <row r="5291" spans="17:20" x14ac:dyDescent="0.3">
      <c r="Q5291" s="93">
        <v>45870</v>
      </c>
      <c r="R5291" t="s">
        <v>593</v>
      </c>
      <c r="S5291" t="s">
        <v>399</v>
      </c>
      <c r="T5291" s="14">
        <v>-2700</v>
      </c>
    </row>
    <row r="5292" spans="17:20" x14ac:dyDescent="0.3">
      <c r="Q5292" s="93">
        <v>45870</v>
      </c>
      <c r="R5292" t="s">
        <v>594</v>
      </c>
      <c r="S5292" t="s">
        <v>399</v>
      </c>
      <c r="T5292" s="14">
        <v>0</v>
      </c>
    </row>
    <row r="5293" spans="17:20" x14ac:dyDescent="0.3">
      <c r="Q5293" s="93">
        <v>45870</v>
      </c>
      <c r="R5293" t="s">
        <v>595</v>
      </c>
      <c r="S5293" t="s">
        <v>399</v>
      </c>
      <c r="T5293" s="14">
        <v>0</v>
      </c>
    </row>
    <row r="5294" spans="17:20" x14ac:dyDescent="0.3">
      <c r="Q5294" s="93">
        <v>45870</v>
      </c>
      <c r="R5294" t="s">
        <v>479</v>
      </c>
      <c r="S5294" t="s">
        <v>395</v>
      </c>
      <c r="T5294" s="14">
        <v>9977.7242445016309</v>
      </c>
    </row>
    <row r="5295" spans="17:20" x14ac:dyDescent="0.3">
      <c r="Q5295" s="93">
        <v>45870</v>
      </c>
      <c r="R5295" t="s">
        <v>479</v>
      </c>
      <c r="S5295" t="s">
        <v>415</v>
      </c>
      <c r="T5295" s="14">
        <v>6.0710776641555197</v>
      </c>
    </row>
    <row r="5296" spans="17:20" x14ac:dyDescent="0.3">
      <c r="Q5296" s="93">
        <v>45870</v>
      </c>
      <c r="R5296" t="s">
        <v>364</v>
      </c>
      <c r="S5296" t="s">
        <v>415</v>
      </c>
      <c r="T5296" s="14">
        <v>5.6278998658468398</v>
      </c>
    </row>
    <row r="5297" spans="17:20" x14ac:dyDescent="0.3">
      <c r="Q5297" s="93">
        <v>45869</v>
      </c>
      <c r="R5297" t="s">
        <v>479</v>
      </c>
      <c r="S5297" t="s">
        <v>415</v>
      </c>
      <c r="T5297" s="14">
        <v>6.0710776641555197</v>
      </c>
    </row>
    <row r="5298" spans="17:20" x14ac:dyDescent="0.3">
      <c r="Q5298" s="93">
        <v>45869</v>
      </c>
      <c r="R5298" t="s">
        <v>364</v>
      </c>
      <c r="S5298" t="s">
        <v>415</v>
      </c>
      <c r="T5298" s="14">
        <v>5.5833167468099001</v>
      </c>
    </row>
    <row r="5299" spans="17:20" x14ac:dyDescent="0.3">
      <c r="Q5299" s="93">
        <v>45869</v>
      </c>
      <c r="R5299" t="s">
        <v>479</v>
      </c>
      <c r="S5299" t="s">
        <v>399</v>
      </c>
      <c r="T5299" s="14">
        <v>10097.6106</v>
      </c>
    </row>
    <row r="5300" spans="17:20" x14ac:dyDescent="0.3">
      <c r="Q5300" s="93">
        <v>45869</v>
      </c>
      <c r="R5300" t="s">
        <v>364</v>
      </c>
      <c r="S5300" t="s">
        <v>399</v>
      </c>
      <c r="T5300" s="14">
        <v>20194.4067</v>
      </c>
    </row>
    <row r="5301" spans="17:20" x14ac:dyDescent="0.3">
      <c r="Q5301" s="93">
        <v>45869</v>
      </c>
      <c r="R5301" t="s">
        <v>491</v>
      </c>
      <c r="S5301" t="s">
        <v>399</v>
      </c>
      <c r="T5301" s="14">
        <v>9000</v>
      </c>
    </row>
    <row r="5302" spans="17:20" x14ac:dyDescent="0.3">
      <c r="Q5302" s="93">
        <v>45869</v>
      </c>
      <c r="R5302" t="s">
        <v>492</v>
      </c>
      <c r="S5302" t="s">
        <v>399</v>
      </c>
      <c r="T5302" s="14">
        <v>1097.6106</v>
      </c>
    </row>
    <row r="5303" spans="17:20" x14ac:dyDescent="0.3">
      <c r="Q5303" s="93">
        <v>45869</v>
      </c>
      <c r="R5303" t="s">
        <v>496</v>
      </c>
      <c r="S5303" t="s">
        <v>399</v>
      </c>
      <c r="T5303" s="14">
        <v>17494.4067</v>
      </c>
    </row>
    <row r="5304" spans="17:20" x14ac:dyDescent="0.3">
      <c r="Q5304" s="93">
        <v>45869</v>
      </c>
      <c r="R5304" t="s">
        <v>497</v>
      </c>
      <c r="S5304" t="s">
        <v>399</v>
      </c>
      <c r="T5304" s="14">
        <v>1097.6106</v>
      </c>
    </row>
    <row r="5305" spans="17:20" x14ac:dyDescent="0.3">
      <c r="Q5305" s="93">
        <v>45869</v>
      </c>
      <c r="R5305" t="s">
        <v>498</v>
      </c>
      <c r="S5305" t="s">
        <v>399</v>
      </c>
      <c r="T5305" s="14">
        <v>9000</v>
      </c>
    </row>
    <row r="5306" spans="17:20" x14ac:dyDescent="0.3">
      <c r="Q5306" s="93">
        <v>45869</v>
      </c>
      <c r="R5306" t="s">
        <v>494</v>
      </c>
      <c r="S5306" t="s">
        <v>399</v>
      </c>
      <c r="T5306" s="14">
        <v>2700</v>
      </c>
    </row>
    <row r="5307" spans="17:20" x14ac:dyDescent="0.3">
      <c r="Q5307" s="93">
        <v>45869</v>
      </c>
      <c r="R5307" t="s">
        <v>495</v>
      </c>
      <c r="S5307" t="s">
        <v>399</v>
      </c>
      <c r="T5307" s="14">
        <v>0</v>
      </c>
    </row>
    <row r="5308" spans="17:20" x14ac:dyDescent="0.3">
      <c r="Q5308" s="93">
        <v>45869</v>
      </c>
      <c r="R5308" t="s">
        <v>493</v>
      </c>
      <c r="S5308" t="s">
        <v>399</v>
      </c>
      <c r="T5308" s="14">
        <v>0</v>
      </c>
    </row>
    <row r="5309" spans="17:20" x14ac:dyDescent="0.3">
      <c r="Q5309" s="93">
        <v>45869</v>
      </c>
      <c r="R5309" t="s">
        <v>593</v>
      </c>
      <c r="S5309" t="s">
        <v>399</v>
      </c>
      <c r="T5309" s="14">
        <v>0</v>
      </c>
    </row>
    <row r="5310" spans="17:20" x14ac:dyDescent="0.3">
      <c r="Q5310" s="93">
        <v>45869</v>
      </c>
      <c r="R5310" t="s">
        <v>594</v>
      </c>
      <c r="S5310" t="s">
        <v>399</v>
      </c>
      <c r="T5310" s="14">
        <v>0</v>
      </c>
    </row>
    <row r="5311" spans="17:20" x14ac:dyDescent="0.3">
      <c r="Q5311" s="93">
        <v>45869</v>
      </c>
      <c r="R5311" t="s">
        <v>595</v>
      </c>
      <c r="S5311" t="s">
        <v>399</v>
      </c>
      <c r="T5311" s="14">
        <v>0</v>
      </c>
    </row>
    <row r="5312" spans="17:20" x14ac:dyDescent="0.3">
      <c r="Q5312" s="93">
        <v>45869</v>
      </c>
      <c r="R5312" t="s">
        <v>479</v>
      </c>
      <c r="S5312" t="s">
        <v>395</v>
      </c>
      <c r="T5312" s="14">
        <v>9980.9654579501093</v>
      </c>
    </row>
    <row r="5313" spans="17:20" x14ac:dyDescent="0.3">
      <c r="Q5313" s="93">
        <v>45868</v>
      </c>
      <c r="R5313" t="s">
        <v>479</v>
      </c>
      <c r="S5313" t="s">
        <v>415</v>
      </c>
      <c r="T5313" s="14">
        <v>6.0710776641555197</v>
      </c>
    </row>
    <row r="5314" spans="17:20" x14ac:dyDescent="0.3">
      <c r="Q5314" s="93">
        <v>45868</v>
      </c>
      <c r="R5314" t="s">
        <v>364</v>
      </c>
      <c r="S5314" t="s">
        <v>415</v>
      </c>
      <c r="T5314" s="14">
        <v>5.5904122037219999</v>
      </c>
    </row>
    <row r="5315" spans="17:20" x14ac:dyDescent="0.3">
      <c r="Q5315" s="93">
        <v>45868</v>
      </c>
      <c r="R5315" t="s">
        <v>479</v>
      </c>
      <c r="S5315" t="s">
        <v>399</v>
      </c>
      <c r="T5315" s="14">
        <v>10097.6106</v>
      </c>
    </row>
    <row r="5316" spans="17:20" x14ac:dyDescent="0.3">
      <c r="Q5316" s="93">
        <v>45868</v>
      </c>
      <c r="R5316" t="s">
        <v>364</v>
      </c>
      <c r="S5316" t="s">
        <v>399</v>
      </c>
      <c r="T5316" s="14">
        <v>19294.4067</v>
      </c>
    </row>
    <row r="5317" spans="17:20" x14ac:dyDescent="0.3">
      <c r="Q5317" s="93">
        <v>45868</v>
      </c>
      <c r="R5317" t="s">
        <v>491</v>
      </c>
      <c r="S5317" t="s">
        <v>399</v>
      </c>
      <c r="T5317" s="14">
        <v>9000</v>
      </c>
    </row>
    <row r="5318" spans="17:20" x14ac:dyDescent="0.3">
      <c r="Q5318" s="93">
        <v>45868</v>
      </c>
      <c r="R5318" t="s">
        <v>492</v>
      </c>
      <c r="S5318" t="s">
        <v>399</v>
      </c>
      <c r="T5318" s="14">
        <v>1097.6106</v>
      </c>
    </row>
    <row r="5319" spans="17:20" x14ac:dyDescent="0.3">
      <c r="Q5319" s="93">
        <v>45868</v>
      </c>
      <c r="R5319" t="s">
        <v>496</v>
      </c>
      <c r="S5319" t="s">
        <v>399</v>
      </c>
      <c r="T5319" s="14">
        <v>16594.4067</v>
      </c>
    </row>
    <row r="5320" spans="17:20" x14ac:dyDescent="0.3">
      <c r="Q5320" s="93">
        <v>45868</v>
      </c>
      <c r="R5320" t="s">
        <v>497</v>
      </c>
      <c r="S5320" t="s">
        <v>399</v>
      </c>
      <c r="T5320" s="14">
        <v>1297.6106</v>
      </c>
    </row>
    <row r="5321" spans="17:20" x14ac:dyDescent="0.3">
      <c r="Q5321" s="93">
        <v>45868</v>
      </c>
      <c r="R5321" t="s">
        <v>498</v>
      </c>
      <c r="S5321" t="s">
        <v>399</v>
      </c>
      <c r="T5321" s="14">
        <v>9000</v>
      </c>
    </row>
    <row r="5322" spans="17:20" x14ac:dyDescent="0.3">
      <c r="Q5322" s="93">
        <v>45868</v>
      </c>
      <c r="R5322" t="s">
        <v>494</v>
      </c>
      <c r="S5322" t="s">
        <v>399</v>
      </c>
      <c r="T5322" s="14">
        <v>2700</v>
      </c>
    </row>
    <row r="5323" spans="17:20" x14ac:dyDescent="0.3">
      <c r="Q5323" s="93">
        <v>45868</v>
      </c>
      <c r="R5323" t="s">
        <v>495</v>
      </c>
      <c r="S5323" t="s">
        <v>399</v>
      </c>
      <c r="T5323" s="14">
        <v>-200</v>
      </c>
    </row>
    <row r="5324" spans="17:20" x14ac:dyDescent="0.3">
      <c r="Q5324" s="93">
        <v>45868</v>
      </c>
      <c r="R5324" t="s">
        <v>493</v>
      </c>
      <c r="S5324" t="s">
        <v>399</v>
      </c>
      <c r="T5324" s="14">
        <v>0</v>
      </c>
    </row>
    <row r="5325" spans="17:20" x14ac:dyDescent="0.3">
      <c r="Q5325" s="93">
        <v>45868</v>
      </c>
      <c r="R5325" t="s">
        <v>593</v>
      </c>
      <c r="S5325" t="s">
        <v>399</v>
      </c>
      <c r="T5325" s="14">
        <v>0</v>
      </c>
    </row>
    <row r="5326" spans="17:20" x14ac:dyDescent="0.3">
      <c r="Q5326" s="93">
        <v>45868</v>
      </c>
      <c r="R5326" t="s">
        <v>594</v>
      </c>
      <c r="S5326" t="s">
        <v>399</v>
      </c>
      <c r="T5326" s="14">
        <v>0</v>
      </c>
    </row>
    <row r="5327" spans="17:20" x14ac:dyDescent="0.3">
      <c r="Q5327" s="93">
        <v>45868</v>
      </c>
      <c r="R5327" t="s">
        <v>595</v>
      </c>
      <c r="S5327" t="s">
        <v>399</v>
      </c>
      <c r="T5327" s="14">
        <v>0</v>
      </c>
    </row>
    <row r="5328" spans="17:20" x14ac:dyDescent="0.3">
      <c r="Q5328" s="93">
        <v>45868</v>
      </c>
      <c r="R5328" t="s">
        <v>479</v>
      </c>
      <c r="S5328" t="s">
        <v>395</v>
      </c>
      <c r="T5328" s="14">
        <v>9982.3658390545006</v>
      </c>
    </row>
    <row r="5329" spans="17:20" x14ac:dyDescent="0.3">
      <c r="Q5329" s="93">
        <v>45867</v>
      </c>
      <c r="R5329" t="s">
        <v>479</v>
      </c>
      <c r="S5329" t="s">
        <v>399</v>
      </c>
      <c r="T5329" s="14">
        <v>9902.6106</v>
      </c>
    </row>
    <row r="5330" spans="17:20" x14ac:dyDescent="0.3">
      <c r="Q5330" s="93">
        <v>45867</v>
      </c>
      <c r="R5330" t="s">
        <v>364</v>
      </c>
      <c r="S5330" t="s">
        <v>399</v>
      </c>
      <c r="T5330" s="14">
        <v>17994.4067</v>
      </c>
    </row>
    <row r="5331" spans="17:20" x14ac:dyDescent="0.3">
      <c r="Q5331" s="93">
        <v>45867</v>
      </c>
      <c r="R5331" t="s">
        <v>491</v>
      </c>
      <c r="S5331" t="s">
        <v>399</v>
      </c>
      <c r="T5331" s="14">
        <v>9000</v>
      </c>
    </row>
    <row r="5332" spans="17:20" x14ac:dyDescent="0.3">
      <c r="Q5332" s="93">
        <v>45867</v>
      </c>
      <c r="R5332" t="s">
        <v>492</v>
      </c>
      <c r="S5332" t="s">
        <v>399</v>
      </c>
      <c r="T5332" s="14">
        <v>902.61059999999998</v>
      </c>
    </row>
    <row r="5333" spans="17:20" x14ac:dyDescent="0.3">
      <c r="Q5333" s="93">
        <v>45867</v>
      </c>
      <c r="R5333" t="s">
        <v>496</v>
      </c>
      <c r="S5333" t="s">
        <v>399</v>
      </c>
      <c r="T5333" s="14">
        <v>15794.4067</v>
      </c>
    </row>
    <row r="5334" spans="17:20" x14ac:dyDescent="0.3">
      <c r="Q5334" s="93">
        <v>45867</v>
      </c>
      <c r="R5334" t="s">
        <v>497</v>
      </c>
      <c r="S5334" t="s">
        <v>399</v>
      </c>
      <c r="T5334" s="14">
        <v>1397.6106</v>
      </c>
    </row>
    <row r="5335" spans="17:20" x14ac:dyDescent="0.3">
      <c r="Q5335" s="93">
        <v>45867</v>
      </c>
      <c r="R5335" t="s">
        <v>498</v>
      </c>
      <c r="S5335" t="s">
        <v>399</v>
      </c>
      <c r="T5335" s="14">
        <v>9000</v>
      </c>
    </row>
    <row r="5336" spans="17:20" x14ac:dyDescent="0.3">
      <c r="Q5336" s="93">
        <v>45867</v>
      </c>
      <c r="R5336" t="s">
        <v>494</v>
      </c>
      <c r="S5336" t="s">
        <v>399</v>
      </c>
      <c r="T5336" s="14">
        <v>2200</v>
      </c>
    </row>
    <row r="5337" spans="17:20" x14ac:dyDescent="0.3">
      <c r="Q5337" s="93">
        <v>45867</v>
      </c>
      <c r="R5337" t="s">
        <v>495</v>
      </c>
      <c r="S5337" t="s">
        <v>399</v>
      </c>
      <c r="T5337" s="14">
        <v>-100</v>
      </c>
    </row>
    <row r="5338" spans="17:20" x14ac:dyDescent="0.3">
      <c r="Q5338" s="93">
        <v>45867</v>
      </c>
      <c r="R5338" t="s">
        <v>493</v>
      </c>
      <c r="S5338" t="s">
        <v>399</v>
      </c>
      <c r="T5338" s="14">
        <v>0</v>
      </c>
    </row>
    <row r="5339" spans="17:20" x14ac:dyDescent="0.3">
      <c r="Q5339" s="93">
        <v>45867</v>
      </c>
      <c r="R5339" t="s">
        <v>593</v>
      </c>
      <c r="S5339" t="s">
        <v>399</v>
      </c>
      <c r="T5339" s="14">
        <v>0</v>
      </c>
    </row>
    <row r="5340" spans="17:20" x14ac:dyDescent="0.3">
      <c r="Q5340" s="93">
        <v>45867</v>
      </c>
      <c r="R5340" t="s">
        <v>594</v>
      </c>
      <c r="S5340" t="s">
        <v>399</v>
      </c>
      <c r="T5340" s="14">
        <v>-395</v>
      </c>
    </row>
    <row r="5341" spans="17:20" x14ac:dyDescent="0.3">
      <c r="Q5341" s="93">
        <v>45867</v>
      </c>
      <c r="R5341" t="s">
        <v>595</v>
      </c>
      <c r="S5341" t="s">
        <v>399</v>
      </c>
      <c r="T5341" s="14">
        <v>0</v>
      </c>
    </row>
    <row r="5342" spans="17:20" x14ac:dyDescent="0.3">
      <c r="Q5342" s="93">
        <v>45867</v>
      </c>
      <c r="R5342" t="s">
        <v>479</v>
      </c>
      <c r="S5342" t="s">
        <v>395</v>
      </c>
      <c r="T5342" s="14">
        <v>9756.3782563755904</v>
      </c>
    </row>
    <row r="5343" spans="17:20" x14ac:dyDescent="0.3">
      <c r="Q5343" s="93">
        <v>45867</v>
      </c>
      <c r="R5343" t="s">
        <v>479</v>
      </c>
      <c r="S5343" t="s">
        <v>415</v>
      </c>
      <c r="T5343" s="14">
        <v>6.0669636121004302</v>
      </c>
    </row>
    <row r="5344" spans="17:20" x14ac:dyDescent="0.3">
      <c r="Q5344" s="93">
        <v>45867</v>
      </c>
      <c r="R5344" t="s">
        <v>364</v>
      </c>
      <c r="S5344" t="s">
        <v>415</v>
      </c>
      <c r="T5344" s="14">
        <v>5.5980043479848396</v>
      </c>
    </row>
    <row r="5345" spans="17:20" x14ac:dyDescent="0.3">
      <c r="Q5345" s="93">
        <v>45866</v>
      </c>
      <c r="R5345" t="s">
        <v>479</v>
      </c>
      <c r="S5345" t="s">
        <v>399</v>
      </c>
      <c r="T5345" s="14">
        <v>10397.6106</v>
      </c>
    </row>
    <row r="5346" spans="17:20" x14ac:dyDescent="0.3">
      <c r="Q5346" s="93">
        <v>45866</v>
      </c>
      <c r="R5346" t="s">
        <v>364</v>
      </c>
      <c r="S5346" t="s">
        <v>399</v>
      </c>
      <c r="T5346" s="14">
        <v>18494.4067</v>
      </c>
    </row>
    <row r="5347" spans="17:20" x14ac:dyDescent="0.3">
      <c r="Q5347" s="93">
        <v>45866</v>
      </c>
      <c r="R5347" t="s">
        <v>491</v>
      </c>
      <c r="S5347" t="s">
        <v>399</v>
      </c>
      <c r="T5347" s="14">
        <v>9000</v>
      </c>
    </row>
    <row r="5348" spans="17:20" x14ac:dyDescent="0.3">
      <c r="Q5348" s="93">
        <v>45866</v>
      </c>
      <c r="R5348" t="s">
        <v>492</v>
      </c>
      <c r="S5348" t="s">
        <v>399</v>
      </c>
      <c r="T5348" s="14">
        <v>1397.6106</v>
      </c>
    </row>
    <row r="5349" spans="17:20" x14ac:dyDescent="0.3">
      <c r="Q5349" s="93">
        <v>45866</v>
      </c>
      <c r="R5349" t="s">
        <v>496</v>
      </c>
      <c r="S5349" t="s">
        <v>399</v>
      </c>
      <c r="T5349" s="14">
        <v>16794.4067</v>
      </c>
    </row>
    <row r="5350" spans="17:20" x14ac:dyDescent="0.3">
      <c r="Q5350" s="93">
        <v>45866</v>
      </c>
      <c r="R5350" t="s">
        <v>497</v>
      </c>
      <c r="S5350" t="s">
        <v>399</v>
      </c>
      <c r="T5350" s="14">
        <v>1397.6106</v>
      </c>
    </row>
    <row r="5351" spans="17:20" x14ac:dyDescent="0.3">
      <c r="Q5351" s="93">
        <v>45866</v>
      </c>
      <c r="R5351" t="s">
        <v>498</v>
      </c>
      <c r="S5351" t="s">
        <v>399</v>
      </c>
      <c r="T5351" s="14">
        <v>9000</v>
      </c>
    </row>
    <row r="5352" spans="17:20" x14ac:dyDescent="0.3">
      <c r="Q5352" s="93">
        <v>45866</v>
      </c>
      <c r="R5352" t="s">
        <v>494</v>
      </c>
      <c r="S5352" t="s">
        <v>399</v>
      </c>
      <c r="T5352" s="14">
        <v>1700</v>
      </c>
    </row>
    <row r="5353" spans="17:20" x14ac:dyDescent="0.3">
      <c r="Q5353" s="93">
        <v>45866</v>
      </c>
      <c r="R5353" t="s">
        <v>495</v>
      </c>
      <c r="S5353" t="s">
        <v>399</v>
      </c>
      <c r="T5353" s="14">
        <v>0</v>
      </c>
    </row>
    <row r="5354" spans="17:20" x14ac:dyDescent="0.3">
      <c r="Q5354" s="93">
        <v>45866</v>
      </c>
      <c r="R5354" t="s">
        <v>493</v>
      </c>
      <c r="S5354" t="s">
        <v>399</v>
      </c>
      <c r="T5354" s="14">
        <v>0</v>
      </c>
    </row>
    <row r="5355" spans="17:20" x14ac:dyDescent="0.3">
      <c r="Q5355" s="93">
        <v>45866</v>
      </c>
      <c r="R5355" t="s">
        <v>593</v>
      </c>
      <c r="S5355" t="s">
        <v>399</v>
      </c>
      <c r="T5355" s="14">
        <v>0</v>
      </c>
    </row>
    <row r="5356" spans="17:20" x14ac:dyDescent="0.3">
      <c r="Q5356" s="93">
        <v>45866</v>
      </c>
      <c r="R5356" t="s">
        <v>594</v>
      </c>
      <c r="S5356" t="s">
        <v>399</v>
      </c>
      <c r="T5356" s="14">
        <v>0</v>
      </c>
    </row>
    <row r="5357" spans="17:20" x14ac:dyDescent="0.3">
      <c r="Q5357" s="93">
        <v>45866</v>
      </c>
      <c r="R5357" t="s">
        <v>595</v>
      </c>
      <c r="S5357" t="s">
        <v>399</v>
      </c>
      <c r="T5357" s="14">
        <v>0</v>
      </c>
    </row>
    <row r="5358" spans="17:20" x14ac:dyDescent="0.3">
      <c r="Q5358" s="93">
        <v>45866</v>
      </c>
      <c r="R5358" t="s">
        <v>479</v>
      </c>
      <c r="S5358" t="s">
        <v>395</v>
      </c>
      <c r="T5358" s="14">
        <v>3821.2709517399999</v>
      </c>
    </row>
    <row r="5359" spans="17:20" x14ac:dyDescent="0.3">
      <c r="Q5359" s="93">
        <v>45866</v>
      </c>
      <c r="R5359" t="s">
        <v>479</v>
      </c>
      <c r="S5359" t="s">
        <v>415</v>
      </c>
      <c r="T5359" s="14">
        <v>6.0771056549280704</v>
      </c>
    </row>
    <row r="5360" spans="17:20" x14ac:dyDescent="0.3">
      <c r="Q5360" s="93">
        <v>45866</v>
      </c>
      <c r="R5360" t="s">
        <v>364</v>
      </c>
      <c r="S5360" t="s">
        <v>415</v>
      </c>
      <c r="T5360" s="14">
        <v>5.5969213364739403</v>
      </c>
    </row>
    <row r="5361" spans="17:20" x14ac:dyDescent="0.3">
      <c r="Q5361" s="93">
        <v>45863</v>
      </c>
      <c r="R5361" t="s">
        <v>479</v>
      </c>
      <c r="S5361" t="s">
        <v>399</v>
      </c>
      <c r="T5361" s="14">
        <v>10397.6106</v>
      </c>
    </row>
    <row r="5362" spans="17:20" x14ac:dyDescent="0.3">
      <c r="Q5362" s="93">
        <v>45863</v>
      </c>
      <c r="R5362" t="s">
        <v>364</v>
      </c>
      <c r="S5362" t="s">
        <v>399</v>
      </c>
      <c r="T5362" s="14">
        <v>19634.4067</v>
      </c>
    </row>
    <row r="5363" spans="17:20" x14ac:dyDescent="0.3">
      <c r="Q5363" s="93">
        <v>45863</v>
      </c>
      <c r="R5363" t="s">
        <v>491</v>
      </c>
      <c r="S5363" t="s">
        <v>399</v>
      </c>
      <c r="T5363" s="14">
        <v>9000</v>
      </c>
    </row>
    <row r="5364" spans="17:20" x14ac:dyDescent="0.3">
      <c r="Q5364" s="93">
        <v>45863</v>
      </c>
      <c r="R5364" t="s">
        <v>492</v>
      </c>
      <c r="S5364" t="s">
        <v>399</v>
      </c>
      <c r="T5364" s="14">
        <v>1397.6106</v>
      </c>
    </row>
    <row r="5365" spans="17:20" x14ac:dyDescent="0.3">
      <c r="Q5365" s="93">
        <v>45863</v>
      </c>
      <c r="R5365" t="s">
        <v>496</v>
      </c>
      <c r="S5365" t="s">
        <v>399</v>
      </c>
      <c r="T5365" s="14">
        <v>16984.4067</v>
      </c>
    </row>
    <row r="5366" spans="17:20" x14ac:dyDescent="0.3">
      <c r="Q5366" s="93">
        <v>45863</v>
      </c>
      <c r="R5366" t="s">
        <v>497</v>
      </c>
      <c r="S5366" t="s">
        <v>399</v>
      </c>
      <c r="T5366" s="14">
        <v>1397.6106</v>
      </c>
    </row>
    <row r="5367" spans="17:20" x14ac:dyDescent="0.3">
      <c r="Q5367" s="93">
        <v>45863</v>
      </c>
      <c r="R5367" t="s">
        <v>498</v>
      </c>
      <c r="S5367" t="s">
        <v>399</v>
      </c>
      <c r="T5367" s="14">
        <v>9000</v>
      </c>
    </row>
    <row r="5368" spans="17:20" x14ac:dyDescent="0.3">
      <c r="Q5368" s="93">
        <v>45863</v>
      </c>
      <c r="R5368" t="s">
        <v>494</v>
      </c>
      <c r="S5368" t="s">
        <v>399</v>
      </c>
      <c r="T5368" s="14">
        <v>2650</v>
      </c>
    </row>
    <row r="5369" spans="17:20" x14ac:dyDescent="0.3">
      <c r="Q5369" s="93">
        <v>45863</v>
      </c>
      <c r="R5369" t="s">
        <v>495</v>
      </c>
      <c r="S5369" t="s">
        <v>399</v>
      </c>
      <c r="T5369" s="14">
        <v>0</v>
      </c>
    </row>
    <row r="5370" spans="17:20" x14ac:dyDescent="0.3">
      <c r="Q5370" s="93">
        <v>45863</v>
      </c>
      <c r="R5370" t="s">
        <v>493</v>
      </c>
      <c r="S5370" t="s">
        <v>399</v>
      </c>
      <c r="T5370" s="14">
        <v>0</v>
      </c>
    </row>
    <row r="5371" spans="17:20" x14ac:dyDescent="0.3">
      <c r="Q5371" s="93">
        <v>45863</v>
      </c>
      <c r="R5371" t="s">
        <v>593</v>
      </c>
      <c r="S5371" t="s">
        <v>399</v>
      </c>
      <c r="T5371" s="14">
        <v>0</v>
      </c>
    </row>
    <row r="5372" spans="17:20" x14ac:dyDescent="0.3">
      <c r="Q5372" s="93">
        <v>45863</v>
      </c>
      <c r="R5372" t="s">
        <v>594</v>
      </c>
      <c r="S5372" t="s">
        <v>399</v>
      </c>
      <c r="T5372" s="14">
        <v>0</v>
      </c>
    </row>
    <row r="5373" spans="17:20" x14ac:dyDescent="0.3">
      <c r="Q5373" s="93">
        <v>45863</v>
      </c>
      <c r="R5373" t="s">
        <v>595</v>
      </c>
      <c r="S5373" t="s">
        <v>399</v>
      </c>
      <c r="T5373" s="14">
        <v>0</v>
      </c>
    </row>
    <row r="5374" spans="17:20" x14ac:dyDescent="0.3">
      <c r="Q5374" s="93">
        <v>45863</v>
      </c>
      <c r="R5374" t="s">
        <v>479</v>
      </c>
      <c r="S5374" t="s">
        <v>395</v>
      </c>
      <c r="T5374" s="14">
        <v>11392.2282464811</v>
      </c>
    </row>
    <row r="5375" spans="17:20" x14ac:dyDescent="0.3">
      <c r="Q5375" s="93">
        <v>45863</v>
      </c>
      <c r="R5375" t="s">
        <v>479</v>
      </c>
      <c r="S5375" t="s">
        <v>415</v>
      </c>
      <c r="T5375" s="14">
        <v>6.0771056549280704</v>
      </c>
    </row>
    <row r="5376" spans="17:20" x14ac:dyDescent="0.3">
      <c r="Q5376" s="93">
        <v>45863</v>
      </c>
      <c r="R5376" t="s">
        <v>364</v>
      </c>
      <c r="S5376" t="s">
        <v>415</v>
      </c>
      <c r="T5376" s="14">
        <v>5.5893600859352697</v>
      </c>
    </row>
    <row r="5377" spans="17:20" x14ac:dyDescent="0.3">
      <c r="Q5377" s="93">
        <v>45862</v>
      </c>
      <c r="R5377" t="s">
        <v>479</v>
      </c>
      <c r="S5377" t="s">
        <v>399</v>
      </c>
      <c r="T5377" s="14">
        <v>10397.6106</v>
      </c>
    </row>
    <row r="5378" spans="17:20" x14ac:dyDescent="0.3">
      <c r="Q5378" s="93">
        <v>45862</v>
      </c>
      <c r="R5378" t="s">
        <v>364</v>
      </c>
      <c r="S5378" t="s">
        <v>399</v>
      </c>
      <c r="T5378" s="14">
        <v>19634.4067</v>
      </c>
    </row>
    <row r="5379" spans="17:20" x14ac:dyDescent="0.3">
      <c r="Q5379" s="93">
        <v>45862</v>
      </c>
      <c r="R5379" t="s">
        <v>491</v>
      </c>
      <c r="S5379" t="s">
        <v>399</v>
      </c>
      <c r="T5379" s="14">
        <v>9000</v>
      </c>
    </row>
    <row r="5380" spans="17:20" x14ac:dyDescent="0.3">
      <c r="Q5380" s="93">
        <v>45862</v>
      </c>
      <c r="R5380" t="s">
        <v>492</v>
      </c>
      <c r="S5380" t="s">
        <v>399</v>
      </c>
      <c r="T5380" s="14">
        <v>1397.6106</v>
      </c>
    </row>
    <row r="5381" spans="17:20" x14ac:dyDescent="0.3">
      <c r="Q5381" s="93">
        <v>45862</v>
      </c>
      <c r="R5381" t="s">
        <v>496</v>
      </c>
      <c r="S5381" t="s">
        <v>399</v>
      </c>
      <c r="T5381" s="14">
        <v>16984.4067</v>
      </c>
    </row>
    <row r="5382" spans="17:20" x14ac:dyDescent="0.3">
      <c r="Q5382" s="93">
        <v>45862</v>
      </c>
      <c r="R5382" t="s">
        <v>497</v>
      </c>
      <c r="S5382" t="s">
        <v>399</v>
      </c>
      <c r="T5382" s="14">
        <v>1397.6106</v>
      </c>
    </row>
    <row r="5383" spans="17:20" x14ac:dyDescent="0.3">
      <c r="Q5383" s="93">
        <v>45862</v>
      </c>
      <c r="R5383" t="s">
        <v>498</v>
      </c>
      <c r="S5383" t="s">
        <v>399</v>
      </c>
      <c r="T5383" s="14">
        <v>9000</v>
      </c>
    </row>
    <row r="5384" spans="17:20" x14ac:dyDescent="0.3">
      <c r="Q5384" s="93">
        <v>45862</v>
      </c>
      <c r="R5384" t="s">
        <v>494</v>
      </c>
      <c r="S5384" t="s">
        <v>399</v>
      </c>
      <c r="T5384" s="14">
        <v>2650</v>
      </c>
    </row>
    <row r="5385" spans="17:20" x14ac:dyDescent="0.3">
      <c r="Q5385" s="93">
        <v>45862</v>
      </c>
      <c r="R5385" t="s">
        <v>495</v>
      </c>
      <c r="S5385" t="s">
        <v>399</v>
      </c>
      <c r="T5385" s="14">
        <v>0</v>
      </c>
    </row>
    <row r="5386" spans="17:20" x14ac:dyDescent="0.3">
      <c r="Q5386" s="93">
        <v>45862</v>
      </c>
      <c r="R5386" t="s">
        <v>493</v>
      </c>
      <c r="S5386" t="s">
        <v>399</v>
      </c>
      <c r="T5386" s="14">
        <v>0</v>
      </c>
    </row>
    <row r="5387" spans="17:20" x14ac:dyDescent="0.3">
      <c r="Q5387" s="93">
        <v>45862</v>
      </c>
      <c r="R5387" t="s">
        <v>593</v>
      </c>
      <c r="S5387" t="s">
        <v>399</v>
      </c>
      <c r="T5387" s="14">
        <v>0</v>
      </c>
    </row>
    <row r="5388" spans="17:20" x14ac:dyDescent="0.3">
      <c r="Q5388" s="93">
        <v>45862</v>
      </c>
      <c r="R5388" t="s">
        <v>594</v>
      </c>
      <c r="S5388" t="s">
        <v>399</v>
      </c>
      <c r="T5388" s="14">
        <v>0</v>
      </c>
    </row>
    <row r="5389" spans="17:20" x14ac:dyDescent="0.3">
      <c r="Q5389" s="93">
        <v>45862</v>
      </c>
      <c r="R5389" t="s">
        <v>595</v>
      </c>
      <c r="S5389" t="s">
        <v>399</v>
      </c>
      <c r="T5389" s="14">
        <v>0</v>
      </c>
    </row>
    <row r="5390" spans="17:20" x14ac:dyDescent="0.3">
      <c r="Q5390" s="93">
        <v>45862</v>
      </c>
      <c r="R5390" t="s">
        <v>479</v>
      </c>
      <c r="S5390" t="s">
        <v>395</v>
      </c>
      <c r="T5390" s="14">
        <v>11397.6302573087</v>
      </c>
    </row>
    <row r="5391" spans="17:20" x14ac:dyDescent="0.3">
      <c r="Q5391" s="93">
        <v>45862</v>
      </c>
      <c r="R5391" t="s">
        <v>479</v>
      </c>
      <c r="S5391" t="s">
        <v>415</v>
      </c>
      <c r="T5391" s="14">
        <v>6.0771056549280704</v>
      </c>
    </row>
    <row r="5392" spans="17:20" x14ac:dyDescent="0.3">
      <c r="Q5392" s="93">
        <v>45862</v>
      </c>
      <c r="R5392" t="s">
        <v>364</v>
      </c>
      <c r="S5392" t="s">
        <v>415</v>
      </c>
      <c r="T5392" s="14">
        <v>5.5893600859352697</v>
      </c>
    </row>
    <row r="5393" spans="17:20" x14ac:dyDescent="0.3">
      <c r="Q5393" s="93">
        <v>45861</v>
      </c>
      <c r="R5393" t="s">
        <v>479</v>
      </c>
      <c r="S5393" t="s">
        <v>399</v>
      </c>
      <c r="T5393" s="14">
        <v>10397.6106</v>
      </c>
    </row>
    <row r="5394" spans="17:20" x14ac:dyDescent="0.3">
      <c r="Q5394" s="93">
        <v>45861</v>
      </c>
      <c r="R5394" t="s">
        <v>364</v>
      </c>
      <c r="S5394" t="s">
        <v>399</v>
      </c>
      <c r="T5394" s="14">
        <v>19634.4067</v>
      </c>
    </row>
    <row r="5395" spans="17:20" x14ac:dyDescent="0.3">
      <c r="Q5395" s="93">
        <v>45861</v>
      </c>
      <c r="R5395" t="s">
        <v>491</v>
      </c>
      <c r="S5395" t="s">
        <v>399</v>
      </c>
      <c r="T5395" s="14">
        <v>9000</v>
      </c>
    </row>
    <row r="5396" spans="17:20" x14ac:dyDescent="0.3">
      <c r="Q5396" s="93">
        <v>45861</v>
      </c>
      <c r="R5396" t="s">
        <v>492</v>
      </c>
      <c r="S5396" t="s">
        <v>399</v>
      </c>
      <c r="T5396" s="14">
        <v>1397.6106</v>
      </c>
    </row>
    <row r="5397" spans="17:20" x14ac:dyDescent="0.3">
      <c r="Q5397" s="93">
        <v>45861</v>
      </c>
      <c r="R5397" t="s">
        <v>496</v>
      </c>
      <c r="S5397" t="s">
        <v>399</v>
      </c>
      <c r="T5397" s="14">
        <v>17334.4067</v>
      </c>
    </row>
    <row r="5398" spans="17:20" x14ac:dyDescent="0.3">
      <c r="Q5398" s="93">
        <v>45861</v>
      </c>
      <c r="R5398" t="s">
        <v>497</v>
      </c>
      <c r="S5398" t="s">
        <v>399</v>
      </c>
      <c r="T5398" s="14">
        <v>1397.6106</v>
      </c>
    </row>
    <row r="5399" spans="17:20" x14ac:dyDescent="0.3">
      <c r="Q5399" s="93">
        <v>45861</v>
      </c>
      <c r="R5399" t="s">
        <v>498</v>
      </c>
      <c r="S5399" t="s">
        <v>399</v>
      </c>
      <c r="T5399" s="14">
        <v>9000</v>
      </c>
    </row>
    <row r="5400" spans="17:20" x14ac:dyDescent="0.3">
      <c r="Q5400" s="93">
        <v>45861</v>
      </c>
      <c r="R5400" t="s">
        <v>494</v>
      </c>
      <c r="S5400" t="s">
        <v>399</v>
      </c>
      <c r="T5400" s="14">
        <v>3650</v>
      </c>
    </row>
    <row r="5401" spans="17:20" x14ac:dyDescent="0.3">
      <c r="Q5401" s="93">
        <v>45861</v>
      </c>
      <c r="R5401" t="s">
        <v>495</v>
      </c>
      <c r="S5401" t="s">
        <v>399</v>
      </c>
      <c r="T5401" s="14">
        <v>0</v>
      </c>
    </row>
    <row r="5402" spans="17:20" x14ac:dyDescent="0.3">
      <c r="Q5402" s="93">
        <v>45861</v>
      </c>
      <c r="R5402" t="s">
        <v>493</v>
      </c>
      <c r="S5402" t="s">
        <v>399</v>
      </c>
      <c r="T5402" s="14">
        <v>0</v>
      </c>
    </row>
    <row r="5403" spans="17:20" x14ac:dyDescent="0.3">
      <c r="Q5403" s="93">
        <v>45861</v>
      </c>
      <c r="R5403" t="s">
        <v>593</v>
      </c>
      <c r="S5403" t="s">
        <v>399</v>
      </c>
      <c r="T5403" s="14">
        <v>-1350</v>
      </c>
    </row>
    <row r="5404" spans="17:20" x14ac:dyDescent="0.3">
      <c r="Q5404" s="93">
        <v>45861</v>
      </c>
      <c r="R5404" t="s">
        <v>594</v>
      </c>
      <c r="S5404" t="s">
        <v>399</v>
      </c>
      <c r="T5404" s="14">
        <v>0</v>
      </c>
    </row>
    <row r="5405" spans="17:20" x14ac:dyDescent="0.3">
      <c r="Q5405" s="93">
        <v>45861</v>
      </c>
      <c r="R5405" t="s">
        <v>595</v>
      </c>
      <c r="S5405" t="s">
        <v>399</v>
      </c>
      <c r="T5405" s="14">
        <v>0</v>
      </c>
    </row>
    <row r="5406" spans="17:20" x14ac:dyDescent="0.3">
      <c r="Q5406" s="93">
        <v>45861</v>
      </c>
      <c r="R5406" t="s">
        <v>479</v>
      </c>
      <c r="S5406" t="s">
        <v>395</v>
      </c>
      <c r="T5406" s="14">
        <v>11402.859584643</v>
      </c>
    </row>
    <row r="5407" spans="17:20" x14ac:dyDescent="0.3">
      <c r="Q5407" s="93">
        <v>45861</v>
      </c>
      <c r="R5407" t="s">
        <v>479</v>
      </c>
      <c r="S5407" t="s">
        <v>415</v>
      </c>
      <c r="T5407" s="14">
        <v>6.0771056549280704</v>
      </c>
    </row>
    <row r="5408" spans="17:20" x14ac:dyDescent="0.3">
      <c r="Q5408" s="93">
        <v>45861</v>
      </c>
      <c r="R5408" t="s">
        <v>364</v>
      </c>
      <c r="S5408" t="s">
        <v>415</v>
      </c>
      <c r="T5408" s="14">
        <v>5.5893600859352697</v>
      </c>
    </row>
    <row r="5409" spans="17:20" x14ac:dyDescent="0.3">
      <c r="Q5409" s="93">
        <v>45860</v>
      </c>
      <c r="R5409" t="s">
        <v>479</v>
      </c>
      <c r="S5409" t="s">
        <v>399</v>
      </c>
      <c r="T5409" s="14">
        <v>10397.6106</v>
      </c>
    </row>
    <row r="5410" spans="17:20" x14ac:dyDescent="0.3">
      <c r="Q5410" s="93">
        <v>45860</v>
      </c>
      <c r="R5410" t="s">
        <v>364</v>
      </c>
      <c r="S5410" t="s">
        <v>399</v>
      </c>
      <c r="T5410" s="14">
        <v>19634.4067</v>
      </c>
    </row>
    <row r="5411" spans="17:20" x14ac:dyDescent="0.3">
      <c r="Q5411" s="93">
        <v>45860</v>
      </c>
      <c r="R5411" t="s">
        <v>491</v>
      </c>
      <c r="S5411" t="s">
        <v>399</v>
      </c>
      <c r="T5411" s="14">
        <v>9000</v>
      </c>
    </row>
    <row r="5412" spans="17:20" x14ac:dyDescent="0.3">
      <c r="Q5412" s="93">
        <v>45860</v>
      </c>
      <c r="R5412" t="s">
        <v>492</v>
      </c>
      <c r="S5412" t="s">
        <v>399</v>
      </c>
      <c r="T5412" s="14">
        <v>1397.6106</v>
      </c>
    </row>
    <row r="5413" spans="17:20" x14ac:dyDescent="0.3">
      <c r="Q5413" s="93">
        <v>45860</v>
      </c>
      <c r="R5413" t="s">
        <v>496</v>
      </c>
      <c r="S5413" t="s">
        <v>399</v>
      </c>
      <c r="T5413" s="14">
        <v>16334.4067</v>
      </c>
    </row>
    <row r="5414" spans="17:20" x14ac:dyDescent="0.3">
      <c r="Q5414" s="93">
        <v>45860</v>
      </c>
      <c r="R5414" t="s">
        <v>497</v>
      </c>
      <c r="S5414" t="s">
        <v>399</v>
      </c>
      <c r="T5414" s="14">
        <v>1397.6106</v>
      </c>
    </row>
    <row r="5415" spans="17:20" x14ac:dyDescent="0.3">
      <c r="Q5415" s="93">
        <v>45860</v>
      </c>
      <c r="R5415" t="s">
        <v>498</v>
      </c>
      <c r="S5415" t="s">
        <v>399</v>
      </c>
      <c r="T5415" s="14">
        <v>9500</v>
      </c>
    </row>
    <row r="5416" spans="17:20" x14ac:dyDescent="0.3">
      <c r="Q5416" s="93">
        <v>45860</v>
      </c>
      <c r="R5416" t="s">
        <v>494</v>
      </c>
      <c r="S5416" t="s">
        <v>399</v>
      </c>
      <c r="T5416" s="14">
        <v>5100</v>
      </c>
    </row>
    <row r="5417" spans="17:20" x14ac:dyDescent="0.3">
      <c r="Q5417" s="93">
        <v>45860</v>
      </c>
      <c r="R5417" t="s">
        <v>495</v>
      </c>
      <c r="S5417" t="s">
        <v>399</v>
      </c>
      <c r="T5417" s="14">
        <v>0</v>
      </c>
    </row>
    <row r="5418" spans="17:20" x14ac:dyDescent="0.3">
      <c r="Q5418" s="93">
        <v>45860</v>
      </c>
      <c r="R5418" t="s">
        <v>493</v>
      </c>
      <c r="S5418" t="s">
        <v>399</v>
      </c>
      <c r="T5418" s="14">
        <v>-500</v>
      </c>
    </row>
    <row r="5419" spans="17:20" x14ac:dyDescent="0.3">
      <c r="Q5419" s="93">
        <v>45860</v>
      </c>
      <c r="R5419" t="s">
        <v>593</v>
      </c>
      <c r="S5419" t="s">
        <v>399</v>
      </c>
      <c r="T5419" s="14">
        <v>-1800</v>
      </c>
    </row>
    <row r="5420" spans="17:20" x14ac:dyDescent="0.3">
      <c r="Q5420" s="93">
        <v>45860</v>
      </c>
      <c r="R5420" t="s">
        <v>594</v>
      </c>
      <c r="S5420" t="s">
        <v>399</v>
      </c>
      <c r="T5420" s="14">
        <v>0</v>
      </c>
    </row>
    <row r="5421" spans="17:20" x14ac:dyDescent="0.3">
      <c r="Q5421" s="93">
        <v>45860</v>
      </c>
      <c r="R5421" t="s">
        <v>595</v>
      </c>
      <c r="S5421" t="s">
        <v>399</v>
      </c>
      <c r="T5421" s="14">
        <v>0</v>
      </c>
    </row>
    <row r="5422" spans="17:20" x14ac:dyDescent="0.3">
      <c r="Q5422" s="93">
        <v>45860</v>
      </c>
      <c r="R5422" t="s">
        <v>479</v>
      </c>
      <c r="S5422" t="s">
        <v>395</v>
      </c>
      <c r="T5422" s="14">
        <v>11404.258311454099</v>
      </c>
    </row>
    <row r="5423" spans="17:20" x14ac:dyDescent="0.3">
      <c r="Q5423" s="93">
        <v>45860</v>
      </c>
      <c r="R5423" t="s">
        <v>479</v>
      </c>
      <c r="S5423" t="s">
        <v>415</v>
      </c>
      <c r="T5423" s="14">
        <v>6.0771056549280704</v>
      </c>
    </row>
    <row r="5424" spans="17:20" x14ac:dyDescent="0.3">
      <c r="Q5424" s="93">
        <v>45860</v>
      </c>
      <c r="R5424" t="s">
        <v>364</v>
      </c>
      <c r="S5424" t="s">
        <v>415</v>
      </c>
      <c r="T5424" s="14">
        <v>5.5893600859352697</v>
      </c>
    </row>
    <row r="5425" spans="17:20" x14ac:dyDescent="0.3">
      <c r="Q5425" s="93">
        <v>45859</v>
      </c>
      <c r="R5425" t="s">
        <v>479</v>
      </c>
      <c r="S5425" t="s">
        <v>399</v>
      </c>
      <c r="T5425" s="14">
        <v>10897.6106</v>
      </c>
    </row>
    <row r="5426" spans="17:20" x14ac:dyDescent="0.3">
      <c r="Q5426" s="93">
        <v>45859</v>
      </c>
      <c r="R5426" t="s">
        <v>364</v>
      </c>
      <c r="S5426" t="s">
        <v>399</v>
      </c>
      <c r="T5426" s="14">
        <v>18984.4067</v>
      </c>
    </row>
    <row r="5427" spans="17:20" x14ac:dyDescent="0.3">
      <c r="Q5427" s="93">
        <v>45859</v>
      </c>
      <c r="R5427" t="s">
        <v>491</v>
      </c>
      <c r="S5427" t="s">
        <v>399</v>
      </c>
      <c r="T5427" s="14">
        <v>9500</v>
      </c>
    </row>
    <row r="5428" spans="17:20" x14ac:dyDescent="0.3">
      <c r="Q5428" s="93">
        <v>45859</v>
      </c>
      <c r="R5428" t="s">
        <v>492</v>
      </c>
      <c r="S5428" t="s">
        <v>399</v>
      </c>
      <c r="T5428" s="14">
        <v>1397.6106</v>
      </c>
    </row>
    <row r="5429" spans="17:20" x14ac:dyDescent="0.3">
      <c r="Q5429" s="93">
        <v>45859</v>
      </c>
      <c r="R5429" t="s">
        <v>496</v>
      </c>
      <c r="S5429" t="s">
        <v>399</v>
      </c>
      <c r="T5429" s="14">
        <v>15834.4067</v>
      </c>
    </row>
    <row r="5430" spans="17:20" x14ac:dyDescent="0.3">
      <c r="Q5430" s="93">
        <v>45859</v>
      </c>
      <c r="R5430" t="s">
        <v>497</v>
      </c>
      <c r="S5430" t="s">
        <v>399</v>
      </c>
      <c r="T5430" s="14">
        <v>1397.6106</v>
      </c>
    </row>
    <row r="5431" spans="17:20" x14ac:dyDescent="0.3">
      <c r="Q5431" s="93">
        <v>45859</v>
      </c>
      <c r="R5431" t="s">
        <v>498</v>
      </c>
      <c r="S5431" t="s">
        <v>399</v>
      </c>
      <c r="T5431" s="14">
        <v>9500</v>
      </c>
    </row>
    <row r="5432" spans="17:20" x14ac:dyDescent="0.3">
      <c r="Q5432" s="93">
        <v>45859</v>
      </c>
      <c r="R5432" t="s">
        <v>494</v>
      </c>
      <c r="S5432" t="s">
        <v>399</v>
      </c>
      <c r="T5432" s="14">
        <v>3150</v>
      </c>
    </row>
    <row r="5433" spans="17:20" x14ac:dyDescent="0.3">
      <c r="Q5433" s="93">
        <v>45859</v>
      </c>
      <c r="R5433" t="s">
        <v>495</v>
      </c>
      <c r="S5433" t="s">
        <v>399</v>
      </c>
      <c r="T5433" s="14">
        <v>0</v>
      </c>
    </row>
    <row r="5434" spans="17:20" x14ac:dyDescent="0.3">
      <c r="Q5434" s="93">
        <v>45859</v>
      </c>
      <c r="R5434" t="s">
        <v>493</v>
      </c>
      <c r="S5434" t="s">
        <v>399</v>
      </c>
      <c r="T5434" s="14">
        <v>0</v>
      </c>
    </row>
    <row r="5435" spans="17:20" x14ac:dyDescent="0.3">
      <c r="Q5435" s="93">
        <v>45859</v>
      </c>
      <c r="R5435" t="s">
        <v>593</v>
      </c>
      <c r="S5435" t="s">
        <v>399</v>
      </c>
      <c r="T5435" s="14">
        <v>0</v>
      </c>
    </row>
    <row r="5436" spans="17:20" x14ac:dyDescent="0.3">
      <c r="Q5436" s="93">
        <v>45859</v>
      </c>
      <c r="R5436" t="s">
        <v>594</v>
      </c>
      <c r="S5436" t="s">
        <v>399</v>
      </c>
      <c r="T5436" s="14">
        <v>0</v>
      </c>
    </row>
    <row r="5437" spans="17:20" x14ac:dyDescent="0.3">
      <c r="Q5437" s="93">
        <v>45859</v>
      </c>
      <c r="R5437" t="s">
        <v>595</v>
      </c>
      <c r="S5437" t="s">
        <v>399</v>
      </c>
      <c r="T5437" s="14">
        <v>0</v>
      </c>
    </row>
    <row r="5438" spans="17:20" x14ac:dyDescent="0.3">
      <c r="Q5438" s="93">
        <v>45859</v>
      </c>
      <c r="R5438" t="s">
        <v>479</v>
      </c>
      <c r="S5438" t="s">
        <v>395</v>
      </c>
      <c r="T5438" s="14">
        <v>11919.332160264201</v>
      </c>
    </row>
    <row r="5439" spans="17:20" x14ac:dyDescent="0.3">
      <c r="Q5439" s="93">
        <v>45859</v>
      </c>
      <c r="R5439" t="s">
        <v>479</v>
      </c>
      <c r="S5439" t="s">
        <v>415</v>
      </c>
      <c r="T5439" s="14">
        <v>6.1102732166811</v>
      </c>
    </row>
    <row r="5440" spans="17:20" x14ac:dyDescent="0.3">
      <c r="Q5440" s="93">
        <v>45859</v>
      </c>
      <c r="R5440" t="s">
        <v>364</v>
      </c>
      <c r="S5440" t="s">
        <v>415</v>
      </c>
      <c r="T5440" s="14">
        <v>5.6308722631821801</v>
      </c>
    </row>
    <row r="5441" spans="17:20" x14ac:dyDescent="0.3">
      <c r="Q5441" s="93">
        <v>45856</v>
      </c>
      <c r="R5441" t="s">
        <v>479</v>
      </c>
      <c r="S5441" t="s">
        <v>399</v>
      </c>
      <c r="T5441" s="14">
        <v>10897.6106</v>
      </c>
    </row>
    <row r="5442" spans="17:20" x14ac:dyDescent="0.3">
      <c r="Q5442" s="93">
        <v>45856</v>
      </c>
      <c r="R5442" t="s">
        <v>364</v>
      </c>
      <c r="S5442" t="s">
        <v>399</v>
      </c>
      <c r="T5442" s="14">
        <v>17484.4067</v>
      </c>
    </row>
    <row r="5443" spans="17:20" x14ac:dyDescent="0.3">
      <c r="Q5443" s="93">
        <v>45856</v>
      </c>
      <c r="R5443" t="s">
        <v>491</v>
      </c>
      <c r="S5443" t="s">
        <v>399</v>
      </c>
      <c r="T5443" s="14">
        <v>9500</v>
      </c>
    </row>
    <row r="5444" spans="17:20" x14ac:dyDescent="0.3">
      <c r="Q5444" s="93">
        <v>45856</v>
      </c>
      <c r="R5444" t="s">
        <v>492</v>
      </c>
      <c r="S5444" t="s">
        <v>399</v>
      </c>
      <c r="T5444" s="14">
        <v>1397.6106</v>
      </c>
    </row>
    <row r="5445" spans="17:20" x14ac:dyDescent="0.3">
      <c r="Q5445" s="93">
        <v>45856</v>
      </c>
      <c r="R5445" t="s">
        <v>496</v>
      </c>
      <c r="S5445" t="s">
        <v>399</v>
      </c>
      <c r="T5445" s="14">
        <v>15834.4067</v>
      </c>
    </row>
    <row r="5446" spans="17:20" x14ac:dyDescent="0.3">
      <c r="Q5446" s="93">
        <v>45856</v>
      </c>
      <c r="R5446" t="s">
        <v>497</v>
      </c>
      <c r="S5446" t="s">
        <v>399</v>
      </c>
      <c r="T5446" s="14">
        <v>1397.6106</v>
      </c>
    </row>
    <row r="5447" spans="17:20" x14ac:dyDescent="0.3">
      <c r="Q5447" s="93">
        <v>45856</v>
      </c>
      <c r="R5447" t="s">
        <v>498</v>
      </c>
      <c r="S5447" t="s">
        <v>399</v>
      </c>
      <c r="T5447" s="14">
        <v>9500</v>
      </c>
    </row>
    <row r="5448" spans="17:20" x14ac:dyDescent="0.3">
      <c r="Q5448" s="93">
        <v>45856</v>
      </c>
      <c r="R5448" t="s">
        <v>494</v>
      </c>
      <c r="S5448" t="s">
        <v>399</v>
      </c>
      <c r="T5448" s="14">
        <v>1650</v>
      </c>
    </row>
    <row r="5449" spans="17:20" x14ac:dyDescent="0.3">
      <c r="Q5449" s="93">
        <v>45856</v>
      </c>
      <c r="R5449" t="s">
        <v>495</v>
      </c>
      <c r="S5449" t="s">
        <v>399</v>
      </c>
      <c r="T5449" s="14">
        <v>0</v>
      </c>
    </row>
    <row r="5450" spans="17:20" x14ac:dyDescent="0.3">
      <c r="Q5450" s="93">
        <v>45856</v>
      </c>
      <c r="R5450" t="s">
        <v>493</v>
      </c>
      <c r="S5450" t="s">
        <v>399</v>
      </c>
      <c r="T5450" s="14">
        <v>0</v>
      </c>
    </row>
    <row r="5451" spans="17:20" x14ac:dyDescent="0.3">
      <c r="Q5451" s="93">
        <v>45856</v>
      </c>
      <c r="R5451" t="s">
        <v>593</v>
      </c>
      <c r="S5451" t="s">
        <v>399</v>
      </c>
      <c r="T5451" s="14">
        <v>0</v>
      </c>
    </row>
    <row r="5452" spans="17:20" x14ac:dyDescent="0.3">
      <c r="Q5452" s="93">
        <v>45856</v>
      </c>
      <c r="R5452" t="s">
        <v>594</v>
      </c>
      <c r="S5452" t="s">
        <v>399</v>
      </c>
      <c r="T5452" s="14">
        <v>0</v>
      </c>
    </row>
    <row r="5453" spans="17:20" x14ac:dyDescent="0.3">
      <c r="Q5453" s="93">
        <v>45856</v>
      </c>
      <c r="R5453" t="s">
        <v>595</v>
      </c>
      <c r="S5453" t="s">
        <v>399</v>
      </c>
      <c r="T5453" s="14">
        <v>0</v>
      </c>
    </row>
    <row r="5454" spans="17:20" x14ac:dyDescent="0.3">
      <c r="Q5454" s="93">
        <v>45856</v>
      </c>
      <c r="R5454" t="s">
        <v>479</v>
      </c>
      <c r="S5454" t="s">
        <v>395</v>
      </c>
      <c r="T5454" s="14">
        <v>11929.071476037099</v>
      </c>
    </row>
    <row r="5455" spans="17:20" x14ac:dyDescent="0.3">
      <c r="Q5455" s="93">
        <v>45856</v>
      </c>
      <c r="R5455" t="s">
        <v>479</v>
      </c>
      <c r="S5455" t="s">
        <v>415</v>
      </c>
      <c r="T5455" s="14">
        <v>6.1102732166811</v>
      </c>
    </row>
    <row r="5456" spans="17:20" x14ac:dyDescent="0.3">
      <c r="Q5456" s="93">
        <v>45856</v>
      </c>
      <c r="R5456" t="s">
        <v>364</v>
      </c>
      <c r="S5456" t="s">
        <v>415</v>
      </c>
      <c r="T5456" s="14">
        <v>5.63352081715189</v>
      </c>
    </row>
    <row r="5457" spans="17:20" x14ac:dyDescent="0.3">
      <c r="Q5457" s="93">
        <v>45855</v>
      </c>
      <c r="R5457" t="s">
        <v>479</v>
      </c>
      <c r="S5457" t="s">
        <v>399</v>
      </c>
      <c r="T5457" s="14">
        <v>10897.6106</v>
      </c>
    </row>
    <row r="5458" spans="17:20" x14ac:dyDescent="0.3">
      <c r="Q5458" s="93">
        <v>45855</v>
      </c>
      <c r="R5458" t="s">
        <v>364</v>
      </c>
      <c r="S5458" t="s">
        <v>399</v>
      </c>
      <c r="T5458" s="14">
        <v>17484.4067</v>
      </c>
    </row>
    <row r="5459" spans="17:20" x14ac:dyDescent="0.3">
      <c r="Q5459" s="93">
        <v>45855</v>
      </c>
      <c r="R5459" t="s">
        <v>491</v>
      </c>
      <c r="S5459" t="s">
        <v>399</v>
      </c>
      <c r="T5459" s="14">
        <v>9500</v>
      </c>
    </row>
    <row r="5460" spans="17:20" x14ac:dyDescent="0.3">
      <c r="Q5460" s="93">
        <v>45855</v>
      </c>
      <c r="R5460" t="s">
        <v>492</v>
      </c>
      <c r="S5460" t="s">
        <v>399</v>
      </c>
      <c r="T5460" s="14">
        <v>1397.6106</v>
      </c>
    </row>
    <row r="5461" spans="17:20" x14ac:dyDescent="0.3">
      <c r="Q5461" s="93">
        <v>45855</v>
      </c>
      <c r="R5461" t="s">
        <v>496</v>
      </c>
      <c r="S5461" t="s">
        <v>399</v>
      </c>
      <c r="T5461" s="14">
        <v>14534.4067</v>
      </c>
    </row>
    <row r="5462" spans="17:20" x14ac:dyDescent="0.3">
      <c r="Q5462" s="93">
        <v>45855</v>
      </c>
      <c r="R5462" t="s">
        <v>497</v>
      </c>
      <c r="S5462" t="s">
        <v>399</v>
      </c>
      <c r="T5462" s="14">
        <v>1397.6106</v>
      </c>
    </row>
    <row r="5463" spans="17:20" x14ac:dyDescent="0.3">
      <c r="Q5463" s="93">
        <v>45855</v>
      </c>
      <c r="R5463" t="s">
        <v>498</v>
      </c>
      <c r="S5463" t="s">
        <v>399</v>
      </c>
      <c r="T5463" s="14">
        <v>9500</v>
      </c>
    </row>
    <row r="5464" spans="17:20" x14ac:dyDescent="0.3">
      <c r="Q5464" s="93">
        <v>45855</v>
      </c>
      <c r="R5464" t="s">
        <v>494</v>
      </c>
      <c r="S5464" t="s">
        <v>399</v>
      </c>
      <c r="T5464" s="14">
        <v>3250</v>
      </c>
    </row>
    <row r="5465" spans="17:20" x14ac:dyDescent="0.3">
      <c r="Q5465" s="93">
        <v>45855</v>
      </c>
      <c r="R5465" t="s">
        <v>495</v>
      </c>
      <c r="S5465" t="s">
        <v>399</v>
      </c>
      <c r="T5465" s="14">
        <v>0</v>
      </c>
    </row>
    <row r="5466" spans="17:20" x14ac:dyDescent="0.3">
      <c r="Q5466" s="93">
        <v>45855</v>
      </c>
      <c r="R5466" t="s">
        <v>493</v>
      </c>
      <c r="S5466" t="s">
        <v>399</v>
      </c>
      <c r="T5466" s="14">
        <v>0</v>
      </c>
    </row>
    <row r="5467" spans="17:20" x14ac:dyDescent="0.3">
      <c r="Q5467" s="93">
        <v>45855</v>
      </c>
      <c r="R5467" t="s">
        <v>593</v>
      </c>
      <c r="S5467" t="s">
        <v>399</v>
      </c>
      <c r="T5467" s="14">
        <v>-300</v>
      </c>
    </row>
    <row r="5468" spans="17:20" x14ac:dyDescent="0.3">
      <c r="Q5468" s="93">
        <v>45855</v>
      </c>
      <c r="R5468" t="s">
        <v>594</v>
      </c>
      <c r="S5468" t="s">
        <v>399</v>
      </c>
      <c r="T5468" s="14">
        <v>0</v>
      </c>
    </row>
    <row r="5469" spans="17:20" x14ac:dyDescent="0.3">
      <c r="Q5469" s="93">
        <v>45855</v>
      </c>
      <c r="R5469" t="s">
        <v>595</v>
      </c>
      <c r="S5469" t="s">
        <v>399</v>
      </c>
      <c r="T5469" s="14">
        <v>0</v>
      </c>
    </row>
    <row r="5470" spans="17:20" x14ac:dyDescent="0.3">
      <c r="Q5470" s="93">
        <v>45855</v>
      </c>
      <c r="R5470" t="s">
        <v>479</v>
      </c>
      <c r="S5470" t="s">
        <v>395</v>
      </c>
      <c r="T5470" s="14">
        <v>11932.224492666601</v>
      </c>
    </row>
    <row r="5471" spans="17:20" x14ac:dyDescent="0.3">
      <c r="Q5471" s="93">
        <v>45855</v>
      </c>
      <c r="R5471" t="s">
        <v>479</v>
      </c>
      <c r="S5471" t="s">
        <v>415</v>
      </c>
      <c r="T5471" s="14">
        <v>6.1102732166811</v>
      </c>
    </row>
    <row r="5472" spans="17:20" x14ac:dyDescent="0.3">
      <c r="Q5472" s="93">
        <v>45855</v>
      </c>
      <c r="R5472" t="s">
        <v>364</v>
      </c>
      <c r="S5472" t="s">
        <v>415</v>
      </c>
      <c r="T5472" s="14">
        <v>5.63352081715189</v>
      </c>
    </row>
    <row r="5473" spans="17:20" x14ac:dyDescent="0.3">
      <c r="Q5473" s="93">
        <v>45854</v>
      </c>
      <c r="R5473" t="s">
        <v>479</v>
      </c>
      <c r="S5473" t="s">
        <v>399</v>
      </c>
      <c r="T5473" s="14">
        <v>10897.6106</v>
      </c>
    </row>
    <row r="5474" spans="17:20" x14ac:dyDescent="0.3">
      <c r="Q5474" s="93">
        <v>45854</v>
      </c>
      <c r="R5474" t="s">
        <v>364</v>
      </c>
      <c r="S5474" t="s">
        <v>399</v>
      </c>
      <c r="T5474" s="14">
        <v>17484.4067</v>
      </c>
    </row>
    <row r="5475" spans="17:20" x14ac:dyDescent="0.3">
      <c r="Q5475" s="93">
        <v>45854</v>
      </c>
      <c r="R5475" t="s">
        <v>491</v>
      </c>
      <c r="S5475" t="s">
        <v>399</v>
      </c>
      <c r="T5475" s="14">
        <v>9500</v>
      </c>
    </row>
    <row r="5476" spans="17:20" x14ac:dyDescent="0.3">
      <c r="Q5476" s="93">
        <v>45854</v>
      </c>
      <c r="R5476" t="s">
        <v>492</v>
      </c>
      <c r="S5476" t="s">
        <v>399</v>
      </c>
      <c r="T5476" s="14">
        <v>1397.6106</v>
      </c>
    </row>
    <row r="5477" spans="17:20" x14ac:dyDescent="0.3">
      <c r="Q5477" s="93">
        <v>45854</v>
      </c>
      <c r="R5477" t="s">
        <v>496</v>
      </c>
      <c r="S5477" t="s">
        <v>399</v>
      </c>
      <c r="T5477" s="14">
        <v>15034.4067</v>
      </c>
    </row>
    <row r="5478" spans="17:20" x14ac:dyDescent="0.3">
      <c r="Q5478" s="93">
        <v>45854</v>
      </c>
      <c r="R5478" t="s">
        <v>497</v>
      </c>
      <c r="S5478" t="s">
        <v>399</v>
      </c>
      <c r="T5478" s="14">
        <v>1397.6106</v>
      </c>
    </row>
    <row r="5479" spans="17:20" x14ac:dyDescent="0.3">
      <c r="Q5479" s="93">
        <v>45854</v>
      </c>
      <c r="R5479" t="s">
        <v>498</v>
      </c>
      <c r="S5479" t="s">
        <v>399</v>
      </c>
      <c r="T5479" s="14">
        <v>9500</v>
      </c>
    </row>
    <row r="5480" spans="17:20" x14ac:dyDescent="0.3">
      <c r="Q5480" s="93">
        <v>45854</v>
      </c>
      <c r="R5480" t="s">
        <v>494</v>
      </c>
      <c r="S5480" t="s">
        <v>399</v>
      </c>
      <c r="T5480" s="14">
        <v>3050</v>
      </c>
    </row>
    <row r="5481" spans="17:20" x14ac:dyDescent="0.3">
      <c r="Q5481" s="93">
        <v>45854</v>
      </c>
      <c r="R5481" t="s">
        <v>495</v>
      </c>
      <c r="S5481" t="s">
        <v>399</v>
      </c>
      <c r="T5481" s="14">
        <v>0</v>
      </c>
    </row>
    <row r="5482" spans="17:20" x14ac:dyDescent="0.3">
      <c r="Q5482" s="93">
        <v>45854</v>
      </c>
      <c r="R5482" t="s">
        <v>493</v>
      </c>
      <c r="S5482" t="s">
        <v>399</v>
      </c>
      <c r="T5482" s="14">
        <v>0</v>
      </c>
    </row>
    <row r="5483" spans="17:20" x14ac:dyDescent="0.3">
      <c r="Q5483" s="93">
        <v>45854</v>
      </c>
      <c r="R5483" t="s">
        <v>593</v>
      </c>
      <c r="S5483" t="s">
        <v>399</v>
      </c>
      <c r="T5483" s="14">
        <v>-600</v>
      </c>
    </row>
    <row r="5484" spans="17:20" x14ac:dyDescent="0.3">
      <c r="Q5484" s="93">
        <v>45854</v>
      </c>
      <c r="R5484" t="s">
        <v>594</v>
      </c>
      <c r="S5484" t="s">
        <v>399</v>
      </c>
      <c r="T5484" s="14">
        <v>0</v>
      </c>
    </row>
    <row r="5485" spans="17:20" x14ac:dyDescent="0.3">
      <c r="Q5485" s="93">
        <v>45854</v>
      </c>
      <c r="R5485" t="s">
        <v>595</v>
      </c>
      <c r="S5485" t="s">
        <v>399</v>
      </c>
      <c r="T5485" s="14">
        <v>0</v>
      </c>
    </row>
    <row r="5486" spans="17:20" x14ac:dyDescent="0.3">
      <c r="Q5486" s="93">
        <v>45854</v>
      </c>
      <c r="R5486" t="s">
        <v>479</v>
      </c>
      <c r="S5486" t="s">
        <v>395</v>
      </c>
      <c r="T5486" s="14">
        <v>11936.178310175201</v>
      </c>
    </row>
    <row r="5487" spans="17:20" x14ac:dyDescent="0.3">
      <c r="Q5487" s="93">
        <v>45854</v>
      </c>
      <c r="R5487" t="s">
        <v>479</v>
      </c>
      <c r="S5487" t="s">
        <v>415</v>
      </c>
      <c r="T5487" s="14">
        <v>6.1102732166811</v>
      </c>
    </row>
    <row r="5488" spans="17:20" x14ac:dyDescent="0.3">
      <c r="Q5488" s="93">
        <v>45854</v>
      </c>
      <c r="R5488" t="s">
        <v>364</v>
      </c>
      <c r="S5488" t="s">
        <v>415</v>
      </c>
      <c r="T5488" s="14">
        <v>5.63352081715189</v>
      </c>
    </row>
    <row r="5489" spans="17:20" x14ac:dyDescent="0.3">
      <c r="Q5489" s="93">
        <v>45853</v>
      </c>
      <c r="R5489" t="s">
        <v>479</v>
      </c>
      <c r="S5489" t="s">
        <v>399</v>
      </c>
      <c r="T5489" s="14">
        <v>10897.6106</v>
      </c>
    </row>
    <row r="5490" spans="17:20" x14ac:dyDescent="0.3">
      <c r="Q5490" s="93">
        <v>45853</v>
      </c>
      <c r="R5490" t="s">
        <v>364</v>
      </c>
      <c r="S5490" t="s">
        <v>399</v>
      </c>
      <c r="T5490" s="14">
        <v>15584.4067</v>
      </c>
    </row>
    <row r="5491" spans="17:20" x14ac:dyDescent="0.3">
      <c r="Q5491" s="93">
        <v>45853</v>
      </c>
      <c r="R5491" t="s">
        <v>491</v>
      </c>
      <c r="S5491" t="s">
        <v>399</v>
      </c>
      <c r="T5491" s="14">
        <v>9500</v>
      </c>
    </row>
    <row r="5492" spans="17:20" x14ac:dyDescent="0.3">
      <c r="Q5492" s="93">
        <v>45853</v>
      </c>
      <c r="R5492" t="s">
        <v>492</v>
      </c>
      <c r="S5492" t="s">
        <v>399</v>
      </c>
      <c r="T5492" s="14">
        <v>1397.6106</v>
      </c>
    </row>
    <row r="5493" spans="17:20" x14ac:dyDescent="0.3">
      <c r="Q5493" s="93">
        <v>45853</v>
      </c>
      <c r="R5493" t="s">
        <v>496</v>
      </c>
      <c r="S5493" t="s">
        <v>399</v>
      </c>
      <c r="T5493" s="14">
        <v>16334.4067</v>
      </c>
    </row>
    <row r="5494" spans="17:20" x14ac:dyDescent="0.3">
      <c r="Q5494" s="93">
        <v>45853</v>
      </c>
      <c r="R5494" t="s">
        <v>497</v>
      </c>
      <c r="S5494" t="s">
        <v>399</v>
      </c>
      <c r="T5494" s="14">
        <v>1397.6106</v>
      </c>
    </row>
    <row r="5495" spans="17:20" x14ac:dyDescent="0.3">
      <c r="Q5495" s="93">
        <v>45853</v>
      </c>
      <c r="R5495" t="s">
        <v>498</v>
      </c>
      <c r="S5495" t="s">
        <v>399</v>
      </c>
      <c r="T5495" s="14">
        <v>9500</v>
      </c>
    </row>
    <row r="5496" spans="17:20" x14ac:dyDescent="0.3">
      <c r="Q5496" s="93">
        <v>45853</v>
      </c>
      <c r="R5496" t="s">
        <v>494</v>
      </c>
      <c r="S5496" t="s">
        <v>399</v>
      </c>
      <c r="T5496" s="14">
        <v>550</v>
      </c>
    </row>
    <row r="5497" spans="17:20" x14ac:dyDescent="0.3">
      <c r="Q5497" s="93">
        <v>45853</v>
      </c>
      <c r="R5497" t="s">
        <v>495</v>
      </c>
      <c r="S5497" t="s">
        <v>399</v>
      </c>
      <c r="T5497" s="14">
        <v>0</v>
      </c>
    </row>
    <row r="5498" spans="17:20" x14ac:dyDescent="0.3">
      <c r="Q5498" s="93">
        <v>45853</v>
      </c>
      <c r="R5498" t="s">
        <v>493</v>
      </c>
      <c r="S5498" t="s">
        <v>399</v>
      </c>
      <c r="T5498" s="14">
        <v>0</v>
      </c>
    </row>
    <row r="5499" spans="17:20" x14ac:dyDescent="0.3">
      <c r="Q5499" s="93">
        <v>45853</v>
      </c>
      <c r="R5499" t="s">
        <v>593</v>
      </c>
      <c r="S5499" t="s">
        <v>399</v>
      </c>
      <c r="T5499" s="14">
        <v>-1300</v>
      </c>
    </row>
    <row r="5500" spans="17:20" x14ac:dyDescent="0.3">
      <c r="Q5500" s="93">
        <v>45853</v>
      </c>
      <c r="R5500" t="s">
        <v>594</v>
      </c>
      <c r="S5500" t="s">
        <v>399</v>
      </c>
      <c r="T5500" s="14">
        <v>0</v>
      </c>
    </row>
    <row r="5501" spans="17:20" x14ac:dyDescent="0.3">
      <c r="Q5501" s="93">
        <v>45853</v>
      </c>
      <c r="R5501" t="s">
        <v>595</v>
      </c>
      <c r="S5501" t="s">
        <v>399</v>
      </c>
      <c r="T5501" s="14">
        <v>0</v>
      </c>
    </row>
    <row r="5502" spans="17:20" x14ac:dyDescent="0.3">
      <c r="Q5502" s="93">
        <v>45853</v>
      </c>
      <c r="R5502" t="s">
        <v>479</v>
      </c>
      <c r="S5502" t="s">
        <v>395</v>
      </c>
      <c r="T5502" s="14">
        <v>11944.3060922488</v>
      </c>
    </row>
    <row r="5503" spans="17:20" x14ac:dyDescent="0.3">
      <c r="Q5503" s="93">
        <v>45853</v>
      </c>
      <c r="R5503" t="s">
        <v>479</v>
      </c>
      <c r="S5503" t="s">
        <v>415</v>
      </c>
      <c r="T5503" s="14">
        <v>6.1102732166811</v>
      </c>
    </row>
    <row r="5504" spans="17:20" x14ac:dyDescent="0.3">
      <c r="Q5504" s="93">
        <v>45853</v>
      </c>
      <c r="R5504" t="s">
        <v>364</v>
      </c>
      <c r="S5504" t="s">
        <v>415</v>
      </c>
      <c r="T5504" s="14">
        <v>5.6664825822339502</v>
      </c>
    </row>
    <row r="5505" spans="17:20" x14ac:dyDescent="0.3">
      <c r="Q5505" s="93">
        <v>45852</v>
      </c>
      <c r="R5505" t="s">
        <v>479</v>
      </c>
      <c r="S5505" t="s">
        <v>399</v>
      </c>
      <c r="T5505" s="14">
        <v>10897.6106</v>
      </c>
    </row>
    <row r="5506" spans="17:20" x14ac:dyDescent="0.3">
      <c r="Q5506" s="93">
        <v>45852</v>
      </c>
      <c r="R5506" t="s">
        <v>364</v>
      </c>
      <c r="S5506" t="s">
        <v>399</v>
      </c>
      <c r="T5506" s="14">
        <v>16184.4067</v>
      </c>
    </row>
    <row r="5507" spans="17:20" x14ac:dyDescent="0.3">
      <c r="Q5507" s="93">
        <v>45852</v>
      </c>
      <c r="R5507" t="s">
        <v>491</v>
      </c>
      <c r="S5507" t="s">
        <v>399</v>
      </c>
      <c r="T5507" s="14">
        <v>9500</v>
      </c>
    </row>
    <row r="5508" spans="17:20" x14ac:dyDescent="0.3">
      <c r="Q5508" s="93">
        <v>45852</v>
      </c>
      <c r="R5508" t="s">
        <v>492</v>
      </c>
      <c r="S5508" t="s">
        <v>399</v>
      </c>
      <c r="T5508" s="14">
        <v>1397.6106</v>
      </c>
    </row>
    <row r="5509" spans="17:20" x14ac:dyDescent="0.3">
      <c r="Q5509" s="93">
        <v>45852</v>
      </c>
      <c r="R5509" t="s">
        <v>496</v>
      </c>
      <c r="S5509" t="s">
        <v>399</v>
      </c>
      <c r="T5509" s="14">
        <v>17034.4067</v>
      </c>
    </row>
    <row r="5510" spans="17:20" x14ac:dyDescent="0.3">
      <c r="Q5510" s="93">
        <v>45852</v>
      </c>
      <c r="R5510" t="s">
        <v>497</v>
      </c>
      <c r="S5510" t="s">
        <v>399</v>
      </c>
      <c r="T5510" s="14">
        <v>1397.6106</v>
      </c>
    </row>
    <row r="5511" spans="17:20" x14ac:dyDescent="0.3">
      <c r="Q5511" s="93">
        <v>45852</v>
      </c>
      <c r="R5511" t="s">
        <v>498</v>
      </c>
      <c r="S5511" t="s">
        <v>399</v>
      </c>
      <c r="T5511" s="14">
        <v>9500</v>
      </c>
    </row>
    <row r="5512" spans="17:20" x14ac:dyDescent="0.3">
      <c r="Q5512" s="93">
        <v>45852</v>
      </c>
      <c r="R5512" t="s">
        <v>494</v>
      </c>
      <c r="S5512" t="s">
        <v>399</v>
      </c>
      <c r="T5512" s="14">
        <v>950</v>
      </c>
    </row>
    <row r="5513" spans="17:20" x14ac:dyDescent="0.3">
      <c r="Q5513" s="93">
        <v>45852</v>
      </c>
      <c r="R5513" t="s">
        <v>495</v>
      </c>
      <c r="S5513" t="s">
        <v>399</v>
      </c>
      <c r="T5513" s="14">
        <v>0</v>
      </c>
    </row>
    <row r="5514" spans="17:20" x14ac:dyDescent="0.3">
      <c r="Q5514" s="93">
        <v>45852</v>
      </c>
      <c r="R5514" t="s">
        <v>493</v>
      </c>
      <c r="S5514" t="s">
        <v>399</v>
      </c>
      <c r="T5514" s="14">
        <v>0</v>
      </c>
    </row>
    <row r="5515" spans="17:20" x14ac:dyDescent="0.3">
      <c r="Q5515" s="93">
        <v>45852</v>
      </c>
      <c r="R5515" t="s">
        <v>593</v>
      </c>
      <c r="S5515" t="s">
        <v>399</v>
      </c>
      <c r="T5515" s="14">
        <v>-1800</v>
      </c>
    </row>
    <row r="5516" spans="17:20" x14ac:dyDescent="0.3">
      <c r="Q5516" s="93">
        <v>45852</v>
      </c>
      <c r="R5516" t="s">
        <v>594</v>
      </c>
      <c r="S5516" t="s">
        <v>399</v>
      </c>
      <c r="T5516" s="14">
        <v>0</v>
      </c>
    </row>
    <row r="5517" spans="17:20" x14ac:dyDescent="0.3">
      <c r="Q5517" s="93">
        <v>45852</v>
      </c>
      <c r="R5517" t="s">
        <v>595</v>
      </c>
      <c r="S5517" t="s">
        <v>399</v>
      </c>
      <c r="T5517" s="14">
        <v>0</v>
      </c>
    </row>
    <row r="5518" spans="17:20" x14ac:dyDescent="0.3">
      <c r="Q5518" s="93">
        <v>45852</v>
      </c>
      <c r="R5518" t="s">
        <v>479</v>
      </c>
      <c r="S5518" t="s">
        <v>395</v>
      </c>
      <c r="T5518" s="14">
        <v>11942.5758845695</v>
      </c>
    </row>
    <row r="5519" spans="17:20" x14ac:dyDescent="0.3">
      <c r="Q5519" s="93">
        <v>45852</v>
      </c>
      <c r="R5519" t="s">
        <v>479</v>
      </c>
      <c r="S5519" t="s">
        <v>415</v>
      </c>
      <c r="T5519" s="14">
        <v>6.1102732166811</v>
      </c>
    </row>
    <row r="5520" spans="17:20" x14ac:dyDescent="0.3">
      <c r="Q5520" s="93">
        <v>45852</v>
      </c>
      <c r="R5520" t="s">
        <v>364</v>
      </c>
      <c r="S5520" t="s">
        <v>415</v>
      </c>
      <c r="T5520" s="14">
        <v>5.6610520742783903</v>
      </c>
    </row>
    <row r="5521" spans="17:20" x14ac:dyDescent="0.3">
      <c r="Q5521" s="93">
        <v>45849</v>
      </c>
      <c r="R5521" t="s">
        <v>479</v>
      </c>
      <c r="S5521" t="s">
        <v>399</v>
      </c>
      <c r="T5521" s="14">
        <v>10897.6106</v>
      </c>
    </row>
    <row r="5522" spans="17:20" x14ac:dyDescent="0.3">
      <c r="Q5522" s="93">
        <v>45849</v>
      </c>
      <c r="R5522" t="s">
        <v>364</v>
      </c>
      <c r="S5522" t="s">
        <v>399</v>
      </c>
      <c r="T5522" s="14">
        <v>16734.4067</v>
      </c>
    </row>
    <row r="5523" spans="17:20" x14ac:dyDescent="0.3">
      <c r="Q5523" s="93">
        <v>45849</v>
      </c>
      <c r="R5523" t="s">
        <v>491</v>
      </c>
      <c r="S5523" t="s">
        <v>399</v>
      </c>
      <c r="T5523" s="14">
        <v>9500</v>
      </c>
    </row>
    <row r="5524" spans="17:20" x14ac:dyDescent="0.3">
      <c r="Q5524" s="93">
        <v>45849</v>
      </c>
      <c r="R5524" t="s">
        <v>492</v>
      </c>
      <c r="S5524" t="s">
        <v>399</v>
      </c>
      <c r="T5524" s="14">
        <v>1397.6106</v>
      </c>
    </row>
    <row r="5525" spans="17:20" x14ac:dyDescent="0.3">
      <c r="Q5525" s="93">
        <v>45849</v>
      </c>
      <c r="R5525" t="s">
        <v>496</v>
      </c>
      <c r="S5525" t="s">
        <v>399</v>
      </c>
      <c r="T5525" s="14">
        <v>19734.4067</v>
      </c>
    </row>
    <row r="5526" spans="17:20" x14ac:dyDescent="0.3">
      <c r="Q5526" s="93">
        <v>45849</v>
      </c>
      <c r="R5526" t="s">
        <v>497</v>
      </c>
      <c r="S5526" t="s">
        <v>399</v>
      </c>
      <c r="T5526" s="14">
        <v>1397.6106</v>
      </c>
    </row>
    <row r="5527" spans="17:20" x14ac:dyDescent="0.3">
      <c r="Q5527" s="93">
        <v>45849</v>
      </c>
      <c r="R5527" t="s">
        <v>498</v>
      </c>
      <c r="S5527" t="s">
        <v>399</v>
      </c>
      <c r="T5527" s="14">
        <v>6500</v>
      </c>
    </row>
    <row r="5528" spans="17:20" x14ac:dyDescent="0.3">
      <c r="Q5528" s="93">
        <v>45849</v>
      </c>
      <c r="R5528" t="s">
        <v>494</v>
      </c>
      <c r="S5528" t="s">
        <v>399</v>
      </c>
      <c r="T5528" s="14">
        <v>-1500</v>
      </c>
    </row>
    <row r="5529" spans="17:20" x14ac:dyDescent="0.3">
      <c r="Q5529" s="93">
        <v>45849</v>
      </c>
      <c r="R5529" t="s">
        <v>495</v>
      </c>
      <c r="S5529" t="s">
        <v>399</v>
      </c>
      <c r="T5529" s="14">
        <v>0</v>
      </c>
    </row>
    <row r="5530" spans="17:20" x14ac:dyDescent="0.3">
      <c r="Q5530" s="93">
        <v>45849</v>
      </c>
      <c r="R5530" t="s">
        <v>493</v>
      </c>
      <c r="S5530" t="s">
        <v>399</v>
      </c>
      <c r="T5530" s="14">
        <v>0</v>
      </c>
    </row>
    <row r="5531" spans="17:20" x14ac:dyDescent="0.3">
      <c r="Q5531" s="93">
        <v>45849</v>
      </c>
      <c r="R5531" t="s">
        <v>593</v>
      </c>
      <c r="S5531" t="s">
        <v>399</v>
      </c>
      <c r="T5531" s="14">
        <v>-1500</v>
      </c>
    </row>
    <row r="5532" spans="17:20" x14ac:dyDescent="0.3">
      <c r="Q5532" s="93">
        <v>45849</v>
      </c>
      <c r="R5532" t="s">
        <v>594</v>
      </c>
      <c r="S5532" t="s">
        <v>399</v>
      </c>
      <c r="T5532" s="14">
        <v>0</v>
      </c>
    </row>
    <row r="5533" spans="17:20" x14ac:dyDescent="0.3">
      <c r="Q5533" s="93">
        <v>45849</v>
      </c>
      <c r="R5533" t="s">
        <v>595</v>
      </c>
      <c r="S5533" t="s">
        <v>399</v>
      </c>
      <c r="T5533" s="14">
        <v>3000</v>
      </c>
    </row>
    <row r="5534" spans="17:20" x14ac:dyDescent="0.3">
      <c r="Q5534" s="93">
        <v>45849</v>
      </c>
      <c r="R5534" t="s">
        <v>479</v>
      </c>
      <c r="S5534" t="s">
        <v>395</v>
      </c>
      <c r="T5534" s="14">
        <v>11930.2611806646</v>
      </c>
    </row>
    <row r="5535" spans="17:20" x14ac:dyDescent="0.3">
      <c r="Q5535" s="93">
        <v>45849</v>
      </c>
      <c r="R5535" t="s">
        <v>479</v>
      </c>
      <c r="S5535" t="s">
        <v>415</v>
      </c>
      <c r="T5535" s="14">
        <v>6.1102732166811</v>
      </c>
    </row>
    <row r="5536" spans="17:20" x14ac:dyDescent="0.3">
      <c r="Q5536" s="93">
        <v>45849</v>
      </c>
      <c r="R5536" t="s">
        <v>364</v>
      </c>
      <c r="S5536" t="s">
        <v>415</v>
      </c>
      <c r="T5536" s="14">
        <v>5.67440309192438</v>
      </c>
    </row>
    <row r="5537" spans="17:20" x14ac:dyDescent="0.3">
      <c r="Q5537" s="93">
        <v>45848</v>
      </c>
      <c r="R5537" t="s">
        <v>496</v>
      </c>
      <c r="S5537" t="s">
        <v>399</v>
      </c>
      <c r="T5537" s="14">
        <v>20734.4067</v>
      </c>
    </row>
    <row r="5538" spans="17:20" x14ac:dyDescent="0.3">
      <c r="Q5538" s="93">
        <v>45848</v>
      </c>
      <c r="R5538" t="s">
        <v>479</v>
      </c>
      <c r="S5538" t="s">
        <v>399</v>
      </c>
      <c r="T5538" s="14">
        <v>9897.6106</v>
      </c>
    </row>
    <row r="5539" spans="17:20" x14ac:dyDescent="0.3">
      <c r="Q5539" s="93">
        <v>45848</v>
      </c>
      <c r="R5539" t="s">
        <v>364</v>
      </c>
      <c r="S5539" t="s">
        <v>399</v>
      </c>
      <c r="T5539" s="14">
        <v>17434.4067</v>
      </c>
    </row>
    <row r="5540" spans="17:20" x14ac:dyDescent="0.3">
      <c r="Q5540" s="93">
        <v>45848</v>
      </c>
      <c r="R5540" t="s">
        <v>491</v>
      </c>
      <c r="S5540" t="s">
        <v>399</v>
      </c>
      <c r="T5540" s="14">
        <v>8500</v>
      </c>
    </row>
    <row r="5541" spans="17:20" x14ac:dyDescent="0.3">
      <c r="Q5541" s="93">
        <v>45848</v>
      </c>
      <c r="R5541" t="s">
        <v>492</v>
      </c>
      <c r="S5541" t="s">
        <v>399</v>
      </c>
      <c r="T5541" s="14">
        <v>1397.6106</v>
      </c>
    </row>
    <row r="5542" spans="17:20" x14ac:dyDescent="0.3">
      <c r="Q5542" s="93">
        <v>45848</v>
      </c>
      <c r="R5542" t="s">
        <v>497</v>
      </c>
      <c r="S5542" t="s">
        <v>399</v>
      </c>
      <c r="T5542" s="14">
        <v>1397.6106</v>
      </c>
    </row>
    <row r="5543" spans="17:20" x14ac:dyDescent="0.3">
      <c r="Q5543" s="93">
        <v>45848</v>
      </c>
      <c r="R5543" t="s">
        <v>498</v>
      </c>
      <c r="S5543" t="s">
        <v>399</v>
      </c>
      <c r="T5543" s="14">
        <v>6500</v>
      </c>
    </row>
    <row r="5544" spans="17:20" x14ac:dyDescent="0.3">
      <c r="Q5544" s="93">
        <v>45848</v>
      </c>
      <c r="R5544" t="s">
        <v>494</v>
      </c>
      <c r="S5544" t="s">
        <v>399</v>
      </c>
      <c r="T5544" s="14">
        <v>750</v>
      </c>
    </row>
    <row r="5545" spans="17:20" x14ac:dyDescent="0.3">
      <c r="Q5545" s="93">
        <v>45848</v>
      </c>
      <c r="R5545" t="s">
        <v>495</v>
      </c>
      <c r="S5545" t="s">
        <v>399</v>
      </c>
      <c r="T5545" s="14">
        <v>0</v>
      </c>
    </row>
    <row r="5546" spans="17:20" x14ac:dyDescent="0.3">
      <c r="Q5546" s="93">
        <v>45848</v>
      </c>
      <c r="R5546" t="s">
        <v>493</v>
      </c>
      <c r="S5546" t="s">
        <v>399</v>
      </c>
      <c r="T5546" s="14">
        <v>0</v>
      </c>
    </row>
    <row r="5547" spans="17:20" x14ac:dyDescent="0.3">
      <c r="Q5547" s="93">
        <v>45848</v>
      </c>
      <c r="R5547" t="s">
        <v>593</v>
      </c>
      <c r="S5547" t="s">
        <v>399</v>
      </c>
      <c r="T5547" s="14">
        <v>-4050</v>
      </c>
    </row>
    <row r="5548" spans="17:20" x14ac:dyDescent="0.3">
      <c r="Q5548" s="93">
        <v>45848</v>
      </c>
      <c r="R5548" t="s">
        <v>594</v>
      </c>
      <c r="S5548" t="s">
        <v>399</v>
      </c>
      <c r="T5548" s="14">
        <v>0</v>
      </c>
    </row>
    <row r="5549" spans="17:20" x14ac:dyDescent="0.3">
      <c r="Q5549" s="93">
        <v>45848</v>
      </c>
      <c r="R5549" t="s">
        <v>595</v>
      </c>
      <c r="S5549" t="s">
        <v>399</v>
      </c>
      <c r="T5549" s="14">
        <v>2000</v>
      </c>
    </row>
    <row r="5550" spans="17:20" x14ac:dyDescent="0.3">
      <c r="Q5550" s="93">
        <v>45848</v>
      </c>
      <c r="R5550" t="s">
        <v>479</v>
      </c>
      <c r="S5550" t="s">
        <v>395</v>
      </c>
      <c r="T5550" s="14">
        <v>10899.6158108613</v>
      </c>
    </row>
    <row r="5551" spans="17:20" x14ac:dyDescent="0.3">
      <c r="Q5551" s="93">
        <v>45848</v>
      </c>
      <c r="R5551" t="s">
        <v>479</v>
      </c>
      <c r="S5551" t="s">
        <v>415</v>
      </c>
      <c r="T5551" s="14">
        <v>6.2022422032849001</v>
      </c>
    </row>
    <row r="5552" spans="17:20" x14ac:dyDescent="0.3">
      <c r="Q5552" s="93">
        <v>45848</v>
      </c>
      <c r="R5552" t="s">
        <v>364</v>
      </c>
      <c r="S5552" t="s">
        <v>415</v>
      </c>
      <c r="T5552" s="14">
        <v>5.6622385159800102</v>
      </c>
    </row>
    <row r="5553" spans="17:20" x14ac:dyDescent="0.3">
      <c r="Q5553" s="93">
        <v>45847</v>
      </c>
      <c r="R5553" t="s">
        <v>479</v>
      </c>
      <c r="S5553" t="s">
        <v>395</v>
      </c>
      <c r="T5553" s="14">
        <v>10901.758129881</v>
      </c>
    </row>
    <row r="5554" spans="17:20" x14ac:dyDescent="0.3">
      <c r="Q5554" s="93">
        <v>45847</v>
      </c>
      <c r="R5554" t="s">
        <v>479</v>
      </c>
      <c r="S5554" t="s">
        <v>415</v>
      </c>
      <c r="T5554" s="14">
        <v>6.202242203</v>
      </c>
    </row>
    <row r="5555" spans="17:20" x14ac:dyDescent="0.3">
      <c r="Q5555" s="93">
        <v>45847</v>
      </c>
      <c r="R5555" t="s">
        <v>364</v>
      </c>
      <c r="S5555" t="s">
        <v>415</v>
      </c>
      <c r="T5555" s="14">
        <v>5.6008642039999996</v>
      </c>
    </row>
    <row r="5556" spans="17:20" x14ac:dyDescent="0.3">
      <c r="Q5556" s="93">
        <v>45847</v>
      </c>
      <c r="R5556" t="s">
        <v>479</v>
      </c>
      <c r="S5556" t="s">
        <v>399</v>
      </c>
      <c r="T5556" s="14">
        <v>9897.6106</v>
      </c>
    </row>
    <row r="5557" spans="17:20" x14ac:dyDescent="0.3">
      <c r="Q5557" s="93">
        <v>45847</v>
      </c>
      <c r="R5557" t="s">
        <v>364</v>
      </c>
      <c r="S5557" t="s">
        <v>399</v>
      </c>
      <c r="T5557" s="14">
        <v>20934.4067</v>
      </c>
    </row>
    <row r="5558" spans="17:20" x14ac:dyDescent="0.3">
      <c r="Q5558" s="93">
        <v>45847</v>
      </c>
      <c r="R5558" t="s">
        <v>491</v>
      </c>
      <c r="S5558" t="s">
        <v>399</v>
      </c>
      <c r="T5558" s="14">
        <v>8500</v>
      </c>
    </row>
    <row r="5559" spans="17:20" x14ac:dyDescent="0.3">
      <c r="Q5559" s="93">
        <v>45847</v>
      </c>
      <c r="R5559" t="s">
        <v>492</v>
      </c>
      <c r="S5559" t="s">
        <v>399</v>
      </c>
      <c r="T5559" s="14">
        <v>1397.6106</v>
      </c>
    </row>
    <row r="5560" spans="17:20" x14ac:dyDescent="0.3">
      <c r="Q5560" s="93">
        <v>45847</v>
      </c>
      <c r="R5560" t="s">
        <v>496</v>
      </c>
      <c r="S5560" t="s">
        <v>399</v>
      </c>
      <c r="T5560" s="14">
        <v>20734.4067</v>
      </c>
    </row>
    <row r="5561" spans="17:20" x14ac:dyDescent="0.3">
      <c r="Q5561" s="93">
        <v>45847</v>
      </c>
      <c r="R5561" t="s">
        <v>497</v>
      </c>
      <c r="S5561" t="s">
        <v>399</v>
      </c>
      <c r="T5561" s="14">
        <v>1397.6106</v>
      </c>
    </row>
    <row r="5562" spans="17:20" x14ac:dyDescent="0.3">
      <c r="Q5562" s="93">
        <v>45847</v>
      </c>
      <c r="R5562" t="s">
        <v>498</v>
      </c>
      <c r="S5562" t="s">
        <v>399</v>
      </c>
      <c r="T5562" s="14">
        <v>6500</v>
      </c>
    </row>
    <row r="5563" spans="17:20" x14ac:dyDescent="0.3">
      <c r="Q5563" s="93">
        <v>45847</v>
      </c>
      <c r="R5563" t="s">
        <v>494</v>
      </c>
      <c r="S5563" t="s">
        <v>399</v>
      </c>
      <c r="T5563" s="14">
        <v>1200</v>
      </c>
    </row>
    <row r="5564" spans="17:20" x14ac:dyDescent="0.3">
      <c r="Q5564" s="93">
        <v>45847</v>
      </c>
      <c r="R5564" t="s">
        <v>495</v>
      </c>
      <c r="S5564" t="s">
        <v>399</v>
      </c>
      <c r="T5564" s="14">
        <v>0</v>
      </c>
    </row>
    <row r="5565" spans="17:20" x14ac:dyDescent="0.3">
      <c r="Q5565" s="93">
        <v>45847</v>
      </c>
      <c r="R5565" t="s">
        <v>493</v>
      </c>
      <c r="S5565" t="s">
        <v>399</v>
      </c>
      <c r="T5565" s="14">
        <v>0</v>
      </c>
    </row>
    <row r="5566" spans="17:20" x14ac:dyDescent="0.3">
      <c r="Q5566" s="93">
        <v>45847</v>
      </c>
      <c r="R5566" t="s">
        <v>593</v>
      </c>
      <c r="S5566" t="s">
        <v>399</v>
      </c>
      <c r="T5566" s="14">
        <v>-1000</v>
      </c>
    </row>
    <row r="5567" spans="17:20" x14ac:dyDescent="0.3">
      <c r="Q5567" s="93">
        <v>45847</v>
      </c>
      <c r="R5567" t="s">
        <v>594</v>
      </c>
      <c r="S5567" t="s">
        <v>399</v>
      </c>
      <c r="T5567" s="14">
        <v>0</v>
      </c>
    </row>
    <row r="5568" spans="17:20" x14ac:dyDescent="0.3">
      <c r="Q5568" s="93">
        <v>45847</v>
      </c>
      <c r="R5568" t="s">
        <v>595</v>
      </c>
      <c r="S5568" t="s">
        <v>399</v>
      </c>
      <c r="T5568" s="14">
        <v>2000</v>
      </c>
    </row>
    <row r="5569" spans="17:20" x14ac:dyDescent="0.3">
      <c r="Q5569" s="93">
        <v>45846</v>
      </c>
      <c r="R5569" t="s">
        <v>493</v>
      </c>
      <c r="S5569" t="s">
        <v>399</v>
      </c>
      <c r="T5569" s="14">
        <v>0</v>
      </c>
    </row>
    <row r="5570" spans="17:20" x14ac:dyDescent="0.3">
      <c r="Q5570" s="93">
        <v>45846</v>
      </c>
      <c r="R5570" t="s">
        <v>593</v>
      </c>
      <c r="S5570" t="s">
        <v>399</v>
      </c>
      <c r="T5570" s="14">
        <v>0</v>
      </c>
    </row>
    <row r="5571" spans="17:20" x14ac:dyDescent="0.3">
      <c r="Q5571" s="93">
        <v>45846</v>
      </c>
      <c r="R5571" t="s">
        <v>594</v>
      </c>
      <c r="S5571" t="s">
        <v>399</v>
      </c>
      <c r="T5571" s="14">
        <v>0</v>
      </c>
    </row>
    <row r="5572" spans="17:20" x14ac:dyDescent="0.3">
      <c r="Q5572" s="93">
        <v>45846</v>
      </c>
      <c r="R5572" t="s">
        <v>595</v>
      </c>
      <c r="S5572" t="s">
        <v>399</v>
      </c>
      <c r="T5572" s="14">
        <v>2000</v>
      </c>
    </row>
    <row r="5573" spans="17:20" x14ac:dyDescent="0.3">
      <c r="Q5573" s="93">
        <v>45846</v>
      </c>
      <c r="R5573" t="s">
        <v>479</v>
      </c>
      <c r="S5573" t="s">
        <v>395</v>
      </c>
      <c r="T5573" s="14">
        <v>10901.358817349999</v>
      </c>
    </row>
    <row r="5574" spans="17:20" x14ac:dyDescent="0.3">
      <c r="Q5574" s="93">
        <v>45846</v>
      </c>
      <c r="R5574" t="s">
        <v>479</v>
      </c>
      <c r="S5574" t="s">
        <v>415</v>
      </c>
      <c r="T5574" s="14">
        <v>6.202242203</v>
      </c>
    </row>
    <row r="5575" spans="17:20" x14ac:dyDescent="0.3">
      <c r="Q5575" s="93">
        <v>45846</v>
      </c>
      <c r="R5575" t="s">
        <v>364</v>
      </c>
      <c r="S5575" t="s">
        <v>415</v>
      </c>
      <c r="T5575" s="14">
        <v>5.589427186</v>
      </c>
    </row>
    <row r="5576" spans="17:20" x14ac:dyDescent="0.3">
      <c r="Q5576" s="93">
        <v>45846</v>
      </c>
      <c r="R5576" t="s">
        <v>479</v>
      </c>
      <c r="S5576" t="s">
        <v>399</v>
      </c>
      <c r="T5576" s="14">
        <v>9897.6106</v>
      </c>
    </row>
    <row r="5577" spans="17:20" x14ac:dyDescent="0.3">
      <c r="Q5577" s="93">
        <v>45846</v>
      </c>
      <c r="R5577" t="s">
        <v>364</v>
      </c>
      <c r="S5577" t="s">
        <v>399</v>
      </c>
      <c r="T5577" s="14">
        <v>21934.4067</v>
      </c>
    </row>
    <row r="5578" spans="17:20" x14ac:dyDescent="0.3">
      <c r="Q5578" s="93">
        <v>45846</v>
      </c>
      <c r="R5578" t="s">
        <v>491</v>
      </c>
      <c r="S5578" t="s">
        <v>399</v>
      </c>
      <c r="T5578" s="14">
        <v>8500</v>
      </c>
    </row>
    <row r="5579" spans="17:20" x14ac:dyDescent="0.3">
      <c r="Q5579" s="93">
        <v>45846</v>
      </c>
      <c r="R5579" t="s">
        <v>492</v>
      </c>
      <c r="S5579" t="s">
        <v>399</v>
      </c>
      <c r="T5579" s="14">
        <v>1397.6106</v>
      </c>
    </row>
    <row r="5580" spans="17:20" x14ac:dyDescent="0.3">
      <c r="Q5580" s="93">
        <v>45846</v>
      </c>
      <c r="R5580" t="s">
        <v>496</v>
      </c>
      <c r="S5580" t="s">
        <v>399</v>
      </c>
      <c r="T5580" s="14">
        <v>20734.4067</v>
      </c>
    </row>
    <row r="5581" spans="17:20" x14ac:dyDescent="0.3">
      <c r="Q5581" s="93">
        <v>45846</v>
      </c>
      <c r="R5581" t="s">
        <v>497</v>
      </c>
      <c r="S5581" t="s">
        <v>399</v>
      </c>
      <c r="T5581" s="14">
        <v>1397.6106</v>
      </c>
    </row>
    <row r="5582" spans="17:20" x14ac:dyDescent="0.3">
      <c r="Q5582" s="93">
        <v>45846</v>
      </c>
      <c r="R5582" t="s">
        <v>498</v>
      </c>
      <c r="S5582" t="s">
        <v>399</v>
      </c>
      <c r="T5582" s="14">
        <v>6500</v>
      </c>
    </row>
    <row r="5583" spans="17:20" x14ac:dyDescent="0.3">
      <c r="Q5583" s="93">
        <v>45846</v>
      </c>
      <c r="R5583" t="s">
        <v>494</v>
      </c>
      <c r="S5583" t="s">
        <v>399</v>
      </c>
      <c r="T5583" s="14">
        <v>1200</v>
      </c>
    </row>
    <row r="5584" spans="17:20" x14ac:dyDescent="0.3">
      <c r="Q5584" s="93">
        <v>45846</v>
      </c>
      <c r="R5584" t="s">
        <v>495</v>
      </c>
      <c r="S5584" t="s">
        <v>399</v>
      </c>
      <c r="T5584" s="14">
        <v>0</v>
      </c>
    </row>
    <row r="5585" spans="17:20" x14ac:dyDescent="0.3">
      <c r="Q5585" s="93">
        <v>45845</v>
      </c>
      <c r="R5585" t="s">
        <v>479</v>
      </c>
      <c r="S5585" t="s">
        <v>399</v>
      </c>
      <c r="T5585" s="14">
        <v>7897.6106</v>
      </c>
    </row>
    <row r="5586" spans="17:20" x14ac:dyDescent="0.3">
      <c r="Q5586" s="93">
        <v>45845</v>
      </c>
      <c r="R5586" t="s">
        <v>364</v>
      </c>
      <c r="S5586" t="s">
        <v>399</v>
      </c>
      <c r="T5586" s="14">
        <v>21934.4067</v>
      </c>
    </row>
    <row r="5587" spans="17:20" x14ac:dyDescent="0.3">
      <c r="Q5587" s="93">
        <v>45845</v>
      </c>
      <c r="R5587" t="s">
        <v>491</v>
      </c>
      <c r="S5587" t="s">
        <v>399</v>
      </c>
      <c r="T5587" s="14">
        <v>6500</v>
      </c>
    </row>
    <row r="5588" spans="17:20" x14ac:dyDescent="0.3">
      <c r="Q5588" s="93">
        <v>45845</v>
      </c>
      <c r="R5588" t="s">
        <v>492</v>
      </c>
      <c r="S5588" t="s">
        <v>399</v>
      </c>
      <c r="T5588" s="14">
        <v>1397.6106</v>
      </c>
    </row>
    <row r="5589" spans="17:20" x14ac:dyDescent="0.3">
      <c r="Q5589" s="93">
        <v>45845</v>
      </c>
      <c r="R5589" t="s">
        <v>496</v>
      </c>
      <c r="S5589" t="s">
        <v>399</v>
      </c>
      <c r="T5589" s="14">
        <v>21134.4067</v>
      </c>
    </row>
    <row r="5590" spans="17:20" x14ac:dyDescent="0.3">
      <c r="Q5590" s="93">
        <v>45845</v>
      </c>
      <c r="R5590" t="s">
        <v>497</v>
      </c>
      <c r="S5590" t="s">
        <v>399</v>
      </c>
      <c r="T5590" s="14">
        <v>1397.6106</v>
      </c>
    </row>
    <row r="5591" spans="17:20" x14ac:dyDescent="0.3">
      <c r="Q5591" s="93">
        <v>45845</v>
      </c>
      <c r="R5591" t="s">
        <v>498</v>
      </c>
      <c r="S5591" t="s">
        <v>399</v>
      </c>
      <c r="T5591" s="14">
        <v>6500</v>
      </c>
    </row>
    <row r="5592" spans="17:20" x14ac:dyDescent="0.3">
      <c r="Q5592" s="93">
        <v>45845</v>
      </c>
      <c r="R5592" t="s">
        <v>494</v>
      </c>
      <c r="S5592" t="s">
        <v>399</v>
      </c>
      <c r="T5592" s="14">
        <v>1200</v>
      </c>
    </row>
    <row r="5593" spans="17:20" x14ac:dyDescent="0.3">
      <c r="Q5593" s="93">
        <v>45845</v>
      </c>
      <c r="R5593" t="s">
        <v>495</v>
      </c>
      <c r="S5593" t="s">
        <v>399</v>
      </c>
      <c r="T5593" s="14">
        <v>0</v>
      </c>
    </row>
    <row r="5594" spans="17:20" x14ac:dyDescent="0.3">
      <c r="Q5594" s="93">
        <v>45845</v>
      </c>
      <c r="R5594" t="s">
        <v>493</v>
      </c>
      <c r="S5594" t="s">
        <v>399</v>
      </c>
      <c r="T5594" s="14">
        <v>0</v>
      </c>
    </row>
    <row r="5595" spans="17:20" x14ac:dyDescent="0.3">
      <c r="Q5595" s="93">
        <v>45845</v>
      </c>
      <c r="R5595" t="s">
        <v>593</v>
      </c>
      <c r="S5595" t="s">
        <v>399</v>
      </c>
      <c r="T5595" s="14">
        <v>-400</v>
      </c>
    </row>
    <row r="5596" spans="17:20" x14ac:dyDescent="0.3">
      <c r="Q5596" s="93">
        <v>45845</v>
      </c>
      <c r="R5596" t="s">
        <v>594</v>
      </c>
      <c r="S5596" t="s">
        <v>399</v>
      </c>
      <c r="T5596" s="14">
        <v>0</v>
      </c>
    </row>
    <row r="5597" spans="17:20" x14ac:dyDescent="0.3">
      <c r="Q5597" s="93">
        <v>45845</v>
      </c>
      <c r="R5597" t="s">
        <v>595</v>
      </c>
      <c r="S5597" t="s">
        <v>399</v>
      </c>
      <c r="T5597" s="14">
        <v>0</v>
      </c>
    </row>
    <row r="5598" spans="17:20" x14ac:dyDescent="0.3">
      <c r="Q5598" s="93">
        <v>45845</v>
      </c>
      <c r="R5598" t="s">
        <v>479</v>
      </c>
      <c r="S5598" t="s">
        <v>395</v>
      </c>
      <c r="T5598" s="14">
        <v>8809.0228697999992</v>
      </c>
    </row>
    <row r="5599" spans="17:20" x14ac:dyDescent="0.3">
      <c r="Q5599" s="93">
        <v>45845</v>
      </c>
      <c r="R5599" t="s">
        <v>479</v>
      </c>
      <c r="S5599" t="s">
        <v>415</v>
      </c>
      <c r="T5599" s="14">
        <v>6.4560511729999996</v>
      </c>
    </row>
    <row r="5600" spans="17:20" x14ac:dyDescent="0.3">
      <c r="Q5600" s="93">
        <v>45845</v>
      </c>
      <c r="R5600" t="s">
        <v>364</v>
      </c>
      <c r="S5600" t="s">
        <v>415</v>
      </c>
      <c r="T5600" s="14">
        <v>5.589427186</v>
      </c>
    </row>
    <row r="5601" spans="17:20" x14ac:dyDescent="0.3">
      <c r="Q5601" s="93">
        <v>45842</v>
      </c>
      <c r="R5601" t="s">
        <v>479</v>
      </c>
      <c r="S5601" t="s">
        <v>399</v>
      </c>
      <c r="T5601" s="14">
        <v>7897.6106</v>
      </c>
    </row>
    <row r="5602" spans="17:20" x14ac:dyDescent="0.3">
      <c r="Q5602" s="93">
        <v>45842</v>
      </c>
      <c r="R5602" t="s">
        <v>364</v>
      </c>
      <c r="S5602" t="s">
        <v>399</v>
      </c>
      <c r="T5602" s="14">
        <v>22334.4067</v>
      </c>
    </row>
    <row r="5603" spans="17:20" x14ac:dyDescent="0.3">
      <c r="Q5603" s="93">
        <v>45842</v>
      </c>
      <c r="R5603" t="s">
        <v>491</v>
      </c>
      <c r="S5603" t="s">
        <v>399</v>
      </c>
      <c r="T5603" s="14">
        <v>6500</v>
      </c>
    </row>
    <row r="5604" spans="17:20" x14ac:dyDescent="0.3">
      <c r="Q5604" s="93">
        <v>45842</v>
      </c>
      <c r="R5604" t="s">
        <v>492</v>
      </c>
      <c r="S5604" t="s">
        <v>399</v>
      </c>
      <c r="T5604" s="14">
        <v>1397.6106</v>
      </c>
    </row>
    <row r="5605" spans="17:20" x14ac:dyDescent="0.3">
      <c r="Q5605" s="93">
        <v>45842</v>
      </c>
      <c r="R5605" t="s">
        <v>496</v>
      </c>
      <c r="S5605" t="s">
        <v>399</v>
      </c>
      <c r="T5605" s="14">
        <v>21334.4067</v>
      </c>
    </row>
    <row r="5606" spans="17:20" x14ac:dyDescent="0.3">
      <c r="Q5606" s="93">
        <v>45842</v>
      </c>
      <c r="R5606" t="s">
        <v>497</v>
      </c>
      <c r="S5606" t="s">
        <v>399</v>
      </c>
      <c r="T5606" s="14">
        <v>1397.6106</v>
      </c>
    </row>
    <row r="5607" spans="17:20" x14ac:dyDescent="0.3">
      <c r="Q5607" s="93">
        <v>45842</v>
      </c>
      <c r="R5607" t="s">
        <v>498</v>
      </c>
      <c r="S5607" t="s">
        <v>399</v>
      </c>
      <c r="T5607" s="14">
        <v>6500</v>
      </c>
    </row>
    <row r="5608" spans="17:20" x14ac:dyDescent="0.3">
      <c r="Q5608" s="93">
        <v>45842</v>
      </c>
      <c r="R5608" t="s">
        <v>494</v>
      </c>
      <c r="S5608" t="s">
        <v>399</v>
      </c>
      <c r="T5608" s="14">
        <v>1900</v>
      </c>
    </row>
    <row r="5609" spans="17:20" x14ac:dyDescent="0.3">
      <c r="Q5609" s="93">
        <v>45842</v>
      </c>
      <c r="R5609" t="s">
        <v>495</v>
      </c>
      <c r="S5609" t="s">
        <v>399</v>
      </c>
      <c r="T5609" s="14">
        <v>0</v>
      </c>
    </row>
    <row r="5610" spans="17:20" x14ac:dyDescent="0.3">
      <c r="Q5610" s="93">
        <v>45842</v>
      </c>
      <c r="R5610" t="s">
        <v>493</v>
      </c>
      <c r="S5610" t="s">
        <v>399</v>
      </c>
      <c r="T5610" s="14">
        <v>0</v>
      </c>
    </row>
    <row r="5611" spans="17:20" x14ac:dyDescent="0.3">
      <c r="Q5611" s="93">
        <v>45842</v>
      </c>
      <c r="R5611" t="s">
        <v>593</v>
      </c>
      <c r="S5611" t="s">
        <v>399</v>
      </c>
      <c r="T5611" s="14">
        <v>-900</v>
      </c>
    </row>
    <row r="5612" spans="17:20" x14ac:dyDescent="0.3">
      <c r="Q5612" s="93">
        <v>45842</v>
      </c>
      <c r="R5612" t="s">
        <v>594</v>
      </c>
      <c r="S5612" t="s">
        <v>399</v>
      </c>
      <c r="T5612" s="14">
        <v>0</v>
      </c>
    </row>
    <row r="5613" spans="17:20" x14ac:dyDescent="0.3">
      <c r="Q5613" s="93">
        <v>45842</v>
      </c>
      <c r="R5613" t="s">
        <v>595</v>
      </c>
      <c r="S5613" t="s">
        <v>399</v>
      </c>
      <c r="T5613" s="14">
        <v>0</v>
      </c>
    </row>
    <row r="5614" spans="17:20" x14ac:dyDescent="0.3">
      <c r="Q5614" s="93">
        <v>45842</v>
      </c>
      <c r="R5614" t="s">
        <v>479</v>
      </c>
      <c r="S5614" t="s">
        <v>395</v>
      </c>
      <c r="T5614" s="14">
        <v>8811.0554399930006</v>
      </c>
    </row>
    <row r="5615" spans="17:20" x14ac:dyDescent="0.3">
      <c r="Q5615" s="93">
        <v>45842</v>
      </c>
      <c r="R5615" t="s">
        <v>479</v>
      </c>
      <c r="S5615" t="s">
        <v>415</v>
      </c>
      <c r="T5615" s="14">
        <v>6.4560511729999996</v>
      </c>
    </row>
    <row r="5616" spans="17:20" x14ac:dyDescent="0.3">
      <c r="Q5616" s="93">
        <v>45842</v>
      </c>
      <c r="R5616" t="s">
        <v>364</v>
      </c>
      <c r="S5616" t="s">
        <v>415</v>
      </c>
      <c r="T5616" s="14">
        <v>5.5842436649999998</v>
      </c>
    </row>
    <row r="5617" spans="17:20" x14ac:dyDescent="0.3">
      <c r="Q5617" s="93">
        <v>45841</v>
      </c>
      <c r="R5617" t="s">
        <v>479</v>
      </c>
      <c r="S5617" t="s">
        <v>399</v>
      </c>
      <c r="T5617" s="14">
        <v>7897.6106</v>
      </c>
    </row>
    <row r="5618" spans="17:20" x14ac:dyDescent="0.3">
      <c r="Q5618" s="93">
        <v>45841</v>
      </c>
      <c r="R5618" t="s">
        <v>364</v>
      </c>
      <c r="S5618" t="s">
        <v>399</v>
      </c>
      <c r="T5618" s="14">
        <v>22334.4067</v>
      </c>
    </row>
    <row r="5619" spans="17:20" x14ac:dyDescent="0.3">
      <c r="Q5619" s="93">
        <v>45841</v>
      </c>
      <c r="R5619" t="s">
        <v>491</v>
      </c>
      <c r="S5619" t="s">
        <v>399</v>
      </c>
      <c r="T5619" s="14">
        <v>6500</v>
      </c>
    </row>
    <row r="5620" spans="17:20" x14ac:dyDescent="0.3">
      <c r="Q5620" s="93">
        <v>45841</v>
      </c>
      <c r="R5620" t="s">
        <v>492</v>
      </c>
      <c r="S5620" t="s">
        <v>399</v>
      </c>
      <c r="T5620" s="14">
        <v>1397.6106</v>
      </c>
    </row>
    <row r="5621" spans="17:20" x14ac:dyDescent="0.3">
      <c r="Q5621" s="93">
        <v>45841</v>
      </c>
      <c r="R5621" t="s">
        <v>496</v>
      </c>
      <c r="S5621" t="s">
        <v>399</v>
      </c>
      <c r="T5621" s="14">
        <v>22334.4067</v>
      </c>
    </row>
    <row r="5622" spans="17:20" x14ac:dyDescent="0.3">
      <c r="Q5622" s="93">
        <v>45841</v>
      </c>
      <c r="R5622" t="s">
        <v>497</v>
      </c>
      <c r="S5622" t="s">
        <v>399</v>
      </c>
      <c r="T5622" s="14">
        <v>1397.6106</v>
      </c>
    </row>
    <row r="5623" spans="17:20" x14ac:dyDescent="0.3">
      <c r="Q5623" s="93">
        <v>45841</v>
      </c>
      <c r="R5623" t="s">
        <v>498</v>
      </c>
      <c r="S5623" t="s">
        <v>399</v>
      </c>
      <c r="T5623" s="14">
        <v>6500</v>
      </c>
    </row>
    <row r="5624" spans="17:20" x14ac:dyDescent="0.3">
      <c r="Q5624" s="93">
        <v>45841</v>
      </c>
      <c r="R5624" t="s">
        <v>494</v>
      </c>
      <c r="S5624" t="s">
        <v>399</v>
      </c>
      <c r="T5624" s="14">
        <v>400</v>
      </c>
    </row>
    <row r="5625" spans="17:20" x14ac:dyDescent="0.3">
      <c r="Q5625" s="93">
        <v>45841</v>
      </c>
      <c r="R5625" t="s">
        <v>495</v>
      </c>
      <c r="S5625" t="s">
        <v>399</v>
      </c>
      <c r="T5625" s="14">
        <v>0</v>
      </c>
    </row>
    <row r="5626" spans="17:20" x14ac:dyDescent="0.3">
      <c r="Q5626" s="93">
        <v>45841</v>
      </c>
      <c r="R5626" t="s">
        <v>493</v>
      </c>
      <c r="S5626" t="s">
        <v>399</v>
      </c>
      <c r="T5626" s="14">
        <v>0</v>
      </c>
    </row>
    <row r="5627" spans="17:20" x14ac:dyDescent="0.3">
      <c r="Q5627" s="93">
        <v>45841</v>
      </c>
      <c r="R5627" t="s">
        <v>593</v>
      </c>
      <c r="S5627" t="s">
        <v>399</v>
      </c>
      <c r="T5627" s="14">
        <v>-400</v>
      </c>
    </row>
    <row r="5628" spans="17:20" x14ac:dyDescent="0.3">
      <c r="Q5628" s="93">
        <v>45841</v>
      </c>
      <c r="R5628" t="s">
        <v>594</v>
      </c>
      <c r="S5628" t="s">
        <v>399</v>
      </c>
      <c r="T5628" s="14">
        <v>0</v>
      </c>
    </row>
    <row r="5629" spans="17:20" x14ac:dyDescent="0.3">
      <c r="Q5629" s="93">
        <v>45841</v>
      </c>
      <c r="R5629" t="s">
        <v>595</v>
      </c>
      <c r="S5629" t="s">
        <v>399</v>
      </c>
      <c r="T5629" s="14">
        <v>0</v>
      </c>
    </row>
    <row r="5630" spans="17:20" x14ac:dyDescent="0.3">
      <c r="Q5630" s="93">
        <v>45841</v>
      </c>
      <c r="R5630" t="s">
        <v>479</v>
      </c>
      <c r="S5630" t="s">
        <v>395</v>
      </c>
      <c r="T5630" s="14">
        <v>8811.8844860440004</v>
      </c>
    </row>
    <row r="5631" spans="17:20" x14ac:dyDescent="0.3">
      <c r="Q5631" s="93">
        <v>45841</v>
      </c>
      <c r="R5631" t="s">
        <v>479</v>
      </c>
      <c r="S5631" t="s">
        <v>415</v>
      </c>
      <c r="T5631" s="14">
        <v>6.4560511729999996</v>
      </c>
    </row>
    <row r="5632" spans="17:20" x14ac:dyDescent="0.3">
      <c r="Q5632" s="93">
        <v>45841</v>
      </c>
      <c r="R5632" t="s">
        <v>364</v>
      </c>
      <c r="S5632" t="s">
        <v>415</v>
      </c>
      <c r="T5632" s="14">
        <v>5.6021532519999999</v>
      </c>
    </row>
    <row r="5633" spans="17:20" x14ac:dyDescent="0.3">
      <c r="Q5633" s="93">
        <v>45840</v>
      </c>
      <c r="R5633" t="s">
        <v>479</v>
      </c>
      <c r="S5633" t="s">
        <v>399</v>
      </c>
      <c r="T5633" s="14">
        <v>7897.6106</v>
      </c>
    </row>
    <row r="5634" spans="17:20" x14ac:dyDescent="0.3">
      <c r="Q5634" s="93">
        <v>45840</v>
      </c>
      <c r="R5634" t="s">
        <v>364</v>
      </c>
      <c r="S5634" t="s">
        <v>399</v>
      </c>
      <c r="T5634" s="14">
        <v>22534.4067</v>
      </c>
    </row>
    <row r="5635" spans="17:20" x14ac:dyDescent="0.3">
      <c r="Q5635" s="93">
        <v>45840</v>
      </c>
      <c r="R5635" t="s">
        <v>491</v>
      </c>
      <c r="S5635" t="s">
        <v>399</v>
      </c>
      <c r="T5635" s="14">
        <v>6500</v>
      </c>
    </row>
    <row r="5636" spans="17:20" x14ac:dyDescent="0.3">
      <c r="Q5636" s="93">
        <v>45840</v>
      </c>
      <c r="R5636" t="s">
        <v>492</v>
      </c>
      <c r="S5636" t="s">
        <v>399</v>
      </c>
      <c r="T5636" s="14">
        <v>1397.6106</v>
      </c>
    </row>
    <row r="5637" spans="17:20" x14ac:dyDescent="0.3">
      <c r="Q5637" s="93">
        <v>45840</v>
      </c>
      <c r="R5637" t="s">
        <v>496</v>
      </c>
      <c r="S5637" t="s">
        <v>399</v>
      </c>
      <c r="T5637" s="14">
        <v>22534.4067</v>
      </c>
    </row>
    <row r="5638" spans="17:20" x14ac:dyDescent="0.3">
      <c r="Q5638" s="93">
        <v>45840</v>
      </c>
      <c r="R5638" t="s">
        <v>497</v>
      </c>
      <c r="S5638" t="s">
        <v>399</v>
      </c>
      <c r="T5638" s="14">
        <v>1397.6106</v>
      </c>
    </row>
    <row r="5639" spans="17:20" x14ac:dyDescent="0.3">
      <c r="Q5639" s="93">
        <v>45840</v>
      </c>
      <c r="R5639" t="s">
        <v>498</v>
      </c>
      <c r="S5639" t="s">
        <v>399</v>
      </c>
      <c r="T5639" s="14">
        <v>6500</v>
      </c>
    </row>
    <row r="5640" spans="17:20" x14ac:dyDescent="0.3">
      <c r="Q5640" s="93">
        <v>45840</v>
      </c>
      <c r="R5640" t="s">
        <v>494</v>
      </c>
      <c r="S5640" t="s">
        <v>399</v>
      </c>
      <c r="T5640" s="14">
        <v>-500</v>
      </c>
    </row>
    <row r="5641" spans="17:20" x14ac:dyDescent="0.3">
      <c r="Q5641" s="93">
        <v>45840</v>
      </c>
      <c r="R5641" t="s">
        <v>495</v>
      </c>
      <c r="S5641" t="s">
        <v>399</v>
      </c>
      <c r="T5641" s="14">
        <v>0</v>
      </c>
    </row>
    <row r="5642" spans="17:20" x14ac:dyDescent="0.3">
      <c r="Q5642" s="93">
        <v>45840</v>
      </c>
      <c r="R5642" t="s">
        <v>493</v>
      </c>
      <c r="S5642" t="s">
        <v>399</v>
      </c>
      <c r="T5642" s="14">
        <v>0</v>
      </c>
    </row>
    <row r="5643" spans="17:20" x14ac:dyDescent="0.3">
      <c r="Q5643" s="93">
        <v>45840</v>
      </c>
      <c r="R5643" t="s">
        <v>593</v>
      </c>
      <c r="S5643" t="s">
        <v>399</v>
      </c>
      <c r="T5643" s="14">
        <v>500</v>
      </c>
    </row>
    <row r="5644" spans="17:20" x14ac:dyDescent="0.3">
      <c r="Q5644" s="93">
        <v>45840</v>
      </c>
      <c r="R5644" t="s">
        <v>594</v>
      </c>
      <c r="S5644" t="s">
        <v>399</v>
      </c>
      <c r="T5644" s="14">
        <v>0</v>
      </c>
    </row>
    <row r="5645" spans="17:20" x14ac:dyDescent="0.3">
      <c r="Q5645" s="93">
        <v>45840</v>
      </c>
      <c r="R5645" t="s">
        <v>595</v>
      </c>
      <c r="S5645" t="s">
        <v>399</v>
      </c>
      <c r="T5645" s="14">
        <v>0</v>
      </c>
    </row>
    <row r="5646" spans="17:20" x14ac:dyDescent="0.3">
      <c r="Q5646" s="93">
        <v>45840</v>
      </c>
      <c r="R5646" t="s">
        <v>479</v>
      </c>
      <c r="S5646" t="s">
        <v>395</v>
      </c>
      <c r="T5646" s="14">
        <v>8812.3319454829998</v>
      </c>
    </row>
    <row r="5647" spans="17:20" x14ac:dyDescent="0.3">
      <c r="Q5647" s="93">
        <v>45840</v>
      </c>
      <c r="R5647" t="s">
        <v>479</v>
      </c>
      <c r="S5647" t="s">
        <v>415</v>
      </c>
      <c r="T5647" s="14">
        <v>6.4560511729999996</v>
      </c>
    </row>
    <row r="5648" spans="17:20" x14ac:dyDescent="0.3">
      <c r="Q5648" s="93">
        <v>45840</v>
      </c>
      <c r="R5648" t="s">
        <v>364</v>
      </c>
      <c r="S5648" t="s">
        <v>415</v>
      </c>
      <c r="T5648" s="14">
        <v>5.5923712920000002</v>
      </c>
    </row>
    <row r="5649" spans="17:20" x14ac:dyDescent="0.3">
      <c r="Q5649" s="93">
        <v>45839</v>
      </c>
      <c r="R5649" t="s">
        <v>479</v>
      </c>
      <c r="S5649" t="s">
        <v>399</v>
      </c>
      <c r="T5649" s="14">
        <v>7897.6106</v>
      </c>
    </row>
    <row r="5650" spans="17:20" x14ac:dyDescent="0.3">
      <c r="Q5650" s="93">
        <v>45839</v>
      </c>
      <c r="R5650" t="s">
        <v>364</v>
      </c>
      <c r="S5650" t="s">
        <v>399</v>
      </c>
      <c r="T5650" s="14">
        <v>22034.4067</v>
      </c>
    </row>
    <row r="5651" spans="17:20" x14ac:dyDescent="0.3">
      <c r="Q5651" s="93">
        <v>45839</v>
      </c>
      <c r="R5651" t="s">
        <v>491</v>
      </c>
      <c r="S5651" t="s">
        <v>399</v>
      </c>
      <c r="T5651" s="14">
        <v>6500</v>
      </c>
    </row>
    <row r="5652" spans="17:20" x14ac:dyDescent="0.3">
      <c r="Q5652" s="93">
        <v>45839</v>
      </c>
      <c r="R5652" t="s">
        <v>492</v>
      </c>
      <c r="S5652" t="s">
        <v>399</v>
      </c>
      <c r="T5652" s="14">
        <v>1397.6106</v>
      </c>
    </row>
    <row r="5653" spans="17:20" x14ac:dyDescent="0.3">
      <c r="Q5653" s="93">
        <v>45839</v>
      </c>
      <c r="R5653" t="s">
        <v>496</v>
      </c>
      <c r="S5653" t="s">
        <v>399</v>
      </c>
      <c r="T5653" s="14">
        <v>20684.4067</v>
      </c>
    </row>
    <row r="5654" spans="17:20" x14ac:dyDescent="0.3">
      <c r="Q5654" s="93">
        <v>45839</v>
      </c>
      <c r="R5654" t="s">
        <v>497</v>
      </c>
      <c r="S5654" t="s">
        <v>399</v>
      </c>
      <c r="T5654" s="14">
        <v>1397.6106</v>
      </c>
    </row>
    <row r="5655" spans="17:20" x14ac:dyDescent="0.3">
      <c r="Q5655" s="93">
        <v>45839</v>
      </c>
      <c r="R5655" t="s">
        <v>498</v>
      </c>
      <c r="S5655" t="s">
        <v>399</v>
      </c>
      <c r="T5655" s="14">
        <v>6500</v>
      </c>
    </row>
    <row r="5656" spans="17:20" x14ac:dyDescent="0.3">
      <c r="Q5656" s="93">
        <v>45839</v>
      </c>
      <c r="R5656" t="s">
        <v>494</v>
      </c>
      <c r="S5656" t="s">
        <v>399</v>
      </c>
      <c r="T5656" s="14">
        <v>1850</v>
      </c>
    </row>
    <row r="5657" spans="17:20" x14ac:dyDescent="0.3">
      <c r="Q5657" s="93">
        <v>45839</v>
      </c>
      <c r="R5657" t="s">
        <v>495</v>
      </c>
      <c r="S5657" t="s">
        <v>399</v>
      </c>
      <c r="T5657" s="14">
        <v>0</v>
      </c>
    </row>
    <row r="5658" spans="17:20" x14ac:dyDescent="0.3">
      <c r="Q5658" s="93">
        <v>45839</v>
      </c>
      <c r="R5658" t="s">
        <v>493</v>
      </c>
      <c r="S5658" t="s">
        <v>399</v>
      </c>
      <c r="T5658" s="14">
        <v>0</v>
      </c>
    </row>
    <row r="5659" spans="17:20" x14ac:dyDescent="0.3">
      <c r="Q5659" s="93">
        <v>45839</v>
      </c>
      <c r="R5659" t="s">
        <v>593</v>
      </c>
      <c r="S5659" t="s">
        <v>399</v>
      </c>
      <c r="T5659" s="14">
        <v>-500</v>
      </c>
    </row>
    <row r="5660" spans="17:20" x14ac:dyDescent="0.3">
      <c r="Q5660" s="93">
        <v>45839</v>
      </c>
      <c r="R5660" t="s">
        <v>594</v>
      </c>
      <c r="S5660" t="s">
        <v>399</v>
      </c>
      <c r="T5660" s="14">
        <v>0</v>
      </c>
    </row>
    <row r="5661" spans="17:20" x14ac:dyDescent="0.3">
      <c r="Q5661" s="93">
        <v>45839</v>
      </c>
      <c r="R5661" t="s">
        <v>595</v>
      </c>
      <c r="S5661" t="s">
        <v>399</v>
      </c>
      <c r="T5661" s="14">
        <v>0</v>
      </c>
    </row>
    <row r="5662" spans="17:20" x14ac:dyDescent="0.3">
      <c r="Q5662" s="93">
        <v>45839</v>
      </c>
      <c r="R5662" t="s">
        <v>479</v>
      </c>
      <c r="S5662" t="s">
        <v>395</v>
      </c>
      <c r="T5662" s="14">
        <v>8817.1089508479999</v>
      </c>
    </row>
    <row r="5663" spans="17:20" x14ac:dyDescent="0.3">
      <c r="Q5663" s="93">
        <v>45839</v>
      </c>
      <c r="R5663" t="s">
        <v>479</v>
      </c>
      <c r="S5663" t="s">
        <v>415</v>
      </c>
      <c r="T5663" s="14">
        <v>6.4560511729999996</v>
      </c>
    </row>
    <row r="5664" spans="17:20" x14ac:dyDescent="0.3">
      <c r="Q5664" s="93">
        <v>45839</v>
      </c>
      <c r="R5664" t="s">
        <v>364</v>
      </c>
      <c r="S5664" t="s">
        <v>415</v>
      </c>
      <c r="T5664" s="14">
        <v>5.5746206589999998</v>
      </c>
    </row>
    <row r="5665" spans="17:20" x14ac:dyDescent="0.3">
      <c r="Q5665" s="93">
        <v>45838</v>
      </c>
      <c r="R5665" t="s">
        <v>479</v>
      </c>
      <c r="S5665" t="s">
        <v>399</v>
      </c>
      <c r="T5665" s="14">
        <v>7897.6106</v>
      </c>
    </row>
    <row r="5666" spans="17:20" x14ac:dyDescent="0.3">
      <c r="Q5666" s="93">
        <v>45838</v>
      </c>
      <c r="R5666" t="s">
        <v>364</v>
      </c>
      <c r="S5666" t="s">
        <v>399</v>
      </c>
      <c r="T5666" s="14">
        <v>24534.4067</v>
      </c>
    </row>
    <row r="5667" spans="17:20" x14ac:dyDescent="0.3">
      <c r="Q5667" s="93">
        <v>45838</v>
      </c>
      <c r="R5667" t="s">
        <v>491</v>
      </c>
      <c r="S5667" t="s">
        <v>399</v>
      </c>
      <c r="T5667" s="14">
        <v>6500</v>
      </c>
    </row>
    <row r="5668" spans="17:20" x14ac:dyDescent="0.3">
      <c r="Q5668" s="93">
        <v>45838</v>
      </c>
      <c r="R5668" t="s">
        <v>492</v>
      </c>
      <c r="S5668" t="s">
        <v>399</v>
      </c>
      <c r="T5668" s="14">
        <v>1397.6106</v>
      </c>
    </row>
    <row r="5669" spans="17:20" x14ac:dyDescent="0.3">
      <c r="Q5669" s="93">
        <v>45838</v>
      </c>
      <c r="R5669" t="s">
        <v>496</v>
      </c>
      <c r="S5669" t="s">
        <v>399</v>
      </c>
      <c r="T5669" s="14">
        <v>20484.4067</v>
      </c>
    </row>
    <row r="5670" spans="17:20" x14ac:dyDescent="0.3">
      <c r="Q5670" s="93">
        <v>45838</v>
      </c>
      <c r="R5670" t="s">
        <v>497</v>
      </c>
      <c r="S5670" t="s">
        <v>399</v>
      </c>
      <c r="T5670" s="14">
        <v>1397.6106</v>
      </c>
    </row>
    <row r="5671" spans="17:20" x14ac:dyDescent="0.3">
      <c r="Q5671" s="93">
        <v>45838</v>
      </c>
      <c r="R5671" t="s">
        <v>498</v>
      </c>
      <c r="S5671" t="s">
        <v>399</v>
      </c>
      <c r="T5671" s="14">
        <v>6500</v>
      </c>
    </row>
    <row r="5672" spans="17:20" x14ac:dyDescent="0.3">
      <c r="Q5672" s="93">
        <v>45838</v>
      </c>
      <c r="R5672" t="s">
        <v>494</v>
      </c>
      <c r="S5672" t="s">
        <v>399</v>
      </c>
      <c r="T5672" s="14">
        <v>3550</v>
      </c>
    </row>
    <row r="5673" spans="17:20" x14ac:dyDescent="0.3">
      <c r="Q5673" s="93">
        <v>45838</v>
      </c>
      <c r="R5673" t="s">
        <v>495</v>
      </c>
      <c r="S5673" t="s">
        <v>399</v>
      </c>
      <c r="T5673" s="14">
        <v>0</v>
      </c>
    </row>
    <row r="5674" spans="17:20" x14ac:dyDescent="0.3">
      <c r="Q5674" s="93">
        <v>45838</v>
      </c>
      <c r="R5674" t="s">
        <v>493</v>
      </c>
      <c r="S5674" t="s">
        <v>399</v>
      </c>
      <c r="T5674" s="14">
        <v>0</v>
      </c>
    </row>
    <row r="5675" spans="17:20" x14ac:dyDescent="0.3">
      <c r="Q5675" s="93">
        <v>45838</v>
      </c>
      <c r="R5675" t="s">
        <v>593</v>
      </c>
      <c r="S5675" t="s">
        <v>399</v>
      </c>
      <c r="T5675" s="14">
        <v>500</v>
      </c>
    </row>
    <row r="5676" spans="17:20" x14ac:dyDescent="0.3">
      <c r="Q5676" s="93">
        <v>45838</v>
      </c>
      <c r="R5676" t="s">
        <v>594</v>
      </c>
      <c r="S5676" t="s">
        <v>399</v>
      </c>
      <c r="T5676" s="14">
        <v>0</v>
      </c>
    </row>
    <row r="5677" spans="17:20" x14ac:dyDescent="0.3">
      <c r="Q5677" s="93">
        <v>45838</v>
      </c>
      <c r="R5677" t="s">
        <v>595</v>
      </c>
      <c r="S5677" t="s">
        <v>399</v>
      </c>
      <c r="T5677" s="14">
        <v>0</v>
      </c>
    </row>
    <row r="5678" spans="17:20" x14ac:dyDescent="0.3">
      <c r="Q5678" s="93">
        <v>45838</v>
      </c>
      <c r="R5678" t="s">
        <v>479</v>
      </c>
      <c r="S5678" t="s">
        <v>395</v>
      </c>
      <c r="T5678" s="14">
        <v>8816.6141917699006</v>
      </c>
    </row>
    <row r="5679" spans="17:20" x14ac:dyDescent="0.3">
      <c r="Q5679" s="93">
        <v>45838</v>
      </c>
      <c r="R5679" t="s">
        <v>479</v>
      </c>
      <c r="S5679" t="s">
        <v>415</v>
      </c>
      <c r="T5679" s="14">
        <v>6.4560511726166903</v>
      </c>
    </row>
    <row r="5680" spans="17:20" x14ac:dyDescent="0.3">
      <c r="Q5680" s="93">
        <v>45838</v>
      </c>
      <c r="R5680" t="s">
        <v>364</v>
      </c>
      <c r="S5680" t="s">
        <v>415</v>
      </c>
      <c r="T5680" s="14">
        <v>5.5685377189088499</v>
      </c>
    </row>
    <row r="5681" spans="17:20" x14ac:dyDescent="0.3">
      <c r="Q5681" s="93">
        <v>45835</v>
      </c>
      <c r="R5681" t="s">
        <v>479</v>
      </c>
      <c r="S5681" t="s">
        <v>399</v>
      </c>
      <c r="T5681" s="14">
        <v>7897.6106</v>
      </c>
    </row>
    <row r="5682" spans="17:20" x14ac:dyDescent="0.3">
      <c r="Q5682" s="93">
        <v>45835</v>
      </c>
      <c r="R5682" t="s">
        <v>364</v>
      </c>
      <c r="S5682" t="s">
        <v>399</v>
      </c>
      <c r="T5682" s="14">
        <v>24184.4067</v>
      </c>
    </row>
    <row r="5683" spans="17:20" x14ac:dyDescent="0.3">
      <c r="Q5683" s="93">
        <v>45835</v>
      </c>
      <c r="R5683" t="s">
        <v>491</v>
      </c>
      <c r="S5683" t="s">
        <v>399</v>
      </c>
      <c r="T5683" s="14">
        <v>6500</v>
      </c>
    </row>
    <row r="5684" spans="17:20" x14ac:dyDescent="0.3">
      <c r="Q5684" s="93">
        <v>45835</v>
      </c>
      <c r="R5684" t="s">
        <v>492</v>
      </c>
      <c r="S5684" t="s">
        <v>399</v>
      </c>
      <c r="T5684" s="14">
        <v>1397.6106</v>
      </c>
    </row>
    <row r="5685" spans="17:20" x14ac:dyDescent="0.3">
      <c r="Q5685" s="93">
        <v>45835</v>
      </c>
      <c r="R5685" t="s">
        <v>496</v>
      </c>
      <c r="S5685" t="s">
        <v>399</v>
      </c>
      <c r="T5685" s="14">
        <v>18134.4067</v>
      </c>
    </row>
    <row r="5686" spans="17:20" x14ac:dyDescent="0.3">
      <c r="Q5686" s="93">
        <v>45835</v>
      </c>
      <c r="R5686" t="s">
        <v>497</v>
      </c>
      <c r="S5686" t="s">
        <v>399</v>
      </c>
      <c r="T5686" s="14">
        <v>1397.6106</v>
      </c>
    </row>
    <row r="5687" spans="17:20" x14ac:dyDescent="0.3">
      <c r="Q5687" s="93">
        <v>45835</v>
      </c>
      <c r="R5687" t="s">
        <v>498</v>
      </c>
      <c r="S5687" t="s">
        <v>399</v>
      </c>
      <c r="T5687" s="14">
        <v>6500</v>
      </c>
    </row>
    <row r="5688" spans="17:20" x14ac:dyDescent="0.3">
      <c r="Q5688" s="93">
        <v>45835</v>
      </c>
      <c r="R5688" t="s">
        <v>494</v>
      </c>
      <c r="S5688" t="s">
        <v>399</v>
      </c>
      <c r="T5688" s="14">
        <v>4550</v>
      </c>
    </row>
    <row r="5689" spans="17:20" x14ac:dyDescent="0.3">
      <c r="Q5689" s="93">
        <v>45835</v>
      </c>
      <c r="R5689" t="s">
        <v>495</v>
      </c>
      <c r="S5689" t="s">
        <v>399</v>
      </c>
      <c r="T5689" s="14">
        <v>0</v>
      </c>
    </row>
    <row r="5690" spans="17:20" x14ac:dyDescent="0.3">
      <c r="Q5690" s="93">
        <v>45835</v>
      </c>
      <c r="R5690" t="s">
        <v>493</v>
      </c>
      <c r="S5690" t="s">
        <v>399</v>
      </c>
      <c r="T5690" s="14">
        <v>0</v>
      </c>
    </row>
    <row r="5691" spans="17:20" x14ac:dyDescent="0.3">
      <c r="Q5691" s="93">
        <v>45835</v>
      </c>
      <c r="R5691" t="s">
        <v>593</v>
      </c>
      <c r="S5691" t="s">
        <v>399</v>
      </c>
      <c r="T5691" s="14">
        <v>1500</v>
      </c>
    </row>
    <row r="5692" spans="17:20" x14ac:dyDescent="0.3">
      <c r="Q5692" s="93">
        <v>45835</v>
      </c>
      <c r="R5692" t="s">
        <v>594</v>
      </c>
      <c r="S5692" t="s">
        <v>399</v>
      </c>
      <c r="T5692" s="14">
        <v>0</v>
      </c>
    </row>
    <row r="5693" spans="17:20" x14ac:dyDescent="0.3">
      <c r="Q5693" s="93">
        <v>45835</v>
      </c>
      <c r="R5693" t="s">
        <v>595</v>
      </c>
      <c r="S5693" t="s">
        <v>399</v>
      </c>
      <c r="T5693" s="14">
        <v>0</v>
      </c>
    </row>
    <row r="5694" spans="17:20" x14ac:dyDescent="0.3">
      <c r="Q5694" s="93">
        <v>45835</v>
      </c>
      <c r="R5694" t="s">
        <v>479</v>
      </c>
      <c r="S5694" t="s">
        <v>395</v>
      </c>
      <c r="T5694" s="14">
        <v>8821.2630660070008</v>
      </c>
    </row>
    <row r="5695" spans="17:20" x14ac:dyDescent="0.3">
      <c r="Q5695" s="93">
        <v>45835</v>
      </c>
      <c r="R5695" t="s">
        <v>479</v>
      </c>
      <c r="S5695" t="s">
        <v>415</v>
      </c>
      <c r="T5695" s="14">
        <v>6.4560511729999996</v>
      </c>
    </row>
    <row r="5696" spans="17:20" x14ac:dyDescent="0.3">
      <c r="Q5696" s="93">
        <v>45835</v>
      </c>
      <c r="R5696" t="s">
        <v>364</v>
      </c>
      <c r="S5696" t="s">
        <v>415</v>
      </c>
      <c r="T5696" s="14">
        <v>5.5614083269999997</v>
      </c>
    </row>
    <row r="5697" spans="17:20" x14ac:dyDescent="0.3">
      <c r="Q5697" s="93">
        <v>45834</v>
      </c>
      <c r="R5697" t="s">
        <v>364</v>
      </c>
      <c r="S5697" t="s">
        <v>399</v>
      </c>
      <c r="T5697" s="14">
        <v>25084.4067</v>
      </c>
    </row>
    <row r="5698" spans="17:20" x14ac:dyDescent="0.3">
      <c r="Q5698" s="93">
        <v>45834</v>
      </c>
      <c r="R5698" t="s">
        <v>491</v>
      </c>
      <c r="S5698" t="s">
        <v>399</v>
      </c>
      <c r="T5698" s="14">
        <v>6500</v>
      </c>
    </row>
    <row r="5699" spans="17:20" x14ac:dyDescent="0.3">
      <c r="Q5699" s="93">
        <v>45834</v>
      </c>
      <c r="R5699" t="s">
        <v>492</v>
      </c>
      <c r="S5699" t="s">
        <v>399</v>
      </c>
      <c r="T5699" s="14">
        <v>1397.6106</v>
      </c>
    </row>
    <row r="5700" spans="17:20" x14ac:dyDescent="0.3">
      <c r="Q5700" s="93">
        <v>45834</v>
      </c>
      <c r="R5700" t="s">
        <v>496</v>
      </c>
      <c r="S5700" t="s">
        <v>399</v>
      </c>
      <c r="T5700" s="14">
        <v>18634.4067</v>
      </c>
    </row>
    <row r="5701" spans="17:20" x14ac:dyDescent="0.3">
      <c r="Q5701" s="93">
        <v>45834</v>
      </c>
      <c r="R5701" t="s">
        <v>497</v>
      </c>
      <c r="S5701" t="s">
        <v>399</v>
      </c>
      <c r="T5701" s="14">
        <v>1397.6106</v>
      </c>
    </row>
    <row r="5702" spans="17:20" x14ac:dyDescent="0.3">
      <c r="Q5702" s="93">
        <v>45834</v>
      </c>
      <c r="R5702" t="s">
        <v>498</v>
      </c>
      <c r="S5702" t="s">
        <v>399</v>
      </c>
      <c r="T5702" s="14">
        <v>6500</v>
      </c>
    </row>
    <row r="5703" spans="17:20" x14ac:dyDescent="0.3">
      <c r="Q5703" s="93">
        <v>45834</v>
      </c>
      <c r="R5703" t="s">
        <v>494</v>
      </c>
      <c r="S5703" t="s">
        <v>399</v>
      </c>
      <c r="T5703" s="14">
        <v>4150</v>
      </c>
    </row>
    <row r="5704" spans="17:20" x14ac:dyDescent="0.3">
      <c r="Q5704" s="93">
        <v>45834</v>
      </c>
      <c r="R5704" t="s">
        <v>495</v>
      </c>
      <c r="S5704" t="s">
        <v>399</v>
      </c>
      <c r="T5704" s="14">
        <v>0</v>
      </c>
    </row>
    <row r="5705" spans="17:20" x14ac:dyDescent="0.3">
      <c r="Q5705" s="93">
        <v>45834</v>
      </c>
      <c r="R5705" t="s">
        <v>493</v>
      </c>
      <c r="S5705" t="s">
        <v>399</v>
      </c>
      <c r="T5705" s="14">
        <v>0</v>
      </c>
    </row>
    <row r="5706" spans="17:20" x14ac:dyDescent="0.3">
      <c r="Q5706" s="93">
        <v>45834</v>
      </c>
      <c r="R5706" t="s">
        <v>593</v>
      </c>
      <c r="S5706" t="s">
        <v>399</v>
      </c>
      <c r="T5706" s="14">
        <v>2300</v>
      </c>
    </row>
    <row r="5707" spans="17:20" x14ac:dyDescent="0.3">
      <c r="Q5707" s="93">
        <v>45834</v>
      </c>
      <c r="R5707" t="s">
        <v>594</v>
      </c>
      <c r="S5707" t="s">
        <v>399</v>
      </c>
      <c r="T5707" s="14">
        <v>0</v>
      </c>
    </row>
    <row r="5708" spans="17:20" x14ac:dyDescent="0.3">
      <c r="Q5708" s="93">
        <v>45834</v>
      </c>
      <c r="R5708" t="s">
        <v>595</v>
      </c>
      <c r="S5708" t="s">
        <v>399</v>
      </c>
      <c r="T5708" s="14">
        <v>0</v>
      </c>
    </row>
    <row r="5709" spans="17:20" x14ac:dyDescent="0.3">
      <c r="Q5709" s="93">
        <v>45834</v>
      </c>
      <c r="R5709" t="s">
        <v>479</v>
      </c>
      <c r="S5709" t="s">
        <v>395</v>
      </c>
      <c r="T5709" s="14">
        <v>6544.0898319199996</v>
      </c>
    </row>
    <row r="5710" spans="17:20" x14ac:dyDescent="0.3">
      <c r="Q5710" s="93">
        <v>45834</v>
      </c>
      <c r="R5710" t="s">
        <v>479</v>
      </c>
      <c r="S5710" t="s">
        <v>415</v>
      </c>
      <c r="T5710" s="14">
        <v>6.4560511729999996</v>
      </c>
    </row>
    <row r="5711" spans="17:20" x14ac:dyDescent="0.3">
      <c r="Q5711" s="93">
        <v>45834</v>
      </c>
      <c r="R5711" t="s">
        <v>364</v>
      </c>
      <c r="S5711" t="s">
        <v>415</v>
      </c>
      <c r="T5711" s="14">
        <v>5.5313801380000003</v>
      </c>
    </row>
    <row r="5712" spans="17:20" x14ac:dyDescent="0.3">
      <c r="Q5712" s="93">
        <v>45834</v>
      </c>
      <c r="R5712" t="s">
        <v>479</v>
      </c>
      <c r="S5712" t="s">
        <v>399</v>
      </c>
      <c r="T5712" s="14">
        <v>7897.6106</v>
      </c>
    </row>
    <row r="5713" spans="17:20" x14ac:dyDescent="0.3">
      <c r="Q5713" s="93">
        <v>45833</v>
      </c>
      <c r="R5713" t="s">
        <v>479</v>
      </c>
      <c r="S5713" t="s">
        <v>399</v>
      </c>
      <c r="T5713" s="14">
        <v>7897.6106</v>
      </c>
    </row>
    <row r="5714" spans="17:20" x14ac:dyDescent="0.3">
      <c r="Q5714" s="93">
        <v>45833</v>
      </c>
      <c r="R5714" t="s">
        <v>364</v>
      </c>
      <c r="S5714" t="s">
        <v>399</v>
      </c>
      <c r="T5714" s="14">
        <v>24294.4067</v>
      </c>
    </row>
    <row r="5715" spans="17:20" x14ac:dyDescent="0.3">
      <c r="Q5715" s="93">
        <v>45833</v>
      </c>
      <c r="R5715" t="s">
        <v>491</v>
      </c>
      <c r="S5715" t="s">
        <v>399</v>
      </c>
      <c r="T5715" s="14">
        <v>6500</v>
      </c>
    </row>
    <row r="5716" spans="17:20" x14ac:dyDescent="0.3">
      <c r="Q5716" s="93">
        <v>45833</v>
      </c>
      <c r="R5716" t="s">
        <v>492</v>
      </c>
      <c r="S5716" t="s">
        <v>399</v>
      </c>
      <c r="T5716" s="14">
        <v>1397.6106</v>
      </c>
    </row>
    <row r="5717" spans="17:20" x14ac:dyDescent="0.3">
      <c r="Q5717" s="93">
        <v>45833</v>
      </c>
      <c r="R5717" t="s">
        <v>496</v>
      </c>
      <c r="S5717" t="s">
        <v>399</v>
      </c>
      <c r="T5717" s="14">
        <v>14744.4067</v>
      </c>
    </row>
    <row r="5718" spans="17:20" x14ac:dyDescent="0.3">
      <c r="Q5718" s="93">
        <v>45833</v>
      </c>
      <c r="R5718" t="s">
        <v>497</v>
      </c>
      <c r="S5718" t="s">
        <v>399</v>
      </c>
      <c r="T5718" s="14">
        <v>1397.6106</v>
      </c>
    </row>
    <row r="5719" spans="17:20" x14ac:dyDescent="0.3">
      <c r="Q5719" s="93">
        <v>45833</v>
      </c>
      <c r="R5719" t="s">
        <v>498</v>
      </c>
      <c r="S5719" t="s">
        <v>399</v>
      </c>
      <c r="T5719" s="14">
        <v>6500</v>
      </c>
    </row>
    <row r="5720" spans="17:20" x14ac:dyDescent="0.3">
      <c r="Q5720" s="93">
        <v>45833</v>
      </c>
      <c r="R5720" t="s">
        <v>494</v>
      </c>
      <c r="S5720" t="s">
        <v>399</v>
      </c>
      <c r="T5720" s="14">
        <v>5750</v>
      </c>
    </row>
    <row r="5721" spans="17:20" x14ac:dyDescent="0.3">
      <c r="Q5721" s="93">
        <v>45833</v>
      </c>
      <c r="R5721" t="s">
        <v>495</v>
      </c>
      <c r="S5721" t="s">
        <v>399</v>
      </c>
      <c r="T5721" s="14">
        <v>0</v>
      </c>
    </row>
    <row r="5722" spans="17:20" x14ac:dyDescent="0.3">
      <c r="Q5722" s="93">
        <v>45833</v>
      </c>
      <c r="R5722" t="s">
        <v>493</v>
      </c>
      <c r="S5722" t="s">
        <v>399</v>
      </c>
      <c r="T5722" s="14">
        <v>0</v>
      </c>
    </row>
    <row r="5723" spans="17:20" x14ac:dyDescent="0.3">
      <c r="Q5723" s="93">
        <v>45833</v>
      </c>
      <c r="R5723" t="s">
        <v>593</v>
      </c>
      <c r="S5723" t="s">
        <v>399</v>
      </c>
      <c r="T5723" s="14">
        <v>3800</v>
      </c>
    </row>
    <row r="5724" spans="17:20" x14ac:dyDescent="0.3">
      <c r="Q5724" s="93">
        <v>45833</v>
      </c>
      <c r="R5724" t="s">
        <v>594</v>
      </c>
      <c r="S5724" t="s">
        <v>399</v>
      </c>
      <c r="T5724" s="14">
        <v>0</v>
      </c>
    </row>
    <row r="5725" spans="17:20" x14ac:dyDescent="0.3">
      <c r="Q5725" s="93">
        <v>45833</v>
      </c>
      <c r="R5725" t="s">
        <v>595</v>
      </c>
      <c r="S5725" t="s">
        <v>399</v>
      </c>
      <c r="T5725" s="14">
        <v>0</v>
      </c>
    </row>
    <row r="5726" spans="17:20" x14ac:dyDescent="0.3">
      <c r="Q5726" s="93">
        <v>45833</v>
      </c>
      <c r="R5726" t="s">
        <v>479</v>
      </c>
      <c r="S5726" t="s">
        <v>395</v>
      </c>
      <c r="T5726" s="14">
        <v>6546.7517950020001</v>
      </c>
    </row>
    <row r="5727" spans="17:20" x14ac:dyDescent="0.3">
      <c r="Q5727" s="93">
        <v>45833</v>
      </c>
      <c r="R5727" t="s">
        <v>479</v>
      </c>
      <c r="S5727" t="s">
        <v>415</v>
      </c>
      <c r="T5727" s="14">
        <v>6.4560511729999996</v>
      </c>
    </row>
    <row r="5728" spans="17:20" x14ac:dyDescent="0.3">
      <c r="Q5728" s="93">
        <v>45833</v>
      </c>
      <c r="R5728" t="s">
        <v>364</v>
      </c>
      <c r="S5728" t="s">
        <v>415</v>
      </c>
      <c r="T5728" s="14">
        <v>5.5306462420000004</v>
      </c>
    </row>
    <row r="5729" spans="17:20" x14ac:dyDescent="0.3">
      <c r="Q5729" s="93">
        <v>45832</v>
      </c>
      <c r="R5729" t="s">
        <v>479</v>
      </c>
      <c r="S5729" t="s">
        <v>399</v>
      </c>
      <c r="T5729" s="14">
        <v>7897.6106</v>
      </c>
    </row>
    <row r="5730" spans="17:20" x14ac:dyDescent="0.3">
      <c r="Q5730" s="93">
        <v>45832</v>
      </c>
      <c r="R5730" t="s">
        <v>364</v>
      </c>
      <c r="S5730" t="s">
        <v>399</v>
      </c>
      <c r="T5730" s="14">
        <v>22994.4067</v>
      </c>
    </row>
    <row r="5731" spans="17:20" x14ac:dyDescent="0.3">
      <c r="Q5731" s="93">
        <v>45832</v>
      </c>
      <c r="R5731" t="s">
        <v>491</v>
      </c>
      <c r="S5731" t="s">
        <v>399</v>
      </c>
      <c r="T5731" s="14">
        <v>6500</v>
      </c>
    </row>
    <row r="5732" spans="17:20" x14ac:dyDescent="0.3">
      <c r="Q5732" s="93">
        <v>45832</v>
      </c>
      <c r="R5732" t="s">
        <v>492</v>
      </c>
      <c r="S5732" t="s">
        <v>399</v>
      </c>
      <c r="T5732" s="14">
        <v>1397.6106</v>
      </c>
    </row>
    <row r="5733" spans="17:20" x14ac:dyDescent="0.3">
      <c r="Q5733" s="93">
        <v>45832</v>
      </c>
      <c r="R5733" t="s">
        <v>496</v>
      </c>
      <c r="S5733" t="s">
        <v>399</v>
      </c>
      <c r="T5733" s="14">
        <v>12234.4067</v>
      </c>
    </row>
    <row r="5734" spans="17:20" x14ac:dyDescent="0.3">
      <c r="Q5734" s="93">
        <v>45832</v>
      </c>
      <c r="R5734" t="s">
        <v>497</v>
      </c>
      <c r="S5734" t="s">
        <v>399</v>
      </c>
      <c r="T5734" s="14">
        <v>1397.6106</v>
      </c>
    </row>
    <row r="5735" spans="17:20" x14ac:dyDescent="0.3">
      <c r="Q5735" s="93">
        <v>45832</v>
      </c>
      <c r="R5735" t="s">
        <v>498</v>
      </c>
      <c r="S5735" t="s">
        <v>399</v>
      </c>
      <c r="T5735" s="14">
        <v>6500</v>
      </c>
    </row>
    <row r="5736" spans="17:20" x14ac:dyDescent="0.3">
      <c r="Q5736" s="93">
        <v>45832</v>
      </c>
      <c r="R5736" t="s">
        <v>494</v>
      </c>
      <c r="S5736" t="s">
        <v>399</v>
      </c>
      <c r="T5736" s="14">
        <v>6950</v>
      </c>
    </row>
    <row r="5737" spans="17:20" x14ac:dyDescent="0.3">
      <c r="Q5737" s="93">
        <v>45832</v>
      </c>
      <c r="R5737" t="s">
        <v>495</v>
      </c>
      <c r="S5737" t="s">
        <v>399</v>
      </c>
      <c r="T5737" s="14">
        <v>0</v>
      </c>
    </row>
    <row r="5738" spans="17:20" x14ac:dyDescent="0.3">
      <c r="Q5738" s="93">
        <v>45832</v>
      </c>
      <c r="R5738" t="s">
        <v>493</v>
      </c>
      <c r="S5738" t="s">
        <v>399</v>
      </c>
      <c r="T5738" s="14">
        <v>0</v>
      </c>
    </row>
    <row r="5739" spans="17:20" x14ac:dyDescent="0.3">
      <c r="Q5739" s="93">
        <v>45832</v>
      </c>
      <c r="R5739" t="s">
        <v>593</v>
      </c>
      <c r="S5739" t="s">
        <v>399</v>
      </c>
      <c r="T5739" s="14">
        <v>3810</v>
      </c>
    </row>
    <row r="5740" spans="17:20" x14ac:dyDescent="0.3">
      <c r="Q5740" s="93">
        <v>45832</v>
      </c>
      <c r="R5740" t="s">
        <v>594</v>
      </c>
      <c r="S5740" t="s">
        <v>399</v>
      </c>
      <c r="T5740" s="14">
        <v>0</v>
      </c>
    </row>
    <row r="5741" spans="17:20" x14ac:dyDescent="0.3">
      <c r="Q5741" s="93">
        <v>45832</v>
      </c>
      <c r="R5741" t="s">
        <v>595</v>
      </c>
      <c r="S5741" t="s">
        <v>399</v>
      </c>
      <c r="T5741" s="14">
        <v>0</v>
      </c>
    </row>
    <row r="5742" spans="17:20" x14ac:dyDescent="0.3">
      <c r="Q5742" s="93">
        <v>45832</v>
      </c>
      <c r="R5742" t="s">
        <v>479</v>
      </c>
      <c r="S5742" t="s">
        <v>395</v>
      </c>
      <c r="T5742" s="14">
        <v>6544.591088661</v>
      </c>
    </row>
    <row r="5743" spans="17:20" x14ac:dyDescent="0.3">
      <c r="Q5743" s="93">
        <v>45832</v>
      </c>
      <c r="R5743" t="s">
        <v>479</v>
      </c>
      <c r="S5743" t="s">
        <v>415</v>
      </c>
      <c r="T5743" s="14">
        <v>6.4560511729999996</v>
      </c>
    </row>
    <row r="5744" spans="17:20" x14ac:dyDescent="0.3">
      <c r="Q5744" s="93">
        <v>45832</v>
      </c>
      <c r="R5744" t="s">
        <v>364</v>
      </c>
      <c r="S5744" t="s">
        <v>415</v>
      </c>
      <c r="T5744" s="14">
        <v>5.5723885720000004</v>
      </c>
    </row>
    <row r="5745" spans="17:20" x14ac:dyDescent="0.3">
      <c r="Q5745" s="93">
        <v>45831</v>
      </c>
      <c r="R5745" t="s">
        <v>479</v>
      </c>
      <c r="S5745" t="s">
        <v>415</v>
      </c>
      <c r="T5745" s="14">
        <v>6.4560511729999996</v>
      </c>
    </row>
    <row r="5746" spans="17:20" x14ac:dyDescent="0.3">
      <c r="Q5746" s="93">
        <v>45831</v>
      </c>
      <c r="R5746" t="s">
        <v>364</v>
      </c>
      <c r="S5746" t="s">
        <v>415</v>
      </c>
      <c r="T5746" s="14">
        <v>5.5707393160000001</v>
      </c>
    </row>
    <row r="5747" spans="17:20" x14ac:dyDescent="0.3">
      <c r="Q5747" s="93">
        <v>45831</v>
      </c>
      <c r="R5747" t="s">
        <v>364</v>
      </c>
      <c r="S5747" t="s">
        <v>399</v>
      </c>
      <c r="T5747" s="14">
        <v>19374.4067</v>
      </c>
    </row>
    <row r="5748" spans="17:20" x14ac:dyDescent="0.3">
      <c r="Q5748" s="93">
        <v>45831</v>
      </c>
      <c r="R5748" t="s">
        <v>491</v>
      </c>
      <c r="S5748" t="s">
        <v>399</v>
      </c>
      <c r="T5748" s="14">
        <v>6500</v>
      </c>
    </row>
    <row r="5749" spans="17:20" x14ac:dyDescent="0.3">
      <c r="Q5749" s="93">
        <v>45831</v>
      </c>
      <c r="R5749" t="s">
        <v>492</v>
      </c>
      <c r="S5749" t="s">
        <v>399</v>
      </c>
      <c r="T5749" s="14">
        <v>1397.6106</v>
      </c>
    </row>
    <row r="5750" spans="17:20" x14ac:dyDescent="0.3">
      <c r="Q5750" s="93">
        <v>45831</v>
      </c>
      <c r="R5750" t="s">
        <v>496</v>
      </c>
      <c r="S5750" t="s">
        <v>399</v>
      </c>
      <c r="T5750" s="14">
        <v>10524.4067</v>
      </c>
    </row>
    <row r="5751" spans="17:20" x14ac:dyDescent="0.3">
      <c r="Q5751" s="93">
        <v>45831</v>
      </c>
      <c r="R5751" t="s">
        <v>497</v>
      </c>
      <c r="S5751" t="s">
        <v>399</v>
      </c>
      <c r="T5751" s="14">
        <v>1397.6106</v>
      </c>
    </row>
    <row r="5752" spans="17:20" x14ac:dyDescent="0.3">
      <c r="Q5752" s="93">
        <v>45831</v>
      </c>
      <c r="R5752" t="s">
        <v>498</v>
      </c>
      <c r="S5752" t="s">
        <v>399</v>
      </c>
      <c r="T5752" s="14">
        <v>6500</v>
      </c>
    </row>
    <row r="5753" spans="17:20" x14ac:dyDescent="0.3">
      <c r="Q5753" s="93">
        <v>45831</v>
      </c>
      <c r="R5753" t="s">
        <v>494</v>
      </c>
      <c r="S5753" t="s">
        <v>399</v>
      </c>
      <c r="T5753" s="14">
        <v>5850</v>
      </c>
    </row>
    <row r="5754" spans="17:20" x14ac:dyDescent="0.3">
      <c r="Q5754" s="93">
        <v>45831</v>
      </c>
      <c r="R5754" t="s">
        <v>495</v>
      </c>
      <c r="S5754" t="s">
        <v>399</v>
      </c>
      <c r="T5754" s="14">
        <v>0</v>
      </c>
    </row>
    <row r="5755" spans="17:20" x14ac:dyDescent="0.3">
      <c r="Q5755" s="93">
        <v>45831</v>
      </c>
      <c r="R5755" t="s">
        <v>493</v>
      </c>
      <c r="S5755" t="s">
        <v>399</v>
      </c>
      <c r="T5755" s="14">
        <v>0</v>
      </c>
    </row>
    <row r="5756" spans="17:20" x14ac:dyDescent="0.3">
      <c r="Q5756" s="93">
        <v>45831</v>
      </c>
      <c r="R5756" t="s">
        <v>593</v>
      </c>
      <c r="S5756" t="s">
        <v>399</v>
      </c>
      <c r="T5756" s="14">
        <v>3000</v>
      </c>
    </row>
    <row r="5757" spans="17:20" x14ac:dyDescent="0.3">
      <c r="Q5757" s="93">
        <v>45831</v>
      </c>
      <c r="R5757" t="s">
        <v>594</v>
      </c>
      <c r="S5757" t="s">
        <v>399</v>
      </c>
      <c r="T5757" s="14">
        <v>0</v>
      </c>
    </row>
    <row r="5758" spans="17:20" x14ac:dyDescent="0.3">
      <c r="Q5758" s="93">
        <v>45831</v>
      </c>
      <c r="R5758" t="s">
        <v>595</v>
      </c>
      <c r="S5758" t="s">
        <v>399</v>
      </c>
      <c r="T5758" s="14">
        <v>0</v>
      </c>
    </row>
    <row r="5759" spans="17:20" x14ac:dyDescent="0.3">
      <c r="Q5759" s="93">
        <v>45831</v>
      </c>
      <c r="R5759" t="s">
        <v>479</v>
      </c>
      <c r="S5759" t="s">
        <v>395</v>
      </c>
      <c r="T5759" s="14">
        <v>6552.7845588359996</v>
      </c>
    </row>
    <row r="5760" spans="17:20" x14ac:dyDescent="0.3">
      <c r="Q5760" s="93">
        <v>45831</v>
      </c>
      <c r="R5760" t="s">
        <v>479</v>
      </c>
      <c r="S5760" t="s">
        <v>399</v>
      </c>
      <c r="T5760" s="14">
        <v>7897.6106</v>
      </c>
    </row>
    <row r="5761" spans="17:20" x14ac:dyDescent="0.3">
      <c r="Q5761" s="93">
        <v>45828</v>
      </c>
      <c r="R5761" t="s">
        <v>479</v>
      </c>
      <c r="S5761" t="s">
        <v>399</v>
      </c>
      <c r="T5761" s="14">
        <v>7897.6106</v>
      </c>
    </row>
    <row r="5762" spans="17:20" x14ac:dyDescent="0.3">
      <c r="Q5762" s="93">
        <v>45828</v>
      </c>
      <c r="R5762" t="s">
        <v>364</v>
      </c>
      <c r="S5762" t="s">
        <v>399</v>
      </c>
      <c r="T5762" s="14">
        <v>16384.4067</v>
      </c>
    </row>
    <row r="5763" spans="17:20" x14ac:dyDescent="0.3">
      <c r="Q5763" s="93">
        <v>45828</v>
      </c>
      <c r="R5763" t="s">
        <v>491</v>
      </c>
      <c r="S5763" t="s">
        <v>399</v>
      </c>
      <c r="T5763" s="14">
        <v>6500</v>
      </c>
    </row>
    <row r="5764" spans="17:20" x14ac:dyDescent="0.3">
      <c r="Q5764" s="93">
        <v>45828</v>
      </c>
      <c r="R5764" t="s">
        <v>492</v>
      </c>
      <c r="S5764" t="s">
        <v>399</v>
      </c>
      <c r="T5764" s="14">
        <v>1397.6106</v>
      </c>
    </row>
    <row r="5765" spans="17:20" x14ac:dyDescent="0.3">
      <c r="Q5765" s="93">
        <v>45828</v>
      </c>
      <c r="R5765" t="s">
        <v>496</v>
      </c>
      <c r="S5765" t="s">
        <v>399</v>
      </c>
      <c r="T5765" s="14">
        <v>8534.4066999999995</v>
      </c>
    </row>
    <row r="5766" spans="17:20" x14ac:dyDescent="0.3">
      <c r="Q5766" s="93">
        <v>45828</v>
      </c>
      <c r="R5766" t="s">
        <v>497</v>
      </c>
      <c r="S5766" t="s">
        <v>399</v>
      </c>
      <c r="T5766" s="14">
        <v>1397.6106</v>
      </c>
    </row>
    <row r="5767" spans="17:20" x14ac:dyDescent="0.3">
      <c r="Q5767" s="93">
        <v>45828</v>
      </c>
      <c r="R5767" t="s">
        <v>498</v>
      </c>
      <c r="S5767" t="s">
        <v>399</v>
      </c>
      <c r="T5767" s="14">
        <v>6500</v>
      </c>
    </row>
    <row r="5768" spans="17:20" x14ac:dyDescent="0.3">
      <c r="Q5768" s="93">
        <v>45828</v>
      </c>
      <c r="R5768" t="s">
        <v>494</v>
      </c>
      <c r="S5768" t="s">
        <v>399</v>
      </c>
      <c r="T5768" s="14">
        <v>4850</v>
      </c>
    </row>
    <row r="5769" spans="17:20" x14ac:dyDescent="0.3">
      <c r="Q5769" s="93">
        <v>45828</v>
      </c>
      <c r="R5769" t="s">
        <v>495</v>
      </c>
      <c r="S5769" t="s">
        <v>399</v>
      </c>
      <c r="T5769" s="14">
        <v>0</v>
      </c>
    </row>
    <row r="5770" spans="17:20" x14ac:dyDescent="0.3">
      <c r="Q5770" s="93">
        <v>45828</v>
      </c>
      <c r="R5770" t="s">
        <v>493</v>
      </c>
      <c r="S5770" t="s">
        <v>399</v>
      </c>
      <c r="T5770" s="14">
        <v>0</v>
      </c>
    </row>
    <row r="5771" spans="17:20" x14ac:dyDescent="0.3">
      <c r="Q5771" s="93">
        <v>45828</v>
      </c>
      <c r="R5771" t="s">
        <v>593</v>
      </c>
      <c r="S5771" t="s">
        <v>399</v>
      </c>
      <c r="T5771" s="14">
        <v>3000</v>
      </c>
    </row>
    <row r="5772" spans="17:20" x14ac:dyDescent="0.3">
      <c r="Q5772" s="93">
        <v>45828</v>
      </c>
      <c r="R5772" t="s">
        <v>594</v>
      </c>
      <c r="S5772" t="s">
        <v>399</v>
      </c>
      <c r="T5772" s="14">
        <v>0</v>
      </c>
    </row>
    <row r="5773" spans="17:20" x14ac:dyDescent="0.3">
      <c r="Q5773" s="93">
        <v>45828</v>
      </c>
      <c r="R5773" t="s">
        <v>595</v>
      </c>
      <c r="S5773" t="s">
        <v>399</v>
      </c>
      <c r="T5773" s="14">
        <v>0</v>
      </c>
    </row>
    <row r="5774" spans="17:20" x14ac:dyDescent="0.3">
      <c r="Q5774" s="93">
        <v>45828</v>
      </c>
      <c r="R5774" t="s">
        <v>479</v>
      </c>
      <c r="S5774" t="s">
        <v>395</v>
      </c>
      <c r="T5774" s="14">
        <v>6553.2830586440004</v>
      </c>
    </row>
    <row r="5775" spans="17:20" x14ac:dyDescent="0.3">
      <c r="Q5775" s="93">
        <v>45828</v>
      </c>
      <c r="R5775" t="s">
        <v>479</v>
      </c>
      <c r="S5775" t="s">
        <v>415</v>
      </c>
      <c r="T5775" s="14">
        <v>6.4560511729999996</v>
      </c>
    </row>
    <row r="5776" spans="17:20" x14ac:dyDescent="0.3">
      <c r="Q5776" s="93">
        <v>45828</v>
      </c>
      <c r="R5776" t="s">
        <v>364</v>
      </c>
      <c r="S5776" t="s">
        <v>415</v>
      </c>
      <c r="T5776" s="14">
        <v>5.5156570990000002</v>
      </c>
    </row>
    <row r="5777" spans="17:20" x14ac:dyDescent="0.3">
      <c r="Q5777" s="93">
        <v>45827</v>
      </c>
      <c r="R5777" t="s">
        <v>364</v>
      </c>
      <c r="S5777" t="s">
        <v>399</v>
      </c>
      <c r="T5777" s="14">
        <v>11384.4067</v>
      </c>
    </row>
    <row r="5778" spans="17:20" x14ac:dyDescent="0.3">
      <c r="Q5778" s="93">
        <v>45827</v>
      </c>
      <c r="R5778" t="s">
        <v>491</v>
      </c>
      <c r="S5778" t="s">
        <v>399</v>
      </c>
      <c r="T5778" s="14">
        <v>6500</v>
      </c>
    </row>
    <row r="5779" spans="17:20" x14ac:dyDescent="0.3">
      <c r="Q5779" s="93">
        <v>45827</v>
      </c>
      <c r="R5779" t="s">
        <v>492</v>
      </c>
      <c r="S5779" t="s">
        <v>399</v>
      </c>
      <c r="T5779" s="14">
        <v>1397.6106</v>
      </c>
    </row>
    <row r="5780" spans="17:20" x14ac:dyDescent="0.3">
      <c r="Q5780" s="93">
        <v>45827</v>
      </c>
      <c r="R5780" t="s">
        <v>496</v>
      </c>
      <c r="S5780" t="s">
        <v>399</v>
      </c>
      <c r="T5780" s="14">
        <v>8534.4066999999995</v>
      </c>
    </row>
    <row r="5781" spans="17:20" x14ac:dyDescent="0.3">
      <c r="Q5781" s="93">
        <v>45827</v>
      </c>
      <c r="R5781" t="s">
        <v>497</v>
      </c>
      <c r="S5781" t="s">
        <v>399</v>
      </c>
      <c r="T5781" s="14">
        <v>1397.6106</v>
      </c>
    </row>
    <row r="5782" spans="17:20" x14ac:dyDescent="0.3">
      <c r="Q5782" s="93">
        <v>45827</v>
      </c>
      <c r="R5782" t="s">
        <v>498</v>
      </c>
      <c r="S5782" t="s">
        <v>399</v>
      </c>
      <c r="T5782" s="14">
        <v>7000</v>
      </c>
    </row>
    <row r="5783" spans="17:20" x14ac:dyDescent="0.3">
      <c r="Q5783" s="93">
        <v>45827</v>
      </c>
      <c r="R5783" t="s">
        <v>494</v>
      </c>
      <c r="S5783" t="s">
        <v>399</v>
      </c>
      <c r="T5783" s="14">
        <v>2850</v>
      </c>
    </row>
    <row r="5784" spans="17:20" x14ac:dyDescent="0.3">
      <c r="Q5784" s="93">
        <v>45827</v>
      </c>
      <c r="R5784" t="s">
        <v>495</v>
      </c>
      <c r="S5784" t="s">
        <v>399</v>
      </c>
      <c r="T5784" s="14">
        <v>0</v>
      </c>
    </row>
    <row r="5785" spans="17:20" x14ac:dyDescent="0.3">
      <c r="Q5785" s="93">
        <v>45827</v>
      </c>
      <c r="R5785" t="s">
        <v>493</v>
      </c>
      <c r="S5785" t="s">
        <v>399</v>
      </c>
      <c r="T5785" s="14">
        <v>0</v>
      </c>
    </row>
    <row r="5786" spans="17:20" x14ac:dyDescent="0.3">
      <c r="Q5786" s="93">
        <v>45827</v>
      </c>
      <c r="R5786" t="s">
        <v>593</v>
      </c>
      <c r="S5786" t="s">
        <v>399</v>
      </c>
      <c r="T5786" s="14">
        <v>0</v>
      </c>
    </row>
    <row r="5787" spans="17:20" x14ac:dyDescent="0.3">
      <c r="Q5787" s="93">
        <v>45827</v>
      </c>
      <c r="R5787" t="s">
        <v>594</v>
      </c>
      <c r="S5787" t="s">
        <v>399</v>
      </c>
      <c r="T5787" s="14">
        <v>0</v>
      </c>
    </row>
    <row r="5788" spans="17:20" x14ac:dyDescent="0.3">
      <c r="Q5788" s="93">
        <v>45827</v>
      </c>
      <c r="R5788" t="s">
        <v>595</v>
      </c>
      <c r="S5788" t="s">
        <v>399</v>
      </c>
      <c r="T5788" s="14">
        <v>-500</v>
      </c>
    </row>
    <row r="5789" spans="17:20" x14ac:dyDescent="0.3">
      <c r="Q5789" s="93">
        <v>45827</v>
      </c>
      <c r="R5789" t="s">
        <v>479</v>
      </c>
      <c r="S5789" t="s">
        <v>395</v>
      </c>
      <c r="T5789" s="14">
        <v>6556.2736844139999</v>
      </c>
    </row>
    <row r="5790" spans="17:20" x14ac:dyDescent="0.3">
      <c r="Q5790" s="93">
        <v>45827</v>
      </c>
      <c r="R5790" t="s">
        <v>479</v>
      </c>
      <c r="S5790" t="s">
        <v>415</v>
      </c>
      <c r="T5790" s="14">
        <v>6.4560511729999996</v>
      </c>
    </row>
    <row r="5791" spans="17:20" x14ac:dyDescent="0.3">
      <c r="Q5791" s="93">
        <v>45827</v>
      </c>
      <c r="R5791" t="s">
        <v>364</v>
      </c>
      <c r="S5791" t="s">
        <v>415</v>
      </c>
      <c r="T5791" s="14">
        <v>5.6014134770000004</v>
      </c>
    </row>
    <row r="5792" spans="17:20" x14ac:dyDescent="0.3">
      <c r="Q5792" s="93">
        <v>45827</v>
      </c>
      <c r="R5792" t="s">
        <v>479</v>
      </c>
      <c r="S5792" t="s">
        <v>399</v>
      </c>
      <c r="T5792" s="14">
        <v>7897.6106</v>
      </c>
    </row>
    <row r="5793" spans="17:20" x14ac:dyDescent="0.3">
      <c r="Q5793" s="93">
        <v>45826</v>
      </c>
      <c r="R5793" t="s">
        <v>479</v>
      </c>
      <c r="S5793" t="s">
        <v>399</v>
      </c>
      <c r="T5793" s="14">
        <v>7897.6106</v>
      </c>
    </row>
    <row r="5794" spans="17:20" x14ac:dyDescent="0.3">
      <c r="Q5794" s="93">
        <v>45826</v>
      </c>
      <c r="R5794" t="s">
        <v>364</v>
      </c>
      <c r="S5794" t="s">
        <v>399</v>
      </c>
      <c r="T5794" s="14">
        <v>10884.4067</v>
      </c>
    </row>
    <row r="5795" spans="17:20" x14ac:dyDescent="0.3">
      <c r="Q5795" s="93">
        <v>45826</v>
      </c>
      <c r="R5795" t="s">
        <v>491</v>
      </c>
      <c r="S5795" t="s">
        <v>399</v>
      </c>
      <c r="T5795" s="14">
        <v>6500</v>
      </c>
    </row>
    <row r="5796" spans="17:20" x14ac:dyDescent="0.3">
      <c r="Q5796" s="93">
        <v>45826</v>
      </c>
      <c r="R5796" t="s">
        <v>492</v>
      </c>
      <c r="S5796" t="s">
        <v>399</v>
      </c>
      <c r="T5796" s="14">
        <v>1397.6106</v>
      </c>
    </row>
    <row r="5797" spans="17:20" x14ac:dyDescent="0.3">
      <c r="Q5797" s="93">
        <v>45826</v>
      </c>
      <c r="R5797" t="s">
        <v>496</v>
      </c>
      <c r="S5797" t="s">
        <v>399</v>
      </c>
      <c r="T5797" s="14">
        <v>9634.4066999999995</v>
      </c>
    </row>
    <row r="5798" spans="17:20" x14ac:dyDescent="0.3">
      <c r="Q5798" s="93">
        <v>45826</v>
      </c>
      <c r="R5798" t="s">
        <v>497</v>
      </c>
      <c r="S5798" t="s">
        <v>399</v>
      </c>
      <c r="T5798" s="14">
        <v>1397.6106</v>
      </c>
    </row>
    <row r="5799" spans="17:20" x14ac:dyDescent="0.3">
      <c r="Q5799" s="93">
        <v>45826</v>
      </c>
      <c r="R5799" t="s">
        <v>498</v>
      </c>
      <c r="S5799" t="s">
        <v>399</v>
      </c>
      <c r="T5799" s="14">
        <v>7000</v>
      </c>
    </row>
    <row r="5800" spans="17:20" x14ac:dyDescent="0.3">
      <c r="Q5800" s="93">
        <v>45826</v>
      </c>
      <c r="R5800" t="s">
        <v>494</v>
      </c>
      <c r="S5800" t="s">
        <v>399</v>
      </c>
      <c r="T5800" s="14">
        <v>1250</v>
      </c>
    </row>
    <row r="5801" spans="17:20" x14ac:dyDescent="0.3">
      <c r="Q5801" s="93">
        <v>45826</v>
      </c>
      <c r="R5801" t="s">
        <v>495</v>
      </c>
      <c r="S5801" t="s">
        <v>399</v>
      </c>
      <c r="T5801" s="14">
        <v>0</v>
      </c>
    </row>
    <row r="5802" spans="17:20" x14ac:dyDescent="0.3">
      <c r="Q5802" s="93">
        <v>45826</v>
      </c>
      <c r="R5802" t="s">
        <v>493</v>
      </c>
      <c r="S5802" t="s">
        <v>399</v>
      </c>
      <c r="T5802" s="14">
        <v>0</v>
      </c>
    </row>
    <row r="5803" spans="17:20" x14ac:dyDescent="0.3">
      <c r="Q5803" s="93">
        <v>45826</v>
      </c>
      <c r="R5803" t="s">
        <v>593</v>
      </c>
      <c r="S5803" t="s">
        <v>399</v>
      </c>
      <c r="T5803" s="14">
        <v>0</v>
      </c>
    </row>
    <row r="5804" spans="17:20" x14ac:dyDescent="0.3">
      <c r="Q5804" s="93">
        <v>45826</v>
      </c>
      <c r="R5804" t="s">
        <v>594</v>
      </c>
      <c r="S5804" t="s">
        <v>399</v>
      </c>
      <c r="T5804" s="14">
        <v>0</v>
      </c>
    </row>
    <row r="5805" spans="17:20" x14ac:dyDescent="0.3">
      <c r="Q5805" s="93">
        <v>45826</v>
      </c>
      <c r="R5805" t="s">
        <v>595</v>
      </c>
      <c r="S5805" t="s">
        <v>399</v>
      </c>
      <c r="T5805" s="14">
        <v>-500</v>
      </c>
    </row>
    <row r="5806" spans="17:20" x14ac:dyDescent="0.3">
      <c r="Q5806" s="93">
        <v>45826</v>
      </c>
      <c r="R5806" t="s">
        <v>479</v>
      </c>
      <c r="S5806" t="s">
        <v>395</v>
      </c>
      <c r="T5806" s="14">
        <v>6557.6723426580002</v>
      </c>
    </row>
    <row r="5807" spans="17:20" x14ac:dyDescent="0.3">
      <c r="Q5807" s="93">
        <v>45826</v>
      </c>
      <c r="R5807" t="s">
        <v>479</v>
      </c>
      <c r="S5807" t="s">
        <v>415</v>
      </c>
      <c r="T5807" s="14">
        <v>6.4560511729999996</v>
      </c>
    </row>
    <row r="5808" spans="17:20" x14ac:dyDescent="0.3">
      <c r="Q5808" s="93">
        <v>45826</v>
      </c>
      <c r="R5808" t="s">
        <v>364</v>
      </c>
      <c r="S5808" t="s">
        <v>415</v>
      </c>
      <c r="T5808" s="14">
        <v>5.5858597349999997</v>
      </c>
    </row>
    <row r="5809" spans="17:20" x14ac:dyDescent="0.3">
      <c r="Q5809" s="93">
        <v>45825</v>
      </c>
      <c r="R5809" t="s">
        <v>479</v>
      </c>
      <c r="S5809" t="s">
        <v>399</v>
      </c>
      <c r="T5809" s="14">
        <v>8397.6106</v>
      </c>
    </row>
    <row r="5810" spans="17:20" x14ac:dyDescent="0.3">
      <c r="Q5810" s="93">
        <v>45825</v>
      </c>
      <c r="R5810" t="s">
        <v>364</v>
      </c>
      <c r="S5810" t="s">
        <v>399</v>
      </c>
      <c r="T5810" s="14">
        <v>10884.4067</v>
      </c>
    </row>
    <row r="5811" spans="17:20" x14ac:dyDescent="0.3">
      <c r="Q5811" s="93">
        <v>45825</v>
      </c>
      <c r="R5811" t="s">
        <v>491</v>
      </c>
      <c r="S5811" t="s">
        <v>399</v>
      </c>
      <c r="T5811" s="14">
        <v>7000</v>
      </c>
    </row>
    <row r="5812" spans="17:20" x14ac:dyDescent="0.3">
      <c r="Q5812" s="93">
        <v>45825</v>
      </c>
      <c r="R5812" t="s">
        <v>492</v>
      </c>
      <c r="S5812" t="s">
        <v>399</v>
      </c>
      <c r="T5812" s="14">
        <v>1397.6106</v>
      </c>
    </row>
    <row r="5813" spans="17:20" x14ac:dyDescent="0.3">
      <c r="Q5813" s="93">
        <v>45825</v>
      </c>
      <c r="R5813" t="s">
        <v>496</v>
      </c>
      <c r="S5813" t="s">
        <v>399</v>
      </c>
      <c r="T5813" s="14">
        <v>9834.4066999999995</v>
      </c>
    </row>
    <row r="5814" spans="17:20" x14ac:dyDescent="0.3">
      <c r="Q5814" s="93">
        <v>45825</v>
      </c>
      <c r="R5814" t="s">
        <v>497</v>
      </c>
      <c r="S5814" t="s">
        <v>399</v>
      </c>
      <c r="T5814" s="14">
        <v>1397.6106</v>
      </c>
    </row>
    <row r="5815" spans="17:20" x14ac:dyDescent="0.3">
      <c r="Q5815" s="93">
        <v>45825</v>
      </c>
      <c r="R5815" t="s">
        <v>498</v>
      </c>
      <c r="S5815" t="s">
        <v>399</v>
      </c>
      <c r="T5815" s="14">
        <v>7000</v>
      </c>
    </row>
    <row r="5816" spans="17:20" x14ac:dyDescent="0.3">
      <c r="Q5816" s="93">
        <v>45825</v>
      </c>
      <c r="R5816" t="s">
        <v>494</v>
      </c>
      <c r="S5816" t="s">
        <v>399</v>
      </c>
      <c r="T5816" s="14">
        <v>2850</v>
      </c>
    </row>
    <row r="5817" spans="17:20" x14ac:dyDescent="0.3">
      <c r="Q5817" s="93">
        <v>45825</v>
      </c>
      <c r="R5817" t="s">
        <v>495</v>
      </c>
      <c r="S5817" t="s">
        <v>399</v>
      </c>
      <c r="T5817" s="14">
        <v>0</v>
      </c>
    </row>
    <row r="5818" spans="17:20" x14ac:dyDescent="0.3">
      <c r="Q5818" s="93">
        <v>45825</v>
      </c>
      <c r="R5818" t="s">
        <v>493</v>
      </c>
      <c r="S5818" t="s">
        <v>399</v>
      </c>
      <c r="T5818" s="14">
        <v>0</v>
      </c>
    </row>
    <row r="5819" spans="17:20" x14ac:dyDescent="0.3">
      <c r="Q5819" s="93">
        <v>45825</v>
      </c>
      <c r="R5819" t="s">
        <v>593</v>
      </c>
      <c r="S5819" t="s">
        <v>399</v>
      </c>
      <c r="T5819" s="14">
        <v>-1800</v>
      </c>
    </row>
    <row r="5820" spans="17:20" x14ac:dyDescent="0.3">
      <c r="Q5820" s="93">
        <v>45825</v>
      </c>
      <c r="R5820" t="s">
        <v>594</v>
      </c>
      <c r="S5820" t="s">
        <v>399</v>
      </c>
      <c r="T5820" s="14">
        <v>0</v>
      </c>
    </row>
    <row r="5821" spans="17:20" x14ac:dyDescent="0.3">
      <c r="Q5821" s="93">
        <v>45825</v>
      </c>
      <c r="R5821" t="s">
        <v>595</v>
      </c>
      <c r="S5821" t="s">
        <v>399</v>
      </c>
      <c r="T5821" s="14">
        <v>0</v>
      </c>
    </row>
    <row r="5822" spans="17:20" x14ac:dyDescent="0.3">
      <c r="Q5822" s="93">
        <v>45825</v>
      </c>
      <c r="R5822" t="s">
        <v>479</v>
      </c>
      <c r="S5822" t="s">
        <v>395</v>
      </c>
      <c r="T5822" s="14">
        <v>7098.1678685779998</v>
      </c>
    </row>
    <row r="5823" spans="17:20" x14ac:dyDescent="0.3">
      <c r="Q5823" s="93">
        <v>45825</v>
      </c>
      <c r="R5823" t="s">
        <v>479</v>
      </c>
      <c r="S5823" t="s">
        <v>415</v>
      </c>
      <c r="T5823" s="14">
        <v>6.4765301419999997</v>
      </c>
    </row>
    <row r="5824" spans="17:20" x14ac:dyDescent="0.3">
      <c r="Q5824" s="93">
        <v>45825</v>
      </c>
      <c r="R5824" t="s">
        <v>364</v>
      </c>
      <c r="S5824" t="s">
        <v>415</v>
      </c>
      <c r="T5824" s="14">
        <v>5.5858597349999997</v>
      </c>
    </row>
    <row r="5825" spans="17:20" x14ac:dyDescent="0.3">
      <c r="Q5825" s="93">
        <v>45824</v>
      </c>
      <c r="R5825" t="s">
        <v>479</v>
      </c>
      <c r="S5825" t="s">
        <v>399</v>
      </c>
      <c r="T5825" s="14">
        <v>8397.6106</v>
      </c>
    </row>
    <row r="5826" spans="17:20" x14ac:dyDescent="0.3">
      <c r="Q5826" s="93">
        <v>45824</v>
      </c>
      <c r="R5826" t="s">
        <v>364</v>
      </c>
      <c r="S5826" t="s">
        <v>399</v>
      </c>
      <c r="T5826" s="14">
        <v>11984.4067</v>
      </c>
    </row>
    <row r="5827" spans="17:20" x14ac:dyDescent="0.3">
      <c r="Q5827" s="93">
        <v>45824</v>
      </c>
      <c r="R5827" t="s">
        <v>491</v>
      </c>
      <c r="S5827" t="s">
        <v>399</v>
      </c>
      <c r="T5827" s="14">
        <v>7000</v>
      </c>
    </row>
    <row r="5828" spans="17:20" x14ac:dyDescent="0.3">
      <c r="Q5828" s="93">
        <v>45824</v>
      </c>
      <c r="R5828" t="s">
        <v>492</v>
      </c>
      <c r="S5828" t="s">
        <v>399</v>
      </c>
      <c r="T5828" s="14">
        <v>1397.6106</v>
      </c>
    </row>
    <row r="5829" spans="17:20" x14ac:dyDescent="0.3">
      <c r="Q5829" s="93">
        <v>45824</v>
      </c>
      <c r="R5829" t="s">
        <v>496</v>
      </c>
      <c r="S5829" t="s">
        <v>399</v>
      </c>
      <c r="T5829" s="14">
        <v>12284.4067</v>
      </c>
    </row>
    <row r="5830" spans="17:20" x14ac:dyDescent="0.3">
      <c r="Q5830" s="93">
        <v>45824</v>
      </c>
      <c r="R5830" t="s">
        <v>497</v>
      </c>
      <c r="S5830" t="s">
        <v>399</v>
      </c>
      <c r="T5830" s="14">
        <v>1397.6106</v>
      </c>
    </row>
    <row r="5831" spans="17:20" x14ac:dyDescent="0.3">
      <c r="Q5831" s="93">
        <v>45824</v>
      </c>
      <c r="R5831" t="s">
        <v>498</v>
      </c>
      <c r="S5831" t="s">
        <v>399</v>
      </c>
      <c r="T5831" s="14">
        <v>7000</v>
      </c>
    </row>
    <row r="5832" spans="17:20" x14ac:dyDescent="0.3">
      <c r="Q5832" s="93">
        <v>45824</v>
      </c>
      <c r="R5832" t="s">
        <v>494</v>
      </c>
      <c r="S5832" t="s">
        <v>399</v>
      </c>
      <c r="T5832" s="14">
        <v>850</v>
      </c>
    </row>
    <row r="5833" spans="17:20" x14ac:dyDescent="0.3">
      <c r="Q5833" s="93">
        <v>45824</v>
      </c>
      <c r="R5833" t="s">
        <v>495</v>
      </c>
      <c r="S5833" t="s">
        <v>399</v>
      </c>
      <c r="T5833" s="14">
        <v>0</v>
      </c>
    </row>
    <row r="5834" spans="17:20" x14ac:dyDescent="0.3">
      <c r="Q5834" s="93">
        <v>45824</v>
      </c>
      <c r="R5834" t="s">
        <v>493</v>
      </c>
      <c r="S5834" t="s">
        <v>399</v>
      </c>
      <c r="T5834" s="14">
        <v>0</v>
      </c>
    </row>
    <row r="5835" spans="17:20" x14ac:dyDescent="0.3">
      <c r="Q5835" s="93">
        <v>45824</v>
      </c>
      <c r="R5835" t="s">
        <v>593</v>
      </c>
      <c r="S5835" t="s">
        <v>399</v>
      </c>
      <c r="T5835" s="14">
        <v>-1150</v>
      </c>
    </row>
    <row r="5836" spans="17:20" x14ac:dyDescent="0.3">
      <c r="Q5836" s="93">
        <v>45824</v>
      </c>
      <c r="R5836" t="s">
        <v>594</v>
      </c>
      <c r="S5836" t="s">
        <v>399</v>
      </c>
      <c r="T5836" s="14">
        <v>0</v>
      </c>
    </row>
    <row r="5837" spans="17:20" x14ac:dyDescent="0.3">
      <c r="Q5837" s="93">
        <v>45824</v>
      </c>
      <c r="R5837" t="s">
        <v>595</v>
      </c>
      <c r="S5837" t="s">
        <v>399</v>
      </c>
      <c r="T5837" s="14">
        <v>0</v>
      </c>
    </row>
    <row r="5838" spans="17:20" x14ac:dyDescent="0.3">
      <c r="Q5838" s="93">
        <v>45824</v>
      </c>
      <c r="R5838" t="s">
        <v>479</v>
      </c>
      <c r="S5838" t="s">
        <v>395</v>
      </c>
      <c r="T5838" s="14">
        <v>7099.5373183089996</v>
      </c>
    </row>
    <row r="5839" spans="17:20" x14ac:dyDescent="0.3">
      <c r="Q5839" s="93">
        <v>45824</v>
      </c>
      <c r="R5839" t="s">
        <v>479</v>
      </c>
      <c r="S5839" t="s">
        <v>415</v>
      </c>
      <c r="T5839" s="14">
        <v>6.4765301419999997</v>
      </c>
    </row>
    <row r="5840" spans="17:20" x14ac:dyDescent="0.3">
      <c r="Q5840" s="93">
        <v>45824</v>
      </c>
      <c r="R5840" t="s">
        <v>364</v>
      </c>
      <c r="S5840" t="s">
        <v>415</v>
      </c>
      <c r="T5840" s="14">
        <v>5.6180310640000002</v>
      </c>
    </row>
    <row r="5841" spans="17:20" x14ac:dyDescent="0.3">
      <c r="Q5841" s="93">
        <v>45821</v>
      </c>
      <c r="R5841" t="s">
        <v>479</v>
      </c>
      <c r="S5841" t="s">
        <v>399</v>
      </c>
      <c r="T5841" s="14">
        <v>8397.6106</v>
      </c>
    </row>
    <row r="5842" spans="17:20" x14ac:dyDescent="0.3">
      <c r="Q5842" s="93">
        <v>45821</v>
      </c>
      <c r="R5842" t="s">
        <v>364</v>
      </c>
      <c r="S5842" t="s">
        <v>399</v>
      </c>
      <c r="T5842" s="14">
        <v>11984.4067</v>
      </c>
    </row>
    <row r="5843" spans="17:20" x14ac:dyDescent="0.3">
      <c r="Q5843" s="93">
        <v>45821</v>
      </c>
      <c r="R5843" t="s">
        <v>491</v>
      </c>
      <c r="S5843" t="s">
        <v>399</v>
      </c>
      <c r="T5843" s="14">
        <v>7000</v>
      </c>
    </row>
    <row r="5844" spans="17:20" x14ac:dyDescent="0.3">
      <c r="Q5844" s="93">
        <v>45821</v>
      </c>
      <c r="R5844" t="s">
        <v>492</v>
      </c>
      <c r="S5844" t="s">
        <v>399</v>
      </c>
      <c r="T5844" s="14">
        <v>1397.6106</v>
      </c>
    </row>
    <row r="5845" spans="17:20" x14ac:dyDescent="0.3">
      <c r="Q5845" s="93">
        <v>45821</v>
      </c>
      <c r="R5845" t="s">
        <v>496</v>
      </c>
      <c r="S5845" t="s">
        <v>399</v>
      </c>
      <c r="T5845" s="14">
        <v>13270</v>
      </c>
    </row>
    <row r="5846" spans="17:20" x14ac:dyDescent="0.3">
      <c r="Q5846" s="93">
        <v>45821</v>
      </c>
      <c r="R5846" t="s">
        <v>497</v>
      </c>
      <c r="S5846" t="s">
        <v>399</v>
      </c>
      <c r="T5846" s="14">
        <v>1397.6106</v>
      </c>
    </row>
    <row r="5847" spans="17:20" x14ac:dyDescent="0.3">
      <c r="Q5847" s="93">
        <v>45821</v>
      </c>
      <c r="R5847" t="s">
        <v>498</v>
      </c>
      <c r="S5847" t="s">
        <v>399</v>
      </c>
      <c r="T5847" s="14">
        <v>6000</v>
      </c>
    </row>
    <row r="5848" spans="17:20" x14ac:dyDescent="0.3">
      <c r="Q5848" s="93">
        <v>45821</v>
      </c>
      <c r="R5848" t="s">
        <v>494</v>
      </c>
      <c r="S5848" t="s">
        <v>399</v>
      </c>
      <c r="T5848" s="14">
        <v>850</v>
      </c>
    </row>
    <row r="5849" spans="17:20" x14ac:dyDescent="0.3">
      <c r="Q5849" s="93">
        <v>45821</v>
      </c>
      <c r="R5849" t="s">
        <v>495</v>
      </c>
      <c r="S5849" t="s">
        <v>399</v>
      </c>
      <c r="T5849" s="14">
        <v>0</v>
      </c>
    </row>
    <row r="5850" spans="17:20" x14ac:dyDescent="0.3">
      <c r="Q5850" s="93">
        <v>45821</v>
      </c>
      <c r="R5850" t="s">
        <v>493</v>
      </c>
      <c r="S5850" t="s">
        <v>399</v>
      </c>
      <c r="T5850" s="14">
        <v>0</v>
      </c>
    </row>
    <row r="5851" spans="17:20" x14ac:dyDescent="0.3">
      <c r="Q5851" s="93">
        <v>45821</v>
      </c>
      <c r="R5851" t="s">
        <v>593</v>
      </c>
      <c r="S5851" t="s">
        <v>399</v>
      </c>
      <c r="T5851" s="14">
        <v>-2135.5933</v>
      </c>
    </row>
    <row r="5852" spans="17:20" x14ac:dyDescent="0.3">
      <c r="Q5852" s="93">
        <v>45821</v>
      </c>
      <c r="R5852" t="s">
        <v>594</v>
      </c>
      <c r="S5852" t="s">
        <v>399</v>
      </c>
      <c r="T5852" s="14">
        <v>0</v>
      </c>
    </row>
    <row r="5853" spans="17:20" x14ac:dyDescent="0.3">
      <c r="Q5853" s="93">
        <v>45821</v>
      </c>
      <c r="R5853" t="s">
        <v>595</v>
      </c>
      <c r="S5853" t="s">
        <v>399</v>
      </c>
      <c r="T5853" s="14">
        <v>1000</v>
      </c>
    </row>
    <row r="5854" spans="17:20" x14ac:dyDescent="0.3">
      <c r="Q5854" s="93">
        <v>45821</v>
      </c>
      <c r="R5854" t="s">
        <v>479</v>
      </c>
      <c r="S5854" t="s">
        <v>395</v>
      </c>
      <c r="T5854" s="14">
        <v>7107.0081012379997</v>
      </c>
    </row>
    <row r="5855" spans="17:20" x14ac:dyDescent="0.3">
      <c r="Q5855" s="93">
        <v>45821</v>
      </c>
      <c r="R5855" t="s">
        <v>479</v>
      </c>
      <c r="S5855" t="s">
        <v>415</v>
      </c>
      <c r="T5855" s="14">
        <v>6.4765301419999997</v>
      </c>
    </row>
    <row r="5856" spans="17:20" x14ac:dyDescent="0.3">
      <c r="Q5856" s="93">
        <v>45821</v>
      </c>
      <c r="R5856" t="s">
        <v>364</v>
      </c>
      <c r="S5856" t="s">
        <v>415</v>
      </c>
      <c r="T5856" s="14">
        <v>5.6048472650000001</v>
      </c>
    </row>
    <row r="5857" spans="17:20" x14ac:dyDescent="0.3">
      <c r="Q5857" s="93">
        <v>45820</v>
      </c>
      <c r="R5857" t="s">
        <v>479</v>
      </c>
      <c r="S5857" t="s">
        <v>399</v>
      </c>
      <c r="T5857" s="14">
        <v>7397.6106</v>
      </c>
    </row>
    <row r="5858" spans="17:20" x14ac:dyDescent="0.3">
      <c r="Q5858" s="93">
        <v>45820</v>
      </c>
      <c r="R5858" t="s">
        <v>364</v>
      </c>
      <c r="S5858" t="s">
        <v>399</v>
      </c>
      <c r="T5858" s="14">
        <v>13328.6716</v>
      </c>
    </row>
    <row r="5859" spans="17:20" x14ac:dyDescent="0.3">
      <c r="Q5859" s="93">
        <v>45820</v>
      </c>
      <c r="R5859" t="s">
        <v>491</v>
      </c>
      <c r="S5859" t="s">
        <v>399</v>
      </c>
      <c r="T5859" s="14">
        <v>6000</v>
      </c>
    </row>
    <row r="5860" spans="17:20" x14ac:dyDescent="0.3">
      <c r="Q5860" s="93">
        <v>45820</v>
      </c>
      <c r="R5860" t="s">
        <v>492</v>
      </c>
      <c r="S5860" t="s">
        <v>399</v>
      </c>
      <c r="T5860" s="14">
        <v>1397.6106</v>
      </c>
    </row>
    <row r="5861" spans="17:20" x14ac:dyDescent="0.3">
      <c r="Q5861" s="93">
        <v>45820</v>
      </c>
      <c r="R5861" t="s">
        <v>496</v>
      </c>
      <c r="S5861" t="s">
        <v>399</v>
      </c>
      <c r="T5861" s="14">
        <v>12770</v>
      </c>
    </row>
    <row r="5862" spans="17:20" x14ac:dyDescent="0.3">
      <c r="Q5862" s="93">
        <v>45820</v>
      </c>
      <c r="R5862" t="s">
        <v>497</v>
      </c>
      <c r="S5862" t="s">
        <v>399</v>
      </c>
      <c r="T5862" s="14">
        <v>1397.6106</v>
      </c>
    </row>
    <row r="5863" spans="17:20" x14ac:dyDescent="0.3">
      <c r="Q5863" s="93">
        <v>45820</v>
      </c>
      <c r="R5863" t="s">
        <v>498</v>
      </c>
      <c r="S5863" t="s">
        <v>399</v>
      </c>
      <c r="T5863" s="14">
        <v>6000</v>
      </c>
    </row>
    <row r="5864" spans="17:20" x14ac:dyDescent="0.3">
      <c r="Q5864" s="93">
        <v>45820</v>
      </c>
      <c r="R5864" t="s">
        <v>494</v>
      </c>
      <c r="S5864" t="s">
        <v>399</v>
      </c>
      <c r="T5864" s="14">
        <v>2850</v>
      </c>
    </row>
    <row r="5865" spans="17:20" x14ac:dyDescent="0.3">
      <c r="Q5865" s="93">
        <v>45820</v>
      </c>
      <c r="R5865" t="s">
        <v>495</v>
      </c>
      <c r="S5865" t="s">
        <v>399</v>
      </c>
      <c r="T5865" s="14">
        <v>0</v>
      </c>
    </row>
    <row r="5866" spans="17:20" x14ac:dyDescent="0.3">
      <c r="Q5866" s="93">
        <v>45820</v>
      </c>
      <c r="R5866" t="s">
        <v>493</v>
      </c>
      <c r="S5866" t="s">
        <v>399</v>
      </c>
      <c r="T5866" s="14">
        <v>0</v>
      </c>
    </row>
    <row r="5867" spans="17:20" x14ac:dyDescent="0.3">
      <c r="Q5867" s="93">
        <v>45820</v>
      </c>
      <c r="R5867" t="s">
        <v>593</v>
      </c>
      <c r="S5867" t="s">
        <v>399</v>
      </c>
      <c r="T5867" s="14">
        <v>-2291.3283999999999</v>
      </c>
    </row>
    <row r="5868" spans="17:20" x14ac:dyDescent="0.3">
      <c r="Q5868" s="93">
        <v>45820</v>
      </c>
      <c r="R5868" t="s">
        <v>594</v>
      </c>
      <c r="S5868" t="s">
        <v>399</v>
      </c>
      <c r="T5868" s="14">
        <v>0</v>
      </c>
    </row>
    <row r="5869" spans="17:20" x14ac:dyDescent="0.3">
      <c r="Q5869" s="93">
        <v>45820</v>
      </c>
      <c r="R5869" t="s">
        <v>595</v>
      </c>
      <c r="S5869" t="s">
        <v>399</v>
      </c>
      <c r="T5869" s="14">
        <v>0</v>
      </c>
    </row>
    <row r="5870" spans="17:20" x14ac:dyDescent="0.3">
      <c r="Q5870" s="93">
        <v>45820</v>
      </c>
      <c r="R5870" t="s">
        <v>479</v>
      </c>
      <c r="S5870" t="s">
        <v>395</v>
      </c>
      <c r="T5870" s="14">
        <v>7109.2896864049999</v>
      </c>
    </row>
    <row r="5871" spans="17:20" x14ac:dyDescent="0.3">
      <c r="Q5871" s="93">
        <v>45820</v>
      </c>
      <c r="R5871" t="s">
        <v>479</v>
      </c>
      <c r="S5871" t="s">
        <v>415</v>
      </c>
      <c r="T5871" s="14">
        <v>6.5679826639999996</v>
      </c>
    </row>
    <row r="5872" spans="17:20" x14ac:dyDescent="0.3">
      <c r="Q5872" s="93">
        <v>45820</v>
      </c>
      <c r="R5872" t="s">
        <v>364</v>
      </c>
      <c r="S5872" t="s">
        <v>415</v>
      </c>
      <c r="T5872" s="14">
        <v>5.6429035069999998</v>
      </c>
    </row>
    <row r="5873" spans="17:20" x14ac:dyDescent="0.3">
      <c r="Q5873" s="93">
        <v>45819</v>
      </c>
      <c r="R5873" t="s">
        <v>479</v>
      </c>
      <c r="S5873" t="s">
        <v>399</v>
      </c>
      <c r="T5873" s="14">
        <v>7397.6106</v>
      </c>
    </row>
    <row r="5874" spans="17:20" x14ac:dyDescent="0.3">
      <c r="Q5874" s="93">
        <v>45819</v>
      </c>
      <c r="R5874" t="s">
        <v>364</v>
      </c>
      <c r="S5874" t="s">
        <v>399</v>
      </c>
      <c r="T5874" s="14">
        <v>12970</v>
      </c>
    </row>
    <row r="5875" spans="17:20" x14ac:dyDescent="0.3">
      <c r="Q5875" s="93">
        <v>45819</v>
      </c>
      <c r="R5875" t="s">
        <v>491</v>
      </c>
      <c r="S5875" t="s">
        <v>399</v>
      </c>
      <c r="T5875" s="14">
        <v>6000</v>
      </c>
    </row>
    <row r="5876" spans="17:20" x14ac:dyDescent="0.3">
      <c r="Q5876" s="93">
        <v>45819</v>
      </c>
      <c r="R5876" t="s">
        <v>492</v>
      </c>
      <c r="S5876" t="s">
        <v>399</v>
      </c>
      <c r="T5876" s="14">
        <v>1397.6106</v>
      </c>
    </row>
    <row r="5877" spans="17:20" x14ac:dyDescent="0.3">
      <c r="Q5877" s="93">
        <v>45819</v>
      </c>
      <c r="R5877" t="s">
        <v>496</v>
      </c>
      <c r="S5877" t="s">
        <v>399</v>
      </c>
      <c r="T5877" s="14">
        <v>12770</v>
      </c>
    </row>
    <row r="5878" spans="17:20" x14ac:dyDescent="0.3">
      <c r="Q5878" s="93">
        <v>45819</v>
      </c>
      <c r="R5878" t="s">
        <v>497</v>
      </c>
      <c r="S5878" t="s">
        <v>399</v>
      </c>
      <c r="T5878" s="14">
        <v>1397.6106</v>
      </c>
    </row>
    <row r="5879" spans="17:20" x14ac:dyDescent="0.3">
      <c r="Q5879" s="93">
        <v>45819</v>
      </c>
      <c r="R5879" t="s">
        <v>498</v>
      </c>
      <c r="S5879" t="s">
        <v>399</v>
      </c>
      <c r="T5879" s="14">
        <v>6000</v>
      </c>
    </row>
    <row r="5880" spans="17:20" x14ac:dyDescent="0.3">
      <c r="Q5880" s="93">
        <v>45819</v>
      </c>
      <c r="R5880" t="s">
        <v>494</v>
      </c>
      <c r="S5880" t="s">
        <v>399</v>
      </c>
      <c r="T5880" s="14">
        <v>1700</v>
      </c>
    </row>
    <row r="5881" spans="17:20" x14ac:dyDescent="0.3">
      <c r="Q5881" s="93">
        <v>45819</v>
      </c>
      <c r="R5881" t="s">
        <v>495</v>
      </c>
      <c r="S5881" t="s">
        <v>399</v>
      </c>
      <c r="T5881" s="14">
        <v>0</v>
      </c>
    </row>
    <row r="5882" spans="17:20" x14ac:dyDescent="0.3">
      <c r="Q5882" s="93">
        <v>45819</v>
      </c>
      <c r="R5882" t="s">
        <v>493</v>
      </c>
      <c r="S5882" t="s">
        <v>399</v>
      </c>
      <c r="T5882" s="14">
        <v>0</v>
      </c>
    </row>
    <row r="5883" spans="17:20" x14ac:dyDescent="0.3">
      <c r="Q5883" s="93">
        <v>45819</v>
      </c>
      <c r="R5883" t="s">
        <v>593</v>
      </c>
      <c r="S5883" t="s">
        <v>399</v>
      </c>
      <c r="T5883" s="14">
        <v>-1500</v>
      </c>
    </row>
    <row r="5884" spans="17:20" x14ac:dyDescent="0.3">
      <c r="Q5884" s="93">
        <v>45819</v>
      </c>
      <c r="R5884" t="s">
        <v>594</v>
      </c>
      <c r="S5884" t="s">
        <v>399</v>
      </c>
      <c r="T5884" s="14">
        <v>0</v>
      </c>
    </row>
    <row r="5885" spans="17:20" x14ac:dyDescent="0.3">
      <c r="Q5885" s="93">
        <v>45819</v>
      </c>
      <c r="R5885" t="s">
        <v>595</v>
      </c>
      <c r="S5885" t="s">
        <v>399</v>
      </c>
      <c r="T5885" s="14">
        <v>0</v>
      </c>
    </row>
    <row r="5886" spans="17:20" x14ac:dyDescent="0.3">
      <c r="Q5886" s="93">
        <v>45819</v>
      </c>
      <c r="R5886" t="s">
        <v>479</v>
      </c>
      <c r="S5886" t="s">
        <v>395</v>
      </c>
      <c r="T5886" s="14">
        <v>7110.1414749550004</v>
      </c>
    </row>
    <row r="5887" spans="17:20" x14ac:dyDescent="0.3">
      <c r="Q5887" s="93">
        <v>45819</v>
      </c>
      <c r="R5887" t="s">
        <v>479</v>
      </c>
      <c r="S5887" t="s">
        <v>415</v>
      </c>
      <c r="T5887" s="14">
        <v>6.5679826639999996</v>
      </c>
    </row>
    <row r="5888" spans="17:20" x14ac:dyDescent="0.3">
      <c r="Q5888" s="93">
        <v>45819</v>
      </c>
      <c r="R5888" t="s">
        <v>364</v>
      </c>
      <c r="S5888" t="s">
        <v>415</v>
      </c>
      <c r="T5888" s="14">
        <v>5.6476484190000003</v>
      </c>
    </row>
    <row r="5889" spans="17:20" x14ac:dyDescent="0.3">
      <c r="Q5889" s="93">
        <v>45818</v>
      </c>
      <c r="R5889" t="s">
        <v>479</v>
      </c>
      <c r="S5889" t="s">
        <v>399</v>
      </c>
      <c r="T5889" s="14">
        <v>7397.6106</v>
      </c>
    </row>
    <row r="5890" spans="17:20" x14ac:dyDescent="0.3">
      <c r="Q5890" s="93">
        <v>45818</v>
      </c>
      <c r="R5890" t="s">
        <v>364</v>
      </c>
      <c r="S5890" t="s">
        <v>399</v>
      </c>
      <c r="T5890" s="14">
        <v>13970</v>
      </c>
    </row>
    <row r="5891" spans="17:20" x14ac:dyDescent="0.3">
      <c r="Q5891" s="93">
        <v>45818</v>
      </c>
      <c r="R5891" t="s">
        <v>491</v>
      </c>
      <c r="S5891" t="s">
        <v>399</v>
      </c>
      <c r="T5891" s="14">
        <v>6000</v>
      </c>
    </row>
    <row r="5892" spans="17:20" x14ac:dyDescent="0.3">
      <c r="Q5892" s="93">
        <v>45818</v>
      </c>
      <c r="R5892" t="s">
        <v>492</v>
      </c>
      <c r="S5892" t="s">
        <v>399</v>
      </c>
      <c r="T5892" s="14">
        <v>1397.6106</v>
      </c>
    </row>
    <row r="5893" spans="17:20" x14ac:dyDescent="0.3">
      <c r="Q5893" s="93">
        <v>45818</v>
      </c>
      <c r="R5893" t="s">
        <v>496</v>
      </c>
      <c r="S5893" t="s">
        <v>399</v>
      </c>
      <c r="T5893" s="14">
        <v>12770</v>
      </c>
    </row>
    <row r="5894" spans="17:20" x14ac:dyDescent="0.3">
      <c r="Q5894" s="93">
        <v>45818</v>
      </c>
      <c r="R5894" t="s">
        <v>497</v>
      </c>
      <c r="S5894" t="s">
        <v>399</v>
      </c>
      <c r="T5894" s="14">
        <v>1397.6106</v>
      </c>
    </row>
    <row r="5895" spans="17:20" x14ac:dyDescent="0.3">
      <c r="Q5895" s="93">
        <v>45818</v>
      </c>
      <c r="R5895" t="s">
        <v>498</v>
      </c>
      <c r="S5895" t="s">
        <v>399</v>
      </c>
      <c r="T5895" s="14">
        <v>6000</v>
      </c>
    </row>
    <row r="5896" spans="17:20" x14ac:dyDescent="0.3">
      <c r="Q5896" s="93">
        <v>45818</v>
      </c>
      <c r="R5896" t="s">
        <v>494</v>
      </c>
      <c r="S5896" t="s">
        <v>399</v>
      </c>
      <c r="T5896" s="14">
        <v>1200</v>
      </c>
    </row>
    <row r="5897" spans="17:20" x14ac:dyDescent="0.3">
      <c r="Q5897" s="93">
        <v>45818</v>
      </c>
      <c r="R5897" t="s">
        <v>495</v>
      </c>
      <c r="S5897" t="s">
        <v>399</v>
      </c>
      <c r="T5897" s="14">
        <v>0</v>
      </c>
    </row>
    <row r="5898" spans="17:20" x14ac:dyDescent="0.3">
      <c r="Q5898" s="93">
        <v>45818</v>
      </c>
      <c r="R5898" t="s">
        <v>493</v>
      </c>
      <c r="S5898" t="s">
        <v>399</v>
      </c>
      <c r="T5898" s="14">
        <v>0</v>
      </c>
    </row>
    <row r="5899" spans="17:20" x14ac:dyDescent="0.3">
      <c r="Q5899" s="93">
        <v>45818</v>
      </c>
      <c r="R5899" t="s">
        <v>593</v>
      </c>
      <c r="S5899" t="s">
        <v>399</v>
      </c>
      <c r="T5899" s="14">
        <v>0</v>
      </c>
    </row>
    <row r="5900" spans="17:20" x14ac:dyDescent="0.3">
      <c r="Q5900" s="93">
        <v>45818</v>
      </c>
      <c r="R5900" t="s">
        <v>594</v>
      </c>
      <c r="S5900" t="s">
        <v>399</v>
      </c>
      <c r="T5900" s="14">
        <v>0</v>
      </c>
    </row>
    <row r="5901" spans="17:20" x14ac:dyDescent="0.3">
      <c r="Q5901" s="93">
        <v>45818</v>
      </c>
      <c r="R5901" t="s">
        <v>595</v>
      </c>
      <c r="S5901" t="s">
        <v>399</v>
      </c>
      <c r="T5901" s="14">
        <v>0</v>
      </c>
    </row>
    <row r="5902" spans="17:20" x14ac:dyDescent="0.3">
      <c r="Q5902" s="93">
        <v>45818</v>
      </c>
      <c r="R5902" t="s">
        <v>479</v>
      </c>
      <c r="S5902" t="s">
        <v>395</v>
      </c>
      <c r="T5902" s="14">
        <v>7109.2788084889999</v>
      </c>
    </row>
    <row r="5903" spans="17:20" x14ac:dyDescent="0.3">
      <c r="Q5903" s="93">
        <v>45818</v>
      </c>
      <c r="R5903" t="s">
        <v>479</v>
      </c>
      <c r="S5903" t="s">
        <v>415</v>
      </c>
      <c r="T5903" s="14">
        <v>6.5679826639999996</v>
      </c>
    </row>
    <row r="5904" spans="17:20" x14ac:dyDescent="0.3">
      <c r="Q5904" s="93">
        <v>45818</v>
      </c>
      <c r="R5904" t="s">
        <v>364</v>
      </c>
      <c r="S5904" t="s">
        <v>415</v>
      </c>
      <c r="T5904" s="14">
        <v>5.5941302789999998</v>
      </c>
    </row>
    <row r="5905" spans="17:20" x14ac:dyDescent="0.3">
      <c r="Q5905" s="93">
        <v>45817</v>
      </c>
      <c r="R5905" t="s">
        <v>479</v>
      </c>
      <c r="S5905" t="s">
        <v>399</v>
      </c>
      <c r="T5905" s="14">
        <v>7397.6106</v>
      </c>
    </row>
    <row r="5906" spans="17:20" x14ac:dyDescent="0.3">
      <c r="Q5906" s="93">
        <v>45817</v>
      </c>
      <c r="R5906" t="s">
        <v>364</v>
      </c>
      <c r="S5906" t="s">
        <v>399</v>
      </c>
      <c r="T5906" s="14">
        <v>12770</v>
      </c>
    </row>
    <row r="5907" spans="17:20" x14ac:dyDescent="0.3">
      <c r="Q5907" s="93">
        <v>45817</v>
      </c>
      <c r="R5907" t="s">
        <v>491</v>
      </c>
      <c r="S5907" t="s">
        <v>399</v>
      </c>
      <c r="T5907" s="14">
        <v>6000</v>
      </c>
    </row>
    <row r="5908" spans="17:20" x14ac:dyDescent="0.3">
      <c r="Q5908" s="93">
        <v>45817</v>
      </c>
      <c r="R5908" t="s">
        <v>492</v>
      </c>
      <c r="S5908" t="s">
        <v>399</v>
      </c>
      <c r="T5908" s="14">
        <v>1397.6106</v>
      </c>
    </row>
    <row r="5909" spans="17:20" x14ac:dyDescent="0.3">
      <c r="Q5909" s="93">
        <v>45817</v>
      </c>
      <c r="R5909" t="s">
        <v>496</v>
      </c>
      <c r="S5909" t="s">
        <v>399</v>
      </c>
      <c r="T5909" s="14">
        <v>12570</v>
      </c>
    </row>
    <row r="5910" spans="17:20" x14ac:dyDescent="0.3">
      <c r="Q5910" s="93">
        <v>45817</v>
      </c>
      <c r="R5910" t="s">
        <v>497</v>
      </c>
      <c r="S5910" t="s">
        <v>399</v>
      </c>
      <c r="T5910" s="14">
        <v>1397.6106</v>
      </c>
    </row>
    <row r="5911" spans="17:20" x14ac:dyDescent="0.3">
      <c r="Q5911" s="93">
        <v>45817</v>
      </c>
      <c r="R5911" t="s">
        <v>498</v>
      </c>
      <c r="S5911" t="s">
        <v>399</v>
      </c>
      <c r="T5911" s="14">
        <v>6000</v>
      </c>
    </row>
    <row r="5912" spans="17:20" x14ac:dyDescent="0.3">
      <c r="Q5912" s="93">
        <v>45817</v>
      </c>
      <c r="R5912" t="s">
        <v>494</v>
      </c>
      <c r="S5912" t="s">
        <v>399</v>
      </c>
      <c r="T5912" s="14">
        <v>200</v>
      </c>
    </row>
    <row r="5913" spans="17:20" x14ac:dyDescent="0.3">
      <c r="Q5913" s="93">
        <v>45817</v>
      </c>
      <c r="R5913" t="s">
        <v>495</v>
      </c>
      <c r="S5913" t="s">
        <v>399</v>
      </c>
      <c r="T5913" s="14">
        <v>0</v>
      </c>
    </row>
    <row r="5914" spans="17:20" x14ac:dyDescent="0.3">
      <c r="Q5914" s="93">
        <v>45817</v>
      </c>
      <c r="R5914" t="s">
        <v>493</v>
      </c>
      <c r="S5914" t="s">
        <v>399</v>
      </c>
      <c r="T5914" s="14">
        <v>0</v>
      </c>
    </row>
    <row r="5915" spans="17:20" x14ac:dyDescent="0.3">
      <c r="Q5915" s="93">
        <v>45817</v>
      </c>
      <c r="R5915" t="s">
        <v>593</v>
      </c>
      <c r="S5915" t="s">
        <v>399</v>
      </c>
      <c r="T5915" s="14">
        <v>0</v>
      </c>
    </row>
    <row r="5916" spans="17:20" x14ac:dyDescent="0.3">
      <c r="Q5916" s="93">
        <v>45817</v>
      </c>
      <c r="R5916" t="s">
        <v>594</v>
      </c>
      <c r="S5916" t="s">
        <v>399</v>
      </c>
      <c r="T5916" s="14">
        <v>0</v>
      </c>
    </row>
    <row r="5917" spans="17:20" x14ac:dyDescent="0.3">
      <c r="Q5917" s="93">
        <v>45817</v>
      </c>
      <c r="R5917" t="s">
        <v>595</v>
      </c>
      <c r="S5917" t="s">
        <v>399</v>
      </c>
      <c r="T5917" s="14">
        <v>0</v>
      </c>
    </row>
    <row r="5918" spans="17:20" x14ac:dyDescent="0.3">
      <c r="Q5918" s="93">
        <v>45817</v>
      </c>
      <c r="R5918" t="s">
        <v>479</v>
      </c>
      <c r="S5918" t="s">
        <v>395</v>
      </c>
      <c r="T5918" s="14">
        <v>7109.5191811619998</v>
      </c>
    </row>
    <row r="5919" spans="17:20" x14ac:dyDescent="0.3">
      <c r="Q5919" s="93">
        <v>45817</v>
      </c>
      <c r="R5919" t="s">
        <v>479</v>
      </c>
      <c r="S5919" t="s">
        <v>415</v>
      </c>
      <c r="T5919" s="14">
        <v>6.5679826639999996</v>
      </c>
    </row>
    <row r="5920" spans="17:20" x14ac:dyDescent="0.3">
      <c r="Q5920" s="93">
        <v>45817</v>
      </c>
      <c r="R5920" t="s">
        <v>364</v>
      </c>
      <c r="S5920" t="s">
        <v>415</v>
      </c>
      <c r="T5920" s="14">
        <v>5.6249021140000002</v>
      </c>
    </row>
    <row r="5921" spans="17:20" x14ac:dyDescent="0.3">
      <c r="Q5921" s="93">
        <v>45814</v>
      </c>
      <c r="R5921" t="s">
        <v>479</v>
      </c>
      <c r="S5921" t="s">
        <v>399</v>
      </c>
      <c r="T5921" s="14">
        <v>7397.6106</v>
      </c>
    </row>
    <row r="5922" spans="17:20" x14ac:dyDescent="0.3">
      <c r="Q5922" s="93">
        <v>45814</v>
      </c>
      <c r="R5922" t="s">
        <v>364</v>
      </c>
      <c r="S5922" t="s">
        <v>399</v>
      </c>
      <c r="T5922" s="14">
        <v>12770</v>
      </c>
    </row>
    <row r="5923" spans="17:20" x14ac:dyDescent="0.3">
      <c r="Q5923" s="93">
        <v>45814</v>
      </c>
      <c r="R5923" t="s">
        <v>491</v>
      </c>
      <c r="S5923" t="s">
        <v>399</v>
      </c>
      <c r="T5923" s="14">
        <v>6000</v>
      </c>
    </row>
    <row r="5924" spans="17:20" x14ac:dyDescent="0.3">
      <c r="Q5924" s="93">
        <v>45814</v>
      </c>
      <c r="R5924" t="s">
        <v>593</v>
      </c>
      <c r="S5924" t="s">
        <v>399</v>
      </c>
      <c r="T5924" s="14">
        <v>-150</v>
      </c>
    </row>
    <row r="5925" spans="17:20" x14ac:dyDescent="0.3">
      <c r="Q5925" s="93">
        <v>45814</v>
      </c>
      <c r="R5925" t="s">
        <v>594</v>
      </c>
      <c r="S5925" t="s">
        <v>399</v>
      </c>
      <c r="T5925" s="14">
        <v>0</v>
      </c>
    </row>
    <row r="5926" spans="17:20" x14ac:dyDescent="0.3">
      <c r="Q5926" s="93">
        <v>45814</v>
      </c>
      <c r="R5926" t="s">
        <v>595</v>
      </c>
      <c r="S5926" t="s">
        <v>399</v>
      </c>
      <c r="T5926" s="14">
        <v>0</v>
      </c>
    </row>
    <row r="5927" spans="17:20" x14ac:dyDescent="0.3">
      <c r="Q5927" s="93">
        <v>45814</v>
      </c>
      <c r="R5927" t="s">
        <v>479</v>
      </c>
      <c r="S5927" t="s">
        <v>395</v>
      </c>
      <c r="T5927" s="14">
        <v>7113.7817494869996</v>
      </c>
    </row>
    <row r="5928" spans="17:20" x14ac:dyDescent="0.3">
      <c r="Q5928" s="93">
        <v>45814</v>
      </c>
      <c r="R5928" t="s">
        <v>479</v>
      </c>
      <c r="S5928" t="s">
        <v>415</v>
      </c>
      <c r="T5928" s="14">
        <v>6.5679826639999996</v>
      </c>
    </row>
    <row r="5929" spans="17:20" x14ac:dyDescent="0.3">
      <c r="Q5929" s="93">
        <v>45814</v>
      </c>
      <c r="R5929" t="s">
        <v>364</v>
      </c>
      <c r="S5929" t="s">
        <v>415</v>
      </c>
      <c r="T5929" s="14">
        <v>5.6249021140000002</v>
      </c>
    </row>
    <row r="5930" spans="17:20" x14ac:dyDescent="0.3">
      <c r="Q5930" s="93">
        <v>45814</v>
      </c>
      <c r="R5930" t="s">
        <v>492</v>
      </c>
      <c r="S5930" t="s">
        <v>399</v>
      </c>
      <c r="T5930" s="14">
        <v>1397.6106</v>
      </c>
    </row>
    <row r="5931" spans="17:20" x14ac:dyDescent="0.3">
      <c r="Q5931" s="93">
        <v>45814</v>
      </c>
      <c r="R5931" t="s">
        <v>496</v>
      </c>
      <c r="S5931" t="s">
        <v>399</v>
      </c>
      <c r="T5931" s="14">
        <v>12720</v>
      </c>
    </row>
    <row r="5932" spans="17:20" x14ac:dyDescent="0.3">
      <c r="Q5932" s="93">
        <v>45814</v>
      </c>
      <c r="R5932" t="s">
        <v>497</v>
      </c>
      <c r="S5932" t="s">
        <v>399</v>
      </c>
      <c r="T5932" s="14">
        <v>1397.6106</v>
      </c>
    </row>
    <row r="5933" spans="17:20" x14ac:dyDescent="0.3">
      <c r="Q5933" s="93">
        <v>45814</v>
      </c>
      <c r="R5933" t="s">
        <v>498</v>
      </c>
      <c r="S5933" t="s">
        <v>399</v>
      </c>
      <c r="T5933" s="14">
        <v>6000</v>
      </c>
    </row>
    <row r="5934" spans="17:20" x14ac:dyDescent="0.3">
      <c r="Q5934" s="93">
        <v>45814</v>
      </c>
      <c r="R5934" t="s">
        <v>494</v>
      </c>
      <c r="S5934" t="s">
        <v>399</v>
      </c>
      <c r="T5934" s="14">
        <v>200</v>
      </c>
    </row>
    <row r="5935" spans="17:20" x14ac:dyDescent="0.3">
      <c r="Q5935" s="93">
        <v>45814</v>
      </c>
      <c r="R5935" t="s">
        <v>495</v>
      </c>
      <c r="S5935" t="s">
        <v>399</v>
      </c>
      <c r="T5935" s="14">
        <v>0</v>
      </c>
    </row>
    <row r="5936" spans="17:20" x14ac:dyDescent="0.3">
      <c r="Q5936" s="93">
        <v>45814</v>
      </c>
      <c r="R5936" t="s">
        <v>493</v>
      </c>
      <c r="S5936" t="s">
        <v>399</v>
      </c>
      <c r="T5936" s="14">
        <v>0</v>
      </c>
    </row>
    <row r="5937" spans="17:20" x14ac:dyDescent="0.3">
      <c r="Q5937" s="93">
        <v>45813</v>
      </c>
      <c r="R5937" t="s">
        <v>479</v>
      </c>
      <c r="S5937" t="s">
        <v>399</v>
      </c>
      <c r="T5937" s="14">
        <v>7397.6106</v>
      </c>
    </row>
    <row r="5938" spans="17:20" x14ac:dyDescent="0.3">
      <c r="Q5938" s="93">
        <v>45813</v>
      </c>
      <c r="R5938" t="s">
        <v>364</v>
      </c>
      <c r="S5938" t="s">
        <v>399</v>
      </c>
      <c r="T5938" s="14">
        <v>12920</v>
      </c>
    </row>
    <row r="5939" spans="17:20" x14ac:dyDescent="0.3">
      <c r="Q5939" s="93">
        <v>45813</v>
      </c>
      <c r="R5939" t="s">
        <v>491</v>
      </c>
      <c r="S5939" t="s">
        <v>399</v>
      </c>
      <c r="T5939" s="14">
        <v>6000</v>
      </c>
    </row>
    <row r="5940" spans="17:20" x14ac:dyDescent="0.3">
      <c r="Q5940" s="93">
        <v>45813</v>
      </c>
      <c r="R5940" t="s">
        <v>492</v>
      </c>
      <c r="S5940" t="s">
        <v>399</v>
      </c>
      <c r="T5940" s="14">
        <v>1397.6106</v>
      </c>
    </row>
    <row r="5941" spans="17:20" x14ac:dyDescent="0.3">
      <c r="Q5941" s="93">
        <v>45813</v>
      </c>
      <c r="R5941" t="s">
        <v>496</v>
      </c>
      <c r="S5941" t="s">
        <v>399</v>
      </c>
      <c r="T5941" s="14">
        <v>15320</v>
      </c>
    </row>
    <row r="5942" spans="17:20" x14ac:dyDescent="0.3">
      <c r="Q5942" s="93">
        <v>45813</v>
      </c>
      <c r="R5942" t="s">
        <v>497</v>
      </c>
      <c r="S5942" t="s">
        <v>399</v>
      </c>
      <c r="T5942" s="14">
        <v>1397.6106</v>
      </c>
    </row>
    <row r="5943" spans="17:20" x14ac:dyDescent="0.3">
      <c r="Q5943" s="93">
        <v>45813</v>
      </c>
      <c r="R5943" t="s">
        <v>498</v>
      </c>
      <c r="S5943" t="s">
        <v>399</v>
      </c>
      <c r="T5943" s="14">
        <v>6000</v>
      </c>
    </row>
    <row r="5944" spans="17:20" x14ac:dyDescent="0.3">
      <c r="Q5944" s="93">
        <v>45813</v>
      </c>
      <c r="R5944" t="s">
        <v>494</v>
      </c>
      <c r="S5944" t="s">
        <v>399</v>
      </c>
      <c r="T5944" s="14">
        <v>-800</v>
      </c>
    </row>
    <row r="5945" spans="17:20" x14ac:dyDescent="0.3">
      <c r="Q5945" s="93">
        <v>45813</v>
      </c>
      <c r="R5945" t="s">
        <v>495</v>
      </c>
      <c r="S5945" t="s">
        <v>399</v>
      </c>
      <c r="T5945" s="14">
        <v>0</v>
      </c>
    </row>
    <row r="5946" spans="17:20" x14ac:dyDescent="0.3">
      <c r="Q5946" s="93">
        <v>45813</v>
      </c>
      <c r="R5946" t="s">
        <v>493</v>
      </c>
      <c r="S5946" t="s">
        <v>399</v>
      </c>
      <c r="T5946" s="14">
        <v>0</v>
      </c>
    </row>
    <row r="5947" spans="17:20" x14ac:dyDescent="0.3">
      <c r="Q5947" s="93">
        <v>45813</v>
      </c>
      <c r="R5947" t="s">
        <v>593</v>
      </c>
      <c r="S5947" t="s">
        <v>399</v>
      </c>
      <c r="T5947" s="14">
        <v>-1600</v>
      </c>
    </row>
    <row r="5948" spans="17:20" x14ac:dyDescent="0.3">
      <c r="Q5948" s="93">
        <v>45813</v>
      </c>
      <c r="R5948" t="s">
        <v>594</v>
      </c>
      <c r="S5948" t="s">
        <v>399</v>
      </c>
      <c r="T5948" s="14">
        <v>0</v>
      </c>
    </row>
    <row r="5949" spans="17:20" x14ac:dyDescent="0.3">
      <c r="Q5949" s="93">
        <v>45813</v>
      </c>
      <c r="R5949" t="s">
        <v>595</v>
      </c>
      <c r="S5949" t="s">
        <v>399</v>
      </c>
      <c r="T5949" s="14">
        <v>0</v>
      </c>
    </row>
    <row r="5950" spans="17:20" x14ac:dyDescent="0.3">
      <c r="Q5950" s="93">
        <v>45813</v>
      </c>
      <c r="R5950" t="s">
        <v>479</v>
      </c>
      <c r="S5950" t="s">
        <v>395</v>
      </c>
      <c r="T5950" s="14">
        <v>7120.8203549159998</v>
      </c>
    </row>
    <row r="5951" spans="17:20" x14ac:dyDescent="0.3">
      <c r="Q5951" s="93">
        <v>45813</v>
      </c>
      <c r="R5951" t="s">
        <v>479</v>
      </c>
      <c r="S5951" t="s">
        <v>415</v>
      </c>
      <c r="T5951" s="14">
        <v>6.5679826639999996</v>
      </c>
    </row>
    <row r="5952" spans="17:20" x14ac:dyDescent="0.3">
      <c r="Q5952" s="93">
        <v>45813</v>
      </c>
      <c r="R5952" t="s">
        <v>364</v>
      </c>
      <c r="S5952" t="s">
        <v>415</v>
      </c>
      <c r="T5952" s="14">
        <v>5.653250774</v>
      </c>
    </row>
    <row r="5953" spans="17:20" x14ac:dyDescent="0.3">
      <c r="Q5953" s="93">
        <v>45812</v>
      </c>
      <c r="R5953" t="s">
        <v>479</v>
      </c>
      <c r="S5953" t="s">
        <v>399</v>
      </c>
      <c r="T5953" s="14">
        <v>7397.6106</v>
      </c>
    </row>
    <row r="5954" spans="17:20" x14ac:dyDescent="0.3">
      <c r="Q5954" s="93">
        <v>45812</v>
      </c>
      <c r="R5954" t="s">
        <v>364</v>
      </c>
      <c r="S5954" t="s">
        <v>399</v>
      </c>
      <c r="T5954" s="14">
        <v>14420</v>
      </c>
    </row>
    <row r="5955" spans="17:20" x14ac:dyDescent="0.3">
      <c r="Q5955" s="93">
        <v>45812</v>
      </c>
      <c r="R5955" t="s">
        <v>491</v>
      </c>
      <c r="S5955" t="s">
        <v>399</v>
      </c>
      <c r="T5955" s="14">
        <v>6000</v>
      </c>
    </row>
    <row r="5956" spans="17:20" x14ac:dyDescent="0.3">
      <c r="Q5956" s="93">
        <v>45812</v>
      </c>
      <c r="R5956" t="s">
        <v>492</v>
      </c>
      <c r="S5956" t="s">
        <v>399</v>
      </c>
      <c r="T5956" s="14">
        <v>1397.6106</v>
      </c>
    </row>
    <row r="5957" spans="17:20" x14ac:dyDescent="0.3">
      <c r="Q5957" s="93">
        <v>45812</v>
      </c>
      <c r="R5957" t="s">
        <v>496</v>
      </c>
      <c r="S5957" t="s">
        <v>399</v>
      </c>
      <c r="T5957" s="14">
        <v>15920</v>
      </c>
    </row>
    <row r="5958" spans="17:20" x14ac:dyDescent="0.3">
      <c r="Q5958" s="93">
        <v>45812</v>
      </c>
      <c r="R5958" t="s">
        <v>497</v>
      </c>
      <c r="S5958" t="s">
        <v>399</v>
      </c>
      <c r="T5958" s="14">
        <v>1397.6106</v>
      </c>
    </row>
    <row r="5959" spans="17:20" x14ac:dyDescent="0.3">
      <c r="Q5959" s="93">
        <v>45812</v>
      </c>
      <c r="R5959" t="s">
        <v>498</v>
      </c>
      <c r="S5959" t="s">
        <v>399</v>
      </c>
      <c r="T5959" s="14">
        <v>6000</v>
      </c>
    </row>
    <row r="5960" spans="17:20" x14ac:dyDescent="0.3">
      <c r="Q5960" s="93">
        <v>45812</v>
      </c>
      <c r="R5960" t="s">
        <v>494</v>
      </c>
      <c r="S5960" t="s">
        <v>399</v>
      </c>
      <c r="T5960" s="14">
        <v>200</v>
      </c>
    </row>
    <row r="5961" spans="17:20" x14ac:dyDescent="0.3">
      <c r="Q5961" s="93">
        <v>45812</v>
      </c>
      <c r="R5961" t="s">
        <v>495</v>
      </c>
      <c r="S5961" t="s">
        <v>399</v>
      </c>
      <c r="T5961" s="14">
        <v>0</v>
      </c>
    </row>
    <row r="5962" spans="17:20" x14ac:dyDescent="0.3">
      <c r="Q5962" s="93">
        <v>45812</v>
      </c>
      <c r="R5962" t="s">
        <v>493</v>
      </c>
      <c r="S5962" t="s">
        <v>399</v>
      </c>
      <c r="T5962" s="14">
        <v>0</v>
      </c>
    </row>
    <row r="5963" spans="17:20" x14ac:dyDescent="0.3">
      <c r="Q5963" s="93">
        <v>45812</v>
      </c>
      <c r="R5963" t="s">
        <v>593</v>
      </c>
      <c r="S5963" t="s">
        <v>399</v>
      </c>
      <c r="T5963" s="14">
        <v>-1700</v>
      </c>
    </row>
    <row r="5964" spans="17:20" x14ac:dyDescent="0.3">
      <c r="Q5964" s="93">
        <v>45812</v>
      </c>
      <c r="R5964" t="s">
        <v>594</v>
      </c>
      <c r="S5964" t="s">
        <v>399</v>
      </c>
      <c r="T5964" s="14">
        <v>0</v>
      </c>
    </row>
    <row r="5965" spans="17:20" x14ac:dyDescent="0.3">
      <c r="Q5965" s="93">
        <v>45812</v>
      </c>
      <c r="R5965" t="s">
        <v>595</v>
      </c>
      <c r="S5965" t="s">
        <v>399</v>
      </c>
      <c r="T5965" s="14">
        <v>0</v>
      </c>
    </row>
    <row r="5966" spans="17:20" x14ac:dyDescent="0.3">
      <c r="Q5966" s="93">
        <v>45812</v>
      </c>
      <c r="R5966" t="s">
        <v>479</v>
      </c>
      <c r="S5966" t="s">
        <v>395</v>
      </c>
      <c r="T5966" s="14">
        <v>7124.3857211459999</v>
      </c>
    </row>
    <row r="5967" spans="17:20" x14ac:dyDescent="0.3">
      <c r="Q5967" s="93">
        <v>45812</v>
      </c>
      <c r="R5967" t="s">
        <v>479</v>
      </c>
      <c r="S5967" t="s">
        <v>415</v>
      </c>
      <c r="T5967" s="14">
        <v>6.5679826639999996</v>
      </c>
    </row>
    <row r="5968" spans="17:20" x14ac:dyDescent="0.3">
      <c r="Q5968" s="93">
        <v>45812</v>
      </c>
      <c r="R5968" t="s">
        <v>364</v>
      </c>
      <c r="S5968" t="s">
        <v>415</v>
      </c>
      <c r="T5968" s="14">
        <v>5.5714285710000002</v>
      </c>
    </row>
    <row r="5969" spans="17:20" x14ac:dyDescent="0.3">
      <c r="Q5969" s="93">
        <v>45811</v>
      </c>
      <c r="R5969" t="s">
        <v>479</v>
      </c>
      <c r="S5969" t="s">
        <v>399</v>
      </c>
      <c r="T5969" s="14">
        <v>7397.6106</v>
      </c>
    </row>
    <row r="5970" spans="17:20" x14ac:dyDescent="0.3">
      <c r="Q5970" s="93">
        <v>45811</v>
      </c>
      <c r="R5970" t="s">
        <v>364</v>
      </c>
      <c r="S5970" t="s">
        <v>399</v>
      </c>
      <c r="T5970" s="14">
        <v>14720</v>
      </c>
    </row>
    <row r="5971" spans="17:20" x14ac:dyDescent="0.3">
      <c r="Q5971" s="93">
        <v>45811</v>
      </c>
      <c r="R5971" t="s">
        <v>491</v>
      </c>
      <c r="S5971" t="s">
        <v>399</v>
      </c>
      <c r="T5971" s="14">
        <v>6000</v>
      </c>
    </row>
    <row r="5972" spans="17:20" x14ac:dyDescent="0.3">
      <c r="Q5972" s="93">
        <v>45811</v>
      </c>
      <c r="R5972" t="s">
        <v>492</v>
      </c>
      <c r="S5972" t="s">
        <v>399</v>
      </c>
      <c r="T5972" s="14">
        <v>1397.6106</v>
      </c>
    </row>
    <row r="5973" spans="17:20" x14ac:dyDescent="0.3">
      <c r="Q5973" s="93">
        <v>45811</v>
      </c>
      <c r="R5973" t="s">
        <v>496</v>
      </c>
      <c r="S5973" t="s">
        <v>399</v>
      </c>
      <c r="T5973" s="14">
        <v>15920</v>
      </c>
    </row>
    <row r="5974" spans="17:20" x14ac:dyDescent="0.3">
      <c r="Q5974" s="93">
        <v>45811</v>
      </c>
      <c r="R5974" t="s">
        <v>497</v>
      </c>
      <c r="S5974" t="s">
        <v>399</v>
      </c>
      <c r="T5974" s="14">
        <v>1397.6106</v>
      </c>
    </row>
    <row r="5975" spans="17:20" x14ac:dyDescent="0.3">
      <c r="Q5975" s="93">
        <v>45811</v>
      </c>
      <c r="R5975" t="s">
        <v>498</v>
      </c>
      <c r="S5975" t="s">
        <v>399</v>
      </c>
      <c r="T5975" s="14">
        <v>6000</v>
      </c>
    </row>
    <row r="5976" spans="17:20" x14ac:dyDescent="0.3">
      <c r="Q5976" s="93">
        <v>45811</v>
      </c>
      <c r="R5976" t="s">
        <v>494</v>
      </c>
      <c r="S5976" t="s">
        <v>399</v>
      </c>
      <c r="T5976" s="14">
        <v>-800</v>
      </c>
    </row>
    <row r="5977" spans="17:20" x14ac:dyDescent="0.3">
      <c r="Q5977" s="93">
        <v>45811</v>
      </c>
      <c r="R5977" t="s">
        <v>495</v>
      </c>
      <c r="S5977" t="s">
        <v>399</v>
      </c>
      <c r="T5977" s="14">
        <v>0</v>
      </c>
    </row>
    <row r="5978" spans="17:20" x14ac:dyDescent="0.3">
      <c r="Q5978" s="93">
        <v>45811</v>
      </c>
      <c r="R5978" t="s">
        <v>493</v>
      </c>
      <c r="S5978" t="s">
        <v>399</v>
      </c>
      <c r="T5978" s="14">
        <v>0</v>
      </c>
    </row>
    <row r="5979" spans="17:20" x14ac:dyDescent="0.3">
      <c r="Q5979" s="93">
        <v>45811</v>
      </c>
      <c r="R5979" t="s">
        <v>593</v>
      </c>
      <c r="S5979" t="s">
        <v>399</v>
      </c>
      <c r="T5979" s="14">
        <v>-400</v>
      </c>
    </row>
    <row r="5980" spans="17:20" x14ac:dyDescent="0.3">
      <c r="Q5980" s="93">
        <v>45811</v>
      </c>
      <c r="R5980" t="s">
        <v>594</v>
      </c>
      <c r="S5980" t="s">
        <v>399</v>
      </c>
      <c r="T5980" s="14">
        <v>0</v>
      </c>
    </row>
    <row r="5981" spans="17:20" x14ac:dyDescent="0.3">
      <c r="Q5981" s="93">
        <v>45811</v>
      </c>
      <c r="R5981" t="s">
        <v>595</v>
      </c>
      <c r="S5981" t="s">
        <v>399</v>
      </c>
      <c r="T5981" s="14">
        <v>0</v>
      </c>
    </row>
    <row r="5982" spans="17:20" x14ac:dyDescent="0.3">
      <c r="Q5982" s="93">
        <v>45811</v>
      </c>
      <c r="R5982" t="s">
        <v>479</v>
      </c>
      <c r="S5982" t="s">
        <v>395</v>
      </c>
      <c r="T5982" s="14">
        <v>7126.6617443069999</v>
      </c>
    </row>
    <row r="5983" spans="17:20" x14ac:dyDescent="0.3">
      <c r="Q5983" s="93">
        <v>45811</v>
      </c>
      <c r="R5983" t="s">
        <v>479</v>
      </c>
      <c r="S5983" t="s">
        <v>415</v>
      </c>
      <c r="T5983" s="14">
        <v>6.5679826639999996</v>
      </c>
    </row>
    <row r="5984" spans="17:20" x14ac:dyDescent="0.3">
      <c r="Q5984" s="93">
        <v>45811</v>
      </c>
      <c r="R5984" t="s">
        <v>364</v>
      </c>
      <c r="S5984" t="s">
        <v>415</v>
      </c>
      <c r="T5984" s="14">
        <v>5.5658967390000003</v>
      </c>
    </row>
    <row r="5985" spans="17:20" x14ac:dyDescent="0.3">
      <c r="Q5985" s="93">
        <v>45810</v>
      </c>
      <c r="R5985" t="s">
        <v>479</v>
      </c>
      <c r="S5985" t="s">
        <v>399</v>
      </c>
      <c r="T5985" s="14">
        <v>7397.6106</v>
      </c>
    </row>
    <row r="5986" spans="17:20" x14ac:dyDescent="0.3">
      <c r="Q5986" s="93">
        <v>45810</v>
      </c>
      <c r="R5986" t="s">
        <v>479</v>
      </c>
      <c r="S5986" t="s">
        <v>415</v>
      </c>
      <c r="T5986" s="14">
        <v>6.5679826639999996</v>
      </c>
    </row>
    <row r="5987" spans="17:20" x14ac:dyDescent="0.3">
      <c r="Q5987" s="93">
        <v>45810</v>
      </c>
      <c r="R5987" t="s">
        <v>364</v>
      </c>
      <c r="S5987" t="s">
        <v>415</v>
      </c>
      <c r="T5987" s="14">
        <v>5.5595667869999996</v>
      </c>
    </row>
    <row r="5988" spans="17:20" x14ac:dyDescent="0.3">
      <c r="Q5988" s="93">
        <v>45810</v>
      </c>
      <c r="R5988" t="s">
        <v>364</v>
      </c>
      <c r="S5988" t="s">
        <v>399</v>
      </c>
      <c r="T5988" s="14">
        <v>16620</v>
      </c>
    </row>
    <row r="5989" spans="17:20" x14ac:dyDescent="0.3">
      <c r="Q5989" s="93">
        <v>45810</v>
      </c>
      <c r="R5989" t="s">
        <v>491</v>
      </c>
      <c r="S5989" t="s">
        <v>399</v>
      </c>
      <c r="T5989" s="14">
        <v>6000</v>
      </c>
    </row>
    <row r="5990" spans="17:20" x14ac:dyDescent="0.3">
      <c r="Q5990" s="93">
        <v>45810</v>
      </c>
      <c r="R5990" t="s">
        <v>492</v>
      </c>
      <c r="S5990" t="s">
        <v>399</v>
      </c>
      <c r="T5990" s="14">
        <v>1397.6106</v>
      </c>
    </row>
    <row r="5991" spans="17:20" x14ac:dyDescent="0.3">
      <c r="Q5991" s="93">
        <v>45810</v>
      </c>
      <c r="R5991" t="s">
        <v>496</v>
      </c>
      <c r="S5991" t="s">
        <v>399</v>
      </c>
      <c r="T5991" s="14">
        <v>14920</v>
      </c>
    </row>
    <row r="5992" spans="17:20" x14ac:dyDescent="0.3">
      <c r="Q5992" s="93">
        <v>45810</v>
      </c>
      <c r="R5992" t="s">
        <v>497</v>
      </c>
      <c r="S5992" t="s">
        <v>399</v>
      </c>
      <c r="T5992" s="14">
        <v>1397.6106</v>
      </c>
    </row>
    <row r="5993" spans="17:20" x14ac:dyDescent="0.3">
      <c r="Q5993" s="93">
        <v>45810</v>
      </c>
      <c r="R5993" t="s">
        <v>498</v>
      </c>
      <c r="S5993" t="s">
        <v>399</v>
      </c>
      <c r="T5993" s="14">
        <v>6000</v>
      </c>
    </row>
    <row r="5994" spans="17:20" x14ac:dyDescent="0.3">
      <c r="Q5994" s="93">
        <v>45810</v>
      </c>
      <c r="R5994" t="s">
        <v>494</v>
      </c>
      <c r="S5994" t="s">
        <v>399</v>
      </c>
      <c r="T5994" s="14">
        <v>400</v>
      </c>
    </row>
    <row r="5995" spans="17:20" x14ac:dyDescent="0.3">
      <c r="Q5995" s="93">
        <v>45810</v>
      </c>
      <c r="R5995" t="s">
        <v>495</v>
      </c>
      <c r="S5995" t="s">
        <v>399</v>
      </c>
      <c r="T5995" s="14">
        <v>0</v>
      </c>
    </row>
    <row r="5996" spans="17:20" x14ac:dyDescent="0.3">
      <c r="Q5996" s="93">
        <v>45810</v>
      </c>
      <c r="R5996" t="s">
        <v>493</v>
      </c>
      <c r="S5996" t="s">
        <v>399</v>
      </c>
      <c r="T5996" s="14">
        <v>0</v>
      </c>
    </row>
    <row r="5997" spans="17:20" x14ac:dyDescent="0.3">
      <c r="Q5997" s="93">
        <v>45810</v>
      </c>
      <c r="R5997" t="s">
        <v>593</v>
      </c>
      <c r="S5997" t="s">
        <v>399</v>
      </c>
      <c r="T5997" s="14">
        <v>1300</v>
      </c>
    </row>
    <row r="5998" spans="17:20" x14ac:dyDescent="0.3">
      <c r="Q5998" s="93">
        <v>45810</v>
      </c>
      <c r="R5998" t="s">
        <v>594</v>
      </c>
      <c r="S5998" t="s">
        <v>399</v>
      </c>
      <c r="T5998" s="14">
        <v>0</v>
      </c>
    </row>
    <row r="5999" spans="17:20" x14ac:dyDescent="0.3">
      <c r="Q5999" s="93">
        <v>45810</v>
      </c>
      <c r="R5999" t="s">
        <v>595</v>
      </c>
      <c r="S5999" t="s">
        <v>399</v>
      </c>
      <c r="T5999" s="14">
        <v>0</v>
      </c>
    </row>
    <row r="6000" spans="17:20" x14ac:dyDescent="0.3">
      <c r="Q6000" s="93">
        <v>45810</v>
      </c>
      <c r="R6000" t="s">
        <v>479</v>
      </c>
      <c r="S6000" t="s">
        <v>395</v>
      </c>
      <c r="T6000" s="14">
        <v>7129.6809443809998</v>
      </c>
    </row>
    <row r="6001" spans="17:20" x14ac:dyDescent="0.3">
      <c r="Q6001" s="93">
        <v>45807</v>
      </c>
      <c r="R6001" t="s">
        <v>479</v>
      </c>
      <c r="S6001" t="s">
        <v>399</v>
      </c>
      <c r="T6001" s="14">
        <v>7397.6106</v>
      </c>
    </row>
    <row r="6002" spans="17:20" x14ac:dyDescent="0.3">
      <c r="Q6002" s="93">
        <v>45807</v>
      </c>
      <c r="R6002" t="s">
        <v>364</v>
      </c>
      <c r="S6002" t="s">
        <v>399</v>
      </c>
      <c r="T6002" s="14">
        <v>16320</v>
      </c>
    </row>
    <row r="6003" spans="17:20" x14ac:dyDescent="0.3">
      <c r="Q6003" s="93">
        <v>45807</v>
      </c>
      <c r="R6003" t="s">
        <v>491</v>
      </c>
      <c r="S6003" t="s">
        <v>399</v>
      </c>
      <c r="T6003" s="14">
        <v>6000</v>
      </c>
    </row>
    <row r="6004" spans="17:20" x14ac:dyDescent="0.3">
      <c r="Q6004" s="93">
        <v>45807</v>
      </c>
      <c r="R6004" t="s">
        <v>492</v>
      </c>
      <c r="S6004" t="s">
        <v>399</v>
      </c>
      <c r="T6004" s="14">
        <v>1397.6106</v>
      </c>
    </row>
    <row r="6005" spans="17:20" x14ac:dyDescent="0.3">
      <c r="Q6005" s="93">
        <v>45807</v>
      </c>
      <c r="R6005" t="s">
        <v>496</v>
      </c>
      <c r="S6005" t="s">
        <v>399</v>
      </c>
      <c r="T6005" s="14">
        <v>13470</v>
      </c>
    </row>
    <row r="6006" spans="17:20" x14ac:dyDescent="0.3">
      <c r="Q6006" s="93">
        <v>45807</v>
      </c>
      <c r="R6006" t="s">
        <v>497</v>
      </c>
      <c r="S6006" t="s">
        <v>399</v>
      </c>
      <c r="T6006" s="14">
        <v>1397.6106</v>
      </c>
    </row>
    <row r="6007" spans="17:20" x14ac:dyDescent="0.3">
      <c r="Q6007" s="93">
        <v>45807</v>
      </c>
      <c r="R6007" t="s">
        <v>498</v>
      </c>
      <c r="S6007" t="s">
        <v>399</v>
      </c>
      <c r="T6007" s="14">
        <v>5700</v>
      </c>
    </row>
    <row r="6008" spans="17:20" x14ac:dyDescent="0.3">
      <c r="Q6008" s="93">
        <v>45807</v>
      </c>
      <c r="R6008" t="s">
        <v>494</v>
      </c>
      <c r="S6008" t="s">
        <v>399</v>
      </c>
      <c r="T6008" s="14">
        <v>1150</v>
      </c>
    </row>
    <row r="6009" spans="17:20" x14ac:dyDescent="0.3">
      <c r="Q6009" s="93">
        <v>45807</v>
      </c>
      <c r="R6009" t="s">
        <v>495</v>
      </c>
      <c r="S6009" t="s">
        <v>399</v>
      </c>
      <c r="T6009" s="14">
        <v>0</v>
      </c>
    </row>
    <row r="6010" spans="17:20" x14ac:dyDescent="0.3">
      <c r="Q6010" s="93">
        <v>45807</v>
      </c>
      <c r="R6010" t="s">
        <v>493</v>
      </c>
      <c r="S6010" t="s">
        <v>399</v>
      </c>
      <c r="T6010" s="14">
        <v>0</v>
      </c>
    </row>
    <row r="6011" spans="17:20" x14ac:dyDescent="0.3">
      <c r="Q6011" s="93">
        <v>45807</v>
      </c>
      <c r="R6011" t="s">
        <v>593</v>
      </c>
      <c r="S6011" t="s">
        <v>399</v>
      </c>
      <c r="T6011" s="14">
        <v>1700</v>
      </c>
    </row>
    <row r="6012" spans="17:20" x14ac:dyDescent="0.3">
      <c r="Q6012" s="93">
        <v>45807</v>
      </c>
      <c r="R6012" t="s">
        <v>594</v>
      </c>
      <c r="S6012" t="s">
        <v>399</v>
      </c>
      <c r="T6012" s="14">
        <v>0</v>
      </c>
    </row>
    <row r="6013" spans="17:20" x14ac:dyDescent="0.3">
      <c r="Q6013" s="93">
        <v>45807</v>
      </c>
      <c r="R6013" t="s">
        <v>595</v>
      </c>
      <c r="S6013" t="s">
        <v>399</v>
      </c>
      <c r="T6013" s="14">
        <v>300</v>
      </c>
    </row>
    <row r="6014" spans="17:20" x14ac:dyDescent="0.3">
      <c r="Q6014" s="93">
        <v>45807</v>
      </c>
      <c r="R6014" t="s">
        <v>479</v>
      </c>
      <c r="S6014" t="s">
        <v>395</v>
      </c>
      <c r="T6014" s="14">
        <v>7130.84115838261</v>
      </c>
    </row>
    <row r="6015" spans="17:20" x14ac:dyDescent="0.3">
      <c r="Q6015" s="93">
        <v>45807</v>
      </c>
      <c r="R6015" t="s">
        <v>479</v>
      </c>
      <c r="S6015" t="s">
        <v>415</v>
      </c>
      <c r="T6015" s="14">
        <v>6.5679826638887997</v>
      </c>
    </row>
    <row r="6016" spans="17:20" x14ac:dyDescent="0.3">
      <c r="Q6016" s="93">
        <v>45807</v>
      </c>
      <c r="R6016" t="s">
        <v>364</v>
      </c>
      <c r="S6016" t="s">
        <v>415</v>
      </c>
      <c r="T6016" s="14">
        <v>5.5655637254902004</v>
      </c>
    </row>
    <row r="6017" spans="17:20" x14ac:dyDescent="0.3">
      <c r="Q6017" s="93">
        <v>45805</v>
      </c>
      <c r="R6017" t="s">
        <v>479</v>
      </c>
      <c r="S6017" t="s">
        <v>399</v>
      </c>
      <c r="T6017" s="14">
        <v>7397.6106</v>
      </c>
    </row>
    <row r="6018" spans="17:20" x14ac:dyDescent="0.3">
      <c r="Q6018" s="93">
        <v>45805</v>
      </c>
      <c r="R6018" t="s">
        <v>364</v>
      </c>
      <c r="S6018" t="s">
        <v>399</v>
      </c>
      <c r="T6018" s="14">
        <v>15120</v>
      </c>
    </row>
    <row r="6019" spans="17:20" x14ac:dyDescent="0.3">
      <c r="Q6019" s="93">
        <v>45805</v>
      </c>
      <c r="R6019" t="s">
        <v>491</v>
      </c>
      <c r="S6019" t="s">
        <v>399</v>
      </c>
      <c r="T6019" s="14">
        <v>6000</v>
      </c>
    </row>
    <row r="6020" spans="17:20" x14ac:dyDescent="0.3">
      <c r="Q6020" s="93">
        <v>45805</v>
      </c>
      <c r="R6020" t="s">
        <v>492</v>
      </c>
      <c r="S6020" t="s">
        <v>399</v>
      </c>
      <c r="T6020" s="14">
        <v>1397.6106</v>
      </c>
    </row>
    <row r="6021" spans="17:20" x14ac:dyDescent="0.3">
      <c r="Q6021" s="93">
        <v>45805</v>
      </c>
      <c r="R6021" t="s">
        <v>496</v>
      </c>
      <c r="S6021" t="s">
        <v>399</v>
      </c>
      <c r="T6021" s="14">
        <v>14570</v>
      </c>
    </row>
    <row r="6022" spans="17:20" x14ac:dyDescent="0.3">
      <c r="Q6022" s="93">
        <v>45805</v>
      </c>
      <c r="R6022" t="s">
        <v>497</v>
      </c>
      <c r="S6022" t="s">
        <v>399</v>
      </c>
      <c r="T6022" s="14">
        <v>1397.6106</v>
      </c>
    </row>
    <row r="6023" spans="17:20" x14ac:dyDescent="0.3">
      <c r="Q6023" s="93">
        <v>45805</v>
      </c>
      <c r="R6023" t="s">
        <v>498</v>
      </c>
      <c r="S6023" t="s">
        <v>399</v>
      </c>
      <c r="T6023" s="14">
        <v>5700</v>
      </c>
    </row>
    <row r="6024" spans="17:20" x14ac:dyDescent="0.3">
      <c r="Q6024" s="93">
        <v>45805</v>
      </c>
      <c r="R6024" t="s">
        <v>494</v>
      </c>
      <c r="S6024" t="s">
        <v>399</v>
      </c>
      <c r="T6024" s="14">
        <v>1150</v>
      </c>
    </row>
    <row r="6025" spans="17:20" x14ac:dyDescent="0.3">
      <c r="Q6025" s="93">
        <v>45805</v>
      </c>
      <c r="R6025" t="s">
        <v>495</v>
      </c>
      <c r="S6025" t="s">
        <v>399</v>
      </c>
      <c r="T6025" s="14">
        <v>0</v>
      </c>
    </row>
    <row r="6026" spans="17:20" x14ac:dyDescent="0.3">
      <c r="Q6026" s="93">
        <v>45805</v>
      </c>
      <c r="R6026" t="s">
        <v>493</v>
      </c>
      <c r="S6026" t="s">
        <v>399</v>
      </c>
      <c r="T6026" s="14">
        <v>0</v>
      </c>
    </row>
    <row r="6027" spans="17:20" x14ac:dyDescent="0.3">
      <c r="Q6027" s="93">
        <v>45805</v>
      </c>
      <c r="R6027" t="s">
        <v>593</v>
      </c>
      <c r="S6027" t="s">
        <v>399</v>
      </c>
      <c r="T6027" s="14">
        <v>-600</v>
      </c>
    </row>
    <row r="6028" spans="17:20" x14ac:dyDescent="0.3">
      <c r="Q6028" s="93">
        <v>45805</v>
      </c>
      <c r="R6028" t="s">
        <v>594</v>
      </c>
      <c r="S6028" t="s">
        <v>399</v>
      </c>
      <c r="T6028" s="14">
        <v>0</v>
      </c>
    </row>
    <row r="6029" spans="17:20" x14ac:dyDescent="0.3">
      <c r="Q6029" s="93">
        <v>45805</v>
      </c>
      <c r="R6029" t="s">
        <v>595</v>
      </c>
      <c r="S6029" t="s">
        <v>399</v>
      </c>
      <c r="T6029" s="14">
        <v>300</v>
      </c>
    </row>
    <row r="6030" spans="17:20" x14ac:dyDescent="0.3">
      <c r="Q6030" s="93">
        <v>45805</v>
      </c>
      <c r="R6030" t="s">
        <v>479</v>
      </c>
      <c r="S6030" t="s">
        <v>395</v>
      </c>
      <c r="T6030" s="14">
        <v>7135.4232481380004</v>
      </c>
    </row>
    <row r="6031" spans="17:20" x14ac:dyDescent="0.3">
      <c r="Q6031" s="93">
        <v>45805</v>
      </c>
      <c r="R6031" t="s">
        <v>479</v>
      </c>
      <c r="S6031" t="s">
        <v>415</v>
      </c>
      <c r="T6031" s="14">
        <v>6.5679826639999996</v>
      </c>
    </row>
    <row r="6032" spans="17:20" x14ac:dyDescent="0.3">
      <c r="Q6032" s="93">
        <v>45805</v>
      </c>
      <c r="R6032" t="s">
        <v>364</v>
      </c>
      <c r="S6032" t="s">
        <v>415</v>
      </c>
      <c r="T6032" s="14">
        <v>5.55952381</v>
      </c>
    </row>
    <row r="6033" spans="17:20" x14ac:dyDescent="0.3">
      <c r="Q6033" s="93">
        <v>45804</v>
      </c>
      <c r="R6033" t="s">
        <v>479</v>
      </c>
      <c r="S6033" t="s">
        <v>399</v>
      </c>
      <c r="T6033" s="14">
        <v>7397.6106</v>
      </c>
    </row>
    <row r="6034" spans="17:20" x14ac:dyDescent="0.3">
      <c r="Q6034" s="93">
        <v>45804</v>
      </c>
      <c r="R6034" t="s">
        <v>364</v>
      </c>
      <c r="S6034" t="s">
        <v>399</v>
      </c>
      <c r="T6034" s="14">
        <v>15620</v>
      </c>
    </row>
    <row r="6035" spans="17:20" x14ac:dyDescent="0.3">
      <c r="Q6035" s="93">
        <v>45804</v>
      </c>
      <c r="R6035" t="s">
        <v>491</v>
      </c>
      <c r="S6035" t="s">
        <v>399</v>
      </c>
      <c r="T6035" s="14">
        <v>6000</v>
      </c>
    </row>
    <row r="6036" spans="17:20" x14ac:dyDescent="0.3">
      <c r="Q6036" s="93">
        <v>45804</v>
      </c>
      <c r="R6036" t="s">
        <v>492</v>
      </c>
      <c r="S6036" t="s">
        <v>399</v>
      </c>
      <c r="T6036" s="14">
        <v>1397.6106</v>
      </c>
    </row>
    <row r="6037" spans="17:20" x14ac:dyDescent="0.3">
      <c r="Q6037" s="93">
        <v>45804</v>
      </c>
      <c r="R6037" t="s">
        <v>496</v>
      </c>
      <c r="S6037" t="s">
        <v>399</v>
      </c>
      <c r="T6037" s="14">
        <v>15570</v>
      </c>
    </row>
    <row r="6038" spans="17:20" x14ac:dyDescent="0.3">
      <c r="Q6038" s="93">
        <v>45804</v>
      </c>
      <c r="R6038" t="s">
        <v>497</v>
      </c>
      <c r="S6038" t="s">
        <v>399</v>
      </c>
      <c r="T6038" s="14">
        <v>1397.6106</v>
      </c>
    </row>
    <row r="6039" spans="17:20" x14ac:dyDescent="0.3">
      <c r="Q6039" s="93">
        <v>45804</v>
      </c>
      <c r="R6039" t="s">
        <v>498</v>
      </c>
      <c r="S6039" t="s">
        <v>399</v>
      </c>
      <c r="T6039" s="14">
        <v>5700</v>
      </c>
    </row>
    <row r="6040" spans="17:20" x14ac:dyDescent="0.3">
      <c r="Q6040" s="93">
        <v>45804</v>
      </c>
      <c r="R6040" t="s">
        <v>494</v>
      </c>
      <c r="S6040" t="s">
        <v>399</v>
      </c>
      <c r="T6040" s="14">
        <v>1150</v>
      </c>
    </row>
    <row r="6041" spans="17:20" x14ac:dyDescent="0.3">
      <c r="Q6041" s="93">
        <v>45804</v>
      </c>
      <c r="R6041" t="s">
        <v>495</v>
      </c>
      <c r="S6041" t="s">
        <v>399</v>
      </c>
      <c r="T6041" s="14">
        <v>0</v>
      </c>
    </row>
    <row r="6042" spans="17:20" x14ac:dyDescent="0.3">
      <c r="Q6042" s="93">
        <v>45804</v>
      </c>
      <c r="R6042" t="s">
        <v>493</v>
      </c>
      <c r="S6042" t="s">
        <v>399</v>
      </c>
      <c r="T6042" s="14">
        <v>0</v>
      </c>
    </row>
    <row r="6043" spans="17:20" x14ac:dyDescent="0.3">
      <c r="Q6043" s="93">
        <v>45804</v>
      </c>
      <c r="R6043" t="s">
        <v>593</v>
      </c>
      <c r="S6043" t="s">
        <v>399</v>
      </c>
      <c r="T6043" s="14">
        <v>-1100</v>
      </c>
    </row>
    <row r="6044" spans="17:20" x14ac:dyDescent="0.3">
      <c r="Q6044" s="93">
        <v>45804</v>
      </c>
      <c r="R6044" t="s">
        <v>594</v>
      </c>
      <c r="S6044" t="s">
        <v>399</v>
      </c>
      <c r="T6044" s="14">
        <v>0</v>
      </c>
    </row>
    <row r="6045" spans="17:20" x14ac:dyDescent="0.3">
      <c r="Q6045" s="93">
        <v>45804</v>
      </c>
      <c r="R6045" t="s">
        <v>595</v>
      </c>
      <c r="S6045" t="s">
        <v>399</v>
      </c>
      <c r="T6045" s="14">
        <v>300</v>
      </c>
    </row>
    <row r="6046" spans="17:20" x14ac:dyDescent="0.3">
      <c r="Q6046" s="93">
        <v>45804</v>
      </c>
      <c r="R6046" t="s">
        <v>479</v>
      </c>
      <c r="S6046" t="s">
        <v>395</v>
      </c>
      <c r="T6046" s="14">
        <v>7135.7831561989997</v>
      </c>
    </row>
    <row r="6047" spans="17:20" x14ac:dyDescent="0.3">
      <c r="Q6047" s="93">
        <v>45804</v>
      </c>
      <c r="R6047" t="s">
        <v>479</v>
      </c>
      <c r="S6047" t="s">
        <v>415</v>
      </c>
      <c r="T6047" s="14">
        <v>6.5679826639999996</v>
      </c>
    </row>
    <row r="6048" spans="17:20" x14ac:dyDescent="0.3">
      <c r="Q6048" s="93">
        <v>45804</v>
      </c>
      <c r="R6048" t="s">
        <v>364</v>
      </c>
      <c r="S6048" t="s">
        <v>415</v>
      </c>
      <c r="T6048" s="14">
        <v>5.5352112680000003</v>
      </c>
    </row>
    <row r="6049" spans="17:20" x14ac:dyDescent="0.3">
      <c r="Q6049" s="93">
        <v>45803</v>
      </c>
      <c r="R6049" t="s">
        <v>479</v>
      </c>
      <c r="S6049" t="s">
        <v>399</v>
      </c>
      <c r="T6049" s="14">
        <v>7397.6106</v>
      </c>
    </row>
    <row r="6050" spans="17:20" x14ac:dyDescent="0.3">
      <c r="Q6050" s="93">
        <v>45803</v>
      </c>
      <c r="R6050" t="s">
        <v>364</v>
      </c>
      <c r="S6050" t="s">
        <v>399</v>
      </c>
      <c r="T6050" s="14">
        <v>16620</v>
      </c>
    </row>
    <row r="6051" spans="17:20" x14ac:dyDescent="0.3">
      <c r="Q6051" s="93">
        <v>45803</v>
      </c>
      <c r="R6051" t="s">
        <v>491</v>
      </c>
      <c r="S6051" t="s">
        <v>399</v>
      </c>
      <c r="T6051" s="14">
        <v>6000</v>
      </c>
    </row>
    <row r="6052" spans="17:20" x14ac:dyDescent="0.3">
      <c r="Q6052" s="93">
        <v>45803</v>
      </c>
      <c r="R6052" t="s">
        <v>492</v>
      </c>
      <c r="S6052" t="s">
        <v>399</v>
      </c>
      <c r="T6052" s="14">
        <v>1397.6106</v>
      </c>
    </row>
    <row r="6053" spans="17:20" x14ac:dyDescent="0.3">
      <c r="Q6053" s="93">
        <v>45803</v>
      </c>
      <c r="R6053" t="s">
        <v>496</v>
      </c>
      <c r="S6053" t="s">
        <v>399</v>
      </c>
      <c r="T6053" s="14">
        <v>14520</v>
      </c>
    </row>
    <row r="6054" spans="17:20" x14ac:dyDescent="0.3">
      <c r="Q6054" s="93">
        <v>45803</v>
      </c>
      <c r="R6054" t="s">
        <v>497</v>
      </c>
      <c r="S6054" t="s">
        <v>399</v>
      </c>
      <c r="T6054" s="14">
        <v>1397.6106</v>
      </c>
    </row>
    <row r="6055" spans="17:20" x14ac:dyDescent="0.3">
      <c r="Q6055" s="93">
        <v>45803</v>
      </c>
      <c r="R6055" t="s">
        <v>498</v>
      </c>
      <c r="S6055" t="s">
        <v>399</v>
      </c>
      <c r="T6055" s="14">
        <v>5700</v>
      </c>
    </row>
    <row r="6056" spans="17:20" x14ac:dyDescent="0.3">
      <c r="Q6056" s="93">
        <v>45803</v>
      </c>
      <c r="R6056" t="s">
        <v>494</v>
      </c>
      <c r="S6056" t="s">
        <v>399</v>
      </c>
      <c r="T6056" s="14">
        <v>2700</v>
      </c>
    </row>
    <row r="6057" spans="17:20" x14ac:dyDescent="0.3">
      <c r="Q6057" s="93">
        <v>45803</v>
      </c>
      <c r="R6057" t="s">
        <v>495</v>
      </c>
      <c r="S6057" t="s">
        <v>399</v>
      </c>
      <c r="T6057" s="14">
        <v>0</v>
      </c>
    </row>
    <row r="6058" spans="17:20" x14ac:dyDescent="0.3">
      <c r="Q6058" s="93">
        <v>45803</v>
      </c>
      <c r="R6058" t="s">
        <v>493</v>
      </c>
      <c r="S6058" t="s">
        <v>399</v>
      </c>
      <c r="T6058" s="14">
        <v>0</v>
      </c>
    </row>
    <row r="6059" spans="17:20" x14ac:dyDescent="0.3">
      <c r="Q6059" s="93">
        <v>45803</v>
      </c>
      <c r="R6059" t="s">
        <v>593</v>
      </c>
      <c r="S6059" t="s">
        <v>399</v>
      </c>
      <c r="T6059" s="14">
        <v>-600</v>
      </c>
    </row>
    <row r="6060" spans="17:20" x14ac:dyDescent="0.3">
      <c r="Q6060" s="93">
        <v>45803</v>
      </c>
      <c r="R6060" t="s">
        <v>594</v>
      </c>
      <c r="S6060" t="s">
        <v>399</v>
      </c>
      <c r="T6060" s="14">
        <v>0</v>
      </c>
    </row>
    <row r="6061" spans="17:20" x14ac:dyDescent="0.3">
      <c r="Q6061" s="93">
        <v>45803</v>
      </c>
      <c r="R6061" t="s">
        <v>595</v>
      </c>
      <c r="S6061" t="s">
        <v>399</v>
      </c>
      <c r="T6061" s="14">
        <v>300</v>
      </c>
    </row>
    <row r="6062" spans="17:20" x14ac:dyDescent="0.3">
      <c r="Q6062" s="93">
        <v>45803</v>
      </c>
      <c r="R6062" t="s">
        <v>479</v>
      </c>
      <c r="S6062" t="s">
        <v>395</v>
      </c>
      <c r="T6062" s="14">
        <v>7137.4012202049998</v>
      </c>
    </row>
    <row r="6063" spans="17:20" x14ac:dyDescent="0.3">
      <c r="Q6063" s="93">
        <v>45803</v>
      </c>
      <c r="R6063" t="s">
        <v>479</v>
      </c>
      <c r="S6063" t="s">
        <v>415</v>
      </c>
      <c r="T6063" s="14">
        <v>6.5679826639999996</v>
      </c>
    </row>
    <row r="6064" spans="17:20" x14ac:dyDescent="0.3">
      <c r="Q6064" s="93">
        <v>45803</v>
      </c>
      <c r="R6064" t="s">
        <v>364</v>
      </c>
      <c r="S6064" t="s">
        <v>415</v>
      </c>
      <c r="T6064" s="14">
        <v>5.5030084239999999</v>
      </c>
    </row>
    <row r="6065" spans="17:20" x14ac:dyDescent="0.3">
      <c r="Q6065" s="93">
        <v>45800</v>
      </c>
      <c r="R6065" t="s">
        <v>479</v>
      </c>
      <c r="S6065" t="s">
        <v>399</v>
      </c>
      <c r="T6065" s="14">
        <v>6997.6106</v>
      </c>
    </row>
    <row r="6066" spans="17:20" x14ac:dyDescent="0.3">
      <c r="Q6066" s="93">
        <v>45800</v>
      </c>
      <c r="R6066" t="s">
        <v>364</v>
      </c>
      <c r="S6066" t="s">
        <v>399</v>
      </c>
      <c r="T6066" s="14">
        <v>17220</v>
      </c>
    </row>
    <row r="6067" spans="17:20" x14ac:dyDescent="0.3">
      <c r="Q6067" s="93">
        <v>45800</v>
      </c>
      <c r="R6067" t="s">
        <v>491</v>
      </c>
      <c r="S6067" t="s">
        <v>399</v>
      </c>
      <c r="T6067" s="14">
        <v>5600</v>
      </c>
    </row>
    <row r="6068" spans="17:20" x14ac:dyDescent="0.3">
      <c r="Q6068" s="93">
        <v>45800</v>
      </c>
      <c r="R6068" t="s">
        <v>492</v>
      </c>
      <c r="S6068" t="s">
        <v>399</v>
      </c>
      <c r="T6068" s="14">
        <v>1397.6106</v>
      </c>
    </row>
    <row r="6069" spans="17:20" x14ac:dyDescent="0.3">
      <c r="Q6069" s="93">
        <v>45800</v>
      </c>
      <c r="R6069" t="s">
        <v>496</v>
      </c>
      <c r="S6069" t="s">
        <v>399</v>
      </c>
      <c r="T6069" s="14">
        <v>11720</v>
      </c>
    </row>
    <row r="6070" spans="17:20" x14ac:dyDescent="0.3">
      <c r="Q6070" s="93">
        <v>45800</v>
      </c>
      <c r="R6070" t="s">
        <v>497</v>
      </c>
      <c r="S6070" t="s">
        <v>399</v>
      </c>
      <c r="T6070" s="14">
        <v>1397.6106</v>
      </c>
    </row>
    <row r="6071" spans="17:20" x14ac:dyDescent="0.3">
      <c r="Q6071" s="93">
        <v>45800</v>
      </c>
      <c r="R6071" t="s">
        <v>498</v>
      </c>
      <c r="S6071" t="s">
        <v>399</v>
      </c>
      <c r="T6071" s="14">
        <v>5300</v>
      </c>
    </row>
    <row r="6072" spans="17:20" x14ac:dyDescent="0.3">
      <c r="Q6072" s="93">
        <v>45800</v>
      </c>
      <c r="R6072" t="s">
        <v>494</v>
      </c>
      <c r="S6072" t="s">
        <v>399</v>
      </c>
      <c r="T6072" s="14">
        <v>3750</v>
      </c>
    </row>
    <row r="6073" spans="17:20" x14ac:dyDescent="0.3">
      <c r="Q6073" s="93">
        <v>45800</v>
      </c>
      <c r="R6073" t="s">
        <v>495</v>
      </c>
      <c r="S6073" t="s">
        <v>399</v>
      </c>
      <c r="T6073" s="14">
        <v>0</v>
      </c>
    </row>
    <row r="6074" spans="17:20" x14ac:dyDescent="0.3">
      <c r="Q6074" s="93">
        <v>45800</v>
      </c>
      <c r="R6074" t="s">
        <v>493</v>
      </c>
      <c r="S6074" t="s">
        <v>399</v>
      </c>
      <c r="T6074" s="14">
        <v>0</v>
      </c>
    </row>
    <row r="6075" spans="17:20" x14ac:dyDescent="0.3">
      <c r="Q6075" s="93">
        <v>45800</v>
      </c>
      <c r="R6075" t="s">
        <v>593</v>
      </c>
      <c r="S6075" t="s">
        <v>399</v>
      </c>
      <c r="T6075" s="14">
        <v>1750</v>
      </c>
    </row>
    <row r="6076" spans="17:20" x14ac:dyDescent="0.3">
      <c r="Q6076" s="93">
        <v>45800</v>
      </c>
      <c r="R6076" t="s">
        <v>594</v>
      </c>
      <c r="S6076" t="s">
        <v>399</v>
      </c>
      <c r="T6076" s="14">
        <v>0</v>
      </c>
    </row>
    <row r="6077" spans="17:20" x14ac:dyDescent="0.3">
      <c r="Q6077" s="93">
        <v>45800</v>
      </c>
      <c r="R6077" t="s">
        <v>595</v>
      </c>
      <c r="S6077" t="s">
        <v>399</v>
      </c>
      <c r="T6077" s="14">
        <v>300</v>
      </c>
    </row>
    <row r="6078" spans="17:20" x14ac:dyDescent="0.3">
      <c r="Q6078" s="93">
        <v>45800</v>
      </c>
      <c r="R6078" t="s">
        <v>479</v>
      </c>
      <c r="S6078" t="s">
        <v>395</v>
      </c>
      <c r="T6078" s="14">
        <v>7142.3316722469999</v>
      </c>
    </row>
    <row r="6079" spans="17:20" x14ac:dyDescent="0.3">
      <c r="Q6079" s="93">
        <v>45800</v>
      </c>
      <c r="R6079" t="s">
        <v>479</v>
      </c>
      <c r="S6079" t="s">
        <v>415</v>
      </c>
      <c r="T6079" s="14">
        <v>6.5547200029999999</v>
      </c>
    </row>
    <row r="6080" spans="17:20" x14ac:dyDescent="0.3">
      <c r="Q6080" s="93">
        <v>45800</v>
      </c>
      <c r="R6080" t="s">
        <v>364</v>
      </c>
      <c r="S6080" t="s">
        <v>415</v>
      </c>
      <c r="T6080" s="14">
        <v>5.409337507</v>
      </c>
    </row>
    <row r="6081" spans="17:20" x14ac:dyDescent="0.3">
      <c r="Q6081" s="93">
        <v>45799</v>
      </c>
      <c r="R6081" t="s">
        <v>479</v>
      </c>
      <c r="S6081" t="s">
        <v>399</v>
      </c>
      <c r="T6081" s="14">
        <v>6997.6106</v>
      </c>
    </row>
    <row r="6082" spans="17:20" x14ac:dyDescent="0.3">
      <c r="Q6082" s="93">
        <v>45799</v>
      </c>
      <c r="R6082" t="s">
        <v>364</v>
      </c>
      <c r="S6082" t="s">
        <v>399</v>
      </c>
      <c r="T6082" s="14">
        <v>19170</v>
      </c>
    </row>
    <row r="6083" spans="17:20" x14ac:dyDescent="0.3">
      <c r="Q6083" s="93">
        <v>45799</v>
      </c>
      <c r="R6083" t="s">
        <v>491</v>
      </c>
      <c r="S6083" t="s">
        <v>399</v>
      </c>
      <c r="T6083" s="14">
        <v>5600</v>
      </c>
    </row>
    <row r="6084" spans="17:20" x14ac:dyDescent="0.3">
      <c r="Q6084" s="93">
        <v>45799</v>
      </c>
      <c r="R6084" t="s">
        <v>492</v>
      </c>
      <c r="S6084" t="s">
        <v>399</v>
      </c>
      <c r="T6084" s="14">
        <v>1397.6106</v>
      </c>
    </row>
    <row r="6085" spans="17:20" x14ac:dyDescent="0.3">
      <c r="Q6085" s="93">
        <v>45799</v>
      </c>
      <c r="R6085" t="s">
        <v>496</v>
      </c>
      <c r="S6085" t="s">
        <v>399</v>
      </c>
      <c r="T6085" s="14">
        <v>12670</v>
      </c>
    </row>
    <row r="6086" spans="17:20" x14ac:dyDescent="0.3">
      <c r="Q6086" s="93">
        <v>45799</v>
      </c>
      <c r="R6086" t="s">
        <v>497</v>
      </c>
      <c r="S6086" t="s">
        <v>399</v>
      </c>
      <c r="T6086" s="14">
        <v>1397.6106</v>
      </c>
    </row>
    <row r="6087" spans="17:20" x14ac:dyDescent="0.3">
      <c r="Q6087" s="93">
        <v>45799</v>
      </c>
      <c r="R6087" t="s">
        <v>498</v>
      </c>
      <c r="S6087" t="s">
        <v>399</v>
      </c>
      <c r="T6087" s="14">
        <v>5300</v>
      </c>
    </row>
    <row r="6088" spans="17:20" x14ac:dyDescent="0.3">
      <c r="Q6088" s="93">
        <v>45799</v>
      </c>
      <c r="R6088" t="s">
        <v>494</v>
      </c>
      <c r="S6088" t="s">
        <v>399</v>
      </c>
      <c r="T6088" s="14">
        <v>2950</v>
      </c>
    </row>
    <row r="6089" spans="17:20" x14ac:dyDescent="0.3">
      <c r="Q6089" s="93">
        <v>45799</v>
      </c>
      <c r="R6089" t="s">
        <v>495</v>
      </c>
      <c r="S6089" t="s">
        <v>399</v>
      </c>
      <c r="T6089" s="14">
        <v>0</v>
      </c>
    </row>
    <row r="6090" spans="17:20" x14ac:dyDescent="0.3">
      <c r="Q6090" s="93">
        <v>45799</v>
      </c>
      <c r="R6090" t="s">
        <v>493</v>
      </c>
      <c r="S6090" t="s">
        <v>399</v>
      </c>
      <c r="T6090" s="14">
        <v>0</v>
      </c>
    </row>
    <row r="6091" spans="17:20" x14ac:dyDescent="0.3">
      <c r="Q6091" s="93">
        <v>45799</v>
      </c>
      <c r="R6091" t="s">
        <v>593</v>
      </c>
      <c r="S6091" t="s">
        <v>399</v>
      </c>
      <c r="T6091" s="14">
        <v>3550</v>
      </c>
    </row>
    <row r="6092" spans="17:20" x14ac:dyDescent="0.3">
      <c r="Q6092" s="93">
        <v>45799</v>
      </c>
      <c r="R6092" t="s">
        <v>594</v>
      </c>
      <c r="S6092" t="s">
        <v>399</v>
      </c>
      <c r="T6092" s="14">
        <v>0</v>
      </c>
    </row>
    <row r="6093" spans="17:20" x14ac:dyDescent="0.3">
      <c r="Q6093" s="93">
        <v>45799</v>
      </c>
      <c r="R6093" t="s">
        <v>595</v>
      </c>
      <c r="S6093" t="s">
        <v>399</v>
      </c>
      <c r="T6093" s="14">
        <v>300</v>
      </c>
    </row>
    <row r="6094" spans="17:20" x14ac:dyDescent="0.3">
      <c r="Q6094" s="93">
        <v>45799</v>
      </c>
      <c r="R6094" t="s">
        <v>479</v>
      </c>
      <c r="S6094" t="s">
        <v>395</v>
      </c>
      <c r="T6094" s="14">
        <v>7143.392616524</v>
      </c>
    </row>
    <row r="6095" spans="17:20" x14ac:dyDescent="0.3">
      <c r="Q6095" s="93">
        <v>45799</v>
      </c>
      <c r="R6095" t="s">
        <v>479</v>
      </c>
      <c r="S6095" t="s">
        <v>415</v>
      </c>
      <c r="T6095" s="14">
        <v>6.5547200029999999</v>
      </c>
    </row>
    <row r="6096" spans="17:20" x14ac:dyDescent="0.3">
      <c r="Q6096" s="93">
        <v>45799</v>
      </c>
      <c r="R6096" t="s">
        <v>364</v>
      </c>
      <c r="S6096" t="s">
        <v>415</v>
      </c>
      <c r="T6096" s="14">
        <v>5.409337507</v>
      </c>
    </row>
    <row r="6097" spans="17:20" x14ac:dyDescent="0.3">
      <c r="Q6097" s="93">
        <v>45798</v>
      </c>
      <c r="R6097" t="s">
        <v>479</v>
      </c>
      <c r="S6097" t="s">
        <v>399</v>
      </c>
      <c r="T6097" s="14">
        <v>6997.6106</v>
      </c>
    </row>
    <row r="6098" spans="17:20" x14ac:dyDescent="0.3">
      <c r="Q6098" s="93">
        <v>45798</v>
      </c>
      <c r="R6098" t="s">
        <v>364</v>
      </c>
      <c r="S6098" t="s">
        <v>399</v>
      </c>
      <c r="T6098" s="14">
        <v>17170</v>
      </c>
    </row>
    <row r="6099" spans="17:20" x14ac:dyDescent="0.3">
      <c r="Q6099" s="93">
        <v>45798</v>
      </c>
      <c r="R6099" t="s">
        <v>491</v>
      </c>
      <c r="S6099" t="s">
        <v>399</v>
      </c>
      <c r="T6099" s="14">
        <v>5600</v>
      </c>
    </row>
    <row r="6100" spans="17:20" x14ac:dyDescent="0.3">
      <c r="Q6100" s="93">
        <v>45798</v>
      </c>
      <c r="R6100" t="s">
        <v>492</v>
      </c>
      <c r="S6100" t="s">
        <v>399</v>
      </c>
      <c r="T6100" s="14">
        <v>1397.6106</v>
      </c>
    </row>
    <row r="6101" spans="17:20" x14ac:dyDescent="0.3">
      <c r="Q6101" s="93">
        <v>45798</v>
      </c>
      <c r="R6101" t="s">
        <v>496</v>
      </c>
      <c r="S6101" t="s">
        <v>399</v>
      </c>
      <c r="T6101" s="14">
        <v>12320</v>
      </c>
    </row>
    <row r="6102" spans="17:20" x14ac:dyDescent="0.3">
      <c r="Q6102" s="93">
        <v>45798</v>
      </c>
      <c r="R6102" t="s">
        <v>497</v>
      </c>
      <c r="S6102" t="s">
        <v>399</v>
      </c>
      <c r="T6102" s="14">
        <v>1397.6106</v>
      </c>
    </row>
    <row r="6103" spans="17:20" x14ac:dyDescent="0.3">
      <c r="Q6103" s="93">
        <v>45798</v>
      </c>
      <c r="R6103" t="s">
        <v>498</v>
      </c>
      <c r="S6103" t="s">
        <v>399</v>
      </c>
      <c r="T6103" s="14">
        <v>5300</v>
      </c>
    </row>
    <row r="6104" spans="17:20" x14ac:dyDescent="0.3">
      <c r="Q6104" s="93">
        <v>45798</v>
      </c>
      <c r="R6104" t="s">
        <v>494</v>
      </c>
      <c r="S6104" t="s">
        <v>399</v>
      </c>
      <c r="T6104" s="14">
        <v>1300</v>
      </c>
    </row>
    <row r="6105" spans="17:20" x14ac:dyDescent="0.3">
      <c r="Q6105" s="93">
        <v>45798</v>
      </c>
      <c r="R6105" t="s">
        <v>495</v>
      </c>
      <c r="S6105" t="s">
        <v>399</v>
      </c>
      <c r="T6105" s="14">
        <v>0</v>
      </c>
    </row>
    <row r="6106" spans="17:20" x14ac:dyDescent="0.3">
      <c r="Q6106" s="93">
        <v>45798</v>
      </c>
      <c r="R6106" t="s">
        <v>493</v>
      </c>
      <c r="S6106" t="s">
        <v>399</v>
      </c>
      <c r="T6106" s="14">
        <v>0</v>
      </c>
    </row>
    <row r="6107" spans="17:20" x14ac:dyDescent="0.3">
      <c r="Q6107" s="93">
        <v>45798</v>
      </c>
      <c r="R6107" t="s">
        <v>593</v>
      </c>
      <c r="S6107" t="s">
        <v>399</v>
      </c>
      <c r="T6107" s="14">
        <v>3550</v>
      </c>
    </row>
    <row r="6108" spans="17:20" x14ac:dyDescent="0.3">
      <c r="Q6108" s="93">
        <v>45798</v>
      </c>
      <c r="R6108" t="s">
        <v>594</v>
      </c>
      <c r="S6108" t="s">
        <v>399</v>
      </c>
      <c r="T6108" s="14">
        <v>0</v>
      </c>
    </row>
    <row r="6109" spans="17:20" x14ac:dyDescent="0.3">
      <c r="Q6109" s="93">
        <v>45798</v>
      </c>
      <c r="R6109" t="s">
        <v>595</v>
      </c>
      <c r="S6109" t="s">
        <v>399</v>
      </c>
      <c r="T6109" s="14">
        <v>300</v>
      </c>
    </row>
    <row r="6110" spans="17:20" x14ac:dyDescent="0.3">
      <c r="Q6110" s="93">
        <v>45798</v>
      </c>
      <c r="R6110" t="s">
        <v>479</v>
      </c>
      <c r="S6110" t="s">
        <v>395</v>
      </c>
      <c r="T6110" s="14">
        <v>7143.9362221040001</v>
      </c>
    </row>
    <row r="6111" spans="17:20" x14ac:dyDescent="0.3">
      <c r="Q6111" s="93">
        <v>45798</v>
      </c>
      <c r="R6111" t="s">
        <v>479</v>
      </c>
      <c r="S6111" t="s">
        <v>415</v>
      </c>
      <c r="T6111" s="14">
        <v>6.5547200029999999</v>
      </c>
    </row>
    <row r="6112" spans="17:20" x14ac:dyDescent="0.3">
      <c r="Q6112" s="93">
        <v>45798</v>
      </c>
      <c r="R6112" t="s">
        <v>364</v>
      </c>
      <c r="S6112" t="s">
        <v>415</v>
      </c>
      <c r="T6112" s="14">
        <v>5.3976121140000002</v>
      </c>
    </row>
    <row r="6113" spans="17:20" x14ac:dyDescent="0.3">
      <c r="Q6113" s="93">
        <v>45797</v>
      </c>
      <c r="R6113" t="s">
        <v>479</v>
      </c>
      <c r="S6113" t="s">
        <v>399</v>
      </c>
      <c r="T6113" s="14">
        <v>6997.6106</v>
      </c>
    </row>
    <row r="6114" spans="17:20" x14ac:dyDescent="0.3">
      <c r="Q6114" s="93">
        <v>45797</v>
      </c>
      <c r="R6114" t="s">
        <v>479</v>
      </c>
      <c r="S6114" t="s">
        <v>415</v>
      </c>
      <c r="T6114" s="14">
        <v>6.5547200029999999</v>
      </c>
    </row>
    <row r="6115" spans="17:20" x14ac:dyDescent="0.3">
      <c r="Q6115" s="93">
        <v>45797</v>
      </c>
      <c r="R6115" t="s">
        <v>364</v>
      </c>
      <c r="S6115" t="s">
        <v>415</v>
      </c>
      <c r="T6115" s="14">
        <v>5.4128760529999997</v>
      </c>
    </row>
    <row r="6116" spans="17:20" x14ac:dyDescent="0.3">
      <c r="Q6116" s="93">
        <v>45797</v>
      </c>
      <c r="R6116" t="s">
        <v>364</v>
      </c>
      <c r="S6116" t="s">
        <v>399</v>
      </c>
      <c r="T6116" s="14">
        <v>16620</v>
      </c>
    </row>
    <row r="6117" spans="17:20" x14ac:dyDescent="0.3">
      <c r="Q6117" s="93">
        <v>45797</v>
      </c>
      <c r="R6117" t="s">
        <v>491</v>
      </c>
      <c r="S6117" t="s">
        <v>399</v>
      </c>
      <c r="T6117" s="14">
        <v>1397.6106</v>
      </c>
    </row>
    <row r="6118" spans="17:20" x14ac:dyDescent="0.3">
      <c r="Q6118" s="93">
        <v>45797</v>
      </c>
      <c r="R6118" t="s">
        <v>492</v>
      </c>
      <c r="S6118" t="s">
        <v>399</v>
      </c>
      <c r="T6118" s="14">
        <v>5600</v>
      </c>
    </row>
    <row r="6119" spans="17:20" x14ac:dyDescent="0.3">
      <c r="Q6119" s="93">
        <v>45797</v>
      </c>
      <c r="R6119" t="s">
        <v>496</v>
      </c>
      <c r="S6119" t="s">
        <v>399</v>
      </c>
      <c r="T6119" s="14">
        <v>12320</v>
      </c>
    </row>
    <row r="6120" spans="17:20" x14ac:dyDescent="0.3">
      <c r="Q6120" s="93">
        <v>45797</v>
      </c>
      <c r="R6120" t="s">
        <v>497</v>
      </c>
      <c r="S6120" t="s">
        <v>399</v>
      </c>
      <c r="T6120" s="14">
        <v>5300</v>
      </c>
    </row>
    <row r="6121" spans="17:20" x14ac:dyDescent="0.3">
      <c r="Q6121" s="93">
        <v>45797</v>
      </c>
      <c r="R6121" t="s">
        <v>498</v>
      </c>
      <c r="S6121" t="s">
        <v>399</v>
      </c>
      <c r="T6121" s="14">
        <v>1397.6106</v>
      </c>
    </row>
    <row r="6122" spans="17:20" x14ac:dyDescent="0.3">
      <c r="Q6122" s="93">
        <v>45797</v>
      </c>
      <c r="R6122" t="s">
        <v>494</v>
      </c>
      <c r="S6122" t="s">
        <v>399</v>
      </c>
      <c r="T6122" s="14">
        <v>4300</v>
      </c>
    </row>
    <row r="6123" spans="17:20" x14ac:dyDescent="0.3">
      <c r="Q6123" s="93">
        <v>45797</v>
      </c>
      <c r="R6123" t="s">
        <v>495</v>
      </c>
      <c r="S6123" t="s">
        <v>399</v>
      </c>
      <c r="T6123" s="14">
        <v>300</v>
      </c>
    </row>
    <row r="6124" spans="17:20" x14ac:dyDescent="0.3">
      <c r="Q6124" s="93">
        <v>45797</v>
      </c>
      <c r="R6124" t="s">
        <v>493</v>
      </c>
      <c r="S6124" t="s">
        <v>399</v>
      </c>
      <c r="T6124" s="14">
        <v>0</v>
      </c>
    </row>
    <row r="6125" spans="17:20" x14ac:dyDescent="0.3">
      <c r="Q6125" s="93">
        <v>45797</v>
      </c>
      <c r="R6125" t="s">
        <v>479</v>
      </c>
      <c r="S6125" t="s">
        <v>395</v>
      </c>
      <c r="T6125" s="14">
        <v>7143.157498865</v>
      </c>
    </row>
    <row r="6126" spans="17:20" x14ac:dyDescent="0.3">
      <c r="Q6126" s="93">
        <v>45796</v>
      </c>
      <c r="R6126" t="s">
        <v>479</v>
      </c>
      <c r="S6126" t="s">
        <v>399</v>
      </c>
      <c r="T6126" s="14">
        <v>6997.6106</v>
      </c>
    </row>
    <row r="6127" spans="17:20" x14ac:dyDescent="0.3">
      <c r="Q6127" s="93">
        <v>45796</v>
      </c>
      <c r="R6127" t="s">
        <v>364</v>
      </c>
      <c r="S6127" t="s">
        <v>399</v>
      </c>
      <c r="T6127" s="14">
        <v>16620</v>
      </c>
    </row>
    <row r="6128" spans="17:20" x14ac:dyDescent="0.3">
      <c r="Q6128" s="93">
        <v>45796</v>
      </c>
      <c r="R6128" t="s">
        <v>491</v>
      </c>
      <c r="S6128" t="s">
        <v>399</v>
      </c>
      <c r="T6128" s="14">
        <v>1397.6106</v>
      </c>
    </row>
    <row r="6129" spans="17:20" x14ac:dyDescent="0.3">
      <c r="Q6129" s="93">
        <v>45796</v>
      </c>
      <c r="R6129" t="s">
        <v>492</v>
      </c>
      <c r="S6129" t="s">
        <v>399</v>
      </c>
      <c r="T6129" s="14">
        <v>5600</v>
      </c>
    </row>
    <row r="6130" spans="17:20" x14ac:dyDescent="0.3">
      <c r="Q6130" s="93">
        <v>45796</v>
      </c>
      <c r="R6130" t="s">
        <v>496</v>
      </c>
      <c r="S6130" t="s">
        <v>399</v>
      </c>
      <c r="T6130" s="14">
        <v>12120</v>
      </c>
    </row>
    <row r="6131" spans="17:20" x14ac:dyDescent="0.3">
      <c r="Q6131" s="93">
        <v>45796</v>
      </c>
      <c r="R6131" t="s">
        <v>497</v>
      </c>
      <c r="S6131" t="s">
        <v>399</v>
      </c>
      <c r="T6131" s="14">
        <v>5300</v>
      </c>
    </row>
    <row r="6132" spans="17:20" x14ac:dyDescent="0.3">
      <c r="Q6132" s="93">
        <v>45796</v>
      </c>
      <c r="R6132" t="s">
        <v>498</v>
      </c>
      <c r="S6132" t="s">
        <v>399</v>
      </c>
      <c r="T6132" s="14">
        <v>1397.6106</v>
      </c>
    </row>
    <row r="6133" spans="17:20" x14ac:dyDescent="0.3">
      <c r="Q6133" s="93">
        <v>45796</v>
      </c>
      <c r="R6133" t="s">
        <v>494</v>
      </c>
      <c r="S6133" t="s">
        <v>399</v>
      </c>
      <c r="T6133" s="14">
        <v>4500</v>
      </c>
    </row>
    <row r="6134" spans="17:20" x14ac:dyDescent="0.3">
      <c r="Q6134" s="93">
        <v>45796</v>
      </c>
      <c r="R6134" t="s">
        <v>495</v>
      </c>
      <c r="S6134" t="s">
        <v>399</v>
      </c>
      <c r="T6134" s="14">
        <v>300</v>
      </c>
    </row>
    <row r="6135" spans="17:20" x14ac:dyDescent="0.3">
      <c r="Q6135" s="93">
        <v>45796</v>
      </c>
      <c r="R6135" t="s">
        <v>493</v>
      </c>
      <c r="S6135" t="s">
        <v>399</v>
      </c>
      <c r="T6135" s="14">
        <v>0</v>
      </c>
    </row>
    <row r="6136" spans="17:20" x14ac:dyDescent="0.3">
      <c r="Q6136" s="93">
        <v>45796</v>
      </c>
      <c r="R6136" t="s">
        <v>479</v>
      </c>
      <c r="S6136" t="s">
        <v>395</v>
      </c>
      <c r="T6136" s="14">
        <v>7143.9118414289997</v>
      </c>
    </row>
    <row r="6137" spans="17:20" x14ac:dyDescent="0.3">
      <c r="Q6137" s="93">
        <v>45796</v>
      </c>
      <c r="R6137" t="s">
        <v>479</v>
      </c>
      <c r="S6137" t="s">
        <v>415</v>
      </c>
      <c r="T6137" s="14">
        <v>6.5547200029999999</v>
      </c>
    </row>
    <row r="6138" spans="17:20" x14ac:dyDescent="0.3">
      <c r="Q6138" s="93">
        <v>45796</v>
      </c>
      <c r="R6138" t="s">
        <v>364</v>
      </c>
      <c r="S6138" t="s">
        <v>415</v>
      </c>
      <c r="T6138" s="14">
        <v>5.4128760529999997</v>
      </c>
    </row>
    <row r="6139" spans="17:20" x14ac:dyDescent="0.3">
      <c r="Q6139" s="93">
        <v>45793</v>
      </c>
      <c r="R6139" t="s">
        <v>498</v>
      </c>
      <c r="S6139" t="s">
        <v>399</v>
      </c>
      <c r="T6139" s="14">
        <v>1397.6106</v>
      </c>
    </row>
    <row r="6140" spans="17:20" x14ac:dyDescent="0.3">
      <c r="Q6140" s="93">
        <v>45793</v>
      </c>
      <c r="R6140" t="s">
        <v>494</v>
      </c>
      <c r="S6140" t="s">
        <v>399</v>
      </c>
      <c r="T6140" s="14">
        <v>8150</v>
      </c>
    </row>
    <row r="6141" spans="17:20" x14ac:dyDescent="0.3">
      <c r="Q6141" s="93">
        <v>45793</v>
      </c>
      <c r="R6141" t="s">
        <v>495</v>
      </c>
      <c r="S6141" t="s">
        <v>399</v>
      </c>
      <c r="T6141" s="14">
        <v>300</v>
      </c>
    </row>
    <row r="6142" spans="17:20" x14ac:dyDescent="0.3">
      <c r="Q6142" s="93">
        <v>45793</v>
      </c>
      <c r="R6142" t="s">
        <v>493</v>
      </c>
      <c r="S6142" t="s">
        <v>399</v>
      </c>
      <c r="T6142" s="14">
        <v>0</v>
      </c>
    </row>
    <row r="6143" spans="17:20" x14ac:dyDescent="0.3">
      <c r="Q6143" s="93">
        <v>45793</v>
      </c>
      <c r="R6143" t="s">
        <v>479</v>
      </c>
      <c r="S6143" t="s">
        <v>395</v>
      </c>
      <c r="T6143" s="14">
        <v>7145.914610236</v>
      </c>
    </row>
    <row r="6144" spans="17:20" x14ac:dyDescent="0.3">
      <c r="Q6144" s="93">
        <v>45793</v>
      </c>
      <c r="R6144" t="s">
        <v>479</v>
      </c>
      <c r="S6144" t="s">
        <v>399</v>
      </c>
      <c r="T6144" s="14">
        <v>6997.6106</v>
      </c>
    </row>
    <row r="6145" spans="17:20" x14ac:dyDescent="0.3">
      <c r="Q6145" s="93">
        <v>45793</v>
      </c>
      <c r="R6145" t="s">
        <v>364</v>
      </c>
      <c r="S6145" t="s">
        <v>399</v>
      </c>
      <c r="T6145" s="14">
        <v>18270</v>
      </c>
    </row>
    <row r="6146" spans="17:20" x14ac:dyDescent="0.3">
      <c r="Q6146" s="93">
        <v>45793</v>
      </c>
      <c r="R6146" t="s">
        <v>491</v>
      </c>
      <c r="S6146" t="s">
        <v>399</v>
      </c>
      <c r="T6146" s="14">
        <v>1397.6106</v>
      </c>
    </row>
    <row r="6147" spans="17:20" x14ac:dyDescent="0.3">
      <c r="Q6147" s="93">
        <v>45793</v>
      </c>
      <c r="R6147" t="s">
        <v>492</v>
      </c>
      <c r="S6147" t="s">
        <v>399</v>
      </c>
      <c r="T6147" s="14">
        <v>5600</v>
      </c>
    </row>
    <row r="6148" spans="17:20" x14ac:dyDescent="0.3">
      <c r="Q6148" s="93">
        <v>45793</v>
      </c>
      <c r="R6148" t="s">
        <v>496</v>
      </c>
      <c r="S6148" t="s">
        <v>399</v>
      </c>
      <c r="T6148" s="14">
        <v>10120</v>
      </c>
    </row>
    <row r="6149" spans="17:20" x14ac:dyDescent="0.3">
      <c r="Q6149" s="93">
        <v>45793</v>
      </c>
      <c r="R6149" t="s">
        <v>497</v>
      </c>
      <c r="S6149" t="s">
        <v>399</v>
      </c>
      <c r="T6149" s="14">
        <v>5300</v>
      </c>
    </row>
    <row r="6150" spans="17:20" x14ac:dyDescent="0.3">
      <c r="Q6150" s="93">
        <v>45793</v>
      </c>
      <c r="R6150" t="s">
        <v>364</v>
      </c>
      <c r="S6150" t="s">
        <v>415</v>
      </c>
      <c r="T6150" s="14">
        <v>5.4004926109999998</v>
      </c>
    </row>
    <row r="6151" spans="17:20" x14ac:dyDescent="0.3">
      <c r="Q6151" s="93">
        <v>45793</v>
      </c>
      <c r="R6151" t="s">
        <v>479</v>
      </c>
      <c r="S6151" t="s">
        <v>415</v>
      </c>
      <c r="T6151" s="14">
        <v>6.5547200029999999</v>
      </c>
    </row>
    <row r="6152" spans="17:20" x14ac:dyDescent="0.3">
      <c r="Q6152" s="93">
        <v>45792</v>
      </c>
      <c r="R6152" t="s">
        <v>479</v>
      </c>
      <c r="S6152" t="s">
        <v>399</v>
      </c>
      <c r="T6152" s="14">
        <v>6997.6106</v>
      </c>
    </row>
    <row r="6153" spans="17:20" x14ac:dyDescent="0.3">
      <c r="Q6153" s="93">
        <v>45792</v>
      </c>
      <c r="R6153" t="s">
        <v>364</v>
      </c>
      <c r="S6153" t="s">
        <v>399</v>
      </c>
      <c r="T6153" s="14">
        <v>18270</v>
      </c>
    </row>
    <row r="6154" spans="17:20" x14ac:dyDescent="0.3">
      <c r="Q6154" s="93">
        <v>45792</v>
      </c>
      <c r="R6154" t="s">
        <v>491</v>
      </c>
      <c r="S6154" t="s">
        <v>399</v>
      </c>
      <c r="T6154" s="14">
        <v>1397.6106</v>
      </c>
    </row>
    <row r="6155" spans="17:20" x14ac:dyDescent="0.3">
      <c r="Q6155" s="93">
        <v>45792</v>
      </c>
      <c r="R6155" t="s">
        <v>492</v>
      </c>
      <c r="S6155" t="s">
        <v>399</v>
      </c>
      <c r="T6155" s="14">
        <v>5600</v>
      </c>
    </row>
    <row r="6156" spans="17:20" x14ac:dyDescent="0.3">
      <c r="Q6156" s="93">
        <v>45792</v>
      </c>
      <c r="R6156" t="s">
        <v>496</v>
      </c>
      <c r="S6156" t="s">
        <v>399</v>
      </c>
      <c r="T6156" s="14">
        <v>8320</v>
      </c>
    </row>
    <row r="6157" spans="17:20" x14ac:dyDescent="0.3">
      <c r="Q6157" s="93">
        <v>45792</v>
      </c>
      <c r="R6157" t="s">
        <v>497</v>
      </c>
      <c r="S6157" t="s">
        <v>399</v>
      </c>
      <c r="T6157" s="14">
        <v>5300</v>
      </c>
    </row>
    <row r="6158" spans="17:20" x14ac:dyDescent="0.3">
      <c r="Q6158" s="93">
        <v>45792</v>
      </c>
      <c r="R6158" t="s">
        <v>498</v>
      </c>
      <c r="S6158" t="s">
        <v>399</v>
      </c>
      <c r="T6158" s="14">
        <v>1397.6106</v>
      </c>
    </row>
    <row r="6159" spans="17:20" x14ac:dyDescent="0.3">
      <c r="Q6159" s="93">
        <v>45792</v>
      </c>
      <c r="R6159" t="s">
        <v>494</v>
      </c>
      <c r="S6159" t="s">
        <v>399</v>
      </c>
      <c r="T6159" s="14">
        <v>9950</v>
      </c>
    </row>
    <row r="6160" spans="17:20" x14ac:dyDescent="0.3">
      <c r="Q6160" s="93">
        <v>45792</v>
      </c>
      <c r="R6160" t="s">
        <v>495</v>
      </c>
      <c r="S6160" t="s">
        <v>399</v>
      </c>
      <c r="T6160" s="14">
        <v>300</v>
      </c>
    </row>
    <row r="6161" spans="17:20" x14ac:dyDescent="0.3">
      <c r="Q6161" s="93">
        <v>45792</v>
      </c>
      <c r="R6161" t="s">
        <v>493</v>
      </c>
      <c r="S6161" t="s">
        <v>399</v>
      </c>
      <c r="T6161" s="14">
        <v>0</v>
      </c>
    </row>
    <row r="6162" spans="17:20" x14ac:dyDescent="0.3">
      <c r="Q6162" s="93">
        <v>45792</v>
      </c>
      <c r="R6162" t="s">
        <v>479</v>
      </c>
      <c r="S6162" t="s">
        <v>395</v>
      </c>
      <c r="T6162" s="14">
        <v>7148.7895977710004</v>
      </c>
    </row>
    <row r="6163" spans="17:20" x14ac:dyDescent="0.3">
      <c r="Q6163" s="93">
        <v>45792</v>
      </c>
      <c r="R6163" t="s">
        <v>479</v>
      </c>
      <c r="S6163" t="s">
        <v>415</v>
      </c>
      <c r="T6163" s="14">
        <v>6.4577077630000002</v>
      </c>
    </row>
    <row r="6164" spans="17:20" x14ac:dyDescent="0.3">
      <c r="Q6164" s="93">
        <v>45792</v>
      </c>
      <c r="R6164" t="s">
        <v>364</v>
      </c>
      <c r="S6164" t="s">
        <v>415</v>
      </c>
      <c r="T6164" s="14">
        <v>5.4004926109999998</v>
      </c>
    </row>
    <row r="6165" spans="17:20" x14ac:dyDescent="0.3">
      <c r="Q6165" s="93">
        <v>45791</v>
      </c>
      <c r="R6165" t="s">
        <v>479</v>
      </c>
      <c r="S6165" t="s">
        <v>399</v>
      </c>
      <c r="T6165" s="14">
        <v>7497.6106</v>
      </c>
    </row>
    <row r="6166" spans="17:20" x14ac:dyDescent="0.3">
      <c r="Q6166" s="93">
        <v>45791</v>
      </c>
      <c r="R6166" t="s">
        <v>364</v>
      </c>
      <c r="S6166" t="s">
        <v>399</v>
      </c>
      <c r="T6166" s="14">
        <v>19270</v>
      </c>
    </row>
    <row r="6167" spans="17:20" x14ac:dyDescent="0.3">
      <c r="Q6167" s="93">
        <v>45791</v>
      </c>
      <c r="R6167" t="s">
        <v>491</v>
      </c>
      <c r="S6167" t="s">
        <v>399</v>
      </c>
      <c r="T6167" s="14">
        <v>1397.6106</v>
      </c>
    </row>
    <row r="6168" spans="17:20" x14ac:dyDescent="0.3">
      <c r="Q6168" s="93">
        <v>45791</v>
      </c>
      <c r="R6168" t="s">
        <v>492</v>
      </c>
      <c r="S6168" t="s">
        <v>399</v>
      </c>
      <c r="T6168" s="14">
        <v>6100</v>
      </c>
    </row>
    <row r="6169" spans="17:20" x14ac:dyDescent="0.3">
      <c r="Q6169" s="93">
        <v>45791</v>
      </c>
      <c r="R6169" t="s">
        <v>496</v>
      </c>
      <c r="S6169" t="s">
        <v>399</v>
      </c>
      <c r="T6169" s="14">
        <v>9020</v>
      </c>
    </row>
    <row r="6170" spans="17:20" x14ac:dyDescent="0.3">
      <c r="Q6170" s="93">
        <v>45791</v>
      </c>
      <c r="R6170" t="s">
        <v>497</v>
      </c>
      <c r="S6170" t="s">
        <v>399</v>
      </c>
      <c r="T6170" s="14">
        <v>5800</v>
      </c>
    </row>
    <row r="6171" spans="17:20" x14ac:dyDescent="0.3">
      <c r="Q6171" s="93">
        <v>45791</v>
      </c>
      <c r="R6171" t="s">
        <v>498</v>
      </c>
      <c r="S6171" t="s">
        <v>399</v>
      </c>
      <c r="T6171" s="14">
        <v>1397.6106</v>
      </c>
    </row>
    <row r="6172" spans="17:20" x14ac:dyDescent="0.3">
      <c r="Q6172" s="93">
        <v>45791</v>
      </c>
      <c r="R6172" t="s">
        <v>494</v>
      </c>
      <c r="S6172" t="s">
        <v>399</v>
      </c>
      <c r="T6172" s="14">
        <v>10250</v>
      </c>
    </row>
    <row r="6173" spans="17:20" x14ac:dyDescent="0.3">
      <c r="Q6173" s="93">
        <v>45791</v>
      </c>
      <c r="R6173" t="s">
        <v>495</v>
      </c>
      <c r="S6173" t="s">
        <v>399</v>
      </c>
      <c r="T6173" s="14">
        <v>300</v>
      </c>
    </row>
    <row r="6174" spans="17:20" x14ac:dyDescent="0.3">
      <c r="Q6174" s="93">
        <v>45791</v>
      </c>
      <c r="R6174" t="s">
        <v>493</v>
      </c>
      <c r="S6174" t="s">
        <v>399</v>
      </c>
      <c r="T6174" s="14">
        <v>0</v>
      </c>
    </row>
    <row r="6175" spans="17:20" x14ac:dyDescent="0.3">
      <c r="Q6175" s="93">
        <v>45791</v>
      </c>
      <c r="R6175" t="s">
        <v>479</v>
      </c>
      <c r="S6175" t="s">
        <v>395</v>
      </c>
      <c r="T6175" s="14">
        <v>7148.8366054070002</v>
      </c>
    </row>
    <row r="6176" spans="17:20" x14ac:dyDescent="0.3">
      <c r="Q6176" s="93">
        <v>45791</v>
      </c>
      <c r="R6176" t="s">
        <v>479</v>
      </c>
      <c r="S6176" t="s">
        <v>415</v>
      </c>
      <c r="T6176" s="14">
        <v>6.4577077630000002</v>
      </c>
    </row>
    <row r="6177" spans="17:20" x14ac:dyDescent="0.3">
      <c r="Q6177" s="93">
        <v>45791</v>
      </c>
      <c r="R6177" t="s">
        <v>364</v>
      </c>
      <c r="S6177" t="s">
        <v>415</v>
      </c>
      <c r="T6177" s="14">
        <v>5.4056564610000004</v>
      </c>
    </row>
    <row r="6178" spans="17:20" x14ac:dyDescent="0.3">
      <c r="Q6178" s="93">
        <v>45790</v>
      </c>
      <c r="R6178" t="s">
        <v>479</v>
      </c>
      <c r="S6178" t="s">
        <v>399</v>
      </c>
      <c r="T6178" s="14">
        <v>7497.6106</v>
      </c>
    </row>
    <row r="6179" spans="17:20" x14ac:dyDescent="0.3">
      <c r="Q6179" s="93">
        <v>45790</v>
      </c>
      <c r="R6179" t="s">
        <v>364</v>
      </c>
      <c r="S6179" t="s">
        <v>399</v>
      </c>
      <c r="T6179" s="14">
        <v>16770</v>
      </c>
    </row>
    <row r="6180" spans="17:20" x14ac:dyDescent="0.3">
      <c r="Q6180" s="93">
        <v>45790</v>
      </c>
      <c r="R6180" t="s">
        <v>491</v>
      </c>
      <c r="S6180" t="s">
        <v>399</v>
      </c>
      <c r="T6180" s="14">
        <v>1397.6106</v>
      </c>
    </row>
    <row r="6181" spans="17:20" x14ac:dyDescent="0.3">
      <c r="Q6181" s="93">
        <v>45790</v>
      </c>
      <c r="R6181" t="s">
        <v>492</v>
      </c>
      <c r="S6181" t="s">
        <v>399</v>
      </c>
      <c r="T6181" s="14">
        <v>6100</v>
      </c>
    </row>
    <row r="6182" spans="17:20" x14ac:dyDescent="0.3">
      <c r="Q6182" s="93">
        <v>45790</v>
      </c>
      <c r="R6182" t="s">
        <v>496</v>
      </c>
      <c r="S6182" t="s">
        <v>399</v>
      </c>
      <c r="T6182" s="14">
        <v>10796.383900000001</v>
      </c>
    </row>
    <row r="6183" spans="17:20" x14ac:dyDescent="0.3">
      <c r="Q6183" s="93">
        <v>45790</v>
      </c>
      <c r="R6183" t="s">
        <v>497</v>
      </c>
      <c r="S6183" t="s">
        <v>399</v>
      </c>
      <c r="T6183" s="14">
        <v>5800</v>
      </c>
    </row>
    <row r="6184" spans="17:20" x14ac:dyDescent="0.3">
      <c r="Q6184" s="93">
        <v>45790</v>
      </c>
      <c r="R6184" t="s">
        <v>498</v>
      </c>
      <c r="S6184" t="s">
        <v>399</v>
      </c>
      <c r="T6184" s="14">
        <v>1397.6106</v>
      </c>
    </row>
    <row r="6185" spans="17:20" x14ac:dyDescent="0.3">
      <c r="Q6185" s="93">
        <v>45790</v>
      </c>
      <c r="R6185" t="s">
        <v>494</v>
      </c>
      <c r="S6185" t="s">
        <v>399</v>
      </c>
      <c r="T6185" s="14">
        <v>5973.6161000000002</v>
      </c>
    </row>
    <row r="6186" spans="17:20" x14ac:dyDescent="0.3">
      <c r="Q6186" s="93">
        <v>45790</v>
      </c>
      <c r="R6186" t="s">
        <v>495</v>
      </c>
      <c r="S6186" t="s">
        <v>399</v>
      </c>
      <c r="T6186" s="14">
        <v>300</v>
      </c>
    </row>
    <row r="6187" spans="17:20" x14ac:dyDescent="0.3">
      <c r="Q6187" s="93">
        <v>45790</v>
      </c>
      <c r="R6187" t="s">
        <v>493</v>
      </c>
      <c r="S6187" t="s">
        <v>399</v>
      </c>
      <c r="T6187" s="14">
        <v>0</v>
      </c>
    </row>
    <row r="6188" spans="17:20" x14ac:dyDescent="0.3">
      <c r="Q6188" s="93">
        <v>45790</v>
      </c>
      <c r="R6188" t="s">
        <v>479</v>
      </c>
      <c r="S6188" t="s">
        <v>395</v>
      </c>
      <c r="T6188" s="14">
        <v>7149.485542677</v>
      </c>
    </row>
    <row r="6189" spans="17:20" x14ac:dyDescent="0.3">
      <c r="Q6189" s="93">
        <v>45790</v>
      </c>
      <c r="R6189" t="s">
        <v>479</v>
      </c>
      <c r="S6189" t="s">
        <v>415</v>
      </c>
      <c r="T6189" s="14">
        <v>6.4577077630000002</v>
      </c>
    </row>
    <row r="6190" spans="17:20" x14ac:dyDescent="0.3">
      <c r="Q6190" s="93">
        <v>45790</v>
      </c>
      <c r="R6190" t="s">
        <v>364</v>
      </c>
      <c r="S6190" t="s">
        <v>415</v>
      </c>
      <c r="T6190" s="14">
        <v>5.4661299940000001</v>
      </c>
    </row>
    <row r="6191" spans="17:20" x14ac:dyDescent="0.3">
      <c r="Q6191" s="93">
        <v>45789</v>
      </c>
      <c r="R6191" t="s">
        <v>479</v>
      </c>
      <c r="S6191" t="s">
        <v>399</v>
      </c>
      <c r="T6191" s="14">
        <v>7497.6106</v>
      </c>
    </row>
    <row r="6192" spans="17:20" x14ac:dyDescent="0.3">
      <c r="Q6192" s="93">
        <v>45789</v>
      </c>
      <c r="R6192" t="s">
        <v>364</v>
      </c>
      <c r="S6192" t="s">
        <v>399</v>
      </c>
      <c r="T6192" s="14">
        <v>14820</v>
      </c>
    </row>
    <row r="6193" spans="17:20" x14ac:dyDescent="0.3">
      <c r="Q6193" s="93">
        <v>45789</v>
      </c>
      <c r="R6193" t="s">
        <v>491</v>
      </c>
      <c r="S6193" t="s">
        <v>399</v>
      </c>
      <c r="T6193" s="14">
        <v>1397.6106</v>
      </c>
    </row>
    <row r="6194" spans="17:20" x14ac:dyDescent="0.3">
      <c r="Q6194" s="93">
        <v>45789</v>
      </c>
      <c r="R6194" t="s">
        <v>492</v>
      </c>
      <c r="S6194" t="s">
        <v>399</v>
      </c>
      <c r="T6194" s="14">
        <v>6100</v>
      </c>
    </row>
    <row r="6195" spans="17:20" x14ac:dyDescent="0.3">
      <c r="Q6195" s="93">
        <v>45789</v>
      </c>
      <c r="R6195" t="s">
        <v>496</v>
      </c>
      <c r="S6195" t="s">
        <v>399</v>
      </c>
      <c r="T6195" s="14">
        <v>10346.383900000001</v>
      </c>
    </row>
    <row r="6196" spans="17:20" x14ac:dyDescent="0.3">
      <c r="Q6196" s="93">
        <v>45789</v>
      </c>
      <c r="R6196" t="s">
        <v>497</v>
      </c>
      <c r="S6196" t="s">
        <v>399</v>
      </c>
      <c r="T6196" s="14">
        <v>5800</v>
      </c>
    </row>
    <row r="6197" spans="17:20" x14ac:dyDescent="0.3">
      <c r="Q6197" s="93">
        <v>45789</v>
      </c>
      <c r="R6197" t="s">
        <v>498</v>
      </c>
      <c r="S6197" t="s">
        <v>399</v>
      </c>
      <c r="T6197" s="14">
        <v>1397.6106</v>
      </c>
    </row>
    <row r="6198" spans="17:20" x14ac:dyDescent="0.3">
      <c r="Q6198" s="93">
        <v>45789</v>
      </c>
      <c r="R6198" t="s">
        <v>494</v>
      </c>
      <c r="S6198" t="s">
        <v>399</v>
      </c>
      <c r="T6198" s="14">
        <v>4473.6161000000002</v>
      </c>
    </row>
    <row r="6199" spans="17:20" x14ac:dyDescent="0.3">
      <c r="Q6199" s="93">
        <v>45789</v>
      </c>
      <c r="R6199" t="s">
        <v>495</v>
      </c>
      <c r="S6199" t="s">
        <v>399</v>
      </c>
      <c r="T6199" s="14">
        <v>300</v>
      </c>
    </row>
    <row r="6200" spans="17:20" x14ac:dyDescent="0.3">
      <c r="Q6200" s="93">
        <v>45789</v>
      </c>
      <c r="R6200" t="s">
        <v>493</v>
      </c>
      <c r="S6200" t="s">
        <v>399</v>
      </c>
      <c r="T6200" s="14">
        <v>0</v>
      </c>
    </row>
    <row r="6201" spans="17:20" x14ac:dyDescent="0.3">
      <c r="Q6201" s="93">
        <v>45789</v>
      </c>
      <c r="R6201" t="s">
        <v>479</v>
      </c>
      <c r="S6201" t="s">
        <v>395</v>
      </c>
      <c r="T6201" s="14">
        <v>7148.716156986</v>
      </c>
    </row>
    <row r="6202" spans="17:20" x14ac:dyDescent="0.3">
      <c r="Q6202" s="93">
        <v>45789</v>
      </c>
      <c r="R6202" t="s">
        <v>479</v>
      </c>
      <c r="S6202" t="s">
        <v>415</v>
      </c>
      <c r="T6202" s="14">
        <v>6.4577077630000002</v>
      </c>
    </row>
    <row r="6203" spans="17:20" x14ac:dyDescent="0.3">
      <c r="Q6203" s="93">
        <v>45789</v>
      </c>
      <c r="R6203" t="s">
        <v>364</v>
      </c>
      <c r="S6203" t="s">
        <v>415</v>
      </c>
      <c r="T6203" s="14">
        <v>5.5669365720000004</v>
      </c>
    </row>
    <row r="6204" spans="17:20" x14ac:dyDescent="0.3">
      <c r="Q6204" s="93">
        <v>45786</v>
      </c>
      <c r="R6204" t="s">
        <v>495</v>
      </c>
      <c r="S6204" t="s">
        <v>399</v>
      </c>
      <c r="T6204" s="14">
        <v>300</v>
      </c>
    </row>
    <row r="6205" spans="17:20" x14ac:dyDescent="0.3">
      <c r="Q6205" s="93">
        <v>45786</v>
      </c>
      <c r="R6205" t="s">
        <v>493</v>
      </c>
      <c r="S6205" t="s">
        <v>399</v>
      </c>
      <c r="T6205" s="14">
        <v>0</v>
      </c>
    </row>
    <row r="6206" spans="17:20" x14ac:dyDescent="0.3">
      <c r="Q6206" s="93">
        <v>45786</v>
      </c>
      <c r="R6206" t="s">
        <v>479</v>
      </c>
      <c r="S6206" t="s">
        <v>395</v>
      </c>
      <c r="T6206" s="14">
        <v>7140.3248304990002</v>
      </c>
    </row>
    <row r="6207" spans="17:20" x14ac:dyDescent="0.3">
      <c r="Q6207" s="93">
        <v>45786</v>
      </c>
      <c r="R6207" t="s">
        <v>479</v>
      </c>
      <c r="S6207" t="s">
        <v>415</v>
      </c>
      <c r="T6207" s="14">
        <v>6.4577077630000002</v>
      </c>
    </row>
    <row r="6208" spans="17:20" x14ac:dyDescent="0.3">
      <c r="Q6208" s="93">
        <v>45786</v>
      </c>
      <c r="R6208" t="s">
        <v>364</v>
      </c>
      <c r="S6208" t="s">
        <v>415</v>
      </c>
      <c r="T6208" s="14">
        <v>5.4695893450000002</v>
      </c>
    </row>
    <row r="6209" spans="17:20" x14ac:dyDescent="0.3">
      <c r="Q6209" s="93">
        <v>45786</v>
      </c>
      <c r="R6209" t="s">
        <v>479</v>
      </c>
      <c r="S6209" t="s">
        <v>399</v>
      </c>
      <c r="T6209" s="14">
        <v>7497.6106</v>
      </c>
    </row>
    <row r="6210" spans="17:20" x14ac:dyDescent="0.3">
      <c r="Q6210" s="93">
        <v>45786</v>
      </c>
      <c r="R6210" t="s">
        <v>364</v>
      </c>
      <c r="S6210" t="s">
        <v>399</v>
      </c>
      <c r="T6210" s="14">
        <v>17020</v>
      </c>
    </row>
    <row r="6211" spans="17:20" x14ac:dyDescent="0.3">
      <c r="Q6211" s="93">
        <v>45786</v>
      </c>
      <c r="R6211" t="s">
        <v>491</v>
      </c>
      <c r="S6211" t="s">
        <v>399</v>
      </c>
      <c r="T6211" s="14">
        <v>1397.6106</v>
      </c>
    </row>
    <row r="6212" spans="17:20" x14ac:dyDescent="0.3">
      <c r="Q6212" s="93">
        <v>45786</v>
      </c>
      <c r="R6212" t="s">
        <v>492</v>
      </c>
      <c r="S6212" t="s">
        <v>399</v>
      </c>
      <c r="T6212" s="14">
        <v>6100</v>
      </c>
    </row>
    <row r="6213" spans="17:20" x14ac:dyDescent="0.3">
      <c r="Q6213" s="93">
        <v>45786</v>
      </c>
      <c r="R6213" t="s">
        <v>496</v>
      </c>
      <c r="S6213" t="s">
        <v>399</v>
      </c>
      <c r="T6213" s="14">
        <v>10346.383900000001</v>
      </c>
    </row>
    <row r="6214" spans="17:20" x14ac:dyDescent="0.3">
      <c r="Q6214" s="93">
        <v>45786</v>
      </c>
      <c r="R6214" t="s">
        <v>497</v>
      </c>
      <c r="S6214" t="s">
        <v>399</v>
      </c>
      <c r="T6214" s="14">
        <v>5800</v>
      </c>
    </row>
    <row r="6215" spans="17:20" x14ac:dyDescent="0.3">
      <c r="Q6215" s="93">
        <v>45786</v>
      </c>
      <c r="R6215" t="s">
        <v>498</v>
      </c>
      <c r="S6215" t="s">
        <v>399</v>
      </c>
      <c r="T6215" s="14">
        <v>1397.6106</v>
      </c>
    </row>
    <row r="6216" spans="17:20" x14ac:dyDescent="0.3">
      <c r="Q6216" s="93">
        <v>45786</v>
      </c>
      <c r="R6216" t="s">
        <v>494</v>
      </c>
      <c r="S6216" t="s">
        <v>399</v>
      </c>
      <c r="T6216" s="14">
        <v>6673.6161000000002</v>
      </c>
    </row>
    <row r="6217" spans="17:20" x14ac:dyDescent="0.3">
      <c r="Q6217" s="93">
        <v>45785</v>
      </c>
      <c r="R6217" t="s">
        <v>479</v>
      </c>
      <c r="S6217" t="s">
        <v>399</v>
      </c>
      <c r="T6217" s="14">
        <v>7497.6106</v>
      </c>
    </row>
    <row r="6218" spans="17:20" x14ac:dyDescent="0.3">
      <c r="Q6218" s="93">
        <v>45785</v>
      </c>
      <c r="R6218" t="s">
        <v>496</v>
      </c>
      <c r="S6218" t="s">
        <v>399</v>
      </c>
      <c r="T6218" s="14">
        <v>9146.3839000000007</v>
      </c>
    </row>
    <row r="6219" spans="17:20" x14ac:dyDescent="0.3">
      <c r="Q6219" s="93">
        <v>45785</v>
      </c>
      <c r="R6219" t="s">
        <v>497</v>
      </c>
      <c r="S6219" t="s">
        <v>399</v>
      </c>
      <c r="T6219" s="14">
        <v>5600</v>
      </c>
    </row>
    <row r="6220" spans="17:20" x14ac:dyDescent="0.3">
      <c r="Q6220" s="93">
        <v>45785</v>
      </c>
      <c r="R6220" t="s">
        <v>498</v>
      </c>
      <c r="S6220" t="s">
        <v>399</v>
      </c>
      <c r="T6220" s="14">
        <v>1397.6106</v>
      </c>
    </row>
    <row r="6221" spans="17:20" x14ac:dyDescent="0.3">
      <c r="Q6221" s="93">
        <v>45785</v>
      </c>
      <c r="R6221" t="s">
        <v>494</v>
      </c>
      <c r="S6221" t="s">
        <v>399</v>
      </c>
      <c r="T6221" s="14">
        <v>7873.6161000000002</v>
      </c>
    </row>
    <row r="6222" spans="17:20" x14ac:dyDescent="0.3">
      <c r="Q6222" s="93">
        <v>45785</v>
      </c>
      <c r="R6222" t="s">
        <v>495</v>
      </c>
      <c r="S6222" t="s">
        <v>399</v>
      </c>
      <c r="T6222" s="14">
        <v>500</v>
      </c>
    </row>
    <row r="6223" spans="17:20" x14ac:dyDescent="0.3">
      <c r="Q6223" s="93">
        <v>45785</v>
      </c>
      <c r="R6223" t="s">
        <v>493</v>
      </c>
      <c r="S6223" t="s">
        <v>399</v>
      </c>
      <c r="T6223" s="14">
        <v>0</v>
      </c>
    </row>
    <row r="6224" spans="17:20" x14ac:dyDescent="0.3">
      <c r="Q6224" s="93">
        <v>45785</v>
      </c>
      <c r="R6224" t="s">
        <v>479</v>
      </c>
      <c r="S6224" t="s">
        <v>395</v>
      </c>
      <c r="T6224" s="14">
        <v>7140.8759425540002</v>
      </c>
    </row>
    <row r="6225" spans="17:20" x14ac:dyDescent="0.3">
      <c r="Q6225" s="93">
        <v>45785</v>
      </c>
      <c r="R6225" t="s">
        <v>364</v>
      </c>
      <c r="S6225" t="s">
        <v>399</v>
      </c>
      <c r="T6225" s="14">
        <v>17020</v>
      </c>
    </row>
    <row r="6226" spans="17:20" x14ac:dyDescent="0.3">
      <c r="Q6226" s="93">
        <v>45785</v>
      </c>
      <c r="R6226" t="s">
        <v>491</v>
      </c>
      <c r="S6226" t="s">
        <v>399</v>
      </c>
      <c r="T6226" s="14">
        <v>1397.6106</v>
      </c>
    </row>
    <row r="6227" spans="17:20" x14ac:dyDescent="0.3">
      <c r="Q6227" s="93">
        <v>45785</v>
      </c>
      <c r="R6227" t="s">
        <v>492</v>
      </c>
      <c r="S6227" t="s">
        <v>399</v>
      </c>
      <c r="T6227" s="14">
        <v>6100</v>
      </c>
    </row>
    <row r="6228" spans="17:20" x14ac:dyDescent="0.3">
      <c r="Q6228" s="93">
        <v>45785</v>
      </c>
      <c r="R6228" t="s">
        <v>479</v>
      </c>
      <c r="S6228" t="s">
        <v>415</v>
      </c>
      <c r="T6228" s="14">
        <v>6.4577077630000002</v>
      </c>
    </row>
    <row r="6229" spans="17:20" x14ac:dyDescent="0.3">
      <c r="Q6229" s="93">
        <v>45785</v>
      </c>
      <c r="R6229" t="s">
        <v>364</v>
      </c>
      <c r="S6229" t="s">
        <v>415</v>
      </c>
      <c r="T6229" s="14">
        <v>5.4807285549999998</v>
      </c>
    </row>
    <row r="6230" spans="17:20" x14ac:dyDescent="0.3">
      <c r="Q6230" s="93">
        <v>45784</v>
      </c>
      <c r="R6230" t="s">
        <v>479</v>
      </c>
      <c r="S6230" t="s">
        <v>399</v>
      </c>
      <c r="T6230" s="14">
        <v>7497.6106</v>
      </c>
    </row>
    <row r="6231" spans="17:20" x14ac:dyDescent="0.3">
      <c r="Q6231" s="93">
        <v>45784</v>
      </c>
      <c r="R6231" t="s">
        <v>364</v>
      </c>
      <c r="S6231" t="s">
        <v>399</v>
      </c>
      <c r="T6231" s="14">
        <v>18120</v>
      </c>
    </row>
    <row r="6232" spans="17:20" x14ac:dyDescent="0.3">
      <c r="Q6232" s="93">
        <v>45784</v>
      </c>
      <c r="R6232" t="s">
        <v>491</v>
      </c>
      <c r="S6232" t="s">
        <v>399</v>
      </c>
      <c r="T6232" s="14">
        <v>1397.6106</v>
      </c>
    </row>
    <row r="6233" spans="17:20" x14ac:dyDescent="0.3">
      <c r="Q6233" s="93">
        <v>45784</v>
      </c>
      <c r="R6233" t="s">
        <v>492</v>
      </c>
      <c r="S6233" t="s">
        <v>399</v>
      </c>
      <c r="T6233" s="14">
        <v>6100</v>
      </c>
    </row>
    <row r="6234" spans="17:20" x14ac:dyDescent="0.3">
      <c r="Q6234" s="93">
        <v>45784</v>
      </c>
      <c r="R6234" t="s">
        <v>496</v>
      </c>
      <c r="S6234" t="s">
        <v>399</v>
      </c>
      <c r="T6234" s="14">
        <v>9856.3839000000007</v>
      </c>
    </row>
    <row r="6235" spans="17:20" x14ac:dyDescent="0.3">
      <c r="Q6235" s="93">
        <v>45784</v>
      </c>
      <c r="R6235" t="s">
        <v>497</v>
      </c>
      <c r="S6235" t="s">
        <v>399</v>
      </c>
      <c r="T6235" s="14">
        <v>5600</v>
      </c>
    </row>
    <row r="6236" spans="17:20" x14ac:dyDescent="0.3">
      <c r="Q6236" s="93">
        <v>45784</v>
      </c>
      <c r="R6236" t="s">
        <v>498</v>
      </c>
      <c r="S6236" t="s">
        <v>399</v>
      </c>
      <c r="T6236" s="14">
        <v>1397.6106</v>
      </c>
    </row>
    <row r="6237" spans="17:20" x14ac:dyDescent="0.3">
      <c r="Q6237" s="93">
        <v>45784</v>
      </c>
      <c r="R6237" t="s">
        <v>494</v>
      </c>
      <c r="S6237" t="s">
        <v>399</v>
      </c>
      <c r="T6237" s="14">
        <v>8263.6160999999993</v>
      </c>
    </row>
    <row r="6238" spans="17:20" x14ac:dyDescent="0.3">
      <c r="Q6238" s="93">
        <v>45784</v>
      </c>
      <c r="R6238" t="s">
        <v>495</v>
      </c>
      <c r="S6238" t="s">
        <v>399</v>
      </c>
      <c r="T6238" s="14">
        <v>500</v>
      </c>
    </row>
    <row r="6239" spans="17:20" x14ac:dyDescent="0.3">
      <c r="Q6239" s="93">
        <v>45784</v>
      </c>
      <c r="R6239" t="s">
        <v>493</v>
      </c>
      <c r="S6239" t="s">
        <v>399</v>
      </c>
      <c r="T6239" s="14">
        <v>0</v>
      </c>
    </row>
    <row r="6240" spans="17:20" x14ac:dyDescent="0.3">
      <c r="Q6240" s="93">
        <v>45784</v>
      </c>
      <c r="R6240" t="s">
        <v>479</v>
      </c>
      <c r="S6240" t="s">
        <v>395</v>
      </c>
      <c r="T6240" s="14">
        <v>7146.9639490090003</v>
      </c>
    </row>
    <row r="6241" spans="17:20" x14ac:dyDescent="0.3">
      <c r="Q6241" s="93">
        <v>45784</v>
      </c>
      <c r="R6241" t="s">
        <v>479</v>
      </c>
      <c r="S6241" t="s">
        <v>415</v>
      </c>
      <c r="T6241" s="14">
        <v>6.4577077630000002</v>
      </c>
    </row>
    <row r="6242" spans="17:20" x14ac:dyDescent="0.3">
      <c r="Q6242" s="93">
        <v>45784</v>
      </c>
      <c r="R6242" t="s">
        <v>364</v>
      </c>
      <c r="S6242" t="s">
        <v>415</v>
      </c>
      <c r="T6242" s="14">
        <v>5.4813465780000001</v>
      </c>
    </row>
    <row r="6243" spans="17:20" x14ac:dyDescent="0.3">
      <c r="Q6243" s="93">
        <v>45783</v>
      </c>
      <c r="R6243" t="s">
        <v>479</v>
      </c>
      <c r="S6243" t="s">
        <v>399</v>
      </c>
      <c r="T6243" s="14">
        <v>7497.6106</v>
      </c>
    </row>
    <row r="6244" spans="17:20" x14ac:dyDescent="0.3">
      <c r="Q6244" s="93">
        <v>45783</v>
      </c>
      <c r="R6244" t="s">
        <v>364</v>
      </c>
      <c r="S6244" t="s">
        <v>399</v>
      </c>
      <c r="T6244" s="14">
        <v>16320</v>
      </c>
    </row>
    <row r="6245" spans="17:20" x14ac:dyDescent="0.3">
      <c r="Q6245" s="93">
        <v>45783</v>
      </c>
      <c r="R6245" t="s">
        <v>491</v>
      </c>
      <c r="S6245" t="s">
        <v>399</v>
      </c>
      <c r="T6245" s="14">
        <v>1397.6106</v>
      </c>
    </row>
    <row r="6246" spans="17:20" x14ac:dyDescent="0.3">
      <c r="Q6246" s="93">
        <v>45783</v>
      </c>
      <c r="R6246" t="s">
        <v>492</v>
      </c>
      <c r="S6246" t="s">
        <v>399</v>
      </c>
      <c r="T6246" s="14">
        <v>6100</v>
      </c>
    </row>
    <row r="6247" spans="17:20" x14ac:dyDescent="0.3">
      <c r="Q6247" s="93">
        <v>45783</v>
      </c>
      <c r="R6247" t="s">
        <v>496</v>
      </c>
      <c r="S6247" t="s">
        <v>399</v>
      </c>
      <c r="T6247" s="14">
        <v>10846.383900000001</v>
      </c>
    </row>
    <row r="6248" spans="17:20" x14ac:dyDescent="0.3">
      <c r="Q6248" s="93">
        <v>45783</v>
      </c>
      <c r="R6248" t="s">
        <v>497</v>
      </c>
      <c r="S6248" t="s">
        <v>399</v>
      </c>
      <c r="T6248" s="14">
        <v>7600</v>
      </c>
    </row>
    <row r="6249" spans="17:20" x14ac:dyDescent="0.3">
      <c r="Q6249" s="93">
        <v>45783</v>
      </c>
      <c r="R6249" t="s">
        <v>498</v>
      </c>
      <c r="S6249" t="s">
        <v>399</v>
      </c>
      <c r="T6249" s="14">
        <v>1397.6106</v>
      </c>
    </row>
    <row r="6250" spans="17:20" x14ac:dyDescent="0.3">
      <c r="Q6250" s="93">
        <v>45783</v>
      </c>
      <c r="R6250" t="s">
        <v>494</v>
      </c>
      <c r="S6250" t="s">
        <v>399</v>
      </c>
      <c r="T6250" s="14">
        <v>5473.6161000000002</v>
      </c>
    </row>
    <row r="6251" spans="17:20" x14ac:dyDescent="0.3">
      <c r="Q6251" s="93">
        <v>45783</v>
      </c>
      <c r="R6251" t="s">
        <v>495</v>
      </c>
      <c r="S6251" t="s">
        <v>399</v>
      </c>
      <c r="T6251" s="14">
        <v>-1500</v>
      </c>
    </row>
    <row r="6252" spans="17:20" x14ac:dyDescent="0.3">
      <c r="Q6252" s="93">
        <v>45783</v>
      </c>
      <c r="R6252" t="s">
        <v>493</v>
      </c>
      <c r="S6252" t="s">
        <v>399</v>
      </c>
      <c r="T6252" s="14">
        <v>0</v>
      </c>
    </row>
    <row r="6253" spans="17:20" x14ac:dyDescent="0.3">
      <c r="Q6253" s="93">
        <v>45783</v>
      </c>
      <c r="R6253" t="s">
        <v>479</v>
      </c>
      <c r="S6253" t="s">
        <v>395</v>
      </c>
      <c r="T6253" s="14">
        <v>7147.6553282510004</v>
      </c>
    </row>
    <row r="6254" spans="17:20" x14ac:dyDescent="0.3">
      <c r="Q6254" s="93">
        <v>45783</v>
      </c>
      <c r="R6254" t="s">
        <v>479</v>
      </c>
      <c r="S6254" t="s">
        <v>415</v>
      </c>
      <c r="T6254" s="14">
        <v>6.4577077630000002</v>
      </c>
    </row>
    <row r="6255" spans="17:20" x14ac:dyDescent="0.3">
      <c r="Q6255" s="93">
        <v>45783</v>
      </c>
      <c r="R6255" t="s">
        <v>364</v>
      </c>
      <c r="S6255" t="s">
        <v>415</v>
      </c>
      <c r="T6255" s="14">
        <v>5.482965686</v>
      </c>
    </row>
    <row r="6256" spans="17:20" x14ac:dyDescent="0.3">
      <c r="Q6256" s="93">
        <v>45782</v>
      </c>
      <c r="R6256" t="s">
        <v>479</v>
      </c>
      <c r="S6256" t="s">
        <v>399</v>
      </c>
      <c r="T6256" s="14">
        <v>7497.6106</v>
      </c>
    </row>
    <row r="6257" spans="17:20" x14ac:dyDescent="0.3">
      <c r="Q6257" s="93">
        <v>45782</v>
      </c>
      <c r="R6257" t="s">
        <v>364</v>
      </c>
      <c r="S6257" t="s">
        <v>399</v>
      </c>
      <c r="T6257" s="14">
        <v>16320</v>
      </c>
    </row>
    <row r="6258" spans="17:20" x14ac:dyDescent="0.3">
      <c r="Q6258" s="93">
        <v>45782</v>
      </c>
      <c r="R6258" t="s">
        <v>491</v>
      </c>
      <c r="S6258" t="s">
        <v>399</v>
      </c>
      <c r="T6258" s="14">
        <v>1397.6106</v>
      </c>
    </row>
    <row r="6259" spans="17:20" x14ac:dyDescent="0.3">
      <c r="Q6259" s="93">
        <v>45782</v>
      </c>
      <c r="R6259" t="s">
        <v>492</v>
      </c>
      <c r="S6259" t="s">
        <v>399</v>
      </c>
      <c r="T6259" s="14">
        <v>6100</v>
      </c>
    </row>
    <row r="6260" spans="17:20" x14ac:dyDescent="0.3">
      <c r="Q6260" s="93">
        <v>45782</v>
      </c>
      <c r="R6260" t="s">
        <v>496</v>
      </c>
      <c r="S6260" t="s">
        <v>399</v>
      </c>
      <c r="T6260" s="14">
        <v>11746.383900000001</v>
      </c>
    </row>
    <row r="6261" spans="17:20" x14ac:dyDescent="0.3">
      <c r="Q6261" s="93">
        <v>45782</v>
      </c>
      <c r="R6261" t="s">
        <v>497</v>
      </c>
      <c r="S6261" t="s">
        <v>399</v>
      </c>
      <c r="T6261" s="14">
        <v>7600</v>
      </c>
    </row>
    <row r="6262" spans="17:20" x14ac:dyDescent="0.3">
      <c r="Q6262" s="93">
        <v>45782</v>
      </c>
      <c r="R6262" t="s">
        <v>498</v>
      </c>
      <c r="S6262" t="s">
        <v>399</v>
      </c>
      <c r="T6262" s="14">
        <v>1397.6106</v>
      </c>
    </row>
    <row r="6263" spans="17:20" x14ac:dyDescent="0.3">
      <c r="Q6263" s="93">
        <v>45782</v>
      </c>
      <c r="R6263" t="s">
        <v>494</v>
      </c>
      <c r="S6263" t="s">
        <v>399</v>
      </c>
      <c r="T6263" s="14">
        <v>4573.6161000000002</v>
      </c>
    </row>
    <row r="6264" spans="17:20" x14ac:dyDescent="0.3">
      <c r="Q6264" s="93">
        <v>45782</v>
      </c>
      <c r="R6264" t="s">
        <v>495</v>
      </c>
      <c r="S6264" t="s">
        <v>399</v>
      </c>
      <c r="T6264" s="14">
        <v>-1500</v>
      </c>
    </row>
    <row r="6265" spans="17:20" x14ac:dyDescent="0.3">
      <c r="Q6265" s="93">
        <v>45782</v>
      </c>
      <c r="R6265" t="s">
        <v>493</v>
      </c>
      <c r="S6265" t="s">
        <v>399</v>
      </c>
      <c r="T6265" s="14">
        <v>0</v>
      </c>
    </row>
    <row r="6266" spans="17:20" x14ac:dyDescent="0.3">
      <c r="Q6266" s="93">
        <v>45782</v>
      </c>
      <c r="R6266" t="s">
        <v>479</v>
      </c>
      <c r="S6266" t="s">
        <v>395</v>
      </c>
      <c r="T6266" s="14">
        <v>7150.837529978</v>
      </c>
    </row>
    <row r="6267" spans="17:20" x14ac:dyDescent="0.3">
      <c r="Q6267" s="93">
        <v>45782</v>
      </c>
      <c r="R6267" t="s">
        <v>479</v>
      </c>
      <c r="S6267" t="s">
        <v>415</v>
      </c>
      <c r="T6267" s="14">
        <v>6.4577077630000002</v>
      </c>
    </row>
    <row r="6268" spans="17:20" x14ac:dyDescent="0.3">
      <c r="Q6268" s="93">
        <v>45782</v>
      </c>
      <c r="R6268" t="s">
        <v>364</v>
      </c>
      <c r="S6268" t="s">
        <v>415</v>
      </c>
      <c r="T6268" s="14">
        <v>5.482965686</v>
      </c>
    </row>
    <row r="6269" spans="17:20" x14ac:dyDescent="0.3">
      <c r="Q6269" s="93">
        <v>45776</v>
      </c>
      <c r="R6269" t="s">
        <v>479</v>
      </c>
      <c r="S6269" t="s">
        <v>415</v>
      </c>
      <c r="T6269" s="14">
        <v>6.2349764240000001</v>
      </c>
    </row>
    <row r="6270" spans="17:20" x14ac:dyDescent="0.3">
      <c r="Q6270" s="93">
        <v>45776</v>
      </c>
      <c r="R6270" t="s">
        <v>364</v>
      </c>
      <c r="S6270" t="s">
        <v>415</v>
      </c>
      <c r="T6270" s="14">
        <v>5.5221099889999996</v>
      </c>
    </row>
    <row r="6271" spans="17:20" x14ac:dyDescent="0.3">
      <c r="Q6271" s="93">
        <v>45776</v>
      </c>
      <c r="R6271" t="s">
        <v>479</v>
      </c>
      <c r="S6271" t="s">
        <v>399</v>
      </c>
      <c r="T6271" s="14">
        <v>9497.6106</v>
      </c>
    </row>
    <row r="6272" spans="17:20" x14ac:dyDescent="0.3">
      <c r="Q6272" s="93">
        <v>45776</v>
      </c>
      <c r="R6272" t="s">
        <v>364</v>
      </c>
      <c r="S6272" t="s">
        <v>399</v>
      </c>
      <c r="T6272" s="14">
        <v>17820</v>
      </c>
    </row>
    <row r="6273" spans="17:20" x14ac:dyDescent="0.3">
      <c r="Q6273" s="93">
        <v>45776</v>
      </c>
      <c r="R6273" t="s">
        <v>491</v>
      </c>
      <c r="S6273" t="s">
        <v>399</v>
      </c>
      <c r="T6273" s="14">
        <v>1397.6106</v>
      </c>
    </row>
    <row r="6274" spans="17:20" x14ac:dyDescent="0.3">
      <c r="Q6274" s="93">
        <v>45776</v>
      </c>
      <c r="R6274" t="s">
        <v>492</v>
      </c>
      <c r="S6274" t="s">
        <v>399</v>
      </c>
      <c r="T6274" s="14">
        <v>8100</v>
      </c>
    </row>
    <row r="6275" spans="17:20" x14ac:dyDescent="0.3">
      <c r="Q6275" s="93">
        <v>45776</v>
      </c>
      <c r="R6275" t="s">
        <v>496</v>
      </c>
      <c r="S6275" t="s">
        <v>399</v>
      </c>
      <c r="T6275" s="14">
        <v>10446.383900000001</v>
      </c>
    </row>
    <row r="6276" spans="17:20" x14ac:dyDescent="0.3">
      <c r="Q6276" s="93">
        <v>45776</v>
      </c>
      <c r="R6276" t="s">
        <v>497</v>
      </c>
      <c r="S6276" t="s">
        <v>399</v>
      </c>
      <c r="T6276" s="14">
        <v>7600</v>
      </c>
    </row>
    <row r="6277" spans="17:20" x14ac:dyDescent="0.3">
      <c r="Q6277" s="93">
        <v>45776</v>
      </c>
      <c r="R6277" t="s">
        <v>498</v>
      </c>
      <c r="S6277" t="s">
        <v>399</v>
      </c>
      <c r="T6277" s="14">
        <v>1397.6106</v>
      </c>
    </row>
    <row r="6278" spans="17:20" x14ac:dyDescent="0.3">
      <c r="Q6278" s="93">
        <v>45776</v>
      </c>
      <c r="R6278" t="s">
        <v>494</v>
      </c>
      <c r="S6278" t="s">
        <v>399</v>
      </c>
      <c r="T6278" s="14">
        <v>7373.6161000000002</v>
      </c>
    </row>
    <row r="6279" spans="17:20" x14ac:dyDescent="0.3">
      <c r="Q6279" s="93">
        <v>45776</v>
      </c>
      <c r="R6279" t="s">
        <v>495</v>
      </c>
      <c r="S6279" t="s">
        <v>399</v>
      </c>
      <c r="T6279" s="14">
        <v>500</v>
      </c>
    </row>
    <row r="6280" spans="17:20" x14ac:dyDescent="0.3">
      <c r="Q6280" s="93">
        <v>45776</v>
      </c>
      <c r="R6280" t="s">
        <v>493</v>
      </c>
      <c r="S6280" t="s">
        <v>399</v>
      </c>
      <c r="T6280" s="14">
        <v>0</v>
      </c>
    </row>
    <row r="6281" spans="17:20" x14ac:dyDescent="0.3">
      <c r="Q6281" s="93">
        <v>45776</v>
      </c>
      <c r="R6281" t="s">
        <v>479</v>
      </c>
      <c r="S6281" t="s">
        <v>395</v>
      </c>
      <c r="T6281" s="14">
        <v>9267.9178789750003</v>
      </c>
    </row>
    <row r="6282" spans="17:20" x14ac:dyDescent="0.3">
      <c r="Q6282" s="93">
        <v>45775</v>
      </c>
      <c r="R6282" t="s">
        <v>479</v>
      </c>
      <c r="S6282" t="s">
        <v>399</v>
      </c>
      <c r="T6282" s="14">
        <v>9497.6106</v>
      </c>
    </row>
    <row r="6283" spans="17:20" x14ac:dyDescent="0.3">
      <c r="Q6283" s="93">
        <v>45775</v>
      </c>
      <c r="R6283" t="s">
        <v>364</v>
      </c>
      <c r="S6283" t="s">
        <v>399</v>
      </c>
      <c r="T6283" s="14">
        <v>19020</v>
      </c>
    </row>
    <row r="6284" spans="17:20" x14ac:dyDescent="0.3">
      <c r="Q6284" s="93">
        <v>45775</v>
      </c>
      <c r="R6284" t="s">
        <v>491</v>
      </c>
      <c r="S6284" t="s">
        <v>399</v>
      </c>
      <c r="T6284" s="14">
        <v>1397.6106</v>
      </c>
    </row>
    <row r="6285" spans="17:20" x14ac:dyDescent="0.3">
      <c r="Q6285" s="93">
        <v>45775</v>
      </c>
      <c r="R6285" t="s">
        <v>492</v>
      </c>
      <c r="S6285" t="s">
        <v>399</v>
      </c>
      <c r="T6285" s="14">
        <v>8100</v>
      </c>
    </row>
    <row r="6286" spans="17:20" x14ac:dyDescent="0.3">
      <c r="Q6286" s="93">
        <v>45775</v>
      </c>
      <c r="R6286" t="s">
        <v>496</v>
      </c>
      <c r="S6286" t="s">
        <v>399</v>
      </c>
      <c r="T6286" s="14">
        <v>11446.383900000001</v>
      </c>
    </row>
    <row r="6287" spans="17:20" x14ac:dyDescent="0.3">
      <c r="Q6287" s="93">
        <v>45775</v>
      </c>
      <c r="R6287" t="s">
        <v>497</v>
      </c>
      <c r="S6287" t="s">
        <v>399</v>
      </c>
      <c r="T6287" s="14">
        <v>7600</v>
      </c>
    </row>
    <row r="6288" spans="17:20" x14ac:dyDescent="0.3">
      <c r="Q6288" s="93">
        <v>45775</v>
      </c>
      <c r="R6288" t="s">
        <v>498</v>
      </c>
      <c r="S6288" t="s">
        <v>399</v>
      </c>
      <c r="T6288" s="14">
        <v>1397.6106</v>
      </c>
    </row>
    <row r="6289" spans="17:20" x14ac:dyDescent="0.3">
      <c r="Q6289" s="93">
        <v>45775</v>
      </c>
      <c r="R6289" t="s">
        <v>494</v>
      </c>
      <c r="S6289" t="s">
        <v>399</v>
      </c>
      <c r="T6289" s="14">
        <v>7573.6161000000002</v>
      </c>
    </row>
    <row r="6290" spans="17:20" x14ac:dyDescent="0.3">
      <c r="Q6290" s="93">
        <v>45775</v>
      </c>
      <c r="R6290" t="s">
        <v>495</v>
      </c>
      <c r="S6290" t="s">
        <v>399</v>
      </c>
      <c r="T6290" s="14">
        <v>500</v>
      </c>
    </row>
    <row r="6291" spans="17:20" x14ac:dyDescent="0.3">
      <c r="Q6291" s="93">
        <v>45775</v>
      </c>
      <c r="R6291" t="s">
        <v>493</v>
      </c>
      <c r="S6291" t="s">
        <v>399</v>
      </c>
      <c r="T6291" s="14">
        <v>0</v>
      </c>
    </row>
    <row r="6292" spans="17:20" x14ac:dyDescent="0.3">
      <c r="Q6292" s="93">
        <v>45775</v>
      </c>
      <c r="R6292" t="s">
        <v>479</v>
      </c>
      <c r="S6292" t="s">
        <v>395</v>
      </c>
      <c r="T6292" s="14">
        <v>9792.6737436790008</v>
      </c>
    </row>
    <row r="6293" spans="17:20" x14ac:dyDescent="0.3">
      <c r="Q6293" s="93">
        <v>45775</v>
      </c>
      <c r="R6293" t="s">
        <v>479</v>
      </c>
      <c r="S6293" t="s">
        <v>415</v>
      </c>
      <c r="T6293" s="14">
        <v>6.2349764240000001</v>
      </c>
    </row>
    <row r="6294" spans="17:20" x14ac:dyDescent="0.3">
      <c r="Q6294" s="93">
        <v>45775</v>
      </c>
      <c r="R6294" t="s">
        <v>364</v>
      </c>
      <c r="S6294" t="s">
        <v>415</v>
      </c>
      <c r="T6294" s="14">
        <v>5.5123028390000002</v>
      </c>
    </row>
    <row r="6295" spans="17:20" x14ac:dyDescent="0.3">
      <c r="Q6295" s="93">
        <v>45772</v>
      </c>
      <c r="R6295" t="s">
        <v>364</v>
      </c>
      <c r="S6295" t="s">
        <v>399</v>
      </c>
      <c r="T6295" s="14">
        <v>18020</v>
      </c>
    </row>
    <row r="6296" spans="17:20" x14ac:dyDescent="0.3">
      <c r="Q6296" s="93">
        <v>45772</v>
      </c>
      <c r="R6296" t="s">
        <v>491</v>
      </c>
      <c r="S6296" t="s">
        <v>399</v>
      </c>
      <c r="T6296" s="14">
        <v>1397.6106</v>
      </c>
    </row>
    <row r="6297" spans="17:20" x14ac:dyDescent="0.3">
      <c r="Q6297" s="93">
        <v>45772</v>
      </c>
      <c r="R6297" t="s">
        <v>492</v>
      </c>
      <c r="S6297" t="s">
        <v>399</v>
      </c>
      <c r="T6297" s="14">
        <v>8100</v>
      </c>
    </row>
    <row r="6298" spans="17:20" x14ac:dyDescent="0.3">
      <c r="Q6298" s="93">
        <v>45772</v>
      </c>
      <c r="R6298" t="s">
        <v>496</v>
      </c>
      <c r="S6298" t="s">
        <v>399</v>
      </c>
      <c r="T6298" s="14">
        <v>10296.383900000001</v>
      </c>
    </row>
    <row r="6299" spans="17:20" x14ac:dyDescent="0.3">
      <c r="Q6299" s="93">
        <v>45772</v>
      </c>
      <c r="R6299" t="s">
        <v>497</v>
      </c>
      <c r="S6299" t="s">
        <v>399</v>
      </c>
      <c r="T6299" s="14">
        <v>7600</v>
      </c>
    </row>
    <row r="6300" spans="17:20" x14ac:dyDescent="0.3">
      <c r="Q6300" s="93">
        <v>45772</v>
      </c>
      <c r="R6300" t="s">
        <v>498</v>
      </c>
      <c r="S6300" t="s">
        <v>399</v>
      </c>
      <c r="T6300" s="14">
        <v>1397.6106</v>
      </c>
    </row>
    <row r="6301" spans="17:20" x14ac:dyDescent="0.3">
      <c r="Q6301" s="93">
        <v>45772</v>
      </c>
      <c r="R6301" t="s">
        <v>494</v>
      </c>
      <c r="S6301" t="s">
        <v>399</v>
      </c>
      <c r="T6301" s="14">
        <v>7723.6161000000002</v>
      </c>
    </row>
    <row r="6302" spans="17:20" x14ac:dyDescent="0.3">
      <c r="Q6302" s="93">
        <v>45772</v>
      </c>
      <c r="R6302" t="s">
        <v>495</v>
      </c>
      <c r="S6302" t="s">
        <v>399</v>
      </c>
      <c r="T6302" s="14">
        <v>500</v>
      </c>
    </row>
    <row r="6303" spans="17:20" x14ac:dyDescent="0.3">
      <c r="Q6303" s="93">
        <v>45772</v>
      </c>
      <c r="R6303" t="s">
        <v>493</v>
      </c>
      <c r="S6303" t="s">
        <v>399</v>
      </c>
      <c r="T6303" s="14">
        <v>0</v>
      </c>
    </row>
    <row r="6304" spans="17:20" x14ac:dyDescent="0.3">
      <c r="Q6304" s="93">
        <v>45772</v>
      </c>
      <c r="R6304" t="s">
        <v>479</v>
      </c>
      <c r="S6304" t="s">
        <v>395</v>
      </c>
      <c r="T6304" s="14">
        <v>9794.9879228520003</v>
      </c>
    </row>
    <row r="6305" spans="17:20" x14ac:dyDescent="0.3">
      <c r="Q6305" s="93">
        <v>45772</v>
      </c>
      <c r="R6305" t="s">
        <v>479</v>
      </c>
      <c r="S6305" t="s">
        <v>415</v>
      </c>
      <c r="T6305" s="14">
        <v>6.2349764240000001</v>
      </c>
    </row>
    <row r="6306" spans="17:20" x14ac:dyDescent="0.3">
      <c r="Q6306" s="93">
        <v>45772</v>
      </c>
      <c r="R6306" t="s">
        <v>364</v>
      </c>
      <c r="S6306" t="s">
        <v>415</v>
      </c>
      <c r="T6306" s="14">
        <v>5.515760266</v>
      </c>
    </row>
    <row r="6307" spans="17:20" x14ac:dyDescent="0.3">
      <c r="Q6307" s="93">
        <v>45772</v>
      </c>
      <c r="R6307" t="s">
        <v>479</v>
      </c>
      <c r="S6307" t="s">
        <v>399</v>
      </c>
      <c r="T6307" s="14">
        <v>9497.6106</v>
      </c>
    </row>
    <row r="6308" spans="17:20" x14ac:dyDescent="0.3">
      <c r="Q6308" s="93">
        <v>45771</v>
      </c>
      <c r="R6308" t="s">
        <v>479</v>
      </c>
      <c r="S6308" t="s">
        <v>399</v>
      </c>
      <c r="T6308" s="14">
        <v>9497.6106</v>
      </c>
    </row>
    <row r="6309" spans="17:20" x14ac:dyDescent="0.3">
      <c r="Q6309" s="93">
        <v>45771</v>
      </c>
      <c r="R6309" t="s">
        <v>364</v>
      </c>
      <c r="S6309" t="s">
        <v>399</v>
      </c>
      <c r="T6309" s="14">
        <v>18220</v>
      </c>
    </row>
    <row r="6310" spans="17:20" x14ac:dyDescent="0.3">
      <c r="Q6310" s="93">
        <v>45771</v>
      </c>
      <c r="R6310" t="s">
        <v>491</v>
      </c>
      <c r="S6310" t="s">
        <v>399</v>
      </c>
      <c r="T6310" s="14">
        <v>1397.6106</v>
      </c>
    </row>
    <row r="6311" spans="17:20" x14ac:dyDescent="0.3">
      <c r="Q6311" s="93">
        <v>45771</v>
      </c>
      <c r="R6311" t="s">
        <v>492</v>
      </c>
      <c r="S6311" t="s">
        <v>399</v>
      </c>
      <c r="T6311" s="14">
        <v>8100</v>
      </c>
    </row>
    <row r="6312" spans="17:20" x14ac:dyDescent="0.3">
      <c r="Q6312" s="93">
        <v>45771</v>
      </c>
      <c r="R6312" t="s">
        <v>496</v>
      </c>
      <c r="S6312" t="s">
        <v>399</v>
      </c>
      <c r="T6312" s="14">
        <v>10996.383900000001</v>
      </c>
    </row>
    <row r="6313" spans="17:20" x14ac:dyDescent="0.3">
      <c r="Q6313" s="93">
        <v>45771</v>
      </c>
      <c r="R6313" t="s">
        <v>497</v>
      </c>
      <c r="S6313" t="s">
        <v>399</v>
      </c>
      <c r="T6313" s="14">
        <v>7600</v>
      </c>
    </row>
    <row r="6314" spans="17:20" x14ac:dyDescent="0.3">
      <c r="Q6314" s="93">
        <v>45771</v>
      </c>
      <c r="R6314" t="s">
        <v>498</v>
      </c>
      <c r="S6314" t="s">
        <v>399</v>
      </c>
      <c r="T6314" s="14">
        <v>1397.6106</v>
      </c>
    </row>
    <row r="6315" spans="17:20" x14ac:dyDescent="0.3">
      <c r="Q6315" s="93">
        <v>45771</v>
      </c>
      <c r="R6315" t="s">
        <v>494</v>
      </c>
      <c r="S6315" t="s">
        <v>399</v>
      </c>
      <c r="T6315" s="14">
        <v>7223.6161000000002</v>
      </c>
    </row>
    <row r="6316" spans="17:20" x14ac:dyDescent="0.3">
      <c r="Q6316" s="93">
        <v>45771</v>
      </c>
      <c r="R6316" t="s">
        <v>495</v>
      </c>
      <c r="S6316" t="s">
        <v>399</v>
      </c>
      <c r="T6316" s="14">
        <v>500</v>
      </c>
    </row>
    <row r="6317" spans="17:20" x14ac:dyDescent="0.3">
      <c r="Q6317" s="93">
        <v>45771</v>
      </c>
      <c r="R6317" t="s">
        <v>493</v>
      </c>
      <c r="S6317" t="s">
        <v>399</v>
      </c>
      <c r="T6317" s="14">
        <v>0</v>
      </c>
    </row>
    <row r="6318" spans="17:20" x14ac:dyDescent="0.3">
      <c r="Q6318" s="93">
        <v>45771</v>
      </c>
      <c r="R6318" t="s">
        <v>479</v>
      </c>
      <c r="S6318" t="s">
        <v>395</v>
      </c>
      <c r="T6318" s="14">
        <v>9791.0660273119993</v>
      </c>
    </row>
    <row r="6319" spans="17:20" x14ac:dyDescent="0.3">
      <c r="Q6319" s="93">
        <v>45771</v>
      </c>
      <c r="R6319" t="s">
        <v>479</v>
      </c>
      <c r="S6319" t="s">
        <v>415</v>
      </c>
      <c r="T6319" s="14">
        <v>6.2349764240000001</v>
      </c>
    </row>
    <row r="6320" spans="17:20" x14ac:dyDescent="0.3">
      <c r="Q6320" s="93">
        <v>45771</v>
      </c>
      <c r="R6320" t="s">
        <v>364</v>
      </c>
      <c r="S6320" t="s">
        <v>415</v>
      </c>
      <c r="T6320" s="14">
        <v>5.5210757409999998</v>
      </c>
    </row>
    <row r="6321" spans="17:20" x14ac:dyDescent="0.3">
      <c r="Q6321" s="93">
        <v>45770</v>
      </c>
      <c r="R6321" t="s">
        <v>364</v>
      </c>
      <c r="S6321" t="s">
        <v>399</v>
      </c>
      <c r="T6321" s="14">
        <v>18220</v>
      </c>
    </row>
    <row r="6322" spans="17:20" x14ac:dyDescent="0.3">
      <c r="Q6322" s="93">
        <v>45770</v>
      </c>
      <c r="R6322" t="s">
        <v>491</v>
      </c>
      <c r="S6322" t="s">
        <v>399</v>
      </c>
      <c r="T6322" s="14">
        <v>1397.6106</v>
      </c>
    </row>
    <row r="6323" spans="17:20" x14ac:dyDescent="0.3">
      <c r="Q6323" s="93">
        <v>45770</v>
      </c>
      <c r="R6323" t="s">
        <v>492</v>
      </c>
      <c r="S6323" t="s">
        <v>399</v>
      </c>
      <c r="T6323" s="14">
        <v>8100</v>
      </c>
    </row>
    <row r="6324" spans="17:20" x14ac:dyDescent="0.3">
      <c r="Q6324" s="93">
        <v>45770</v>
      </c>
      <c r="R6324" t="s">
        <v>496</v>
      </c>
      <c r="S6324" t="s">
        <v>399</v>
      </c>
      <c r="T6324" s="14">
        <v>10596.383900000001</v>
      </c>
    </row>
    <row r="6325" spans="17:20" x14ac:dyDescent="0.3">
      <c r="Q6325" s="93">
        <v>45770</v>
      </c>
      <c r="R6325" t="s">
        <v>497</v>
      </c>
      <c r="S6325" t="s">
        <v>399</v>
      </c>
      <c r="T6325" s="14">
        <v>7600</v>
      </c>
    </row>
    <row r="6326" spans="17:20" x14ac:dyDescent="0.3">
      <c r="Q6326" s="93">
        <v>45770</v>
      </c>
      <c r="R6326" t="s">
        <v>498</v>
      </c>
      <c r="S6326" t="s">
        <v>399</v>
      </c>
      <c r="T6326" s="14">
        <v>1397.6106</v>
      </c>
    </row>
    <row r="6327" spans="17:20" x14ac:dyDescent="0.3">
      <c r="Q6327" s="93">
        <v>45770</v>
      </c>
      <c r="R6327" t="s">
        <v>494</v>
      </c>
      <c r="S6327" t="s">
        <v>399</v>
      </c>
      <c r="T6327" s="14">
        <v>7623.6161000000002</v>
      </c>
    </row>
    <row r="6328" spans="17:20" x14ac:dyDescent="0.3">
      <c r="Q6328" s="93">
        <v>45770</v>
      </c>
      <c r="R6328" t="s">
        <v>495</v>
      </c>
      <c r="S6328" t="s">
        <v>399</v>
      </c>
      <c r="T6328" s="14">
        <v>500</v>
      </c>
    </row>
    <row r="6329" spans="17:20" x14ac:dyDescent="0.3">
      <c r="Q6329" s="93">
        <v>45770</v>
      </c>
      <c r="R6329" t="s">
        <v>493</v>
      </c>
      <c r="S6329" t="s">
        <v>399</v>
      </c>
      <c r="T6329" s="14">
        <v>0</v>
      </c>
    </row>
    <row r="6330" spans="17:20" x14ac:dyDescent="0.3">
      <c r="Q6330" s="93">
        <v>45770</v>
      </c>
      <c r="R6330" t="s">
        <v>479</v>
      </c>
      <c r="S6330" t="s">
        <v>395</v>
      </c>
      <c r="T6330" s="14">
        <v>9794.7075380269998</v>
      </c>
    </row>
    <row r="6331" spans="17:20" x14ac:dyDescent="0.3">
      <c r="Q6331" s="93">
        <v>45770</v>
      </c>
      <c r="R6331" t="s">
        <v>479</v>
      </c>
      <c r="S6331" t="s">
        <v>399</v>
      </c>
      <c r="T6331" s="14">
        <v>9497.6106</v>
      </c>
    </row>
    <row r="6332" spans="17:20" x14ac:dyDescent="0.3">
      <c r="Q6332" s="93">
        <v>45770</v>
      </c>
      <c r="R6332" t="s">
        <v>479</v>
      </c>
      <c r="S6332" t="s">
        <v>415</v>
      </c>
      <c r="T6332" s="14">
        <v>6.2349764240000001</v>
      </c>
    </row>
    <row r="6333" spans="17:20" x14ac:dyDescent="0.3">
      <c r="Q6333" s="93">
        <v>45770</v>
      </c>
      <c r="R6333" t="s">
        <v>364</v>
      </c>
      <c r="S6333" t="s">
        <v>415</v>
      </c>
      <c r="T6333" s="14">
        <v>5.5210757409999998</v>
      </c>
    </row>
    <row r="6334" spans="17:20" x14ac:dyDescent="0.3">
      <c r="Q6334" s="93">
        <v>45769</v>
      </c>
      <c r="R6334" t="s">
        <v>479</v>
      </c>
      <c r="S6334" t="s">
        <v>399</v>
      </c>
      <c r="T6334" s="14">
        <v>9497.6106</v>
      </c>
    </row>
    <row r="6335" spans="17:20" x14ac:dyDescent="0.3">
      <c r="Q6335" s="93">
        <v>45769</v>
      </c>
      <c r="R6335" t="s">
        <v>479</v>
      </c>
      <c r="S6335" t="s">
        <v>415</v>
      </c>
      <c r="T6335" s="14">
        <v>6.2349764240000001</v>
      </c>
    </row>
    <row r="6336" spans="17:20" x14ac:dyDescent="0.3">
      <c r="Q6336" s="93">
        <v>45769</v>
      </c>
      <c r="R6336" t="s">
        <v>364</v>
      </c>
      <c r="S6336" t="s">
        <v>399</v>
      </c>
      <c r="T6336" s="14">
        <v>20220</v>
      </c>
    </row>
    <row r="6337" spans="17:20" x14ac:dyDescent="0.3">
      <c r="Q6337" s="93">
        <v>45769</v>
      </c>
      <c r="R6337" t="s">
        <v>491</v>
      </c>
      <c r="S6337" t="s">
        <v>399</v>
      </c>
      <c r="T6337" s="14">
        <v>1397.6106</v>
      </c>
    </row>
    <row r="6338" spans="17:20" x14ac:dyDescent="0.3">
      <c r="Q6338" s="93">
        <v>45769</v>
      </c>
      <c r="R6338" t="s">
        <v>492</v>
      </c>
      <c r="S6338" t="s">
        <v>399</v>
      </c>
      <c r="T6338" s="14">
        <v>8100</v>
      </c>
    </row>
    <row r="6339" spans="17:20" x14ac:dyDescent="0.3">
      <c r="Q6339" s="93">
        <v>45769</v>
      </c>
      <c r="R6339" t="s">
        <v>496</v>
      </c>
      <c r="S6339" t="s">
        <v>399</v>
      </c>
      <c r="T6339" s="14">
        <v>10596.383900000001</v>
      </c>
    </row>
    <row r="6340" spans="17:20" x14ac:dyDescent="0.3">
      <c r="Q6340" s="93">
        <v>45769</v>
      </c>
      <c r="R6340" t="s">
        <v>497</v>
      </c>
      <c r="S6340" t="s">
        <v>399</v>
      </c>
      <c r="T6340" s="14">
        <v>6900</v>
      </c>
    </row>
    <row r="6341" spans="17:20" x14ac:dyDescent="0.3">
      <c r="Q6341" s="93">
        <v>45769</v>
      </c>
      <c r="R6341" t="s">
        <v>498</v>
      </c>
      <c r="S6341" t="s">
        <v>399</v>
      </c>
      <c r="T6341" s="14">
        <v>1397.6106</v>
      </c>
    </row>
    <row r="6342" spans="17:20" x14ac:dyDescent="0.3">
      <c r="Q6342" s="93">
        <v>45769</v>
      </c>
      <c r="R6342" t="s">
        <v>494</v>
      </c>
      <c r="S6342" t="s">
        <v>399</v>
      </c>
      <c r="T6342" s="14">
        <v>9623.6160999999993</v>
      </c>
    </row>
    <row r="6343" spans="17:20" x14ac:dyDescent="0.3">
      <c r="Q6343" s="93">
        <v>45769</v>
      </c>
      <c r="R6343" t="s">
        <v>495</v>
      </c>
      <c r="S6343" t="s">
        <v>399</v>
      </c>
      <c r="T6343" s="14">
        <v>1200</v>
      </c>
    </row>
    <row r="6344" spans="17:20" x14ac:dyDescent="0.3">
      <c r="Q6344" s="93">
        <v>45769</v>
      </c>
      <c r="R6344" t="s">
        <v>493</v>
      </c>
      <c r="S6344" t="s">
        <v>399</v>
      </c>
      <c r="T6344" s="14">
        <v>0</v>
      </c>
    </row>
    <row r="6345" spans="17:20" x14ac:dyDescent="0.3">
      <c r="Q6345" s="93">
        <v>45769</v>
      </c>
      <c r="R6345" t="s">
        <v>479</v>
      </c>
      <c r="S6345" t="s">
        <v>395</v>
      </c>
      <c r="T6345" s="14">
        <v>9804.0074736049992</v>
      </c>
    </row>
    <row r="6346" spans="17:20" x14ac:dyDescent="0.3">
      <c r="Q6346" s="93">
        <v>45769</v>
      </c>
      <c r="R6346" t="s">
        <v>364</v>
      </c>
      <c r="S6346" t="s">
        <v>415</v>
      </c>
      <c r="T6346" s="14">
        <v>5.5011869439999996</v>
      </c>
    </row>
    <row r="6347" spans="17:20" x14ac:dyDescent="0.3">
      <c r="Q6347" s="93">
        <v>45768</v>
      </c>
      <c r="R6347" t="s">
        <v>479</v>
      </c>
      <c r="S6347" t="s">
        <v>399</v>
      </c>
      <c r="T6347" s="14">
        <v>8797.6106</v>
      </c>
    </row>
    <row r="6348" spans="17:20" x14ac:dyDescent="0.3">
      <c r="Q6348" s="93">
        <v>45768</v>
      </c>
      <c r="R6348" t="s">
        <v>364</v>
      </c>
      <c r="S6348" t="s">
        <v>399</v>
      </c>
      <c r="T6348" s="14">
        <v>20020</v>
      </c>
    </row>
    <row r="6349" spans="17:20" x14ac:dyDescent="0.3">
      <c r="Q6349" s="93">
        <v>45768</v>
      </c>
      <c r="R6349" t="s">
        <v>491</v>
      </c>
      <c r="S6349" t="s">
        <v>399</v>
      </c>
      <c r="T6349" s="14">
        <v>1397.6106</v>
      </c>
    </row>
    <row r="6350" spans="17:20" x14ac:dyDescent="0.3">
      <c r="Q6350" s="93">
        <v>45768</v>
      </c>
      <c r="R6350" t="s">
        <v>492</v>
      </c>
      <c r="S6350" t="s">
        <v>399</v>
      </c>
      <c r="T6350" s="14">
        <v>7400</v>
      </c>
    </row>
    <row r="6351" spans="17:20" x14ac:dyDescent="0.3">
      <c r="Q6351" s="93">
        <v>45768</v>
      </c>
      <c r="R6351" t="s">
        <v>496</v>
      </c>
      <c r="S6351" t="s">
        <v>399</v>
      </c>
      <c r="T6351" s="14">
        <v>11196.383900000001</v>
      </c>
    </row>
    <row r="6352" spans="17:20" x14ac:dyDescent="0.3">
      <c r="Q6352" s="93">
        <v>45768</v>
      </c>
      <c r="R6352" t="s">
        <v>497</v>
      </c>
      <c r="S6352" t="s">
        <v>399</v>
      </c>
      <c r="T6352" s="14">
        <v>6900</v>
      </c>
    </row>
    <row r="6353" spans="17:20" x14ac:dyDescent="0.3">
      <c r="Q6353" s="93">
        <v>45768</v>
      </c>
      <c r="R6353" t="s">
        <v>498</v>
      </c>
      <c r="S6353" t="s">
        <v>399</v>
      </c>
      <c r="T6353" s="14">
        <v>1397.6106</v>
      </c>
    </row>
    <row r="6354" spans="17:20" x14ac:dyDescent="0.3">
      <c r="Q6354" s="93">
        <v>45768</v>
      </c>
      <c r="R6354" t="s">
        <v>494</v>
      </c>
      <c r="S6354" t="s">
        <v>399</v>
      </c>
      <c r="T6354" s="14">
        <v>8823.6160999999993</v>
      </c>
    </row>
    <row r="6355" spans="17:20" x14ac:dyDescent="0.3">
      <c r="Q6355" s="93">
        <v>45768</v>
      </c>
      <c r="R6355" t="s">
        <v>495</v>
      </c>
      <c r="S6355" t="s">
        <v>399</v>
      </c>
      <c r="T6355" s="14">
        <v>500</v>
      </c>
    </row>
    <row r="6356" spans="17:20" x14ac:dyDescent="0.3">
      <c r="Q6356" s="93">
        <v>45768</v>
      </c>
      <c r="R6356" t="s">
        <v>493</v>
      </c>
      <c r="S6356" t="s">
        <v>399</v>
      </c>
      <c r="T6356" s="14">
        <v>0</v>
      </c>
    </row>
    <row r="6357" spans="17:20" x14ac:dyDescent="0.3">
      <c r="Q6357" s="93">
        <v>45768</v>
      </c>
      <c r="R6357" t="s">
        <v>479</v>
      </c>
      <c r="S6357" t="s">
        <v>395</v>
      </c>
      <c r="T6357" s="14">
        <v>9804.6259893509996</v>
      </c>
    </row>
    <row r="6358" spans="17:20" x14ac:dyDescent="0.3">
      <c r="Q6358" s="93">
        <v>45768</v>
      </c>
      <c r="R6358" t="s">
        <v>479</v>
      </c>
      <c r="S6358" t="s">
        <v>415</v>
      </c>
      <c r="T6358" s="14">
        <v>6.2536728070000001</v>
      </c>
    </row>
    <row r="6359" spans="17:20" x14ac:dyDescent="0.3">
      <c r="Q6359" s="93">
        <v>45768</v>
      </c>
      <c r="R6359" t="s">
        <v>364</v>
      </c>
      <c r="S6359" t="s">
        <v>415</v>
      </c>
      <c r="T6359" s="14">
        <v>5.4882117880000001</v>
      </c>
    </row>
    <row r="6360" spans="17:20" x14ac:dyDescent="0.3">
      <c r="Q6360" s="93">
        <v>45765</v>
      </c>
      <c r="R6360" t="s">
        <v>364</v>
      </c>
      <c r="S6360" t="s">
        <v>399</v>
      </c>
      <c r="T6360" s="14">
        <v>20820</v>
      </c>
    </row>
    <row r="6361" spans="17:20" x14ac:dyDescent="0.3">
      <c r="Q6361" s="93">
        <v>45765</v>
      </c>
      <c r="R6361" t="s">
        <v>491</v>
      </c>
      <c r="S6361" t="s">
        <v>399</v>
      </c>
      <c r="T6361" s="14">
        <v>1397.6106</v>
      </c>
    </row>
    <row r="6362" spans="17:20" x14ac:dyDescent="0.3">
      <c r="Q6362" s="93">
        <v>45765</v>
      </c>
      <c r="R6362" t="s">
        <v>492</v>
      </c>
      <c r="S6362" t="s">
        <v>399</v>
      </c>
      <c r="T6362" s="14">
        <v>7400</v>
      </c>
    </row>
    <row r="6363" spans="17:20" x14ac:dyDescent="0.3">
      <c r="Q6363" s="93">
        <v>45765</v>
      </c>
      <c r="R6363" t="s">
        <v>496</v>
      </c>
      <c r="S6363" t="s">
        <v>399</v>
      </c>
      <c r="T6363" s="14">
        <v>11196.383900000001</v>
      </c>
    </row>
    <row r="6364" spans="17:20" x14ac:dyDescent="0.3">
      <c r="Q6364" s="93">
        <v>45765</v>
      </c>
      <c r="R6364" t="s">
        <v>497</v>
      </c>
      <c r="S6364" t="s">
        <v>399</v>
      </c>
      <c r="T6364" s="14">
        <v>6900</v>
      </c>
    </row>
    <row r="6365" spans="17:20" x14ac:dyDescent="0.3">
      <c r="Q6365" s="93">
        <v>45765</v>
      </c>
      <c r="R6365" t="s">
        <v>498</v>
      </c>
      <c r="S6365" t="s">
        <v>399</v>
      </c>
      <c r="T6365" s="14">
        <v>1397.6106</v>
      </c>
    </row>
    <row r="6366" spans="17:20" x14ac:dyDescent="0.3">
      <c r="Q6366" s="93">
        <v>45765</v>
      </c>
      <c r="R6366" t="s">
        <v>494</v>
      </c>
      <c r="S6366" t="s">
        <v>399</v>
      </c>
      <c r="T6366" s="14">
        <v>9623.6160999999993</v>
      </c>
    </row>
    <row r="6367" spans="17:20" x14ac:dyDescent="0.3">
      <c r="Q6367" s="93">
        <v>45765</v>
      </c>
      <c r="R6367" t="s">
        <v>495</v>
      </c>
      <c r="S6367" t="s">
        <v>399</v>
      </c>
      <c r="T6367" s="14">
        <v>500</v>
      </c>
    </row>
    <row r="6368" spans="17:20" x14ac:dyDescent="0.3">
      <c r="Q6368" s="93">
        <v>45765</v>
      </c>
      <c r="R6368" t="s">
        <v>493</v>
      </c>
      <c r="S6368" t="s">
        <v>399</v>
      </c>
      <c r="T6368" s="14">
        <v>0</v>
      </c>
    </row>
    <row r="6369" spans="17:20" x14ac:dyDescent="0.3">
      <c r="Q6369" s="93">
        <v>45765</v>
      </c>
      <c r="R6369" t="s">
        <v>479</v>
      </c>
      <c r="S6369" t="s">
        <v>395</v>
      </c>
      <c r="T6369" s="14">
        <v>9807.4849411750001</v>
      </c>
    </row>
    <row r="6370" spans="17:20" x14ac:dyDescent="0.3">
      <c r="Q6370" s="93">
        <v>45765</v>
      </c>
      <c r="R6370" t="s">
        <v>479</v>
      </c>
      <c r="S6370" t="s">
        <v>399</v>
      </c>
      <c r="T6370" s="14">
        <v>8797.6106</v>
      </c>
    </row>
    <row r="6371" spans="17:20" x14ac:dyDescent="0.3">
      <c r="Q6371" s="93">
        <v>45765</v>
      </c>
      <c r="R6371" t="s">
        <v>479</v>
      </c>
      <c r="S6371" t="s">
        <v>415</v>
      </c>
      <c r="T6371" s="14">
        <v>6.2536728070000001</v>
      </c>
    </row>
    <row r="6372" spans="17:20" x14ac:dyDescent="0.3">
      <c r="Q6372" s="93">
        <v>45765</v>
      </c>
      <c r="R6372" t="s">
        <v>364</v>
      </c>
      <c r="S6372" t="s">
        <v>415</v>
      </c>
      <c r="T6372" s="14">
        <v>5.4853025940000002</v>
      </c>
    </row>
    <row r="6373" spans="17:20" x14ac:dyDescent="0.3">
      <c r="Q6373" s="93">
        <v>45764</v>
      </c>
      <c r="R6373" t="s">
        <v>479</v>
      </c>
      <c r="S6373" t="s">
        <v>399</v>
      </c>
      <c r="T6373" s="14">
        <v>8797.6106</v>
      </c>
    </row>
    <row r="6374" spans="17:20" x14ac:dyDescent="0.3">
      <c r="Q6374" s="93">
        <v>45764</v>
      </c>
      <c r="R6374" t="s">
        <v>364</v>
      </c>
      <c r="S6374" t="s">
        <v>399</v>
      </c>
      <c r="T6374" s="14">
        <v>23770</v>
      </c>
    </row>
    <row r="6375" spans="17:20" x14ac:dyDescent="0.3">
      <c r="Q6375" s="93">
        <v>45764</v>
      </c>
      <c r="R6375" t="s">
        <v>491</v>
      </c>
      <c r="S6375" t="s">
        <v>399</v>
      </c>
      <c r="T6375" s="14">
        <v>1397.6106</v>
      </c>
    </row>
    <row r="6376" spans="17:20" x14ac:dyDescent="0.3">
      <c r="Q6376" s="93">
        <v>45764</v>
      </c>
      <c r="R6376" t="s">
        <v>492</v>
      </c>
      <c r="S6376" t="s">
        <v>399</v>
      </c>
      <c r="T6376" s="14">
        <v>7400</v>
      </c>
    </row>
    <row r="6377" spans="17:20" x14ac:dyDescent="0.3">
      <c r="Q6377" s="93">
        <v>45764</v>
      </c>
      <c r="R6377" t="s">
        <v>496</v>
      </c>
      <c r="S6377" t="s">
        <v>399</v>
      </c>
      <c r="T6377" s="14">
        <v>12126.383900000001</v>
      </c>
    </row>
    <row r="6378" spans="17:20" x14ac:dyDescent="0.3">
      <c r="Q6378" s="93">
        <v>45764</v>
      </c>
      <c r="R6378" t="s">
        <v>497</v>
      </c>
      <c r="S6378" t="s">
        <v>399</v>
      </c>
      <c r="T6378" s="14">
        <v>6900</v>
      </c>
    </row>
    <row r="6379" spans="17:20" x14ac:dyDescent="0.3">
      <c r="Q6379" s="93">
        <v>45764</v>
      </c>
      <c r="R6379" t="s">
        <v>498</v>
      </c>
      <c r="S6379" t="s">
        <v>399</v>
      </c>
      <c r="T6379" s="14">
        <v>1397.6106</v>
      </c>
    </row>
    <row r="6380" spans="17:20" x14ac:dyDescent="0.3">
      <c r="Q6380" s="93">
        <v>45764</v>
      </c>
      <c r="R6380" t="s">
        <v>494</v>
      </c>
      <c r="S6380" t="s">
        <v>399</v>
      </c>
      <c r="T6380" s="14">
        <v>11643.616099999999</v>
      </c>
    </row>
    <row r="6381" spans="17:20" x14ac:dyDescent="0.3">
      <c r="Q6381" s="93">
        <v>45764</v>
      </c>
      <c r="R6381" t="s">
        <v>495</v>
      </c>
      <c r="S6381" t="s">
        <v>399</v>
      </c>
      <c r="T6381" s="14">
        <v>500</v>
      </c>
    </row>
    <row r="6382" spans="17:20" x14ac:dyDescent="0.3">
      <c r="Q6382" s="93">
        <v>45764</v>
      </c>
      <c r="R6382" t="s">
        <v>493</v>
      </c>
      <c r="S6382" t="s">
        <v>399</v>
      </c>
      <c r="T6382" s="14">
        <v>0</v>
      </c>
    </row>
    <row r="6383" spans="17:20" x14ac:dyDescent="0.3">
      <c r="Q6383" s="93">
        <v>45764</v>
      </c>
      <c r="R6383" t="s">
        <v>479</v>
      </c>
      <c r="S6383" t="s">
        <v>395</v>
      </c>
      <c r="T6383" s="14">
        <v>9809.8642601200008</v>
      </c>
    </row>
    <row r="6384" spans="17:20" x14ac:dyDescent="0.3">
      <c r="Q6384" s="93">
        <v>45764</v>
      </c>
      <c r="R6384" t="s">
        <v>479</v>
      </c>
      <c r="S6384" t="s">
        <v>415</v>
      </c>
      <c r="T6384" s="14">
        <v>6.2536728070000001</v>
      </c>
    </row>
    <row r="6385" spans="17:20" x14ac:dyDescent="0.3">
      <c r="Q6385" s="93">
        <v>45764</v>
      </c>
      <c r="R6385" t="s">
        <v>364</v>
      </c>
      <c r="S6385" t="s">
        <v>415</v>
      </c>
      <c r="T6385" s="14">
        <v>5.4277240219999996</v>
      </c>
    </row>
    <row r="6386" spans="17:20" x14ac:dyDescent="0.3">
      <c r="Q6386" s="93">
        <v>45763</v>
      </c>
      <c r="R6386" t="s">
        <v>479</v>
      </c>
      <c r="S6386" t="s">
        <v>399</v>
      </c>
      <c r="T6386" s="14">
        <v>8797.6106</v>
      </c>
    </row>
    <row r="6387" spans="17:20" x14ac:dyDescent="0.3">
      <c r="Q6387" s="93">
        <v>45763</v>
      </c>
      <c r="R6387" t="s">
        <v>364</v>
      </c>
      <c r="S6387" t="s">
        <v>399</v>
      </c>
      <c r="T6387" s="14">
        <v>24270</v>
      </c>
    </row>
    <row r="6388" spans="17:20" x14ac:dyDescent="0.3">
      <c r="Q6388" s="93">
        <v>45763</v>
      </c>
      <c r="R6388" t="s">
        <v>491</v>
      </c>
      <c r="S6388" t="s">
        <v>399</v>
      </c>
      <c r="T6388" s="14">
        <v>1397.6106</v>
      </c>
    </row>
    <row r="6389" spans="17:20" x14ac:dyDescent="0.3">
      <c r="Q6389" s="93">
        <v>45763</v>
      </c>
      <c r="R6389" t="s">
        <v>492</v>
      </c>
      <c r="S6389" t="s">
        <v>399</v>
      </c>
      <c r="T6389" s="14">
        <v>7400</v>
      </c>
    </row>
    <row r="6390" spans="17:20" x14ac:dyDescent="0.3">
      <c r="Q6390" s="93">
        <v>45763</v>
      </c>
      <c r="R6390" t="s">
        <v>496</v>
      </c>
      <c r="S6390" t="s">
        <v>399</v>
      </c>
      <c r="T6390" s="14">
        <v>11626.383900000001</v>
      </c>
    </row>
    <row r="6391" spans="17:20" x14ac:dyDescent="0.3">
      <c r="Q6391" s="93">
        <v>45763</v>
      </c>
      <c r="R6391" t="s">
        <v>497</v>
      </c>
      <c r="S6391" t="s">
        <v>399</v>
      </c>
      <c r="T6391" s="14">
        <v>6900</v>
      </c>
    </row>
    <row r="6392" spans="17:20" x14ac:dyDescent="0.3">
      <c r="Q6392" s="93">
        <v>45763</v>
      </c>
      <c r="R6392" t="s">
        <v>498</v>
      </c>
      <c r="S6392" t="s">
        <v>399</v>
      </c>
      <c r="T6392" s="14">
        <v>1397.6106</v>
      </c>
    </row>
    <row r="6393" spans="17:20" x14ac:dyDescent="0.3">
      <c r="Q6393" s="93">
        <v>45763</v>
      </c>
      <c r="R6393" t="s">
        <v>494</v>
      </c>
      <c r="S6393" t="s">
        <v>399</v>
      </c>
      <c r="T6393" s="14">
        <v>12643.616099999999</v>
      </c>
    </row>
    <row r="6394" spans="17:20" x14ac:dyDescent="0.3">
      <c r="Q6394" s="93">
        <v>45763</v>
      </c>
      <c r="R6394" t="s">
        <v>495</v>
      </c>
      <c r="S6394" t="s">
        <v>399</v>
      </c>
      <c r="T6394" s="14">
        <v>500</v>
      </c>
    </row>
    <row r="6395" spans="17:20" x14ac:dyDescent="0.3">
      <c r="Q6395" s="93">
        <v>45763</v>
      </c>
      <c r="R6395" t="s">
        <v>493</v>
      </c>
      <c r="S6395" t="s">
        <v>399</v>
      </c>
      <c r="T6395" s="14">
        <v>0</v>
      </c>
    </row>
    <row r="6396" spans="17:20" x14ac:dyDescent="0.3">
      <c r="Q6396" s="93">
        <v>45763</v>
      </c>
      <c r="R6396" t="s">
        <v>479</v>
      </c>
      <c r="S6396" t="s">
        <v>395</v>
      </c>
      <c r="T6396" s="14">
        <v>9803.4893961840007</v>
      </c>
    </row>
    <row r="6397" spans="17:20" x14ac:dyDescent="0.3">
      <c r="Q6397" s="93">
        <v>45763</v>
      </c>
      <c r="R6397" t="s">
        <v>479</v>
      </c>
      <c r="S6397" t="s">
        <v>415</v>
      </c>
      <c r="T6397" s="14">
        <v>6.2536728070000001</v>
      </c>
    </row>
    <row r="6398" spans="17:20" x14ac:dyDescent="0.3">
      <c r="Q6398" s="93">
        <v>45763</v>
      </c>
      <c r="R6398" t="s">
        <v>364</v>
      </c>
      <c r="S6398" t="s">
        <v>415</v>
      </c>
      <c r="T6398" s="14">
        <v>5.4292130199999997</v>
      </c>
    </row>
    <row r="6399" spans="17:20" x14ac:dyDescent="0.3">
      <c r="Q6399" s="93">
        <v>45762</v>
      </c>
      <c r="R6399" t="s">
        <v>479</v>
      </c>
      <c r="S6399" t="s">
        <v>399</v>
      </c>
      <c r="T6399" s="14">
        <v>8797.6106</v>
      </c>
    </row>
    <row r="6400" spans="17:20" x14ac:dyDescent="0.3">
      <c r="Q6400" s="93">
        <v>45762</v>
      </c>
      <c r="R6400" t="s">
        <v>364</v>
      </c>
      <c r="S6400" t="s">
        <v>399</v>
      </c>
      <c r="T6400" s="14">
        <v>24270</v>
      </c>
    </row>
    <row r="6401" spans="17:20" x14ac:dyDescent="0.3">
      <c r="Q6401" s="93">
        <v>45762</v>
      </c>
      <c r="R6401" t="s">
        <v>491</v>
      </c>
      <c r="S6401" t="s">
        <v>399</v>
      </c>
      <c r="T6401" s="14">
        <v>1397.6106</v>
      </c>
    </row>
    <row r="6402" spans="17:20" x14ac:dyDescent="0.3">
      <c r="Q6402" s="93">
        <v>45762</v>
      </c>
      <c r="R6402" t="s">
        <v>492</v>
      </c>
      <c r="S6402" t="s">
        <v>399</v>
      </c>
      <c r="T6402" s="14">
        <v>7400</v>
      </c>
    </row>
    <row r="6403" spans="17:20" x14ac:dyDescent="0.3">
      <c r="Q6403" s="93">
        <v>45762</v>
      </c>
      <c r="R6403" t="s">
        <v>496</v>
      </c>
      <c r="S6403" t="s">
        <v>399</v>
      </c>
      <c r="T6403" s="14">
        <v>13776.383900000001</v>
      </c>
    </row>
    <row r="6404" spans="17:20" x14ac:dyDescent="0.3">
      <c r="Q6404" s="93">
        <v>45762</v>
      </c>
      <c r="R6404" t="s">
        <v>497</v>
      </c>
      <c r="S6404" t="s">
        <v>399</v>
      </c>
      <c r="T6404" s="14">
        <v>6900</v>
      </c>
    </row>
    <row r="6405" spans="17:20" x14ac:dyDescent="0.3">
      <c r="Q6405" s="93">
        <v>45762</v>
      </c>
      <c r="R6405" t="s">
        <v>498</v>
      </c>
      <c r="S6405" t="s">
        <v>399</v>
      </c>
      <c r="T6405" s="14">
        <v>1397.6106</v>
      </c>
    </row>
    <row r="6406" spans="17:20" x14ac:dyDescent="0.3">
      <c r="Q6406" s="93">
        <v>45762</v>
      </c>
      <c r="R6406" t="s">
        <v>494</v>
      </c>
      <c r="S6406" t="s">
        <v>399</v>
      </c>
      <c r="T6406" s="14">
        <v>10493.616099999999</v>
      </c>
    </row>
    <row r="6407" spans="17:20" x14ac:dyDescent="0.3">
      <c r="Q6407" s="93">
        <v>45762</v>
      </c>
      <c r="R6407" t="s">
        <v>495</v>
      </c>
      <c r="S6407" t="s">
        <v>399</v>
      </c>
      <c r="T6407" s="14">
        <v>500</v>
      </c>
    </row>
    <row r="6408" spans="17:20" x14ac:dyDescent="0.3">
      <c r="Q6408" s="93">
        <v>45762</v>
      </c>
      <c r="R6408" t="s">
        <v>493</v>
      </c>
      <c r="S6408" t="s">
        <v>399</v>
      </c>
      <c r="T6408" s="14">
        <v>0</v>
      </c>
    </row>
    <row r="6409" spans="17:20" x14ac:dyDescent="0.3">
      <c r="Q6409" s="93">
        <v>45762</v>
      </c>
      <c r="R6409" t="s">
        <v>479</v>
      </c>
      <c r="S6409" t="s">
        <v>395</v>
      </c>
      <c r="T6409" s="14">
        <v>9806.2771050669999</v>
      </c>
    </row>
    <row r="6410" spans="17:20" x14ac:dyDescent="0.3">
      <c r="Q6410" s="93">
        <v>45762</v>
      </c>
      <c r="R6410" t="s">
        <v>364</v>
      </c>
      <c r="S6410" t="s">
        <v>415</v>
      </c>
      <c r="T6410" s="14">
        <v>5.4292130199999997</v>
      </c>
    </row>
    <row r="6411" spans="17:20" x14ac:dyDescent="0.3">
      <c r="Q6411" s="93">
        <v>45762</v>
      </c>
      <c r="R6411" t="s">
        <v>479</v>
      </c>
      <c r="S6411" t="s">
        <v>415</v>
      </c>
      <c r="T6411" s="14">
        <v>6.2536728070000001</v>
      </c>
    </row>
    <row r="6412" spans="17:20" x14ac:dyDescent="0.3">
      <c r="Q6412" s="93">
        <v>45761</v>
      </c>
      <c r="R6412" t="s">
        <v>479</v>
      </c>
      <c r="S6412" t="s">
        <v>399</v>
      </c>
      <c r="T6412" s="14">
        <v>8797.6106</v>
      </c>
    </row>
    <row r="6413" spans="17:20" x14ac:dyDescent="0.3">
      <c r="Q6413" s="93">
        <v>45761</v>
      </c>
      <c r="R6413" t="s">
        <v>364</v>
      </c>
      <c r="S6413" t="s">
        <v>399</v>
      </c>
      <c r="T6413" s="14">
        <v>24770</v>
      </c>
    </row>
    <row r="6414" spans="17:20" x14ac:dyDescent="0.3">
      <c r="Q6414" s="93">
        <v>45761</v>
      </c>
      <c r="R6414" t="s">
        <v>491</v>
      </c>
      <c r="S6414" t="s">
        <v>399</v>
      </c>
      <c r="T6414" s="14">
        <v>1397.6106</v>
      </c>
    </row>
    <row r="6415" spans="17:20" x14ac:dyDescent="0.3">
      <c r="Q6415" s="93">
        <v>45761</v>
      </c>
      <c r="R6415" t="s">
        <v>492</v>
      </c>
      <c r="S6415" t="s">
        <v>399</v>
      </c>
      <c r="T6415" s="14">
        <v>7400</v>
      </c>
    </row>
    <row r="6416" spans="17:20" x14ac:dyDescent="0.3">
      <c r="Q6416" s="93">
        <v>45761</v>
      </c>
      <c r="R6416" t="s">
        <v>496</v>
      </c>
      <c r="S6416" t="s">
        <v>399</v>
      </c>
      <c r="T6416" s="14">
        <v>14076.383900000001</v>
      </c>
    </row>
    <row r="6417" spans="17:20" x14ac:dyDescent="0.3">
      <c r="Q6417" s="93">
        <v>45761</v>
      </c>
      <c r="R6417" t="s">
        <v>497</v>
      </c>
      <c r="S6417" t="s">
        <v>399</v>
      </c>
      <c r="T6417" s="14">
        <v>6900</v>
      </c>
    </row>
    <row r="6418" spans="17:20" x14ac:dyDescent="0.3">
      <c r="Q6418" s="93">
        <v>45761</v>
      </c>
      <c r="R6418" t="s">
        <v>498</v>
      </c>
      <c r="S6418" t="s">
        <v>399</v>
      </c>
      <c r="T6418" s="14">
        <v>1397.6106</v>
      </c>
    </row>
    <row r="6419" spans="17:20" x14ac:dyDescent="0.3">
      <c r="Q6419" s="93">
        <v>45761</v>
      </c>
      <c r="R6419" t="s">
        <v>494</v>
      </c>
      <c r="S6419" t="s">
        <v>399</v>
      </c>
      <c r="T6419" s="14">
        <v>10693.616099999999</v>
      </c>
    </row>
    <row r="6420" spans="17:20" x14ac:dyDescent="0.3">
      <c r="Q6420" s="93">
        <v>45761</v>
      </c>
      <c r="R6420" t="s">
        <v>495</v>
      </c>
      <c r="S6420" t="s">
        <v>399</v>
      </c>
      <c r="T6420" s="14">
        <v>500</v>
      </c>
    </row>
    <row r="6421" spans="17:20" x14ac:dyDescent="0.3">
      <c r="Q6421" s="93">
        <v>45761</v>
      </c>
      <c r="R6421" t="s">
        <v>493</v>
      </c>
      <c r="S6421" t="s">
        <v>399</v>
      </c>
      <c r="T6421" s="14">
        <v>0</v>
      </c>
    </row>
    <row r="6422" spans="17:20" x14ac:dyDescent="0.3">
      <c r="Q6422" s="93">
        <v>45761</v>
      </c>
      <c r="R6422" t="s">
        <v>479</v>
      </c>
      <c r="S6422" t="s">
        <v>395</v>
      </c>
      <c r="T6422" s="14">
        <v>9803.3910808790006</v>
      </c>
    </row>
    <row r="6423" spans="17:20" x14ac:dyDescent="0.3">
      <c r="Q6423" s="93">
        <v>45761</v>
      </c>
      <c r="R6423" t="s">
        <v>479</v>
      </c>
      <c r="S6423" t="s">
        <v>415</v>
      </c>
      <c r="T6423" s="14">
        <v>6.2536728070000001</v>
      </c>
    </row>
    <row r="6424" spans="17:20" x14ac:dyDescent="0.3">
      <c r="Q6424" s="93">
        <v>45761</v>
      </c>
      <c r="R6424" t="s">
        <v>364</v>
      </c>
      <c r="S6424" t="s">
        <v>415</v>
      </c>
      <c r="T6424" s="14">
        <v>5.4245861929999997</v>
      </c>
    </row>
    <row r="6425" spans="17:20" x14ac:dyDescent="0.3">
      <c r="Q6425" s="93">
        <v>45758</v>
      </c>
      <c r="R6425" t="s">
        <v>364</v>
      </c>
      <c r="S6425" t="s">
        <v>399</v>
      </c>
      <c r="T6425" s="14">
        <v>25746.383900000001</v>
      </c>
    </row>
    <row r="6426" spans="17:20" x14ac:dyDescent="0.3">
      <c r="Q6426" s="93">
        <v>45758</v>
      </c>
      <c r="R6426" t="s">
        <v>491</v>
      </c>
      <c r="S6426" t="s">
        <v>399</v>
      </c>
      <c r="T6426" s="14">
        <v>1397.6106</v>
      </c>
    </row>
    <row r="6427" spans="17:20" x14ac:dyDescent="0.3">
      <c r="Q6427" s="93">
        <v>45758</v>
      </c>
      <c r="R6427" t="s">
        <v>492</v>
      </c>
      <c r="S6427" t="s">
        <v>399</v>
      </c>
      <c r="T6427" s="14">
        <v>7400</v>
      </c>
    </row>
    <row r="6428" spans="17:20" x14ac:dyDescent="0.3">
      <c r="Q6428" s="93">
        <v>45758</v>
      </c>
      <c r="R6428" t="s">
        <v>496</v>
      </c>
      <c r="S6428" t="s">
        <v>399</v>
      </c>
      <c r="T6428" s="14">
        <v>12626.383900000001</v>
      </c>
    </row>
    <row r="6429" spans="17:20" x14ac:dyDescent="0.3">
      <c r="Q6429" s="93">
        <v>45758</v>
      </c>
      <c r="R6429" t="s">
        <v>497</v>
      </c>
      <c r="S6429" t="s">
        <v>399</v>
      </c>
      <c r="T6429" s="14">
        <v>6900</v>
      </c>
    </row>
    <row r="6430" spans="17:20" x14ac:dyDescent="0.3">
      <c r="Q6430" s="93">
        <v>45758</v>
      </c>
      <c r="R6430" t="s">
        <v>498</v>
      </c>
      <c r="S6430" t="s">
        <v>399</v>
      </c>
      <c r="T6430" s="14">
        <v>1397.6106</v>
      </c>
    </row>
    <row r="6431" spans="17:20" x14ac:dyDescent="0.3">
      <c r="Q6431" s="93">
        <v>45758</v>
      </c>
      <c r="R6431" t="s">
        <v>494</v>
      </c>
      <c r="S6431" t="s">
        <v>399</v>
      </c>
      <c r="T6431" s="14">
        <v>13120</v>
      </c>
    </row>
    <row r="6432" spans="17:20" x14ac:dyDescent="0.3">
      <c r="Q6432" s="93">
        <v>45758</v>
      </c>
      <c r="R6432" t="s">
        <v>495</v>
      </c>
      <c r="S6432" t="s">
        <v>399</v>
      </c>
      <c r="T6432" s="14">
        <v>500</v>
      </c>
    </row>
    <row r="6433" spans="17:20" x14ac:dyDescent="0.3">
      <c r="Q6433" s="93">
        <v>45758</v>
      </c>
      <c r="R6433" t="s">
        <v>493</v>
      </c>
      <c r="S6433" t="s">
        <v>399</v>
      </c>
      <c r="T6433" s="14">
        <v>0</v>
      </c>
    </row>
    <row r="6434" spans="17:20" x14ac:dyDescent="0.3">
      <c r="Q6434" s="93">
        <v>45758</v>
      </c>
      <c r="R6434" t="s">
        <v>479</v>
      </c>
      <c r="S6434" t="s">
        <v>395</v>
      </c>
      <c r="T6434" s="14">
        <v>9807.9733303400008</v>
      </c>
    </row>
    <row r="6435" spans="17:20" x14ac:dyDescent="0.3">
      <c r="Q6435" s="93">
        <v>45758</v>
      </c>
      <c r="R6435" t="s">
        <v>479</v>
      </c>
      <c r="S6435" t="s">
        <v>415</v>
      </c>
      <c r="T6435" s="14">
        <v>6.2536728070000001</v>
      </c>
    </row>
    <row r="6436" spans="17:20" x14ac:dyDescent="0.3">
      <c r="Q6436" s="93">
        <v>45758</v>
      </c>
      <c r="R6436" t="s">
        <v>364</v>
      </c>
      <c r="S6436" t="s">
        <v>415</v>
      </c>
      <c r="T6436" s="14">
        <v>5.3605399880000002</v>
      </c>
    </row>
    <row r="6437" spans="17:20" x14ac:dyDescent="0.3">
      <c r="Q6437" s="93">
        <v>45758</v>
      </c>
      <c r="R6437" t="s">
        <v>479</v>
      </c>
      <c r="S6437" t="s">
        <v>399</v>
      </c>
      <c r="T6437" s="14">
        <v>8797.6106</v>
      </c>
    </row>
    <row r="6438" spans="17:20" x14ac:dyDescent="0.3">
      <c r="Q6438" s="93">
        <v>45757</v>
      </c>
      <c r="R6438" t="s">
        <v>479</v>
      </c>
      <c r="S6438" t="s">
        <v>399</v>
      </c>
      <c r="T6438" s="14">
        <v>8797.6106</v>
      </c>
    </row>
    <row r="6439" spans="17:20" x14ac:dyDescent="0.3">
      <c r="Q6439" s="93">
        <v>45757</v>
      </c>
      <c r="R6439" t="s">
        <v>364</v>
      </c>
      <c r="S6439" t="s">
        <v>399</v>
      </c>
      <c r="T6439" s="14">
        <v>25796.383900000001</v>
      </c>
    </row>
    <row r="6440" spans="17:20" x14ac:dyDescent="0.3">
      <c r="Q6440" s="93">
        <v>45757</v>
      </c>
      <c r="R6440" t="s">
        <v>491</v>
      </c>
      <c r="S6440" t="s">
        <v>399</v>
      </c>
      <c r="T6440" s="14">
        <v>1397.6106</v>
      </c>
    </row>
    <row r="6441" spans="17:20" x14ac:dyDescent="0.3">
      <c r="Q6441" s="93">
        <v>45757</v>
      </c>
      <c r="R6441" t="s">
        <v>492</v>
      </c>
      <c r="S6441" t="s">
        <v>399</v>
      </c>
      <c r="T6441" s="14">
        <v>7400</v>
      </c>
    </row>
    <row r="6442" spans="17:20" x14ac:dyDescent="0.3">
      <c r="Q6442" s="93">
        <v>45757</v>
      </c>
      <c r="R6442" t="s">
        <v>496</v>
      </c>
      <c r="S6442" t="s">
        <v>399</v>
      </c>
      <c r="T6442" s="14">
        <v>12176.383900000001</v>
      </c>
    </row>
    <row r="6443" spans="17:20" x14ac:dyDescent="0.3">
      <c r="Q6443" s="93">
        <v>45757</v>
      </c>
      <c r="R6443" t="s">
        <v>497</v>
      </c>
      <c r="S6443" t="s">
        <v>399</v>
      </c>
      <c r="T6443" s="14">
        <v>6900</v>
      </c>
    </row>
    <row r="6444" spans="17:20" x14ac:dyDescent="0.3">
      <c r="Q6444" s="93">
        <v>45757</v>
      </c>
      <c r="R6444" t="s">
        <v>498</v>
      </c>
      <c r="S6444" t="s">
        <v>399</v>
      </c>
      <c r="T6444" s="14">
        <v>1397.6106</v>
      </c>
    </row>
    <row r="6445" spans="17:20" x14ac:dyDescent="0.3">
      <c r="Q6445" s="93">
        <v>45757</v>
      </c>
      <c r="R6445" t="s">
        <v>494</v>
      </c>
      <c r="S6445" t="s">
        <v>399</v>
      </c>
      <c r="T6445" s="14">
        <v>13620</v>
      </c>
    </row>
    <row r="6446" spans="17:20" x14ac:dyDescent="0.3">
      <c r="Q6446" s="93">
        <v>45757</v>
      </c>
      <c r="R6446" t="s">
        <v>495</v>
      </c>
      <c r="S6446" t="s">
        <v>399</v>
      </c>
      <c r="T6446" s="14">
        <v>500</v>
      </c>
    </row>
    <row r="6447" spans="17:20" x14ac:dyDescent="0.3">
      <c r="Q6447" s="93">
        <v>45757</v>
      </c>
      <c r="R6447" t="s">
        <v>493</v>
      </c>
      <c r="S6447" t="s">
        <v>399</v>
      </c>
      <c r="T6447" s="14">
        <v>0</v>
      </c>
    </row>
    <row r="6448" spans="17:20" x14ac:dyDescent="0.3">
      <c r="Q6448" s="93">
        <v>45757</v>
      </c>
      <c r="R6448" t="s">
        <v>479</v>
      </c>
      <c r="S6448" t="s">
        <v>395</v>
      </c>
      <c r="T6448" s="14">
        <v>9798.8560297629992</v>
      </c>
    </row>
    <row r="6449" spans="17:20" x14ac:dyDescent="0.3">
      <c r="Q6449" s="93">
        <v>45757</v>
      </c>
      <c r="R6449" t="s">
        <v>479</v>
      </c>
      <c r="S6449" t="s">
        <v>415</v>
      </c>
      <c r="T6449" s="14">
        <v>6.2536728070000001</v>
      </c>
    </row>
    <row r="6450" spans="17:20" x14ac:dyDescent="0.3">
      <c r="Q6450" s="93">
        <v>45757</v>
      </c>
      <c r="R6450" t="s">
        <v>364</v>
      </c>
      <c r="S6450" t="s">
        <v>415</v>
      </c>
      <c r="T6450" s="14">
        <v>5.3605399880000002</v>
      </c>
    </row>
    <row r="6451" spans="17:20" x14ac:dyDescent="0.3">
      <c r="Q6451" s="93">
        <v>45756</v>
      </c>
      <c r="R6451" t="s">
        <v>479</v>
      </c>
      <c r="S6451" t="s">
        <v>399</v>
      </c>
      <c r="T6451" s="14">
        <v>8797.6106</v>
      </c>
    </row>
    <row r="6452" spans="17:20" x14ac:dyDescent="0.3">
      <c r="Q6452" s="93">
        <v>45756</v>
      </c>
      <c r="R6452" t="s">
        <v>364</v>
      </c>
      <c r="S6452" t="s">
        <v>399</v>
      </c>
      <c r="T6452" s="14">
        <v>24796.383900000001</v>
      </c>
    </row>
    <row r="6453" spans="17:20" x14ac:dyDescent="0.3">
      <c r="Q6453" s="93">
        <v>45756</v>
      </c>
      <c r="R6453" t="s">
        <v>491</v>
      </c>
      <c r="S6453" t="s">
        <v>399</v>
      </c>
      <c r="T6453" s="14">
        <v>1397.6106</v>
      </c>
    </row>
    <row r="6454" spans="17:20" x14ac:dyDescent="0.3">
      <c r="Q6454" s="93">
        <v>45756</v>
      </c>
      <c r="R6454" t="s">
        <v>492</v>
      </c>
      <c r="S6454" t="s">
        <v>399</v>
      </c>
      <c r="T6454" s="14">
        <v>7400</v>
      </c>
    </row>
    <row r="6455" spans="17:20" x14ac:dyDescent="0.3">
      <c r="Q6455" s="93">
        <v>45756</v>
      </c>
      <c r="R6455" t="s">
        <v>496</v>
      </c>
      <c r="S6455" t="s">
        <v>399</v>
      </c>
      <c r="T6455" s="14">
        <v>12176.383900000001</v>
      </c>
    </row>
    <row r="6456" spans="17:20" x14ac:dyDescent="0.3">
      <c r="Q6456" s="93">
        <v>45756</v>
      </c>
      <c r="R6456" t="s">
        <v>497</v>
      </c>
      <c r="S6456" t="s">
        <v>399</v>
      </c>
      <c r="T6456" s="14">
        <v>6900</v>
      </c>
    </row>
    <row r="6457" spans="17:20" x14ac:dyDescent="0.3">
      <c r="Q6457" s="93">
        <v>45756</v>
      </c>
      <c r="R6457" t="s">
        <v>498</v>
      </c>
      <c r="S6457" t="s">
        <v>399</v>
      </c>
      <c r="T6457" s="14">
        <v>1397.6106</v>
      </c>
    </row>
    <row r="6458" spans="17:20" x14ac:dyDescent="0.3">
      <c r="Q6458" s="93">
        <v>45756</v>
      </c>
      <c r="R6458" t="s">
        <v>494</v>
      </c>
      <c r="S6458" t="s">
        <v>399</v>
      </c>
      <c r="T6458" s="14">
        <v>12620</v>
      </c>
    </row>
    <row r="6459" spans="17:20" x14ac:dyDescent="0.3">
      <c r="Q6459" s="93">
        <v>45756</v>
      </c>
      <c r="R6459" t="s">
        <v>495</v>
      </c>
      <c r="S6459" t="s">
        <v>399</v>
      </c>
      <c r="T6459" s="14">
        <v>500</v>
      </c>
    </row>
    <row r="6460" spans="17:20" x14ac:dyDescent="0.3">
      <c r="Q6460" s="93">
        <v>45756</v>
      </c>
      <c r="R6460" t="s">
        <v>493</v>
      </c>
      <c r="S6460" t="s">
        <v>399</v>
      </c>
      <c r="T6460" s="14">
        <v>0</v>
      </c>
    </row>
    <row r="6461" spans="17:20" x14ac:dyDescent="0.3">
      <c r="Q6461" s="93">
        <v>45756</v>
      </c>
      <c r="R6461" t="s">
        <v>479</v>
      </c>
      <c r="S6461" t="s">
        <v>395</v>
      </c>
      <c r="T6461" s="14">
        <v>9799.9913421210003</v>
      </c>
    </row>
    <row r="6462" spans="17:20" x14ac:dyDescent="0.3">
      <c r="Q6462" s="93">
        <v>45756</v>
      </c>
      <c r="R6462" t="s">
        <v>479</v>
      </c>
      <c r="S6462" t="s">
        <v>415</v>
      </c>
      <c r="T6462" s="14">
        <v>6.2536728070000001</v>
      </c>
    </row>
    <row r="6463" spans="17:20" x14ac:dyDescent="0.3">
      <c r="Q6463" s="93">
        <v>45756</v>
      </c>
      <c r="R6463" t="s">
        <v>364</v>
      </c>
      <c r="S6463" t="s">
        <v>415</v>
      </c>
      <c r="T6463" s="14">
        <v>5.3710471640000002</v>
      </c>
    </row>
    <row r="6464" spans="17:20" x14ac:dyDescent="0.3">
      <c r="Q6464" s="93">
        <v>45755</v>
      </c>
      <c r="R6464" t="s">
        <v>479</v>
      </c>
      <c r="S6464" t="s">
        <v>399</v>
      </c>
      <c r="T6464" s="14">
        <v>8797.6106</v>
      </c>
    </row>
    <row r="6465" spans="17:20" x14ac:dyDescent="0.3">
      <c r="Q6465" s="93">
        <v>45755</v>
      </c>
      <c r="R6465" t="s">
        <v>364</v>
      </c>
      <c r="S6465" t="s">
        <v>399</v>
      </c>
      <c r="T6465" s="14">
        <v>24796.383900000001</v>
      </c>
    </row>
    <row r="6466" spans="17:20" x14ac:dyDescent="0.3">
      <c r="Q6466" s="93">
        <v>45755</v>
      </c>
      <c r="R6466" t="s">
        <v>491</v>
      </c>
      <c r="S6466" t="s">
        <v>399</v>
      </c>
      <c r="T6466" s="14">
        <v>1397.6106</v>
      </c>
    </row>
    <row r="6467" spans="17:20" x14ac:dyDescent="0.3">
      <c r="Q6467" s="93">
        <v>45755</v>
      </c>
      <c r="R6467" t="s">
        <v>492</v>
      </c>
      <c r="S6467" t="s">
        <v>399</v>
      </c>
      <c r="T6467" s="14">
        <v>7400</v>
      </c>
    </row>
    <row r="6468" spans="17:20" x14ac:dyDescent="0.3">
      <c r="Q6468" s="93">
        <v>45755</v>
      </c>
      <c r="R6468" t="s">
        <v>496</v>
      </c>
      <c r="S6468" t="s">
        <v>399</v>
      </c>
      <c r="T6468" s="14">
        <v>12476.383900000001</v>
      </c>
    </row>
    <row r="6469" spans="17:20" x14ac:dyDescent="0.3">
      <c r="Q6469" s="93">
        <v>45755</v>
      </c>
      <c r="R6469" t="s">
        <v>497</v>
      </c>
      <c r="S6469" t="s">
        <v>399</v>
      </c>
      <c r="T6469" s="14">
        <v>7100</v>
      </c>
    </row>
    <row r="6470" spans="17:20" x14ac:dyDescent="0.3">
      <c r="Q6470" s="93">
        <v>45755</v>
      </c>
      <c r="R6470" t="s">
        <v>498</v>
      </c>
      <c r="S6470" t="s">
        <v>399</v>
      </c>
      <c r="T6470" s="14">
        <v>1397.6106</v>
      </c>
    </row>
    <row r="6471" spans="17:20" x14ac:dyDescent="0.3">
      <c r="Q6471" s="93">
        <v>45755</v>
      </c>
      <c r="R6471" t="s">
        <v>494</v>
      </c>
      <c r="S6471" t="s">
        <v>399</v>
      </c>
      <c r="T6471" s="14">
        <v>12320</v>
      </c>
    </row>
    <row r="6472" spans="17:20" x14ac:dyDescent="0.3">
      <c r="Q6472" s="93">
        <v>45755</v>
      </c>
      <c r="R6472" t="s">
        <v>495</v>
      </c>
      <c r="S6472" t="s">
        <v>399</v>
      </c>
      <c r="T6472" s="14">
        <v>300</v>
      </c>
    </row>
    <row r="6473" spans="17:20" x14ac:dyDescent="0.3">
      <c r="Q6473" s="93">
        <v>45755</v>
      </c>
      <c r="R6473" t="s">
        <v>493</v>
      </c>
      <c r="S6473" t="s">
        <v>399</v>
      </c>
      <c r="T6473" s="14">
        <v>0</v>
      </c>
    </row>
    <row r="6474" spans="17:20" x14ac:dyDescent="0.3">
      <c r="Q6474" s="93">
        <v>45755</v>
      </c>
      <c r="R6474" t="s">
        <v>479</v>
      </c>
      <c r="S6474" t="s">
        <v>395</v>
      </c>
      <c r="T6474" s="14">
        <v>9800.3856682189999</v>
      </c>
    </row>
    <row r="6475" spans="17:20" x14ac:dyDescent="0.3">
      <c r="Q6475" s="93">
        <v>45755</v>
      </c>
      <c r="R6475" t="s">
        <v>479</v>
      </c>
      <c r="S6475" t="s">
        <v>415</v>
      </c>
      <c r="T6475" s="14">
        <v>6.2536728070000001</v>
      </c>
    </row>
    <row r="6476" spans="17:20" x14ac:dyDescent="0.3">
      <c r="Q6476" s="93">
        <v>45755</v>
      </c>
      <c r="R6476" t="s">
        <v>364</v>
      </c>
      <c r="S6476" t="s">
        <v>415</v>
      </c>
      <c r="T6476" s="14">
        <v>5.3710471640000002</v>
      </c>
    </row>
    <row r="6477" spans="17:20" x14ac:dyDescent="0.3">
      <c r="Q6477" s="93">
        <v>45751</v>
      </c>
      <c r="R6477" t="s">
        <v>479</v>
      </c>
      <c r="S6477" t="s">
        <v>399</v>
      </c>
      <c r="T6477" s="14">
        <v>8797.6106</v>
      </c>
    </row>
    <row r="6478" spans="17:20" x14ac:dyDescent="0.3">
      <c r="Q6478" s="93">
        <v>45751</v>
      </c>
      <c r="R6478" t="s">
        <v>364</v>
      </c>
      <c r="S6478" t="s">
        <v>399</v>
      </c>
      <c r="T6478" s="14">
        <v>24796.383900000001</v>
      </c>
    </row>
    <row r="6479" spans="17:20" x14ac:dyDescent="0.3">
      <c r="Q6479" s="93">
        <v>45751</v>
      </c>
      <c r="R6479" t="s">
        <v>491</v>
      </c>
      <c r="S6479" t="s">
        <v>399</v>
      </c>
      <c r="T6479" s="14">
        <v>1397.6106</v>
      </c>
    </row>
    <row r="6480" spans="17:20" x14ac:dyDescent="0.3">
      <c r="Q6480" s="93">
        <v>45751</v>
      </c>
      <c r="R6480" t="s">
        <v>492</v>
      </c>
      <c r="S6480" t="s">
        <v>399</v>
      </c>
      <c r="T6480" s="14">
        <v>7400</v>
      </c>
    </row>
    <row r="6481" spans="17:20" x14ac:dyDescent="0.3">
      <c r="Q6481" s="93">
        <v>45751</v>
      </c>
      <c r="R6481" t="s">
        <v>496</v>
      </c>
      <c r="S6481" t="s">
        <v>399</v>
      </c>
      <c r="T6481" s="14">
        <v>12976.383900000001</v>
      </c>
    </row>
    <row r="6482" spans="17:20" x14ac:dyDescent="0.3">
      <c r="Q6482" s="93">
        <v>45751</v>
      </c>
      <c r="R6482" t="s">
        <v>497</v>
      </c>
      <c r="S6482" t="s">
        <v>399</v>
      </c>
      <c r="T6482" s="14">
        <v>7100</v>
      </c>
    </row>
    <row r="6483" spans="17:20" x14ac:dyDescent="0.3">
      <c r="Q6483" s="93">
        <v>45751</v>
      </c>
      <c r="R6483" t="s">
        <v>498</v>
      </c>
      <c r="S6483" t="s">
        <v>399</v>
      </c>
      <c r="T6483" s="14">
        <v>1397.6106</v>
      </c>
    </row>
    <row r="6484" spans="17:20" x14ac:dyDescent="0.3">
      <c r="Q6484" s="93">
        <v>45751</v>
      </c>
      <c r="R6484" t="s">
        <v>494</v>
      </c>
      <c r="S6484" t="s">
        <v>399</v>
      </c>
      <c r="T6484" s="14">
        <v>11820</v>
      </c>
    </row>
    <row r="6485" spans="17:20" x14ac:dyDescent="0.3">
      <c r="Q6485" s="93">
        <v>45751</v>
      </c>
      <c r="R6485" t="s">
        <v>495</v>
      </c>
      <c r="S6485" t="s">
        <v>399</v>
      </c>
      <c r="T6485" s="14">
        <v>300</v>
      </c>
    </row>
    <row r="6486" spans="17:20" x14ac:dyDescent="0.3">
      <c r="Q6486" s="93">
        <v>45751</v>
      </c>
      <c r="R6486" t="s">
        <v>493</v>
      </c>
      <c r="S6486" t="s">
        <v>399</v>
      </c>
      <c r="T6486" s="14">
        <v>0</v>
      </c>
    </row>
    <row r="6487" spans="17:20" x14ac:dyDescent="0.3">
      <c r="Q6487" s="93">
        <v>45751</v>
      </c>
      <c r="R6487" t="s">
        <v>479</v>
      </c>
      <c r="S6487" t="s">
        <v>395</v>
      </c>
      <c r="T6487" s="14">
        <v>9797.3077155899991</v>
      </c>
    </row>
    <row r="6488" spans="17:20" x14ac:dyDescent="0.3">
      <c r="Q6488" s="93">
        <v>45751</v>
      </c>
      <c r="R6488" t="s">
        <v>479</v>
      </c>
      <c r="S6488" t="s">
        <v>415</v>
      </c>
      <c r="T6488" s="14">
        <v>6.2536728070000001</v>
      </c>
    </row>
    <row r="6489" spans="17:20" x14ac:dyDescent="0.3">
      <c r="Q6489" s="93">
        <v>45751</v>
      </c>
      <c r="R6489" t="s">
        <v>364</v>
      </c>
      <c r="S6489" t="s">
        <v>415</v>
      </c>
      <c r="T6489" s="14">
        <v>5.3710471640000002</v>
      </c>
    </row>
    <row r="6490" spans="17:20" x14ac:dyDescent="0.3">
      <c r="Q6490" s="93">
        <v>45750</v>
      </c>
      <c r="R6490" t="s">
        <v>479</v>
      </c>
      <c r="S6490" t="s">
        <v>399</v>
      </c>
      <c r="T6490" s="14">
        <v>8797.6106</v>
      </c>
    </row>
    <row r="6491" spans="17:20" x14ac:dyDescent="0.3">
      <c r="Q6491" s="93">
        <v>45750</v>
      </c>
      <c r="R6491" t="s">
        <v>364</v>
      </c>
      <c r="S6491" t="s">
        <v>399</v>
      </c>
      <c r="T6491" s="14">
        <v>24796.383900000001</v>
      </c>
    </row>
    <row r="6492" spans="17:20" x14ac:dyDescent="0.3">
      <c r="Q6492" s="93">
        <v>45750</v>
      </c>
      <c r="R6492" t="s">
        <v>491</v>
      </c>
      <c r="S6492" t="s">
        <v>399</v>
      </c>
      <c r="T6492" s="14">
        <v>1397.6106</v>
      </c>
    </row>
    <row r="6493" spans="17:20" x14ac:dyDescent="0.3">
      <c r="Q6493" s="93">
        <v>45750</v>
      </c>
      <c r="R6493" t="s">
        <v>492</v>
      </c>
      <c r="S6493" t="s">
        <v>399</v>
      </c>
      <c r="T6493" s="14">
        <v>7400</v>
      </c>
    </row>
    <row r="6494" spans="17:20" x14ac:dyDescent="0.3">
      <c r="Q6494" s="93">
        <v>45750</v>
      </c>
      <c r="R6494" t="s">
        <v>496</v>
      </c>
      <c r="S6494" t="s">
        <v>399</v>
      </c>
      <c r="T6494" s="14">
        <v>13976.383900000001</v>
      </c>
    </row>
    <row r="6495" spans="17:20" x14ac:dyDescent="0.3">
      <c r="Q6495" s="93">
        <v>45750</v>
      </c>
      <c r="R6495" t="s">
        <v>497</v>
      </c>
      <c r="S6495" t="s">
        <v>399</v>
      </c>
      <c r="T6495" s="14">
        <v>7100</v>
      </c>
    </row>
    <row r="6496" spans="17:20" x14ac:dyDescent="0.3">
      <c r="Q6496" s="93">
        <v>45750</v>
      </c>
      <c r="R6496" t="s">
        <v>498</v>
      </c>
      <c r="S6496" t="s">
        <v>399</v>
      </c>
      <c r="T6496" s="14">
        <v>1397.6106</v>
      </c>
    </row>
    <row r="6497" spans="17:20" x14ac:dyDescent="0.3">
      <c r="Q6497" s="93">
        <v>45750</v>
      </c>
      <c r="R6497" t="s">
        <v>494</v>
      </c>
      <c r="S6497" t="s">
        <v>399</v>
      </c>
      <c r="T6497" s="14">
        <v>10820</v>
      </c>
    </row>
    <row r="6498" spans="17:20" x14ac:dyDescent="0.3">
      <c r="Q6498" s="93">
        <v>45750</v>
      </c>
      <c r="R6498" t="s">
        <v>495</v>
      </c>
      <c r="S6498" t="s">
        <v>399</v>
      </c>
      <c r="T6498" s="14">
        <v>300</v>
      </c>
    </row>
    <row r="6499" spans="17:20" x14ac:dyDescent="0.3">
      <c r="Q6499" s="93">
        <v>45750</v>
      </c>
      <c r="R6499" t="s">
        <v>493</v>
      </c>
      <c r="S6499" t="s">
        <v>399</v>
      </c>
      <c r="T6499" s="14">
        <v>0</v>
      </c>
    </row>
    <row r="6500" spans="17:20" x14ac:dyDescent="0.3">
      <c r="Q6500" s="93">
        <v>45750</v>
      </c>
      <c r="R6500" t="s">
        <v>479</v>
      </c>
      <c r="S6500" t="s">
        <v>395</v>
      </c>
      <c r="T6500" s="14">
        <v>9799.411959473</v>
      </c>
    </row>
    <row r="6501" spans="17:20" x14ac:dyDescent="0.3">
      <c r="Q6501" s="93">
        <v>45750</v>
      </c>
      <c r="R6501" t="s">
        <v>479</v>
      </c>
      <c r="S6501" t="s">
        <v>415</v>
      </c>
      <c r="T6501" s="14">
        <v>6.2536728070000001</v>
      </c>
    </row>
    <row r="6502" spans="17:20" x14ac:dyDescent="0.3">
      <c r="Q6502" s="93">
        <v>45750</v>
      </c>
      <c r="R6502" t="s">
        <v>364</v>
      </c>
      <c r="S6502" t="s">
        <v>415</v>
      </c>
      <c r="T6502" s="14">
        <v>5.3710471640000002</v>
      </c>
    </row>
    <row r="6503" spans="17:20" x14ac:dyDescent="0.3">
      <c r="Q6503" s="93">
        <v>45749</v>
      </c>
      <c r="R6503" t="s">
        <v>479</v>
      </c>
      <c r="S6503" t="s">
        <v>399</v>
      </c>
      <c r="T6503" s="14">
        <v>8797.6106</v>
      </c>
    </row>
    <row r="6504" spans="17:20" x14ac:dyDescent="0.3">
      <c r="Q6504" s="93">
        <v>45749</v>
      </c>
      <c r="R6504" t="s">
        <v>364</v>
      </c>
      <c r="S6504" t="s">
        <v>399</v>
      </c>
      <c r="T6504" s="14">
        <v>24796.383900000001</v>
      </c>
    </row>
    <row r="6505" spans="17:20" x14ac:dyDescent="0.3">
      <c r="Q6505" s="93">
        <v>45749</v>
      </c>
      <c r="R6505" t="s">
        <v>491</v>
      </c>
      <c r="S6505" t="s">
        <v>399</v>
      </c>
      <c r="T6505" s="14">
        <v>1397.6106</v>
      </c>
    </row>
    <row r="6506" spans="17:20" x14ac:dyDescent="0.3">
      <c r="Q6506" s="93">
        <v>45749</v>
      </c>
      <c r="R6506" t="s">
        <v>492</v>
      </c>
      <c r="S6506" t="s">
        <v>399</v>
      </c>
      <c r="T6506" s="14">
        <v>7400</v>
      </c>
    </row>
    <row r="6507" spans="17:20" x14ac:dyDescent="0.3">
      <c r="Q6507" s="93">
        <v>45749</v>
      </c>
      <c r="R6507" t="s">
        <v>496</v>
      </c>
      <c r="S6507" t="s">
        <v>399</v>
      </c>
      <c r="T6507" s="14">
        <v>12476.383900000001</v>
      </c>
    </row>
    <row r="6508" spans="17:20" x14ac:dyDescent="0.3">
      <c r="Q6508" s="93">
        <v>45749</v>
      </c>
      <c r="R6508" t="s">
        <v>497</v>
      </c>
      <c r="S6508" t="s">
        <v>399</v>
      </c>
      <c r="T6508" s="14">
        <v>7100</v>
      </c>
    </row>
    <row r="6509" spans="17:20" x14ac:dyDescent="0.3">
      <c r="Q6509" s="93">
        <v>45749</v>
      </c>
      <c r="R6509" t="s">
        <v>498</v>
      </c>
      <c r="S6509" t="s">
        <v>399</v>
      </c>
      <c r="T6509" s="14">
        <v>1397.6106</v>
      </c>
    </row>
    <row r="6510" spans="17:20" x14ac:dyDescent="0.3">
      <c r="Q6510" s="93">
        <v>45749</v>
      </c>
      <c r="R6510" t="s">
        <v>494</v>
      </c>
      <c r="S6510" t="s">
        <v>399</v>
      </c>
      <c r="T6510" s="14">
        <v>12320</v>
      </c>
    </row>
    <row r="6511" spans="17:20" x14ac:dyDescent="0.3">
      <c r="Q6511" s="93">
        <v>45749</v>
      </c>
      <c r="R6511" t="s">
        <v>495</v>
      </c>
      <c r="S6511" t="s">
        <v>399</v>
      </c>
      <c r="T6511" s="14">
        <v>300</v>
      </c>
    </row>
    <row r="6512" spans="17:20" x14ac:dyDescent="0.3">
      <c r="Q6512" s="93">
        <v>45749</v>
      </c>
      <c r="R6512" t="s">
        <v>493</v>
      </c>
      <c r="S6512" t="s">
        <v>399</v>
      </c>
      <c r="T6512" s="14">
        <v>0</v>
      </c>
    </row>
    <row r="6513" spans="17:20" x14ac:dyDescent="0.3">
      <c r="Q6513" s="93">
        <v>45749</v>
      </c>
      <c r="R6513" t="s">
        <v>479</v>
      </c>
      <c r="S6513" t="s">
        <v>395</v>
      </c>
      <c r="T6513" s="14">
        <v>9814.6367750739992</v>
      </c>
    </row>
    <row r="6514" spans="17:20" x14ac:dyDescent="0.3">
      <c r="Q6514" s="93">
        <v>45749</v>
      </c>
      <c r="R6514" t="s">
        <v>479</v>
      </c>
      <c r="S6514" t="s">
        <v>415</v>
      </c>
      <c r="T6514" s="14">
        <v>6.2536728070000001</v>
      </c>
    </row>
    <row r="6515" spans="17:20" x14ac:dyDescent="0.3">
      <c r="Q6515" s="93">
        <v>45749</v>
      </c>
      <c r="R6515" t="s">
        <v>364</v>
      </c>
      <c r="S6515" t="s">
        <v>415</v>
      </c>
      <c r="T6515" s="14">
        <v>5.3710471640000002</v>
      </c>
    </row>
    <row r="6516" spans="17:20" x14ac:dyDescent="0.3">
      <c r="Q6516" s="93">
        <v>45748</v>
      </c>
      <c r="R6516" t="s">
        <v>479</v>
      </c>
      <c r="S6516" t="s">
        <v>399</v>
      </c>
      <c r="T6516" s="14">
        <v>8797.6106</v>
      </c>
    </row>
    <row r="6517" spans="17:20" x14ac:dyDescent="0.3">
      <c r="Q6517" s="93">
        <v>45748</v>
      </c>
      <c r="R6517" t="s">
        <v>364</v>
      </c>
      <c r="S6517" t="s">
        <v>399</v>
      </c>
      <c r="T6517" s="14">
        <v>24796.383900000001</v>
      </c>
    </row>
    <row r="6518" spans="17:20" x14ac:dyDescent="0.3">
      <c r="Q6518" s="93">
        <v>45748</v>
      </c>
      <c r="R6518" t="s">
        <v>491</v>
      </c>
      <c r="S6518" t="s">
        <v>399</v>
      </c>
      <c r="T6518" s="14">
        <v>1397.6106</v>
      </c>
    </row>
    <row r="6519" spans="17:20" x14ac:dyDescent="0.3">
      <c r="Q6519" s="93">
        <v>45748</v>
      </c>
      <c r="R6519" t="s">
        <v>492</v>
      </c>
      <c r="S6519" t="s">
        <v>399</v>
      </c>
      <c r="T6519" s="14">
        <v>7400</v>
      </c>
    </row>
    <row r="6520" spans="17:20" x14ac:dyDescent="0.3">
      <c r="Q6520" s="93">
        <v>45748</v>
      </c>
      <c r="R6520" t="s">
        <v>496</v>
      </c>
      <c r="S6520" t="s">
        <v>399</v>
      </c>
      <c r="T6520" s="14">
        <v>11526.383900000001</v>
      </c>
    </row>
    <row r="6521" spans="17:20" x14ac:dyDescent="0.3">
      <c r="Q6521" s="93">
        <v>45748</v>
      </c>
      <c r="R6521" t="s">
        <v>497</v>
      </c>
      <c r="S6521" t="s">
        <v>399</v>
      </c>
      <c r="T6521" s="14">
        <v>7100</v>
      </c>
    </row>
    <row r="6522" spans="17:20" x14ac:dyDescent="0.3">
      <c r="Q6522" s="93">
        <v>45748</v>
      </c>
      <c r="R6522" t="s">
        <v>498</v>
      </c>
      <c r="S6522" t="s">
        <v>399</v>
      </c>
      <c r="T6522" s="14">
        <v>1397.6106</v>
      </c>
    </row>
    <row r="6523" spans="17:20" x14ac:dyDescent="0.3">
      <c r="Q6523" s="93">
        <v>45748</v>
      </c>
      <c r="R6523" t="s">
        <v>494</v>
      </c>
      <c r="S6523" t="s">
        <v>399</v>
      </c>
      <c r="T6523" s="14">
        <v>13270</v>
      </c>
    </row>
    <row r="6524" spans="17:20" x14ac:dyDescent="0.3">
      <c r="Q6524" s="93">
        <v>45748</v>
      </c>
      <c r="R6524" t="s">
        <v>495</v>
      </c>
      <c r="S6524" t="s">
        <v>399</v>
      </c>
      <c r="T6524" s="14">
        <v>300</v>
      </c>
    </row>
    <row r="6525" spans="17:20" x14ac:dyDescent="0.3">
      <c r="Q6525" s="93">
        <v>45748</v>
      </c>
      <c r="R6525" t="s">
        <v>493</v>
      </c>
      <c r="S6525" t="s">
        <v>399</v>
      </c>
      <c r="T6525" s="14">
        <v>0</v>
      </c>
    </row>
    <row r="6526" spans="17:20" x14ac:dyDescent="0.3">
      <c r="Q6526" s="93">
        <v>45748</v>
      </c>
      <c r="R6526" t="s">
        <v>479</v>
      </c>
      <c r="S6526" t="s">
        <v>395</v>
      </c>
      <c r="T6526" s="14">
        <v>9814.6377694160001</v>
      </c>
    </row>
    <row r="6527" spans="17:20" x14ac:dyDescent="0.3">
      <c r="Q6527" s="93">
        <v>45748</v>
      </c>
      <c r="R6527" t="s">
        <v>479</v>
      </c>
      <c r="S6527" t="s">
        <v>415</v>
      </c>
      <c r="T6527" s="14">
        <v>6.2536728070000001</v>
      </c>
    </row>
    <row r="6528" spans="17:20" x14ac:dyDescent="0.3">
      <c r="Q6528" s="93">
        <v>45748</v>
      </c>
      <c r="R6528" t="s">
        <v>364</v>
      </c>
      <c r="S6528" t="s">
        <v>415</v>
      </c>
      <c r="T6528" s="14">
        <v>5.3710471640000002</v>
      </c>
    </row>
    <row r="6529" spans="17:20" x14ac:dyDescent="0.3">
      <c r="Q6529" s="93">
        <v>45747</v>
      </c>
      <c r="R6529" t="s">
        <v>479</v>
      </c>
      <c r="S6529" t="s">
        <v>399</v>
      </c>
      <c r="T6529" s="14">
        <v>8797.6106</v>
      </c>
    </row>
    <row r="6530" spans="17:20" x14ac:dyDescent="0.3">
      <c r="Q6530" s="93">
        <v>45747</v>
      </c>
      <c r="R6530" t="s">
        <v>364</v>
      </c>
      <c r="S6530" t="s">
        <v>399</v>
      </c>
      <c r="T6530" s="14">
        <v>24796.383900000001</v>
      </c>
    </row>
    <row r="6531" spans="17:20" x14ac:dyDescent="0.3">
      <c r="Q6531" s="93">
        <v>45747</v>
      </c>
      <c r="R6531" t="s">
        <v>491</v>
      </c>
      <c r="S6531" t="s">
        <v>399</v>
      </c>
      <c r="T6531" s="14">
        <v>1397.6106</v>
      </c>
    </row>
    <row r="6532" spans="17:20" x14ac:dyDescent="0.3">
      <c r="Q6532" s="93">
        <v>45747</v>
      </c>
      <c r="R6532" t="s">
        <v>492</v>
      </c>
      <c r="S6532" t="s">
        <v>399</v>
      </c>
      <c r="T6532" s="14">
        <v>7400</v>
      </c>
    </row>
    <row r="6533" spans="17:20" x14ac:dyDescent="0.3">
      <c r="Q6533" s="93">
        <v>45747</v>
      </c>
      <c r="R6533" t="s">
        <v>496</v>
      </c>
      <c r="S6533" t="s">
        <v>399</v>
      </c>
      <c r="T6533" s="14">
        <v>12426.383900000001</v>
      </c>
    </row>
    <row r="6534" spans="17:20" x14ac:dyDescent="0.3">
      <c r="Q6534" s="93">
        <v>45747</v>
      </c>
      <c r="R6534" t="s">
        <v>497</v>
      </c>
      <c r="S6534" t="s">
        <v>399</v>
      </c>
      <c r="T6534" s="14">
        <v>7100</v>
      </c>
    </row>
    <row r="6535" spans="17:20" x14ac:dyDescent="0.3">
      <c r="Q6535" s="93">
        <v>45747</v>
      </c>
      <c r="R6535" t="s">
        <v>498</v>
      </c>
      <c r="S6535" t="s">
        <v>399</v>
      </c>
      <c r="T6535" s="14">
        <v>1397.6106</v>
      </c>
    </row>
    <row r="6536" spans="17:20" x14ac:dyDescent="0.3">
      <c r="Q6536" s="93">
        <v>45747</v>
      </c>
      <c r="R6536" t="s">
        <v>494</v>
      </c>
      <c r="S6536" t="s">
        <v>399</v>
      </c>
      <c r="T6536" s="14">
        <v>12370</v>
      </c>
    </row>
    <row r="6537" spans="17:20" x14ac:dyDescent="0.3">
      <c r="Q6537" s="93">
        <v>45747</v>
      </c>
      <c r="R6537" t="s">
        <v>495</v>
      </c>
      <c r="S6537" t="s">
        <v>399</v>
      </c>
      <c r="T6537" s="14">
        <v>300</v>
      </c>
    </row>
    <row r="6538" spans="17:20" x14ac:dyDescent="0.3">
      <c r="Q6538" s="93">
        <v>45747</v>
      </c>
      <c r="R6538" t="s">
        <v>493</v>
      </c>
      <c r="S6538" t="s">
        <v>399</v>
      </c>
      <c r="T6538" s="14">
        <v>0</v>
      </c>
    </row>
    <row r="6539" spans="17:20" x14ac:dyDescent="0.3">
      <c r="Q6539" s="93">
        <v>45747</v>
      </c>
      <c r="R6539" t="s">
        <v>479</v>
      </c>
      <c r="S6539" t="s">
        <v>395</v>
      </c>
      <c r="T6539" s="14">
        <v>9816.8495303578202</v>
      </c>
    </row>
    <row r="6540" spans="17:20" x14ac:dyDescent="0.3">
      <c r="Q6540" s="93">
        <v>45747</v>
      </c>
      <c r="R6540" t="s">
        <v>479</v>
      </c>
      <c r="S6540" t="s">
        <v>415</v>
      </c>
      <c r="T6540" s="14">
        <v>6.2536728069096403</v>
      </c>
    </row>
    <row r="6541" spans="17:20" x14ac:dyDescent="0.3">
      <c r="Q6541" s="93">
        <v>45747</v>
      </c>
      <c r="R6541" t="s">
        <v>364</v>
      </c>
      <c r="S6541" t="s">
        <v>415</v>
      </c>
      <c r="T6541" s="14">
        <v>5.3710471642601103</v>
      </c>
    </row>
    <row r="6542" spans="17:20" x14ac:dyDescent="0.3">
      <c r="Q6542" s="93">
        <v>45744</v>
      </c>
      <c r="R6542" t="s">
        <v>479</v>
      </c>
      <c r="S6542" t="s">
        <v>399</v>
      </c>
      <c r="T6542" s="14">
        <v>8797.6106</v>
      </c>
    </row>
    <row r="6543" spans="17:20" x14ac:dyDescent="0.3">
      <c r="Q6543" s="93">
        <v>45744</v>
      </c>
      <c r="R6543" t="s">
        <v>364</v>
      </c>
      <c r="S6543" t="s">
        <v>399</v>
      </c>
      <c r="T6543" s="14">
        <v>24796.383900000001</v>
      </c>
    </row>
    <row r="6544" spans="17:20" x14ac:dyDescent="0.3">
      <c r="Q6544" s="93">
        <v>45744</v>
      </c>
      <c r="R6544" t="s">
        <v>491</v>
      </c>
      <c r="S6544" t="s">
        <v>399</v>
      </c>
      <c r="T6544" s="14">
        <v>1397.6106</v>
      </c>
    </row>
    <row r="6545" spans="17:20" x14ac:dyDescent="0.3">
      <c r="Q6545" s="93">
        <v>45744</v>
      </c>
      <c r="R6545" t="s">
        <v>492</v>
      </c>
      <c r="S6545" t="s">
        <v>399</v>
      </c>
      <c r="T6545" s="14">
        <v>7400</v>
      </c>
    </row>
    <row r="6546" spans="17:20" x14ac:dyDescent="0.3">
      <c r="Q6546" s="93">
        <v>45744</v>
      </c>
      <c r="R6546" t="s">
        <v>496</v>
      </c>
      <c r="S6546" t="s">
        <v>399</v>
      </c>
      <c r="T6546" s="14">
        <v>11526.383900000001</v>
      </c>
    </row>
    <row r="6547" spans="17:20" x14ac:dyDescent="0.3">
      <c r="Q6547" s="93">
        <v>45744</v>
      </c>
      <c r="R6547" t="s">
        <v>497</v>
      </c>
      <c r="S6547" t="s">
        <v>399</v>
      </c>
      <c r="T6547" s="14">
        <v>7400</v>
      </c>
    </row>
    <row r="6548" spans="17:20" x14ac:dyDescent="0.3">
      <c r="Q6548" s="93">
        <v>45744</v>
      </c>
      <c r="R6548" t="s">
        <v>498</v>
      </c>
      <c r="S6548" t="s">
        <v>399</v>
      </c>
      <c r="T6548" s="14">
        <v>1397.6106</v>
      </c>
    </row>
    <row r="6549" spans="17:20" x14ac:dyDescent="0.3">
      <c r="Q6549" s="93">
        <v>45744</v>
      </c>
      <c r="R6549" t="s">
        <v>494</v>
      </c>
      <c r="S6549" t="s">
        <v>399</v>
      </c>
      <c r="T6549" s="14">
        <v>13270</v>
      </c>
    </row>
    <row r="6550" spans="17:20" x14ac:dyDescent="0.3">
      <c r="Q6550" s="93">
        <v>45744</v>
      </c>
      <c r="R6550" t="s">
        <v>495</v>
      </c>
      <c r="S6550" t="s">
        <v>399</v>
      </c>
      <c r="T6550" s="14">
        <v>0</v>
      </c>
    </row>
    <row r="6551" spans="17:20" x14ac:dyDescent="0.3">
      <c r="Q6551" s="93">
        <v>45744</v>
      </c>
      <c r="R6551" t="s">
        <v>493</v>
      </c>
      <c r="S6551" t="s">
        <v>399</v>
      </c>
      <c r="T6551" s="14">
        <v>0</v>
      </c>
    </row>
    <row r="6552" spans="17:20" x14ac:dyDescent="0.3">
      <c r="Q6552" s="93">
        <v>45744</v>
      </c>
      <c r="R6552" t="s">
        <v>479</v>
      </c>
      <c r="S6552" t="s">
        <v>395</v>
      </c>
      <c r="T6552" s="14">
        <v>9830.6179730580006</v>
      </c>
    </row>
    <row r="6553" spans="17:20" x14ac:dyDescent="0.3">
      <c r="Q6553" s="93">
        <v>45744</v>
      </c>
      <c r="R6553" t="s">
        <v>479</v>
      </c>
      <c r="S6553" t="s">
        <v>415</v>
      </c>
      <c r="T6553" s="14">
        <v>6.2536728070000001</v>
      </c>
    </row>
    <row r="6554" spans="17:20" x14ac:dyDescent="0.3">
      <c r="Q6554" s="93">
        <v>45744</v>
      </c>
      <c r="R6554" t="s">
        <v>364</v>
      </c>
      <c r="S6554" t="s">
        <v>415</v>
      </c>
      <c r="T6554" s="14">
        <v>5.3710471640000002</v>
      </c>
    </row>
    <row r="6555" spans="17:20" x14ac:dyDescent="0.3">
      <c r="Q6555" s="93">
        <v>45743</v>
      </c>
      <c r="R6555" t="s">
        <v>479</v>
      </c>
      <c r="S6555" t="s">
        <v>399</v>
      </c>
      <c r="T6555" s="14">
        <v>8900</v>
      </c>
    </row>
    <row r="6556" spans="17:20" x14ac:dyDescent="0.3">
      <c r="Q6556" s="93">
        <v>45743</v>
      </c>
      <c r="R6556" t="s">
        <v>364</v>
      </c>
      <c r="S6556" t="s">
        <v>399</v>
      </c>
      <c r="T6556" s="14">
        <v>24796.383900000001</v>
      </c>
    </row>
    <row r="6557" spans="17:20" x14ac:dyDescent="0.3">
      <c r="Q6557" s="93">
        <v>45743</v>
      </c>
      <c r="R6557" t="s">
        <v>491</v>
      </c>
      <c r="S6557" t="s">
        <v>399</v>
      </c>
      <c r="T6557" s="14">
        <v>1500</v>
      </c>
    </row>
    <row r="6558" spans="17:20" x14ac:dyDescent="0.3">
      <c r="Q6558" s="93">
        <v>45743</v>
      </c>
      <c r="R6558" t="s">
        <v>492</v>
      </c>
      <c r="S6558" t="s">
        <v>399</v>
      </c>
      <c r="T6558" s="14">
        <v>7400</v>
      </c>
    </row>
    <row r="6559" spans="17:20" x14ac:dyDescent="0.3">
      <c r="Q6559" s="93">
        <v>45743</v>
      </c>
      <c r="R6559" t="s">
        <v>496</v>
      </c>
      <c r="S6559" t="s">
        <v>399</v>
      </c>
      <c r="T6559" s="14">
        <v>10526.383900000001</v>
      </c>
    </row>
    <row r="6560" spans="17:20" x14ac:dyDescent="0.3">
      <c r="Q6560" s="93">
        <v>45743</v>
      </c>
      <c r="R6560" t="s">
        <v>497</v>
      </c>
      <c r="S6560" t="s">
        <v>399</v>
      </c>
      <c r="T6560" s="14">
        <v>9100</v>
      </c>
    </row>
    <row r="6561" spans="17:20" x14ac:dyDescent="0.3">
      <c r="Q6561" s="93">
        <v>45743</v>
      </c>
      <c r="R6561" t="s">
        <v>498</v>
      </c>
      <c r="S6561" t="s">
        <v>399</v>
      </c>
      <c r="T6561" s="14">
        <v>1500</v>
      </c>
    </row>
    <row r="6562" spans="17:20" x14ac:dyDescent="0.3">
      <c r="Q6562" s="93">
        <v>45743</v>
      </c>
      <c r="R6562" t="s">
        <v>494</v>
      </c>
      <c r="S6562" t="s">
        <v>399</v>
      </c>
      <c r="T6562" s="14">
        <v>14270</v>
      </c>
    </row>
    <row r="6563" spans="17:20" x14ac:dyDescent="0.3">
      <c r="Q6563" s="93">
        <v>45743</v>
      </c>
      <c r="R6563" t="s">
        <v>495</v>
      </c>
      <c r="S6563" t="s">
        <v>399</v>
      </c>
      <c r="T6563" s="14">
        <v>-1700</v>
      </c>
    </row>
    <row r="6564" spans="17:20" x14ac:dyDescent="0.3">
      <c r="Q6564" s="93">
        <v>45743</v>
      </c>
      <c r="R6564" t="s">
        <v>493</v>
      </c>
      <c r="S6564" t="s">
        <v>399</v>
      </c>
      <c r="T6564" s="14">
        <v>0</v>
      </c>
    </row>
    <row r="6565" spans="17:20" x14ac:dyDescent="0.3">
      <c r="Q6565" s="93">
        <v>45743</v>
      </c>
      <c r="R6565" t="s">
        <v>479</v>
      </c>
      <c r="S6565" t="s">
        <v>395</v>
      </c>
      <c r="T6565" s="14">
        <v>9962.9294915789997</v>
      </c>
    </row>
    <row r="6566" spans="17:20" x14ac:dyDescent="0.3">
      <c r="Q6566" s="93">
        <v>45743</v>
      </c>
      <c r="R6566" t="s">
        <v>479</v>
      </c>
      <c r="S6566" t="s">
        <v>415</v>
      </c>
      <c r="T6566" s="14">
        <v>6.2665730340000003</v>
      </c>
    </row>
    <row r="6567" spans="17:20" x14ac:dyDescent="0.3">
      <c r="Q6567" s="93">
        <v>45743</v>
      </c>
      <c r="R6567" t="s">
        <v>364</v>
      </c>
      <c r="S6567" t="s">
        <v>415</v>
      </c>
      <c r="T6567" s="14">
        <v>5.3710471640000002</v>
      </c>
    </row>
    <row r="6568" spans="17:20" x14ac:dyDescent="0.3">
      <c r="Q6568" s="93">
        <v>45742</v>
      </c>
      <c r="R6568" t="s">
        <v>364</v>
      </c>
      <c r="S6568" t="s">
        <v>399</v>
      </c>
      <c r="T6568" s="14">
        <v>24796.383900000001</v>
      </c>
    </row>
    <row r="6569" spans="17:20" x14ac:dyDescent="0.3">
      <c r="Q6569" s="93">
        <v>45742</v>
      </c>
      <c r="R6569" t="s">
        <v>491</v>
      </c>
      <c r="S6569" t="s">
        <v>399</v>
      </c>
      <c r="T6569" s="14">
        <v>1500</v>
      </c>
    </row>
    <row r="6570" spans="17:20" x14ac:dyDescent="0.3">
      <c r="Q6570" s="93">
        <v>45742</v>
      </c>
      <c r="R6570" t="s">
        <v>492</v>
      </c>
      <c r="S6570" t="s">
        <v>399</v>
      </c>
      <c r="T6570" s="14">
        <v>7400</v>
      </c>
    </row>
    <row r="6571" spans="17:20" x14ac:dyDescent="0.3">
      <c r="Q6571" s="93">
        <v>45742</v>
      </c>
      <c r="R6571" t="s">
        <v>496</v>
      </c>
      <c r="S6571" t="s">
        <v>399</v>
      </c>
      <c r="T6571" s="14">
        <v>13126.383900000001</v>
      </c>
    </row>
    <row r="6572" spans="17:20" x14ac:dyDescent="0.3">
      <c r="Q6572" s="93">
        <v>45742</v>
      </c>
      <c r="R6572" t="s">
        <v>497</v>
      </c>
      <c r="S6572" t="s">
        <v>399</v>
      </c>
      <c r="T6572" s="14">
        <v>8700</v>
      </c>
    </row>
    <row r="6573" spans="17:20" x14ac:dyDescent="0.3">
      <c r="Q6573" s="93">
        <v>45742</v>
      </c>
      <c r="R6573" t="s">
        <v>498</v>
      </c>
      <c r="S6573" t="s">
        <v>399</v>
      </c>
      <c r="T6573" s="14">
        <v>1500</v>
      </c>
    </row>
    <row r="6574" spans="17:20" x14ac:dyDescent="0.3">
      <c r="Q6574" s="93">
        <v>45742</v>
      </c>
      <c r="R6574" t="s">
        <v>494</v>
      </c>
      <c r="S6574" t="s">
        <v>399</v>
      </c>
      <c r="T6574" s="14">
        <v>11670</v>
      </c>
    </row>
    <row r="6575" spans="17:20" x14ac:dyDescent="0.3">
      <c r="Q6575" s="93">
        <v>45742</v>
      </c>
      <c r="R6575" t="s">
        <v>495</v>
      </c>
      <c r="S6575" t="s">
        <v>399</v>
      </c>
      <c r="T6575" s="14">
        <v>-1300</v>
      </c>
    </row>
    <row r="6576" spans="17:20" x14ac:dyDescent="0.3">
      <c r="Q6576" s="93">
        <v>45742</v>
      </c>
      <c r="R6576" t="s">
        <v>493</v>
      </c>
      <c r="S6576" t="s">
        <v>399</v>
      </c>
      <c r="T6576" s="14">
        <v>0</v>
      </c>
    </row>
    <row r="6577" spans="17:20" x14ac:dyDescent="0.3">
      <c r="Q6577" s="93">
        <v>45742</v>
      </c>
      <c r="R6577" t="s">
        <v>479</v>
      </c>
      <c r="S6577" t="s">
        <v>395</v>
      </c>
      <c r="T6577" s="14">
        <v>9962.2750866019996</v>
      </c>
    </row>
    <row r="6578" spans="17:20" x14ac:dyDescent="0.3">
      <c r="Q6578" s="93">
        <v>45742</v>
      </c>
      <c r="R6578" t="s">
        <v>479</v>
      </c>
      <c r="S6578" t="s">
        <v>399</v>
      </c>
      <c r="T6578" s="14">
        <v>8900</v>
      </c>
    </row>
    <row r="6579" spans="17:20" x14ac:dyDescent="0.3">
      <c r="Q6579" s="93">
        <v>45742</v>
      </c>
      <c r="R6579" t="s">
        <v>479</v>
      </c>
      <c r="S6579" t="s">
        <v>415</v>
      </c>
      <c r="T6579" s="14">
        <v>6.2665730340000003</v>
      </c>
    </row>
    <row r="6580" spans="17:20" x14ac:dyDescent="0.3">
      <c r="Q6580" s="93">
        <v>45742</v>
      </c>
      <c r="R6580" t="s">
        <v>364</v>
      </c>
      <c r="S6580" t="s">
        <v>415</v>
      </c>
      <c r="T6580" s="14">
        <v>5.3710471640000002</v>
      </c>
    </row>
    <row r="6581" spans="17:20" x14ac:dyDescent="0.3">
      <c r="Q6581" s="93">
        <v>45740</v>
      </c>
      <c r="R6581" t="s">
        <v>479</v>
      </c>
      <c r="S6581" t="s">
        <v>415</v>
      </c>
      <c r="T6581" s="14">
        <v>6.2665730340000003</v>
      </c>
    </row>
    <row r="6582" spans="17:20" x14ac:dyDescent="0.3">
      <c r="Q6582" s="93">
        <v>45740</v>
      </c>
      <c r="R6582" t="s">
        <v>364</v>
      </c>
      <c r="S6582" t="s">
        <v>415</v>
      </c>
      <c r="T6582" s="14">
        <v>5.3710471640000002</v>
      </c>
    </row>
    <row r="6583" spans="17:20" x14ac:dyDescent="0.3">
      <c r="Q6583" s="93">
        <v>45740</v>
      </c>
      <c r="R6583" t="s">
        <v>479</v>
      </c>
      <c r="S6583" t="s">
        <v>399</v>
      </c>
      <c r="T6583" s="14">
        <v>8900</v>
      </c>
    </row>
    <row r="6584" spans="17:20" x14ac:dyDescent="0.3">
      <c r="Q6584" s="93">
        <v>45740</v>
      </c>
      <c r="R6584" t="s">
        <v>364</v>
      </c>
      <c r="S6584" t="s">
        <v>399</v>
      </c>
      <c r="T6584" s="14">
        <v>24796.383900000001</v>
      </c>
    </row>
    <row r="6585" spans="17:20" x14ac:dyDescent="0.3">
      <c r="Q6585" s="93">
        <v>45740</v>
      </c>
      <c r="R6585" t="s">
        <v>491</v>
      </c>
      <c r="S6585" t="s">
        <v>399</v>
      </c>
      <c r="T6585" s="14">
        <v>1500</v>
      </c>
    </row>
    <row r="6586" spans="17:20" x14ac:dyDescent="0.3">
      <c r="Q6586" s="93">
        <v>45740</v>
      </c>
      <c r="R6586" t="s">
        <v>492</v>
      </c>
      <c r="S6586" t="s">
        <v>399</v>
      </c>
      <c r="T6586" s="14">
        <v>7400</v>
      </c>
    </row>
    <row r="6587" spans="17:20" x14ac:dyDescent="0.3">
      <c r="Q6587" s="93">
        <v>45740</v>
      </c>
      <c r="R6587" t="s">
        <v>496</v>
      </c>
      <c r="S6587" t="s">
        <v>399</v>
      </c>
      <c r="T6587" s="14">
        <v>14026.383900000001</v>
      </c>
    </row>
    <row r="6588" spans="17:20" x14ac:dyDescent="0.3">
      <c r="Q6588" s="93">
        <v>45740</v>
      </c>
      <c r="R6588" t="s">
        <v>497</v>
      </c>
      <c r="S6588" t="s">
        <v>399</v>
      </c>
      <c r="T6588" s="14">
        <v>8400</v>
      </c>
    </row>
    <row r="6589" spans="17:20" x14ac:dyDescent="0.3">
      <c r="Q6589" s="93">
        <v>45740</v>
      </c>
      <c r="R6589" t="s">
        <v>498</v>
      </c>
      <c r="S6589" t="s">
        <v>399</v>
      </c>
      <c r="T6589" s="14">
        <v>1500</v>
      </c>
    </row>
    <row r="6590" spans="17:20" x14ac:dyDescent="0.3">
      <c r="Q6590" s="93">
        <v>45740</v>
      </c>
      <c r="R6590" t="s">
        <v>494</v>
      </c>
      <c r="S6590" t="s">
        <v>399</v>
      </c>
      <c r="T6590" s="14">
        <v>10770</v>
      </c>
    </row>
    <row r="6591" spans="17:20" x14ac:dyDescent="0.3">
      <c r="Q6591" s="93">
        <v>45740</v>
      </c>
      <c r="R6591" t="s">
        <v>495</v>
      </c>
      <c r="S6591" t="s">
        <v>399</v>
      </c>
      <c r="T6591" s="14">
        <v>-1000</v>
      </c>
    </row>
    <row r="6592" spans="17:20" x14ac:dyDescent="0.3">
      <c r="Q6592" s="93">
        <v>45740</v>
      </c>
      <c r="R6592" t="s">
        <v>493</v>
      </c>
      <c r="S6592" t="s">
        <v>399</v>
      </c>
      <c r="T6592" s="14">
        <v>0</v>
      </c>
    </row>
    <row r="6593" spans="17:20" x14ac:dyDescent="0.3">
      <c r="Q6593" s="93">
        <v>45740</v>
      </c>
      <c r="R6593" t="s">
        <v>479</v>
      </c>
      <c r="S6593" t="s">
        <v>395</v>
      </c>
      <c r="T6593" s="14">
        <v>9962.2182665729997</v>
      </c>
    </row>
    <row r="6594" spans="17:20" x14ac:dyDescent="0.3">
      <c r="Q6594" s="93">
        <v>45737</v>
      </c>
      <c r="R6594" t="s">
        <v>494</v>
      </c>
      <c r="S6594" t="s">
        <v>399</v>
      </c>
      <c r="T6594" s="14">
        <v>12120</v>
      </c>
    </row>
    <row r="6595" spans="17:20" x14ac:dyDescent="0.3">
      <c r="Q6595" s="93">
        <v>45737</v>
      </c>
      <c r="R6595" t="s">
        <v>495</v>
      </c>
      <c r="S6595" t="s">
        <v>399</v>
      </c>
      <c r="T6595" s="14">
        <v>0</v>
      </c>
    </row>
    <row r="6596" spans="17:20" x14ac:dyDescent="0.3">
      <c r="Q6596" s="93">
        <v>45737</v>
      </c>
      <c r="R6596" t="s">
        <v>493</v>
      </c>
      <c r="S6596" t="s">
        <v>399</v>
      </c>
      <c r="T6596" s="14">
        <v>500</v>
      </c>
    </row>
    <row r="6597" spans="17:20" x14ac:dyDescent="0.3">
      <c r="Q6597" s="93">
        <v>45737</v>
      </c>
      <c r="R6597" t="s">
        <v>479</v>
      </c>
      <c r="S6597" t="s">
        <v>395</v>
      </c>
      <c r="T6597" s="14">
        <v>9969.9984061119994</v>
      </c>
    </row>
    <row r="6598" spans="17:20" x14ac:dyDescent="0.3">
      <c r="Q6598" s="93">
        <v>45737</v>
      </c>
      <c r="R6598" t="s">
        <v>479</v>
      </c>
      <c r="S6598" t="s">
        <v>415</v>
      </c>
      <c r="T6598" s="14">
        <v>6.2665730340000003</v>
      </c>
    </row>
    <row r="6599" spans="17:20" x14ac:dyDescent="0.3">
      <c r="Q6599" s="93">
        <v>45737</v>
      </c>
      <c r="R6599" t="s">
        <v>479</v>
      </c>
      <c r="S6599" t="s">
        <v>399</v>
      </c>
      <c r="T6599" s="14">
        <v>8900</v>
      </c>
    </row>
    <row r="6600" spans="17:20" x14ac:dyDescent="0.3">
      <c r="Q6600" s="93">
        <v>45737</v>
      </c>
      <c r="R6600" t="s">
        <v>364</v>
      </c>
      <c r="S6600" t="s">
        <v>399</v>
      </c>
      <c r="T6600" s="14">
        <v>24796.383900000001</v>
      </c>
    </row>
    <row r="6601" spans="17:20" x14ac:dyDescent="0.3">
      <c r="Q6601" s="93">
        <v>45737</v>
      </c>
      <c r="R6601" t="s">
        <v>491</v>
      </c>
      <c r="S6601" t="s">
        <v>399</v>
      </c>
      <c r="T6601" s="14">
        <v>1500</v>
      </c>
    </row>
    <row r="6602" spans="17:20" x14ac:dyDescent="0.3">
      <c r="Q6602" s="93">
        <v>45737</v>
      </c>
      <c r="R6602" t="s">
        <v>492</v>
      </c>
      <c r="S6602" t="s">
        <v>399</v>
      </c>
      <c r="T6602" s="14">
        <v>7400</v>
      </c>
    </row>
    <row r="6603" spans="17:20" x14ac:dyDescent="0.3">
      <c r="Q6603" s="93">
        <v>45737</v>
      </c>
      <c r="R6603" t="s">
        <v>496</v>
      </c>
      <c r="S6603" t="s">
        <v>399</v>
      </c>
      <c r="T6603" s="14">
        <v>12676.383900000001</v>
      </c>
    </row>
    <row r="6604" spans="17:20" x14ac:dyDescent="0.3">
      <c r="Q6604" s="93">
        <v>45737</v>
      </c>
      <c r="R6604" t="s">
        <v>497</v>
      </c>
      <c r="S6604" t="s">
        <v>399</v>
      </c>
      <c r="T6604" s="14">
        <v>7400</v>
      </c>
    </row>
    <row r="6605" spans="17:20" x14ac:dyDescent="0.3">
      <c r="Q6605" s="93">
        <v>45737</v>
      </c>
      <c r="R6605" t="s">
        <v>498</v>
      </c>
      <c r="S6605" t="s">
        <v>399</v>
      </c>
      <c r="T6605" s="14">
        <v>1000</v>
      </c>
    </row>
    <row r="6606" spans="17:20" x14ac:dyDescent="0.3">
      <c r="Q6606" s="93">
        <v>45737</v>
      </c>
      <c r="R6606" t="s">
        <v>364</v>
      </c>
      <c r="S6606" t="s">
        <v>415</v>
      </c>
      <c r="T6606" s="14">
        <v>5.3710471640000002</v>
      </c>
    </row>
    <row r="6607" spans="17:20" x14ac:dyDescent="0.3">
      <c r="Q6607" s="93">
        <v>45736</v>
      </c>
      <c r="R6607" t="s">
        <v>303</v>
      </c>
      <c r="S6607" t="s">
        <v>395</v>
      </c>
      <c r="T6607" s="14">
        <v>9971.6917545260003</v>
      </c>
    </row>
    <row r="6608" spans="17:20" x14ac:dyDescent="0.3">
      <c r="Q6608" s="93">
        <v>45736</v>
      </c>
      <c r="R6608" t="s">
        <v>303</v>
      </c>
      <c r="S6608" t="s">
        <v>415</v>
      </c>
      <c r="T6608" s="14">
        <v>6.2665730340000003</v>
      </c>
    </row>
    <row r="6609" spans="17:20" x14ac:dyDescent="0.3">
      <c r="Q6609" s="93">
        <v>45736</v>
      </c>
      <c r="R6609" t="s">
        <v>303</v>
      </c>
      <c r="S6609" t="s">
        <v>399</v>
      </c>
      <c r="T6609" s="14">
        <v>8900</v>
      </c>
    </row>
    <row r="6610" spans="17:20" x14ac:dyDescent="0.3">
      <c r="Q6610" s="93">
        <v>45735</v>
      </c>
      <c r="R6610" t="s">
        <v>303</v>
      </c>
      <c r="S6610" t="s">
        <v>415</v>
      </c>
      <c r="T6610" s="14">
        <v>6.2665730340000003</v>
      </c>
    </row>
    <row r="6611" spans="17:20" x14ac:dyDescent="0.3">
      <c r="Q6611" s="93">
        <v>45735</v>
      </c>
      <c r="R6611" t="s">
        <v>303</v>
      </c>
      <c r="S6611" t="s">
        <v>399</v>
      </c>
      <c r="T6611" s="14">
        <v>8900</v>
      </c>
    </row>
    <row r="6612" spans="17:20" x14ac:dyDescent="0.3">
      <c r="Q6612" s="93">
        <v>45735</v>
      </c>
      <c r="R6612" t="s">
        <v>1392</v>
      </c>
      <c r="S6612" t="s">
        <v>399</v>
      </c>
      <c r="T6612" s="14">
        <v>11276.383900000001</v>
      </c>
    </row>
    <row r="6613" spans="17:20" x14ac:dyDescent="0.3">
      <c r="Q6613" s="93">
        <v>45735</v>
      </c>
      <c r="R6613" t="s">
        <v>1393</v>
      </c>
      <c r="S6613" t="s">
        <v>399</v>
      </c>
      <c r="T6613" s="14">
        <v>7400</v>
      </c>
    </row>
    <row r="6614" spans="17:20" x14ac:dyDescent="0.3">
      <c r="Q6614" s="93">
        <v>45735</v>
      </c>
      <c r="R6614" t="s">
        <v>1394</v>
      </c>
      <c r="S6614" t="s">
        <v>399</v>
      </c>
      <c r="T6614" s="14">
        <v>1500</v>
      </c>
    </row>
    <row r="6615" spans="17:20" x14ac:dyDescent="0.3">
      <c r="Q6615" s="93">
        <v>45735</v>
      </c>
      <c r="R6615" t="s">
        <v>1395</v>
      </c>
      <c r="S6615" t="s">
        <v>399</v>
      </c>
      <c r="T6615" s="14">
        <v>680</v>
      </c>
    </row>
    <row r="6616" spans="17:20" x14ac:dyDescent="0.3">
      <c r="Q6616" s="93">
        <v>45735</v>
      </c>
      <c r="R6616" t="s">
        <v>303</v>
      </c>
      <c r="S6616" t="s">
        <v>395</v>
      </c>
      <c r="T6616" s="14">
        <v>9992.5264158000009</v>
      </c>
    </row>
    <row r="6617" spans="17:20" x14ac:dyDescent="0.3">
      <c r="Q6617" s="93">
        <v>45734</v>
      </c>
      <c r="R6617" t="s">
        <v>303</v>
      </c>
      <c r="S6617" t="s">
        <v>399</v>
      </c>
      <c r="T6617" s="14">
        <v>8900</v>
      </c>
    </row>
    <row r="6618" spans="17:20" x14ac:dyDescent="0.3">
      <c r="Q6618" s="93">
        <v>45734</v>
      </c>
      <c r="R6618" t="s">
        <v>1392</v>
      </c>
      <c r="S6618" t="s">
        <v>399</v>
      </c>
      <c r="T6618" s="14">
        <v>10726.383900000001</v>
      </c>
    </row>
    <row r="6619" spans="17:20" x14ac:dyDescent="0.3">
      <c r="Q6619" s="93">
        <v>45734</v>
      </c>
      <c r="R6619" t="s">
        <v>1393</v>
      </c>
      <c r="S6619" t="s">
        <v>399</v>
      </c>
      <c r="T6619" s="14">
        <v>7400</v>
      </c>
    </row>
    <row r="6620" spans="17:20" x14ac:dyDescent="0.3">
      <c r="Q6620" s="93">
        <v>45734</v>
      </c>
      <c r="R6620" t="s">
        <v>1394</v>
      </c>
      <c r="S6620" t="s">
        <v>399</v>
      </c>
      <c r="T6620" s="14">
        <v>1500</v>
      </c>
    </row>
    <row r="6621" spans="17:20" x14ac:dyDescent="0.3">
      <c r="Q6621" s="93">
        <v>45734</v>
      </c>
      <c r="R6621" t="s">
        <v>1395</v>
      </c>
      <c r="S6621" t="s">
        <v>399</v>
      </c>
      <c r="T6621" s="14">
        <v>-500</v>
      </c>
    </row>
    <row r="6622" spans="17:20" x14ac:dyDescent="0.3">
      <c r="Q6622" s="93">
        <v>45734</v>
      </c>
      <c r="R6622" t="s">
        <v>303</v>
      </c>
      <c r="S6622" t="s">
        <v>395</v>
      </c>
      <c r="T6622" s="14">
        <v>9972.4217481579999</v>
      </c>
    </row>
    <row r="6623" spans="17:20" x14ac:dyDescent="0.3">
      <c r="Q6623" s="93">
        <v>45734</v>
      </c>
      <c r="R6623" t="s">
        <v>303</v>
      </c>
      <c r="S6623" t="s">
        <v>415</v>
      </c>
      <c r="T6623" s="14">
        <v>6.2665730340000003</v>
      </c>
    </row>
    <row r="6624" spans="17:20" x14ac:dyDescent="0.3">
      <c r="Q6624" s="93">
        <v>45733</v>
      </c>
      <c r="R6624" t="s">
        <v>303</v>
      </c>
      <c r="S6624" t="s">
        <v>395</v>
      </c>
      <c r="T6624" s="14">
        <v>9964.2532972440004</v>
      </c>
    </row>
    <row r="6625" spans="17:20" x14ac:dyDescent="0.3">
      <c r="Q6625" s="93">
        <v>45733</v>
      </c>
      <c r="R6625" t="s">
        <v>303</v>
      </c>
      <c r="S6625" t="s">
        <v>415</v>
      </c>
      <c r="T6625" s="14">
        <v>6.2665730340000003</v>
      </c>
    </row>
    <row r="6626" spans="17:20" x14ac:dyDescent="0.3">
      <c r="Q6626" s="93">
        <v>45730</v>
      </c>
      <c r="R6626" t="s">
        <v>303</v>
      </c>
      <c r="S6626" t="s">
        <v>399</v>
      </c>
      <c r="T6626" s="14">
        <v>8400</v>
      </c>
    </row>
    <row r="6627" spans="17:20" x14ac:dyDescent="0.3">
      <c r="Q6627" s="93">
        <v>45730</v>
      </c>
      <c r="R6627" t="s">
        <v>1392</v>
      </c>
      <c r="S6627" t="s">
        <v>399</v>
      </c>
      <c r="T6627" s="14">
        <v>11226.383900000001</v>
      </c>
    </row>
    <row r="6628" spans="17:20" x14ac:dyDescent="0.3">
      <c r="Q6628" s="93">
        <v>45730</v>
      </c>
      <c r="R6628" t="s">
        <v>1393</v>
      </c>
      <c r="S6628" t="s">
        <v>399</v>
      </c>
      <c r="T6628" s="14">
        <v>7400</v>
      </c>
    </row>
    <row r="6629" spans="17:20" x14ac:dyDescent="0.3">
      <c r="Q6629" s="93">
        <v>45730</v>
      </c>
      <c r="R6629" t="s">
        <v>1394</v>
      </c>
      <c r="S6629" t="s">
        <v>399</v>
      </c>
      <c r="T6629" s="14">
        <v>1000</v>
      </c>
    </row>
    <row r="6630" spans="17:20" x14ac:dyDescent="0.3">
      <c r="Q6630" s="93">
        <v>45730</v>
      </c>
      <c r="R6630" t="s">
        <v>1395</v>
      </c>
      <c r="S6630" t="s">
        <v>399</v>
      </c>
      <c r="T6630" s="14">
        <v>0</v>
      </c>
    </row>
    <row r="6631" spans="17:20" x14ac:dyDescent="0.3">
      <c r="Q6631" s="93">
        <v>45730</v>
      </c>
      <c r="R6631" t="s">
        <v>303</v>
      </c>
      <c r="S6631" t="s">
        <v>395</v>
      </c>
      <c r="T6631" s="14">
        <v>9322.5931186020007</v>
      </c>
    </row>
    <row r="6632" spans="17:20" x14ac:dyDescent="0.3">
      <c r="Q6632" s="93">
        <v>45730</v>
      </c>
      <c r="R6632" t="s">
        <v>303</v>
      </c>
      <c r="S6632" t="s">
        <v>415</v>
      </c>
      <c r="T6632" s="14">
        <v>6.200595238</v>
      </c>
    </row>
    <row r="6633" spans="17:20" x14ac:dyDescent="0.3">
      <c r="Q6633" s="93">
        <v>45729</v>
      </c>
      <c r="R6633" t="s">
        <v>303</v>
      </c>
      <c r="S6633" t="s">
        <v>395</v>
      </c>
      <c r="T6633" s="14">
        <v>9325.8482940220001</v>
      </c>
    </row>
    <row r="6634" spans="17:20" x14ac:dyDescent="0.3">
      <c r="Q6634" s="93">
        <v>45729</v>
      </c>
      <c r="R6634" t="s">
        <v>303</v>
      </c>
      <c r="S6634" t="s">
        <v>415</v>
      </c>
      <c r="T6634" s="14">
        <v>6.200595238</v>
      </c>
    </row>
    <row r="6635" spans="17:20" x14ac:dyDescent="0.3">
      <c r="Q6635" s="93">
        <v>45729</v>
      </c>
      <c r="R6635" t="s">
        <v>1392</v>
      </c>
      <c r="S6635" t="s">
        <v>399</v>
      </c>
      <c r="T6635" s="14">
        <v>9150</v>
      </c>
    </row>
    <row r="6636" spans="17:20" x14ac:dyDescent="0.3">
      <c r="Q6636" s="93">
        <v>45729</v>
      </c>
      <c r="R6636" t="s">
        <v>1393</v>
      </c>
      <c r="S6636" t="s">
        <v>399</v>
      </c>
      <c r="T6636" s="14">
        <v>7400</v>
      </c>
    </row>
    <row r="6637" spans="17:20" x14ac:dyDescent="0.3">
      <c r="Q6637" s="93">
        <v>45729</v>
      </c>
      <c r="R6637" t="s">
        <v>1394</v>
      </c>
      <c r="S6637" t="s">
        <v>399</v>
      </c>
      <c r="T6637" s="14">
        <v>1000</v>
      </c>
    </row>
    <row r="6638" spans="17:20" x14ac:dyDescent="0.3">
      <c r="Q6638" s="93">
        <v>45729</v>
      </c>
      <c r="R6638" t="s">
        <v>1395</v>
      </c>
      <c r="S6638" t="s">
        <v>399</v>
      </c>
      <c r="T6638" s="14">
        <v>0</v>
      </c>
    </row>
    <row r="6639" spans="17:20" x14ac:dyDescent="0.3">
      <c r="Q6639" s="93">
        <v>45729</v>
      </c>
      <c r="R6639" t="s">
        <v>303</v>
      </c>
      <c r="S6639" t="s">
        <v>399</v>
      </c>
      <c r="T6639" s="14">
        <v>8400</v>
      </c>
    </row>
    <row r="6640" spans="17:20" x14ac:dyDescent="0.3">
      <c r="Q6640" s="93">
        <v>45728</v>
      </c>
      <c r="R6640" t="s">
        <v>1392</v>
      </c>
      <c r="S6640" t="s">
        <v>399</v>
      </c>
      <c r="T6640" s="14">
        <v>12250</v>
      </c>
    </row>
    <row r="6641" spans="17:20" x14ac:dyDescent="0.3">
      <c r="Q6641" s="93">
        <v>45728</v>
      </c>
      <c r="R6641" t="s">
        <v>1393</v>
      </c>
      <c r="S6641" t="s">
        <v>399</v>
      </c>
      <c r="T6641" s="14">
        <v>7400</v>
      </c>
    </row>
    <row r="6642" spans="17:20" x14ac:dyDescent="0.3">
      <c r="Q6642" s="93">
        <v>45728</v>
      </c>
      <c r="R6642" t="s">
        <v>1394</v>
      </c>
      <c r="S6642" t="s">
        <v>399</v>
      </c>
      <c r="T6642" s="14">
        <v>1000</v>
      </c>
    </row>
    <row r="6643" spans="17:20" x14ac:dyDescent="0.3">
      <c r="Q6643" s="93">
        <v>45728</v>
      </c>
      <c r="R6643" t="s">
        <v>1395</v>
      </c>
      <c r="S6643" t="s">
        <v>399</v>
      </c>
      <c r="T6643" s="14">
        <v>0</v>
      </c>
    </row>
    <row r="6644" spans="17:20" x14ac:dyDescent="0.3">
      <c r="Q6644" s="93">
        <v>45728</v>
      </c>
      <c r="R6644" t="s">
        <v>303</v>
      </c>
      <c r="S6644" t="s">
        <v>395</v>
      </c>
      <c r="T6644" s="14">
        <v>9323.0802778300003</v>
      </c>
    </row>
    <row r="6645" spans="17:20" x14ac:dyDescent="0.3">
      <c r="Q6645" s="93">
        <v>45728</v>
      </c>
      <c r="R6645" t="s">
        <v>303</v>
      </c>
      <c r="S6645" t="s">
        <v>415</v>
      </c>
      <c r="T6645" s="14">
        <v>6.200595238</v>
      </c>
    </row>
    <row r="6646" spans="17:20" x14ac:dyDescent="0.3">
      <c r="Q6646" s="93">
        <v>45728</v>
      </c>
      <c r="R6646" t="s">
        <v>303</v>
      </c>
      <c r="S6646" t="s">
        <v>399</v>
      </c>
      <c r="T6646" s="14">
        <v>8400</v>
      </c>
    </row>
    <row r="6647" spans="17:20" x14ac:dyDescent="0.3">
      <c r="Q6647" s="93">
        <v>45727</v>
      </c>
      <c r="R6647" t="s">
        <v>1393</v>
      </c>
      <c r="S6647" t="s">
        <v>399</v>
      </c>
      <c r="T6647" s="14">
        <v>7400</v>
      </c>
    </row>
    <row r="6648" spans="17:20" x14ac:dyDescent="0.3">
      <c r="Q6648" s="93">
        <v>45727</v>
      </c>
      <c r="R6648" t="s">
        <v>1394</v>
      </c>
      <c r="S6648" t="s">
        <v>399</v>
      </c>
      <c r="T6648" s="14">
        <v>1000</v>
      </c>
    </row>
    <row r="6649" spans="17:20" x14ac:dyDescent="0.3">
      <c r="Q6649" s="93">
        <v>45727</v>
      </c>
      <c r="R6649" t="s">
        <v>1395</v>
      </c>
      <c r="S6649" t="s">
        <v>399</v>
      </c>
      <c r="T6649" s="14">
        <v>0</v>
      </c>
    </row>
    <row r="6650" spans="17:20" x14ac:dyDescent="0.3">
      <c r="Q6650" s="93">
        <v>45727</v>
      </c>
      <c r="R6650" t="s">
        <v>303</v>
      </c>
      <c r="S6650" t="s">
        <v>395</v>
      </c>
      <c r="T6650" s="14">
        <v>9322.5197823050003</v>
      </c>
    </row>
    <row r="6651" spans="17:20" x14ac:dyDescent="0.3">
      <c r="Q6651" s="93">
        <v>45727</v>
      </c>
      <c r="R6651" t="s">
        <v>303</v>
      </c>
      <c r="S6651" t="s">
        <v>415</v>
      </c>
      <c r="T6651" s="14">
        <v>6.200595238</v>
      </c>
    </row>
    <row r="6652" spans="17:20" x14ac:dyDescent="0.3">
      <c r="Q6652" s="93">
        <v>45727</v>
      </c>
      <c r="R6652" t="s">
        <v>303</v>
      </c>
      <c r="S6652" t="s">
        <v>399</v>
      </c>
      <c r="T6652" s="14">
        <v>8400</v>
      </c>
    </row>
    <row r="6653" spans="17:20" x14ac:dyDescent="0.3">
      <c r="Q6653" s="93">
        <v>45727</v>
      </c>
      <c r="R6653" t="s">
        <v>1392</v>
      </c>
      <c r="S6653" t="s">
        <v>399</v>
      </c>
      <c r="T6653" s="14">
        <v>12250</v>
      </c>
    </row>
    <row r="6654" spans="17:20" x14ac:dyDescent="0.3">
      <c r="Q6654" s="93">
        <v>45726</v>
      </c>
      <c r="R6654" t="s">
        <v>303</v>
      </c>
      <c r="S6654" t="s">
        <v>415</v>
      </c>
      <c r="T6654" s="14">
        <v>6.200595238</v>
      </c>
    </row>
    <row r="6655" spans="17:20" x14ac:dyDescent="0.3">
      <c r="Q6655" s="93">
        <v>45726</v>
      </c>
      <c r="R6655" t="s">
        <v>303</v>
      </c>
      <c r="S6655" t="s">
        <v>395</v>
      </c>
      <c r="T6655" s="14">
        <v>9323.3692659539993</v>
      </c>
    </row>
    <row r="6656" spans="17:20" x14ac:dyDescent="0.3">
      <c r="Q6656" s="93">
        <v>45726</v>
      </c>
      <c r="R6656" t="s">
        <v>303</v>
      </c>
      <c r="S6656" t="s">
        <v>415</v>
      </c>
      <c r="T6656" s="14">
        <v>6.200595238</v>
      </c>
    </row>
    <row r="6657" spans="17:20" x14ac:dyDescent="0.3">
      <c r="Q6657" s="93">
        <v>45726</v>
      </c>
      <c r="R6657" t="s">
        <v>303</v>
      </c>
      <c r="S6657" t="s">
        <v>399</v>
      </c>
      <c r="T6657" s="14">
        <v>8400</v>
      </c>
    </row>
    <row r="6658" spans="17:20" x14ac:dyDescent="0.3">
      <c r="Q6658" s="93">
        <v>45726</v>
      </c>
      <c r="R6658" t="s">
        <v>1392</v>
      </c>
      <c r="S6658" t="s">
        <v>399</v>
      </c>
      <c r="T6658" s="14">
        <v>11950</v>
      </c>
    </row>
    <row r="6659" spans="17:20" x14ac:dyDescent="0.3">
      <c r="Q6659" s="93">
        <v>45726</v>
      </c>
      <c r="R6659" t="s">
        <v>1393</v>
      </c>
      <c r="S6659" t="s">
        <v>399</v>
      </c>
      <c r="T6659" s="14">
        <v>7400</v>
      </c>
    </row>
    <row r="6660" spans="17:20" x14ac:dyDescent="0.3">
      <c r="Q6660" s="93">
        <v>45726</v>
      </c>
      <c r="R6660" t="s">
        <v>1394</v>
      </c>
      <c r="S6660" t="s">
        <v>399</v>
      </c>
      <c r="T6660" s="14">
        <v>1000</v>
      </c>
    </row>
    <row r="6661" spans="17:20" x14ac:dyDescent="0.3">
      <c r="Q6661" s="93">
        <v>45726</v>
      </c>
      <c r="R6661" t="s">
        <v>1395</v>
      </c>
      <c r="S6661" t="s">
        <v>399</v>
      </c>
      <c r="T6661" s="14">
        <v>0</v>
      </c>
    </row>
    <row r="6662" spans="17:20" x14ac:dyDescent="0.3">
      <c r="Q6662" s="93">
        <v>45726</v>
      </c>
      <c r="R6662" t="s">
        <v>303</v>
      </c>
      <c r="S6662" t="s">
        <v>395</v>
      </c>
      <c r="T6662" s="14">
        <v>9323.3692659539993</v>
      </c>
    </row>
  </sheetData>
  <phoneticPr fontId="16" type="noConversion"/>
  <conditionalFormatting sqref="AF1:AF1048576">
    <cfRule type="duplicateValues" dxfId="269" priority="1"/>
  </conditionalFormatting>
  <pageMargins left="0.7" right="0.7" top="0.75" bottom="0.75" header="0.3" footer="0.3"/>
  <pageSetup paperSize="9" orientation="portrait" r:id="rId1"/>
  <tableParts count="5">
    <tablePart r:id="rId2"/>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707D1-9D99-4385-B491-E1069F6C9572}">
  <sheetPr codeName="Sheet16"/>
  <dimension ref="A1:CJ44"/>
  <sheetViews>
    <sheetView workbookViewId="0">
      <pane ySplit="1" topLeftCell="A30" activePane="bottomLeft" state="frozen"/>
      <selection pane="bottomLeft" activeCell="X2" sqref="X2:X44"/>
    </sheetView>
  </sheetViews>
  <sheetFormatPr defaultRowHeight="14.4" x14ac:dyDescent="0.3"/>
  <cols>
    <col min="2" max="2" width="9.09765625" customWidth="1"/>
    <col min="3" max="3" width="9.09765625" hidden="1" customWidth="1"/>
    <col min="4" max="4" width="12.09765625" hidden="1" customWidth="1"/>
    <col min="5" max="5" width="9.09765625" hidden="1" customWidth="1"/>
    <col min="8" max="8" width="9.69921875" bestFit="1" customWidth="1"/>
    <col min="11" max="11" width="9.09765625" hidden="1" customWidth="1"/>
    <col min="12" max="12" width="0" hidden="1" customWidth="1"/>
    <col min="13" max="13" width="9.09765625" style="79"/>
    <col min="15" max="15" width="9.09765625" customWidth="1"/>
    <col min="17" max="17" width="12.69921875" bestFit="1" customWidth="1"/>
    <col min="18" max="18" width="9.09765625" customWidth="1"/>
    <col min="19" max="19" width="9.09765625" hidden="1" customWidth="1"/>
    <col min="22" max="22" width="9.69921875" bestFit="1" customWidth="1"/>
    <col min="25" max="25" width="9.09765625" style="79"/>
    <col min="27" max="27" width="9.09765625" customWidth="1"/>
    <col min="29" max="29" width="9.09765625" style="127"/>
    <col min="30" max="30" width="10.09765625" style="127" bestFit="1" customWidth="1"/>
    <col min="31" max="31" width="9.09765625" style="127"/>
    <col min="32" max="32" width="17.3984375" style="48" bestFit="1" customWidth="1"/>
    <col min="33" max="33" width="10.09765625" style="15" bestFit="1" customWidth="1"/>
    <col min="34" max="34" width="9.09765625" style="15"/>
    <col min="35" max="35" width="20.8984375" style="48" bestFit="1" customWidth="1"/>
    <col min="36" max="36" width="9.09765625" style="15"/>
    <col min="39" max="39" width="9.59765625" bestFit="1" customWidth="1"/>
    <col min="40" max="40" width="9.09765625" customWidth="1"/>
    <col min="41" max="41" width="9.09765625" hidden="1" customWidth="1"/>
    <col min="42" max="42" width="16.3984375" style="96" hidden="1" customWidth="1"/>
    <col min="43" max="44" width="10.69921875" bestFit="1" customWidth="1"/>
    <col min="45" max="45" width="13.59765625" bestFit="1" customWidth="1"/>
    <col min="46" max="46" width="11.3984375" bestFit="1" customWidth="1"/>
    <col min="47" max="47" width="5.09765625" hidden="1" customWidth="1"/>
    <col min="48" max="48" width="14.296875" style="96" bestFit="1" customWidth="1"/>
    <col min="49" max="49" width="0" hidden="1" customWidth="1"/>
    <col min="51" max="53" width="0" hidden="1" customWidth="1"/>
    <col min="55" max="57" width="9.09765625" customWidth="1"/>
    <col min="58" max="58" width="14.296875" style="126" bestFit="1" customWidth="1"/>
    <col min="59" max="59" width="10.09765625" style="15" bestFit="1" customWidth="1"/>
    <col min="60" max="60" width="13.09765625" style="15" bestFit="1" customWidth="1"/>
    <col min="61" max="61" width="15" style="126" bestFit="1" customWidth="1"/>
    <col min="62" max="62" width="10.59765625" style="15" bestFit="1" customWidth="1"/>
    <col min="63" max="63" width="9.09765625" style="15"/>
    <col min="64" max="64" width="14.296875" style="126" bestFit="1" customWidth="1"/>
    <col min="65" max="65" width="9.8984375" style="15" bestFit="1" customWidth="1"/>
    <col min="66" max="66" width="11.3984375" style="15" customWidth="1"/>
    <col min="67" max="67" width="14.296875" style="126" bestFit="1" customWidth="1"/>
    <col min="68" max="68" width="12" bestFit="1" customWidth="1"/>
    <col min="74" max="75" width="10.69921875" bestFit="1" customWidth="1"/>
    <col min="76" max="76" width="13.59765625" bestFit="1" customWidth="1"/>
    <col min="77" max="77" width="11.3984375" bestFit="1" customWidth="1"/>
    <col min="88" max="88" width="12.59765625" bestFit="1" customWidth="1"/>
  </cols>
  <sheetData>
    <row r="1" spans="1:88" s="19" customFormat="1" x14ac:dyDescent="0.3">
      <c r="A1" s="19" t="s">
        <v>860</v>
      </c>
      <c r="B1" s="19" t="s">
        <v>793</v>
      </c>
      <c r="C1" s="19" t="s">
        <v>794</v>
      </c>
      <c r="D1" s="19" t="s">
        <v>795</v>
      </c>
      <c r="E1" s="19" t="s">
        <v>796</v>
      </c>
      <c r="F1" s="19" t="s">
        <v>269</v>
      </c>
      <c r="G1" s="19" t="s">
        <v>797</v>
      </c>
      <c r="H1" s="19" t="s">
        <v>798</v>
      </c>
      <c r="I1" s="19" t="s">
        <v>799</v>
      </c>
      <c r="J1" s="19" t="s">
        <v>800</v>
      </c>
      <c r="K1" s="19" t="s">
        <v>801</v>
      </c>
      <c r="L1" s="19" t="s">
        <v>802</v>
      </c>
      <c r="M1" s="13" t="s">
        <v>803</v>
      </c>
      <c r="N1" s="19" t="s">
        <v>377</v>
      </c>
      <c r="O1" s="19" t="s">
        <v>804</v>
      </c>
      <c r="Q1" s="13" t="s">
        <v>859</v>
      </c>
      <c r="R1" s="19" t="s">
        <v>793</v>
      </c>
      <c r="S1" s="19" t="s">
        <v>795</v>
      </c>
      <c r="T1" s="19" t="s">
        <v>269</v>
      </c>
      <c r="U1" s="19" t="s">
        <v>797</v>
      </c>
      <c r="V1" s="19" t="s">
        <v>798</v>
      </c>
      <c r="W1" s="19" t="s">
        <v>799</v>
      </c>
      <c r="X1" s="19" t="s">
        <v>800</v>
      </c>
      <c r="Y1" s="13" t="s">
        <v>803</v>
      </c>
      <c r="Z1" s="19" t="s">
        <v>377</v>
      </c>
      <c r="AA1" s="19" t="s">
        <v>804</v>
      </c>
      <c r="AC1" s="130" t="s">
        <v>883</v>
      </c>
      <c r="AD1" s="130" t="s">
        <v>882</v>
      </c>
      <c r="AE1" s="130" t="s">
        <v>881</v>
      </c>
      <c r="AF1" s="131" t="s">
        <v>884</v>
      </c>
      <c r="AG1" s="129" t="s">
        <v>882</v>
      </c>
      <c r="AH1" s="129" t="s">
        <v>881</v>
      </c>
      <c r="AI1" s="131" t="s">
        <v>885</v>
      </c>
      <c r="AJ1" s="129" t="s">
        <v>882</v>
      </c>
      <c r="AK1" s="129" t="s">
        <v>881</v>
      </c>
      <c r="AM1" s="19" t="s">
        <v>630</v>
      </c>
      <c r="AN1" s="19" t="s">
        <v>861</v>
      </c>
      <c r="AO1" s="19" t="s">
        <v>862</v>
      </c>
      <c r="AP1" s="128" t="s">
        <v>863</v>
      </c>
      <c r="AQ1" s="19" t="s">
        <v>864</v>
      </c>
      <c r="AR1" s="19" t="s">
        <v>865</v>
      </c>
      <c r="AS1" s="19" t="s">
        <v>866</v>
      </c>
      <c r="AT1" s="19" t="s">
        <v>867</v>
      </c>
      <c r="AU1" s="19" t="s">
        <v>290</v>
      </c>
      <c r="AV1" s="128" t="s">
        <v>868</v>
      </c>
      <c r="AW1" s="19" t="s">
        <v>869</v>
      </c>
      <c r="AX1" s="19" t="s">
        <v>870</v>
      </c>
      <c r="AY1" s="19" t="s">
        <v>726</v>
      </c>
      <c r="AZ1" s="19" t="s">
        <v>871</v>
      </c>
      <c r="BA1" s="19" t="s">
        <v>872</v>
      </c>
      <c r="BB1" s="19" t="s">
        <v>873</v>
      </c>
      <c r="BC1" s="19" t="s">
        <v>874</v>
      </c>
      <c r="BD1" s="19" t="s">
        <v>875</v>
      </c>
      <c r="BE1" s="19" t="s">
        <v>876</v>
      </c>
      <c r="BF1" s="133" t="s">
        <v>895</v>
      </c>
      <c r="BG1" s="145">
        <v>45875</v>
      </c>
      <c r="BH1" s="129" t="s">
        <v>887</v>
      </c>
      <c r="BI1" s="133" t="s">
        <v>886</v>
      </c>
      <c r="BJ1" s="129"/>
      <c r="BK1" s="129" t="s">
        <v>888</v>
      </c>
      <c r="BL1" s="133" t="s">
        <v>886</v>
      </c>
      <c r="BM1" s="129"/>
      <c r="BN1" s="147">
        <f>_xlfn.XLOOKUP($AM$1,'FNRP fibond'!A:A,'FNRP fibond'!AM:AM,,0)%</f>
        <v>5.9056919920000006E-2</v>
      </c>
      <c r="BO1" s="133" t="s">
        <v>896</v>
      </c>
      <c r="BS1" s="19" t="s">
        <v>861</v>
      </c>
      <c r="BT1" s="19" t="s">
        <v>862</v>
      </c>
      <c r="BU1" s="19" t="s">
        <v>863</v>
      </c>
      <c r="BV1" s="19" t="s">
        <v>864</v>
      </c>
      <c r="BW1" s="19" t="s">
        <v>865</v>
      </c>
      <c r="BX1" s="19" t="s">
        <v>866</v>
      </c>
      <c r="BY1" s="19" t="s">
        <v>867</v>
      </c>
      <c r="BZ1" s="19" t="s">
        <v>290</v>
      </c>
      <c r="CA1" s="19" t="s">
        <v>868</v>
      </c>
      <c r="CB1" s="19" t="s">
        <v>869</v>
      </c>
      <c r="CC1" s="19" t="s">
        <v>870</v>
      </c>
      <c r="CD1" s="19" t="s">
        <v>726</v>
      </c>
      <c r="CE1" s="19" t="s">
        <v>871</v>
      </c>
      <c r="CF1" s="19" t="s">
        <v>872</v>
      </c>
      <c r="CG1" s="19" t="s">
        <v>873</v>
      </c>
      <c r="CH1" s="19" t="s">
        <v>874</v>
      </c>
      <c r="CI1" s="19" t="s">
        <v>875</v>
      </c>
      <c r="CJ1" s="19" t="s">
        <v>876</v>
      </c>
    </row>
    <row r="2" spans="1:88" x14ac:dyDescent="0.3">
      <c r="B2" t="s">
        <v>805</v>
      </c>
      <c r="D2" t="s">
        <v>806</v>
      </c>
      <c r="E2" t="s">
        <v>796</v>
      </c>
      <c r="F2" t="s">
        <v>807</v>
      </c>
      <c r="G2" s="20">
        <v>45876</v>
      </c>
      <c r="H2" s="20">
        <v>45877</v>
      </c>
      <c r="I2">
        <v>1</v>
      </c>
      <c r="J2">
        <v>5.0025000000000004</v>
      </c>
      <c r="L2">
        <v>5.0025000000000004</v>
      </c>
      <c r="M2" s="79">
        <v>5.0573646739000004</v>
      </c>
      <c r="N2">
        <v>0.99986296399999997</v>
      </c>
      <c r="O2">
        <v>4.9334026784000002</v>
      </c>
      <c r="R2" t="s">
        <v>805</v>
      </c>
      <c r="S2" t="s">
        <v>806</v>
      </c>
      <c r="T2" t="s">
        <v>807</v>
      </c>
      <c r="U2" s="20">
        <v>45876</v>
      </c>
      <c r="V2" s="20">
        <v>45877</v>
      </c>
      <c r="W2">
        <v>1</v>
      </c>
      <c r="X2">
        <v>2.8628999999999998</v>
      </c>
      <c r="Y2" s="79">
        <v>2.9041593473999998</v>
      </c>
      <c r="Z2">
        <v>0.99992157049999997</v>
      </c>
      <c r="AA2">
        <v>2.8274736362000001</v>
      </c>
      <c r="AC2" s="127">
        <f>BG2</f>
        <v>314</v>
      </c>
      <c r="AD2" s="127">
        <f>INDEX(W:W,MATCH(AC2,W:W,1))</f>
        <v>305</v>
      </c>
      <c r="AE2" s="127" cm="1">
        <f t="array" ref="AE2">INDEX(W:W,MATCH(AC2,W:W,1)+1)</f>
        <v>334</v>
      </c>
      <c r="AF2" s="48">
        <f>AG2+(AH2-AG2)*(AC2-AD2)/(AE2-AD2)</f>
        <v>5.1060045530413793</v>
      </c>
      <c r="AG2" s="15">
        <f>_xlfn.XLOOKUP(AD2,$I:$I,$M:$M,,0)</f>
        <v>5.1002632475</v>
      </c>
      <c r="AH2" s="15">
        <f>_xlfn.XLOOKUP(AE2,$I:$I,$M:$M,,0)</f>
        <v>5.1187630098000003</v>
      </c>
      <c r="AI2" s="48">
        <f>AJ2+(AK2-AJ2)*(AC2-AD2)/(AE2-AD2)</f>
        <v>2.9452106134068967</v>
      </c>
      <c r="AJ2" s="15">
        <f>_xlfn.XLOOKUP(AD2,$W:$W,$Y:$Y,,0)</f>
        <v>2.9624140442</v>
      </c>
      <c r="AK2" s="15">
        <f>_xlfn.XLOOKUP(AE2,$W:$W,$Y:$Y,,0)</f>
        <v>2.9069807671999999</v>
      </c>
      <c r="AO2" t="s">
        <v>877</v>
      </c>
      <c r="AP2" s="96">
        <v>1000000000</v>
      </c>
      <c r="AQ2" s="20">
        <v>45824</v>
      </c>
      <c r="AR2" s="20">
        <v>46189</v>
      </c>
      <c r="AS2" s="20">
        <v>46189</v>
      </c>
      <c r="AT2" s="20">
        <v>46182</v>
      </c>
      <c r="AU2">
        <v>365</v>
      </c>
      <c r="AV2" s="96">
        <v>58000000</v>
      </c>
      <c r="AW2">
        <v>5.8</v>
      </c>
      <c r="AX2">
        <v>0.97520488809999994</v>
      </c>
      <c r="AY2">
        <v>0</v>
      </c>
      <c r="AZ2">
        <v>1000</v>
      </c>
      <c r="BA2">
        <v>0</v>
      </c>
      <c r="BB2" t="s">
        <v>878</v>
      </c>
      <c r="BC2" t="s">
        <v>879</v>
      </c>
      <c r="BD2">
        <v>0</v>
      </c>
      <c r="BF2" s="126">
        <f>AX2*AV2</f>
        <v>56561883.509799995</v>
      </c>
      <c r="BG2" s="15">
        <f>AR2-$BG$1</f>
        <v>314</v>
      </c>
      <c r="BH2" s="15">
        <f>1/(1+AI2%)^(BG2/365)</f>
        <v>0.97533825888682579</v>
      </c>
      <c r="BI2" s="126">
        <f>BH2*AV2</f>
        <v>56569619.015435897</v>
      </c>
      <c r="BK2" s="15">
        <f>1/(1+AF2%)^(BG2/365)</f>
        <v>0.95806373441855264</v>
      </c>
      <c r="BL2" s="126">
        <f>AV2*BK2</f>
        <v>55567696.596276052</v>
      </c>
      <c r="BN2" s="15">
        <f>1/(1+$BN$1)^(BG2/365)</f>
        <v>0.95183697824522495</v>
      </c>
      <c r="BO2" s="126">
        <f>BN2*AV2</f>
        <v>55206544.738223046</v>
      </c>
      <c r="BT2" t="s">
        <v>877</v>
      </c>
      <c r="BU2">
        <v>1000000000</v>
      </c>
      <c r="BV2" s="20">
        <v>45624</v>
      </c>
      <c r="BW2" s="20">
        <v>45989</v>
      </c>
      <c r="BX2" s="20">
        <v>45989</v>
      </c>
      <c r="BY2" s="20">
        <v>45979</v>
      </c>
      <c r="BZ2">
        <v>365</v>
      </c>
      <c r="CA2">
        <v>55000000</v>
      </c>
      <c r="CB2">
        <v>5.5</v>
      </c>
      <c r="CC2">
        <v>0.98460118389999995</v>
      </c>
      <c r="CD2">
        <v>0</v>
      </c>
      <c r="CE2">
        <v>1000</v>
      </c>
      <c r="CF2">
        <v>0</v>
      </c>
      <c r="CG2" t="s">
        <v>878</v>
      </c>
      <c r="CH2" t="s">
        <v>879</v>
      </c>
      <c r="CI2">
        <v>0</v>
      </c>
      <c r="CJ2">
        <f>CA2*CC2</f>
        <v>54153065.114500001</v>
      </c>
    </row>
    <row r="3" spans="1:88" x14ac:dyDescent="0.3">
      <c r="B3" t="s">
        <v>805</v>
      </c>
      <c r="D3" t="s">
        <v>806</v>
      </c>
      <c r="E3" t="s">
        <v>796</v>
      </c>
      <c r="F3" t="s">
        <v>808</v>
      </c>
      <c r="G3" s="20">
        <v>45876</v>
      </c>
      <c r="H3" s="20">
        <v>45883</v>
      </c>
      <c r="I3">
        <v>7</v>
      </c>
      <c r="J3">
        <v>5.0025000000000004</v>
      </c>
      <c r="L3">
        <v>5.0025000000000004</v>
      </c>
      <c r="M3" s="79">
        <v>5.0552349809999999</v>
      </c>
      <c r="N3">
        <v>0.99904153600000001</v>
      </c>
      <c r="O3">
        <v>4.9295064308000001</v>
      </c>
      <c r="R3" t="s">
        <v>805</v>
      </c>
      <c r="S3" t="s">
        <v>806</v>
      </c>
      <c r="T3" t="s">
        <v>808</v>
      </c>
      <c r="U3" s="20">
        <v>45876</v>
      </c>
      <c r="V3" s="20">
        <v>45883</v>
      </c>
      <c r="W3">
        <v>7</v>
      </c>
      <c r="X3">
        <v>2.8628999999999998</v>
      </c>
      <c r="Y3" s="79">
        <v>2.9034664154000001</v>
      </c>
      <c r="Z3">
        <v>0.99945125199999996</v>
      </c>
      <c r="AA3">
        <v>2.8321006115</v>
      </c>
      <c r="AC3" s="127">
        <f>BG3</f>
        <v>679</v>
      </c>
      <c r="AD3" s="127">
        <f>INDEX(W:W,MATCH(AC3,W:W,1))</f>
        <v>365</v>
      </c>
      <c r="AE3" s="127" cm="1">
        <f t="array" ref="AE3">INDEX(W:W,MATCH(AC3,W:W,1)+1)</f>
        <v>732</v>
      </c>
      <c r="AF3" s="48">
        <f>AG3+(AH3-AG3)*(AC3-AD3)/(AE3-AD3)</f>
        <v>5.4413461073354226</v>
      </c>
      <c r="AG3" s="15">
        <f t="shared" ref="AG3:AH5" si="0">_xlfn.XLOOKUP(AD3,$I:$I,$M:$M,,0)</f>
        <v>5.1383442122999998</v>
      </c>
      <c r="AH3" s="15">
        <f t="shared" si="0"/>
        <v>5.4924897392999998</v>
      </c>
      <c r="AI3" s="48">
        <f>AJ3+(AK3-AJ3)*(AC3-AD3)/(AE3-AD3)</f>
        <v>2.8843554419073567</v>
      </c>
      <c r="AJ3" s="15">
        <f t="shared" ref="AJ3:AK5" si="1">_xlfn.XLOOKUP(AD3,$W:$W,$Y:$Y,,0)</f>
        <v>2.8479999999999999</v>
      </c>
      <c r="AK3" s="15">
        <f t="shared" si="1"/>
        <v>2.89049187</v>
      </c>
      <c r="AO3" t="s">
        <v>877</v>
      </c>
      <c r="AP3" s="96">
        <v>1000000000</v>
      </c>
      <c r="AQ3" s="20">
        <v>46189</v>
      </c>
      <c r="AR3" s="20">
        <v>46554</v>
      </c>
      <c r="AS3" s="20">
        <v>46554</v>
      </c>
      <c r="AT3" s="20">
        <v>46547</v>
      </c>
      <c r="AU3">
        <v>365</v>
      </c>
      <c r="AV3" s="96">
        <v>58000000</v>
      </c>
      <c r="AW3">
        <v>5.8</v>
      </c>
      <c r="AX3">
        <v>0.94839606600000004</v>
      </c>
      <c r="AY3">
        <v>0</v>
      </c>
      <c r="AZ3">
        <v>1000</v>
      </c>
      <c r="BA3">
        <v>0</v>
      </c>
      <c r="BB3" t="s">
        <v>878</v>
      </c>
      <c r="BC3" t="s">
        <v>879</v>
      </c>
      <c r="BD3">
        <v>0</v>
      </c>
      <c r="BF3" s="126">
        <f>AX3*AV3</f>
        <v>55006971.828000002</v>
      </c>
      <c r="BG3" s="15">
        <f>AR3-$BG$1</f>
        <v>679</v>
      </c>
      <c r="BH3" s="15">
        <f>1/(1+AI3%)^(BG3/365)</f>
        <v>0.94847708334955161</v>
      </c>
      <c r="BI3" s="126">
        <f>BH3*AV3</f>
        <v>55011670.834273994</v>
      </c>
      <c r="BK3" s="15">
        <f>1/(1+AF3%)^(BG3/365)</f>
        <v>0.90613591495868007</v>
      </c>
      <c r="BL3" s="126">
        <f>AV3*BK3</f>
        <v>52555883.067603447</v>
      </c>
      <c r="BN3" s="15">
        <f>1/(1+$BN$1)^(BG3/365)</f>
        <v>0.89875903772681609</v>
      </c>
      <c r="BO3" s="126">
        <f>BN3*AV3</f>
        <v>52128024.188155331</v>
      </c>
      <c r="BP3" s="135"/>
      <c r="BT3" t="s">
        <v>877</v>
      </c>
      <c r="BU3">
        <v>1000000000</v>
      </c>
      <c r="BV3" s="20">
        <v>45989</v>
      </c>
      <c r="BW3" s="20">
        <v>46354</v>
      </c>
      <c r="BX3" s="20">
        <v>46356</v>
      </c>
      <c r="BY3" s="20">
        <v>46344</v>
      </c>
      <c r="BZ3">
        <v>365</v>
      </c>
      <c r="CA3">
        <v>55000000</v>
      </c>
      <c r="CB3">
        <v>5.5</v>
      </c>
      <c r="CC3">
        <v>0.93385167889999998</v>
      </c>
      <c r="CD3">
        <v>0</v>
      </c>
      <c r="CE3">
        <v>1000</v>
      </c>
      <c r="CF3">
        <v>0</v>
      </c>
      <c r="CG3" t="s">
        <v>878</v>
      </c>
      <c r="CH3" t="s">
        <v>879</v>
      </c>
      <c r="CI3">
        <v>0</v>
      </c>
      <c r="CJ3">
        <f>CA3*CC3</f>
        <v>51361842.339500003</v>
      </c>
    </row>
    <row r="4" spans="1:88" x14ac:dyDescent="0.3">
      <c r="B4" t="s">
        <v>805</v>
      </c>
      <c r="D4" t="s">
        <v>806</v>
      </c>
      <c r="E4" t="s">
        <v>796</v>
      </c>
      <c r="F4" t="s">
        <v>809</v>
      </c>
      <c r="G4" s="20">
        <v>45876</v>
      </c>
      <c r="H4" s="20">
        <v>45908</v>
      </c>
      <c r="I4">
        <v>32</v>
      </c>
      <c r="J4">
        <v>5.0025000000000004</v>
      </c>
      <c r="L4">
        <v>5.0025000000000004</v>
      </c>
      <c r="M4" s="79">
        <v>5.0463867727</v>
      </c>
      <c r="N4">
        <v>0.99563339740000001</v>
      </c>
      <c r="O4">
        <v>4.9138589466000004</v>
      </c>
      <c r="R4" t="s">
        <v>805</v>
      </c>
      <c r="S4" t="s">
        <v>852</v>
      </c>
      <c r="T4" t="s">
        <v>809</v>
      </c>
      <c r="U4" s="20">
        <v>45876</v>
      </c>
      <c r="V4" s="20">
        <v>45908</v>
      </c>
      <c r="W4">
        <v>32</v>
      </c>
      <c r="X4">
        <v>2.8628999999999998</v>
      </c>
      <c r="Y4" s="79">
        <v>2.9005839202999999</v>
      </c>
      <c r="Z4">
        <v>0.9974963443</v>
      </c>
      <c r="AA4">
        <v>2.8720453063</v>
      </c>
      <c r="AC4" s="127">
        <f>BG4</f>
        <v>1045</v>
      </c>
      <c r="AD4" s="127">
        <f>INDEX(W:W,MATCH(AC4,W:W,1))</f>
        <v>732</v>
      </c>
      <c r="AE4" s="127" cm="1">
        <f t="array" ref="AE4">INDEX(W:W,MATCH(AC4,W:W,1)+1)</f>
        <v>1096</v>
      </c>
      <c r="AF4" s="48">
        <f>AG4+(AH4-AG4)*(AC4-AD4)/(AE4-AD4)</f>
        <v>5.8502345860247251</v>
      </c>
      <c r="AG4" s="15">
        <f t="shared" si="0"/>
        <v>5.4924897392999998</v>
      </c>
      <c r="AH4" s="15">
        <f t="shared" si="0"/>
        <v>5.9085252799000001</v>
      </c>
      <c r="AI4" s="48">
        <f>AJ4+(AK4-AJ4)*(AC4-AD4)/(AE4-AD4)</f>
        <v>2.9621452065120879</v>
      </c>
      <c r="AJ4" s="15">
        <f t="shared" si="1"/>
        <v>2.89049187</v>
      </c>
      <c r="AK4" s="15">
        <f t="shared" si="1"/>
        <v>2.9738203508000001</v>
      </c>
      <c r="AO4" t="s">
        <v>877</v>
      </c>
      <c r="AP4" s="96">
        <v>1000000000</v>
      </c>
      <c r="AQ4" s="20">
        <v>46554</v>
      </c>
      <c r="AR4" s="20">
        <v>46920</v>
      </c>
      <c r="AS4" s="20">
        <v>46920</v>
      </c>
      <c r="AT4" s="20">
        <v>46913</v>
      </c>
      <c r="AU4">
        <v>366</v>
      </c>
      <c r="AV4" s="96">
        <v>58158904.109589003</v>
      </c>
      <c r="AW4">
        <v>5.8</v>
      </c>
      <c r="AX4">
        <v>0.91993427500000002</v>
      </c>
      <c r="AY4">
        <v>1000000000</v>
      </c>
      <c r="AZ4">
        <v>0</v>
      </c>
      <c r="BA4">
        <v>0</v>
      </c>
      <c r="BB4" t="s">
        <v>878</v>
      </c>
      <c r="BC4" t="s">
        <v>879</v>
      </c>
      <c r="BD4">
        <v>100</v>
      </c>
      <c r="BF4" s="126">
        <f>AX4*AV4</f>
        <v>53502369.286849283</v>
      </c>
      <c r="BG4" s="15">
        <f>AR4-$BG$1</f>
        <v>1045</v>
      </c>
      <c r="BH4" s="15">
        <f>1/(1+AI4%)^(BG4/365)</f>
        <v>0.91982224363879195</v>
      </c>
      <c r="BI4" s="126">
        <f>BH4*AV4</f>
        <v>53495853.665655516</v>
      </c>
      <c r="BK4" s="15">
        <f>1/(1+AF4%)^(BG4/365)</f>
        <v>0.84978090339661527</v>
      </c>
      <c r="BL4" s="126">
        <f>AV4*BK4</f>
        <v>49422326.074803665</v>
      </c>
      <c r="BN4" s="15">
        <f>1/(1+$BN$1)^(BG4/365)</f>
        <v>0.84850752117699013</v>
      </c>
      <c r="BO4" s="126">
        <f>BN4*AV4</f>
        <v>49348267.560397632</v>
      </c>
      <c r="BT4" t="s">
        <v>877</v>
      </c>
      <c r="BU4">
        <v>1000000000</v>
      </c>
      <c r="BV4" s="20">
        <v>46354</v>
      </c>
      <c r="BW4" s="20">
        <v>46719</v>
      </c>
      <c r="BX4" s="20">
        <v>46720</v>
      </c>
      <c r="BY4" s="20">
        <v>46708</v>
      </c>
      <c r="BZ4">
        <v>365</v>
      </c>
      <c r="CA4">
        <v>55000000</v>
      </c>
      <c r="CB4">
        <v>5.5</v>
      </c>
      <c r="CC4">
        <v>0.87952023980000005</v>
      </c>
      <c r="CD4">
        <v>1000000000</v>
      </c>
      <c r="CE4">
        <v>0</v>
      </c>
      <c r="CF4">
        <v>0</v>
      </c>
      <c r="CG4" t="s">
        <v>878</v>
      </c>
      <c r="CH4" t="s">
        <v>879</v>
      </c>
      <c r="CI4">
        <v>100</v>
      </c>
      <c r="CJ4">
        <f>CA4*CC4</f>
        <v>48373613.189000003</v>
      </c>
    </row>
    <row r="5" spans="1:88" x14ac:dyDescent="0.3">
      <c r="B5" t="s">
        <v>805</v>
      </c>
      <c r="D5" t="s">
        <v>806</v>
      </c>
      <c r="E5" t="s">
        <v>796</v>
      </c>
      <c r="F5" t="s">
        <v>810</v>
      </c>
      <c r="G5" s="20">
        <v>45876</v>
      </c>
      <c r="H5" s="20">
        <v>45937</v>
      </c>
      <c r="I5">
        <v>61</v>
      </c>
      <c r="J5">
        <v>5.0025000000000004</v>
      </c>
      <c r="L5">
        <v>5.0025000000000004</v>
      </c>
      <c r="M5" s="79">
        <v>5.0361740817999996</v>
      </c>
      <c r="N5">
        <v>0.99170897339999997</v>
      </c>
      <c r="O5">
        <v>4.8965159048000002</v>
      </c>
      <c r="R5" t="s">
        <v>805</v>
      </c>
      <c r="S5" t="s">
        <v>806</v>
      </c>
      <c r="T5" t="s">
        <v>810</v>
      </c>
      <c r="U5" s="20">
        <v>45876</v>
      </c>
      <c r="V5" s="20">
        <v>45937</v>
      </c>
      <c r="W5">
        <v>61</v>
      </c>
      <c r="X5">
        <v>2.8628999999999998</v>
      </c>
      <c r="Y5" s="79">
        <v>2.8972497320000001</v>
      </c>
      <c r="Z5">
        <v>0.99523821050000005</v>
      </c>
      <c r="AA5">
        <v>2.9441391124999998</v>
      </c>
      <c r="AC5" s="127">
        <f>BG5</f>
        <v>1045</v>
      </c>
      <c r="AD5" s="127">
        <f>INDEX(W:W,MATCH(AC5,W:W,1))</f>
        <v>732</v>
      </c>
      <c r="AE5" s="127" cm="1">
        <f t="array" ref="AE5">INDEX(W:W,MATCH(AC5,W:W,1)+1)</f>
        <v>1096</v>
      </c>
      <c r="AF5" s="48">
        <f>AG5+(AH5-AG5)*(AC5-AD5)/(AE5-AD5)</f>
        <v>5.8502345860247251</v>
      </c>
      <c r="AG5" s="15">
        <f t="shared" si="0"/>
        <v>5.4924897392999998</v>
      </c>
      <c r="AH5" s="15">
        <f t="shared" si="0"/>
        <v>5.9085252799000001</v>
      </c>
      <c r="AI5" s="48">
        <f>AJ5+(AK5-AJ5)*(AC5-AD5)/(AE5-AD5)</f>
        <v>2.9621452065120879</v>
      </c>
      <c r="AJ5" s="15">
        <f t="shared" si="1"/>
        <v>2.89049187</v>
      </c>
      <c r="AK5" s="15">
        <f t="shared" si="1"/>
        <v>2.9738203508000001</v>
      </c>
      <c r="AO5" t="s">
        <v>880</v>
      </c>
      <c r="AQ5" s="20">
        <v>46554</v>
      </c>
      <c r="AR5" s="20">
        <v>46920</v>
      </c>
      <c r="AS5" s="20">
        <v>46920</v>
      </c>
      <c r="AT5" s="20">
        <v>46913</v>
      </c>
      <c r="AV5" s="96">
        <v>1000000000</v>
      </c>
      <c r="AX5">
        <v>0.91993427500000002</v>
      </c>
      <c r="BA5">
        <v>0</v>
      </c>
      <c r="BB5" t="s">
        <v>878</v>
      </c>
      <c r="BD5">
        <v>100</v>
      </c>
      <c r="BF5" s="126">
        <f>AX5*AV5</f>
        <v>919934275</v>
      </c>
      <c r="BG5" s="15">
        <f>AR5-$BG$1</f>
        <v>1045</v>
      </c>
      <c r="BH5" s="15">
        <f>1/(1+AI5%)^(BG5/365)</f>
        <v>0.91982224363879195</v>
      </c>
      <c r="BI5" s="126">
        <f>BH5*AV5</f>
        <v>919822243.63879192</v>
      </c>
      <c r="BK5" s="15">
        <f>1/(1+AF5%)^(BG5/365)</f>
        <v>0.84978090339661527</v>
      </c>
      <c r="BL5" s="126">
        <f>AV5*BK5</f>
        <v>849780903.39661527</v>
      </c>
      <c r="BN5" s="15">
        <f>1/(1+$BN$1)^(BG5/365)</f>
        <v>0.84850752117699013</v>
      </c>
      <c r="BO5" s="126">
        <f>BN5*AV5</f>
        <v>848507521.17699015</v>
      </c>
      <c r="BT5" t="s">
        <v>880</v>
      </c>
      <c r="BX5" s="20">
        <v>46720</v>
      </c>
      <c r="CA5">
        <v>1000000000</v>
      </c>
      <c r="CC5">
        <v>0.87952023980000005</v>
      </c>
      <c r="CF5">
        <v>0</v>
      </c>
      <c r="CI5">
        <v>100</v>
      </c>
      <c r="CJ5">
        <f>CA5*CC5</f>
        <v>879520239.80000007</v>
      </c>
    </row>
    <row r="6" spans="1:88" x14ac:dyDescent="0.3">
      <c r="B6" t="s">
        <v>805</v>
      </c>
      <c r="C6" s="20">
        <v>45876</v>
      </c>
      <c r="D6" t="s">
        <v>911</v>
      </c>
      <c r="E6" t="s">
        <v>796</v>
      </c>
      <c r="F6" t="s">
        <v>811</v>
      </c>
      <c r="G6" s="20">
        <v>45876</v>
      </c>
      <c r="H6" s="20">
        <v>45968</v>
      </c>
      <c r="I6">
        <v>92</v>
      </c>
      <c r="J6">
        <v>5.0025000000000004</v>
      </c>
      <c r="L6">
        <v>5.0025000000000004</v>
      </c>
      <c r="M6" s="79">
        <v>5.0253173828</v>
      </c>
      <c r="N6">
        <v>0.98754796710000003</v>
      </c>
      <c r="O6">
        <v>4.8788354537999998</v>
      </c>
      <c r="R6" t="s">
        <v>805</v>
      </c>
      <c r="S6" t="s">
        <v>852</v>
      </c>
      <c r="T6" t="s">
        <v>853</v>
      </c>
      <c r="U6" s="20">
        <v>45876</v>
      </c>
      <c r="V6" s="20">
        <v>45968</v>
      </c>
      <c r="W6">
        <v>92</v>
      </c>
      <c r="X6">
        <v>2.8628999999999998</v>
      </c>
      <c r="Y6" s="79">
        <v>2.8936968339</v>
      </c>
      <c r="Z6">
        <v>0.99283562199999997</v>
      </c>
      <c r="AA6">
        <v>3.0483693895999999</v>
      </c>
      <c r="BB6" s="137" t="s">
        <v>889</v>
      </c>
      <c r="BF6" s="126">
        <f>SUM(BF2:BF5)</f>
        <v>1085005499.6246493</v>
      </c>
      <c r="BI6" s="126">
        <f>SUM(BI2:BI5)</f>
        <v>1084899387.1541574</v>
      </c>
      <c r="BL6" s="126">
        <f>SUM(BL2:BL5)</f>
        <v>1007326809.1352985</v>
      </c>
      <c r="BO6" s="126">
        <f>SUM(BO2:BO5)</f>
        <v>1005190357.6637661</v>
      </c>
      <c r="CJ6">
        <f>SUM(CJ2:CJ5)</f>
        <v>1033408760.4430001</v>
      </c>
    </row>
    <row r="7" spans="1:88" x14ac:dyDescent="0.3">
      <c r="B7" t="s">
        <v>805</v>
      </c>
      <c r="D7" t="s">
        <v>806</v>
      </c>
      <c r="E7" t="s">
        <v>796</v>
      </c>
      <c r="F7" t="s">
        <v>812</v>
      </c>
      <c r="G7" s="20">
        <v>45876</v>
      </c>
      <c r="H7" s="20">
        <v>45999</v>
      </c>
      <c r="I7">
        <v>123</v>
      </c>
      <c r="J7">
        <v>5.0035780000000001</v>
      </c>
      <c r="L7">
        <v>5.0035780000000001</v>
      </c>
      <c r="M7" s="79">
        <v>5.0156206225000002</v>
      </c>
      <c r="N7">
        <v>0.98341821870000001</v>
      </c>
      <c r="O7">
        <v>4.9414949406000002</v>
      </c>
      <c r="R7" t="s">
        <v>805</v>
      </c>
      <c r="S7" t="s">
        <v>806</v>
      </c>
      <c r="T7" t="s">
        <v>812</v>
      </c>
      <c r="U7" s="20">
        <v>45876</v>
      </c>
      <c r="V7" s="20">
        <v>45999</v>
      </c>
      <c r="W7">
        <v>123</v>
      </c>
      <c r="X7">
        <v>2.904585</v>
      </c>
      <c r="Y7" s="79">
        <v>2.9326413378999998</v>
      </c>
      <c r="Z7">
        <v>0.99030682339999998</v>
      </c>
      <c r="AA7">
        <v>3.0487638486000002</v>
      </c>
      <c r="BB7" s="137" t="s">
        <v>892</v>
      </c>
      <c r="BF7" s="126">
        <f>AV2*(BG1-AQ2)/365</f>
        <v>8104109.5890410962</v>
      </c>
      <c r="BI7" s="126">
        <f>BF7</f>
        <v>8104109.5890410962</v>
      </c>
      <c r="BL7" s="126">
        <f>AV2*(BG1-AQ2)/365</f>
        <v>8104109.5890410962</v>
      </c>
      <c r="BO7" s="126">
        <f>BF7</f>
        <v>8104109.5890410962</v>
      </c>
      <c r="CJ7" s="135">
        <f>BL20</f>
        <v>37821917.80821918</v>
      </c>
    </row>
    <row r="8" spans="1:88" x14ac:dyDescent="0.3">
      <c r="B8" t="s">
        <v>805</v>
      </c>
      <c r="D8" t="s">
        <v>806</v>
      </c>
      <c r="E8" t="s">
        <v>796</v>
      </c>
      <c r="F8" t="s">
        <v>813</v>
      </c>
      <c r="G8" s="20">
        <v>45876</v>
      </c>
      <c r="H8" s="20">
        <v>46029</v>
      </c>
      <c r="I8">
        <v>153</v>
      </c>
      <c r="J8">
        <v>5.0046220000000003</v>
      </c>
      <c r="L8">
        <v>5.0046220000000003</v>
      </c>
      <c r="M8" s="79">
        <v>5.0062859849999999</v>
      </c>
      <c r="N8">
        <v>0.979452769</v>
      </c>
      <c r="O8">
        <v>5.0335445603000002</v>
      </c>
      <c r="R8" t="s">
        <v>805</v>
      </c>
      <c r="S8" t="s">
        <v>806</v>
      </c>
      <c r="T8" t="s">
        <v>813</v>
      </c>
      <c r="U8" s="20">
        <v>45876</v>
      </c>
      <c r="V8" s="20">
        <v>46029</v>
      </c>
      <c r="W8">
        <v>153</v>
      </c>
      <c r="X8">
        <v>2.9449260000000002</v>
      </c>
      <c r="Y8" s="79">
        <v>2.9701515621999999</v>
      </c>
      <c r="Z8">
        <v>0.98780604569999997</v>
      </c>
      <c r="AA8">
        <v>3.0254911285000001</v>
      </c>
      <c r="BB8" s="137" t="s">
        <v>890</v>
      </c>
      <c r="BF8" s="126">
        <f>BF6-BF7</f>
        <v>1076901390.0356083</v>
      </c>
      <c r="BI8" s="134">
        <f>BI6-BI7</f>
        <v>1076795277.5651164</v>
      </c>
      <c r="BL8" s="134">
        <f>BL6-BL7</f>
        <v>999222699.54625738</v>
      </c>
      <c r="BM8" s="132"/>
      <c r="BO8" s="134">
        <f>BO6-BO7</f>
        <v>997086248.07472503</v>
      </c>
      <c r="CJ8" s="135">
        <f>CJ6-CJ7</f>
        <v>995586842.63478088</v>
      </c>
    </row>
    <row r="9" spans="1:88" x14ac:dyDescent="0.3">
      <c r="B9" t="s">
        <v>805</v>
      </c>
      <c r="C9" s="20">
        <v>45876</v>
      </c>
      <c r="D9" t="s">
        <v>911</v>
      </c>
      <c r="E9" t="s">
        <v>796</v>
      </c>
      <c r="F9" t="s">
        <v>814</v>
      </c>
      <c r="G9" s="20">
        <v>45876</v>
      </c>
      <c r="H9" s="20">
        <v>46062</v>
      </c>
      <c r="I9">
        <v>186</v>
      </c>
      <c r="J9">
        <v>5.0057689999999999</v>
      </c>
      <c r="L9">
        <v>5.0057689999999999</v>
      </c>
      <c r="M9" s="79">
        <v>4.9960734110000002</v>
      </c>
      <c r="N9">
        <v>0.97512566430000003</v>
      </c>
      <c r="O9">
        <v>5.1582701665000004</v>
      </c>
      <c r="R9" t="s">
        <v>805</v>
      </c>
      <c r="S9" t="s">
        <v>852</v>
      </c>
      <c r="T9" t="s">
        <v>854</v>
      </c>
      <c r="U9" s="20">
        <v>45876</v>
      </c>
      <c r="V9" s="20">
        <v>46062</v>
      </c>
      <c r="W9">
        <v>186</v>
      </c>
      <c r="X9">
        <v>2.9893000000000001</v>
      </c>
      <c r="Y9" s="79">
        <v>3.0112071812000001</v>
      </c>
      <c r="Z9">
        <v>0.98499542169999998</v>
      </c>
      <c r="AA9">
        <v>2.9516201283000001</v>
      </c>
      <c r="BB9" s="137" t="s">
        <v>893</v>
      </c>
      <c r="BF9" s="136" t="e">
        <f>BF11+_xlfn.XLOOKUP(AM1,FNRP!D:D,FNRP!S:S,,0)/100*AV5</f>
        <v>#N/A</v>
      </c>
      <c r="BI9" s="136" t="e">
        <f>BF9</f>
        <v>#N/A</v>
      </c>
      <c r="BL9" s="136">
        <f>BL11+_xlfn.XLOOKUP($AM$1,'FNRP fibond'!A:A,'FNRP fibond'!X:X,,0)*AV5/100</f>
        <v>1005345374.547936</v>
      </c>
      <c r="BM9" s="132"/>
      <c r="BO9" s="136">
        <f>BL9</f>
        <v>1005345374.547936</v>
      </c>
    </row>
    <row r="10" spans="1:88" x14ac:dyDescent="0.3">
      <c r="B10" t="s">
        <v>805</v>
      </c>
      <c r="D10" t="s">
        <v>806</v>
      </c>
      <c r="E10" t="s">
        <v>796</v>
      </c>
      <c r="F10" t="s">
        <v>815</v>
      </c>
      <c r="G10" s="20">
        <v>45876</v>
      </c>
      <c r="H10" s="20">
        <v>46090</v>
      </c>
      <c r="I10">
        <v>214</v>
      </c>
      <c r="J10">
        <v>5.0422859999999998</v>
      </c>
      <c r="L10">
        <v>5.0422859999999998</v>
      </c>
      <c r="M10" s="79">
        <v>5.0232103712000002</v>
      </c>
      <c r="N10">
        <v>0.97128588559999995</v>
      </c>
      <c r="O10">
        <v>5.1810753166000003</v>
      </c>
      <c r="R10" t="s">
        <v>805</v>
      </c>
      <c r="S10" t="s">
        <v>806</v>
      </c>
      <c r="T10" t="s">
        <v>815</v>
      </c>
      <c r="U10" s="20">
        <v>45876</v>
      </c>
      <c r="V10" s="20">
        <v>46090</v>
      </c>
      <c r="W10">
        <v>214</v>
      </c>
      <c r="X10">
        <v>2.9967670000000002</v>
      </c>
      <c r="Y10" s="79">
        <v>3.0153111498</v>
      </c>
      <c r="Z10">
        <v>0.98273329350000005</v>
      </c>
      <c r="AA10">
        <v>2.7651891259000001</v>
      </c>
      <c r="BB10" s="137" t="s">
        <v>891</v>
      </c>
      <c r="BF10" s="126" t="e">
        <f>BF6-BF9</f>
        <v>#N/A</v>
      </c>
      <c r="BG10" s="138" t="e">
        <f>BF10/$AV$5</f>
        <v>#N/A</v>
      </c>
      <c r="BH10" s="138"/>
      <c r="BI10" s="126" t="e">
        <f>BI6-BI9</f>
        <v>#N/A</v>
      </c>
      <c r="BJ10" s="138" t="e">
        <f>BI10/$AV$5</f>
        <v>#N/A</v>
      </c>
      <c r="BK10" s="138"/>
      <c r="BL10" s="126">
        <f>BL6-BL9</f>
        <v>1981434.5873625278</v>
      </c>
      <c r="BM10" s="138">
        <f>BL10/$AV$5</f>
        <v>1.9814345873625278E-3</v>
      </c>
      <c r="BO10" s="126">
        <f>BO6-BO9</f>
        <v>-155016.88416981697</v>
      </c>
      <c r="BP10" s="138">
        <f>BO10/$AV$5</f>
        <v>-1.5501688416981696E-4</v>
      </c>
    </row>
    <row r="11" spans="1:88" x14ac:dyDescent="0.3">
      <c r="B11" t="s">
        <v>805</v>
      </c>
      <c r="D11" t="s">
        <v>806</v>
      </c>
      <c r="E11" t="s">
        <v>796</v>
      </c>
      <c r="F11" t="s">
        <v>816</v>
      </c>
      <c r="G11" s="20">
        <v>45876</v>
      </c>
      <c r="H11" s="20">
        <v>46120</v>
      </c>
      <c r="I11">
        <v>244</v>
      </c>
      <c r="J11">
        <v>5.08141</v>
      </c>
      <c r="L11">
        <v>5.08141</v>
      </c>
      <c r="M11" s="79">
        <v>5.0520327228999999</v>
      </c>
      <c r="N11">
        <v>0.96714709679999999</v>
      </c>
      <c r="O11">
        <v>5.1983968470999997</v>
      </c>
      <c r="R11" t="s">
        <v>805</v>
      </c>
      <c r="S11" t="s">
        <v>806</v>
      </c>
      <c r="T11" t="s">
        <v>816</v>
      </c>
      <c r="U11" s="20">
        <v>45876</v>
      </c>
      <c r="V11" s="20">
        <v>46120</v>
      </c>
      <c r="W11">
        <v>244</v>
      </c>
      <c r="X11">
        <v>3.0047670000000002</v>
      </c>
      <c r="Y11" s="79">
        <v>3.0196817847999999</v>
      </c>
      <c r="Z11">
        <v>0.98030886969999997</v>
      </c>
      <c r="AA11">
        <v>2.5382006154000001</v>
      </c>
      <c r="BB11" s="137" t="s">
        <v>894</v>
      </c>
      <c r="BF11" s="136" t="e">
        <f>_xlfn.XLOOKUP(AM1,FNRP!D:D,FNRP!H:H,,0)/100*AV5</f>
        <v>#N/A</v>
      </c>
      <c r="BI11" s="136" t="e">
        <f>BF11</f>
        <v>#N/A</v>
      </c>
      <c r="BL11" s="136">
        <f>_xlfn.XLOOKUP($AM$1,'FNRP fibond'!A:A,'FNRP fibond'!H:H,,0)*AV5/100</f>
        <v>997085374.54793596</v>
      </c>
      <c r="BO11" s="136">
        <f>BL11</f>
        <v>997085374.54793596</v>
      </c>
    </row>
    <row r="12" spans="1:88" x14ac:dyDescent="0.3">
      <c r="B12" t="s">
        <v>805</v>
      </c>
      <c r="C12" s="20">
        <v>45876</v>
      </c>
      <c r="D12" t="s">
        <v>911</v>
      </c>
      <c r="E12" t="s">
        <v>796</v>
      </c>
      <c r="F12" t="s">
        <v>817</v>
      </c>
      <c r="G12" s="20">
        <v>45876</v>
      </c>
      <c r="H12" s="20">
        <v>46149</v>
      </c>
      <c r="I12">
        <v>273</v>
      </c>
      <c r="J12">
        <v>5.1192310000000001</v>
      </c>
      <c r="L12">
        <v>5.1192310000000001</v>
      </c>
      <c r="M12" s="79">
        <v>5.0796452686000002</v>
      </c>
      <c r="N12">
        <v>0.96312294590000003</v>
      </c>
      <c r="O12">
        <v>5.2107921013</v>
      </c>
      <c r="R12" t="s">
        <v>805</v>
      </c>
      <c r="S12" t="s">
        <v>852</v>
      </c>
      <c r="T12" t="s">
        <v>855</v>
      </c>
      <c r="U12" s="20">
        <v>45876</v>
      </c>
      <c r="V12" s="20">
        <v>46149</v>
      </c>
      <c r="W12">
        <v>273</v>
      </c>
      <c r="X12">
        <v>3.0125000000000002</v>
      </c>
      <c r="Y12" s="79">
        <v>3.0238807581999998</v>
      </c>
      <c r="Z12">
        <v>0.97796464790000004</v>
      </c>
      <c r="AA12">
        <v>2.2762491222999999</v>
      </c>
      <c r="BB12" s="137" t="s">
        <v>891</v>
      </c>
      <c r="BF12" s="126" t="e">
        <f>BF8-BF11</f>
        <v>#N/A</v>
      </c>
      <c r="BG12" s="138" t="e">
        <f>BF12/$AV$5</f>
        <v>#N/A</v>
      </c>
      <c r="BH12" s="138"/>
      <c r="BI12" s="126" t="e">
        <f>BI8-BI11</f>
        <v>#N/A</v>
      </c>
      <c r="BJ12" s="138" t="e">
        <f>BI12/$AV$5</f>
        <v>#N/A</v>
      </c>
      <c r="BK12" s="138"/>
      <c r="BL12" s="126">
        <f>BL8-BL11</f>
        <v>2137324.998321414</v>
      </c>
      <c r="BM12" s="138">
        <f>BL12/$AV$5</f>
        <v>2.1373249983214142E-3</v>
      </c>
      <c r="BO12" s="126">
        <f>BO8-BO11</f>
        <v>873.52678906917572</v>
      </c>
      <c r="BP12" s="138">
        <f>BO12/$AV$5</f>
        <v>8.7352678906917576E-7</v>
      </c>
    </row>
    <row r="13" spans="1:88" x14ac:dyDescent="0.3">
      <c r="B13" t="s">
        <v>805</v>
      </c>
      <c r="D13" t="s">
        <v>806</v>
      </c>
      <c r="E13" t="s">
        <v>796</v>
      </c>
      <c r="F13" t="s">
        <v>818</v>
      </c>
      <c r="G13" s="20">
        <v>45876</v>
      </c>
      <c r="H13" s="20">
        <v>46181</v>
      </c>
      <c r="I13">
        <v>305</v>
      </c>
      <c r="J13">
        <v>5.151338</v>
      </c>
      <c r="L13">
        <v>5.151338</v>
      </c>
      <c r="M13" s="79">
        <v>5.1002632475</v>
      </c>
      <c r="N13">
        <v>0.95873101559999996</v>
      </c>
      <c r="O13">
        <v>5.2929822769000001</v>
      </c>
      <c r="R13" t="s">
        <v>805</v>
      </c>
      <c r="S13" t="s">
        <v>806</v>
      </c>
      <c r="T13" t="s">
        <v>818</v>
      </c>
      <c r="U13" s="20">
        <v>45876</v>
      </c>
      <c r="V13" s="20">
        <v>46181</v>
      </c>
      <c r="W13">
        <v>305</v>
      </c>
      <c r="X13">
        <v>2.9552830000000001</v>
      </c>
      <c r="Y13" s="79">
        <v>2.9624140442</v>
      </c>
      <c r="Z13">
        <v>0.97590031040000003</v>
      </c>
      <c r="AA13">
        <v>2.4290203329</v>
      </c>
    </row>
    <row r="14" spans="1:88" x14ac:dyDescent="0.3">
      <c r="B14" t="s">
        <v>805</v>
      </c>
      <c r="D14" t="s">
        <v>806</v>
      </c>
      <c r="E14" t="s">
        <v>796</v>
      </c>
      <c r="F14" t="s">
        <v>819</v>
      </c>
      <c r="G14" s="20">
        <v>45876</v>
      </c>
      <c r="H14" s="20">
        <v>46210</v>
      </c>
      <c r="I14">
        <v>334</v>
      </c>
      <c r="J14">
        <v>5.1804350000000001</v>
      </c>
      <c r="L14">
        <v>5.1804350000000001</v>
      </c>
      <c r="M14" s="79">
        <v>5.1187630098000003</v>
      </c>
      <c r="N14">
        <v>0.95474095699999995</v>
      </c>
      <c r="O14">
        <v>5.3740446049999999</v>
      </c>
      <c r="R14" t="s">
        <v>805</v>
      </c>
      <c r="S14" t="s">
        <v>806</v>
      </c>
      <c r="T14" t="s">
        <v>819</v>
      </c>
      <c r="U14" s="20">
        <v>45876</v>
      </c>
      <c r="V14" s="20">
        <v>46210</v>
      </c>
      <c r="W14">
        <v>334</v>
      </c>
      <c r="X14">
        <v>2.903429</v>
      </c>
      <c r="Y14" s="79">
        <v>2.9069807671999999</v>
      </c>
      <c r="Z14">
        <v>0.97411924230000002</v>
      </c>
      <c r="AA14">
        <v>2.6044344344999999</v>
      </c>
      <c r="AM14" s="19" t="s">
        <v>393</v>
      </c>
      <c r="AN14" t="s">
        <v>861</v>
      </c>
      <c r="AO14" t="s">
        <v>862</v>
      </c>
      <c r="AP14" s="96" t="s">
        <v>863</v>
      </c>
      <c r="AQ14" t="s">
        <v>864</v>
      </c>
      <c r="AR14" t="s">
        <v>865</v>
      </c>
      <c r="AS14" t="s">
        <v>866</v>
      </c>
      <c r="AT14" t="s">
        <v>867</v>
      </c>
      <c r="AU14" t="s">
        <v>290</v>
      </c>
      <c r="AV14" s="96" t="s">
        <v>868</v>
      </c>
      <c r="AW14" t="s">
        <v>869</v>
      </c>
      <c r="AX14" t="s">
        <v>870</v>
      </c>
      <c r="AY14" t="s">
        <v>726</v>
      </c>
      <c r="AZ14" t="s">
        <v>871</v>
      </c>
      <c r="BA14" t="s">
        <v>872</v>
      </c>
      <c r="BB14" t="s">
        <v>873</v>
      </c>
      <c r="BC14" t="s">
        <v>874</v>
      </c>
      <c r="BD14" t="s">
        <v>875</v>
      </c>
      <c r="BE14" t="s">
        <v>876</v>
      </c>
      <c r="BF14" s="133" t="s">
        <v>895</v>
      </c>
      <c r="BG14" s="145">
        <f>$BG$1</f>
        <v>45875</v>
      </c>
      <c r="BH14" s="129" t="s">
        <v>887</v>
      </c>
      <c r="BI14" s="133" t="s">
        <v>886</v>
      </c>
      <c r="BJ14" s="129"/>
      <c r="BK14" s="129" t="s">
        <v>888</v>
      </c>
      <c r="BL14" s="133" t="s">
        <v>886</v>
      </c>
      <c r="BN14" s="148">
        <f>_xlfn.XLOOKUP($AM$14,'FNRP fibond'!A:A,'FNRP fibond'!AM:AM,,0)%</f>
        <v>5.6953696210000002E-2</v>
      </c>
      <c r="BO14" s="133" t="s">
        <v>896</v>
      </c>
    </row>
    <row r="15" spans="1:88" x14ac:dyDescent="0.3">
      <c r="B15" t="s">
        <v>820</v>
      </c>
      <c r="C15" s="20">
        <v>45876</v>
      </c>
      <c r="D15" t="s">
        <v>911</v>
      </c>
      <c r="E15" t="s">
        <v>796</v>
      </c>
      <c r="F15" t="s">
        <v>821</v>
      </c>
      <c r="G15" s="20">
        <v>45876</v>
      </c>
      <c r="H15" s="20">
        <v>46241</v>
      </c>
      <c r="I15">
        <v>365</v>
      </c>
      <c r="J15">
        <v>5.211538</v>
      </c>
      <c r="L15">
        <v>5.211538</v>
      </c>
      <c r="M15" s="79">
        <v>5.1383442122999998</v>
      </c>
      <c r="N15">
        <v>0.95046609400000004</v>
      </c>
      <c r="O15">
        <v>5.4704831641</v>
      </c>
      <c r="R15" t="s">
        <v>820</v>
      </c>
      <c r="S15" t="s">
        <v>852</v>
      </c>
      <c r="T15" t="s">
        <v>856</v>
      </c>
      <c r="U15" s="20">
        <v>45876</v>
      </c>
      <c r="V15" s="20">
        <v>46241</v>
      </c>
      <c r="W15">
        <v>365</v>
      </c>
      <c r="X15">
        <v>2.8479999999999999</v>
      </c>
      <c r="Y15" s="79">
        <v>2.8479999999999999</v>
      </c>
      <c r="Z15">
        <v>0.97230864969999997</v>
      </c>
      <c r="AA15">
        <v>2.8311045083000002</v>
      </c>
      <c r="AC15" s="127">
        <f>BG15</f>
        <v>114</v>
      </c>
      <c r="AD15" s="127">
        <f>INDEX(W:W,MATCH(AC15,W:W,1))</f>
        <v>92</v>
      </c>
      <c r="AE15" s="127" cm="1">
        <f t="array" ref="AE15">INDEX(W:W,MATCH(AC15,W:W,1)+1)</f>
        <v>123</v>
      </c>
      <c r="AF15" s="48">
        <f>AG15+(AH15-AG15)*(AC15-AD15)/(AE15-AD15)</f>
        <v>5.0184358109741938</v>
      </c>
      <c r="AG15" s="15">
        <f t="shared" ref="AG15:AH18" si="2">_xlfn.XLOOKUP(AD15,$I:$I,$M:$M,,0)</f>
        <v>5.0253173828</v>
      </c>
      <c r="AH15" s="15">
        <f t="shared" si="2"/>
        <v>5.0156206225000002</v>
      </c>
      <c r="AI15" s="48">
        <f>AJ15+(AK15-AJ15)*(AC15-AD15)/(AE15-AD15)</f>
        <v>2.921334868996774</v>
      </c>
      <c r="AJ15" s="15">
        <f t="shared" ref="AJ15:AK18" si="3">_xlfn.XLOOKUP(AD15,$W:$W,$Y:$Y,,0)</f>
        <v>2.8936968339</v>
      </c>
      <c r="AK15" s="15">
        <f t="shared" si="3"/>
        <v>2.9326413378999998</v>
      </c>
      <c r="AO15" t="s">
        <v>877</v>
      </c>
      <c r="AP15" s="96">
        <v>1000000000</v>
      </c>
      <c r="AQ15" s="20">
        <v>45624</v>
      </c>
      <c r="AR15" s="20">
        <v>45989</v>
      </c>
      <c r="AS15" s="20">
        <v>45989</v>
      </c>
      <c r="AT15" s="20">
        <v>45979</v>
      </c>
      <c r="AU15">
        <v>365</v>
      </c>
      <c r="AV15" s="96">
        <v>55000000</v>
      </c>
      <c r="AW15">
        <v>5.5</v>
      </c>
      <c r="AX15">
        <v>0.99144933329999996</v>
      </c>
      <c r="AY15">
        <v>0</v>
      </c>
      <c r="AZ15">
        <v>1000</v>
      </c>
      <c r="BA15">
        <v>0</v>
      </c>
      <c r="BB15" t="s">
        <v>878</v>
      </c>
      <c r="BC15" t="s">
        <v>879</v>
      </c>
      <c r="BD15">
        <v>0</v>
      </c>
      <c r="BF15" s="126">
        <f>AX15*AV15</f>
        <v>54529713.331500001</v>
      </c>
      <c r="BG15" s="15">
        <f>AR15-$BG$1</f>
        <v>114</v>
      </c>
      <c r="BH15" s="15">
        <f>1/(1+AI15%)^(BG15/365)</f>
        <v>0.99104688455579704</v>
      </c>
      <c r="BI15" s="126">
        <f>BH15*AV15</f>
        <v>54507578.650568835</v>
      </c>
      <c r="BK15" s="15">
        <f>1/(1+AF15%)^(BG15/365)</f>
        <v>0.98482294480998533</v>
      </c>
      <c r="BL15" s="126">
        <f>AV15*BK15</f>
        <v>54165261.964549191</v>
      </c>
      <c r="BN15" s="15">
        <f>1/(1+$BN$14)^(BG15/365)</f>
        <v>0.98284861746948338</v>
      </c>
      <c r="BO15" s="126">
        <f>BN15*AV15</f>
        <v>54056673.960821584</v>
      </c>
    </row>
    <row r="16" spans="1:88" x14ac:dyDescent="0.3">
      <c r="B16" t="s">
        <v>820</v>
      </c>
      <c r="C16" s="20">
        <v>45876</v>
      </c>
      <c r="D16" t="s">
        <v>911</v>
      </c>
      <c r="E16" t="s">
        <v>796</v>
      </c>
      <c r="F16" t="s">
        <v>822</v>
      </c>
      <c r="G16" s="20">
        <v>45876</v>
      </c>
      <c r="H16" s="20">
        <v>46608</v>
      </c>
      <c r="I16">
        <v>732</v>
      </c>
      <c r="J16">
        <v>5.5615379999999996</v>
      </c>
      <c r="L16">
        <v>5.5615379999999996</v>
      </c>
      <c r="M16" s="79">
        <v>5.4924897392999998</v>
      </c>
      <c r="N16">
        <v>0.89698021549999996</v>
      </c>
      <c r="O16">
        <v>6.2892804964</v>
      </c>
      <c r="R16" t="s">
        <v>820</v>
      </c>
      <c r="S16" t="s">
        <v>852</v>
      </c>
      <c r="T16" t="s">
        <v>857</v>
      </c>
      <c r="U16" s="20">
        <v>45876</v>
      </c>
      <c r="V16" s="20">
        <v>46608</v>
      </c>
      <c r="W16">
        <v>732</v>
      </c>
      <c r="X16">
        <v>2.89</v>
      </c>
      <c r="Y16" s="79">
        <v>2.89049187</v>
      </c>
      <c r="Z16">
        <v>0.94445594290000001</v>
      </c>
      <c r="AA16">
        <v>3.0027376754000001</v>
      </c>
      <c r="AC16" s="127">
        <f>BG16</f>
        <v>479</v>
      </c>
      <c r="AD16" s="127">
        <f>INDEX(W:W,MATCH(AC16,W:W,1))</f>
        <v>365</v>
      </c>
      <c r="AE16" s="127" cm="1">
        <f t="array" ref="AE16">INDEX(W:W,MATCH(AC16,W:W,1)+1)</f>
        <v>732</v>
      </c>
      <c r="AF16" s="48">
        <f>AG16+(AH16-AG16)*(AC16-AD16)/(AE16-AD16)</f>
        <v>5.2483512697332424</v>
      </c>
      <c r="AG16" s="15">
        <f t="shared" si="2"/>
        <v>5.1383442122999998</v>
      </c>
      <c r="AH16" s="15">
        <f t="shared" si="2"/>
        <v>5.4924897392999998</v>
      </c>
      <c r="AI16" s="48">
        <f>AJ16+(AK16-AJ16)*(AC16-AD16)/(AE16-AD16)</f>
        <v>2.8611991094822886</v>
      </c>
      <c r="AJ16" s="15">
        <f t="shared" si="3"/>
        <v>2.8479999999999999</v>
      </c>
      <c r="AK16" s="15">
        <f t="shared" si="3"/>
        <v>2.89049187</v>
      </c>
      <c r="AO16" t="s">
        <v>877</v>
      </c>
      <c r="AP16" s="96">
        <v>1000000000</v>
      </c>
      <c r="AQ16" s="20">
        <v>45989</v>
      </c>
      <c r="AR16" s="20">
        <v>46354</v>
      </c>
      <c r="AS16" s="20">
        <v>46356</v>
      </c>
      <c r="AT16" s="20">
        <v>46344</v>
      </c>
      <c r="AU16">
        <v>365</v>
      </c>
      <c r="AV16" s="96">
        <v>55000000</v>
      </c>
      <c r="AW16">
        <v>5.5</v>
      </c>
      <c r="AX16">
        <v>0.96342661780000005</v>
      </c>
      <c r="AY16">
        <v>0</v>
      </c>
      <c r="AZ16">
        <v>1000</v>
      </c>
      <c r="BA16">
        <v>0</v>
      </c>
      <c r="BB16" t="s">
        <v>878</v>
      </c>
      <c r="BC16" t="s">
        <v>879</v>
      </c>
      <c r="BD16">
        <v>0</v>
      </c>
      <c r="BF16" s="126">
        <f>AX16*AV16</f>
        <v>52988463.979000002</v>
      </c>
      <c r="BG16" s="15">
        <f>AR16-$BG$1</f>
        <v>479</v>
      </c>
      <c r="BH16" s="15">
        <f>1/(1+AI16%)^(BG16/365)</f>
        <v>0.96365570183925431</v>
      </c>
      <c r="BI16" s="126">
        <f>BH16*AV16</f>
        <v>53001063.601158984</v>
      </c>
      <c r="BK16" s="15">
        <f>1/(1+AF16%)^(BG16/365)</f>
        <v>0.93507451584155954</v>
      </c>
      <c r="BL16" s="126">
        <f>AV16*BK16</f>
        <v>51429098.371285774</v>
      </c>
      <c r="BN16" s="15">
        <f>1/(1+$BN$14)^(BG16/365)</f>
        <v>0.92988805563929533</v>
      </c>
      <c r="BO16" s="126">
        <f>BN16*AV16</f>
        <v>51143843.06016124</v>
      </c>
    </row>
    <row r="17" spans="2:68" x14ac:dyDescent="0.3">
      <c r="B17" t="s">
        <v>820</v>
      </c>
      <c r="C17" s="20">
        <v>45876</v>
      </c>
      <c r="D17" t="s">
        <v>911</v>
      </c>
      <c r="E17" t="s">
        <v>796</v>
      </c>
      <c r="F17" t="s">
        <v>823</v>
      </c>
      <c r="G17" s="20">
        <v>45876</v>
      </c>
      <c r="H17" s="20">
        <v>46972</v>
      </c>
      <c r="I17">
        <v>1096</v>
      </c>
      <c r="J17">
        <v>5.961538</v>
      </c>
      <c r="L17">
        <v>5.961538</v>
      </c>
      <c r="M17" s="79">
        <v>5.9085252799000001</v>
      </c>
      <c r="N17">
        <v>0.83965174870000003</v>
      </c>
      <c r="O17">
        <v>5.7587118007999996</v>
      </c>
      <c r="R17" t="s">
        <v>820</v>
      </c>
      <c r="S17" t="s">
        <v>852</v>
      </c>
      <c r="T17" t="s">
        <v>858</v>
      </c>
      <c r="U17" s="20">
        <v>45876</v>
      </c>
      <c r="V17" s="20">
        <v>46972</v>
      </c>
      <c r="W17">
        <v>1096</v>
      </c>
      <c r="X17">
        <v>2.9710000000000001</v>
      </c>
      <c r="Y17" s="79">
        <v>2.9738203508000001</v>
      </c>
      <c r="Z17">
        <v>0.91576629590000003</v>
      </c>
      <c r="AA17">
        <v>3.3798670944999998</v>
      </c>
      <c r="AC17" s="127">
        <f>BG17</f>
        <v>844</v>
      </c>
      <c r="AD17" s="127">
        <f>INDEX(W:W,MATCH(AC17,W:W,1))</f>
        <v>732</v>
      </c>
      <c r="AE17" s="127" cm="1">
        <f t="array" ref="AE17">INDEX(W:W,MATCH(AC17,W:W,1)+1)</f>
        <v>1096</v>
      </c>
      <c r="AF17" s="48">
        <f>AG17+(AH17-AG17)*(AC17-AD17)/(AE17-AD17)</f>
        <v>5.6205006748692306</v>
      </c>
      <c r="AG17" s="15">
        <f t="shared" si="2"/>
        <v>5.4924897392999998</v>
      </c>
      <c r="AH17" s="15">
        <f t="shared" si="2"/>
        <v>5.9085252799000001</v>
      </c>
      <c r="AI17" s="48">
        <f>AJ17+(AK17-AJ17)*(AC17-AD17)/(AE17-AD17)</f>
        <v>2.9161314025538463</v>
      </c>
      <c r="AJ17" s="15">
        <f t="shared" si="3"/>
        <v>2.89049187</v>
      </c>
      <c r="AK17" s="15">
        <f t="shared" si="3"/>
        <v>2.9738203508000001</v>
      </c>
      <c r="AO17" t="s">
        <v>877</v>
      </c>
      <c r="AP17" s="96">
        <v>1000000000</v>
      </c>
      <c r="AQ17" s="20">
        <v>46354</v>
      </c>
      <c r="AR17" s="20">
        <v>46719</v>
      </c>
      <c r="AS17" s="20">
        <v>46720</v>
      </c>
      <c r="AT17" s="20">
        <v>46708</v>
      </c>
      <c r="AU17">
        <v>365</v>
      </c>
      <c r="AV17" s="96">
        <v>55000000</v>
      </c>
      <c r="AW17">
        <v>5.5</v>
      </c>
      <c r="AX17">
        <v>0.93558785</v>
      </c>
      <c r="AY17">
        <v>1000000000</v>
      </c>
      <c r="AZ17">
        <v>0</v>
      </c>
      <c r="BA17">
        <v>0</v>
      </c>
      <c r="BB17" t="s">
        <v>878</v>
      </c>
      <c r="BC17" t="s">
        <v>879</v>
      </c>
      <c r="BD17">
        <v>100</v>
      </c>
      <c r="BF17" s="126">
        <f>AX17*AV17</f>
        <v>51457331.75</v>
      </c>
      <c r="BG17" s="15">
        <f>AR17-$BG$1</f>
        <v>844</v>
      </c>
      <c r="BH17" s="15">
        <f>1/(1+AI17%)^(BG17/365)</f>
        <v>0.93569466432767368</v>
      </c>
      <c r="BI17" s="126">
        <f>BH17*AV17</f>
        <v>51463206.538022049</v>
      </c>
      <c r="BK17" s="15">
        <f>1/(1+AF17%)^(BG17/365)</f>
        <v>0.88122397333974656</v>
      </c>
      <c r="BL17" s="126">
        <f>AV17*BK17</f>
        <v>48467318.533686064</v>
      </c>
      <c r="BN17" s="15">
        <f>1/(1+$BN$14)^(BG17/365)</f>
        <v>0.8797812609707184</v>
      </c>
      <c r="BO17" s="126">
        <f>BN17*AV17</f>
        <v>48387969.353389509</v>
      </c>
    </row>
    <row r="18" spans="2:68" x14ac:dyDescent="0.3">
      <c r="B18" t="s">
        <v>824</v>
      </c>
      <c r="D18" t="s">
        <v>806</v>
      </c>
      <c r="E18" t="s">
        <v>796</v>
      </c>
      <c r="F18" t="s">
        <v>825</v>
      </c>
      <c r="G18" s="20">
        <v>45876</v>
      </c>
      <c r="H18" s="20">
        <v>47337</v>
      </c>
      <c r="I18">
        <v>1461</v>
      </c>
      <c r="J18">
        <v>5.961538</v>
      </c>
      <c r="L18">
        <v>5.961538</v>
      </c>
      <c r="M18" s="79">
        <v>5.9007783188999996</v>
      </c>
      <c r="N18">
        <v>0.79241181370000002</v>
      </c>
      <c r="O18">
        <v>5.7564919682999998</v>
      </c>
      <c r="R18" t="s">
        <v>820</v>
      </c>
      <c r="S18" t="s">
        <v>852</v>
      </c>
      <c r="T18" t="s">
        <v>825</v>
      </c>
      <c r="U18" s="20">
        <v>45876</v>
      </c>
      <c r="V18" s="20">
        <v>47337</v>
      </c>
      <c r="W18">
        <v>1461</v>
      </c>
      <c r="X18">
        <v>3.117</v>
      </c>
      <c r="Y18" s="79">
        <v>3.1262264519</v>
      </c>
      <c r="Z18">
        <v>0.88407043279999997</v>
      </c>
      <c r="AA18">
        <v>3.6861610410000001</v>
      </c>
      <c r="AC18" s="127">
        <f>BG18</f>
        <v>844</v>
      </c>
      <c r="AD18" s="127">
        <f>INDEX(W:W,MATCH(AC18,W:W,1))</f>
        <v>732</v>
      </c>
      <c r="AE18" s="127" cm="1">
        <f t="array" ref="AE18">INDEX(W:W,MATCH(AC18,W:W,1)+1)</f>
        <v>1096</v>
      </c>
      <c r="AF18" s="48">
        <f>AG18+(AH18-AG18)*(AC18-AD18)/(AE18-AD18)</f>
        <v>5.6205006748692306</v>
      </c>
      <c r="AG18" s="15">
        <f t="shared" si="2"/>
        <v>5.4924897392999998</v>
      </c>
      <c r="AH18" s="15">
        <f t="shared" si="2"/>
        <v>5.9085252799000001</v>
      </c>
      <c r="AI18" s="48">
        <f>AJ18+(AK18-AJ18)*(AC18-AD18)/(AE18-AD18)</f>
        <v>2.9161314025538463</v>
      </c>
      <c r="AJ18" s="15">
        <f t="shared" si="3"/>
        <v>2.89049187</v>
      </c>
      <c r="AK18" s="15">
        <f t="shared" si="3"/>
        <v>2.9738203508000001</v>
      </c>
      <c r="AO18" t="s">
        <v>880</v>
      </c>
      <c r="AQ18" s="20">
        <v>46354</v>
      </c>
      <c r="AR18" s="20">
        <v>46719</v>
      </c>
      <c r="AS18" s="20">
        <v>46720</v>
      </c>
      <c r="AT18" s="20">
        <v>46708</v>
      </c>
      <c r="AV18" s="96">
        <v>1000000000</v>
      </c>
      <c r="AX18">
        <v>0.93558785</v>
      </c>
      <c r="BA18">
        <v>0</v>
      </c>
      <c r="BB18" t="s">
        <v>878</v>
      </c>
      <c r="BD18">
        <v>100</v>
      </c>
      <c r="BF18" s="126">
        <f>AX18*AV18</f>
        <v>935587850</v>
      </c>
      <c r="BG18" s="15">
        <f>AR18-$BG$1</f>
        <v>844</v>
      </c>
      <c r="BH18" s="15">
        <f>1/(1+AI18%)^(BG18/365)</f>
        <v>0.93569466432767368</v>
      </c>
      <c r="BI18" s="126">
        <f>BH18*AV18</f>
        <v>935694664.32767367</v>
      </c>
      <c r="BK18" s="15">
        <f>1/(1+AF18%)^(BG18/365)</f>
        <v>0.88122397333974656</v>
      </c>
      <c r="BL18" s="126">
        <f>AV18*BK18</f>
        <v>881223973.33974659</v>
      </c>
      <c r="BN18" s="15">
        <f>1/(1+$BN$14)^(BG18/365)</f>
        <v>0.8797812609707184</v>
      </c>
      <c r="BO18" s="126">
        <f>BN18*AV18</f>
        <v>879781260.97071838</v>
      </c>
    </row>
    <row r="19" spans="2:68" x14ac:dyDescent="0.3">
      <c r="B19" t="s">
        <v>824</v>
      </c>
      <c r="D19" t="s">
        <v>806</v>
      </c>
      <c r="E19" t="s">
        <v>796</v>
      </c>
      <c r="F19" t="s">
        <v>826</v>
      </c>
      <c r="G19" s="20">
        <v>45876</v>
      </c>
      <c r="H19" s="20">
        <v>47702</v>
      </c>
      <c r="I19">
        <v>1826</v>
      </c>
      <c r="J19">
        <v>5.961538</v>
      </c>
      <c r="L19">
        <v>5.961538</v>
      </c>
      <c r="M19" s="79">
        <v>5.8961287173999999</v>
      </c>
      <c r="N19">
        <v>0.74782966080000002</v>
      </c>
      <c r="O19">
        <v>5.7553815847000003</v>
      </c>
      <c r="R19" t="s">
        <v>820</v>
      </c>
      <c r="S19" t="s">
        <v>852</v>
      </c>
      <c r="T19" t="s">
        <v>826</v>
      </c>
      <c r="U19" s="20">
        <v>45876</v>
      </c>
      <c r="V19" s="20">
        <v>47702</v>
      </c>
      <c r="W19">
        <v>1826</v>
      </c>
      <c r="X19">
        <v>3.2639999999999998</v>
      </c>
      <c r="Y19" s="79">
        <v>3.2817427262000001</v>
      </c>
      <c r="Z19">
        <v>0.85083195469999995</v>
      </c>
      <c r="AA19">
        <v>4.0445813552000001</v>
      </c>
      <c r="BB19" s="137" t="s">
        <v>889</v>
      </c>
      <c r="BF19" s="126">
        <f>SUM(BF15:BF18)</f>
        <v>1094563359.0604999</v>
      </c>
      <c r="BI19" s="126">
        <f>SUM(BI15:BI18)</f>
        <v>1094666513.1174235</v>
      </c>
      <c r="BL19" s="126">
        <f>SUM(BL15:BL18)</f>
        <v>1035285652.2092676</v>
      </c>
      <c r="BO19" s="126">
        <f>SUM(BO15:BO18)</f>
        <v>1033369747.3450907</v>
      </c>
    </row>
    <row r="20" spans="2:68" x14ac:dyDescent="0.3">
      <c r="B20" t="s">
        <v>824</v>
      </c>
      <c r="D20" t="s">
        <v>806</v>
      </c>
      <c r="E20" t="s">
        <v>796</v>
      </c>
      <c r="F20" t="s">
        <v>827</v>
      </c>
      <c r="G20" s="20">
        <v>45876</v>
      </c>
      <c r="H20" s="20">
        <v>48067</v>
      </c>
      <c r="I20">
        <v>2191</v>
      </c>
      <c r="J20">
        <v>5.961538</v>
      </c>
      <c r="L20">
        <v>5.961538</v>
      </c>
      <c r="M20" s="79">
        <v>5.8930283892000004</v>
      </c>
      <c r="N20">
        <v>0.70575575970000004</v>
      </c>
      <c r="O20">
        <v>5.7535559182</v>
      </c>
      <c r="R20" t="s">
        <v>820</v>
      </c>
      <c r="S20" t="s">
        <v>806</v>
      </c>
      <c r="T20" t="s">
        <v>827</v>
      </c>
      <c r="U20" s="20">
        <v>45876</v>
      </c>
      <c r="V20" s="20">
        <v>48067</v>
      </c>
      <c r="W20">
        <v>2191</v>
      </c>
      <c r="X20">
        <v>3.419362</v>
      </c>
      <c r="Y20" s="79">
        <v>3.4489729495999999</v>
      </c>
      <c r="Z20">
        <v>0.81583541599999998</v>
      </c>
      <c r="AA20">
        <v>4.3841273577999997</v>
      </c>
      <c r="BB20" s="137" t="s">
        <v>892</v>
      </c>
      <c r="BF20" s="126">
        <f>AV15*(BG1-AQ15)/365</f>
        <v>37821917.80821918</v>
      </c>
      <c r="BI20" s="126">
        <f>BF20</f>
        <v>37821917.80821918</v>
      </c>
      <c r="BL20" s="126">
        <f>BF20</f>
        <v>37821917.80821918</v>
      </c>
      <c r="BO20" s="126">
        <f>BF20</f>
        <v>37821917.80821918</v>
      </c>
    </row>
    <row r="21" spans="2:68" x14ac:dyDescent="0.3">
      <c r="B21" t="s">
        <v>824</v>
      </c>
      <c r="D21" t="s">
        <v>806</v>
      </c>
      <c r="E21" t="s">
        <v>796</v>
      </c>
      <c r="F21" t="s">
        <v>828</v>
      </c>
      <c r="G21" s="20">
        <v>45876</v>
      </c>
      <c r="H21" s="20">
        <v>48435</v>
      </c>
      <c r="I21">
        <v>2559</v>
      </c>
      <c r="J21">
        <v>5.961538</v>
      </c>
      <c r="L21">
        <v>5.961538</v>
      </c>
      <c r="M21" s="79">
        <v>5.8905950306000001</v>
      </c>
      <c r="N21">
        <v>0.66574113950000002</v>
      </c>
      <c r="O21">
        <v>5.7547345239999999</v>
      </c>
      <c r="R21" t="s">
        <v>820</v>
      </c>
      <c r="S21" t="s">
        <v>852</v>
      </c>
      <c r="T21" t="s">
        <v>828</v>
      </c>
      <c r="U21" s="20">
        <v>45876</v>
      </c>
      <c r="V21" s="20">
        <v>48435</v>
      </c>
      <c r="W21">
        <v>2559</v>
      </c>
      <c r="X21">
        <v>3.5760000000000001</v>
      </c>
      <c r="Y21" s="79">
        <v>3.6206740262000001</v>
      </c>
      <c r="Z21">
        <v>0.77930207689999997</v>
      </c>
      <c r="AA21">
        <v>4.1893080622000003</v>
      </c>
      <c r="BB21" s="137" t="s">
        <v>890</v>
      </c>
      <c r="BF21" s="126">
        <f>BF19-BF20</f>
        <v>1056741441.2522807</v>
      </c>
      <c r="BI21" s="134">
        <f>BI19-BI20</f>
        <v>1056844595.3092043</v>
      </c>
      <c r="BL21" s="134">
        <f>BL19-BL20</f>
        <v>997463734.40104842</v>
      </c>
      <c r="BO21" s="134">
        <f>BO19-BO20</f>
        <v>995547829.53687155</v>
      </c>
    </row>
    <row r="22" spans="2:68" x14ac:dyDescent="0.3">
      <c r="B22" t="s">
        <v>824</v>
      </c>
      <c r="D22" t="s">
        <v>806</v>
      </c>
      <c r="E22" t="s">
        <v>796</v>
      </c>
      <c r="F22" t="s">
        <v>829</v>
      </c>
      <c r="G22" s="20">
        <v>45876</v>
      </c>
      <c r="H22" s="20">
        <v>48799</v>
      </c>
      <c r="I22">
        <v>2923</v>
      </c>
      <c r="J22">
        <v>5.961538</v>
      </c>
      <c r="L22">
        <v>5.961538</v>
      </c>
      <c r="M22" s="79">
        <v>5.8890252749999998</v>
      </c>
      <c r="N22">
        <v>0.62838250819999997</v>
      </c>
      <c r="O22">
        <v>5.7544855522000002</v>
      </c>
      <c r="R22" t="s">
        <v>820</v>
      </c>
      <c r="S22" t="s">
        <v>806</v>
      </c>
      <c r="T22" t="s">
        <v>829</v>
      </c>
      <c r="U22" s="20">
        <v>45876</v>
      </c>
      <c r="V22" s="20">
        <v>48799</v>
      </c>
      <c r="W22">
        <v>2923</v>
      </c>
      <c r="X22">
        <v>3.6632530000000001</v>
      </c>
      <c r="Y22" s="79">
        <v>3.715762255</v>
      </c>
      <c r="Z22">
        <v>0.74664070149999995</v>
      </c>
      <c r="AA22">
        <v>4.3897815420999997</v>
      </c>
      <c r="AT22">
        <v>3.7671232880000001</v>
      </c>
      <c r="BB22" s="137" t="s">
        <v>893</v>
      </c>
      <c r="BF22" s="136" t="e">
        <f>BF24+_xlfn.XLOOKUP(AM14,FNRP!D:D,FNRP!S:S,,0)/100*AV18</f>
        <v>#N/A</v>
      </c>
      <c r="BI22" s="136" t="e">
        <f>BF22</f>
        <v>#N/A</v>
      </c>
      <c r="BL22" s="136">
        <f>BL24+_xlfn.XLOOKUP($AM$14,'FNRP fibond'!A:A,'FNRP fibond'!X:X,,0)*AV18/100</f>
        <v>1033523976.4387331</v>
      </c>
      <c r="BM22" s="132"/>
      <c r="BO22" s="136">
        <f>BL22</f>
        <v>1033523976.4387331</v>
      </c>
    </row>
    <row r="23" spans="2:68" x14ac:dyDescent="0.3">
      <c r="B23" t="s">
        <v>824</v>
      </c>
      <c r="D23" t="s">
        <v>806</v>
      </c>
      <c r="E23" t="s">
        <v>796</v>
      </c>
      <c r="F23" t="s">
        <v>830</v>
      </c>
      <c r="G23" s="20">
        <v>45876</v>
      </c>
      <c r="H23" s="20">
        <v>49163</v>
      </c>
      <c r="I23">
        <v>3287</v>
      </c>
      <c r="J23">
        <v>5.961538</v>
      </c>
      <c r="L23">
        <v>5.961538</v>
      </c>
      <c r="M23" s="79">
        <v>5.8878032026999998</v>
      </c>
      <c r="N23">
        <v>0.59312028829999996</v>
      </c>
      <c r="O23">
        <v>5.7538961489</v>
      </c>
      <c r="R23" t="s">
        <v>820</v>
      </c>
      <c r="S23" t="s">
        <v>806</v>
      </c>
      <c r="T23" t="s">
        <v>830</v>
      </c>
      <c r="U23" s="20">
        <v>45876</v>
      </c>
      <c r="V23" s="20">
        <v>49163</v>
      </c>
      <c r="W23">
        <v>3287</v>
      </c>
      <c r="X23">
        <v>3.7505069999999998</v>
      </c>
      <c r="Y23" s="79">
        <v>3.8131389480000002</v>
      </c>
      <c r="Z23">
        <v>0.71390437100000004</v>
      </c>
      <c r="AA23">
        <v>4.5970909435999996</v>
      </c>
      <c r="BB23" s="137" t="s">
        <v>891</v>
      </c>
      <c r="BF23" s="126" t="e">
        <f>BF19-BF22</f>
        <v>#N/A</v>
      </c>
      <c r="BG23" s="138" t="e">
        <f>BF23/$AV$5</f>
        <v>#N/A</v>
      </c>
      <c r="BH23" s="138"/>
      <c r="BI23" s="126" t="e">
        <f>BI19-BI22</f>
        <v>#N/A</v>
      </c>
      <c r="BJ23" s="138" t="e">
        <f>BI23/$AV$5</f>
        <v>#N/A</v>
      </c>
      <c r="BK23" s="138"/>
      <c r="BL23" s="126">
        <f>BL19-BL22</f>
        <v>1761675.7705345154</v>
      </c>
      <c r="BM23" s="138">
        <f>BL23/$AV$5</f>
        <v>1.7616757705345154E-3</v>
      </c>
      <c r="BO23" s="126">
        <f>BO19-BO22</f>
        <v>-154229.09364235401</v>
      </c>
      <c r="BP23" s="138">
        <f>BO23/$AV$5</f>
        <v>-1.5422909364235402E-4</v>
      </c>
    </row>
    <row r="24" spans="2:68" x14ac:dyDescent="0.3">
      <c r="B24" t="s">
        <v>824</v>
      </c>
      <c r="D24" t="s">
        <v>806</v>
      </c>
      <c r="E24" t="s">
        <v>796</v>
      </c>
      <c r="F24" t="s">
        <v>831</v>
      </c>
      <c r="G24" s="20">
        <v>45876</v>
      </c>
      <c r="H24" s="20">
        <v>49528</v>
      </c>
      <c r="I24">
        <v>3652</v>
      </c>
      <c r="J24">
        <v>5.961538</v>
      </c>
      <c r="L24">
        <v>5.961538</v>
      </c>
      <c r="M24" s="79">
        <v>5.8867753623999999</v>
      </c>
      <c r="N24">
        <v>0.55975054430000004</v>
      </c>
      <c r="O24">
        <v>5.7533441645999996</v>
      </c>
      <c r="R24" t="s">
        <v>820</v>
      </c>
      <c r="S24" t="s">
        <v>852</v>
      </c>
      <c r="T24" t="s">
        <v>831</v>
      </c>
      <c r="U24" s="20">
        <v>45876</v>
      </c>
      <c r="V24" s="20">
        <v>49528</v>
      </c>
      <c r="W24">
        <v>3652</v>
      </c>
      <c r="X24">
        <v>3.8380000000000001</v>
      </c>
      <c r="Y24" s="79">
        <v>3.9131273052000002</v>
      </c>
      <c r="Z24">
        <v>0.68108999780000001</v>
      </c>
      <c r="AA24">
        <v>3.9985444244999999</v>
      </c>
      <c r="AT24">
        <v>105.681133832</v>
      </c>
      <c r="BB24" s="137" t="s">
        <v>894</v>
      </c>
      <c r="BF24" s="136" t="e">
        <f>_xlfn.XLOOKUP(AM14,FNRP!D:D,FNRP!H:H,,0)/100*AV18</f>
        <v>#N/A</v>
      </c>
      <c r="BI24" s="136" t="e">
        <f>BF24</f>
        <v>#N/A</v>
      </c>
      <c r="BL24" s="136">
        <f>_xlfn.XLOOKUP($AM$14,'FNRP fibond'!A:A,'FNRP fibond'!H:H,,0)*AV18/100</f>
        <v>995553976.4387331</v>
      </c>
      <c r="BO24" s="136">
        <f>BL24</f>
        <v>995553976.4387331</v>
      </c>
    </row>
    <row r="25" spans="2:68" x14ac:dyDescent="0.3">
      <c r="B25" t="s">
        <v>824</v>
      </c>
      <c r="D25" t="s">
        <v>806</v>
      </c>
      <c r="E25" t="s">
        <v>796</v>
      </c>
      <c r="F25" t="s">
        <v>832</v>
      </c>
      <c r="G25" s="20">
        <v>45876</v>
      </c>
      <c r="H25" s="20">
        <v>49894</v>
      </c>
      <c r="I25">
        <v>4018</v>
      </c>
      <c r="J25">
        <v>5.961538</v>
      </c>
      <c r="L25">
        <v>5.961538</v>
      </c>
      <c r="M25" s="79">
        <v>5.8858893618000003</v>
      </c>
      <c r="N25">
        <v>0.5281768134</v>
      </c>
      <c r="O25">
        <v>5.7536590330999999</v>
      </c>
      <c r="R25" t="s">
        <v>820</v>
      </c>
      <c r="S25" t="s">
        <v>806</v>
      </c>
      <c r="T25" t="s">
        <v>832</v>
      </c>
      <c r="U25" s="20">
        <v>45876</v>
      </c>
      <c r="V25" s="20">
        <v>49894</v>
      </c>
      <c r="W25">
        <v>4018</v>
      </c>
      <c r="X25">
        <v>3.8594349999999999</v>
      </c>
      <c r="Y25" s="79">
        <v>3.9329363735</v>
      </c>
      <c r="Z25">
        <v>0.65399907049999995</v>
      </c>
      <c r="AA25">
        <v>4.0505788538000003</v>
      </c>
      <c r="BB25" s="137" t="s">
        <v>891</v>
      </c>
      <c r="BF25" s="126" t="e">
        <f>BF21-BF24</f>
        <v>#N/A</v>
      </c>
      <c r="BG25" s="138" t="e">
        <f>BF25/$AV$5</f>
        <v>#N/A</v>
      </c>
      <c r="BH25" s="138"/>
      <c r="BI25" s="126" t="e">
        <f>BI21-BI24</f>
        <v>#N/A</v>
      </c>
      <c r="BJ25" s="138" t="e">
        <f>BI25/$AV$5</f>
        <v>#N/A</v>
      </c>
      <c r="BK25" s="138"/>
      <c r="BL25" s="126">
        <f>BL21-BL24</f>
        <v>1909757.962315321</v>
      </c>
      <c r="BM25" s="138">
        <f>BL25/$AV$5</f>
        <v>1.909757962315321E-3</v>
      </c>
      <c r="BO25" s="126">
        <f>BO21-BO24</f>
        <v>-6146.9018615484238</v>
      </c>
      <c r="BP25" s="138">
        <f>BO25/$AV$5</f>
        <v>-6.1469018615484236E-6</v>
      </c>
    </row>
    <row r="26" spans="2:68" x14ac:dyDescent="0.3">
      <c r="B26" t="s">
        <v>824</v>
      </c>
      <c r="D26" t="s">
        <v>806</v>
      </c>
      <c r="E26" t="s">
        <v>796</v>
      </c>
      <c r="F26" t="s">
        <v>833</v>
      </c>
      <c r="G26" s="20">
        <v>45876</v>
      </c>
      <c r="H26" s="20">
        <v>50259</v>
      </c>
      <c r="I26">
        <v>4383</v>
      </c>
      <c r="J26">
        <v>5.961538</v>
      </c>
      <c r="L26">
        <v>5.961538</v>
      </c>
      <c r="M26" s="79">
        <v>5.8851923352000002</v>
      </c>
      <c r="N26">
        <v>0.49846087659999999</v>
      </c>
      <c r="O26">
        <v>5.7536470499999997</v>
      </c>
      <c r="R26" t="s">
        <v>820</v>
      </c>
      <c r="S26" t="s">
        <v>806</v>
      </c>
      <c r="T26" t="s">
        <v>833</v>
      </c>
      <c r="U26" s="20">
        <v>45876</v>
      </c>
      <c r="V26" s="20">
        <v>50259</v>
      </c>
      <c r="W26">
        <v>4383</v>
      </c>
      <c r="X26">
        <v>3.8808120000000002</v>
      </c>
      <c r="Y26" s="79">
        <v>3.9539962275999998</v>
      </c>
      <c r="Z26">
        <v>0.62772193990000003</v>
      </c>
      <c r="AA26">
        <v>4.1041384509999999</v>
      </c>
    </row>
    <row r="27" spans="2:68" x14ac:dyDescent="0.3">
      <c r="B27" t="s">
        <v>824</v>
      </c>
      <c r="D27" t="s">
        <v>806</v>
      </c>
      <c r="E27" t="s">
        <v>796</v>
      </c>
      <c r="F27" t="s">
        <v>834</v>
      </c>
      <c r="G27" s="20">
        <v>45876</v>
      </c>
      <c r="H27" s="20">
        <v>50626</v>
      </c>
      <c r="I27">
        <v>4750</v>
      </c>
      <c r="J27">
        <v>5.961538</v>
      </c>
      <c r="L27">
        <v>5.961538</v>
      </c>
      <c r="M27" s="79">
        <v>5.8845267965000003</v>
      </c>
      <c r="N27">
        <v>0.47027182220000002</v>
      </c>
      <c r="O27">
        <v>5.7539436047999999</v>
      </c>
      <c r="R27" t="s">
        <v>820</v>
      </c>
      <c r="S27" t="s">
        <v>806</v>
      </c>
      <c r="T27" t="s">
        <v>834</v>
      </c>
      <c r="U27" s="20">
        <v>45876</v>
      </c>
      <c r="V27" s="20">
        <v>50626</v>
      </c>
      <c r="W27">
        <v>4750</v>
      </c>
      <c r="X27">
        <v>3.9023050000000001</v>
      </c>
      <c r="Y27" s="79">
        <v>3.9762530862999999</v>
      </c>
      <c r="Z27">
        <v>0.60203800190000001</v>
      </c>
      <c r="AA27">
        <v>4.1594647067999997</v>
      </c>
      <c r="AM27" s="19" t="s">
        <v>38</v>
      </c>
      <c r="AN27" t="s">
        <v>861</v>
      </c>
      <c r="AO27" t="s">
        <v>862</v>
      </c>
      <c r="AP27" s="96" t="s">
        <v>863</v>
      </c>
      <c r="AQ27" t="s">
        <v>923</v>
      </c>
      <c r="AR27" t="s">
        <v>924</v>
      </c>
      <c r="AS27" t="s">
        <v>925</v>
      </c>
      <c r="AT27" t="s">
        <v>864</v>
      </c>
      <c r="AU27" t="s">
        <v>865</v>
      </c>
      <c r="AV27" s="96" t="s">
        <v>866</v>
      </c>
      <c r="AW27" t="s">
        <v>867</v>
      </c>
      <c r="AX27" t="s">
        <v>290</v>
      </c>
      <c r="AY27" t="s">
        <v>868</v>
      </c>
      <c r="AZ27" t="s">
        <v>869</v>
      </c>
      <c r="BA27" t="s">
        <v>926</v>
      </c>
      <c r="BB27" t="s">
        <v>870</v>
      </c>
      <c r="BC27" t="s">
        <v>927</v>
      </c>
      <c r="BD27" t="s">
        <v>928</v>
      </c>
      <c r="BE27" t="s">
        <v>726</v>
      </c>
      <c r="BF27" s="133" t="s">
        <v>895</v>
      </c>
      <c r="BG27" s="145" t="s">
        <v>872</v>
      </c>
      <c r="BH27" s="129" t="s">
        <v>873</v>
      </c>
      <c r="BI27" s="133" t="s">
        <v>874</v>
      </c>
      <c r="BJ27" s="129" t="s">
        <v>875</v>
      </c>
      <c r="BK27" s="129" t="s">
        <v>876</v>
      </c>
      <c r="BL27" s="133"/>
      <c r="BN27" s="148">
        <f>_xlfn.XLOOKUP($AM$14,'FNRP fibond'!A:A,'FNRP fibond'!AM:AM,,0)%</f>
        <v>5.6953696210000002E-2</v>
      </c>
      <c r="BO27" s="133" t="s">
        <v>896</v>
      </c>
    </row>
    <row r="28" spans="2:68" x14ac:dyDescent="0.3">
      <c r="B28" t="s">
        <v>824</v>
      </c>
      <c r="D28" t="s">
        <v>806</v>
      </c>
      <c r="E28" t="s">
        <v>796</v>
      </c>
      <c r="F28" t="s">
        <v>835</v>
      </c>
      <c r="G28" s="20">
        <v>45876</v>
      </c>
      <c r="H28" s="20">
        <v>50990</v>
      </c>
      <c r="I28">
        <v>5114</v>
      </c>
      <c r="J28">
        <v>5.961538</v>
      </c>
      <c r="L28">
        <v>5.961538</v>
      </c>
      <c r="M28" s="79">
        <v>5.8840615271000001</v>
      </c>
      <c r="N28">
        <v>0.44388211820000001</v>
      </c>
      <c r="O28">
        <v>5.7534718079999996</v>
      </c>
      <c r="R28" t="s">
        <v>820</v>
      </c>
      <c r="S28" t="s">
        <v>806</v>
      </c>
      <c r="T28" t="s">
        <v>835</v>
      </c>
      <c r="U28" s="20">
        <v>45876</v>
      </c>
      <c r="V28" s="20">
        <v>50990</v>
      </c>
      <c r="W28">
        <v>5114</v>
      </c>
      <c r="X28">
        <v>3.9236230000000001</v>
      </c>
      <c r="Y28" s="79">
        <v>3.9993704375000001</v>
      </c>
      <c r="Z28">
        <v>0.57727588789999995</v>
      </c>
      <c r="AA28">
        <v>4.2159499364000004</v>
      </c>
      <c r="AO28" t="s">
        <v>877</v>
      </c>
      <c r="AP28" s="96">
        <v>100000</v>
      </c>
      <c r="AQ28" s="20"/>
      <c r="AR28" s="20"/>
      <c r="AS28" s="20"/>
      <c r="AT28" s="20">
        <v>44925</v>
      </c>
      <c r="AU28" s="20">
        <v>45290</v>
      </c>
      <c r="AV28" s="151">
        <v>45289</v>
      </c>
      <c r="AW28" s="20">
        <v>45285</v>
      </c>
      <c r="AX28">
        <v>365</v>
      </c>
      <c r="AY28">
        <v>7400</v>
      </c>
      <c r="AZ28">
        <v>7.4</v>
      </c>
      <c r="BC28">
        <v>0</v>
      </c>
      <c r="BE28">
        <v>0</v>
      </c>
      <c r="BF28" s="126">
        <f>AX28*AV28</f>
        <v>16530485</v>
      </c>
      <c r="BG28" s="15">
        <v>0</v>
      </c>
      <c r="BH28" s="15" t="s">
        <v>878</v>
      </c>
      <c r="BI28" s="126" t="s">
        <v>879</v>
      </c>
      <c r="BJ28" s="15">
        <v>0</v>
      </c>
      <c r="BN28" s="15">
        <f>1/(1+$BN$14)^(BG28/365)</f>
        <v>1</v>
      </c>
      <c r="BO28" s="126">
        <f>BN28*AV28</f>
        <v>45289</v>
      </c>
    </row>
    <row r="29" spans="2:68" x14ac:dyDescent="0.3">
      <c r="B29" t="s">
        <v>824</v>
      </c>
      <c r="D29" t="s">
        <v>806</v>
      </c>
      <c r="E29" t="s">
        <v>796</v>
      </c>
      <c r="F29" t="s">
        <v>836</v>
      </c>
      <c r="G29" s="20">
        <v>45876</v>
      </c>
      <c r="H29" s="20">
        <v>51355</v>
      </c>
      <c r="I29">
        <v>5479</v>
      </c>
      <c r="J29">
        <v>5.961538</v>
      </c>
      <c r="L29">
        <v>5.961538</v>
      </c>
      <c r="M29" s="79">
        <v>5.8836257056000001</v>
      </c>
      <c r="N29">
        <v>0.41890871410000002</v>
      </c>
      <c r="O29">
        <v>5.7534327852000002</v>
      </c>
      <c r="R29" t="s">
        <v>820</v>
      </c>
      <c r="S29" t="s">
        <v>852</v>
      </c>
      <c r="T29" t="s">
        <v>836</v>
      </c>
      <c r="U29" s="20">
        <v>45876</v>
      </c>
      <c r="V29" s="20">
        <v>51355</v>
      </c>
      <c r="W29">
        <v>5479</v>
      </c>
      <c r="X29">
        <v>3.9449999999999998</v>
      </c>
      <c r="Y29" s="79">
        <v>4.0234460592000003</v>
      </c>
      <c r="Z29">
        <v>0.55315100719999999</v>
      </c>
      <c r="AA29">
        <v>4.0950950941000004</v>
      </c>
      <c r="AO29" t="s">
        <v>877</v>
      </c>
      <c r="AP29" s="96">
        <v>100000</v>
      </c>
      <c r="AQ29" s="20">
        <v>45281</v>
      </c>
      <c r="AR29" s="20">
        <v>45285</v>
      </c>
      <c r="AS29" s="20">
        <v>46381</v>
      </c>
      <c r="AT29" s="20">
        <v>45290</v>
      </c>
      <c r="AU29" s="20">
        <v>45656</v>
      </c>
      <c r="AV29" s="151">
        <v>45656</v>
      </c>
      <c r="AW29" s="20">
        <v>45649</v>
      </c>
      <c r="AX29">
        <v>366</v>
      </c>
      <c r="AY29">
        <v>6567.9452054789999</v>
      </c>
      <c r="AZ29">
        <v>4.95</v>
      </c>
      <c r="BA29" t="s">
        <v>929</v>
      </c>
      <c r="BC29">
        <v>160</v>
      </c>
      <c r="BD29">
        <v>1</v>
      </c>
      <c r="BE29">
        <v>0</v>
      </c>
      <c r="BF29" s="126">
        <f>AX29*AV29</f>
        <v>16710096</v>
      </c>
      <c r="BG29" s="15">
        <v>0</v>
      </c>
      <c r="BH29" s="15" t="s">
        <v>878</v>
      </c>
      <c r="BI29" s="126" t="s">
        <v>879</v>
      </c>
      <c r="BJ29" s="15">
        <v>0</v>
      </c>
      <c r="BN29" s="15">
        <f>1/(1+$BN$14)^(BG29/365)</f>
        <v>1</v>
      </c>
      <c r="BO29" s="126">
        <f>BN29*AV29</f>
        <v>45656</v>
      </c>
    </row>
    <row r="30" spans="2:68" x14ac:dyDescent="0.3">
      <c r="B30" t="s">
        <v>824</v>
      </c>
      <c r="D30" t="s">
        <v>806</v>
      </c>
      <c r="E30" t="s">
        <v>796</v>
      </c>
      <c r="F30" t="s">
        <v>837</v>
      </c>
      <c r="G30" s="20">
        <v>45876</v>
      </c>
      <c r="H30" s="20">
        <v>51720</v>
      </c>
      <c r="I30">
        <v>5844</v>
      </c>
      <c r="J30">
        <v>5.961538</v>
      </c>
      <c r="L30">
        <v>5.961538</v>
      </c>
      <c r="M30" s="79">
        <v>5.8832443258999998</v>
      </c>
      <c r="N30">
        <v>0.3953403472</v>
      </c>
      <c r="O30">
        <v>5.7534006444000001</v>
      </c>
      <c r="R30" t="s">
        <v>820</v>
      </c>
      <c r="S30" t="s">
        <v>806</v>
      </c>
      <c r="T30" t="s">
        <v>837</v>
      </c>
      <c r="U30" s="20">
        <v>45876</v>
      </c>
      <c r="V30" s="20">
        <v>51720</v>
      </c>
      <c r="W30">
        <v>5844</v>
      </c>
      <c r="X30">
        <v>3.9575930000000001</v>
      </c>
      <c r="Y30" s="79">
        <v>4.0361080997999998</v>
      </c>
      <c r="Z30">
        <v>0.53072081989999997</v>
      </c>
      <c r="AA30">
        <v>4.1301496379999998</v>
      </c>
      <c r="AO30" t="s">
        <v>877</v>
      </c>
      <c r="AP30" s="96">
        <v>100000</v>
      </c>
      <c r="AQ30" s="20">
        <v>45645</v>
      </c>
      <c r="AR30" s="20">
        <v>45649</v>
      </c>
      <c r="AS30" s="20">
        <v>46744</v>
      </c>
      <c r="AT30" s="20">
        <v>45656</v>
      </c>
      <c r="AU30" s="20">
        <v>46021</v>
      </c>
      <c r="AV30" s="151">
        <v>46021</v>
      </c>
      <c r="AW30" s="20">
        <v>46014</v>
      </c>
      <c r="AX30">
        <v>365</v>
      </c>
      <c r="AY30">
        <v>6280</v>
      </c>
      <c r="AZ30">
        <v>4.68</v>
      </c>
      <c r="BA30" t="s">
        <v>929</v>
      </c>
      <c r="BB30">
        <v>0.98847808520000002</v>
      </c>
      <c r="BC30">
        <v>160</v>
      </c>
      <c r="BD30">
        <v>1</v>
      </c>
      <c r="BE30">
        <v>0</v>
      </c>
      <c r="BF30" s="126">
        <f>AX30*AV30</f>
        <v>16797665</v>
      </c>
      <c r="BG30" s="15">
        <v>0</v>
      </c>
      <c r="BH30" s="15" t="s">
        <v>878</v>
      </c>
      <c r="BI30" s="126" t="s">
        <v>879</v>
      </c>
      <c r="BJ30" s="15">
        <v>0</v>
      </c>
      <c r="BO30" s="126">
        <f>SUM(BO28:BO29)</f>
        <v>90945</v>
      </c>
    </row>
    <row r="31" spans="2:68" x14ac:dyDescent="0.3">
      <c r="B31" t="s">
        <v>824</v>
      </c>
      <c r="D31" t="s">
        <v>806</v>
      </c>
      <c r="E31" t="s">
        <v>796</v>
      </c>
      <c r="F31" t="s">
        <v>838</v>
      </c>
      <c r="G31" s="20">
        <v>45876</v>
      </c>
      <c r="H31" s="20">
        <v>52085</v>
      </c>
      <c r="I31">
        <v>6209</v>
      </c>
      <c r="J31">
        <v>5.961538</v>
      </c>
      <c r="L31">
        <v>5.961538</v>
      </c>
      <c r="M31" s="79">
        <v>5.8829077866999997</v>
      </c>
      <c r="N31">
        <v>0.37309796830000003</v>
      </c>
      <c r="O31">
        <v>5.7533738571999997</v>
      </c>
      <c r="R31" t="s">
        <v>820</v>
      </c>
      <c r="S31" t="s">
        <v>806</v>
      </c>
      <c r="T31" t="s">
        <v>838</v>
      </c>
      <c r="U31" s="20">
        <v>45876</v>
      </c>
      <c r="V31" s="20">
        <v>52085</v>
      </c>
      <c r="W31">
        <v>6209</v>
      </c>
      <c r="X31">
        <v>3.970186</v>
      </c>
      <c r="Y31" s="79">
        <v>4.0494643873999996</v>
      </c>
      <c r="Z31">
        <v>0.50901858349999995</v>
      </c>
      <c r="AA31">
        <v>4.1663456936000003</v>
      </c>
      <c r="AO31" t="s">
        <v>877</v>
      </c>
      <c r="AP31" s="96">
        <v>100000</v>
      </c>
      <c r="AQ31" s="20">
        <v>46010</v>
      </c>
      <c r="AR31" s="20">
        <v>46014</v>
      </c>
      <c r="AS31" s="20">
        <v>47112</v>
      </c>
      <c r="AT31" s="20">
        <v>46021</v>
      </c>
      <c r="AU31" s="20">
        <v>46386</v>
      </c>
      <c r="AV31" s="151">
        <v>46386</v>
      </c>
      <c r="AW31" s="20">
        <v>46379</v>
      </c>
      <c r="AX31">
        <v>365</v>
      </c>
      <c r="AY31">
        <v>6535.3957420999996</v>
      </c>
      <c r="AZ31">
        <v>4.9353957399999997</v>
      </c>
      <c r="BA31" t="s">
        <v>929</v>
      </c>
      <c r="BB31">
        <v>0.96130273070000005</v>
      </c>
      <c r="BC31">
        <v>160</v>
      </c>
      <c r="BD31">
        <v>1</v>
      </c>
      <c r="BE31">
        <v>0</v>
      </c>
      <c r="BF31" s="126">
        <f>AX31*AV31</f>
        <v>16930890</v>
      </c>
      <c r="BG31" s="15">
        <v>0</v>
      </c>
      <c r="BH31" s="15" t="s">
        <v>878</v>
      </c>
      <c r="BI31" s="126" t="s">
        <v>879</v>
      </c>
      <c r="BJ31" s="15">
        <v>0</v>
      </c>
      <c r="BO31" s="126">
        <f>BF31</f>
        <v>16930890</v>
      </c>
    </row>
    <row r="32" spans="2:68" x14ac:dyDescent="0.3">
      <c r="B32" t="s">
        <v>824</v>
      </c>
      <c r="D32" t="s">
        <v>806</v>
      </c>
      <c r="E32" t="s">
        <v>796</v>
      </c>
      <c r="F32" t="s">
        <v>839</v>
      </c>
      <c r="G32" s="20">
        <v>45876</v>
      </c>
      <c r="H32" s="20">
        <v>52450</v>
      </c>
      <c r="I32">
        <v>6574</v>
      </c>
      <c r="J32">
        <v>5.961538</v>
      </c>
      <c r="L32">
        <v>5.961538</v>
      </c>
      <c r="M32" s="79">
        <v>5.8826086189</v>
      </c>
      <c r="N32">
        <v>0.35210697559999998</v>
      </c>
      <c r="O32">
        <v>5.7533998146999998</v>
      </c>
      <c r="R32" t="s">
        <v>820</v>
      </c>
      <c r="S32" t="s">
        <v>806</v>
      </c>
      <c r="T32" t="s">
        <v>839</v>
      </c>
      <c r="U32" s="20">
        <v>45876</v>
      </c>
      <c r="V32" s="20">
        <v>52450</v>
      </c>
      <c r="W32">
        <v>6574</v>
      </c>
      <c r="X32">
        <v>3.9827789999999998</v>
      </c>
      <c r="Y32" s="79">
        <v>4.0634636314000003</v>
      </c>
      <c r="Z32">
        <v>0.48802430050000001</v>
      </c>
      <c r="AA32">
        <v>4.2039032213</v>
      </c>
      <c r="AO32" t="s">
        <v>877</v>
      </c>
      <c r="AP32" s="96">
        <v>100000</v>
      </c>
      <c r="AQ32" s="20">
        <v>46377</v>
      </c>
      <c r="AR32" s="20">
        <v>46379</v>
      </c>
      <c r="AS32" s="20">
        <v>47476</v>
      </c>
      <c r="AT32" s="20">
        <v>46386</v>
      </c>
      <c r="AU32" s="20">
        <v>46751</v>
      </c>
      <c r="AV32" s="151">
        <v>46751</v>
      </c>
      <c r="AW32" s="20">
        <v>46744</v>
      </c>
      <c r="AX32">
        <v>365</v>
      </c>
      <c r="AY32">
        <v>6618.6488077000004</v>
      </c>
      <c r="AZ32">
        <v>5.0186488100000002</v>
      </c>
      <c r="BA32" t="s">
        <v>929</v>
      </c>
      <c r="BB32">
        <v>0.93325886940000002</v>
      </c>
      <c r="BC32">
        <v>160</v>
      </c>
      <c r="BD32">
        <v>1</v>
      </c>
      <c r="BE32">
        <v>0</v>
      </c>
      <c r="BF32" s="152"/>
      <c r="BG32" s="15">
        <v>0</v>
      </c>
      <c r="BH32" s="15" t="s">
        <v>878</v>
      </c>
      <c r="BI32" s="152" t="s">
        <v>879</v>
      </c>
      <c r="BJ32" s="15">
        <v>0</v>
      </c>
      <c r="BL32" s="152"/>
      <c r="BO32" s="152">
        <f>BO30-BO31</f>
        <v>-16839945</v>
      </c>
    </row>
    <row r="33" spans="2:68" x14ac:dyDescent="0.3">
      <c r="B33" t="s">
        <v>824</v>
      </c>
      <c r="D33" t="s">
        <v>806</v>
      </c>
      <c r="E33" t="s">
        <v>796</v>
      </c>
      <c r="F33" t="s">
        <v>840</v>
      </c>
      <c r="G33" s="20">
        <v>45876</v>
      </c>
      <c r="H33" s="20">
        <v>52817</v>
      </c>
      <c r="I33">
        <v>6941</v>
      </c>
      <c r="J33">
        <v>5.961538</v>
      </c>
      <c r="L33">
        <v>5.961538</v>
      </c>
      <c r="M33" s="79">
        <v>5.8822897850000002</v>
      </c>
      <c r="N33">
        <v>0.33219455479999999</v>
      </c>
      <c r="O33">
        <v>5.7537638435999998</v>
      </c>
      <c r="R33" t="s">
        <v>820</v>
      </c>
      <c r="S33" t="s">
        <v>806</v>
      </c>
      <c r="T33" t="s">
        <v>840</v>
      </c>
      <c r="U33" s="20">
        <v>45876</v>
      </c>
      <c r="V33" s="20">
        <v>52817</v>
      </c>
      <c r="W33">
        <v>6941</v>
      </c>
      <c r="X33">
        <v>3.995441</v>
      </c>
      <c r="Y33" s="79">
        <v>4.0781259525999998</v>
      </c>
      <c r="Z33">
        <v>0.46761111929999999</v>
      </c>
      <c r="AA33">
        <v>4.2428227086000003</v>
      </c>
      <c r="AO33" t="s">
        <v>877</v>
      </c>
      <c r="AP33" s="96">
        <v>100000</v>
      </c>
      <c r="AQ33" s="20">
        <v>46742</v>
      </c>
      <c r="AR33" s="20">
        <v>46744</v>
      </c>
      <c r="AS33" s="20">
        <v>47840</v>
      </c>
      <c r="AT33" s="20">
        <v>46751</v>
      </c>
      <c r="AU33" s="20">
        <v>47117</v>
      </c>
      <c r="AV33" s="151">
        <v>47116</v>
      </c>
      <c r="AW33" s="20">
        <v>47112</v>
      </c>
      <c r="AX33">
        <v>366</v>
      </c>
      <c r="AY33">
        <v>6900.2172565130004</v>
      </c>
      <c r="AZ33">
        <v>5.2813641999999996</v>
      </c>
      <c r="BA33" t="s">
        <v>929</v>
      </c>
      <c r="BB33">
        <v>0.90344643170000005</v>
      </c>
      <c r="BC33">
        <v>160</v>
      </c>
      <c r="BD33">
        <v>1</v>
      </c>
      <c r="BE33">
        <v>0</v>
      </c>
      <c r="BF33" s="152"/>
      <c r="BG33" s="15">
        <v>0</v>
      </c>
      <c r="BH33" s="15" t="s">
        <v>878</v>
      </c>
      <c r="BI33" s="152" t="s">
        <v>879</v>
      </c>
      <c r="BJ33" s="15">
        <v>0</v>
      </c>
      <c r="BL33" s="152"/>
      <c r="BM33" s="132"/>
      <c r="BO33" s="152">
        <f>BL33</f>
        <v>0</v>
      </c>
    </row>
    <row r="34" spans="2:68" x14ac:dyDescent="0.3">
      <c r="B34" t="s">
        <v>824</v>
      </c>
      <c r="D34" t="s">
        <v>806</v>
      </c>
      <c r="E34" t="s">
        <v>796</v>
      </c>
      <c r="F34" t="s">
        <v>841</v>
      </c>
      <c r="G34" s="20">
        <v>45876</v>
      </c>
      <c r="H34" s="20">
        <v>53181</v>
      </c>
      <c r="I34">
        <v>7305</v>
      </c>
      <c r="J34">
        <v>5.961538</v>
      </c>
      <c r="L34">
        <v>5.961538</v>
      </c>
      <c r="M34" s="79">
        <v>5.8820755375999996</v>
      </c>
      <c r="N34">
        <v>0.31355317430000001</v>
      </c>
      <c r="O34">
        <v>5.7533148254000004</v>
      </c>
      <c r="R34" t="s">
        <v>820</v>
      </c>
      <c r="S34" t="s">
        <v>852</v>
      </c>
      <c r="T34" t="s">
        <v>841</v>
      </c>
      <c r="U34" s="20">
        <v>45876</v>
      </c>
      <c r="V34" s="20">
        <v>53181</v>
      </c>
      <c r="W34">
        <v>7305</v>
      </c>
      <c r="X34">
        <v>4.008</v>
      </c>
      <c r="Y34" s="79">
        <v>4.0932860589000004</v>
      </c>
      <c r="Z34">
        <v>0.44802985829999997</v>
      </c>
      <c r="AA34">
        <v>4.1204687466000003</v>
      </c>
      <c r="AO34" t="s">
        <v>877</v>
      </c>
      <c r="AP34" s="96">
        <v>100000</v>
      </c>
      <c r="AQ34" s="20">
        <v>47108</v>
      </c>
      <c r="AR34" s="20">
        <v>47112</v>
      </c>
      <c r="AS34" s="20">
        <v>48207</v>
      </c>
      <c r="AT34" s="20">
        <v>47117</v>
      </c>
      <c r="AU34" s="20">
        <v>47482</v>
      </c>
      <c r="AV34" s="151">
        <v>47483</v>
      </c>
      <c r="AW34" s="20">
        <v>47476</v>
      </c>
      <c r="AX34">
        <v>365</v>
      </c>
      <c r="AY34">
        <v>6834.3545008999999</v>
      </c>
      <c r="AZ34">
        <v>5.2343545000000002</v>
      </c>
      <c r="BA34" t="s">
        <v>929</v>
      </c>
      <c r="BB34">
        <v>0.87093587269999995</v>
      </c>
      <c r="BC34">
        <v>160</v>
      </c>
      <c r="BD34">
        <v>1</v>
      </c>
      <c r="BE34">
        <v>0</v>
      </c>
      <c r="BF34" s="152"/>
      <c r="BG34" s="153">
        <v>0</v>
      </c>
      <c r="BH34" s="153" t="s">
        <v>878</v>
      </c>
      <c r="BI34" s="152" t="s">
        <v>879</v>
      </c>
      <c r="BJ34" s="153">
        <v>0</v>
      </c>
      <c r="BK34" s="153"/>
      <c r="BL34" s="152"/>
      <c r="BM34" s="153">
        <f>BL34/$AV$5</f>
        <v>0</v>
      </c>
      <c r="BO34" s="152">
        <f>BO30-BO33</f>
        <v>90945</v>
      </c>
    </row>
    <row r="35" spans="2:68" x14ac:dyDescent="0.3">
      <c r="B35" t="s">
        <v>824</v>
      </c>
      <c r="D35" t="s">
        <v>806</v>
      </c>
      <c r="E35" t="s">
        <v>796</v>
      </c>
      <c r="F35" t="s">
        <v>842</v>
      </c>
      <c r="G35" s="20">
        <v>45876</v>
      </c>
      <c r="H35" s="20">
        <v>53546</v>
      </c>
      <c r="I35">
        <v>7670</v>
      </c>
      <c r="J35">
        <v>5.961538</v>
      </c>
      <c r="L35">
        <v>5.961538</v>
      </c>
      <c r="M35" s="79">
        <v>5.8818587258999999</v>
      </c>
      <c r="N35">
        <v>0.29591225160000001</v>
      </c>
      <c r="O35">
        <v>5.7533007059000001</v>
      </c>
      <c r="R35" t="s">
        <v>820</v>
      </c>
      <c r="S35" t="s">
        <v>806</v>
      </c>
      <c r="T35" t="s">
        <v>842</v>
      </c>
      <c r="U35" s="20">
        <v>45876</v>
      </c>
      <c r="V35" s="20">
        <v>53546</v>
      </c>
      <c r="W35">
        <v>7670</v>
      </c>
      <c r="X35">
        <v>4.0152919999999996</v>
      </c>
      <c r="Y35" s="79">
        <v>4.1006890158999996</v>
      </c>
      <c r="Z35">
        <v>0.4297691381</v>
      </c>
      <c r="AA35">
        <v>4.1439298484</v>
      </c>
      <c r="AO35" t="s">
        <v>877</v>
      </c>
      <c r="AP35" s="96">
        <v>100000</v>
      </c>
      <c r="AQ35" s="20">
        <v>47472</v>
      </c>
      <c r="AR35" s="20">
        <v>47476</v>
      </c>
      <c r="AS35" s="20">
        <v>48572</v>
      </c>
      <c r="AT35" s="20">
        <v>47482</v>
      </c>
      <c r="AU35" s="20">
        <v>47847</v>
      </c>
      <c r="AV35" s="151">
        <v>47847</v>
      </c>
      <c r="AW35" s="20">
        <v>47840</v>
      </c>
      <c r="AX35">
        <v>365</v>
      </c>
      <c r="AY35">
        <v>6742.9909409000002</v>
      </c>
      <c r="AZ35">
        <v>5.1429909399999998</v>
      </c>
      <c r="BA35" t="s">
        <v>929</v>
      </c>
      <c r="BB35">
        <v>0.83707578370000002</v>
      </c>
      <c r="BC35">
        <v>160</v>
      </c>
      <c r="BD35">
        <v>1</v>
      </c>
      <c r="BE35">
        <v>100000</v>
      </c>
      <c r="BF35" s="152"/>
      <c r="BG35" s="15">
        <v>0</v>
      </c>
      <c r="BH35" s="15" t="s">
        <v>878</v>
      </c>
      <c r="BI35" s="152" t="s">
        <v>879</v>
      </c>
      <c r="BJ35" s="15">
        <v>100</v>
      </c>
      <c r="BL35" s="152"/>
      <c r="BO35" s="152">
        <f>BL35</f>
        <v>0</v>
      </c>
    </row>
    <row r="36" spans="2:68" x14ac:dyDescent="0.3">
      <c r="B36" t="s">
        <v>824</v>
      </c>
      <c r="D36" t="s">
        <v>806</v>
      </c>
      <c r="E36" t="s">
        <v>796</v>
      </c>
      <c r="F36" t="s">
        <v>843</v>
      </c>
      <c r="G36" s="20">
        <v>45876</v>
      </c>
      <c r="H36" s="20">
        <v>53911</v>
      </c>
      <c r="I36">
        <v>8035</v>
      </c>
      <c r="J36">
        <v>5.961538</v>
      </c>
      <c r="L36">
        <v>5.961538</v>
      </c>
      <c r="M36" s="79">
        <v>5.8816616126000003</v>
      </c>
      <c r="N36">
        <v>0.27926383100000002</v>
      </c>
      <c r="O36">
        <v>5.7528526857999998</v>
      </c>
      <c r="R36" t="s">
        <v>820</v>
      </c>
      <c r="S36" t="s">
        <v>806</v>
      </c>
      <c r="T36" t="s">
        <v>843</v>
      </c>
      <c r="U36" s="20">
        <v>45876</v>
      </c>
      <c r="V36" s="20">
        <v>53911</v>
      </c>
      <c r="W36">
        <v>8035</v>
      </c>
      <c r="X36">
        <v>4.0225840000000002</v>
      </c>
      <c r="Y36" s="79">
        <v>4.1085484982000002</v>
      </c>
      <c r="Z36">
        <v>0.41215431159999999</v>
      </c>
      <c r="AA36">
        <v>4.1679809381000004</v>
      </c>
      <c r="AO36" t="s">
        <v>880</v>
      </c>
      <c r="AQ36" s="20">
        <v>47472</v>
      </c>
      <c r="AR36" s="20">
        <v>47476</v>
      </c>
      <c r="AS36" s="20">
        <v>48572</v>
      </c>
      <c r="AT36" s="20">
        <v>47482</v>
      </c>
      <c r="AV36" s="151">
        <v>47847</v>
      </c>
      <c r="AX36">
        <v>365</v>
      </c>
      <c r="AY36">
        <v>100000</v>
      </c>
      <c r="BB36">
        <v>0.83707578370000002</v>
      </c>
      <c r="BF36" s="152"/>
      <c r="BG36" s="153">
        <v>0</v>
      </c>
      <c r="BH36" s="153"/>
      <c r="BI36" s="152"/>
      <c r="BJ36" s="153">
        <v>100</v>
      </c>
      <c r="BK36" s="153"/>
      <c r="BL36" s="152"/>
      <c r="BM36" s="153">
        <f>BL36/$AV$5</f>
        <v>0</v>
      </c>
      <c r="BO36" s="152">
        <f>BO32-BO35</f>
        <v>-16839945</v>
      </c>
      <c r="BP36" s="153">
        <f>BO34/$AV$5</f>
        <v>9.0945000000000004E-5</v>
      </c>
    </row>
    <row r="37" spans="2:68" x14ac:dyDescent="0.3">
      <c r="B37" t="s">
        <v>824</v>
      </c>
      <c r="D37" t="s">
        <v>806</v>
      </c>
      <c r="E37" t="s">
        <v>796</v>
      </c>
      <c r="F37" t="s">
        <v>844</v>
      </c>
      <c r="G37" s="20">
        <v>45876</v>
      </c>
      <c r="H37" s="20">
        <v>54277</v>
      </c>
      <c r="I37">
        <v>8401</v>
      </c>
      <c r="J37">
        <v>5.961538</v>
      </c>
      <c r="L37">
        <v>5.961538</v>
      </c>
      <c r="M37" s="79">
        <v>5.8814606598000001</v>
      </c>
      <c r="N37">
        <v>0.2635114549</v>
      </c>
      <c r="O37">
        <v>5.7533181722000002</v>
      </c>
      <c r="R37" t="s">
        <v>820</v>
      </c>
      <c r="S37" t="s">
        <v>806</v>
      </c>
      <c r="T37" t="s">
        <v>844</v>
      </c>
      <c r="U37" s="20">
        <v>45876</v>
      </c>
      <c r="V37" s="20">
        <v>54277</v>
      </c>
      <c r="W37">
        <v>8401</v>
      </c>
      <c r="X37">
        <v>4.0298959999999999</v>
      </c>
      <c r="Y37" s="79">
        <v>4.1168534658000002</v>
      </c>
      <c r="Z37">
        <v>0.39511924549999999</v>
      </c>
      <c r="AA37">
        <v>4.1934641962999999</v>
      </c>
      <c r="BB37" s="137" t="s">
        <v>889</v>
      </c>
    </row>
    <row r="38" spans="2:68" x14ac:dyDescent="0.3">
      <c r="B38" t="s">
        <v>824</v>
      </c>
      <c r="D38" t="s">
        <v>806</v>
      </c>
      <c r="E38" t="s">
        <v>796</v>
      </c>
      <c r="F38" t="s">
        <v>845</v>
      </c>
      <c r="G38" s="20">
        <v>45876</v>
      </c>
      <c r="H38" s="20">
        <v>54644</v>
      </c>
      <c r="I38">
        <v>8768</v>
      </c>
      <c r="J38">
        <v>5.961538</v>
      </c>
      <c r="L38">
        <v>5.961538</v>
      </c>
      <c r="M38" s="79">
        <v>5.8812563138999998</v>
      </c>
      <c r="N38">
        <v>0.248609305</v>
      </c>
      <c r="O38">
        <v>5.7537036468</v>
      </c>
      <c r="R38" t="s">
        <v>820</v>
      </c>
      <c r="S38" t="s">
        <v>806</v>
      </c>
      <c r="T38" t="s">
        <v>845</v>
      </c>
      <c r="U38" s="20">
        <v>45876</v>
      </c>
      <c r="V38" s="20">
        <v>54644</v>
      </c>
      <c r="W38">
        <v>8768</v>
      </c>
      <c r="X38">
        <v>4.0372279999999998</v>
      </c>
      <c r="Y38" s="79">
        <v>4.1255901424000001</v>
      </c>
      <c r="Z38">
        <v>0.37864807969999997</v>
      </c>
      <c r="AA38">
        <v>4.2196700914000003</v>
      </c>
      <c r="BB38" s="137" t="s">
        <v>892</v>
      </c>
      <c r="BP38" s="138">
        <f>BO36/$AV$5</f>
        <v>-1.6839944999999999E-2</v>
      </c>
    </row>
    <row r="39" spans="2:68" x14ac:dyDescent="0.3">
      <c r="B39" t="s">
        <v>824</v>
      </c>
      <c r="D39" t="s">
        <v>806</v>
      </c>
      <c r="E39" t="s">
        <v>796</v>
      </c>
      <c r="F39" t="s">
        <v>846</v>
      </c>
      <c r="G39" s="20">
        <v>45876</v>
      </c>
      <c r="H39" s="20">
        <v>55008</v>
      </c>
      <c r="I39">
        <v>9132</v>
      </c>
      <c r="J39">
        <v>5.961538</v>
      </c>
      <c r="L39">
        <v>5.961538</v>
      </c>
      <c r="M39" s="79">
        <v>5.8811261253999998</v>
      </c>
      <c r="N39">
        <v>0.234658382</v>
      </c>
      <c r="O39">
        <v>5.7536964992000001</v>
      </c>
      <c r="R39" t="s">
        <v>820</v>
      </c>
      <c r="S39" t="s">
        <v>806</v>
      </c>
      <c r="T39" t="s">
        <v>846</v>
      </c>
      <c r="U39" s="20">
        <v>45876</v>
      </c>
      <c r="V39" s="20">
        <v>55008</v>
      </c>
      <c r="W39">
        <v>9132</v>
      </c>
      <c r="X39">
        <v>4.0445000000000002</v>
      </c>
      <c r="Y39" s="79">
        <v>4.1346855976999999</v>
      </c>
      <c r="Z39">
        <v>0.36289192129999998</v>
      </c>
      <c r="AA39">
        <v>4.2465034244000002</v>
      </c>
      <c r="BB39" s="137" t="s">
        <v>890</v>
      </c>
    </row>
    <row r="40" spans="2:68" x14ac:dyDescent="0.3">
      <c r="B40" t="s">
        <v>824</v>
      </c>
      <c r="D40" t="s">
        <v>806</v>
      </c>
      <c r="E40" t="s">
        <v>796</v>
      </c>
      <c r="F40" t="s">
        <v>847</v>
      </c>
      <c r="G40" s="20">
        <v>45876</v>
      </c>
      <c r="H40" s="20">
        <v>55372</v>
      </c>
      <c r="I40">
        <v>9496</v>
      </c>
      <c r="J40">
        <v>5.961538</v>
      </c>
      <c r="L40">
        <v>5.961538</v>
      </c>
      <c r="M40" s="79">
        <v>5.8810059177999996</v>
      </c>
      <c r="N40">
        <v>0.22149032690000001</v>
      </c>
      <c r="O40">
        <v>5.7528138678999996</v>
      </c>
      <c r="R40" t="s">
        <v>820</v>
      </c>
      <c r="S40" t="s">
        <v>806</v>
      </c>
      <c r="T40" t="s">
        <v>847</v>
      </c>
      <c r="U40" s="20">
        <v>45876</v>
      </c>
      <c r="V40" s="20">
        <v>55372</v>
      </c>
      <c r="W40">
        <v>9496</v>
      </c>
      <c r="X40">
        <v>4.0517719999999997</v>
      </c>
      <c r="Y40" s="79">
        <v>4.1441699953000004</v>
      </c>
      <c r="Z40">
        <v>0.3476971009</v>
      </c>
      <c r="AA40">
        <v>4.2738856534999998</v>
      </c>
      <c r="BB40" s="137" t="s">
        <v>893</v>
      </c>
    </row>
    <row r="41" spans="2:68" x14ac:dyDescent="0.3">
      <c r="B41" t="s">
        <v>824</v>
      </c>
      <c r="D41" t="s">
        <v>806</v>
      </c>
      <c r="E41" t="s">
        <v>796</v>
      </c>
      <c r="F41" t="s">
        <v>848</v>
      </c>
      <c r="G41" s="20">
        <v>45876</v>
      </c>
      <c r="H41" s="20">
        <v>55738</v>
      </c>
      <c r="I41">
        <v>9862</v>
      </c>
      <c r="J41">
        <v>5.961538</v>
      </c>
      <c r="L41">
        <v>5.961538</v>
      </c>
      <c r="M41" s="79">
        <v>5.8808590701999996</v>
      </c>
      <c r="N41">
        <v>0.20899676880000001</v>
      </c>
      <c r="O41">
        <v>5.7532448484999996</v>
      </c>
      <c r="R41" t="s">
        <v>820</v>
      </c>
      <c r="S41" t="s">
        <v>806</v>
      </c>
      <c r="T41" t="s">
        <v>848</v>
      </c>
      <c r="U41" s="20">
        <v>45876</v>
      </c>
      <c r="V41" s="20">
        <v>55738</v>
      </c>
      <c r="W41">
        <v>9862</v>
      </c>
      <c r="X41">
        <v>4.0590840000000004</v>
      </c>
      <c r="Y41" s="79">
        <v>4.1540750499000003</v>
      </c>
      <c r="Z41">
        <v>0.3329674715</v>
      </c>
      <c r="AA41">
        <v>4.3030922282999997</v>
      </c>
      <c r="BB41" s="137" t="s">
        <v>891</v>
      </c>
    </row>
    <row r="42" spans="2:68" x14ac:dyDescent="0.3">
      <c r="B42" t="s">
        <v>824</v>
      </c>
      <c r="D42" t="s">
        <v>806</v>
      </c>
      <c r="E42" t="s">
        <v>796</v>
      </c>
      <c r="F42" t="s">
        <v>849</v>
      </c>
      <c r="G42" s="20">
        <v>45876</v>
      </c>
      <c r="H42" s="20">
        <v>56103</v>
      </c>
      <c r="I42">
        <v>10227</v>
      </c>
      <c r="J42">
        <v>5.961538</v>
      </c>
      <c r="L42">
        <v>5.961538</v>
      </c>
      <c r="M42" s="79">
        <v>5.8807398837999996</v>
      </c>
      <c r="N42">
        <v>0.19723832990000001</v>
      </c>
      <c r="O42">
        <v>5.7532389604</v>
      </c>
      <c r="R42" t="s">
        <v>820</v>
      </c>
      <c r="S42" t="s">
        <v>806</v>
      </c>
      <c r="T42" t="s">
        <v>849</v>
      </c>
      <c r="U42" s="20">
        <v>45876</v>
      </c>
      <c r="V42" s="20">
        <v>56103</v>
      </c>
      <c r="W42">
        <v>10227</v>
      </c>
      <c r="X42">
        <v>4.066376</v>
      </c>
      <c r="Y42" s="79">
        <v>4.1643462200999997</v>
      </c>
      <c r="Z42">
        <v>0.31880534570000002</v>
      </c>
      <c r="AA42">
        <v>4.3331067984000002</v>
      </c>
      <c r="BB42" s="137" t="s">
        <v>894</v>
      </c>
    </row>
    <row r="43" spans="2:68" x14ac:dyDescent="0.3">
      <c r="B43" t="s">
        <v>824</v>
      </c>
      <c r="D43" t="s">
        <v>806</v>
      </c>
      <c r="E43" t="s">
        <v>796</v>
      </c>
      <c r="F43" t="s">
        <v>850</v>
      </c>
      <c r="G43" s="20">
        <v>45876</v>
      </c>
      <c r="H43" s="20">
        <v>56468</v>
      </c>
      <c r="I43">
        <v>10592</v>
      </c>
      <c r="J43">
        <v>5.961538</v>
      </c>
      <c r="L43">
        <v>5.961538</v>
      </c>
      <c r="M43" s="79">
        <v>5.8806289118999997</v>
      </c>
      <c r="N43">
        <v>0.18614143659999999</v>
      </c>
      <c r="O43">
        <v>5.7532691745999998</v>
      </c>
      <c r="R43" t="s">
        <v>820</v>
      </c>
      <c r="S43" t="s">
        <v>806</v>
      </c>
      <c r="T43" t="s">
        <v>850</v>
      </c>
      <c r="U43" s="20">
        <v>45876</v>
      </c>
      <c r="V43" s="20">
        <v>56468</v>
      </c>
      <c r="W43">
        <v>10592</v>
      </c>
      <c r="X43">
        <v>4.0736679999999996</v>
      </c>
      <c r="Y43" s="79">
        <v>4.1750007448000002</v>
      </c>
      <c r="Z43">
        <v>0.30515288140000002</v>
      </c>
      <c r="AA43">
        <v>4.3644340530000001</v>
      </c>
      <c r="BB43" s="137" t="s">
        <v>891</v>
      </c>
    </row>
    <row r="44" spans="2:68" x14ac:dyDescent="0.3">
      <c r="B44" t="s">
        <v>824</v>
      </c>
      <c r="D44" t="s">
        <v>806</v>
      </c>
      <c r="E44" t="s">
        <v>796</v>
      </c>
      <c r="F44" t="s">
        <v>851</v>
      </c>
      <c r="G44" s="20">
        <v>45876</v>
      </c>
      <c r="H44" s="20">
        <v>56835</v>
      </c>
      <c r="I44">
        <v>10959</v>
      </c>
      <c r="J44">
        <v>5.961538</v>
      </c>
      <c r="L44">
        <v>5.961538</v>
      </c>
      <c r="M44" s="79">
        <v>5.8804932753000001</v>
      </c>
      <c r="N44">
        <v>0.17561473059999999</v>
      </c>
      <c r="O44">
        <v>5.7560092626000001</v>
      </c>
      <c r="R44" t="s">
        <v>820</v>
      </c>
      <c r="S44" t="s">
        <v>852</v>
      </c>
      <c r="T44" t="s">
        <v>851</v>
      </c>
      <c r="U44" s="20">
        <v>45876</v>
      </c>
      <c r="V44" s="20">
        <v>56835</v>
      </c>
      <c r="W44">
        <v>10959</v>
      </c>
      <c r="X44">
        <v>4.0810000000000004</v>
      </c>
      <c r="Y44" s="79">
        <v>4.1860858544999999</v>
      </c>
      <c r="Z44">
        <v>0.29192358489999998</v>
      </c>
      <c r="AA44">
        <v>4.0656400127000003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D0FC-51A2-4B0E-B559-9474F6F4A7AD}">
  <sheetPr codeName="Sheet17"/>
  <dimension ref="A1:AZ5"/>
  <sheetViews>
    <sheetView topLeftCell="AK1" workbookViewId="0">
      <selection activeCell="AQ21" sqref="AQ21"/>
    </sheetView>
  </sheetViews>
  <sheetFormatPr defaultRowHeight="14.4" x14ac:dyDescent="0.3"/>
  <cols>
    <col min="1" max="1" width="16.09765625" bestFit="1" customWidth="1"/>
    <col min="46" max="46" width="11" style="96" bestFit="1" customWidth="1"/>
    <col min="47" max="47" width="17.59765625" style="96" bestFit="1" customWidth="1"/>
    <col min="48" max="48" width="14.296875" style="96" bestFit="1" customWidth="1"/>
    <col min="51" max="51" width="10.69921875" bestFit="1" customWidth="1"/>
    <col min="52" max="52" width="15.59765625" bestFit="1" customWidth="1"/>
  </cols>
  <sheetData>
    <row r="1" spans="1:52" x14ac:dyDescent="0.3">
      <c r="A1" s="19" t="s">
        <v>269</v>
      </c>
      <c r="B1" t="s">
        <v>807</v>
      </c>
      <c r="C1" t="s">
        <v>808</v>
      </c>
      <c r="D1" t="s">
        <v>809</v>
      </c>
      <c r="E1" t="s">
        <v>810</v>
      </c>
      <c r="F1" t="s">
        <v>853</v>
      </c>
      <c r="G1" t="s">
        <v>812</v>
      </c>
      <c r="H1" t="s">
        <v>813</v>
      </c>
      <c r="I1" t="s">
        <v>854</v>
      </c>
      <c r="J1" t="s">
        <v>815</v>
      </c>
      <c r="K1" t="s">
        <v>816</v>
      </c>
      <c r="L1" t="s">
        <v>855</v>
      </c>
      <c r="M1" t="s">
        <v>818</v>
      </c>
      <c r="N1" t="s">
        <v>819</v>
      </c>
      <c r="O1" t="s">
        <v>856</v>
      </c>
      <c r="P1" t="s">
        <v>857</v>
      </c>
      <c r="Q1" t="s">
        <v>858</v>
      </c>
      <c r="R1" t="s">
        <v>825</v>
      </c>
      <c r="S1" t="s">
        <v>826</v>
      </c>
      <c r="T1" t="s">
        <v>827</v>
      </c>
      <c r="U1" t="s">
        <v>828</v>
      </c>
      <c r="V1" t="s">
        <v>829</v>
      </c>
      <c r="W1" t="s">
        <v>830</v>
      </c>
      <c r="X1" t="s">
        <v>831</v>
      </c>
      <c r="Y1" t="s">
        <v>832</v>
      </c>
      <c r="Z1" t="s">
        <v>833</v>
      </c>
      <c r="AA1" t="s">
        <v>834</v>
      </c>
      <c r="AB1" t="s">
        <v>835</v>
      </c>
      <c r="AC1" t="s">
        <v>836</v>
      </c>
      <c r="AD1" t="s">
        <v>837</v>
      </c>
      <c r="AE1" t="s">
        <v>838</v>
      </c>
      <c r="AF1" t="s">
        <v>839</v>
      </c>
      <c r="AG1" t="s">
        <v>840</v>
      </c>
      <c r="AH1" t="s">
        <v>841</v>
      </c>
      <c r="AI1" t="s">
        <v>842</v>
      </c>
      <c r="AJ1" t="s">
        <v>843</v>
      </c>
      <c r="AK1" t="s">
        <v>844</v>
      </c>
      <c r="AL1" t="s">
        <v>845</v>
      </c>
      <c r="AM1" t="s">
        <v>846</v>
      </c>
      <c r="AN1" t="s">
        <v>847</v>
      </c>
      <c r="AO1" t="s">
        <v>848</v>
      </c>
      <c r="AP1" t="s">
        <v>849</v>
      </c>
      <c r="AQ1" t="s">
        <v>850</v>
      </c>
      <c r="AR1" t="s">
        <v>851</v>
      </c>
      <c r="AT1" s="497" t="s">
        <v>399</v>
      </c>
      <c r="AU1" s="495" t="s">
        <v>395</v>
      </c>
      <c r="AV1" s="496"/>
      <c r="AW1" s="497" t="s">
        <v>305</v>
      </c>
      <c r="AY1" s="159" t="s">
        <v>937</v>
      </c>
      <c r="AZ1" s="159" t="s">
        <v>938</v>
      </c>
    </row>
    <row r="2" spans="1:52" x14ac:dyDescent="0.3">
      <c r="A2" t="s">
        <v>479</v>
      </c>
      <c r="B2">
        <v>5.0025000000000004</v>
      </c>
      <c r="C2">
        <v>5.0025000000000004</v>
      </c>
      <c r="D2">
        <v>5.0025000000000004</v>
      </c>
      <c r="E2">
        <v>5.0025000000000004</v>
      </c>
      <c r="F2">
        <v>5.0025000000000004</v>
      </c>
      <c r="G2">
        <v>5.0035780000000001</v>
      </c>
      <c r="H2">
        <v>5.0046220000000003</v>
      </c>
      <c r="I2">
        <v>5.0057689999999999</v>
      </c>
      <c r="J2">
        <v>5.0422859999999998</v>
      </c>
      <c r="K2">
        <v>5.08141</v>
      </c>
      <c r="L2">
        <v>5.1192310000000001</v>
      </c>
      <c r="M2">
        <v>5.151338</v>
      </c>
      <c r="N2">
        <v>5.1804350000000001</v>
      </c>
      <c r="O2">
        <v>5.211538</v>
      </c>
      <c r="P2">
        <v>5.5615379999999996</v>
      </c>
      <c r="Q2">
        <v>5.961538</v>
      </c>
      <c r="R2">
        <v>5.961538</v>
      </c>
      <c r="S2">
        <v>5.961538</v>
      </c>
      <c r="T2">
        <v>5.961538</v>
      </c>
      <c r="U2">
        <v>5.961538</v>
      </c>
      <c r="V2">
        <v>5.961538</v>
      </c>
      <c r="W2">
        <v>5.961538</v>
      </c>
      <c r="X2">
        <v>5.961538</v>
      </c>
      <c r="Y2">
        <v>5.961538</v>
      </c>
      <c r="Z2">
        <v>5.961538</v>
      </c>
      <c r="AA2">
        <v>5.961538</v>
      </c>
      <c r="AB2">
        <v>5.961538</v>
      </c>
      <c r="AC2">
        <v>5.961538</v>
      </c>
      <c r="AD2">
        <v>5.961538</v>
      </c>
      <c r="AE2">
        <v>5.961538</v>
      </c>
      <c r="AF2">
        <v>5.961538</v>
      </c>
      <c r="AG2">
        <v>5.961538</v>
      </c>
      <c r="AH2">
        <v>5.961538</v>
      </c>
      <c r="AI2">
        <v>5.961538</v>
      </c>
      <c r="AJ2">
        <v>5.961538</v>
      </c>
      <c r="AK2">
        <v>5.961538</v>
      </c>
      <c r="AL2">
        <v>5.961538</v>
      </c>
      <c r="AM2">
        <v>5.961538</v>
      </c>
      <c r="AN2">
        <v>5.961538</v>
      </c>
      <c r="AO2">
        <v>5.961538</v>
      </c>
      <c r="AP2">
        <v>5.961538</v>
      </c>
      <c r="AQ2">
        <v>5.961538</v>
      </c>
      <c r="AR2">
        <v>5.961538</v>
      </c>
      <c r="AT2" s="498"/>
      <c r="AU2" s="158" t="s">
        <v>931</v>
      </c>
      <c r="AV2" s="158" t="s">
        <v>932</v>
      </c>
      <c r="AW2" s="498"/>
      <c r="AY2" s="83" t="s">
        <v>392</v>
      </c>
      <c r="AZ2" s="83" t="s">
        <v>933</v>
      </c>
    </row>
    <row r="3" spans="1:52" x14ac:dyDescent="0.3">
      <c r="A3" t="s">
        <v>930</v>
      </c>
      <c r="B3">
        <v>2.8628999999999998</v>
      </c>
      <c r="C3">
        <v>2.8628999999999998</v>
      </c>
      <c r="D3">
        <v>2.8628999999999998</v>
      </c>
      <c r="E3">
        <v>2.8628999999999998</v>
      </c>
      <c r="F3">
        <v>2.8628999999999998</v>
      </c>
      <c r="G3">
        <v>2.904585</v>
      </c>
      <c r="H3">
        <v>2.9449260000000002</v>
      </c>
      <c r="I3">
        <v>2.9893000000000001</v>
      </c>
      <c r="J3">
        <v>2.9967670000000002</v>
      </c>
      <c r="K3">
        <v>3.0047670000000002</v>
      </c>
      <c r="L3">
        <v>3.0125000000000002</v>
      </c>
      <c r="M3">
        <v>2.9552830000000001</v>
      </c>
      <c r="N3">
        <v>2.903429</v>
      </c>
      <c r="O3">
        <v>2.8479999999999999</v>
      </c>
      <c r="P3">
        <v>2.89</v>
      </c>
      <c r="Q3">
        <v>2.9710000000000001</v>
      </c>
      <c r="R3">
        <v>3.117</v>
      </c>
      <c r="S3">
        <v>3.2639999999999998</v>
      </c>
      <c r="T3">
        <v>3.419362</v>
      </c>
      <c r="U3">
        <v>3.5760000000000001</v>
      </c>
      <c r="V3">
        <v>3.6632530000000001</v>
      </c>
      <c r="W3">
        <v>3.7505069999999998</v>
      </c>
      <c r="X3">
        <v>3.8380000000000001</v>
      </c>
      <c r="Y3">
        <v>3.8594349999999999</v>
      </c>
      <c r="Z3">
        <v>3.8808120000000002</v>
      </c>
      <c r="AA3">
        <v>3.9023050000000001</v>
      </c>
      <c r="AB3">
        <v>3.9236230000000001</v>
      </c>
      <c r="AC3">
        <v>3.9449999999999998</v>
      </c>
      <c r="AD3">
        <v>3.9575930000000001</v>
      </c>
      <c r="AE3">
        <v>3.970186</v>
      </c>
      <c r="AF3">
        <v>3.9827789999999998</v>
      </c>
      <c r="AG3">
        <v>3.995441</v>
      </c>
      <c r="AH3">
        <v>4.008</v>
      </c>
      <c r="AI3">
        <v>4.0152919999999996</v>
      </c>
      <c r="AJ3">
        <v>4.0225840000000002</v>
      </c>
      <c r="AK3">
        <v>4.0298959999999999</v>
      </c>
      <c r="AL3">
        <v>4.0372279999999998</v>
      </c>
      <c r="AM3">
        <v>4.0445000000000002</v>
      </c>
      <c r="AN3">
        <v>4.0517719999999997</v>
      </c>
      <c r="AO3">
        <v>4.0590840000000004</v>
      </c>
      <c r="AP3">
        <v>4.066376</v>
      </c>
      <c r="AQ3">
        <v>4.0736679999999996</v>
      </c>
      <c r="AR3">
        <v>4.0810000000000004</v>
      </c>
      <c r="AT3" s="154">
        <v>11097.6106</v>
      </c>
      <c r="AU3" s="157">
        <v>12121.991321933801</v>
      </c>
      <c r="AV3" s="156">
        <v>11379.322651209101</v>
      </c>
      <c r="AW3" s="155">
        <f>AU3-AV3</f>
        <v>742.66867072470086</v>
      </c>
      <c r="AY3" s="83" t="s">
        <v>38</v>
      </c>
      <c r="AZ3" s="83" t="s">
        <v>934</v>
      </c>
    </row>
    <row r="4" spans="1:52" x14ac:dyDescent="0.3">
      <c r="AY4" s="83" t="s">
        <v>40</v>
      </c>
      <c r="AZ4" s="83" t="s">
        <v>935</v>
      </c>
    </row>
    <row r="5" spans="1:52" x14ac:dyDescent="0.3">
      <c r="AY5" s="83" t="s">
        <v>638</v>
      </c>
      <c r="AZ5" s="83" t="s">
        <v>936</v>
      </c>
    </row>
  </sheetData>
  <mergeCells count="3">
    <mergeCell ref="AU1:AV1"/>
    <mergeCell ref="AT1:AT2"/>
    <mergeCell ref="AW1:AW2"/>
  </mergeCells>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4725C-8468-409F-B2EA-D7E03AE380A4}">
  <sheetPr codeName="Sheet18"/>
  <dimension ref="A1:CG40"/>
  <sheetViews>
    <sheetView zoomScaleNormal="100" workbookViewId="0">
      <pane ySplit="1" topLeftCell="A2" activePane="bottomLeft" state="frozen"/>
      <selection pane="bottomLeft" activeCell="V15" sqref="V15"/>
    </sheetView>
  </sheetViews>
  <sheetFormatPr defaultRowHeight="14.4" x14ac:dyDescent="0.3"/>
  <cols>
    <col min="1" max="1" width="20.69921875" bestFit="1" customWidth="1"/>
    <col min="2" max="2" width="32.59765625" hidden="1" customWidth="1"/>
    <col min="3" max="3" width="12.59765625" bestFit="1" customWidth="1"/>
    <col min="4" max="5" width="0" hidden="1" customWidth="1"/>
    <col min="6" max="6" width="10.69921875" bestFit="1" customWidth="1"/>
    <col min="7" max="7" width="0" hidden="1" customWidth="1"/>
    <col min="8" max="8" width="14.09765625" style="144" bestFit="1" customWidth="1"/>
    <col min="9" max="9" width="12.296875" style="96" bestFit="1" customWidth="1"/>
    <col min="10" max="11" width="9.296875" style="96" hidden="1" customWidth="1"/>
    <col min="12" max="12" width="11.59765625" style="96" hidden="1" customWidth="1"/>
    <col min="13" max="13" width="18.69921875" style="96" hidden="1" customWidth="1"/>
    <col min="14" max="14" width="18.69921875" style="96" bestFit="1" customWidth="1"/>
    <col min="15" max="15" width="9.296875" style="96" bestFit="1" customWidth="1"/>
    <col min="16" max="21" width="9.296875" style="96" hidden="1" customWidth="1"/>
    <col min="22" max="22" width="19" style="96" bestFit="1" customWidth="1"/>
    <col min="23" max="23" width="9.296875" style="96" bestFit="1" customWidth="1"/>
    <col min="24" max="24" width="9.69921875" style="143" bestFit="1" customWidth="1"/>
    <col min="25" max="25" width="9.296875" style="96" bestFit="1" customWidth="1"/>
    <col min="26" max="26" width="16.296875" style="96" bestFit="1" customWidth="1"/>
    <col min="27" max="27" width="16.296875" style="96" hidden="1" customWidth="1"/>
    <col min="28" max="29" width="9.296875" style="96" hidden="1" customWidth="1"/>
    <col min="30" max="30" width="16.296875" style="96" hidden="1" customWidth="1"/>
    <col min="31" max="31" width="13.3984375" style="96" hidden="1" customWidth="1"/>
    <col min="32" max="32" width="17" style="96" hidden="1" customWidth="1"/>
    <col min="33" max="33" width="16.296875" style="96" hidden="1" customWidth="1"/>
    <col min="34" max="34" width="12.59765625" style="96" hidden="1" customWidth="1"/>
    <col min="35" max="38" width="9.296875" style="96" hidden="1" customWidth="1"/>
    <col min="39" max="39" width="9.296875" style="143" bestFit="1" customWidth="1"/>
    <col min="40" max="43" width="9.296875" style="96" hidden="1" customWidth="1"/>
    <col min="44" max="44" width="11.296875" style="96" hidden="1" customWidth="1"/>
    <col min="45" max="45" width="10.59765625" style="96" hidden="1" customWidth="1"/>
    <col min="46" max="50" width="9.296875" style="96" hidden="1" customWidth="1"/>
    <col min="51" max="55" width="0" style="96" hidden="1" customWidth="1"/>
    <col min="56" max="71" width="9.296875" style="96" hidden="1" customWidth="1"/>
    <col min="72" max="78" width="0" style="96" hidden="1" customWidth="1"/>
    <col min="79" max="79" width="15" style="96" hidden="1" customWidth="1"/>
    <col min="80" max="83" width="19" style="96" hidden="1" customWidth="1"/>
    <col min="84" max="84" width="19" style="96" bestFit="1" customWidth="1"/>
    <col min="85" max="85" width="9.296875" style="96" hidden="1" customWidth="1"/>
  </cols>
  <sheetData>
    <row r="1" spans="1:85" x14ac:dyDescent="0.3">
      <c r="A1" t="s">
        <v>12</v>
      </c>
      <c r="B1" t="s">
        <v>723</v>
      </c>
      <c r="C1" t="s">
        <v>447</v>
      </c>
      <c r="D1" t="s">
        <v>724</v>
      </c>
      <c r="E1" t="s">
        <v>725</v>
      </c>
      <c r="F1" t="s">
        <v>448</v>
      </c>
      <c r="G1" t="s">
        <v>13</v>
      </c>
      <c r="H1" s="144" t="s">
        <v>726</v>
      </c>
      <c r="I1" s="96" t="s">
        <v>14</v>
      </c>
      <c r="J1" s="96" t="s">
        <v>727</v>
      </c>
      <c r="K1" s="96" t="s">
        <v>728</v>
      </c>
      <c r="L1" s="96" t="s">
        <v>15</v>
      </c>
      <c r="M1" s="96" t="s">
        <v>16</v>
      </c>
      <c r="N1" s="96" t="s">
        <v>458</v>
      </c>
      <c r="O1" s="96" t="s">
        <v>17</v>
      </c>
      <c r="P1" s="96" t="s">
        <v>729</v>
      </c>
      <c r="Q1" s="96" t="s">
        <v>730</v>
      </c>
      <c r="R1" s="96" t="s">
        <v>459</v>
      </c>
      <c r="S1" s="96" t="s">
        <v>460</v>
      </c>
      <c r="T1" s="96" t="s">
        <v>461</v>
      </c>
      <c r="U1" s="96" t="s">
        <v>18</v>
      </c>
      <c r="V1" s="96" t="s">
        <v>19</v>
      </c>
      <c r="W1" s="96" t="s">
        <v>20</v>
      </c>
      <c r="X1" s="143" t="s">
        <v>21</v>
      </c>
      <c r="Y1" s="96" t="s">
        <v>22</v>
      </c>
      <c r="Z1" s="96" t="s">
        <v>23</v>
      </c>
      <c r="AA1" s="96" t="s">
        <v>24</v>
      </c>
      <c r="AB1" s="96" t="s">
        <v>731</v>
      </c>
      <c r="AC1" s="96" t="s">
        <v>732</v>
      </c>
      <c r="AD1" s="96" t="s">
        <v>25</v>
      </c>
      <c r="AE1" s="96" t="s">
        <v>733</v>
      </c>
      <c r="AF1" s="96" t="s">
        <v>462</v>
      </c>
      <c r="AG1" s="96" t="s">
        <v>26</v>
      </c>
      <c r="AH1" s="96" t="s">
        <v>27</v>
      </c>
      <c r="AI1" s="96" t="s">
        <v>734</v>
      </c>
      <c r="AJ1" s="96" t="s">
        <v>735</v>
      </c>
      <c r="AK1" s="96" t="s">
        <v>736</v>
      </c>
      <c r="AL1" s="96" t="s">
        <v>737</v>
      </c>
      <c r="AM1" s="143" t="s">
        <v>738</v>
      </c>
      <c r="AN1" s="96" t="s">
        <v>739</v>
      </c>
      <c r="AO1" s="96" t="s">
        <v>28</v>
      </c>
      <c r="AP1" s="96" t="s">
        <v>450</v>
      </c>
      <c r="AQ1" s="96" t="s">
        <v>451</v>
      </c>
      <c r="AR1" s="96" t="s">
        <v>740</v>
      </c>
      <c r="AS1" s="96" t="s">
        <v>29</v>
      </c>
      <c r="AT1" s="96" t="s">
        <v>741</v>
      </c>
      <c r="AU1" s="96" t="s">
        <v>742</v>
      </c>
      <c r="AV1" s="96" t="s">
        <v>743</v>
      </c>
      <c r="AW1" s="96" t="s">
        <v>744</v>
      </c>
      <c r="AX1" s="96" t="s">
        <v>745</v>
      </c>
      <c r="AY1" s="96" t="s">
        <v>746</v>
      </c>
      <c r="AZ1" s="96" t="s">
        <v>747</v>
      </c>
      <c r="BA1" s="96" t="s">
        <v>748</v>
      </c>
      <c r="BB1" s="96" t="s">
        <v>749</v>
      </c>
      <c r="BC1" s="96" t="s">
        <v>750</v>
      </c>
      <c r="BD1" s="96" t="s">
        <v>751</v>
      </c>
      <c r="BE1" s="96" t="s">
        <v>752</v>
      </c>
      <c r="BF1" s="96" t="s">
        <v>753</v>
      </c>
      <c r="BG1" s="96" t="s">
        <v>754</v>
      </c>
      <c r="BH1" s="96" t="s">
        <v>755</v>
      </c>
      <c r="BI1" s="96" t="s">
        <v>756</v>
      </c>
      <c r="BJ1" s="96" t="s">
        <v>757</v>
      </c>
      <c r="BK1" s="96" t="s">
        <v>758</v>
      </c>
      <c r="BL1" s="96" t="s">
        <v>507</v>
      </c>
      <c r="BM1" s="96" t="s">
        <v>759</v>
      </c>
      <c r="BN1" s="96" t="s">
        <v>760</v>
      </c>
      <c r="BO1" s="96" t="s">
        <v>761</v>
      </c>
      <c r="BP1" s="96" t="s">
        <v>762</v>
      </c>
      <c r="BQ1" s="96" t="s">
        <v>763</v>
      </c>
      <c r="BR1" s="96" t="s">
        <v>764</v>
      </c>
      <c r="BS1" s="96" t="s">
        <v>765</v>
      </c>
      <c r="BT1" s="96" t="s">
        <v>766</v>
      </c>
      <c r="BU1" s="96" t="s">
        <v>767</v>
      </c>
      <c r="BV1" s="96" t="s">
        <v>768</v>
      </c>
      <c r="BW1" s="96" t="s">
        <v>769</v>
      </c>
      <c r="BX1" s="96" t="s">
        <v>770</v>
      </c>
      <c r="BY1" s="96" t="s">
        <v>771</v>
      </c>
      <c r="BZ1" s="96" t="s">
        <v>772</v>
      </c>
      <c r="CA1" s="96" t="s">
        <v>30</v>
      </c>
      <c r="CB1" s="96" t="s">
        <v>31</v>
      </c>
      <c r="CC1" s="96" t="s">
        <v>32</v>
      </c>
      <c r="CD1" s="96" t="s">
        <v>452</v>
      </c>
      <c r="CE1" s="96" t="s">
        <v>453</v>
      </c>
      <c r="CF1" s="96" t="s">
        <v>454</v>
      </c>
      <c r="CG1" s="96" t="s">
        <v>773</v>
      </c>
    </row>
    <row r="2" spans="1:85" x14ac:dyDescent="0.3">
      <c r="A2" t="s">
        <v>42</v>
      </c>
      <c r="B2" t="s">
        <v>774</v>
      </c>
      <c r="C2" t="s">
        <v>35</v>
      </c>
      <c r="E2" t="s">
        <v>775</v>
      </c>
      <c r="F2" s="20">
        <v>45877</v>
      </c>
      <c r="G2" t="s">
        <v>36</v>
      </c>
      <c r="H2" s="144">
        <v>0.16429819398855</v>
      </c>
      <c r="I2" s="96">
        <v>0.16429819400000001</v>
      </c>
      <c r="J2" s="96">
        <v>1</v>
      </c>
      <c r="K2" s="96">
        <v>0</v>
      </c>
      <c r="L2" s="96">
        <v>1000</v>
      </c>
      <c r="M2" s="96">
        <v>1000000000000</v>
      </c>
      <c r="N2" s="96">
        <v>1000000000000</v>
      </c>
      <c r="O2" s="96">
        <v>100.008</v>
      </c>
      <c r="P2" s="96">
        <v>0</v>
      </c>
      <c r="Q2" s="96">
        <v>0</v>
      </c>
      <c r="R2" s="96">
        <v>0</v>
      </c>
      <c r="S2" s="96">
        <v>5.6</v>
      </c>
      <c r="T2" s="96">
        <v>5.6</v>
      </c>
      <c r="U2" s="96">
        <v>5.5894294630000001</v>
      </c>
      <c r="V2" s="96">
        <v>1642981940</v>
      </c>
      <c r="W2" s="96">
        <v>5.6</v>
      </c>
      <c r="X2" s="143">
        <v>-1.4999999999999999E-2</v>
      </c>
      <c r="Y2" s="96">
        <v>0.01</v>
      </c>
      <c r="Z2" s="96">
        <v>56000000000</v>
      </c>
      <c r="AA2" s="96">
        <v>56000000000</v>
      </c>
      <c r="AB2" s="96">
        <v>0</v>
      </c>
      <c r="AC2" s="96">
        <v>0</v>
      </c>
      <c r="AD2" s="96">
        <v>-36111509093.420799</v>
      </c>
      <c r="AE2" s="96">
        <v>0</v>
      </c>
      <c r="AF2" s="96">
        <v>-4602739729.9999905</v>
      </c>
      <c r="AG2" s="96">
        <v>15285751176.579201</v>
      </c>
      <c r="AH2" s="96" t="s">
        <v>899</v>
      </c>
      <c r="AI2" s="96">
        <v>0</v>
      </c>
      <c r="AJ2" s="96">
        <v>0</v>
      </c>
      <c r="AK2" s="96">
        <v>5.1286574109999998</v>
      </c>
      <c r="AL2" s="96">
        <v>5.1286574109999998</v>
      </c>
      <c r="AM2" s="143">
        <v>5.6</v>
      </c>
      <c r="AN2" s="96">
        <v>0</v>
      </c>
      <c r="AO2" s="96">
        <v>0</v>
      </c>
      <c r="AP2" s="96">
        <v>0</v>
      </c>
      <c r="AQ2" s="96">
        <v>0</v>
      </c>
      <c r="AR2" s="96">
        <v>0</v>
      </c>
      <c r="AS2" s="96">
        <v>0</v>
      </c>
      <c r="AT2" s="96">
        <v>0</v>
      </c>
      <c r="AU2" s="96">
        <v>0</v>
      </c>
      <c r="AV2" s="96">
        <v>0</v>
      </c>
      <c r="AW2" s="96">
        <v>0</v>
      </c>
      <c r="AX2" s="96">
        <v>0</v>
      </c>
      <c r="AY2" s="96" t="s">
        <v>776</v>
      </c>
      <c r="AZ2" s="96" t="s">
        <v>776</v>
      </c>
      <c r="BA2" s="96" t="s">
        <v>777</v>
      </c>
      <c r="BB2" s="96" t="s">
        <v>777</v>
      </c>
      <c r="BC2" s="96" t="s">
        <v>777</v>
      </c>
      <c r="BD2" s="96">
        <v>0</v>
      </c>
      <c r="BE2" s="96">
        <v>0</v>
      </c>
      <c r="BF2" s="96">
        <v>0</v>
      </c>
      <c r="BG2" s="96">
        <v>0</v>
      </c>
      <c r="BH2" s="96">
        <v>0</v>
      </c>
      <c r="BI2" s="96">
        <v>0</v>
      </c>
      <c r="BJ2" s="96">
        <v>0</v>
      </c>
      <c r="BK2" s="96">
        <v>0</v>
      </c>
      <c r="BL2" s="96">
        <v>0</v>
      </c>
      <c r="BM2" s="96">
        <v>0</v>
      </c>
      <c r="BN2" s="96">
        <v>0</v>
      </c>
      <c r="BO2" s="96">
        <v>0</v>
      </c>
      <c r="BP2" s="96">
        <v>0</v>
      </c>
      <c r="BQ2" s="96">
        <v>0</v>
      </c>
      <c r="BR2" s="96">
        <v>0</v>
      </c>
      <c r="BS2" s="96">
        <v>0</v>
      </c>
      <c r="BT2" s="96" t="s">
        <v>777</v>
      </c>
      <c r="BU2" s="96" t="s">
        <v>777</v>
      </c>
      <c r="BV2" s="96" t="s">
        <v>777</v>
      </c>
      <c r="BW2" s="96" t="s">
        <v>777</v>
      </c>
      <c r="BX2" s="96" t="s">
        <v>777</v>
      </c>
      <c r="BY2" s="96" t="s">
        <v>777</v>
      </c>
      <c r="BZ2" s="96" t="s">
        <v>777</v>
      </c>
      <c r="CA2" s="96">
        <v>-76204485.000014305</v>
      </c>
      <c r="CB2" s="96">
        <v>-998433222505</v>
      </c>
      <c r="CC2" s="96">
        <v>-998509426990</v>
      </c>
      <c r="CD2" s="96">
        <v>-978620936083.42004</v>
      </c>
      <c r="CE2" s="96">
        <v>-978620936083.42102</v>
      </c>
      <c r="CF2" s="96">
        <v>-978620936083.42004</v>
      </c>
      <c r="CG2" s="96">
        <v>1</v>
      </c>
    </row>
    <row r="3" spans="1:85" x14ac:dyDescent="0.3">
      <c r="A3" t="s">
        <v>392</v>
      </c>
      <c r="B3" t="s">
        <v>778</v>
      </c>
      <c r="C3" t="s">
        <v>35</v>
      </c>
      <c r="E3" t="s">
        <v>779</v>
      </c>
      <c r="F3" s="20">
        <v>46369</v>
      </c>
      <c r="G3" t="s">
        <v>36</v>
      </c>
      <c r="H3" s="144">
        <v>103.495485843903</v>
      </c>
      <c r="I3" s="96">
        <v>103.495485844</v>
      </c>
      <c r="J3" s="96">
        <v>1</v>
      </c>
      <c r="K3" s="96">
        <v>0</v>
      </c>
      <c r="L3" s="96">
        <v>400</v>
      </c>
      <c r="M3" s="96">
        <v>400000000000</v>
      </c>
      <c r="N3" s="96">
        <v>400000000000</v>
      </c>
      <c r="O3" s="96">
        <v>100</v>
      </c>
      <c r="P3" s="96">
        <v>0</v>
      </c>
      <c r="Q3" s="96">
        <v>1</v>
      </c>
      <c r="R3" s="96">
        <v>200</v>
      </c>
      <c r="S3" s="96">
        <v>7.9637694049999999</v>
      </c>
      <c r="T3" s="96">
        <v>7.9637694049999999</v>
      </c>
      <c r="U3" s="96">
        <v>6.7597108459999999</v>
      </c>
      <c r="V3" s="96">
        <v>413981943376</v>
      </c>
      <c r="W3" s="96">
        <v>6.7</v>
      </c>
      <c r="X3" s="143">
        <v>1.01</v>
      </c>
      <c r="Y3" s="96">
        <v>3.64</v>
      </c>
      <c r="Z3" s="96">
        <v>13363287671.2328</v>
      </c>
      <c r="AA3" s="96">
        <v>13451021366.8188</v>
      </c>
      <c r="AB3" s="96">
        <v>0</v>
      </c>
      <c r="AC3" s="96">
        <v>0</v>
      </c>
      <c r="AD3" s="96">
        <v>-10705555555.5555</v>
      </c>
      <c r="AE3" s="96">
        <v>0</v>
      </c>
      <c r="AF3" s="96">
        <v>4038356163.99999</v>
      </c>
      <c r="AG3" s="96">
        <v>6783821975.2632999</v>
      </c>
      <c r="AH3" s="96" t="s">
        <v>900</v>
      </c>
      <c r="AI3" s="96">
        <v>0</v>
      </c>
      <c r="AJ3" s="96">
        <v>64.174999999999997</v>
      </c>
      <c r="AK3" s="96">
        <v>0</v>
      </c>
      <c r="AL3" s="96">
        <v>0</v>
      </c>
      <c r="AM3" s="143">
        <v>5.2645021310000004</v>
      </c>
      <c r="AN3" s="96">
        <v>0</v>
      </c>
      <c r="AO3" s="96">
        <v>0.2373223315012</v>
      </c>
      <c r="AP3" s="96">
        <v>0.24356924999999999</v>
      </c>
      <c r="AQ3" s="96">
        <v>2.6030355512166001</v>
      </c>
      <c r="AR3" s="96">
        <v>10776.0971616847</v>
      </c>
      <c r="AS3" s="96">
        <v>-9920.5552101579997</v>
      </c>
      <c r="AT3" s="96">
        <v>0</v>
      </c>
      <c r="AU3" s="96" t="s">
        <v>912</v>
      </c>
      <c r="AV3" s="96">
        <v>0</v>
      </c>
      <c r="AW3" s="96">
        <v>0</v>
      </c>
      <c r="AX3" s="96">
        <v>0</v>
      </c>
      <c r="AY3" s="96" t="s">
        <v>776</v>
      </c>
      <c r="AZ3" s="96" t="s">
        <v>776</v>
      </c>
      <c r="BA3" s="96" t="s">
        <v>777</v>
      </c>
      <c r="BB3" s="96" t="s">
        <v>777</v>
      </c>
      <c r="BC3" s="96" t="s">
        <v>777</v>
      </c>
      <c r="BD3" s="96">
        <v>0</v>
      </c>
      <c r="BE3" s="96">
        <v>0</v>
      </c>
      <c r="BF3" s="96">
        <v>0</v>
      </c>
      <c r="BG3" s="96">
        <v>0</v>
      </c>
      <c r="BH3" s="96">
        <v>0</v>
      </c>
      <c r="BI3" s="96">
        <v>0</v>
      </c>
      <c r="BJ3" s="96">
        <v>0</v>
      </c>
      <c r="BK3" s="96">
        <v>0</v>
      </c>
      <c r="BL3" s="96">
        <v>0</v>
      </c>
      <c r="BM3" s="96">
        <v>0</v>
      </c>
      <c r="BN3" s="96">
        <v>0</v>
      </c>
      <c r="BO3" s="96">
        <v>0</v>
      </c>
      <c r="BP3" s="96">
        <v>0</v>
      </c>
      <c r="BQ3" s="96">
        <v>0</v>
      </c>
      <c r="BR3" s="96">
        <v>26.94</v>
      </c>
      <c r="BS3" s="96">
        <v>0</v>
      </c>
      <c r="BT3" s="96" t="s">
        <v>777</v>
      </c>
      <c r="BU3" s="96" t="s">
        <v>777</v>
      </c>
      <c r="BV3" s="96" t="s">
        <v>777</v>
      </c>
      <c r="BW3" s="96" t="s">
        <v>777</v>
      </c>
      <c r="BX3" s="96" t="s">
        <v>777</v>
      </c>
      <c r="BY3" s="96" t="s">
        <v>777</v>
      </c>
      <c r="BZ3" s="96" t="s">
        <v>777</v>
      </c>
      <c r="CA3" s="96">
        <v>0</v>
      </c>
      <c r="CB3" s="96">
        <v>13981943376</v>
      </c>
      <c r="CC3" s="96">
        <v>13981943376</v>
      </c>
      <c r="CD3" s="96">
        <v>16727409187.2633</v>
      </c>
      <c r="CE3" s="96">
        <v>16727409187.263</v>
      </c>
      <c r="CF3" s="96">
        <v>16727409187.2633</v>
      </c>
      <c r="CG3" s="96">
        <v>1</v>
      </c>
    </row>
    <row r="4" spans="1:85" x14ac:dyDescent="0.3">
      <c r="A4" t="s">
        <v>38</v>
      </c>
      <c r="B4" t="s">
        <v>780</v>
      </c>
      <c r="C4" t="s">
        <v>39</v>
      </c>
      <c r="E4" t="s">
        <v>781</v>
      </c>
      <c r="F4" s="20">
        <v>47847</v>
      </c>
      <c r="G4" t="s">
        <v>36</v>
      </c>
      <c r="H4" s="144">
        <v>108.492778589875</v>
      </c>
      <c r="I4" s="96">
        <v>108.49277859</v>
      </c>
      <c r="J4" s="96">
        <v>1</v>
      </c>
      <c r="K4" s="96">
        <v>0</v>
      </c>
      <c r="L4" s="96">
        <v>7000000</v>
      </c>
      <c r="M4" s="96">
        <v>700000000000</v>
      </c>
      <c r="N4" s="96">
        <v>700000000000</v>
      </c>
      <c r="O4" s="96">
        <v>100.001</v>
      </c>
      <c r="P4" s="96">
        <v>0</v>
      </c>
      <c r="Q4" s="96">
        <v>1</v>
      </c>
      <c r="R4" s="96">
        <v>160</v>
      </c>
      <c r="S4" s="96">
        <v>7.8</v>
      </c>
      <c r="T4" s="96">
        <v>7.8</v>
      </c>
      <c r="U4" s="96">
        <v>9.6999999999999993</v>
      </c>
      <c r="V4" s="96">
        <v>759449450130</v>
      </c>
      <c r="W4" s="96">
        <v>6.28</v>
      </c>
      <c r="X4" s="143">
        <v>3.7850000000000001</v>
      </c>
      <c r="Y4" s="96">
        <v>6.67</v>
      </c>
      <c r="Z4" s="96">
        <v>139679452054.79001</v>
      </c>
      <c r="AA4" s="96">
        <v>144499392401.06</v>
      </c>
      <c r="AB4" s="96">
        <v>0</v>
      </c>
      <c r="AC4" s="96">
        <v>0</v>
      </c>
      <c r="AD4" s="96">
        <v>-67189099485.416801</v>
      </c>
      <c r="AE4" s="96">
        <v>0</v>
      </c>
      <c r="AF4" s="96">
        <v>37340424653</v>
      </c>
      <c r="AG4" s="96">
        <v>114650717568.64301</v>
      </c>
      <c r="AH4" s="96" t="s">
        <v>901</v>
      </c>
      <c r="AI4" s="96">
        <v>0</v>
      </c>
      <c r="AJ4" s="96">
        <v>35.612000000000002</v>
      </c>
      <c r="AK4" s="96">
        <v>5.0999999999999996</v>
      </c>
      <c r="AL4" s="96">
        <v>0</v>
      </c>
      <c r="AM4" s="143">
        <v>6</v>
      </c>
      <c r="AN4" s="96">
        <v>0</v>
      </c>
      <c r="AO4" s="96">
        <v>0.15800351070220001</v>
      </c>
      <c r="AP4" s="96">
        <v>0.16748372</v>
      </c>
      <c r="AQ4" s="96">
        <v>6.8384262162741001</v>
      </c>
      <c r="AR4" s="96">
        <v>51934.390296979996</v>
      </c>
      <c r="AS4" s="96">
        <v>-12418.220960213999</v>
      </c>
      <c r="AT4" s="96">
        <v>0</v>
      </c>
      <c r="AU4" s="96" t="s">
        <v>913</v>
      </c>
      <c r="AV4" s="96">
        <v>0</v>
      </c>
      <c r="AW4" s="96">
        <v>0</v>
      </c>
      <c r="AX4" s="96">
        <v>0</v>
      </c>
      <c r="AY4" s="96" t="s">
        <v>776</v>
      </c>
      <c r="AZ4" s="96" t="s">
        <v>776</v>
      </c>
      <c r="BA4" s="96" t="s">
        <v>777</v>
      </c>
      <c r="BB4" s="96" t="s">
        <v>777</v>
      </c>
      <c r="BC4" s="96" t="s">
        <v>777</v>
      </c>
      <c r="BD4" s="96">
        <v>0</v>
      </c>
      <c r="BE4" s="96">
        <v>0</v>
      </c>
      <c r="BF4" s="96">
        <v>0</v>
      </c>
      <c r="BG4" s="96">
        <v>0</v>
      </c>
      <c r="BH4" s="96">
        <v>0</v>
      </c>
      <c r="BI4" s="96">
        <v>0</v>
      </c>
      <c r="BJ4" s="96">
        <v>0</v>
      </c>
      <c r="BK4" s="96">
        <v>0</v>
      </c>
      <c r="BL4" s="96">
        <v>0</v>
      </c>
      <c r="BM4" s="96">
        <v>0</v>
      </c>
      <c r="BN4" s="96">
        <v>0</v>
      </c>
      <c r="BO4" s="96">
        <v>0</v>
      </c>
      <c r="BP4" s="96">
        <v>0</v>
      </c>
      <c r="BQ4" s="96">
        <v>0</v>
      </c>
      <c r="BR4" s="96">
        <v>7.0000000000000001E-3</v>
      </c>
      <c r="BS4" s="96">
        <v>0</v>
      </c>
      <c r="BT4" s="96" t="s">
        <v>777</v>
      </c>
      <c r="BU4" s="96" t="s">
        <v>777</v>
      </c>
      <c r="BV4" s="96" t="s">
        <v>777</v>
      </c>
      <c r="BW4" s="96" t="s">
        <v>777</v>
      </c>
      <c r="BX4" s="96" t="s">
        <v>777</v>
      </c>
      <c r="BY4" s="96" t="s">
        <v>777</v>
      </c>
      <c r="BZ4" s="96" t="s">
        <v>777</v>
      </c>
      <c r="CA4" s="96">
        <v>546743151.37497604</v>
      </c>
      <c r="CB4" s="96">
        <v>59440220678.125</v>
      </c>
      <c r="CC4" s="96">
        <v>59986963829.499901</v>
      </c>
      <c r="CD4" s="96">
        <v>137297256745.14301</v>
      </c>
      <c r="CE4" s="96">
        <v>137297256745.144</v>
      </c>
      <c r="CF4" s="96">
        <v>137297256745.14301</v>
      </c>
      <c r="CG4" s="96">
        <v>1</v>
      </c>
    </row>
    <row r="5" spans="1:85" x14ac:dyDescent="0.3">
      <c r="A5" t="s">
        <v>40</v>
      </c>
      <c r="B5" t="s">
        <v>782</v>
      </c>
      <c r="C5" t="s">
        <v>35</v>
      </c>
      <c r="E5" t="s">
        <v>783</v>
      </c>
      <c r="F5" s="20">
        <v>48115</v>
      </c>
      <c r="G5" t="s">
        <v>36</v>
      </c>
      <c r="H5" s="144">
        <v>116.35388230221599</v>
      </c>
      <c r="I5" s="96">
        <v>116.353882302</v>
      </c>
      <c r="J5" s="96">
        <v>1</v>
      </c>
      <c r="K5" s="96">
        <v>0</v>
      </c>
      <c r="L5" s="96">
        <v>1000</v>
      </c>
      <c r="M5" s="96">
        <v>1000000000000</v>
      </c>
      <c r="N5" s="96">
        <v>1000000000000</v>
      </c>
      <c r="O5" s="96">
        <v>99.986999999999995</v>
      </c>
      <c r="P5" s="96">
        <v>0</v>
      </c>
      <c r="Q5" s="96">
        <v>1</v>
      </c>
      <c r="R5" s="96">
        <v>290</v>
      </c>
      <c r="S5" s="96">
        <v>9.2140995379999993</v>
      </c>
      <c r="T5" s="96">
        <v>9.2137174250000005</v>
      </c>
      <c r="U5" s="96">
        <v>7.179212165</v>
      </c>
      <c r="V5" s="96">
        <v>1163538823020</v>
      </c>
      <c r="W5" s="96">
        <v>7.5750000000000002</v>
      </c>
      <c r="X5" s="143">
        <v>6.5789999999999997</v>
      </c>
      <c r="Y5" s="96">
        <v>10.220000000000001</v>
      </c>
      <c r="Z5" s="96">
        <v>0</v>
      </c>
      <c r="AA5" s="96">
        <v>0</v>
      </c>
      <c r="AB5" s="96">
        <v>0</v>
      </c>
      <c r="AC5" s="96">
        <v>0</v>
      </c>
      <c r="AD5" s="96">
        <v>-35836416687.105202</v>
      </c>
      <c r="AE5" s="96">
        <v>0</v>
      </c>
      <c r="AF5" s="96">
        <v>65726095888</v>
      </c>
      <c r="AG5" s="96">
        <v>29889679200.894699</v>
      </c>
      <c r="AH5" s="96" t="s">
        <v>902</v>
      </c>
      <c r="AI5" s="96">
        <v>0</v>
      </c>
      <c r="AJ5" s="96">
        <v>30.576000000000001</v>
      </c>
      <c r="AK5" s="96">
        <v>5.2587878180000001</v>
      </c>
      <c r="AL5" s="96">
        <v>0</v>
      </c>
      <c r="AM5" s="143">
        <v>5.9545939719999996</v>
      </c>
      <c r="AN5" s="96">
        <v>0</v>
      </c>
      <c r="AO5" s="96">
        <v>8.4584585329699993E-2</v>
      </c>
      <c r="AP5" s="96">
        <v>8.962125E-2</v>
      </c>
      <c r="AQ5" s="96">
        <v>7.8910604650943998</v>
      </c>
      <c r="AR5" s="96">
        <v>91815.552059526904</v>
      </c>
      <c r="AS5" s="96">
        <v>-10398.212968567999</v>
      </c>
      <c r="AT5" s="96">
        <v>0</v>
      </c>
      <c r="AU5" s="96" t="s">
        <v>914</v>
      </c>
      <c r="AV5" s="96">
        <v>0</v>
      </c>
      <c r="AW5" s="96">
        <v>0</v>
      </c>
      <c r="AX5" s="96">
        <v>0</v>
      </c>
      <c r="AY5" s="96" t="s">
        <v>776</v>
      </c>
      <c r="AZ5" s="96" t="s">
        <v>776</v>
      </c>
      <c r="BA5" s="96" t="s">
        <v>777</v>
      </c>
      <c r="BB5" s="96" t="s">
        <v>777</v>
      </c>
      <c r="BC5" s="96" t="s">
        <v>777</v>
      </c>
      <c r="BD5" s="96">
        <v>0</v>
      </c>
      <c r="BE5" s="96">
        <v>0</v>
      </c>
      <c r="BF5" s="96">
        <v>0</v>
      </c>
      <c r="BG5" s="96">
        <v>0</v>
      </c>
      <c r="BH5" s="96">
        <v>0</v>
      </c>
      <c r="BI5" s="96">
        <v>0</v>
      </c>
      <c r="BJ5" s="96">
        <v>0</v>
      </c>
      <c r="BK5" s="96">
        <v>0</v>
      </c>
      <c r="BL5" s="96">
        <v>0</v>
      </c>
      <c r="BM5" s="96">
        <v>0</v>
      </c>
      <c r="BN5" s="96">
        <v>0</v>
      </c>
      <c r="BO5" s="96">
        <v>0</v>
      </c>
      <c r="BP5" s="96">
        <v>0</v>
      </c>
      <c r="BQ5" s="96">
        <v>0</v>
      </c>
      <c r="BR5" s="96">
        <v>91.816000000000003</v>
      </c>
      <c r="BS5" s="96">
        <v>0</v>
      </c>
      <c r="BT5" s="96" t="s">
        <v>777</v>
      </c>
      <c r="BU5" s="96" t="s">
        <v>777</v>
      </c>
      <c r="BV5" s="96" t="s">
        <v>777</v>
      </c>
      <c r="BW5" s="96" t="s">
        <v>777</v>
      </c>
      <c r="BX5" s="96" t="s">
        <v>777</v>
      </c>
      <c r="BY5" s="96" t="s">
        <v>777</v>
      </c>
      <c r="BZ5" s="96" t="s">
        <v>777</v>
      </c>
      <c r="CA5" s="96">
        <v>-161044181.53846201</v>
      </c>
      <c r="CB5" s="96">
        <v>163668676081.53799</v>
      </c>
      <c r="CC5" s="96">
        <v>163507631900</v>
      </c>
      <c r="CD5" s="96">
        <v>127671215212.894</v>
      </c>
      <c r="CE5" s="96">
        <v>127671215212.895</v>
      </c>
      <c r="CF5" s="96">
        <v>127671215212.894</v>
      </c>
      <c r="CG5" s="96">
        <v>1</v>
      </c>
    </row>
    <row r="6" spans="1:85" x14ac:dyDescent="0.3">
      <c r="A6" t="s">
        <v>638</v>
      </c>
      <c r="B6" t="s">
        <v>784</v>
      </c>
      <c r="C6" t="s">
        <v>39</v>
      </c>
      <c r="F6" s="20">
        <v>48297</v>
      </c>
      <c r="G6" t="s">
        <v>36</v>
      </c>
      <c r="H6" s="144">
        <v>115.62123298327199</v>
      </c>
      <c r="I6" s="96">
        <v>115.621232983</v>
      </c>
      <c r="J6" s="96">
        <v>1</v>
      </c>
      <c r="K6" s="96">
        <v>0</v>
      </c>
      <c r="L6" s="96">
        <v>3976106</v>
      </c>
      <c r="M6" s="96">
        <v>397610600000</v>
      </c>
      <c r="N6" s="96">
        <v>397610600000</v>
      </c>
      <c r="O6" s="96">
        <v>100</v>
      </c>
      <c r="P6" s="96">
        <v>0</v>
      </c>
      <c r="Q6" s="96">
        <v>1</v>
      </c>
      <c r="R6" s="96">
        <v>270</v>
      </c>
      <c r="S6" s="96">
        <v>8.8580873219999994</v>
      </c>
      <c r="T6" s="96">
        <v>8.8580873219999994</v>
      </c>
      <c r="U6" s="96">
        <v>7.6734593340000004</v>
      </c>
      <c r="V6" s="96">
        <v>459722278191.09998</v>
      </c>
      <c r="W6" s="96">
        <v>7.375</v>
      </c>
      <c r="X6" s="143">
        <v>2.7480000000000002</v>
      </c>
      <c r="Y6" s="96">
        <v>4.04</v>
      </c>
      <c r="Z6" s="96">
        <v>0</v>
      </c>
      <c r="AA6" s="96">
        <v>0</v>
      </c>
      <c r="AB6" s="96">
        <v>0</v>
      </c>
      <c r="AC6" s="96">
        <v>0</v>
      </c>
      <c r="AD6" s="96">
        <v>-5922188992.2222204</v>
      </c>
      <c r="AE6" s="96">
        <v>0</v>
      </c>
      <c r="AF6" s="96">
        <v>10926121417.2717</v>
      </c>
      <c r="AG6" s="96">
        <v>5003932425.0495005</v>
      </c>
      <c r="AH6" s="96" t="s">
        <v>903</v>
      </c>
      <c r="AI6" s="96">
        <v>0</v>
      </c>
      <c r="AJ6" s="96">
        <v>72.968000000000004</v>
      </c>
      <c r="AK6" s="96">
        <v>4.5995360160000001</v>
      </c>
      <c r="AL6" s="96">
        <v>0</v>
      </c>
      <c r="AM6" s="143">
        <v>5.9544980580000004</v>
      </c>
      <c r="AN6" s="96">
        <v>0</v>
      </c>
      <c r="AO6" s="96">
        <v>0.53327450566729995</v>
      </c>
      <c r="AP6" s="96">
        <v>0.56502832999999997</v>
      </c>
      <c r="AQ6" s="96">
        <v>8.5701202611235008</v>
      </c>
      <c r="AR6" s="96">
        <v>39398.752108247303</v>
      </c>
      <c r="AS6" s="96">
        <v>-25098.479264484999</v>
      </c>
      <c r="AT6" s="96">
        <v>0</v>
      </c>
      <c r="AU6" s="96" t="s">
        <v>915</v>
      </c>
      <c r="AV6" s="96">
        <v>0</v>
      </c>
      <c r="AW6" s="96">
        <v>0</v>
      </c>
      <c r="AX6" s="96">
        <v>0</v>
      </c>
      <c r="AY6" s="96" t="s">
        <v>776</v>
      </c>
      <c r="AZ6" s="96" t="s">
        <v>776</v>
      </c>
      <c r="BA6" s="96" t="s">
        <v>777</v>
      </c>
      <c r="BB6" s="96" t="s">
        <v>777</v>
      </c>
      <c r="BC6" s="96" t="s">
        <v>777</v>
      </c>
      <c r="BD6" s="96">
        <v>0</v>
      </c>
      <c r="BE6" s="96">
        <v>0</v>
      </c>
      <c r="BF6" s="96">
        <v>0</v>
      </c>
      <c r="BG6" s="96">
        <v>0</v>
      </c>
      <c r="BH6" s="96">
        <v>0</v>
      </c>
      <c r="BI6" s="96">
        <v>0</v>
      </c>
      <c r="BJ6" s="96">
        <v>0</v>
      </c>
      <c r="BK6" s="96">
        <v>0</v>
      </c>
      <c r="BL6" s="96">
        <v>0</v>
      </c>
      <c r="BM6" s="96">
        <v>0</v>
      </c>
      <c r="BN6" s="96">
        <v>0</v>
      </c>
      <c r="BO6" s="96">
        <v>0</v>
      </c>
      <c r="BP6" s="96">
        <v>0</v>
      </c>
      <c r="BQ6" s="96">
        <v>0</v>
      </c>
      <c r="BR6" s="96">
        <v>0.01</v>
      </c>
      <c r="BS6" s="96">
        <v>0</v>
      </c>
      <c r="BT6" s="96" t="s">
        <v>777</v>
      </c>
      <c r="BU6" s="96" t="s">
        <v>777</v>
      </c>
      <c r="BV6" s="96" t="s">
        <v>777</v>
      </c>
      <c r="BW6" s="96" t="s">
        <v>777</v>
      </c>
      <c r="BX6" s="96" t="s">
        <v>777</v>
      </c>
      <c r="BY6" s="96" t="s">
        <v>777</v>
      </c>
      <c r="BZ6" s="96" t="s">
        <v>777</v>
      </c>
      <c r="CA6" s="96">
        <v>0</v>
      </c>
      <c r="CB6" s="96">
        <v>62111678191.104103</v>
      </c>
      <c r="CC6" s="96">
        <v>62111678191.104103</v>
      </c>
      <c r="CD6" s="96">
        <v>56189489198.881897</v>
      </c>
      <c r="CE6" s="96">
        <v>56189489198.882004</v>
      </c>
      <c r="CF6" s="96">
        <v>56189489198.881897</v>
      </c>
      <c r="CG6" s="96">
        <v>1</v>
      </c>
    </row>
    <row r="7" spans="1:85" x14ac:dyDescent="0.3">
      <c r="A7" t="s">
        <v>601</v>
      </c>
      <c r="B7" t="s">
        <v>785</v>
      </c>
      <c r="C7" t="s">
        <v>35</v>
      </c>
      <c r="F7" s="20">
        <v>46533</v>
      </c>
      <c r="G7" t="s">
        <v>36</v>
      </c>
      <c r="H7" s="144">
        <v>102.126609793957</v>
      </c>
      <c r="I7" s="96">
        <v>102.126609794</v>
      </c>
      <c r="J7" s="96">
        <v>1</v>
      </c>
      <c r="K7" s="96">
        <v>0</v>
      </c>
      <c r="L7" s="96">
        <v>400</v>
      </c>
      <c r="M7" s="96">
        <v>400000000000</v>
      </c>
      <c r="N7" s="96">
        <v>400000000000</v>
      </c>
      <c r="O7" s="96">
        <v>100</v>
      </c>
      <c r="P7" s="96">
        <v>0</v>
      </c>
      <c r="Q7" s="96">
        <v>0</v>
      </c>
      <c r="R7" s="96">
        <v>0</v>
      </c>
      <c r="S7" s="96">
        <v>6.7766850999999999</v>
      </c>
      <c r="T7" s="96">
        <v>6.7766850999999999</v>
      </c>
      <c r="U7" s="96">
        <v>6.8</v>
      </c>
      <c r="V7" s="96">
        <v>408506439176</v>
      </c>
      <c r="W7" s="96">
        <v>6.8</v>
      </c>
      <c r="X7" s="143">
        <v>1.49</v>
      </c>
      <c r="Y7" s="96">
        <v>3.59</v>
      </c>
      <c r="Z7" s="96">
        <v>0</v>
      </c>
      <c r="AA7" s="96">
        <v>0</v>
      </c>
      <c r="AB7" s="96">
        <v>0</v>
      </c>
      <c r="AC7" s="96">
        <v>0</v>
      </c>
      <c r="AD7" s="96">
        <v>-3298888888.8888798</v>
      </c>
      <c r="AE7" s="96">
        <v>-420000000</v>
      </c>
      <c r="AF7" s="96">
        <v>5961643836</v>
      </c>
      <c r="AG7" s="96">
        <v>2242754947.1111102</v>
      </c>
      <c r="AH7" s="96" t="s">
        <v>904</v>
      </c>
      <c r="AI7" s="96">
        <v>0</v>
      </c>
      <c r="AJ7" s="96">
        <v>0</v>
      </c>
      <c r="AK7" s="96">
        <v>0</v>
      </c>
      <c r="AL7" s="96">
        <v>0</v>
      </c>
      <c r="AM7" s="143">
        <v>5.4952204409999998</v>
      </c>
      <c r="AN7" s="96">
        <v>0</v>
      </c>
      <c r="AO7" s="96">
        <v>1.6283964358767999</v>
      </c>
      <c r="AP7" s="96">
        <v>1.71788041</v>
      </c>
      <c r="AQ7" s="96">
        <v>4.2482440255123999</v>
      </c>
      <c r="AR7" s="96">
        <v>17607.615574213101</v>
      </c>
      <c r="AS7" s="96">
        <v>-67491.834916142005</v>
      </c>
      <c r="AT7" s="96">
        <v>0</v>
      </c>
      <c r="AU7" s="96" t="s">
        <v>916</v>
      </c>
      <c r="AV7" s="96">
        <v>0</v>
      </c>
      <c r="AW7" s="96">
        <v>0</v>
      </c>
      <c r="AX7" s="96">
        <v>0</v>
      </c>
      <c r="AY7" s="96" t="s">
        <v>776</v>
      </c>
      <c r="AZ7" s="96" t="s">
        <v>776</v>
      </c>
      <c r="BA7" s="96" t="s">
        <v>777</v>
      </c>
      <c r="BB7" s="96" t="s">
        <v>777</v>
      </c>
      <c r="BC7" s="96" t="s">
        <v>777</v>
      </c>
      <c r="BD7" s="96">
        <v>0</v>
      </c>
      <c r="BE7" s="96">
        <v>0</v>
      </c>
      <c r="BF7" s="96">
        <v>0</v>
      </c>
      <c r="BG7" s="96">
        <v>0</v>
      </c>
      <c r="BH7" s="96">
        <v>0</v>
      </c>
      <c r="BI7" s="96">
        <v>0</v>
      </c>
      <c r="BJ7" s="96">
        <v>0</v>
      </c>
      <c r="BK7" s="96">
        <v>0</v>
      </c>
      <c r="BL7" s="96">
        <v>0</v>
      </c>
      <c r="BM7" s="96">
        <v>0</v>
      </c>
      <c r="BN7" s="96">
        <v>0</v>
      </c>
      <c r="BO7" s="96">
        <v>0</v>
      </c>
      <c r="BP7" s="96">
        <v>0</v>
      </c>
      <c r="BQ7" s="96">
        <v>0</v>
      </c>
      <c r="BR7" s="96">
        <v>44.018999999999998</v>
      </c>
      <c r="BS7" s="96">
        <v>0</v>
      </c>
      <c r="BT7" s="96" t="s">
        <v>777</v>
      </c>
      <c r="BU7" s="96" t="s">
        <v>777</v>
      </c>
      <c r="BV7" s="96" t="s">
        <v>777</v>
      </c>
      <c r="BW7" s="96" t="s">
        <v>777</v>
      </c>
      <c r="BX7" s="96" t="s">
        <v>777</v>
      </c>
      <c r="BY7" s="96" t="s">
        <v>777</v>
      </c>
      <c r="BZ7" s="96" t="s">
        <v>777</v>
      </c>
      <c r="CA7" s="96">
        <v>0</v>
      </c>
      <c r="CB7" s="96">
        <v>8506439176.00002</v>
      </c>
      <c r="CC7" s="96">
        <v>8506439176.00002</v>
      </c>
      <c r="CD7" s="96">
        <v>4787550287.1111298</v>
      </c>
      <c r="CE7" s="96">
        <v>4787550287.1110001</v>
      </c>
      <c r="CF7" s="96">
        <v>4787550287.1111298</v>
      </c>
      <c r="CG7" s="96">
        <v>1</v>
      </c>
    </row>
    <row r="8" spans="1:85" x14ac:dyDescent="0.3">
      <c r="A8" t="s">
        <v>640</v>
      </c>
      <c r="B8" t="s">
        <v>786</v>
      </c>
      <c r="C8" t="s">
        <v>35</v>
      </c>
      <c r="E8" t="s">
        <v>905</v>
      </c>
      <c r="F8" s="20">
        <v>46582</v>
      </c>
      <c r="G8" t="s">
        <v>36</v>
      </c>
      <c r="H8" s="144">
        <v>99.382660208062603</v>
      </c>
      <c r="I8" s="96">
        <v>99.382660208000004</v>
      </c>
      <c r="J8" s="96">
        <v>1</v>
      </c>
      <c r="K8" s="96">
        <v>0</v>
      </c>
      <c r="L8" s="96">
        <v>30000</v>
      </c>
      <c r="M8" s="96">
        <v>3000000000000</v>
      </c>
      <c r="N8" s="96">
        <v>3000000000000</v>
      </c>
      <c r="O8" s="96">
        <v>100</v>
      </c>
      <c r="P8" s="96">
        <v>0</v>
      </c>
      <c r="Q8" s="96">
        <v>0</v>
      </c>
      <c r="R8" s="96">
        <v>0</v>
      </c>
      <c r="S8" s="96">
        <v>5.1955293549999997</v>
      </c>
      <c r="T8" s="96">
        <v>5.1955293549999997</v>
      </c>
      <c r="U8" s="96">
        <v>5.2</v>
      </c>
      <c r="V8" s="96">
        <v>2981479806240</v>
      </c>
      <c r="W8" s="96">
        <v>5.2</v>
      </c>
      <c r="X8" s="143">
        <v>0.34200000000000003</v>
      </c>
      <c r="Y8" s="96">
        <v>26.2</v>
      </c>
      <c r="Z8" s="96">
        <v>0</v>
      </c>
      <c r="AA8" s="96">
        <v>0</v>
      </c>
      <c r="AB8" s="96">
        <v>0</v>
      </c>
      <c r="AC8" s="96">
        <v>0</v>
      </c>
      <c r="AD8" s="96">
        <v>-10291666666.666599</v>
      </c>
      <c r="AE8" s="96">
        <v>0</v>
      </c>
      <c r="AF8" s="96">
        <v>10257534239.999901</v>
      </c>
      <c r="AG8" s="96">
        <v>-34132426.666658796</v>
      </c>
      <c r="AH8" s="96" t="s">
        <v>906</v>
      </c>
      <c r="AI8" s="96">
        <v>0</v>
      </c>
      <c r="AJ8" s="96">
        <v>0</v>
      </c>
      <c r="AK8" s="96">
        <v>0</v>
      </c>
      <c r="AL8" s="96">
        <v>0</v>
      </c>
      <c r="AM8" s="143">
        <v>5.5405442860000003</v>
      </c>
      <c r="AN8" s="96">
        <v>0</v>
      </c>
      <c r="AO8" s="96">
        <v>1.7857259070138001</v>
      </c>
      <c r="AP8" s="96">
        <v>1.8846648399999999</v>
      </c>
      <c r="AQ8" s="96">
        <v>4.9231035645023002</v>
      </c>
      <c r="AR8" s="96">
        <v>147286.327649718</v>
      </c>
      <c r="AS8" s="96">
        <v>-534242.28758756095</v>
      </c>
      <c r="AT8" s="96">
        <v>0</v>
      </c>
      <c r="AU8" s="96" t="s">
        <v>917</v>
      </c>
      <c r="AV8" s="96">
        <v>0</v>
      </c>
      <c r="AW8" s="96">
        <v>0</v>
      </c>
      <c r="AX8" s="96">
        <v>0</v>
      </c>
      <c r="AY8" s="96" t="s">
        <v>776</v>
      </c>
      <c r="AZ8" s="96" t="s">
        <v>776</v>
      </c>
      <c r="BA8" s="96" t="s">
        <v>777</v>
      </c>
      <c r="BB8" s="96" t="s">
        <v>777</v>
      </c>
      <c r="BC8" s="96" t="s">
        <v>777</v>
      </c>
      <c r="BD8" s="96">
        <v>0</v>
      </c>
      <c r="BE8" s="96">
        <v>0</v>
      </c>
      <c r="BF8" s="96">
        <v>0</v>
      </c>
      <c r="BG8" s="96">
        <v>0</v>
      </c>
      <c r="BH8" s="96">
        <v>0</v>
      </c>
      <c r="BI8" s="96">
        <v>0</v>
      </c>
      <c r="BJ8" s="96">
        <v>0</v>
      </c>
      <c r="BK8" s="96">
        <v>0</v>
      </c>
      <c r="BL8" s="96">
        <v>0</v>
      </c>
      <c r="BM8" s="96">
        <v>0</v>
      </c>
      <c r="BN8" s="96">
        <v>0</v>
      </c>
      <c r="BO8" s="96">
        <v>0</v>
      </c>
      <c r="BP8" s="96">
        <v>0</v>
      </c>
      <c r="BQ8" s="96">
        <v>0</v>
      </c>
      <c r="BR8" s="96">
        <v>4.91</v>
      </c>
      <c r="BS8" s="96">
        <v>0</v>
      </c>
      <c r="BT8" s="96" t="s">
        <v>777</v>
      </c>
      <c r="BU8" s="96" t="s">
        <v>777</v>
      </c>
      <c r="BV8" s="96" t="s">
        <v>777</v>
      </c>
      <c r="BW8" s="96" t="s">
        <v>777</v>
      </c>
      <c r="BX8" s="96" t="s">
        <v>777</v>
      </c>
      <c r="BY8" s="96" t="s">
        <v>777</v>
      </c>
      <c r="BZ8" s="96" t="s">
        <v>777</v>
      </c>
      <c r="CA8" s="96">
        <v>0</v>
      </c>
      <c r="CB8" s="96">
        <v>-18520193759.999802</v>
      </c>
      <c r="CC8" s="96">
        <v>-18520193759.999802</v>
      </c>
      <c r="CD8" s="96">
        <v>-28811860426.6665</v>
      </c>
      <c r="CE8" s="96">
        <v>-28811860426.667</v>
      </c>
      <c r="CF8" s="96">
        <v>-28811860426.6665</v>
      </c>
      <c r="CG8" s="96">
        <v>1</v>
      </c>
    </row>
    <row r="9" spans="1:85" x14ac:dyDescent="0.3">
      <c r="A9" t="s">
        <v>43</v>
      </c>
      <c r="B9" t="s">
        <v>787</v>
      </c>
      <c r="C9" t="s">
        <v>35</v>
      </c>
      <c r="F9" s="20">
        <v>46637</v>
      </c>
      <c r="G9" t="s">
        <v>36</v>
      </c>
      <c r="H9" s="144">
        <v>105.74998698612001</v>
      </c>
      <c r="I9" s="96">
        <v>105.749986986</v>
      </c>
      <c r="J9" s="96">
        <v>1</v>
      </c>
      <c r="K9" s="96">
        <v>0</v>
      </c>
      <c r="L9" s="96">
        <v>5000</v>
      </c>
      <c r="M9" s="96">
        <v>500000000000</v>
      </c>
      <c r="N9" s="96">
        <v>500000000000</v>
      </c>
      <c r="O9" s="96">
        <v>99.278000000000006</v>
      </c>
      <c r="P9" s="96">
        <v>0</v>
      </c>
      <c r="Q9" s="96">
        <v>0</v>
      </c>
      <c r="R9" s="96">
        <v>0</v>
      </c>
      <c r="S9" s="96">
        <v>9</v>
      </c>
      <c r="T9" s="96">
        <v>9</v>
      </c>
      <c r="U9" s="96">
        <v>8.4</v>
      </c>
      <c r="V9" s="96">
        <v>528749934930</v>
      </c>
      <c r="W9" s="96">
        <v>8.6</v>
      </c>
      <c r="X9" s="143">
        <v>7.87</v>
      </c>
      <c r="Y9" s="96">
        <v>4.6500000000000004</v>
      </c>
      <c r="Z9" s="96">
        <v>296000000000</v>
      </c>
      <c r="AA9" s="96">
        <v>323342241249.99902</v>
      </c>
      <c r="AB9" s="96">
        <v>0</v>
      </c>
      <c r="AC9" s="96">
        <v>0</v>
      </c>
      <c r="AD9" s="96">
        <v>-87069652777.777405</v>
      </c>
      <c r="AE9" s="96">
        <v>0</v>
      </c>
      <c r="AF9" s="96">
        <v>39347945205</v>
      </c>
      <c r="AG9" s="96">
        <v>275620533677.22198</v>
      </c>
      <c r="AH9" s="96" t="s">
        <v>907</v>
      </c>
      <c r="AI9" s="96">
        <v>0</v>
      </c>
      <c r="AJ9" s="96">
        <v>0</v>
      </c>
      <c r="AK9" s="96">
        <v>0</v>
      </c>
      <c r="AL9" s="96">
        <v>0</v>
      </c>
      <c r="AM9" s="143">
        <v>5.6</v>
      </c>
      <c r="AN9" s="96">
        <v>0</v>
      </c>
      <c r="AO9" s="96">
        <v>1.7638445454664999</v>
      </c>
      <c r="AP9" s="96">
        <v>1.86261984</v>
      </c>
      <c r="AQ9" s="96">
        <v>5.0718934668384996</v>
      </c>
      <c r="AR9" s="96">
        <v>28813.319267814801</v>
      </c>
      <c r="AS9" s="96">
        <v>-100203.63471672</v>
      </c>
      <c r="AT9" s="96">
        <v>0</v>
      </c>
      <c r="AU9" s="96" t="s">
        <v>918</v>
      </c>
      <c r="AV9" s="96">
        <v>0</v>
      </c>
      <c r="AW9" s="96">
        <v>0</v>
      </c>
      <c r="AX9" s="96">
        <v>0</v>
      </c>
      <c r="AY9" s="96" t="s">
        <v>776</v>
      </c>
      <c r="AZ9" s="96" t="s">
        <v>776</v>
      </c>
      <c r="BA9" s="96" t="s">
        <v>777</v>
      </c>
      <c r="BB9" s="96" t="s">
        <v>777</v>
      </c>
      <c r="BC9" s="96" t="s">
        <v>777</v>
      </c>
      <c r="BD9" s="96">
        <v>0</v>
      </c>
      <c r="BE9" s="96">
        <v>0</v>
      </c>
      <c r="BF9" s="96">
        <v>0</v>
      </c>
      <c r="BG9" s="96">
        <v>0</v>
      </c>
      <c r="BH9" s="96">
        <v>0</v>
      </c>
      <c r="BI9" s="96">
        <v>0</v>
      </c>
      <c r="BJ9" s="96">
        <v>0</v>
      </c>
      <c r="BK9" s="96">
        <v>0</v>
      </c>
      <c r="BL9" s="96">
        <v>0</v>
      </c>
      <c r="BM9" s="96">
        <v>0</v>
      </c>
      <c r="BN9" s="96">
        <v>0</v>
      </c>
      <c r="BO9" s="96">
        <v>0</v>
      </c>
      <c r="BP9" s="96">
        <v>0</v>
      </c>
      <c r="BQ9" s="96">
        <v>0</v>
      </c>
      <c r="BR9" s="96">
        <v>5.7629999999999999</v>
      </c>
      <c r="BS9" s="96">
        <v>0</v>
      </c>
      <c r="BT9" s="96" t="s">
        <v>777</v>
      </c>
      <c r="BU9" s="96" t="s">
        <v>777</v>
      </c>
      <c r="BV9" s="96" t="s">
        <v>777</v>
      </c>
      <c r="BW9" s="96" t="s">
        <v>777</v>
      </c>
      <c r="BX9" s="96" t="s">
        <v>777</v>
      </c>
      <c r="BY9" s="96" t="s">
        <v>777</v>
      </c>
      <c r="BZ9" s="96" t="s">
        <v>777</v>
      </c>
      <c r="CA9" s="96">
        <v>-3608872432.49997</v>
      </c>
      <c r="CB9" s="96">
        <v>32358807362.499901</v>
      </c>
      <c r="CC9" s="96">
        <v>28749934930</v>
      </c>
      <c r="CD9" s="96">
        <v>265022523402.22198</v>
      </c>
      <c r="CE9" s="96">
        <v>265022523402.22198</v>
      </c>
      <c r="CF9" s="96">
        <v>265022523402.22198</v>
      </c>
      <c r="CG9" s="96">
        <v>1</v>
      </c>
    </row>
    <row r="10" spans="1:85" s="79" customFormat="1" x14ac:dyDescent="0.3">
      <c r="A10" s="79" t="s">
        <v>393</v>
      </c>
      <c r="B10" s="79" t="s">
        <v>788</v>
      </c>
      <c r="C10" s="79" t="s">
        <v>35</v>
      </c>
      <c r="F10" s="146">
        <v>46719</v>
      </c>
      <c r="G10" s="79" t="s">
        <v>36</v>
      </c>
      <c r="H10" s="144">
        <v>99.555397643873306</v>
      </c>
      <c r="I10" s="141">
        <v>99.555397643999996</v>
      </c>
      <c r="J10" s="141">
        <v>1</v>
      </c>
      <c r="K10" s="141">
        <v>0</v>
      </c>
      <c r="L10" s="141">
        <v>1000</v>
      </c>
      <c r="M10" s="141">
        <v>1000000000000</v>
      </c>
      <c r="N10" s="141">
        <v>1000000000000</v>
      </c>
      <c r="O10" s="141">
        <v>100</v>
      </c>
      <c r="P10" s="141">
        <v>0</v>
      </c>
      <c r="Q10" s="141">
        <v>0</v>
      </c>
      <c r="R10" s="141">
        <v>0</v>
      </c>
      <c r="S10" s="141">
        <v>5.4851122200000004</v>
      </c>
      <c r="T10" s="141">
        <v>5.4779828190000002</v>
      </c>
      <c r="U10" s="141">
        <v>5.5</v>
      </c>
      <c r="V10" s="141">
        <v>995553976440</v>
      </c>
      <c r="W10" s="141">
        <v>5.5</v>
      </c>
      <c r="X10" s="143">
        <v>3.7970000000000002</v>
      </c>
      <c r="Y10" s="141">
        <v>8.75</v>
      </c>
      <c r="Z10" s="141">
        <v>0</v>
      </c>
      <c r="AA10" s="141">
        <v>0</v>
      </c>
      <c r="AB10" s="141">
        <v>0</v>
      </c>
      <c r="AC10" s="141">
        <v>0</v>
      </c>
      <c r="AD10" s="141">
        <v>-28373611111.111099</v>
      </c>
      <c r="AE10" s="141">
        <v>0</v>
      </c>
      <c r="AF10" s="141">
        <v>37972602740</v>
      </c>
      <c r="AG10" s="141">
        <v>9598991628.8888798</v>
      </c>
      <c r="AH10" s="141" t="s">
        <v>908</v>
      </c>
      <c r="AI10" s="141">
        <v>0</v>
      </c>
      <c r="AJ10" s="141">
        <v>0</v>
      </c>
      <c r="AK10" s="141">
        <v>5.0859372729999999</v>
      </c>
      <c r="AL10" s="141">
        <v>5.0859372729999999</v>
      </c>
      <c r="AM10" s="143">
        <v>5.6953696210000002</v>
      </c>
      <c r="AN10" s="141">
        <v>0</v>
      </c>
      <c r="AO10" s="141">
        <v>2.0393273778191001</v>
      </c>
      <c r="AP10" s="141">
        <v>2.1554746100000002</v>
      </c>
      <c r="AQ10" s="141">
        <v>6.2986382145487001</v>
      </c>
      <c r="AR10" s="141">
        <v>65098.100073749498</v>
      </c>
      <c r="AS10" s="141">
        <v>-210769.90486254499</v>
      </c>
      <c r="AT10" s="141">
        <v>0</v>
      </c>
      <c r="AU10" s="141" t="s">
        <v>919</v>
      </c>
      <c r="AV10" s="141">
        <v>0</v>
      </c>
      <c r="AW10" s="141">
        <v>0</v>
      </c>
      <c r="AX10" s="141">
        <v>0</v>
      </c>
      <c r="AY10" s="141" t="s">
        <v>776</v>
      </c>
      <c r="AZ10" s="141" t="s">
        <v>776</v>
      </c>
      <c r="BA10" s="141" t="s">
        <v>777</v>
      </c>
      <c r="BB10" s="141" t="s">
        <v>777</v>
      </c>
      <c r="BC10" s="141" t="s">
        <v>777</v>
      </c>
      <c r="BD10" s="141">
        <v>0</v>
      </c>
      <c r="BE10" s="141">
        <v>0</v>
      </c>
      <c r="BF10" s="141">
        <v>0</v>
      </c>
      <c r="BG10" s="141">
        <v>0</v>
      </c>
      <c r="BH10" s="141">
        <v>0</v>
      </c>
      <c r="BI10" s="141">
        <v>0</v>
      </c>
      <c r="BJ10" s="141">
        <v>0</v>
      </c>
      <c r="BK10" s="141">
        <v>0</v>
      </c>
      <c r="BL10" s="141">
        <v>0</v>
      </c>
      <c r="BM10" s="141">
        <v>0</v>
      </c>
      <c r="BN10" s="141">
        <v>0</v>
      </c>
      <c r="BO10" s="141">
        <v>0</v>
      </c>
      <c r="BP10" s="141">
        <v>0</v>
      </c>
      <c r="BQ10" s="141">
        <v>0</v>
      </c>
      <c r="BR10" s="141">
        <v>65.097999999999999</v>
      </c>
      <c r="BS10" s="141">
        <v>0</v>
      </c>
      <c r="BT10" s="141" t="s">
        <v>777</v>
      </c>
      <c r="BU10" s="141" t="s">
        <v>777</v>
      </c>
      <c r="BV10" s="141" t="s">
        <v>777</v>
      </c>
      <c r="BW10" s="141" t="s">
        <v>777</v>
      </c>
      <c r="BX10" s="141" t="s">
        <v>777</v>
      </c>
      <c r="BY10" s="141" t="s">
        <v>777</v>
      </c>
      <c r="BZ10" s="141" t="s">
        <v>777</v>
      </c>
      <c r="CA10" s="141">
        <v>0</v>
      </c>
      <c r="CB10" s="141">
        <v>-4446023560.0000601</v>
      </c>
      <c r="CC10" s="141">
        <v>-4446023560.0000601</v>
      </c>
      <c r="CD10" s="141">
        <v>-32819634671.111099</v>
      </c>
      <c r="CE10" s="141">
        <v>-32819634671.111</v>
      </c>
      <c r="CF10" s="141">
        <v>-32819634671.111099</v>
      </c>
      <c r="CG10" s="141">
        <v>1</v>
      </c>
    </row>
    <row r="11" spans="1:85" x14ac:dyDescent="0.3">
      <c r="A11" t="s">
        <v>562</v>
      </c>
      <c r="B11" t="s">
        <v>789</v>
      </c>
      <c r="C11" t="s">
        <v>35</v>
      </c>
      <c r="F11" s="20">
        <v>46866</v>
      </c>
      <c r="G11" t="s">
        <v>36</v>
      </c>
      <c r="H11" s="144">
        <v>100.324887021621</v>
      </c>
      <c r="I11" s="96">
        <v>100.324887022</v>
      </c>
      <c r="J11" s="96">
        <v>1</v>
      </c>
      <c r="K11" s="96">
        <v>0</v>
      </c>
      <c r="L11" s="96">
        <v>700</v>
      </c>
      <c r="M11" s="96">
        <v>700000000000</v>
      </c>
      <c r="N11" s="96">
        <v>700000000000</v>
      </c>
      <c r="O11" s="96">
        <v>100</v>
      </c>
      <c r="P11" s="96">
        <v>0</v>
      </c>
      <c r="Q11" s="96">
        <v>0</v>
      </c>
      <c r="R11" s="96">
        <v>0</v>
      </c>
      <c r="S11" s="96">
        <v>5.9851456689999996</v>
      </c>
      <c r="T11" s="96">
        <v>5.9792498089999997</v>
      </c>
      <c r="U11" s="96">
        <v>5.9998478359999998</v>
      </c>
      <c r="V11" s="96">
        <v>702274209154</v>
      </c>
      <c r="W11" s="96">
        <v>6</v>
      </c>
      <c r="X11" s="143">
        <v>1.742</v>
      </c>
      <c r="Y11" s="96">
        <v>6.17</v>
      </c>
      <c r="Z11" s="96">
        <v>0</v>
      </c>
      <c r="AA11" s="96">
        <v>0</v>
      </c>
      <c r="AB11" s="96">
        <v>0</v>
      </c>
      <c r="AC11" s="96">
        <v>0</v>
      </c>
      <c r="AD11" s="96">
        <v>-8057777777.77777</v>
      </c>
      <c r="AE11" s="96">
        <v>0</v>
      </c>
      <c r="AF11" s="96">
        <v>12197260271</v>
      </c>
      <c r="AG11" s="96">
        <v>4139482493.2222199</v>
      </c>
      <c r="AH11" s="96" t="s">
        <v>909</v>
      </c>
      <c r="AI11" s="96">
        <v>0</v>
      </c>
      <c r="AJ11" s="96">
        <v>0</v>
      </c>
      <c r="AK11" s="96">
        <v>5.4683432920000001</v>
      </c>
      <c r="AL11" s="96">
        <v>5.4683432920000001</v>
      </c>
      <c r="AM11" s="143">
        <v>5.8524922909999999</v>
      </c>
      <c r="AN11" s="96">
        <v>0</v>
      </c>
      <c r="AO11" s="96">
        <v>2.4050176709758002</v>
      </c>
      <c r="AP11" s="96">
        <v>2.5457711399999998</v>
      </c>
      <c r="AQ11" s="96">
        <v>8.2813698520801999</v>
      </c>
      <c r="AR11" s="96">
        <v>59168.024870676199</v>
      </c>
      <c r="AS11" s="96">
        <v>-171831.65093751799</v>
      </c>
      <c r="AT11" s="96">
        <v>0</v>
      </c>
      <c r="AU11" s="96" t="s">
        <v>920</v>
      </c>
      <c r="AV11" s="96">
        <v>0</v>
      </c>
      <c r="AW11" s="96">
        <v>0</v>
      </c>
      <c r="AX11" s="96">
        <v>0</v>
      </c>
      <c r="AY11" s="96" t="s">
        <v>776</v>
      </c>
      <c r="AZ11" s="96" t="s">
        <v>776</v>
      </c>
      <c r="BA11" s="96" t="s">
        <v>777</v>
      </c>
      <c r="BB11" s="96" t="s">
        <v>777</v>
      </c>
      <c r="BC11" s="96" t="s">
        <v>777</v>
      </c>
      <c r="BD11" s="96">
        <v>0</v>
      </c>
      <c r="BE11" s="96">
        <v>0</v>
      </c>
      <c r="BF11" s="96">
        <v>0</v>
      </c>
      <c r="BG11" s="96">
        <v>0</v>
      </c>
      <c r="BH11" s="96">
        <v>0</v>
      </c>
      <c r="BI11" s="96">
        <v>0</v>
      </c>
      <c r="BJ11" s="96">
        <v>0</v>
      </c>
      <c r="BK11" s="96">
        <v>0</v>
      </c>
      <c r="BL11" s="96">
        <v>0</v>
      </c>
      <c r="BM11" s="96">
        <v>0</v>
      </c>
      <c r="BN11" s="96">
        <v>0</v>
      </c>
      <c r="BO11" s="96">
        <v>0</v>
      </c>
      <c r="BP11" s="96">
        <v>0</v>
      </c>
      <c r="BQ11" s="96">
        <v>0</v>
      </c>
      <c r="BR11" s="96">
        <v>84.525999999999996</v>
      </c>
      <c r="BS11" s="96">
        <v>0</v>
      </c>
      <c r="BT11" s="96" t="s">
        <v>777</v>
      </c>
      <c r="BU11" s="96" t="s">
        <v>777</v>
      </c>
      <c r="BV11" s="96" t="s">
        <v>777</v>
      </c>
      <c r="BW11" s="96" t="s">
        <v>777</v>
      </c>
      <c r="BX11" s="96" t="s">
        <v>777</v>
      </c>
      <c r="BY11" s="96" t="s">
        <v>777</v>
      </c>
      <c r="BZ11" s="96" t="s">
        <v>777</v>
      </c>
      <c r="CA11" s="96">
        <v>0</v>
      </c>
      <c r="CB11" s="96">
        <v>2274209154.00002</v>
      </c>
      <c r="CC11" s="96">
        <v>2274209154.00002</v>
      </c>
      <c r="CD11" s="96">
        <v>-5783568623.77775</v>
      </c>
      <c r="CE11" s="96">
        <v>-5783568623.7779999</v>
      </c>
      <c r="CF11" s="96">
        <v>-5783568623.77775</v>
      </c>
      <c r="CG11" s="96">
        <v>1</v>
      </c>
    </row>
    <row r="12" spans="1:85" s="139" customFormat="1" x14ac:dyDescent="0.3">
      <c r="A12" s="139" t="s">
        <v>630</v>
      </c>
      <c r="B12" s="139" t="s">
        <v>790</v>
      </c>
      <c r="C12" s="139" t="s">
        <v>35</v>
      </c>
      <c r="F12" s="140">
        <v>46920</v>
      </c>
      <c r="G12" s="139" t="s">
        <v>36</v>
      </c>
      <c r="H12" s="144">
        <v>99.7085374547936</v>
      </c>
      <c r="I12" s="142">
        <v>99.708537454999998</v>
      </c>
      <c r="J12" s="142">
        <v>1</v>
      </c>
      <c r="K12" s="142">
        <v>0</v>
      </c>
      <c r="L12" s="142">
        <v>1000</v>
      </c>
      <c r="M12" s="142">
        <v>1000000000000</v>
      </c>
      <c r="N12" s="142">
        <v>1000000000000</v>
      </c>
      <c r="O12" s="142">
        <v>100</v>
      </c>
      <c r="P12" s="142">
        <v>0</v>
      </c>
      <c r="Q12" s="142">
        <v>0</v>
      </c>
      <c r="R12" s="142">
        <v>0</v>
      </c>
      <c r="S12" s="142">
        <v>5.7921345610000001</v>
      </c>
      <c r="T12" s="142">
        <v>5.7921345610000001</v>
      </c>
      <c r="U12" s="142">
        <v>5.7998574400000003</v>
      </c>
      <c r="V12" s="142">
        <v>997085374550</v>
      </c>
      <c r="W12" s="142">
        <v>5.8</v>
      </c>
      <c r="X12" s="143">
        <v>0.82599999999999996</v>
      </c>
      <c r="Y12" s="142">
        <v>8.76</v>
      </c>
      <c r="Z12" s="142">
        <v>0</v>
      </c>
      <c r="AA12" s="142">
        <v>0</v>
      </c>
      <c r="AB12" s="142">
        <v>0</v>
      </c>
      <c r="AC12" s="142">
        <v>0</v>
      </c>
      <c r="AD12" s="142">
        <v>-6248611111.1111002</v>
      </c>
      <c r="AE12" s="142">
        <v>0</v>
      </c>
      <c r="AF12" s="142">
        <v>8263013700</v>
      </c>
      <c r="AG12" s="142">
        <v>2014402588.88889</v>
      </c>
      <c r="AH12" s="142" t="s">
        <v>910</v>
      </c>
      <c r="AI12" s="142">
        <v>0</v>
      </c>
      <c r="AJ12" s="142">
        <v>0</v>
      </c>
      <c r="AK12" s="142">
        <v>5.5121691610000001</v>
      </c>
      <c r="AL12" s="142">
        <v>5.5121691610000001</v>
      </c>
      <c r="AM12" s="143">
        <v>5.9056919920000004</v>
      </c>
      <c r="AN12" s="142">
        <v>0</v>
      </c>
      <c r="AO12" s="142">
        <v>2.5478135779167999</v>
      </c>
      <c r="AP12" s="142">
        <v>2.6982795999999998</v>
      </c>
      <c r="AQ12" s="142">
        <v>9.1165902588946004</v>
      </c>
      <c r="AR12" s="142">
        <v>91653.493231153596</v>
      </c>
      <c r="AS12" s="142">
        <v>-256144.02741201199</v>
      </c>
      <c r="AT12" s="142">
        <v>0</v>
      </c>
      <c r="AU12" s="142" t="s">
        <v>921</v>
      </c>
      <c r="AV12" s="142">
        <v>0</v>
      </c>
      <c r="AW12" s="142">
        <v>0</v>
      </c>
      <c r="AX12" s="142">
        <v>0</v>
      </c>
      <c r="AY12" s="142" t="s">
        <v>776</v>
      </c>
      <c r="AZ12" s="142" t="s">
        <v>776</v>
      </c>
      <c r="BA12" s="142" t="s">
        <v>777</v>
      </c>
      <c r="BB12" s="142" t="s">
        <v>777</v>
      </c>
      <c r="BC12" s="142" t="s">
        <v>777</v>
      </c>
      <c r="BD12" s="142">
        <v>0</v>
      </c>
      <c r="BE12" s="142">
        <v>0</v>
      </c>
      <c r="BF12" s="142">
        <v>0</v>
      </c>
      <c r="BG12" s="142">
        <v>0</v>
      </c>
      <c r="BH12" s="142">
        <v>0</v>
      </c>
      <c r="BI12" s="142">
        <v>0</v>
      </c>
      <c r="BJ12" s="142">
        <v>0</v>
      </c>
      <c r="BK12" s="142">
        <v>0</v>
      </c>
      <c r="BL12" s="142">
        <v>0</v>
      </c>
      <c r="BM12" s="142">
        <v>0</v>
      </c>
      <c r="BN12" s="142">
        <v>0</v>
      </c>
      <c r="BO12" s="142">
        <v>0</v>
      </c>
      <c r="BP12" s="142">
        <v>0</v>
      </c>
      <c r="BQ12" s="142">
        <v>0</v>
      </c>
      <c r="BR12" s="142">
        <v>91.653000000000006</v>
      </c>
      <c r="BS12" s="142">
        <v>0</v>
      </c>
      <c r="BT12" s="142" t="s">
        <v>777</v>
      </c>
      <c r="BU12" s="142" t="s">
        <v>777</v>
      </c>
      <c r="BV12" s="142" t="s">
        <v>777</v>
      </c>
      <c r="BW12" s="142" t="s">
        <v>777</v>
      </c>
      <c r="BX12" s="142" t="s">
        <v>777</v>
      </c>
      <c r="BY12" s="142" t="s">
        <v>777</v>
      </c>
      <c r="BZ12" s="142" t="s">
        <v>777</v>
      </c>
      <c r="CA12" s="142">
        <v>0</v>
      </c>
      <c r="CB12" s="142">
        <v>-2914625450.0000401</v>
      </c>
      <c r="CC12" s="142">
        <v>-2914625450.0000401</v>
      </c>
      <c r="CD12" s="142">
        <v>-9163236561.1111507</v>
      </c>
      <c r="CE12" s="142">
        <v>-9163236561.1110001</v>
      </c>
      <c r="CF12" s="142">
        <v>-9163236561.1111507</v>
      </c>
      <c r="CG12" s="142">
        <v>1</v>
      </c>
    </row>
    <row r="13" spans="1:85" x14ac:dyDescent="0.3">
      <c r="A13" t="s">
        <v>791</v>
      </c>
      <c r="B13" t="s">
        <v>792</v>
      </c>
      <c r="C13" t="s">
        <v>35</v>
      </c>
      <c r="F13" s="20">
        <v>46977</v>
      </c>
      <c r="G13" t="s">
        <v>36</v>
      </c>
      <c r="H13" s="144">
        <v>98.449020800961193</v>
      </c>
      <c r="I13" s="96">
        <v>98.449020801000003</v>
      </c>
      <c r="J13" s="96">
        <v>1</v>
      </c>
      <c r="K13" s="96">
        <v>0</v>
      </c>
      <c r="L13" s="96">
        <v>2000</v>
      </c>
      <c r="M13" s="96">
        <v>2000000000000</v>
      </c>
      <c r="N13" s="96">
        <v>2000000000000</v>
      </c>
      <c r="O13" s="96">
        <v>100</v>
      </c>
      <c r="P13" s="96">
        <v>0</v>
      </c>
      <c r="Q13" s="96">
        <v>0</v>
      </c>
      <c r="R13" s="96">
        <v>0</v>
      </c>
      <c r="S13" s="96">
        <v>5.3998757790000003</v>
      </c>
      <c r="T13" s="96">
        <v>5.3903042640000001</v>
      </c>
      <c r="U13" s="96">
        <v>5.3998757790000003</v>
      </c>
      <c r="V13" s="96">
        <v>1968980416002</v>
      </c>
      <c r="W13" s="96">
        <v>5.4</v>
      </c>
      <c r="X13" s="143">
        <v>0</v>
      </c>
      <c r="Y13" s="96">
        <v>17.3</v>
      </c>
      <c r="Z13" s="96">
        <v>0</v>
      </c>
      <c r="AA13" s="96">
        <v>0</v>
      </c>
      <c r="AB13" s="96">
        <v>0</v>
      </c>
      <c r="AC13" s="96">
        <v>0</v>
      </c>
      <c r="AD13" s="96">
        <v>0</v>
      </c>
      <c r="AE13" s="96">
        <v>0</v>
      </c>
      <c r="AF13" s="96">
        <v>0</v>
      </c>
      <c r="AG13" s="96">
        <v>0</v>
      </c>
      <c r="AH13" s="96">
        <v>0</v>
      </c>
      <c r="AI13" s="96">
        <v>0</v>
      </c>
      <c r="AJ13" s="96">
        <v>0</v>
      </c>
      <c r="AK13" s="96">
        <v>0</v>
      </c>
      <c r="AL13" s="96">
        <v>0</v>
      </c>
      <c r="AM13" s="143">
        <v>5.9793943780000003</v>
      </c>
      <c r="AN13" s="96">
        <v>0</v>
      </c>
      <c r="AO13" s="96">
        <v>2.6893115989777998</v>
      </c>
      <c r="AP13" s="96">
        <v>2.8501161499999998</v>
      </c>
      <c r="AQ13" s="96">
        <v>9.9777839729537998</v>
      </c>
      <c r="AR13" s="96">
        <v>196460.612380242</v>
      </c>
      <c r="AS13" s="96">
        <v>-529520.18709626701</v>
      </c>
      <c r="AT13" s="96">
        <v>0</v>
      </c>
      <c r="AU13" s="96" t="s">
        <v>922</v>
      </c>
      <c r="AV13" s="96">
        <v>0</v>
      </c>
      <c r="AW13" s="96">
        <v>0</v>
      </c>
      <c r="AX13" s="96">
        <v>0</v>
      </c>
      <c r="AY13" s="96" t="s">
        <v>776</v>
      </c>
      <c r="AZ13" s="96" t="s">
        <v>776</v>
      </c>
      <c r="BA13" s="96" t="s">
        <v>777</v>
      </c>
      <c r="BB13" s="96" t="s">
        <v>777</v>
      </c>
      <c r="BC13" s="96" t="s">
        <v>777</v>
      </c>
      <c r="BD13" s="96">
        <v>0</v>
      </c>
      <c r="BE13" s="96">
        <v>0</v>
      </c>
      <c r="BF13" s="96">
        <v>0</v>
      </c>
      <c r="BG13" s="96">
        <v>0</v>
      </c>
      <c r="BH13" s="96">
        <v>0</v>
      </c>
      <c r="BI13" s="96">
        <v>0</v>
      </c>
      <c r="BJ13" s="96">
        <v>0</v>
      </c>
      <c r="BK13" s="96">
        <v>0</v>
      </c>
      <c r="BL13" s="96">
        <v>0</v>
      </c>
      <c r="BM13" s="96">
        <v>0</v>
      </c>
      <c r="BN13" s="96">
        <v>0</v>
      </c>
      <c r="BO13" s="96">
        <v>0</v>
      </c>
      <c r="BP13" s="96">
        <v>0</v>
      </c>
      <c r="BQ13" s="96">
        <v>0</v>
      </c>
      <c r="BR13" s="96">
        <v>98.23</v>
      </c>
      <c r="BS13" s="96">
        <v>0</v>
      </c>
      <c r="BT13" s="96" t="s">
        <v>777</v>
      </c>
      <c r="BU13" s="96" t="s">
        <v>777</v>
      </c>
      <c r="BV13" s="96" t="s">
        <v>777</v>
      </c>
      <c r="BW13" s="96" t="s">
        <v>777</v>
      </c>
      <c r="BX13" s="96" t="s">
        <v>777</v>
      </c>
      <c r="BY13" s="96" t="s">
        <v>777</v>
      </c>
      <c r="BZ13" s="96" t="s">
        <v>777</v>
      </c>
      <c r="CA13" s="96">
        <v>0</v>
      </c>
      <c r="CB13" s="96">
        <v>-31019583980</v>
      </c>
      <c r="CC13" s="96">
        <v>-31019583980</v>
      </c>
      <c r="CD13" s="96">
        <v>-31019583980</v>
      </c>
      <c r="CE13" s="96">
        <v>-31019583980</v>
      </c>
      <c r="CF13" s="96">
        <v>-31019583980</v>
      </c>
      <c r="CG13" s="96">
        <v>1</v>
      </c>
    </row>
    <row r="14" spans="1:85" x14ac:dyDescent="0.3">
      <c r="F14" s="20"/>
      <c r="V14" s="96">
        <f>SUM(V3:V13)</f>
        <v>11379322651209.1</v>
      </c>
    </row>
    <row r="15" spans="1:85" x14ac:dyDescent="0.3">
      <c r="F15" s="20"/>
      <c r="V15" s="96">
        <f>V14/10^9</f>
        <v>11379.322651209101</v>
      </c>
    </row>
    <row r="16" spans="1:85" x14ac:dyDescent="0.3">
      <c r="F16" s="20"/>
    </row>
    <row r="17" spans="6:6" x14ac:dyDescent="0.3">
      <c r="F17" s="20"/>
    </row>
    <row r="18" spans="6:6" x14ac:dyDescent="0.3">
      <c r="F18" s="20"/>
    </row>
    <row r="19" spans="6:6" x14ac:dyDescent="0.3">
      <c r="F19" s="20"/>
    </row>
    <row r="20" spans="6:6" x14ac:dyDescent="0.3">
      <c r="F20" s="20"/>
    </row>
    <row r="21" spans="6:6" x14ac:dyDescent="0.3">
      <c r="F21" s="20"/>
    </row>
    <row r="22" spans="6:6" x14ac:dyDescent="0.3">
      <c r="F22" s="20"/>
    </row>
    <row r="23" spans="6:6" x14ac:dyDescent="0.3">
      <c r="F23" s="20"/>
    </row>
    <row r="24" spans="6:6" x14ac:dyDescent="0.3">
      <c r="F24" s="20"/>
    </row>
    <row r="27" spans="6:6" x14ac:dyDescent="0.3">
      <c r="F27" s="20"/>
    </row>
    <row r="28" spans="6:6" x14ac:dyDescent="0.3">
      <c r="F28" s="20"/>
    </row>
    <row r="29" spans="6:6" x14ac:dyDescent="0.3">
      <c r="F29" s="20"/>
    </row>
    <row r="30" spans="6:6" x14ac:dyDescent="0.3">
      <c r="F30" s="20"/>
    </row>
    <row r="31" spans="6:6" x14ac:dyDescent="0.3">
      <c r="F31" s="20"/>
    </row>
    <row r="32" spans="6:6" x14ac:dyDescent="0.3">
      <c r="F32" s="20"/>
    </row>
    <row r="33" spans="6:6" x14ac:dyDescent="0.3">
      <c r="F33" s="20"/>
    </row>
    <row r="34" spans="6:6" x14ac:dyDescent="0.3">
      <c r="F34" s="20"/>
    </row>
    <row r="35" spans="6:6" x14ac:dyDescent="0.3">
      <c r="F35" s="20"/>
    </row>
    <row r="36" spans="6:6" x14ac:dyDescent="0.3">
      <c r="F36" s="20"/>
    </row>
    <row r="37" spans="6:6" x14ac:dyDescent="0.3">
      <c r="F37" s="20"/>
    </row>
    <row r="38" spans="6:6" x14ac:dyDescent="0.3">
      <c r="F38" s="20"/>
    </row>
    <row r="39" spans="6:6" x14ac:dyDescent="0.3">
      <c r="F39" s="20"/>
    </row>
    <row r="40" spans="6:6" x14ac:dyDescent="0.3">
      <c r="F40"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theme="7" tint="0.79998168889431442"/>
  </sheetPr>
  <dimension ref="A1:EL42"/>
  <sheetViews>
    <sheetView topLeftCell="AC1" zoomScale="70" zoomScaleNormal="70" workbookViewId="0">
      <pane ySplit="1" topLeftCell="A2" activePane="bottomLeft" state="frozen"/>
      <selection pane="bottomLeft" activeCell="J2" sqref="J1:J1048576"/>
    </sheetView>
  </sheetViews>
  <sheetFormatPr defaultRowHeight="14.4" outlineLevelCol="1" x14ac:dyDescent="0.3"/>
  <cols>
    <col min="1" max="1" width="12.69921875" bestFit="1" customWidth="1"/>
    <col min="2" max="2" width="18.3984375" customWidth="1" outlineLevel="1"/>
    <col min="3" max="3" width="20.69921875" customWidth="1" outlineLevel="1"/>
    <col min="4" max="4" width="13.69921875" customWidth="1" outlineLevel="1"/>
    <col min="5" max="5" width="14.8984375" customWidth="1" outlineLevel="1"/>
    <col min="6" max="6" width="12" style="20" customWidth="1" outlineLevel="1"/>
    <col min="7" max="7" width="9.09765625" customWidth="1" outlineLevel="1"/>
    <col min="8" max="8" width="14.59765625" style="23" customWidth="1" outlineLevel="1"/>
    <col min="9" max="9" width="12.3984375" style="14" customWidth="1" outlineLevel="1"/>
    <col min="10" max="10" width="19" style="96" customWidth="1" outlineLevel="1"/>
    <col min="11" max="11" width="18" style="14" customWidth="1" outlineLevel="1"/>
    <col min="12" max="12" width="10.59765625" style="14" customWidth="1" outlineLevel="1"/>
    <col min="13" max="13" width="9.296875" style="14" customWidth="1" outlineLevel="1"/>
    <col min="14" max="14" width="11.09765625" style="24" customWidth="1" outlineLevel="1"/>
    <col min="15" max="15" width="15.69921875" style="24" customWidth="1" outlineLevel="1"/>
    <col min="16" max="16" width="9.296875" style="24" customWidth="1" outlineLevel="1"/>
    <col min="17" max="17" width="20.59765625" style="96" customWidth="1" outlineLevel="1"/>
    <col min="18" max="19" width="9.296875" style="22" customWidth="1" outlineLevel="1"/>
    <col min="20" max="20" width="9.296875" style="23" customWidth="1" outlineLevel="1"/>
    <col min="21" max="22" width="19" style="14" customWidth="1" outlineLevel="1"/>
    <col min="23" max="24" width="18.69921875" style="14" customWidth="1" outlineLevel="1"/>
    <col min="25" max="25" width="19" style="14" customWidth="1" outlineLevel="1"/>
    <col min="26" max="26" width="18.69921875" style="14" customWidth="1" outlineLevel="1"/>
    <col min="27" max="27" width="10.296875" style="23" customWidth="1" outlineLevel="1"/>
    <col min="28" max="29" width="10.296875" style="14" customWidth="1" outlineLevel="1"/>
    <col min="30" max="30" width="12.296875" style="14" customWidth="1" outlineLevel="1"/>
    <col min="31" max="31" width="17.69921875" style="14" customWidth="1" outlineLevel="1"/>
    <col min="32" max="33" width="21.3984375" style="14" customWidth="1" outlineLevel="1"/>
    <col min="34" max="34" width="14.09765625" style="14" customWidth="1" outlineLevel="1"/>
    <col min="35" max="35" width="7" style="14" customWidth="1" outlineLevel="1"/>
    <col min="36" max="36" width="14.09765625" style="14" customWidth="1" outlineLevel="1"/>
    <col min="37" max="37" width="12.3984375" style="14" customWidth="1" outlineLevel="1"/>
    <col min="38" max="38" width="16.8984375" style="15" customWidth="1" outlineLevel="1"/>
    <col min="39" max="39" width="18" style="15" bestFit="1" customWidth="1" outlineLevel="1"/>
    <col min="40" max="40" width="19.19921875" bestFit="1" customWidth="1" outlineLevel="1"/>
    <col min="41" max="41" width="17.296875" customWidth="1"/>
    <col min="43" max="43" width="9" customWidth="1" outlineLevel="1"/>
    <col min="44" max="44" width="20.69921875" customWidth="1" outlineLevel="1"/>
    <col min="45" max="45" width="14.59765625" customWidth="1" outlineLevel="1"/>
    <col min="46" max="46" width="16.69921875" customWidth="1" outlineLevel="1"/>
    <col min="47" max="47" width="14.8984375" customWidth="1" outlineLevel="1"/>
    <col min="48" max="48" width="11.59765625" style="20" customWidth="1" outlineLevel="1"/>
    <col min="49" max="49" width="12" customWidth="1" outlineLevel="1"/>
    <col min="50" max="50" width="11.09765625" style="96" customWidth="1" outlineLevel="1"/>
    <col min="51" max="51" width="11.69921875" customWidth="1" outlineLevel="1"/>
    <col min="52" max="52" width="13.09765625" customWidth="1" outlineLevel="1"/>
    <col min="53" max="53" width="19" style="96" customWidth="1" outlineLevel="1"/>
    <col min="54" max="54" width="20.59765625" style="96" customWidth="1" outlineLevel="1"/>
    <col min="55" max="55" width="12.8984375" customWidth="1" outlineLevel="1"/>
    <col min="56" max="56" width="17.296875" customWidth="1" outlineLevel="1"/>
    <col min="57" max="57" width="18.69921875" style="14" customWidth="1" outlineLevel="1"/>
    <col min="58" max="58" width="11" customWidth="1" outlineLevel="1"/>
    <col min="59" max="59" width="7" customWidth="1" outlineLevel="1"/>
    <col min="60" max="60" width="8.09765625" customWidth="1" outlineLevel="1"/>
    <col min="61" max="63" width="18.69921875" style="14" customWidth="1" outlineLevel="1"/>
    <col min="64" max="64" width="8.8984375" style="63" customWidth="1" outlineLevel="1"/>
    <col min="65" max="65" width="9.8984375" style="63" customWidth="1" outlineLevel="1"/>
    <col min="66" max="66" width="13.296875" style="25" customWidth="1" outlineLevel="1"/>
    <col min="67" max="67" width="18" style="126" customWidth="1" outlineLevel="1"/>
    <col min="68" max="68" width="19" style="126" customWidth="1" outlineLevel="1"/>
    <col min="69" max="69" width="8.8984375"/>
    <col min="71" max="71" width="14.3984375" customWidth="1" outlineLevel="1"/>
    <col min="72" max="72" width="15.69921875" customWidth="1" outlineLevel="1"/>
    <col min="73" max="73" width="14.296875" customWidth="1" outlineLevel="1"/>
    <col min="74" max="74" width="12.59765625" customWidth="1" outlineLevel="1"/>
    <col min="75" max="75" width="22.296875" style="96" customWidth="1" outlineLevel="1"/>
    <col min="76" max="76" width="8.8984375"/>
    <col min="78" max="78" width="8.5" bestFit="1" customWidth="1" outlineLevel="1"/>
    <col min="79" max="79" width="20.3984375" bestFit="1" customWidth="1" outlineLevel="1"/>
    <col min="80" max="80" width="13.3984375" bestFit="1" customWidth="1" outlineLevel="1"/>
    <col min="81" max="81" width="8.5" bestFit="1" customWidth="1" outlineLevel="1"/>
    <col min="82" max="82" width="3.296875" bestFit="1" customWidth="1" outlineLevel="1"/>
    <col min="83" max="83" width="11.19921875" bestFit="1" customWidth="1" outlineLevel="1"/>
    <col min="84" max="84" width="8.69921875" bestFit="1" customWidth="1" outlineLevel="1"/>
    <col min="85" max="85" width="4.19921875" bestFit="1" customWidth="1" outlineLevel="1"/>
    <col min="86" max="86" width="3.8984375" bestFit="1" customWidth="1" outlineLevel="1"/>
    <col min="87" max="87" width="8.5" bestFit="1" customWidth="1" outlineLevel="1"/>
    <col min="88" max="88" width="18.69921875" style="96" bestFit="1" customWidth="1" outlineLevel="1"/>
    <col min="89" max="89" width="18.69921875" bestFit="1" customWidth="1" outlineLevel="1"/>
    <col min="90" max="91" width="2.09765625" bestFit="1" customWidth="1" outlineLevel="1"/>
    <col min="92" max="92" width="15.3984375" bestFit="1" customWidth="1" outlineLevel="1"/>
    <col min="93" max="94" width="5.296875" bestFit="1" customWidth="1" outlineLevel="1"/>
    <col min="95" max="95" width="6.296875" bestFit="1" customWidth="1" outlineLevel="1"/>
    <col min="96" max="98" width="16" bestFit="1" customWidth="1" outlineLevel="1"/>
    <col min="99" max="99" width="5.3984375" bestFit="1" customWidth="1" outlineLevel="1"/>
    <col min="100" max="100" width="5" bestFit="1" customWidth="1" outlineLevel="1"/>
    <col min="101" max="101" width="18" bestFit="1" customWidth="1" outlineLevel="1"/>
    <col min="102" max="102" width="8.8984375"/>
    <col min="103" max="103" width="8.3984375" bestFit="1" customWidth="1"/>
    <col min="104" max="104" width="16.19921875" bestFit="1" customWidth="1"/>
    <col min="105" max="105" width="21.296875" bestFit="1" customWidth="1"/>
    <col min="106" max="106" width="13.19921875" bestFit="1" customWidth="1"/>
    <col min="107" max="107" width="12.09765625" bestFit="1" customWidth="1"/>
    <col min="108" max="108" width="11.19921875" bestFit="1" customWidth="1"/>
    <col min="109" max="109" width="9" bestFit="1" customWidth="1"/>
    <col min="110" max="110" width="7.3984375" bestFit="1" customWidth="1"/>
    <col min="111" max="111" width="10.19921875" bestFit="1" customWidth="1"/>
    <col min="112" max="112" width="11.59765625" bestFit="1" customWidth="1"/>
    <col min="113" max="113" width="14.296875" bestFit="1" customWidth="1"/>
    <col min="114" max="114" width="8.69921875" bestFit="1" customWidth="1"/>
    <col min="115" max="115" width="14.59765625" customWidth="1"/>
    <col min="116" max="116" width="8.59765625" bestFit="1" customWidth="1"/>
    <col min="117" max="117" width="7.3984375" bestFit="1" customWidth="1"/>
    <col min="118" max="118" width="10.09765625" customWidth="1"/>
    <col min="119" max="119" width="14.19921875" bestFit="1" customWidth="1"/>
    <col min="120" max="120" width="13.296875" bestFit="1" customWidth="1"/>
    <col min="121" max="121" width="9" bestFit="1" customWidth="1"/>
    <col min="122" max="122" width="12.69921875" bestFit="1" customWidth="1"/>
    <col min="123" max="123" width="11.59765625" bestFit="1" customWidth="1"/>
    <col min="124" max="125" width="12.69921875" bestFit="1" customWidth="1"/>
    <col min="126" max="126" width="13.296875" bestFit="1" customWidth="1"/>
    <col min="127" max="127" width="8.5" bestFit="1" customWidth="1"/>
    <col min="128" max="128" width="13.3984375" customWidth="1"/>
    <col min="129" max="129" width="16.09765625" bestFit="1" customWidth="1"/>
    <col min="130" max="130" width="13.59765625" customWidth="1"/>
    <col min="131" max="131" width="12.69921875" bestFit="1" customWidth="1"/>
    <col min="132" max="133" width="11.59765625" bestFit="1" customWidth="1"/>
    <col min="134" max="134" width="8.296875" bestFit="1" customWidth="1"/>
    <col min="135" max="135" width="6.8984375" bestFit="1" customWidth="1"/>
    <col min="136" max="136" width="5.8984375" bestFit="1" customWidth="1"/>
    <col min="137" max="137" width="6.09765625" bestFit="1" customWidth="1"/>
    <col min="138" max="138" width="5.69921875" bestFit="1" customWidth="1"/>
    <col min="139" max="139" width="16.5" bestFit="1" customWidth="1"/>
    <col min="140" max="140" width="16.69921875" bestFit="1" customWidth="1"/>
    <col min="141" max="141" width="14.59765625" bestFit="1" customWidth="1"/>
    <col min="142" max="142" width="16.5" bestFit="1" customWidth="1"/>
  </cols>
  <sheetData>
    <row r="1" spans="1:142" x14ac:dyDescent="0.3">
      <c r="A1" s="13" t="s">
        <v>6</v>
      </c>
      <c r="B1" t="s">
        <v>10</v>
      </c>
      <c r="C1" t="s">
        <v>11</v>
      </c>
      <c r="D1" t="s">
        <v>12</v>
      </c>
      <c r="E1" t="s">
        <v>447</v>
      </c>
      <c r="F1" s="20" t="s">
        <v>448</v>
      </c>
      <c r="G1" t="s">
        <v>13</v>
      </c>
      <c r="H1" s="23" t="s">
        <v>14</v>
      </c>
      <c r="I1" s="14" t="s">
        <v>15</v>
      </c>
      <c r="J1" s="96" t="s">
        <v>16</v>
      </c>
      <c r="K1" s="14" t="s">
        <v>458</v>
      </c>
      <c r="L1" s="14" t="s">
        <v>17</v>
      </c>
      <c r="M1" s="14" t="s">
        <v>459</v>
      </c>
      <c r="N1" s="24" t="s">
        <v>460</v>
      </c>
      <c r="O1" s="24" t="s">
        <v>461</v>
      </c>
      <c r="P1" s="24" t="s">
        <v>18</v>
      </c>
      <c r="Q1" s="96" t="s">
        <v>19</v>
      </c>
      <c r="R1" s="22" t="s">
        <v>20</v>
      </c>
      <c r="S1" s="22" t="s">
        <v>21</v>
      </c>
      <c r="T1" s="23" t="s">
        <v>22</v>
      </c>
      <c r="U1" s="14" t="s">
        <v>23</v>
      </c>
      <c r="V1" s="14" t="s">
        <v>24</v>
      </c>
      <c r="W1" s="14" t="s">
        <v>25</v>
      </c>
      <c r="X1" s="14" t="s">
        <v>462</v>
      </c>
      <c r="Y1" s="14" t="s">
        <v>26</v>
      </c>
      <c r="Z1" s="14" t="s">
        <v>27</v>
      </c>
      <c r="AA1" s="23" t="s">
        <v>28</v>
      </c>
      <c r="AB1" s="14" t="s">
        <v>450</v>
      </c>
      <c r="AC1" s="14" t="s">
        <v>451</v>
      </c>
      <c r="AD1" s="14" t="s">
        <v>29</v>
      </c>
      <c r="AE1" s="14" t="s">
        <v>30</v>
      </c>
      <c r="AF1" s="14" t="s">
        <v>31</v>
      </c>
      <c r="AG1" s="14" t="s">
        <v>32</v>
      </c>
      <c r="AH1" s="15" t="s">
        <v>655</v>
      </c>
      <c r="AI1" s="15" t="s">
        <v>290</v>
      </c>
      <c r="AJ1" s="15" t="s">
        <v>269</v>
      </c>
      <c r="AK1" s="15" t="s">
        <v>267</v>
      </c>
      <c r="AL1" s="15" t="s">
        <v>289</v>
      </c>
      <c r="AM1" s="15" t="s">
        <v>1084</v>
      </c>
      <c r="AN1" s="15" t="s">
        <v>1326</v>
      </c>
      <c r="AO1" s="15"/>
      <c r="AP1" s="13" t="s">
        <v>444</v>
      </c>
      <c r="AQ1" t="s">
        <v>445</v>
      </c>
      <c r="AR1" t="s">
        <v>11</v>
      </c>
      <c r="AS1" t="s">
        <v>12</v>
      </c>
      <c r="AT1" t="s">
        <v>446</v>
      </c>
      <c r="AU1" t="s">
        <v>447</v>
      </c>
      <c r="AV1" s="20" t="s">
        <v>448</v>
      </c>
      <c r="AW1" t="s">
        <v>449</v>
      </c>
      <c r="AX1" s="96" t="s">
        <v>20</v>
      </c>
      <c r="AY1" t="s">
        <v>13</v>
      </c>
      <c r="AZ1" t="s">
        <v>14</v>
      </c>
      <c r="BA1" s="96" t="s">
        <v>16</v>
      </c>
      <c r="BB1" s="96" t="s">
        <v>19</v>
      </c>
      <c r="BC1" t="s">
        <v>23</v>
      </c>
      <c r="BD1" t="s">
        <v>24</v>
      </c>
      <c r="BE1" s="14" t="s">
        <v>25</v>
      </c>
      <c r="BF1" t="s">
        <v>28</v>
      </c>
      <c r="BG1" t="s">
        <v>450</v>
      </c>
      <c r="BH1" t="s">
        <v>451</v>
      </c>
      <c r="BI1" s="14" t="s">
        <v>452</v>
      </c>
      <c r="BJ1" s="14" t="s">
        <v>453</v>
      </c>
      <c r="BK1" s="14" t="s">
        <v>454</v>
      </c>
      <c r="BL1" s="63" t="s">
        <v>290</v>
      </c>
      <c r="BM1" s="63" t="s">
        <v>269</v>
      </c>
      <c r="BN1" s="25" t="s">
        <v>267</v>
      </c>
      <c r="BO1" s="126" t="s">
        <v>1084</v>
      </c>
      <c r="BP1" s="126" t="s">
        <v>1085</v>
      </c>
      <c r="BR1" s="13" t="s">
        <v>654</v>
      </c>
      <c r="BS1" t="s">
        <v>532</v>
      </c>
      <c r="BT1" t="s">
        <v>646</v>
      </c>
      <c r="BU1" t="s">
        <v>647</v>
      </c>
      <c r="BV1" t="s">
        <v>648</v>
      </c>
      <c r="BW1" s="96" t="s">
        <v>649</v>
      </c>
      <c r="BY1" s="13" t="s">
        <v>991</v>
      </c>
      <c r="BZ1" t="s">
        <v>445</v>
      </c>
      <c r="CA1" t="s">
        <v>11</v>
      </c>
      <c r="CB1" t="s">
        <v>12</v>
      </c>
      <c r="CC1" t="s">
        <v>446</v>
      </c>
      <c r="CD1" t="s">
        <v>447</v>
      </c>
      <c r="CE1" s="20" t="s">
        <v>448</v>
      </c>
      <c r="CF1" t="s">
        <v>449</v>
      </c>
      <c r="CG1" s="96" t="s">
        <v>20</v>
      </c>
      <c r="CH1" t="s">
        <v>13</v>
      </c>
      <c r="CI1" t="s">
        <v>14</v>
      </c>
      <c r="CJ1" s="96" t="s">
        <v>16</v>
      </c>
      <c r="CK1" s="14" t="s">
        <v>19</v>
      </c>
      <c r="CL1" t="s">
        <v>23</v>
      </c>
      <c r="CM1" t="s">
        <v>24</v>
      </c>
      <c r="CN1" s="14" t="s">
        <v>25</v>
      </c>
      <c r="CO1" t="s">
        <v>28</v>
      </c>
      <c r="CP1" t="s">
        <v>450</v>
      </c>
      <c r="CQ1" t="s">
        <v>451</v>
      </c>
      <c r="CR1" s="14" t="s">
        <v>452</v>
      </c>
      <c r="CS1" s="14" t="s">
        <v>453</v>
      </c>
      <c r="CT1" s="14" t="s">
        <v>454</v>
      </c>
      <c r="CU1" s="63" t="s">
        <v>290</v>
      </c>
      <c r="CV1" s="63" t="s">
        <v>269</v>
      </c>
      <c r="CW1" s="57" t="s">
        <v>989</v>
      </c>
      <c r="CY1" s="13" t="s">
        <v>1399</v>
      </c>
      <c r="CZ1" t="s">
        <v>10</v>
      </c>
      <c r="DA1" t="s">
        <v>11</v>
      </c>
      <c r="DB1" t="s">
        <v>723</v>
      </c>
      <c r="DC1" t="s">
        <v>447</v>
      </c>
      <c r="DD1" t="s">
        <v>448</v>
      </c>
      <c r="DE1" t="s">
        <v>13</v>
      </c>
      <c r="DF1" t="s">
        <v>726</v>
      </c>
      <c r="DG1" t="s">
        <v>14</v>
      </c>
      <c r="DH1" t="s">
        <v>58</v>
      </c>
      <c r="DI1" t="s">
        <v>16</v>
      </c>
      <c r="DJ1" t="s">
        <v>17</v>
      </c>
      <c r="DK1" t="s">
        <v>1401</v>
      </c>
      <c r="DL1" t="s">
        <v>20</v>
      </c>
      <c r="DM1" t="s">
        <v>21</v>
      </c>
      <c r="DN1" t="s">
        <v>23</v>
      </c>
      <c r="DO1" t="s">
        <v>24</v>
      </c>
      <c r="DP1" t="s">
        <v>25</v>
      </c>
      <c r="DQ1" t="s">
        <v>738</v>
      </c>
      <c r="DR1" t="s">
        <v>28</v>
      </c>
      <c r="DS1" t="s">
        <v>1402</v>
      </c>
      <c r="DT1" t="s">
        <v>451</v>
      </c>
      <c r="DU1" t="s">
        <v>740</v>
      </c>
      <c r="DV1" t="s">
        <v>29</v>
      </c>
      <c r="DW1" t="s">
        <v>742</v>
      </c>
      <c r="DX1" t="s">
        <v>1403</v>
      </c>
      <c r="DY1" t="s">
        <v>1404</v>
      </c>
      <c r="DZ1" t="s">
        <v>32</v>
      </c>
      <c r="EA1" t="s">
        <v>452</v>
      </c>
      <c r="EB1" t="s">
        <v>453</v>
      </c>
      <c r="EC1" t="s">
        <v>454</v>
      </c>
      <c r="ED1" t="s">
        <v>1405</v>
      </c>
      <c r="EE1" s="15" t="s">
        <v>290</v>
      </c>
      <c r="EF1" s="15" t="s">
        <v>269</v>
      </c>
      <c r="EG1" s="15" t="s">
        <v>267</v>
      </c>
      <c r="EH1" t="s">
        <v>1432</v>
      </c>
      <c r="EI1" t="s">
        <v>1436</v>
      </c>
      <c r="EJ1" t="s">
        <v>1437</v>
      </c>
      <c r="EK1" t="s">
        <v>1475</v>
      </c>
      <c r="EL1" t="s">
        <v>1474</v>
      </c>
    </row>
    <row r="2" spans="1:142" x14ac:dyDescent="0.3">
      <c r="B2" t="s">
        <v>33</v>
      </c>
      <c r="C2" t="s">
        <v>34</v>
      </c>
      <c r="D2" t="s">
        <v>40</v>
      </c>
      <c r="E2" t="s">
        <v>35</v>
      </c>
      <c r="F2" s="20">
        <v>46289</v>
      </c>
      <c r="G2" t="s">
        <v>36</v>
      </c>
      <c r="H2" s="23">
        <v>0.53590432899999996</v>
      </c>
      <c r="I2" s="14">
        <v>1000</v>
      </c>
      <c r="J2" s="96">
        <v>1000000000000</v>
      </c>
      <c r="K2" s="14">
        <v>1000000000000</v>
      </c>
      <c r="L2" s="14">
        <v>99.986999999999995</v>
      </c>
      <c r="M2" s="14">
        <v>290</v>
      </c>
      <c r="N2" s="24">
        <v>-100</v>
      </c>
      <c r="O2" s="24">
        <v>-100</v>
      </c>
      <c r="P2" s="24">
        <v>7.179212165</v>
      </c>
      <c r="Q2" s="96">
        <v>5359043290</v>
      </c>
      <c r="R2" s="22">
        <v>7.5750000000000002</v>
      </c>
      <c r="S2" s="22">
        <v>7.0149999999999997</v>
      </c>
      <c r="T2" s="23">
        <v>0.04</v>
      </c>
      <c r="U2" s="14">
        <v>75750000000</v>
      </c>
      <c r="V2" s="14">
        <v>79696785416.666672</v>
      </c>
      <c r="W2" s="14">
        <v>-93855727060.931732</v>
      </c>
      <c r="X2" s="14">
        <v>70084315068</v>
      </c>
      <c r="Y2" s="14">
        <v>55925373423.734924</v>
      </c>
      <c r="Z2" s="14">
        <v>-93855727060.929993</v>
      </c>
      <c r="AA2" s="14">
        <v>7.0807153077400001E-2</v>
      </c>
      <c r="AB2" s="14">
        <v>7.3968800000000001E-2</v>
      </c>
      <c r="AC2" s="14">
        <v>7.2783828338100001E-2</v>
      </c>
      <c r="AD2" s="14">
        <v>-534.63378963100001</v>
      </c>
      <c r="AE2" s="14">
        <v>-161044181.53846264</v>
      </c>
      <c r="AF2" s="14">
        <v>-994511103648.46155</v>
      </c>
      <c r="AG2" s="14">
        <v>-994672147830</v>
      </c>
      <c r="AH2" s="89" t="str">
        <f>IF(_xlfn.XLOOKUP(FNRP_FIbond[[#This Row],[Short Name]],BS:BS,BU:BU,0,0)-RPT&lt;0,FNRP_FIbond[[#This Row],[Tenor]],_xlfn.XLOOKUP(_xlfn.XLOOKUP(FNRP_FIbond[[#This Row],[Short Name]],BS:BS,BU:BU,0,0)-RPT,Ref!$D$1:$D$13,Ref!$C$1:$C$13,"Mat",1,1))</f>
        <v>3M</v>
      </c>
      <c r="AI2" s="89">
        <f>FNRP_FIbond[[#This Row],[Mat. Date]]-RPT</f>
        <v>27</v>
      </c>
      <c r="AJ2" s="25" t="str">
        <f>IF(FNRP_FIbond[[#This Row],[Mat. Date]]-RPT&lt;=0,"Mat",_xlfn.XLOOKUP(FNRP_FIbond[[#This Row],[Mat. Date]]-RPT,Ref!$D$1:$D$13,Ref!$C$1:$C$13,"Mat",1,1))</f>
        <v>3M</v>
      </c>
      <c r="AK2" s="25" t="str">
        <f>_xlfn.XLOOKUP(FNRP_FIbond[[#This Row],[Short Name]],AllDealps!C:C,AllDealps!D:D,"",0)</f>
        <v>LVBT</v>
      </c>
      <c r="AL2" s="25">
        <f>FNRP_FIbond[[#This Row],[Market Value]]/FNRP_FIbond[[#This Row],[Quantity]]</f>
        <v>5359043.29</v>
      </c>
      <c r="AM2" s="25">
        <f>SUMIFS(Ref!Q:Q,Ref!O:O,FNRP_FIbond[[#This Row],[Short Name]])</f>
        <v>0</v>
      </c>
      <c r="AN2" s="25">
        <f>IF(FNRP_FIbond[[#This Row],[Days]]=0,0,IF(FNRP_FIbond[[#This Row],[Nominal]]&lt;0,FNRP_FIbond[[#This Row],[Nominal]],MAX(0,FNRP_FIbond[[#This Row],[Nominal]]-FNRP_FIbond[[#This Row],[Đối ứng]])))</f>
        <v>1000000000000</v>
      </c>
      <c r="AO2" s="25"/>
      <c r="AQ2" t="s">
        <v>455</v>
      </c>
      <c r="AR2" t="s">
        <v>34</v>
      </c>
      <c r="AS2" t="s">
        <v>953</v>
      </c>
      <c r="AT2" t="s">
        <v>456</v>
      </c>
      <c r="AU2" t="s">
        <v>364</v>
      </c>
      <c r="AV2" s="20">
        <v>46274</v>
      </c>
      <c r="AW2" t="s">
        <v>457</v>
      </c>
      <c r="AX2" s="96">
        <v>6</v>
      </c>
      <c r="AY2" t="s">
        <v>36</v>
      </c>
      <c r="AZ2">
        <v>99.983000000000004</v>
      </c>
      <c r="BA2" s="96">
        <v>300000000000</v>
      </c>
      <c r="BB2" s="96">
        <v>317531621967.54999</v>
      </c>
      <c r="BC2">
        <v>0</v>
      </c>
      <c r="BD2">
        <v>0</v>
      </c>
      <c r="BE2">
        <v>-12454957676.290001</v>
      </c>
      <c r="BF2">
        <v>0.01</v>
      </c>
      <c r="BG2">
        <v>0.01</v>
      </c>
      <c r="BH2">
        <v>1.0999999999999999E-2</v>
      </c>
      <c r="BI2">
        <v>12658893867.58</v>
      </c>
      <c r="BJ2" s="14">
        <v>12658893867.58</v>
      </c>
      <c r="BK2" s="14">
        <v>12658893867.58</v>
      </c>
      <c r="BL2" s="63">
        <f>FNRP_PPCD[[#This Row],[Mat. Date]]-RPT</f>
        <v>12</v>
      </c>
      <c r="BM2" s="63" t="str">
        <f>IF(FNRP_PPCD[[#This Row],[Days]]&lt;=0,"Mat",_xlfn.XLOOKUP(FNRP_PPCD[[#This Row],[Days]],Ref!$D$1:$D$13,Ref!$C$1:$C$13,"Mat",1,1))</f>
        <v>3M</v>
      </c>
      <c r="BN2" s="25" t="str">
        <f>IF(FNRP_PPCD[[#This Row],[Days]]&lt;=0,"",VLOOKUP(FNRP_PPCD[[#This Row],[Short Name]],AllDealps!C:D,2,0))</f>
        <v>VIETBANK</v>
      </c>
      <c r="BO2" s="126">
        <f>SUMIFS(Ref!Q:Q,Ref!O:O,FNRP_PPCD[[#This Row],[Short Name]])</f>
        <v>0</v>
      </c>
      <c r="BP2" s="126">
        <f>IF(FNRP_PPCD[[#This Row],[Days]]=0,0,IF(FNRP_PPCD[[#This Row],[Nominal]]&lt;0,FNRP_PPCD[[#This Row],[Nominal]],MAX(0,FNRP_PPCD[[#This Row],[Nominal]]-FNRP_PPCD[[#This Row],[Đối ứng]])))</f>
        <v>300000000000</v>
      </c>
      <c r="BS2" t="s">
        <v>652</v>
      </c>
      <c r="BT2" t="s">
        <v>650</v>
      </c>
      <c r="BU2" s="20">
        <v>46354</v>
      </c>
      <c r="BV2" s="20">
        <v>46354</v>
      </c>
      <c r="BW2" s="96">
        <v>1000000000</v>
      </c>
      <c r="BZ2" t="s">
        <v>455</v>
      </c>
      <c r="CA2" t="s">
        <v>34</v>
      </c>
      <c r="CB2" t="s">
        <v>1263</v>
      </c>
      <c r="CC2" t="s">
        <v>456</v>
      </c>
      <c r="CD2" t="s">
        <v>364</v>
      </c>
      <c r="CE2" t="s">
        <v>564</v>
      </c>
      <c r="CF2" t="s">
        <v>457</v>
      </c>
      <c r="CG2" s="96">
        <v>8.3000000000000007</v>
      </c>
      <c r="CH2" t="s">
        <v>990</v>
      </c>
      <c r="CI2">
        <v>100.137</v>
      </c>
      <c r="CJ2" s="96">
        <v>-2000000000000</v>
      </c>
      <c r="CK2" s="14">
        <v>-2062887137958.8301</v>
      </c>
      <c r="CL2">
        <v>0</v>
      </c>
      <c r="CM2">
        <v>0</v>
      </c>
      <c r="CN2" s="14">
        <v>39502777777.779999</v>
      </c>
      <c r="CO2">
        <v>0.12</v>
      </c>
      <c r="CP2">
        <v>0.13</v>
      </c>
      <c r="CQ2">
        <v>0.13</v>
      </c>
      <c r="CR2" s="14">
        <v>-62887137958.830002</v>
      </c>
      <c r="CS2" s="14">
        <v>-62887137958.830002</v>
      </c>
      <c r="CT2" s="14">
        <v>-62887137958.830002</v>
      </c>
      <c r="CU2" s="63">
        <f>FNRP_MSB[[#This Row],[Mat. Date]]-RPT</f>
        <v>56</v>
      </c>
      <c r="CV2" s="63" t="str">
        <f>IF(FNRP_MSB[[#This Row],[Days]]&lt;=0,"Mat",_xlfn.XLOOKUP(FNRP_MSB[[#This Row],[Days]],Ref!$D$1:$D$13,Ref!$C$1:$C$13,"Mat",1,1))</f>
        <v>3M</v>
      </c>
      <c r="CW2" s="25">
        <f>SUMIFS(Ref!X:X,Ref!W:W,FNRP_MSB[[#This Row],[Short Name]])</f>
        <v>0</v>
      </c>
      <c r="CZ2" t="s">
        <v>1406</v>
      </c>
      <c r="DA2" t="s">
        <v>1449</v>
      </c>
      <c r="DB2" t="s">
        <v>1407</v>
      </c>
      <c r="DC2" t="s">
        <v>1408</v>
      </c>
      <c r="DD2" t="s">
        <v>1409</v>
      </c>
      <c r="DE2" t="s">
        <v>36</v>
      </c>
      <c r="DF2">
        <v>71.200999999999993</v>
      </c>
      <c r="DG2">
        <v>71</v>
      </c>
      <c r="DH2" s="391">
        <v>6372854</v>
      </c>
      <c r="DI2" s="391">
        <v>637285400</v>
      </c>
      <c r="DJ2">
        <v>68.569999999999993</v>
      </c>
      <c r="DK2">
        <v>453753577.64999998</v>
      </c>
      <c r="DL2">
        <v>6</v>
      </c>
      <c r="DM2">
        <v>1</v>
      </c>
      <c r="DN2">
        <v>0</v>
      </c>
      <c r="DO2">
        <v>0</v>
      </c>
      <c r="DP2">
        <v>-5996404.1533840159</v>
      </c>
      <c r="DQ2">
        <v>14.42</v>
      </c>
      <c r="DR2">
        <v>3.8497662695408001</v>
      </c>
      <c r="DS2">
        <v>4.1273344200000004</v>
      </c>
      <c r="DT2">
        <v>18.294670445870501</v>
      </c>
      <c r="DU2">
        <v>83.887141146100006</v>
      </c>
      <c r="DV2">
        <v>-176.52457167099999</v>
      </c>
      <c r="DW2">
        <v>173.541</v>
      </c>
      <c r="DX2">
        <v>0</v>
      </c>
      <c r="DY2">
        <v>16766978.874000002</v>
      </c>
      <c r="DZ2">
        <v>16766978.874</v>
      </c>
      <c r="EA2">
        <v>16766978.874</v>
      </c>
      <c r="EB2">
        <v>4997481888.29</v>
      </c>
      <c r="EC2">
        <v>4997481888.2900696</v>
      </c>
      <c r="ED2">
        <v>15.2</v>
      </c>
      <c r="EE2" s="89">
        <f>FNRP_ITB_2[[#This Row],[Mat. Date]]-RPT</f>
        <v>1780</v>
      </c>
      <c r="EF2" s="25" t="str">
        <f>IF(FNRP_ITB_2[[#This Row],[Mat. Date]]-RPT&lt;=0,"Mat",_xlfn.XLOOKUP(FNRP_ITB_2[[#This Row],[Mat. Date]]-RPT,Ref!$D$1:$D$13,Ref!$C$1:$C$13,"Mat",1,1))</f>
        <v>5Y</v>
      </c>
      <c r="EG2" s="25" t="str">
        <f>_xlfn.XLOOKUP(FNRP_ITB_2[[#This Row],[Security Name]],AllDealps!C:C,AllDealps!D:D,"",0)</f>
        <v/>
      </c>
      <c r="EH2" s="25">
        <f>SUMIFS(Ref!AC:AC,Ref!AB:AB,"KGS")</f>
        <v>298.05499999999995</v>
      </c>
      <c r="EI2" s="25">
        <f>FNRP_ITB_2[[#This Row],[Tỷ giá]]*FNRP_ITB_2[[#This Row],[Nominal]]</f>
        <v>189946099896.99997</v>
      </c>
      <c r="EJ2" s="25">
        <f>FNRP_ITB_2[[#This Row],[Tỷ giá]]*FNRP_ITB_2[[#This Row],[Nominal]]*FNRP_ITB_2[[#This Row],[Price]]/100</f>
        <v>135243522587.66293</v>
      </c>
      <c r="EK2" s="25">
        <v>436986598.33999997</v>
      </c>
      <c r="EL2" s="25">
        <f>FNRP_ITB_2[[#This Row],[Gross amt (KGS)]]*FNRP_ITB_2[[#This Row],[Tỷ giá]]</f>
        <v>130246040568.22867</v>
      </c>
    </row>
    <row r="3" spans="1:142" x14ac:dyDescent="0.3">
      <c r="B3" t="s">
        <v>33</v>
      </c>
      <c r="C3" t="s">
        <v>34</v>
      </c>
      <c r="D3" t="s">
        <v>392</v>
      </c>
      <c r="E3" t="s">
        <v>35</v>
      </c>
      <c r="F3" s="20">
        <v>46369</v>
      </c>
      <c r="G3" t="s">
        <v>36</v>
      </c>
      <c r="H3" s="23">
        <v>101.009241773</v>
      </c>
      <c r="I3" s="14">
        <v>400</v>
      </c>
      <c r="J3" s="96">
        <v>400000000000</v>
      </c>
      <c r="K3" s="14">
        <v>400000000000</v>
      </c>
      <c r="L3" s="14">
        <v>100.045</v>
      </c>
      <c r="M3" s="14">
        <v>200</v>
      </c>
      <c r="N3" s="24">
        <v>7.682046755</v>
      </c>
      <c r="O3" s="24">
        <v>7.682046755</v>
      </c>
      <c r="P3" s="24">
        <v>6.7386215529999998</v>
      </c>
      <c r="Q3" s="96">
        <v>404036967092</v>
      </c>
      <c r="R3" s="22">
        <v>7.9</v>
      </c>
      <c r="S3" s="22">
        <v>1.6020000000000001</v>
      </c>
      <c r="T3" s="23">
        <v>3.12</v>
      </c>
      <c r="U3" s="14">
        <v>40260273972.602737</v>
      </c>
      <c r="V3" s="14">
        <v>41804679442.161346</v>
      </c>
      <c r="W3" s="14">
        <v>-33688777055.172287</v>
      </c>
      <c r="X3" s="14">
        <v>6406575344</v>
      </c>
      <c r="Y3" s="14">
        <v>14522477730.989059</v>
      </c>
      <c r="Z3" s="14">
        <v>-33688777055.169998</v>
      </c>
      <c r="AA3" s="14">
        <v>0.28328649497410002</v>
      </c>
      <c r="AB3" s="14">
        <v>0.28951089000000002</v>
      </c>
      <c r="AC3" s="14">
        <v>0.35143701291500001</v>
      </c>
      <c r="AD3" s="14">
        <v>-11627.311252198</v>
      </c>
      <c r="AE3" s="14">
        <v>-180042999.99995232</v>
      </c>
      <c r="AF3" s="14">
        <v>3857530492.0000076</v>
      </c>
      <c r="AG3" s="14">
        <v>3677487492.0000553</v>
      </c>
      <c r="AH3" s="89" t="str">
        <f>IF(_xlfn.XLOOKUP(FNRP_FIbond[[#This Row],[Short Name]],BS:BS,BU:BU,0,0)-RPT&lt;0,FNRP_FIbond[[#This Row],[Tenor]],_xlfn.XLOOKUP(_xlfn.XLOOKUP(FNRP_FIbond[[#This Row],[Short Name]],BS:BS,BU:BU,0,0)-RPT,Ref!$D$1:$D$13,Ref!$C$1:$C$13,"Mat",1,1))</f>
        <v>6M</v>
      </c>
      <c r="AI3" s="89">
        <f>FNRP_FIbond[[#This Row],[Mat. Date]]-RPT</f>
        <v>107</v>
      </c>
      <c r="AJ3" s="25" t="str">
        <f>IF(FNRP_FIbond[[#This Row],[Mat. Date]]-RPT&lt;=0,"Mat",_xlfn.XLOOKUP(FNRP_FIbond[[#This Row],[Mat. Date]]-RPT,Ref!$D$1:$D$13,Ref!$C$1:$C$13,"Mat",1,1))</f>
        <v>6M</v>
      </c>
      <c r="AK3" s="25" t="str">
        <f>_xlfn.XLOOKUP(FNRP_FIbond[[#This Row],[Short Name]],AllDealps!C:C,AllDealps!D:D,"",0)</f>
        <v>TC_SHINSEI</v>
      </c>
      <c r="AL3" s="25">
        <f>FNRP_FIbond[[#This Row],[Market Value]]/FNRP_FIbond[[#This Row],[Quantity]]</f>
        <v>1010092417.73</v>
      </c>
      <c r="AM3" s="25">
        <f>SUMIFS(Ref!Q:Q,Ref!O:O,FNRP_FIbond[[#This Row],[Short Name]])</f>
        <v>0</v>
      </c>
      <c r="AN3" s="25">
        <f>IF(FNRP_FIbond[[#This Row],[Days]]=0,0,IF(FNRP_FIbond[[#This Row],[Nominal]]&lt;0,FNRP_FIbond[[#This Row],[Nominal]],MAX(0,FNRP_FIbond[[#This Row],[Nominal]]-FNRP_FIbond[[#This Row],[Đối ứng]])))</f>
        <v>400000000000</v>
      </c>
      <c r="AO3" s="25"/>
      <c r="AQ3" t="s">
        <v>455</v>
      </c>
      <c r="AR3" t="s">
        <v>34</v>
      </c>
      <c r="AS3" t="s">
        <v>1140</v>
      </c>
      <c r="AT3" t="s">
        <v>456</v>
      </c>
      <c r="AU3" t="s">
        <v>364</v>
      </c>
      <c r="AV3" s="20">
        <v>46283</v>
      </c>
      <c r="AW3" t="s">
        <v>457</v>
      </c>
      <c r="AX3" s="96">
        <v>7.5</v>
      </c>
      <c r="AY3" t="s">
        <v>36</v>
      </c>
      <c r="AZ3">
        <v>100.029</v>
      </c>
      <c r="BA3" s="96">
        <v>50000000000</v>
      </c>
      <c r="BB3" s="96">
        <v>52655289525.660004</v>
      </c>
      <c r="BC3">
        <v>0</v>
      </c>
      <c r="BD3">
        <v>0</v>
      </c>
      <c r="BE3" s="14">
        <v>-1819130940.5899999</v>
      </c>
      <c r="BF3">
        <v>0.04</v>
      </c>
      <c r="BG3">
        <v>0.04</v>
      </c>
      <c r="BH3">
        <v>3.5000000000000003E-2</v>
      </c>
      <c r="BI3" s="14">
        <v>2920173625.6500001</v>
      </c>
      <c r="BJ3" s="14">
        <v>12658893867.58</v>
      </c>
      <c r="BK3" s="14">
        <v>12658893867.58</v>
      </c>
      <c r="BL3" s="63">
        <f>FNRP_PPCD[[#This Row],[Mat. Date]]-RPT</f>
        <v>21</v>
      </c>
      <c r="BM3" s="63" t="str">
        <f>IF(FNRP_PPCD[[#This Row],[Days]]&lt;=0,"Mat",_xlfn.XLOOKUP(FNRP_PPCD[[#This Row],[Days]],Ref!$D$1:$D$13,Ref!$C$1:$C$13,"Mat",1,1))</f>
        <v>3M</v>
      </c>
      <c r="BN3" s="25" t="str">
        <f>IF(FNRP_PPCD[[#This Row],[Days]]&lt;=0,"",VLOOKUP(FNRP_PPCD[[#This Row],[Short Name]],AllDealps!C:D,2,0))</f>
        <v>HCVN</v>
      </c>
      <c r="BO3" s="126">
        <f>SUMIFS(Ref!Q:Q,Ref!O:O,FNRP_PPCD[[#This Row],[Short Name]])</f>
        <v>0</v>
      </c>
      <c r="BP3" s="126">
        <f>IF(FNRP_PPCD[[#This Row],[Days]]=0,0,IF(FNRP_PPCD[[#This Row],[Nominal]]&lt;0,FNRP_PPCD[[#This Row],[Nominal]],MAX(0,FNRP_PPCD[[#This Row],[Nominal]]-FNRP_PPCD[[#This Row],[Đối ứng]])))</f>
        <v>50000000000</v>
      </c>
      <c r="BS3" t="s">
        <v>1265</v>
      </c>
      <c r="BT3" t="s">
        <v>650</v>
      </c>
      <c r="BU3" s="20">
        <v>46867</v>
      </c>
      <c r="BV3" s="20">
        <v>46867</v>
      </c>
      <c r="BW3" s="96">
        <v>1000000000</v>
      </c>
      <c r="BZ3" t="s">
        <v>455</v>
      </c>
      <c r="CA3" t="s">
        <v>34</v>
      </c>
      <c r="CB3" t="s">
        <v>1267</v>
      </c>
      <c r="CC3" t="s">
        <v>456</v>
      </c>
      <c r="CD3" t="s">
        <v>364</v>
      </c>
      <c r="CE3" t="s">
        <v>1259</v>
      </c>
      <c r="CF3" t="s">
        <v>457</v>
      </c>
      <c r="CG3" s="96">
        <v>8.1999999999999993</v>
      </c>
      <c r="CH3" t="s">
        <v>990</v>
      </c>
      <c r="CI3">
        <v>100.126</v>
      </c>
      <c r="CJ3" s="96">
        <v>-500000000000</v>
      </c>
      <c r="CK3" s="14">
        <v>-514923377645.10999</v>
      </c>
      <c r="CL3">
        <v>0</v>
      </c>
      <c r="CM3">
        <v>0</v>
      </c>
      <c r="CN3" s="14">
        <v>9567361111.1100006</v>
      </c>
      <c r="CO3">
        <v>0.14000000000000001</v>
      </c>
      <c r="CP3">
        <v>0.15</v>
      </c>
      <c r="CQ3">
        <v>0.14599999999999999</v>
      </c>
      <c r="CR3" s="14">
        <v>-14923377645.110001</v>
      </c>
      <c r="CS3" s="14">
        <v>-62887137958.830002</v>
      </c>
      <c r="CT3" s="14">
        <v>-62887137958.830002</v>
      </c>
      <c r="CU3" s="63">
        <f>FNRP_MSB[[#This Row],[Mat. Date]]-RPT</f>
        <v>61</v>
      </c>
      <c r="CV3" s="63" t="str">
        <f>IF(FNRP_MSB[[#This Row],[Days]]&lt;=0,"Mat",_xlfn.XLOOKUP(FNRP_MSB[[#This Row],[Days]],Ref!$D$1:$D$13,Ref!$C$1:$C$13,"Mat",1,1))</f>
        <v>3M</v>
      </c>
      <c r="CW3" s="25">
        <f>SUMIFS(Ref!X:X,Ref!W:W,FNRP_MSB[[#This Row],[Short Name]])</f>
        <v>0</v>
      </c>
      <c r="CZ3" t="s">
        <v>1406</v>
      </c>
      <c r="DA3" t="s">
        <v>1449</v>
      </c>
      <c r="DB3" t="s">
        <v>1462</v>
      </c>
      <c r="DC3" t="s">
        <v>1408</v>
      </c>
      <c r="DD3" t="s">
        <v>1463</v>
      </c>
      <c r="DE3" t="s">
        <v>36</v>
      </c>
      <c r="DF3">
        <v>70.998999999999995</v>
      </c>
      <c r="DG3">
        <v>71</v>
      </c>
      <c r="DH3" s="391">
        <v>12745000</v>
      </c>
      <c r="DI3" s="391">
        <v>1274500000</v>
      </c>
      <c r="DJ3">
        <v>68.569999999999993</v>
      </c>
      <c r="DK3">
        <v>904882255</v>
      </c>
      <c r="DL3">
        <v>6</v>
      </c>
      <c r="DM3">
        <v>1</v>
      </c>
      <c r="DN3">
        <v>0</v>
      </c>
      <c r="DO3">
        <v>0</v>
      </c>
      <c r="DP3">
        <v>-8460610.4576445427</v>
      </c>
      <c r="DQ3">
        <v>14.44</v>
      </c>
      <c r="DR3">
        <v>3.8842601074769001</v>
      </c>
      <c r="DS3">
        <v>4.1647036899999996</v>
      </c>
      <c r="DT3">
        <v>18.578758355213299</v>
      </c>
      <c r="DU3">
        <v>169.35129420800001</v>
      </c>
      <c r="DV3">
        <v>-354.062668594</v>
      </c>
      <c r="DW3">
        <v>345.42399999999998</v>
      </c>
      <c r="DX3">
        <v>0</v>
      </c>
      <c r="DY3">
        <v>30957605.000000026</v>
      </c>
      <c r="DZ3">
        <v>30957605</v>
      </c>
      <c r="EA3">
        <v>30957605</v>
      </c>
      <c r="EB3">
        <v>9227068958.2749996</v>
      </c>
      <c r="EC3">
        <v>9227068958.2750053</v>
      </c>
      <c r="ED3">
        <v>15.2</v>
      </c>
      <c r="EE3" s="25">
        <f>FNRP_ITB_2[[#This Row],[Mat. Date]]-RPT</f>
        <v>1794</v>
      </c>
      <c r="EF3" s="25" t="str">
        <f>IF(FNRP_ITB_2[[#This Row],[Mat. Date]]-RPT&lt;=0,"Mat",_xlfn.XLOOKUP(FNRP_ITB_2[[#This Row],[Mat. Date]]-RPT,Ref!$D$1:$D$13,Ref!$C$1:$C$13,"Mat",1,1))</f>
        <v>5Y</v>
      </c>
      <c r="EG3" s="25" t="str">
        <f>_xlfn.XLOOKUP(FNRP_ITB_2[[#This Row],[Security Name]],AllDealps!C:C,AllDealps!D:D,"",0)</f>
        <v/>
      </c>
      <c r="EH3" s="25">
        <f>SUMIFS(Ref!AC:AC,Ref!AB:AB,"KGS")</f>
        <v>298.05499999999995</v>
      </c>
      <c r="EI3" s="25">
        <f>FNRP_ITB_2[[#This Row],[Tỷ giá]]*FNRP_ITB_2[[#This Row],[Nominal]]</f>
        <v>379871097499.99994</v>
      </c>
      <c r="EJ3" s="25">
        <f>FNRP_ITB_2[[#This Row],[Tỷ giá]]*FNRP_ITB_2[[#This Row],[Nominal]]*FNRP_ITB_2[[#This Row],[Price]]/100</f>
        <v>269704680514.02493</v>
      </c>
      <c r="EK3" s="25">
        <v>873924650</v>
      </c>
      <c r="EL3" s="25">
        <f>FNRP_ITB_2[[#This Row],[Gross amt (KGS)]]*FNRP_ITB_2[[#This Row],[Tỷ giá]]</f>
        <v>260477611555.74997</v>
      </c>
    </row>
    <row r="4" spans="1:142" x14ac:dyDescent="0.3">
      <c r="B4" t="s">
        <v>33</v>
      </c>
      <c r="C4" t="s">
        <v>34</v>
      </c>
      <c r="D4" t="s">
        <v>1262</v>
      </c>
      <c r="E4" t="s">
        <v>35</v>
      </c>
      <c r="F4" s="20">
        <v>46498</v>
      </c>
      <c r="G4" t="s">
        <v>36</v>
      </c>
      <c r="H4" s="23">
        <v>5.2022464380000004</v>
      </c>
      <c r="I4" s="14">
        <v>2000</v>
      </c>
      <c r="J4" s="96">
        <v>2000000000000</v>
      </c>
      <c r="K4" s="14">
        <v>2000000000000</v>
      </c>
      <c r="L4" s="14">
        <v>100</v>
      </c>
      <c r="M4" s="14">
        <v>0</v>
      </c>
      <c r="N4" s="24">
        <v>-97.926858578999997</v>
      </c>
      <c r="O4" s="24">
        <v>-97.926858578999997</v>
      </c>
      <c r="P4" s="24">
        <v>8.3995480820000008</v>
      </c>
      <c r="Q4" s="96">
        <v>104044928760</v>
      </c>
      <c r="R4" s="22">
        <v>8.4</v>
      </c>
      <c r="S4" s="22">
        <v>2.9689999999999999</v>
      </c>
      <c r="T4" s="23">
        <v>0.8</v>
      </c>
      <c r="U4" s="14">
        <v>0</v>
      </c>
      <c r="V4" s="14">
        <v>0</v>
      </c>
      <c r="W4" s="14">
        <v>-40158333333.333389</v>
      </c>
      <c r="X4" s="14">
        <v>59375342460</v>
      </c>
      <c r="Y4" s="14">
        <v>19217009126.666611</v>
      </c>
      <c r="Z4" s="14">
        <v>-40158333333.330002</v>
      </c>
      <c r="AA4" s="14">
        <v>0.61951899665550003</v>
      </c>
      <c r="AB4" s="14">
        <v>0.64657534000000005</v>
      </c>
      <c r="AC4" s="14">
        <v>0.97739862761880003</v>
      </c>
      <c r="AD4" s="14">
        <v>-10124.196245939</v>
      </c>
      <c r="AE4" s="14">
        <v>0</v>
      </c>
      <c r="AF4" s="14">
        <v>-1895955071240</v>
      </c>
      <c r="AG4" s="14">
        <v>-1895955071240</v>
      </c>
      <c r="AH4" s="89" t="str">
        <f>IF(_xlfn.XLOOKUP(FNRP_FIbond[[#This Row],[Short Name]],BS:BS,BU:BU,0,0)-RPT&lt;0,FNRP_FIbond[[#This Row],[Tenor]],_xlfn.XLOOKUP(_xlfn.XLOOKUP(FNRP_FIbond[[#This Row],[Short Name]],BS:BS,BU:BU,0,0)-RPT,Ref!$D$1:$D$13,Ref!$C$1:$C$13,"Mat",1,1))</f>
        <v>1Y</v>
      </c>
      <c r="AI4" s="89">
        <f>FNRP_FIbond[[#This Row],[Mat. Date]]-RPT</f>
        <v>236</v>
      </c>
      <c r="AJ4" s="25" t="str">
        <f>IF(FNRP_FIbond[[#This Row],[Mat. Date]]-RPT&lt;=0,"Mat",_xlfn.XLOOKUP(FNRP_FIbond[[#This Row],[Mat. Date]]-RPT,Ref!$D$1:$D$13,Ref!$C$1:$C$13,"Mat",1,1))</f>
        <v>1Y</v>
      </c>
      <c r="AK4" s="25" t="str">
        <f>_xlfn.XLOOKUP(FNRP_FIbond[[#This Row],[Short Name]],AllDealps!C:C,AllDealps!D:D,"",0)</f>
        <v>NABV</v>
      </c>
      <c r="AL4" s="25">
        <f>FNRP_FIbond[[#This Row],[Market Value]]/FNRP_FIbond[[#This Row],[Quantity]]</f>
        <v>52022464.380000003</v>
      </c>
      <c r="AM4" s="25">
        <f>SUMIFS(Ref!Q:Q,Ref!O:O,FNRP_FIbond[[#This Row],[Short Name]])</f>
        <v>2000000000000</v>
      </c>
      <c r="AN4" s="25">
        <f>IF(FNRP_FIbond[[#This Row],[Days]]=0,0,IF(FNRP_FIbond[[#This Row],[Nominal]]&lt;0,FNRP_FIbond[[#This Row],[Nominal]],MAX(0,FNRP_FIbond[[#This Row],[Nominal]]-FNRP_FIbond[[#This Row],[Đối ứng]])))</f>
        <v>0</v>
      </c>
      <c r="AO4" s="25"/>
      <c r="AQ4" t="s">
        <v>455</v>
      </c>
      <c r="AR4" t="s">
        <v>34</v>
      </c>
      <c r="AS4" t="s">
        <v>960</v>
      </c>
      <c r="AT4" t="s">
        <v>456</v>
      </c>
      <c r="AU4" t="s">
        <v>364</v>
      </c>
      <c r="AV4" s="20">
        <v>46288</v>
      </c>
      <c r="AW4" t="s">
        <v>457</v>
      </c>
      <c r="AX4" s="96">
        <v>5</v>
      </c>
      <c r="AY4" t="s">
        <v>36</v>
      </c>
      <c r="AZ4">
        <v>99.91</v>
      </c>
      <c r="BA4" s="96">
        <v>1000000000000</v>
      </c>
      <c r="BB4" s="96">
        <v>1045270087548.29</v>
      </c>
      <c r="BC4">
        <v>0</v>
      </c>
      <c r="BD4">
        <v>0</v>
      </c>
      <c r="BE4" s="14">
        <v>-50210055349.209999</v>
      </c>
      <c r="BF4">
        <v>0.05</v>
      </c>
      <c r="BG4">
        <v>0.05</v>
      </c>
      <c r="BH4">
        <v>4.5999999999999999E-2</v>
      </c>
      <c r="BI4" s="14">
        <v>43832897948.449997</v>
      </c>
      <c r="BJ4" s="14">
        <v>12658893867.58</v>
      </c>
      <c r="BK4" s="14">
        <v>12658893867.58</v>
      </c>
      <c r="BL4" s="63">
        <f>FNRP_PPCD[[#This Row],[Mat. Date]]-RPT</f>
        <v>26</v>
      </c>
      <c r="BM4" s="63" t="str">
        <f>IF(FNRP_PPCD[[#This Row],[Days]]&lt;=0,"Mat",_xlfn.XLOOKUP(FNRP_PPCD[[#This Row],[Days]],Ref!$D$1:$D$13,Ref!$C$1:$C$13,"Mat",1,1))</f>
        <v>3M</v>
      </c>
      <c r="BN4" s="25" t="str">
        <f>IF(FNRP_PPCD[[#This Row],[Days]]&lt;=0,"",VLOOKUP(FNRP_PPCD[[#This Row],[Short Name]],AllDealps!C:D,2,0))</f>
        <v>SGTT</v>
      </c>
      <c r="BO4" s="126">
        <f>SUMIFS(Ref!Q:Q,Ref!O:O,FNRP_PPCD[[#This Row],[Short Name]])</f>
        <v>0</v>
      </c>
      <c r="BP4" s="126">
        <f>IF(FNRP_PPCD[[#This Row],[Days]]=0,0,IF(FNRP_PPCD[[#This Row],[Nominal]]&lt;0,FNRP_PPCD[[#This Row],[Nominal]],MAX(0,FNRP_PPCD[[#This Row],[Nominal]]-FNRP_PPCD[[#This Row],[Đối ứng]])))</f>
        <v>1000000000000</v>
      </c>
      <c r="BS4" t="s">
        <v>393</v>
      </c>
      <c r="BT4" t="s">
        <v>651</v>
      </c>
      <c r="BU4" s="20">
        <v>46354</v>
      </c>
      <c r="BV4" s="20">
        <v>46354</v>
      </c>
      <c r="BW4" s="96">
        <v>1000000000</v>
      </c>
      <c r="BZ4" t="s">
        <v>455</v>
      </c>
      <c r="CA4" t="s">
        <v>34</v>
      </c>
      <c r="CB4" t="s">
        <v>1051</v>
      </c>
      <c r="CC4" t="s">
        <v>456</v>
      </c>
      <c r="CD4" t="s">
        <v>364</v>
      </c>
      <c r="CE4" t="s">
        <v>1052</v>
      </c>
      <c r="CF4" t="s">
        <v>457</v>
      </c>
      <c r="CG4" s="96">
        <v>6.3</v>
      </c>
      <c r="CH4" t="s">
        <v>990</v>
      </c>
      <c r="CI4">
        <v>99.697999999999993</v>
      </c>
      <c r="CJ4" s="96">
        <v>-1500000000000</v>
      </c>
      <c r="CK4" s="14">
        <v>-1570211710766.47</v>
      </c>
      <c r="CL4">
        <v>0</v>
      </c>
      <c r="CM4">
        <v>0</v>
      </c>
      <c r="CN4" s="14">
        <v>66983333333.330002</v>
      </c>
      <c r="CO4">
        <v>0.19</v>
      </c>
      <c r="CP4">
        <v>0.2</v>
      </c>
      <c r="CQ4">
        <v>0.20599999999999999</v>
      </c>
      <c r="CR4" s="14">
        <v>-70211710766.470001</v>
      </c>
      <c r="CS4" s="14">
        <v>-62887137958.830002</v>
      </c>
      <c r="CT4" s="14">
        <v>-62887137958.830002</v>
      </c>
      <c r="CU4" s="63">
        <f>FNRP_MSB[[#This Row],[Mat. Date]]-RPT</f>
        <v>80</v>
      </c>
      <c r="CV4" s="63" t="str">
        <f>IF(FNRP_MSB[[#This Row],[Days]]&lt;=0,"Mat",_xlfn.XLOOKUP(FNRP_MSB[[#This Row],[Days]],Ref!$D$1:$D$13,Ref!$C$1:$C$13,"Mat",1,1))</f>
        <v>3M</v>
      </c>
      <c r="CW4" s="25">
        <f>SUMIFS(Ref!X:X,Ref!W:W,FNRP_MSB[[#This Row],[Short Name]])</f>
        <v>0</v>
      </c>
      <c r="DH4" s="443"/>
      <c r="DI4" s="443"/>
      <c r="EE4" s="34"/>
      <c r="EF4" s="34"/>
      <c r="EG4" s="34"/>
      <c r="EH4" s="34"/>
      <c r="EI4" s="34"/>
      <c r="EJ4" s="34"/>
      <c r="EK4" s="34"/>
      <c r="EL4" s="34"/>
    </row>
    <row r="5" spans="1:142" x14ac:dyDescent="0.3">
      <c r="B5" t="s">
        <v>33</v>
      </c>
      <c r="C5" t="s">
        <v>34</v>
      </c>
      <c r="D5" t="s">
        <v>1274</v>
      </c>
      <c r="E5" t="s">
        <v>35</v>
      </c>
      <c r="F5" s="20">
        <v>46520</v>
      </c>
      <c r="G5" t="s">
        <v>36</v>
      </c>
      <c r="H5" s="23">
        <v>5.6887512070000001</v>
      </c>
      <c r="I5" s="14">
        <v>1000</v>
      </c>
      <c r="J5" s="96">
        <v>1000000000000</v>
      </c>
      <c r="K5" s="14">
        <v>1000000000000</v>
      </c>
      <c r="L5" s="14">
        <v>100</v>
      </c>
      <c r="M5" s="14">
        <v>0</v>
      </c>
      <c r="N5" s="24">
        <v>-97.094634854000006</v>
      </c>
      <c r="O5" s="24">
        <v>-97.094634854000006</v>
      </c>
      <c r="P5" s="24">
        <v>8.4</v>
      </c>
      <c r="Q5" s="96">
        <v>56887512070</v>
      </c>
      <c r="R5" s="22">
        <v>8.4</v>
      </c>
      <c r="S5" s="22">
        <v>2.4620000000000002</v>
      </c>
      <c r="T5" s="23">
        <v>0.44</v>
      </c>
      <c r="U5" s="14">
        <v>0</v>
      </c>
      <c r="V5" s="14">
        <v>0</v>
      </c>
      <c r="W5" s="14">
        <v>-16705555555.55558</v>
      </c>
      <c r="X5" s="14">
        <v>24624657530</v>
      </c>
      <c r="Y5" s="14">
        <v>7919101974.4444199</v>
      </c>
      <c r="Z5" s="14">
        <v>-16705555555.559999</v>
      </c>
      <c r="AA5" s="14">
        <v>0.67741524344899995</v>
      </c>
      <c r="AB5" s="14">
        <v>0.70684932</v>
      </c>
      <c r="AC5" s="14">
        <v>1.1080982546961</v>
      </c>
      <c r="AD5" s="14">
        <v>-5521.7586213639997</v>
      </c>
      <c r="AE5" s="14">
        <v>0</v>
      </c>
      <c r="AF5" s="14">
        <v>-943112487930</v>
      </c>
      <c r="AG5" s="14">
        <v>-943112487930</v>
      </c>
      <c r="AH5" s="89" t="str">
        <f>IF(_xlfn.XLOOKUP(FNRP_FIbond[[#This Row],[Short Name]],BS:BS,BU:BU,0,0)-RPT&lt;0,FNRP_FIbond[[#This Row],[Tenor]],_xlfn.XLOOKUP(_xlfn.XLOOKUP(FNRP_FIbond[[#This Row],[Short Name]],BS:BS,BU:BU,0,0)-RPT,Ref!$D$1:$D$13,Ref!$C$1:$C$13,"Mat",1,1))</f>
        <v>1Y</v>
      </c>
      <c r="AI5" s="89">
        <f>FNRP_FIbond[[#This Row],[Mat. Date]]-RPT</f>
        <v>258</v>
      </c>
      <c r="AJ5" s="25" t="str">
        <f>IF(FNRP_FIbond[[#This Row],[Mat. Date]]-RPT&lt;=0,"Mat",_xlfn.XLOOKUP(FNRP_FIbond[[#This Row],[Mat. Date]]-RPT,Ref!$D$1:$D$13,Ref!$C$1:$C$13,"Mat",1,1))</f>
        <v>1Y</v>
      </c>
      <c r="AK5" s="25" t="str">
        <f>_xlfn.XLOOKUP(FNRP_FIbond[[#This Row],[Short Name]],AllDealps!C:C,AllDealps!D:D,"",0)</f>
        <v>NABV</v>
      </c>
      <c r="AL5" s="25">
        <f>FNRP_FIbond[[#This Row],[Market Value]]/FNRP_FIbond[[#This Row],[Quantity]]</f>
        <v>56887512.07</v>
      </c>
      <c r="AM5" s="25">
        <f>SUMIFS(Ref!Q:Q,Ref!O:O,FNRP_FIbond[[#This Row],[Short Name]])</f>
        <v>1000000000000</v>
      </c>
      <c r="AN5" s="25">
        <f>IF(FNRP_FIbond[[#This Row],[Days]]=0,0,IF(FNRP_FIbond[[#This Row],[Nominal]]&lt;0,FNRP_FIbond[[#This Row],[Nominal]],MAX(0,FNRP_FIbond[[#This Row],[Nominal]]-FNRP_FIbond[[#This Row],[Đối ứng]])))</f>
        <v>0</v>
      </c>
      <c r="AO5" s="25"/>
      <c r="AQ5" t="s">
        <v>455</v>
      </c>
      <c r="AR5" t="s">
        <v>34</v>
      </c>
      <c r="AS5" t="s">
        <v>961</v>
      </c>
      <c r="AT5" t="s">
        <v>456</v>
      </c>
      <c r="AU5" t="s">
        <v>364</v>
      </c>
      <c r="AV5" s="20">
        <v>46289</v>
      </c>
      <c r="AW5" t="s">
        <v>457</v>
      </c>
      <c r="AX5" s="96">
        <v>6</v>
      </c>
      <c r="AY5" t="s">
        <v>36</v>
      </c>
      <c r="AZ5">
        <v>99.954999999999998</v>
      </c>
      <c r="BA5" s="96">
        <v>1000000000000</v>
      </c>
      <c r="BB5" s="96">
        <v>1054869226781.08</v>
      </c>
      <c r="BC5">
        <v>0</v>
      </c>
      <c r="BD5">
        <v>0</v>
      </c>
      <c r="BE5">
        <v>-49666959146.489998</v>
      </c>
      <c r="BF5">
        <v>0.05</v>
      </c>
      <c r="BG5">
        <v>0.05</v>
      </c>
      <c r="BH5">
        <v>4.9000000000000002E-2</v>
      </c>
      <c r="BI5">
        <v>52962401180.639999</v>
      </c>
      <c r="BJ5" s="14">
        <v>12658893867.58</v>
      </c>
      <c r="BK5" s="14">
        <v>12658893867.58</v>
      </c>
      <c r="BL5" s="63">
        <f>FNRP_PPCD[[#This Row],[Mat. Date]]-RPT</f>
        <v>27</v>
      </c>
      <c r="BM5" s="63" t="str">
        <f>IF(FNRP_PPCD[[#This Row],[Days]]&lt;=0,"Mat",_xlfn.XLOOKUP(FNRP_PPCD[[#This Row],[Days]],Ref!$D$1:$D$13,Ref!$C$1:$C$13,"Mat",1,1))</f>
        <v>3M</v>
      </c>
      <c r="BN5" s="25" t="str">
        <f>IF(FNRP_PPCD[[#This Row],[Days]]&lt;=0,"",VLOOKUP(FNRP_PPCD[[#This Row],[Short Name]],AllDealps!C:D,2,0))</f>
        <v>EIBV</v>
      </c>
      <c r="BO5" s="126">
        <f>SUMIFS(Ref!Q:Q,Ref!O:O,FNRP_PPCD[[#This Row],[Short Name]])</f>
        <v>0</v>
      </c>
      <c r="BP5" s="126">
        <f>IF(FNRP_PPCD[[#This Row],[Days]]=0,0,IF(FNRP_PPCD[[#This Row],[Nominal]]&lt;0,FNRP_PPCD[[#This Row],[Nominal]],MAX(0,FNRP_PPCD[[#This Row],[Nominal]]-FNRP_PPCD[[#This Row],[Đối ứng]])))</f>
        <v>1000000000000</v>
      </c>
      <c r="BS5" t="s">
        <v>791</v>
      </c>
      <c r="BT5" t="s">
        <v>651</v>
      </c>
      <c r="BU5" s="20">
        <v>46246</v>
      </c>
      <c r="BV5" s="20">
        <v>46246</v>
      </c>
      <c r="BW5" s="96">
        <v>1000000000</v>
      </c>
      <c r="BZ5" t="s">
        <v>455</v>
      </c>
      <c r="CA5" t="s">
        <v>34</v>
      </c>
      <c r="CB5" t="s">
        <v>1065</v>
      </c>
      <c r="CC5" t="s">
        <v>456</v>
      </c>
      <c r="CD5" t="s">
        <v>364</v>
      </c>
      <c r="CE5" t="s">
        <v>1066</v>
      </c>
      <c r="CF5" t="s">
        <v>457</v>
      </c>
      <c r="CG5" s="96">
        <v>6.3</v>
      </c>
      <c r="CH5" t="s">
        <v>990</v>
      </c>
      <c r="CI5">
        <v>99.641999999999996</v>
      </c>
      <c r="CJ5" s="96">
        <v>-2000000000000</v>
      </c>
      <c r="CK5" s="14">
        <v>-2090084605845.6699</v>
      </c>
      <c r="CL5">
        <v>0</v>
      </c>
      <c r="CM5">
        <v>0</v>
      </c>
      <c r="CN5" s="14">
        <v>87605555555.559998</v>
      </c>
      <c r="CO5">
        <v>0.2</v>
      </c>
      <c r="CP5">
        <v>0.22</v>
      </c>
      <c r="CQ5">
        <v>0.22900000000000001</v>
      </c>
      <c r="CR5" s="14">
        <v>-90084605845.669998</v>
      </c>
      <c r="CS5" s="14">
        <v>-62887137958.830002</v>
      </c>
      <c r="CT5" s="14">
        <v>-62887137958.830002</v>
      </c>
      <c r="CU5" s="63">
        <f>FNRP_MSB[[#This Row],[Mat. Date]]-RPT</f>
        <v>87</v>
      </c>
      <c r="CV5" s="63" t="str">
        <f>IF(FNRP_MSB[[#This Row],[Days]]&lt;=0,"Mat",_xlfn.XLOOKUP(FNRP_MSB[[#This Row],[Days]],Ref!$D$1:$D$13,Ref!$C$1:$C$13,"Mat",1,1))</f>
        <v>3M</v>
      </c>
      <c r="CW5" s="25">
        <f>SUMIFS(Ref!X:X,Ref!W:W,FNRP_MSB[[#This Row],[Short Name]])</f>
        <v>2000000000000</v>
      </c>
    </row>
    <row r="6" spans="1:142" x14ac:dyDescent="0.3">
      <c r="B6" t="s">
        <v>33</v>
      </c>
      <c r="C6" t="s">
        <v>34</v>
      </c>
      <c r="D6" t="s">
        <v>601</v>
      </c>
      <c r="E6" t="s">
        <v>35</v>
      </c>
      <c r="F6" s="20">
        <v>46533</v>
      </c>
      <c r="G6" t="s">
        <v>36</v>
      </c>
      <c r="H6" s="23">
        <v>101.663762969</v>
      </c>
      <c r="I6" s="14">
        <v>400</v>
      </c>
      <c r="J6" s="96">
        <v>400000000000</v>
      </c>
      <c r="K6" s="14">
        <v>400000000000</v>
      </c>
      <c r="L6" s="14">
        <v>100</v>
      </c>
      <c r="M6" s="14">
        <v>0</v>
      </c>
      <c r="N6" s="24">
        <v>6.7322916150000003</v>
      </c>
      <c r="O6" s="24">
        <v>6.7322916150000003</v>
      </c>
      <c r="P6" s="24">
        <v>6.8</v>
      </c>
      <c r="Q6" s="96">
        <v>406655051876</v>
      </c>
      <c r="R6" s="22">
        <v>6.8</v>
      </c>
      <c r="S6" s="22">
        <v>1.9750000000000001</v>
      </c>
      <c r="T6" s="23">
        <v>3.14</v>
      </c>
      <c r="U6" s="14">
        <v>27200000000</v>
      </c>
      <c r="V6" s="14">
        <v>27626586666.666668</v>
      </c>
      <c r="W6" s="14">
        <v>-26504444444.444481</v>
      </c>
      <c r="X6" s="14">
        <v>7899178084</v>
      </c>
      <c r="Y6" s="14">
        <v>8394653639.5555191</v>
      </c>
      <c r="Z6" s="14">
        <v>-27131111111.110001</v>
      </c>
      <c r="AA6" s="14">
        <v>0.68016788700289998</v>
      </c>
      <c r="AB6" s="14">
        <v>0.70958904</v>
      </c>
      <c r="AC6" s="14">
        <v>1.1145949544925999</v>
      </c>
      <c r="AD6" s="14">
        <v>-28196.647464000998</v>
      </c>
      <c r="AE6" s="14">
        <v>0</v>
      </c>
      <c r="AF6" s="14">
        <v>6655051876.0000229</v>
      </c>
      <c r="AG6" s="14">
        <v>6655051876.0000229</v>
      </c>
      <c r="AH6" s="89" t="str">
        <f>IF(_xlfn.XLOOKUP(FNRP_FIbond[[#This Row],[Short Name]],BS:BS,BU:BU,0,0)-RPT&lt;0,FNRP_FIbond[[#This Row],[Tenor]],_xlfn.XLOOKUP(_xlfn.XLOOKUP(FNRP_FIbond[[#This Row],[Short Name]],BS:BS,BU:BU,0,0)-RPT,Ref!$D$1:$D$13,Ref!$C$1:$C$13,"Mat",1,1))</f>
        <v>1Y</v>
      </c>
      <c r="AI6" s="89">
        <f>FNRP_FIbond[[#This Row],[Mat. Date]]-RPT</f>
        <v>271</v>
      </c>
      <c r="AJ6" s="25" t="str">
        <f>IF(FNRP_FIbond[[#This Row],[Mat. Date]]-RPT&lt;=0,"Mat",_xlfn.XLOOKUP(FNRP_FIbond[[#This Row],[Mat. Date]]-RPT,Ref!$D$1:$D$13,Ref!$C$1:$C$13,"Mat",1,1))</f>
        <v>1Y</v>
      </c>
      <c r="AK6" s="25" t="str">
        <f>_xlfn.XLOOKUP(FNRP_FIbond[[#This Row],[Short Name]],AllDealps!C:C,AllDealps!D:D,"",0)</f>
        <v>HCVN</v>
      </c>
      <c r="AL6" s="25">
        <f>FNRP_FIbond[[#This Row],[Market Value]]/FNRP_FIbond[[#This Row],[Quantity]]</f>
        <v>1016637629.6900001</v>
      </c>
      <c r="AM6" s="25">
        <f>SUMIFS(Ref!Q:Q,Ref!O:O,FNRP_FIbond[[#This Row],[Short Name]])</f>
        <v>0</v>
      </c>
      <c r="AN6" s="25">
        <f>IF(FNRP_FIbond[[#This Row],[Days]]=0,0,IF(FNRP_FIbond[[#This Row],[Nominal]]&lt;0,FNRP_FIbond[[#This Row],[Nominal]],MAX(0,FNRP_FIbond[[#This Row],[Nominal]]-FNRP_FIbond[[#This Row],[Đối ứng]])))</f>
        <v>400000000000</v>
      </c>
      <c r="AO6" s="25"/>
      <c r="AQ6" t="s">
        <v>455</v>
      </c>
      <c r="AR6" t="s">
        <v>34</v>
      </c>
      <c r="AS6" t="s">
        <v>963</v>
      </c>
      <c r="AT6" t="s">
        <v>456</v>
      </c>
      <c r="AU6" t="s">
        <v>364</v>
      </c>
      <c r="AV6" s="20">
        <v>46295</v>
      </c>
      <c r="AW6" t="s">
        <v>457</v>
      </c>
      <c r="AX6" s="96">
        <v>6.1</v>
      </c>
      <c r="AY6" t="s">
        <v>36</v>
      </c>
      <c r="AZ6">
        <v>99.932000000000002</v>
      </c>
      <c r="BA6" s="96">
        <v>400000000000</v>
      </c>
      <c r="BB6" s="96">
        <v>-1141886213.97</v>
      </c>
      <c r="BC6">
        <v>0</v>
      </c>
      <c r="BD6">
        <v>0</v>
      </c>
      <c r="BE6" s="14">
        <v>-9528891187.3799992</v>
      </c>
      <c r="BF6">
        <v>7.0000000000000007E-2</v>
      </c>
      <c r="BG6">
        <v>7.0000000000000007E-2</v>
      </c>
      <c r="BH6">
        <v>6.5000000000000002E-2</v>
      </c>
      <c r="BI6" s="14">
        <v>4964822465.0100002</v>
      </c>
      <c r="BJ6" s="14">
        <v>12658893867.58</v>
      </c>
      <c r="BK6" s="14">
        <v>12658893867.58</v>
      </c>
      <c r="BL6" s="63">
        <f>FNRP_PPCD[[#This Row],[Mat. Date]]-RPT</f>
        <v>33</v>
      </c>
      <c r="BM6" s="63" t="str">
        <f>IF(FNRP_PPCD[[#This Row],[Days]]&lt;=0,"Mat",_xlfn.XLOOKUP(FNRP_PPCD[[#This Row],[Days]],Ref!$D$1:$D$13,Ref!$C$1:$C$13,"Mat",1,1))</f>
        <v>3M</v>
      </c>
      <c r="BN6" s="25" t="str">
        <f>IF(FNRP_PPCD[[#This Row],[Days]]&lt;=0,"",VLOOKUP(FNRP_PPCD[[#This Row],[Short Name]],AllDealps!C:D,2,0))</f>
        <v>ABBV</v>
      </c>
      <c r="BO6" s="126">
        <f>SUMIFS(Ref!Q:Q,Ref!O:O,FNRP_PPCD[[#This Row],[Short Name]])</f>
        <v>0</v>
      </c>
      <c r="BP6" s="126">
        <f>IF(FNRP_PPCD[[#This Row],[Days]]=0,0,IF(FNRP_PPCD[[#This Row],[Nominal]]&lt;0,FNRP_PPCD[[#This Row],[Nominal]],MAX(0,FNRP_PPCD[[#This Row],[Nominal]]-FNRP_PPCD[[#This Row],[Đối ứng]])))</f>
        <v>400000000000</v>
      </c>
      <c r="BS6" t="s">
        <v>1265</v>
      </c>
      <c r="BT6" t="s">
        <v>650</v>
      </c>
      <c r="BU6" s="20">
        <v>46501</v>
      </c>
      <c r="BV6" s="20">
        <v>46501</v>
      </c>
      <c r="BW6" s="96">
        <v>1000000000</v>
      </c>
      <c r="BZ6" t="s">
        <v>455</v>
      </c>
      <c r="CA6" t="s">
        <v>34</v>
      </c>
      <c r="CB6" t="s">
        <v>1074</v>
      </c>
      <c r="CC6" t="s">
        <v>456</v>
      </c>
      <c r="CD6" t="s">
        <v>364</v>
      </c>
      <c r="CE6" t="s">
        <v>1075</v>
      </c>
      <c r="CF6" t="s">
        <v>457</v>
      </c>
      <c r="CG6" s="96">
        <v>6.6</v>
      </c>
      <c r="CH6" t="s">
        <v>990</v>
      </c>
      <c r="CI6">
        <v>99.671999999999997</v>
      </c>
      <c r="CJ6" s="96">
        <v>-1500000000000</v>
      </c>
      <c r="CK6" s="14">
        <v>-1570420147255.6201</v>
      </c>
      <c r="CL6">
        <v>0</v>
      </c>
      <c r="CM6">
        <v>0</v>
      </c>
      <c r="CN6" s="14">
        <v>64708333333.330002</v>
      </c>
      <c r="CO6">
        <v>0.21</v>
      </c>
      <c r="CP6">
        <v>0.23</v>
      </c>
      <c r="CQ6">
        <v>0.24199999999999999</v>
      </c>
      <c r="CR6" s="14">
        <v>-70420147255.619995</v>
      </c>
      <c r="CS6" s="14">
        <v>-62887137958.830002</v>
      </c>
      <c r="CT6" s="14">
        <v>-62887137958.830002</v>
      </c>
      <c r="CU6" s="63">
        <f>FNRP_MSB[[#This Row],[Mat. Date]]-RPT</f>
        <v>91</v>
      </c>
      <c r="CV6" s="63" t="str">
        <f>IF(FNRP_MSB[[#This Row],[Days]]&lt;=0,"Mat",_xlfn.XLOOKUP(FNRP_MSB[[#This Row],[Days]],Ref!$D$1:$D$13,Ref!$C$1:$C$13,"Mat",1,1))</f>
        <v>6M</v>
      </c>
      <c r="CW6" s="25">
        <f>SUMIFS(Ref!X:X,Ref!W:W,FNRP_MSB[[#This Row],[Short Name]])</f>
        <v>1500000000000</v>
      </c>
    </row>
    <row r="7" spans="1:142" x14ac:dyDescent="0.3">
      <c r="B7" t="s">
        <v>33</v>
      </c>
      <c r="C7" t="s">
        <v>34</v>
      </c>
      <c r="D7" t="s">
        <v>640</v>
      </c>
      <c r="E7" t="s">
        <v>35</v>
      </c>
      <c r="F7" s="20">
        <v>46582</v>
      </c>
      <c r="G7" t="s">
        <v>36</v>
      </c>
      <c r="H7" s="23">
        <v>100.84861510899999</v>
      </c>
      <c r="I7" s="14">
        <v>30000</v>
      </c>
      <c r="J7" s="96">
        <v>3000000000000</v>
      </c>
      <c r="K7" s="14">
        <v>3000000000000</v>
      </c>
      <c r="L7" s="14">
        <v>100</v>
      </c>
      <c r="M7" s="14">
        <v>0</v>
      </c>
      <c r="N7" s="24">
        <v>5.1831230210000001</v>
      </c>
      <c r="O7" s="24">
        <v>5.1831230210000001</v>
      </c>
      <c r="P7" s="24">
        <v>5.2</v>
      </c>
      <c r="Q7" s="96">
        <v>3025458453270</v>
      </c>
      <c r="R7" s="22">
        <v>5.2</v>
      </c>
      <c r="S7" s="22">
        <v>0.64100000000000001</v>
      </c>
      <c r="T7" s="23">
        <v>23.35</v>
      </c>
      <c r="U7" s="14">
        <v>156000000000</v>
      </c>
      <c r="V7" s="14">
        <v>156929066666.66669</v>
      </c>
      <c r="W7" s="14">
        <v>-184333333333.33374</v>
      </c>
      <c r="X7" s="14">
        <v>19232876700</v>
      </c>
      <c r="Y7" s="14">
        <v>-8171389966.6670609</v>
      </c>
      <c r="Z7" s="14">
        <v>-184333333333.32999</v>
      </c>
      <c r="AA7" s="14">
        <v>0.84153178175340004</v>
      </c>
      <c r="AB7" s="14">
        <v>0.87671233000000004</v>
      </c>
      <c r="AC7" s="14">
        <v>1.5159386927956</v>
      </c>
      <c r="AD7" s="14">
        <v>-256220.45197987999</v>
      </c>
      <c r="AE7" s="14">
        <v>0</v>
      </c>
      <c r="AF7" s="14">
        <v>25458453269.99992</v>
      </c>
      <c r="AG7" s="14">
        <v>25458453269.99992</v>
      </c>
      <c r="AH7" s="89" t="str">
        <f>IF(_xlfn.XLOOKUP(FNRP_FIbond[[#This Row],[Short Name]],BS:BS,BU:BU,0,0)-RPT&lt;0,FNRP_FIbond[[#This Row],[Tenor]],_xlfn.XLOOKUP(_xlfn.XLOOKUP(FNRP_FIbond[[#This Row],[Short Name]],BS:BS,BU:BU,0,0)-RPT,Ref!$D$1:$D$13,Ref!$C$1:$C$13,"Mat",1,1))</f>
        <v>1Y</v>
      </c>
      <c r="AI7" s="89">
        <f>FNRP_FIbond[[#This Row],[Mat. Date]]-RPT</f>
        <v>320</v>
      </c>
      <c r="AJ7" s="25" t="str">
        <f>IF(FNRP_FIbond[[#This Row],[Mat. Date]]-RPT&lt;=0,"Mat",_xlfn.XLOOKUP(FNRP_FIbond[[#This Row],[Mat. Date]]-RPT,Ref!$D$1:$D$13,Ref!$C$1:$C$13,"Mat",1,1))</f>
        <v>1Y</v>
      </c>
      <c r="AK7" s="25" t="str">
        <f>_xlfn.XLOOKUP(FNRP_FIbond[[#This Row],[Short Name]],AllDealps!C:C,AllDealps!D:D,"",0)</f>
        <v>VBAH</v>
      </c>
      <c r="AL7" s="25">
        <f>FNRP_FIbond[[#This Row],[Market Value]]/FNRP_FIbond[[#This Row],[Quantity]]</f>
        <v>100848615.109</v>
      </c>
      <c r="AM7" s="25">
        <f>SUMIFS(Ref!Q:Q,Ref!O:O,FNRP_FIbond[[#This Row],[Short Name]])</f>
        <v>0</v>
      </c>
      <c r="AN7" s="25">
        <f>IF(FNRP_FIbond[[#This Row],[Days]]=0,0,IF(FNRP_FIbond[[#This Row],[Nominal]]&lt;0,FNRP_FIbond[[#This Row],[Nominal]],MAX(0,FNRP_FIbond[[#This Row],[Nominal]]-FNRP_FIbond[[#This Row],[Đối ứng]])))</f>
        <v>3000000000000</v>
      </c>
      <c r="AO7" s="25"/>
      <c r="AQ7" t="s">
        <v>455</v>
      </c>
      <c r="AR7" t="s">
        <v>34</v>
      </c>
      <c r="AS7" t="s">
        <v>1494</v>
      </c>
      <c r="AT7" t="s">
        <v>456</v>
      </c>
      <c r="AU7" t="s">
        <v>364</v>
      </c>
      <c r="AV7" s="20">
        <v>46300</v>
      </c>
      <c r="AW7" t="s">
        <v>457</v>
      </c>
      <c r="AX7" s="96">
        <v>6</v>
      </c>
      <c r="AY7" t="s">
        <v>36</v>
      </c>
      <c r="AZ7">
        <v>99.891999999999996</v>
      </c>
      <c r="BA7" s="96">
        <v>200000000000</v>
      </c>
      <c r="BB7" s="96">
        <v>169987213.5</v>
      </c>
      <c r="BC7">
        <v>0</v>
      </c>
      <c r="BD7">
        <v>0</v>
      </c>
      <c r="BE7" s="14">
        <v>-217990322.53</v>
      </c>
      <c r="BF7">
        <v>0.08</v>
      </c>
      <c r="BG7">
        <v>0.08</v>
      </c>
      <c r="BH7">
        <v>0.08</v>
      </c>
      <c r="BI7" s="14">
        <v>212618461.52000001</v>
      </c>
      <c r="BJ7" s="14">
        <v>12658893867.58</v>
      </c>
      <c r="BK7" s="14">
        <v>12658893867.58</v>
      </c>
      <c r="BL7" s="63">
        <f>FNRP_PPCD[[#This Row],[Mat. Date]]-RPT</f>
        <v>38</v>
      </c>
      <c r="BM7" s="63" t="str">
        <f>IF(FNRP_PPCD[[#This Row],[Days]]&lt;=0,"Mat",_xlfn.XLOOKUP(FNRP_PPCD[[#This Row],[Days]],Ref!$D$1:$D$13,Ref!$C$1:$C$13,"Mat",1,1))</f>
        <v>3M</v>
      </c>
      <c r="BN7" s="25" t="str">
        <f>IF(FNRP_PPCD[[#This Row],[Days]]&lt;=0,"",VLOOKUP(FNRP_PPCD[[#This Row],[Short Name]],AllDealps!C:D,2,0))</f>
        <v>TCBV-HO</v>
      </c>
      <c r="BO7" s="126">
        <f>SUMIFS(Ref!Q:Q,Ref!O:O,FNRP_PPCD[[#This Row],[Short Name]])</f>
        <v>0</v>
      </c>
      <c r="BP7" s="126">
        <f>IF(FNRP_PPCD[[#This Row],[Days]]=0,0,IF(FNRP_PPCD[[#This Row],[Nominal]]&lt;0,FNRP_PPCD[[#This Row],[Nominal]],MAX(0,FNRP_PPCD[[#This Row],[Nominal]]-FNRP_PPCD[[#This Row],[Đối ứng]])))</f>
        <v>200000000000</v>
      </c>
      <c r="BS7" t="s">
        <v>653</v>
      </c>
      <c r="BT7" t="s">
        <v>650</v>
      </c>
      <c r="BU7" s="20">
        <v>46289</v>
      </c>
      <c r="BV7" s="20">
        <v>46289</v>
      </c>
      <c r="BW7" s="96">
        <v>1000000000</v>
      </c>
      <c r="BZ7" t="s">
        <v>455</v>
      </c>
      <c r="CA7" t="s">
        <v>34</v>
      </c>
      <c r="CB7" t="s">
        <v>1385</v>
      </c>
      <c r="CC7" t="s">
        <v>456</v>
      </c>
      <c r="CD7" t="s">
        <v>364</v>
      </c>
      <c r="CE7" t="s">
        <v>1386</v>
      </c>
      <c r="CF7" t="s">
        <v>457</v>
      </c>
      <c r="CG7">
        <v>8.9</v>
      </c>
      <c r="CH7" t="s">
        <v>990</v>
      </c>
      <c r="CI7">
        <v>100.31399999999999</v>
      </c>
      <c r="CJ7" s="96">
        <v>-2000000000000</v>
      </c>
      <c r="CK7">
        <v>-2034764747182.6101</v>
      </c>
      <c r="CL7">
        <v>0</v>
      </c>
      <c r="CM7">
        <v>0</v>
      </c>
      <c r="CN7">
        <v>14216666666.67</v>
      </c>
      <c r="CO7">
        <v>0.31</v>
      </c>
      <c r="CP7">
        <v>0.34</v>
      </c>
      <c r="CQ7">
        <v>0.39</v>
      </c>
      <c r="CR7">
        <v>-34764747182.610001</v>
      </c>
      <c r="CS7" s="14">
        <v>-62887137958.830002</v>
      </c>
      <c r="CT7" s="14">
        <v>-62887137958.830002</v>
      </c>
      <c r="CU7" s="63">
        <f>FNRP_MSB[[#This Row],[Mat. Date]]-RPT</f>
        <v>131</v>
      </c>
      <c r="CV7" s="63" t="str">
        <f>IF(FNRP_MSB[[#This Row],[Days]]&lt;=0,"Mat",_xlfn.XLOOKUP(FNRP_MSB[[#This Row],[Days]],Ref!$D$1:$D$13,Ref!$C$1:$C$13,"Mat",1,1))</f>
        <v>6M</v>
      </c>
      <c r="CW7" s="25">
        <f>SUMIFS(Ref!X:X,Ref!W:W,FNRP_MSB[[#This Row],[Short Name]])</f>
        <v>0</v>
      </c>
    </row>
    <row r="8" spans="1:142" x14ac:dyDescent="0.3">
      <c r="B8" t="s">
        <v>33</v>
      </c>
      <c r="C8" t="s">
        <v>34</v>
      </c>
      <c r="D8" t="s">
        <v>638</v>
      </c>
      <c r="E8" t="s">
        <v>39</v>
      </c>
      <c r="F8" s="20">
        <v>48297</v>
      </c>
      <c r="G8" t="s">
        <v>36</v>
      </c>
      <c r="H8" s="23">
        <v>118.817052498</v>
      </c>
      <c r="I8" s="14">
        <v>3976106</v>
      </c>
      <c r="J8" s="96">
        <v>397610600000</v>
      </c>
      <c r="K8" s="14">
        <v>397610600000</v>
      </c>
      <c r="L8" s="14">
        <v>100.123</v>
      </c>
      <c r="M8" s="14">
        <v>270</v>
      </c>
      <c r="N8" s="24">
        <v>8.6456911390000002</v>
      </c>
      <c r="O8" s="24">
        <v>8.6456911390000002</v>
      </c>
      <c r="P8" s="24">
        <v>7.821317616</v>
      </c>
      <c r="Q8" s="96">
        <v>472429195339.60999</v>
      </c>
      <c r="R8" s="22">
        <v>7.9</v>
      </c>
      <c r="S8" s="22">
        <v>3.3980000000000001</v>
      </c>
      <c r="T8" s="23">
        <v>3.65</v>
      </c>
      <c r="U8" s="14">
        <v>29323781750</v>
      </c>
      <c r="V8" s="14">
        <v>30050319170.330906</v>
      </c>
      <c r="W8" s="14">
        <v>-27217768819.294575</v>
      </c>
      <c r="X8" s="14">
        <v>10747365261.871756</v>
      </c>
      <c r="Y8" s="14">
        <v>13579915612.908094</v>
      </c>
      <c r="Z8" s="14">
        <v>-27217768819.290001</v>
      </c>
      <c r="AA8" s="14">
        <v>0.54006522541869995</v>
      </c>
      <c r="AB8" s="14">
        <v>0.56587471</v>
      </c>
      <c r="AC8" s="14">
        <v>7.5864500394223002</v>
      </c>
      <c r="AD8" s="14">
        <v>-26243.947404091999</v>
      </c>
      <c r="AE8" s="14">
        <v>-11320266640.077278</v>
      </c>
      <c r="AF8" s="14">
        <v>74328675772.922791</v>
      </c>
      <c r="AG8" s="14">
        <v>63008409132.845512</v>
      </c>
      <c r="AH8" s="89" t="str">
        <f>IF(_xlfn.XLOOKUP(FNRP_FIbond[[#This Row],[Short Name]],BS:BS,BU:BU,0,0)-RPT&lt;0,FNRP_FIbond[[#This Row],[Tenor]],_xlfn.XLOOKUP(_xlfn.XLOOKUP(FNRP_FIbond[[#This Row],[Short Name]],BS:BS,BU:BU,0,0)-RPT,Ref!$D$1:$D$13,Ref!$C$1:$C$13,"Mat",1,1))</f>
        <v>1Y</v>
      </c>
      <c r="AI8" s="89">
        <f>FNRP_FIbond[[#This Row],[Mat. Date]]-RPT</f>
        <v>2035</v>
      </c>
      <c r="AJ8" s="25" t="str">
        <f>IF(FNRP_FIbond[[#This Row],[Mat. Date]]-RPT&lt;=0,"Mat",_xlfn.XLOOKUP(FNRP_FIbond[[#This Row],[Mat. Date]]-RPT,Ref!$D$1:$D$13,Ref!$C$1:$C$13,"Mat",1,1))</f>
        <v>7Y</v>
      </c>
      <c r="AK8" s="25" t="str">
        <f>_xlfn.XLOOKUP(FNRP_FIbond[[#This Row],[Short Name]],AllDealps!C:C,AllDealps!D:D,"",0)</f>
        <v>HDBV</v>
      </c>
      <c r="AL8" s="25">
        <f>FNRP_FIbond[[#This Row],[Market Value]]/FNRP_FIbond[[#This Row],[Quantity]]</f>
        <v>118817.05249799929</v>
      </c>
      <c r="AM8" s="25">
        <f>SUMIFS(Ref!Q:Q,Ref!O:O,FNRP_FIbond[[#This Row],[Short Name]])</f>
        <v>0</v>
      </c>
      <c r="AN8" s="25">
        <f>IF(FNRP_FIbond[[#This Row],[Days]]=0,0,IF(FNRP_FIbond[[#This Row],[Nominal]]&lt;0,FNRP_FIbond[[#This Row],[Nominal]],MAX(0,FNRP_FIbond[[#This Row],[Nominal]]-FNRP_FIbond[[#This Row],[Đối ứng]])))</f>
        <v>397610600000</v>
      </c>
      <c r="AO8" s="25"/>
      <c r="AQ8" t="s">
        <v>455</v>
      </c>
      <c r="AR8" t="s">
        <v>34</v>
      </c>
      <c r="AS8" t="s">
        <v>965</v>
      </c>
      <c r="AT8" t="s">
        <v>456</v>
      </c>
      <c r="AU8" t="s">
        <v>364</v>
      </c>
      <c r="AV8" s="20">
        <v>46301</v>
      </c>
      <c r="AW8" t="s">
        <v>457</v>
      </c>
      <c r="AX8" s="96">
        <v>6.4</v>
      </c>
      <c r="AY8" t="s">
        <v>36</v>
      </c>
      <c r="AZ8">
        <v>99.921000000000006</v>
      </c>
      <c r="BA8" s="96">
        <v>500000000000</v>
      </c>
      <c r="BB8" s="96">
        <v>528510938962.52002</v>
      </c>
      <c r="BC8">
        <v>0</v>
      </c>
      <c r="BD8">
        <v>0</v>
      </c>
      <c r="BE8" s="14">
        <v>-21639173568.009998</v>
      </c>
      <c r="BF8">
        <v>0.08</v>
      </c>
      <c r="BG8">
        <v>0.09</v>
      </c>
      <c r="BH8">
        <v>8.3000000000000004E-2</v>
      </c>
      <c r="BI8" s="14">
        <v>23104524962.43</v>
      </c>
      <c r="BJ8" s="14">
        <v>12658893867.58</v>
      </c>
      <c r="BK8" s="14">
        <v>12658893867.58</v>
      </c>
      <c r="BL8" s="63">
        <f>FNRP_PPCD[[#This Row],[Mat. Date]]-RPT</f>
        <v>39</v>
      </c>
      <c r="BM8" s="63" t="str">
        <f>IF(FNRP_PPCD[[#This Row],[Days]]&lt;=0,"Mat",_xlfn.XLOOKUP(FNRP_PPCD[[#This Row],[Days]],Ref!$D$1:$D$13,Ref!$C$1:$C$13,"Mat",1,1))</f>
        <v>3M</v>
      </c>
      <c r="BN8" s="25" t="str">
        <f>IF(FNRP_PPCD[[#This Row],[Days]]&lt;=0,"",VLOOKUP(FNRP_PPCD[[#This Row],[Short Name]],AllDealps!C:D,2,0))</f>
        <v>VIETBANK</v>
      </c>
      <c r="BO8" s="126">
        <f>SUMIFS(Ref!Q:Q,Ref!O:O,FNRP_PPCD[[#This Row],[Short Name]])</f>
        <v>0</v>
      </c>
      <c r="BP8" s="126">
        <f>IF(FNRP_PPCD[[#This Row],[Days]]=0,0,IF(FNRP_PPCD[[#This Row],[Nominal]]&lt;0,FNRP_PPCD[[#This Row],[Nominal]],MAX(0,FNRP_PPCD[[#This Row],[Nominal]]-FNRP_PPCD[[#This Row],[Đối ứng]])))</f>
        <v>500000000000</v>
      </c>
      <c r="BS8" t="s">
        <v>652</v>
      </c>
      <c r="BT8" t="s">
        <v>651</v>
      </c>
      <c r="BU8" s="20">
        <v>46354</v>
      </c>
      <c r="BV8" s="20">
        <v>46354</v>
      </c>
      <c r="BW8" s="96">
        <v>1000000000</v>
      </c>
      <c r="BZ8" t="s">
        <v>455</v>
      </c>
      <c r="CA8" t="s">
        <v>34</v>
      </c>
      <c r="CB8" t="s">
        <v>1446</v>
      </c>
      <c r="CC8" t="s">
        <v>456</v>
      </c>
      <c r="CD8" t="s">
        <v>364</v>
      </c>
      <c r="CE8" t="s">
        <v>1447</v>
      </c>
      <c r="CF8" t="s">
        <v>457</v>
      </c>
      <c r="CG8">
        <v>8.9</v>
      </c>
      <c r="CH8" t="s">
        <v>990</v>
      </c>
      <c r="CI8">
        <v>100.334</v>
      </c>
      <c r="CJ8" s="96">
        <v>-1600000000000</v>
      </c>
      <c r="CK8">
        <v>-1624227548979.0701</v>
      </c>
      <c r="CL8">
        <v>0</v>
      </c>
      <c r="CM8">
        <v>0</v>
      </c>
      <c r="CN8">
        <v>9111111111.1100006</v>
      </c>
      <c r="CO8">
        <v>0.33</v>
      </c>
      <c r="CP8">
        <v>0.36</v>
      </c>
      <c r="CQ8">
        <v>0.41299999999999998</v>
      </c>
      <c r="CR8">
        <v>-24227548979.07</v>
      </c>
      <c r="CS8" s="14">
        <v>-62887137958.830002</v>
      </c>
      <c r="CT8" s="14">
        <v>-62887137958.830002</v>
      </c>
      <c r="CU8" s="63">
        <f>FNRP_MSB[[#This Row],[Mat. Date]]-RPT</f>
        <v>137</v>
      </c>
      <c r="CV8" s="63" t="str">
        <f>IF(FNRP_MSB[[#This Row],[Days]]&lt;=0,"Mat",_xlfn.XLOOKUP(FNRP_MSB[[#This Row],[Days]],Ref!$D$1:$D$13,Ref!$C$1:$C$13,"Mat",1,1))</f>
        <v>6M</v>
      </c>
      <c r="CW8" s="25">
        <f>SUMIFS(Ref!X:X,Ref!W:W,FNRP_MSB[[#This Row],[Short Name]])</f>
        <v>0</v>
      </c>
    </row>
    <row r="9" spans="1:142" x14ac:dyDescent="0.3">
      <c r="B9" t="s">
        <v>33</v>
      </c>
      <c r="C9" t="s">
        <v>34</v>
      </c>
      <c r="D9" t="s">
        <v>942</v>
      </c>
      <c r="E9" t="s">
        <v>35</v>
      </c>
      <c r="F9" s="20">
        <v>48441</v>
      </c>
      <c r="G9" t="s">
        <v>36</v>
      </c>
      <c r="H9" s="23">
        <v>122.008733824</v>
      </c>
      <c r="I9" s="14">
        <v>500</v>
      </c>
      <c r="J9" s="96">
        <v>500000000000</v>
      </c>
      <c r="K9" s="14">
        <v>500000000000</v>
      </c>
      <c r="L9" s="14">
        <v>100</v>
      </c>
      <c r="M9" s="14">
        <v>300</v>
      </c>
      <c r="N9" s="24">
        <v>9.092155472</v>
      </c>
      <c r="O9" s="24">
        <v>9.0882553490000006</v>
      </c>
      <c r="P9" s="24">
        <v>7.8116088169999998</v>
      </c>
      <c r="Q9" s="96">
        <v>610043669120</v>
      </c>
      <c r="R9" s="22">
        <v>8.9</v>
      </c>
      <c r="S9" s="22">
        <v>0.317</v>
      </c>
      <c r="T9" s="23">
        <v>4.71</v>
      </c>
      <c r="U9" s="14">
        <v>38250000000</v>
      </c>
      <c r="V9" s="14">
        <v>38315131250</v>
      </c>
      <c r="W9" s="14">
        <v>-28398611111.111198</v>
      </c>
      <c r="X9" s="14">
        <v>1584931505</v>
      </c>
      <c r="Y9" s="14">
        <v>11501451643.888802</v>
      </c>
      <c r="Z9" s="14">
        <v>-28398611111.110001</v>
      </c>
      <c r="AA9" s="14">
        <v>0.94938595899589995</v>
      </c>
      <c r="AB9" s="14">
        <v>0.99480025999999999</v>
      </c>
      <c r="AC9" s="14">
        <v>8.5842433677422996</v>
      </c>
      <c r="AD9" s="14">
        <v>-58067.16055524</v>
      </c>
      <c r="AE9" s="14">
        <v>0</v>
      </c>
      <c r="AF9" s="14">
        <v>110043669120</v>
      </c>
      <c r="AG9" s="14">
        <v>110043669120</v>
      </c>
      <c r="AH9" s="89" t="str">
        <f>IF(_xlfn.XLOOKUP(FNRP_FIbond[[#This Row],[Short Name]],BS:BS,BU:BU,0,0)-RPT&lt;0,FNRP_FIbond[[#This Row],[Tenor]],_xlfn.XLOOKUP(_xlfn.XLOOKUP(FNRP_FIbond[[#This Row],[Short Name]],BS:BS,BU:BU,0,0)-RPT,Ref!$D$1:$D$13,Ref!$C$1:$C$13,"Mat",1,1))</f>
        <v>1Y</v>
      </c>
      <c r="AI9" s="89">
        <f>FNRP_FIbond[[#This Row],[Mat. Date]]-RPT</f>
        <v>2179</v>
      </c>
      <c r="AJ9" s="25" t="str">
        <f>IF(FNRP_FIbond[[#This Row],[Mat. Date]]-RPT&lt;=0,"Mat",_xlfn.XLOOKUP(FNRP_FIbond[[#This Row],[Mat. Date]]-RPT,Ref!$D$1:$D$13,Ref!$C$1:$C$13,"Mat",1,1))</f>
        <v>7Y</v>
      </c>
      <c r="AK9" s="25" t="str">
        <f>_xlfn.XLOOKUP(FNRP_FIbond[[#This Row],[Short Name]],AllDealps!C:C,AllDealps!D:D,"",0)</f>
        <v>SHBV</v>
      </c>
      <c r="AL9" s="25">
        <f>FNRP_FIbond[[#This Row],[Market Value]]/FNRP_FIbond[[#This Row],[Quantity]]</f>
        <v>1220087338.24</v>
      </c>
      <c r="AM9" s="25">
        <f>SUMIFS(Ref!Q:Q,Ref!O:O,FNRP_FIbond[[#This Row],[Short Name]])</f>
        <v>0</v>
      </c>
      <c r="AN9" s="25">
        <f>IF(FNRP_FIbond[[#This Row],[Days]]=0,0,IF(FNRP_FIbond[[#This Row],[Nominal]]&lt;0,FNRP_FIbond[[#This Row],[Nominal]],MAX(0,FNRP_FIbond[[#This Row],[Nominal]]-FNRP_FIbond[[#This Row],[Đối ứng]])))</f>
        <v>500000000000</v>
      </c>
      <c r="AO9" s="25"/>
      <c r="AQ9" t="s">
        <v>455</v>
      </c>
      <c r="AR9" t="s">
        <v>34</v>
      </c>
      <c r="AS9" t="s">
        <v>563</v>
      </c>
      <c r="AT9" t="s">
        <v>456</v>
      </c>
      <c r="AU9" t="s">
        <v>364</v>
      </c>
      <c r="AV9" s="20">
        <v>46318</v>
      </c>
      <c r="AW9" t="s">
        <v>457</v>
      </c>
      <c r="AX9" s="96">
        <v>6.8</v>
      </c>
      <c r="AY9" t="s">
        <v>36</v>
      </c>
      <c r="AZ9">
        <v>99.941999999999993</v>
      </c>
      <c r="BA9" s="96">
        <v>200000000000</v>
      </c>
      <c r="BB9" s="96">
        <v>204799290063.56</v>
      </c>
      <c r="BC9">
        <v>13600000000</v>
      </c>
      <c r="BD9">
        <v>13868618888.889999</v>
      </c>
      <c r="BE9" s="14">
        <v>-9965857119.7199993</v>
      </c>
      <c r="BF9">
        <v>0.12</v>
      </c>
      <c r="BG9">
        <v>0.13</v>
      </c>
      <c r="BH9">
        <v>0.13</v>
      </c>
      <c r="BI9" s="14">
        <v>-2056600336.51</v>
      </c>
      <c r="BJ9" s="14">
        <v>12658893867.58</v>
      </c>
      <c r="BK9" s="14">
        <v>12658893867.58</v>
      </c>
      <c r="BL9" s="63">
        <f>FNRP_PPCD[[#This Row],[Mat. Date]]-RPT</f>
        <v>56</v>
      </c>
      <c r="BM9" s="63" t="str">
        <f>IF(FNRP_PPCD[[#This Row],[Days]]&lt;=0,"Mat",_xlfn.XLOOKUP(FNRP_PPCD[[#This Row],[Days]],Ref!$D$1:$D$13,Ref!$C$1:$C$13,"Mat",1,1))</f>
        <v>3M</v>
      </c>
      <c r="BN9" s="25" t="str">
        <f>IF(FNRP_PPCD[[#This Row],[Days]]&lt;=0,"",VLOOKUP(FNRP_PPCD[[#This Row],[Short Name]],AllDealps!C:D,2,0))</f>
        <v>HCVN</v>
      </c>
      <c r="BO9" s="126">
        <f>SUMIFS(Ref!Q:Q,Ref!O:O,FNRP_PPCD[[#This Row],[Short Name]])</f>
        <v>0</v>
      </c>
      <c r="BP9" s="126">
        <f>IF(FNRP_PPCD[[#This Row],[Days]]=0,0,IF(FNRP_PPCD[[#This Row],[Nominal]]&lt;0,FNRP_PPCD[[#This Row],[Nominal]],MAX(0,FNRP_PPCD[[#This Row],[Nominal]]-FNRP_PPCD[[#This Row],[Đối ứng]])))</f>
        <v>200000000000</v>
      </c>
      <c r="BS9" t="s">
        <v>442</v>
      </c>
      <c r="BT9" t="s">
        <v>650</v>
      </c>
      <c r="BU9" s="20">
        <v>46470</v>
      </c>
      <c r="BV9" s="20">
        <v>46470</v>
      </c>
      <c r="BW9" s="96">
        <v>100000</v>
      </c>
      <c r="BZ9" t="s">
        <v>455</v>
      </c>
      <c r="CA9" t="s">
        <v>34</v>
      </c>
      <c r="CB9" t="s">
        <v>1212</v>
      </c>
      <c r="CC9" t="s">
        <v>456</v>
      </c>
      <c r="CD9" t="s">
        <v>364</v>
      </c>
      <c r="CE9" t="s">
        <v>1213</v>
      </c>
      <c r="CF9" t="s">
        <v>457</v>
      </c>
      <c r="CG9">
        <v>7.6</v>
      </c>
      <c r="CH9" t="s">
        <v>990</v>
      </c>
      <c r="CI9">
        <v>99.683999999999997</v>
      </c>
      <c r="CJ9">
        <v>-500000000000</v>
      </c>
      <c r="CK9">
        <v>-519460934198.34998</v>
      </c>
      <c r="CL9">
        <v>0</v>
      </c>
      <c r="CM9">
        <v>0</v>
      </c>
      <c r="CN9">
        <v>15339583333.33</v>
      </c>
      <c r="CO9">
        <v>0.48</v>
      </c>
      <c r="CP9">
        <v>0.52</v>
      </c>
      <c r="CQ9">
        <v>0.67300000000000004</v>
      </c>
      <c r="CR9">
        <v>-19460934198.349998</v>
      </c>
      <c r="CS9" s="14">
        <v>-62887137958.830002</v>
      </c>
      <c r="CT9" s="14">
        <v>-62887137958.830002</v>
      </c>
      <c r="CU9" s="63">
        <f>FNRP_MSB[[#This Row],[Mat. Date]]-RPT</f>
        <v>196</v>
      </c>
      <c r="CV9" s="63" t="str">
        <f>IF(FNRP_MSB[[#This Row],[Days]]&lt;=0,"Mat",_xlfn.XLOOKUP(FNRP_MSB[[#This Row],[Days]],Ref!$D$1:$D$13,Ref!$C$1:$C$13,"Mat",1,1))</f>
        <v>1Y</v>
      </c>
      <c r="CW9" s="25">
        <f>SUMIFS(Ref!X:X,Ref!W:W,FNRP_MSB[[#This Row],[Short Name]])</f>
        <v>0</v>
      </c>
    </row>
    <row r="10" spans="1:142" x14ac:dyDescent="0.3">
      <c r="B10" t="s">
        <v>33</v>
      </c>
      <c r="C10" t="s">
        <v>41</v>
      </c>
      <c r="D10" t="s">
        <v>43</v>
      </c>
      <c r="E10" t="s">
        <v>35</v>
      </c>
      <c r="F10" s="20">
        <v>46637</v>
      </c>
      <c r="G10" t="s">
        <v>36</v>
      </c>
      <c r="H10">
        <v>104.510571669</v>
      </c>
      <c r="I10">
        <v>5000</v>
      </c>
      <c r="J10" s="96">
        <v>500000000000</v>
      </c>
      <c r="K10" s="14">
        <v>500000000000</v>
      </c>
      <c r="L10">
        <v>99.418999999999997</v>
      </c>
      <c r="M10">
        <v>0</v>
      </c>
      <c r="N10">
        <v>9.1999999999999993</v>
      </c>
      <c r="O10">
        <v>9.1999999999999993</v>
      </c>
      <c r="P10">
        <v>8.4</v>
      </c>
      <c r="Q10" s="96">
        <v>522552858345</v>
      </c>
      <c r="R10">
        <v>8.6</v>
      </c>
      <c r="S10">
        <v>-0.23599999999999999</v>
      </c>
      <c r="T10">
        <v>4.03</v>
      </c>
      <c r="U10">
        <v>382000000000</v>
      </c>
      <c r="V10">
        <v>428838323194.44446</v>
      </c>
      <c r="W10">
        <v>-115104644530.40912</v>
      </c>
      <c r="X10">
        <v>-2945205479.9999962</v>
      </c>
      <c r="Y10">
        <v>310788473184.03534</v>
      </c>
      <c r="Z10">
        <v>-115104644530.41</v>
      </c>
      <c r="AA10">
        <v>0.98822280329260004</v>
      </c>
      <c r="AB10">
        <v>1.0277517199999999</v>
      </c>
      <c r="AC10">
        <v>1.9264617345535</v>
      </c>
      <c r="AD10">
        <v>-51523.444285794998</v>
      </c>
      <c r="AE10">
        <v>-7220643492.000103</v>
      </c>
      <c r="AF10">
        <v>25459070126.999989</v>
      </c>
      <c r="AG10">
        <v>18238426634.999886</v>
      </c>
      <c r="AH10" s="89" t="str">
        <f>IF(_xlfn.XLOOKUP(FNRP_FIbond[[#This Row],[Short Name]],BS:BS,BU:BU,0,0)-RPT&lt;0,FNRP_FIbond[[#This Row],[Tenor]],_xlfn.XLOOKUP(_xlfn.XLOOKUP(FNRP_FIbond[[#This Row],[Short Name]],BS:BS,BU:BU,0,0)-RPT,Ref!$D$1:$D$13,Ref!$C$1:$C$13,"Mat",1,1))</f>
        <v>2Y</v>
      </c>
      <c r="AI10" s="89">
        <f>FNRP_FIbond[[#This Row],[Mat. Date]]-RPT</f>
        <v>375</v>
      </c>
      <c r="AJ10" s="25" t="str">
        <f>IF(FNRP_FIbond[[#This Row],[Mat. Date]]-RPT&lt;=0,"Mat",_xlfn.XLOOKUP(FNRP_FIbond[[#This Row],[Mat. Date]]-RPT,Ref!$D$1:$D$13,Ref!$C$1:$C$13,"Mat",1,1))</f>
        <v>2Y</v>
      </c>
      <c r="AK10" s="25" t="str">
        <f>_xlfn.XLOOKUP(FNRP_FIbond[[#This Row],[Short Name]],AllDealps!C:C,AllDealps!D:D,"",0)</f>
        <v>MCSB</v>
      </c>
      <c r="AL10" s="25">
        <f>FNRP_FIbond[[#This Row],[Market Value]]/FNRP_FIbond[[#This Row],[Quantity]]</f>
        <v>104510571.669</v>
      </c>
      <c r="AM10" s="25">
        <f>SUMIFS(Ref!Q:Q,Ref!O:O,FNRP_FIbond[[#This Row],[Short Name]])</f>
        <v>0</v>
      </c>
      <c r="AN10" s="25">
        <f>IF(FNRP_FIbond[[#This Row],[Days]]=0,0,IF(FNRP_FIbond[[#This Row],[Nominal]]&lt;0,FNRP_FIbond[[#This Row],[Nominal]],MAX(0,FNRP_FIbond[[#This Row],[Nominal]]-FNRP_FIbond[[#This Row],[Đối ứng]])))</f>
        <v>500000000000</v>
      </c>
      <c r="AO10" s="25"/>
      <c r="AQ10" t="s">
        <v>455</v>
      </c>
      <c r="AR10" t="s">
        <v>34</v>
      </c>
      <c r="AS10" t="s">
        <v>1004</v>
      </c>
      <c r="AT10" t="s">
        <v>456</v>
      </c>
      <c r="AU10" t="s">
        <v>364</v>
      </c>
      <c r="AV10" s="20">
        <v>46323</v>
      </c>
      <c r="AW10" t="s">
        <v>457</v>
      </c>
      <c r="AX10" s="96">
        <v>6.3</v>
      </c>
      <c r="AY10" t="s">
        <v>36</v>
      </c>
      <c r="AZ10">
        <v>99.822000000000003</v>
      </c>
      <c r="BA10" s="96">
        <v>500000000000</v>
      </c>
      <c r="BB10" s="96">
        <v>525663425673.87</v>
      </c>
      <c r="BC10">
        <v>0</v>
      </c>
      <c r="BD10">
        <v>0</v>
      </c>
      <c r="BE10" s="14">
        <v>-11796968669.209999</v>
      </c>
      <c r="BF10">
        <v>0.14000000000000001</v>
      </c>
      <c r="BG10">
        <v>0.15</v>
      </c>
      <c r="BH10">
        <v>0.14599999999999999</v>
      </c>
      <c r="BI10" s="14">
        <v>9153105271.8099995</v>
      </c>
      <c r="BJ10" s="14">
        <v>12658893867.58</v>
      </c>
      <c r="BK10" s="14">
        <v>12658893867.58</v>
      </c>
      <c r="BL10" s="63">
        <f>FNRP_PPCD[[#This Row],[Mat. Date]]-RPT</f>
        <v>61</v>
      </c>
      <c r="BM10" s="63" t="str">
        <f>IF(FNRP_PPCD[[#This Row],[Days]]&lt;=0,"Mat",_xlfn.XLOOKUP(FNRP_PPCD[[#This Row],[Days]],Ref!$D$1:$D$13,Ref!$C$1:$C$13,"Mat",1,1))</f>
        <v>3M</v>
      </c>
      <c r="BN10" s="25" t="str">
        <f>IF(FNRP_PPCD[[#This Row],[Days]]&lt;=0,"",VLOOKUP(FNRP_PPCD[[#This Row],[Short Name]],AllDealps!C:D,2,0))</f>
        <v>OCBV</v>
      </c>
      <c r="BO10" s="126">
        <f>SUMIFS(Ref!Q:Q,Ref!O:O,FNRP_PPCD[[#This Row],[Short Name]])</f>
        <v>0</v>
      </c>
      <c r="BP10" s="126">
        <f>IF(FNRP_PPCD[[#This Row],[Days]]=0,0,IF(FNRP_PPCD[[#This Row],[Nominal]]&lt;0,FNRP_PPCD[[#This Row],[Nominal]],MAX(0,FNRP_PPCD[[#This Row],[Nominal]]-FNRP_PPCD[[#This Row],[Đối ứng]])))</f>
        <v>500000000000</v>
      </c>
      <c r="BS10" t="s">
        <v>1265</v>
      </c>
      <c r="BT10" t="s">
        <v>651</v>
      </c>
      <c r="BU10" s="20">
        <v>46867</v>
      </c>
      <c r="BV10" s="20">
        <v>46867</v>
      </c>
      <c r="BW10" s="96">
        <v>1000000000</v>
      </c>
      <c r="BZ10" t="s">
        <v>455</v>
      </c>
      <c r="CA10" t="s">
        <v>34</v>
      </c>
      <c r="CB10" t="s">
        <v>1220</v>
      </c>
      <c r="CC10" t="s">
        <v>456</v>
      </c>
      <c r="CD10" t="s">
        <v>364</v>
      </c>
      <c r="CE10" t="s">
        <v>1221</v>
      </c>
      <c r="CF10" t="s">
        <v>457</v>
      </c>
      <c r="CG10">
        <v>7.6</v>
      </c>
      <c r="CH10" t="s">
        <v>990</v>
      </c>
      <c r="CI10">
        <v>99.676000000000002</v>
      </c>
      <c r="CJ10">
        <v>-1000000000000</v>
      </c>
      <c r="CK10">
        <v>-1036337336517.88</v>
      </c>
      <c r="CL10">
        <v>0</v>
      </c>
      <c r="CM10">
        <v>0</v>
      </c>
      <c r="CN10">
        <v>28805555555.560001</v>
      </c>
      <c r="CO10">
        <v>0.51</v>
      </c>
      <c r="CP10">
        <v>0.55000000000000004</v>
      </c>
      <c r="CQ10">
        <v>0.73099999999999998</v>
      </c>
      <c r="CR10">
        <v>-36337336517.879997</v>
      </c>
      <c r="CS10" s="14">
        <v>-62887137958.830002</v>
      </c>
      <c r="CT10" s="14">
        <v>-62887137958.830002</v>
      </c>
      <c r="CU10" s="63">
        <f>FNRP_MSB[[#This Row],[Mat. Date]]-RPT</f>
        <v>208</v>
      </c>
      <c r="CV10" s="63" t="str">
        <f>IF(FNRP_MSB[[#This Row],[Days]]&lt;=0,"Mat",_xlfn.XLOOKUP(FNRP_MSB[[#This Row],[Days]],Ref!$D$1:$D$13,Ref!$C$1:$C$13,"Mat",1,1))</f>
        <v>1Y</v>
      </c>
      <c r="CW10" s="25">
        <f>SUMIFS(Ref!X:X,Ref!W:W,FNRP_MSB[[#This Row],[Short Name]])</f>
        <v>0</v>
      </c>
    </row>
    <row r="11" spans="1:142" x14ac:dyDescent="0.3">
      <c r="B11" t="s">
        <v>33</v>
      </c>
      <c r="C11" t="s">
        <v>41</v>
      </c>
      <c r="D11" t="s">
        <v>1582</v>
      </c>
      <c r="E11" t="s">
        <v>35</v>
      </c>
      <c r="F11" s="20">
        <v>46989</v>
      </c>
      <c r="G11" t="s">
        <v>36</v>
      </c>
      <c r="H11">
        <v>110.431585074</v>
      </c>
      <c r="I11">
        <v>200</v>
      </c>
      <c r="J11" s="96">
        <v>200000000000</v>
      </c>
      <c r="K11" s="14">
        <v>200000000000</v>
      </c>
      <c r="L11">
        <v>100</v>
      </c>
      <c r="M11">
        <v>0</v>
      </c>
      <c r="N11">
        <v>9.7752306650000005</v>
      </c>
      <c r="O11">
        <v>9.7752306650000005</v>
      </c>
      <c r="P11">
        <v>9.7866132189999995</v>
      </c>
      <c r="Q11" s="96">
        <v>220863170148</v>
      </c>
      <c r="R11">
        <v>9.8000000000000007</v>
      </c>
      <c r="S11">
        <v>0.43</v>
      </c>
      <c r="T11">
        <v>1.7</v>
      </c>
      <c r="U11">
        <v>0</v>
      </c>
      <c r="V11">
        <v>0</v>
      </c>
      <c r="W11">
        <v>-104444444.4444444</v>
      </c>
      <c r="X11">
        <v>859178082</v>
      </c>
      <c r="Y11">
        <v>441400304.22222221</v>
      </c>
      <c r="Z11">
        <v>-417777777.77999997</v>
      </c>
      <c r="AA11">
        <v>1.7993294347455999</v>
      </c>
      <c r="AB11">
        <v>1.87362696</v>
      </c>
      <c r="AC11">
        <v>5.0377211628707004</v>
      </c>
      <c r="AD11">
        <v>-39895.154751116002</v>
      </c>
      <c r="AE11">
        <v>0</v>
      </c>
      <c r="AF11">
        <v>20863170148</v>
      </c>
      <c r="AG11">
        <v>20863170148</v>
      </c>
      <c r="AH11" s="89" t="str">
        <f>IF(_xlfn.XLOOKUP(FNRP_FIbond[[#This Row],[Short Name]],BS:BS,BU:BU,0,0)-RPT&lt;0,FNRP_FIbond[[#This Row],[Tenor]],_xlfn.XLOOKUP(_xlfn.XLOOKUP(FNRP_FIbond[[#This Row],[Short Name]],BS:BS,BU:BU,0,0)-RPT,Ref!$D$1:$D$13,Ref!$C$1:$C$13,"Mat",1,1))</f>
        <v>2Y</v>
      </c>
      <c r="AI11" s="89">
        <f>FNRP_FIbond[[#This Row],[Mat. Date]]-RPT</f>
        <v>727</v>
      </c>
      <c r="AJ11" s="25" t="str">
        <f>IF(FNRP_FIbond[[#This Row],[Mat. Date]]-RPT&lt;=0,"Mat",_xlfn.XLOOKUP(FNRP_FIbond[[#This Row],[Mat. Date]]-RPT,Ref!$D$1:$D$13,Ref!$C$1:$C$13,"Mat",1,1))</f>
        <v>2Y</v>
      </c>
      <c r="AK11" s="25" t="str">
        <f>_xlfn.XLOOKUP(FNRP_FIbond[[#This Row],[Short Name]],AllDealps!C:C,AllDealps!D:D,"",0)</f>
        <v>HCVN</v>
      </c>
      <c r="AL11" s="25">
        <f>FNRP_FIbond[[#This Row],[Market Value]]/FNRP_FIbond[[#This Row],[Quantity]]</f>
        <v>1104315850.74</v>
      </c>
      <c r="AM11" s="25">
        <f>SUMIFS(Ref!Q:Q,Ref!O:O,FNRP_FIbond[[#This Row],[Short Name]])</f>
        <v>0</v>
      </c>
      <c r="AN11" s="25">
        <f>IF(FNRP_FIbond[[#This Row],[Days]]=0,0,IF(FNRP_FIbond[[#This Row],[Nominal]]&lt;0,FNRP_FIbond[[#This Row],[Nominal]],MAX(0,FNRP_FIbond[[#This Row],[Nominal]]-FNRP_FIbond[[#This Row],[Đối ứng]])))</f>
        <v>200000000000</v>
      </c>
      <c r="AO11" s="25"/>
      <c r="AQ11" t="s">
        <v>455</v>
      </c>
      <c r="AR11" t="s">
        <v>34</v>
      </c>
      <c r="AS11" t="s">
        <v>1008</v>
      </c>
      <c r="AT11" t="s">
        <v>456</v>
      </c>
      <c r="AU11" t="s">
        <v>364</v>
      </c>
      <c r="AV11" s="20">
        <v>46324</v>
      </c>
      <c r="AW11" t="s">
        <v>457</v>
      </c>
      <c r="AX11" s="96">
        <v>6.3</v>
      </c>
      <c r="AY11" t="s">
        <v>36</v>
      </c>
      <c r="AZ11">
        <v>99.817999999999998</v>
      </c>
      <c r="BA11" s="96">
        <v>500000000000</v>
      </c>
      <c r="BB11" s="96">
        <v>525122454671.25</v>
      </c>
      <c r="BC11">
        <v>0</v>
      </c>
      <c r="BD11">
        <v>0</v>
      </c>
      <c r="BE11" s="14">
        <v>-16707903560.48</v>
      </c>
      <c r="BF11">
        <v>0.14000000000000001</v>
      </c>
      <c r="BG11">
        <v>0.15</v>
      </c>
      <c r="BH11">
        <v>0.14899999999999999</v>
      </c>
      <c r="BI11" s="14">
        <v>16836011271.09</v>
      </c>
      <c r="BJ11" s="14">
        <v>12658893867.58</v>
      </c>
      <c r="BK11" s="14">
        <v>12658893867.58</v>
      </c>
      <c r="BL11" s="63">
        <f>FNRP_PPCD[[#This Row],[Mat. Date]]-RPT</f>
        <v>62</v>
      </c>
      <c r="BM11" s="63" t="str">
        <f>IF(FNRP_PPCD[[#This Row],[Days]]&lt;=0,"Mat",_xlfn.XLOOKUP(FNRP_PPCD[[#This Row],[Days]],Ref!$D$1:$D$13,Ref!$C$1:$C$13,"Mat",1,1))</f>
        <v>3M</v>
      </c>
      <c r="BN11" s="25" t="str">
        <f>IF(FNRP_PPCD[[#This Row],[Days]]&lt;=0,"",VLOOKUP(FNRP_PPCD[[#This Row],[Short Name]],AllDealps!C:D,2,0))</f>
        <v>EIBV</v>
      </c>
      <c r="BO11" s="126">
        <f>SUMIFS(Ref!Q:Q,Ref!O:O,FNRP_PPCD[[#This Row],[Short Name]])</f>
        <v>0</v>
      </c>
      <c r="BP11" s="126">
        <f>IF(FNRP_PPCD[[#This Row],[Days]]=0,0,IF(FNRP_PPCD[[#This Row],[Nominal]]&lt;0,FNRP_PPCD[[#This Row],[Nominal]],MAX(0,FNRP_PPCD[[#This Row],[Nominal]]-FNRP_PPCD[[#This Row],[Đối ứng]])))</f>
        <v>500000000000</v>
      </c>
      <c r="BS11" t="s">
        <v>393</v>
      </c>
      <c r="BT11" t="s">
        <v>650</v>
      </c>
      <c r="BU11" s="20">
        <v>46354</v>
      </c>
      <c r="BV11" s="20">
        <v>46354</v>
      </c>
      <c r="BW11" s="96">
        <v>1000000000</v>
      </c>
      <c r="BZ11" t="s">
        <v>455</v>
      </c>
      <c r="CA11" t="s">
        <v>34</v>
      </c>
      <c r="CB11" t="s">
        <v>1237</v>
      </c>
      <c r="CC11" t="s">
        <v>456</v>
      </c>
      <c r="CD11" t="s">
        <v>364</v>
      </c>
      <c r="CE11" t="s">
        <v>1238</v>
      </c>
      <c r="CF11" t="s">
        <v>457</v>
      </c>
      <c r="CG11">
        <v>7.6</v>
      </c>
      <c r="CH11" t="s">
        <v>990</v>
      </c>
      <c r="CI11">
        <v>99.662000000000006</v>
      </c>
      <c r="CJ11">
        <v>-500000000000</v>
      </c>
      <c r="CK11">
        <v>-516331596695.27002</v>
      </c>
      <c r="CL11">
        <v>0</v>
      </c>
      <c r="CM11">
        <v>0</v>
      </c>
      <c r="CN11">
        <v>13036805555.559999</v>
      </c>
      <c r="CO11">
        <v>0.56000000000000005</v>
      </c>
      <c r="CP11">
        <v>0.6</v>
      </c>
      <c r="CQ11">
        <v>0.82799999999999996</v>
      </c>
      <c r="CR11">
        <v>-16331596695.27</v>
      </c>
      <c r="CS11" s="14">
        <v>-62887137958.830002</v>
      </c>
      <c r="CT11" s="14">
        <v>-62887137958.830002</v>
      </c>
      <c r="CU11" s="63">
        <f>FNRP_MSB[[#This Row],[Mat. Date]]-RPT</f>
        <v>227</v>
      </c>
      <c r="CV11" s="63" t="str">
        <f>IF(FNRP_MSB[[#This Row],[Days]]&lt;=0,"Mat",_xlfn.XLOOKUP(FNRP_MSB[[#This Row],[Days]],Ref!$D$1:$D$13,Ref!$C$1:$C$13,"Mat",1,1))</f>
        <v>1Y</v>
      </c>
      <c r="CW11" s="25">
        <f>SUMIFS(Ref!X:X,Ref!W:W,FNRP_MSB[[#This Row],[Short Name]])</f>
        <v>0</v>
      </c>
    </row>
    <row r="12" spans="1:142" x14ac:dyDescent="0.3">
      <c r="B12" t="s">
        <v>33</v>
      </c>
      <c r="C12" t="s">
        <v>41</v>
      </c>
      <c r="D12" t="s">
        <v>1265</v>
      </c>
      <c r="E12" t="s">
        <v>35</v>
      </c>
      <c r="F12" s="20">
        <v>47232</v>
      </c>
      <c r="G12" t="s">
        <v>36</v>
      </c>
      <c r="H12">
        <v>110.84990027800001</v>
      </c>
      <c r="I12">
        <v>2000</v>
      </c>
      <c r="J12" s="96">
        <v>2000000000000</v>
      </c>
      <c r="K12" s="14">
        <v>2000000000000</v>
      </c>
      <c r="L12">
        <v>100</v>
      </c>
      <c r="M12">
        <v>0</v>
      </c>
      <c r="N12">
        <v>8.5649070710000004</v>
      </c>
      <c r="O12">
        <v>8.5633128710000008</v>
      </c>
      <c r="P12">
        <v>8.5996717399999998</v>
      </c>
      <c r="Q12">
        <v>2216998005560</v>
      </c>
      <c r="R12">
        <v>8.6</v>
      </c>
      <c r="S12">
        <v>2.9689999999999999</v>
      </c>
      <c r="T12">
        <v>17.11</v>
      </c>
      <c r="U12">
        <v>0</v>
      </c>
      <c r="V12">
        <v>0</v>
      </c>
      <c r="W12">
        <v>-39202777777.777832</v>
      </c>
      <c r="X12">
        <v>59375342460</v>
      </c>
      <c r="Y12">
        <v>20172564682.222168</v>
      </c>
      <c r="Z12">
        <v>-39202777777.779999</v>
      </c>
      <c r="AA12">
        <v>2.3414405987359999</v>
      </c>
      <c r="AB12">
        <v>2.4394298399999998</v>
      </c>
      <c r="AC12">
        <v>8.0229319393541001</v>
      </c>
      <c r="AD12">
        <v>-532999.29749346501</v>
      </c>
      <c r="AE12">
        <v>0</v>
      </c>
      <c r="AF12">
        <v>216998005559.99994</v>
      </c>
      <c r="AG12">
        <v>216998005559.99994</v>
      </c>
      <c r="AH12" s="89" t="str">
        <f>IF(_xlfn.XLOOKUP(FNRP_FIbond[[#This Row],[Short Name]],BS:BS,BU:BU,0,0)-RPT&lt;0,FNRP_FIbond[[#This Row],[Tenor]],_xlfn.XLOOKUP(_xlfn.XLOOKUP(FNRP_FIbond[[#This Row],[Short Name]],BS:BS,BU:BU,0,0)-RPT,Ref!$D$1:$D$13,Ref!$C$1:$C$13,"Mat",1,1))</f>
        <v>2Y</v>
      </c>
      <c r="AI12" s="89">
        <f>FNRP_FIbond[[#This Row],[Mat. Date]]-RPT</f>
        <v>970</v>
      </c>
      <c r="AJ12" s="25" t="str">
        <f>IF(FNRP_FIbond[[#This Row],[Mat. Date]]-RPT&lt;=0,"Mat",_xlfn.XLOOKUP(FNRP_FIbond[[#This Row],[Mat. Date]]-RPT,Ref!$D$1:$D$13,Ref!$C$1:$C$13,"Mat",1,1))</f>
        <v>3Y</v>
      </c>
      <c r="AK12" s="25" t="str">
        <f>_xlfn.XLOOKUP(FNRP_FIbond[[#This Row],[Short Name]],AllDealps!C:C,AllDealps!D:D,"",0)</f>
        <v>TCBV-HO</v>
      </c>
      <c r="AL12" s="25">
        <f>FNRP_FIbond[[#This Row],[Market Value]]/FNRP_FIbond[[#This Row],[Quantity]]</f>
        <v>1108499002.78</v>
      </c>
      <c r="AM12" s="25">
        <f>SUMIFS(Ref!Q:Q,Ref!O:O,FNRP_FIbond[[#This Row],[Short Name]])</f>
        <v>0</v>
      </c>
      <c r="AN12" s="25">
        <f>IF(FNRP_FIbond[[#This Row],[Days]]=0,0,IF(FNRP_FIbond[[#This Row],[Nominal]]&lt;0,FNRP_FIbond[[#This Row],[Nominal]],MAX(0,FNRP_FIbond[[#This Row],[Nominal]]-FNRP_FIbond[[#This Row],[Đối ứng]])))</f>
        <v>2000000000000</v>
      </c>
      <c r="AO12" s="25"/>
      <c r="AQ12" t="s">
        <v>455</v>
      </c>
      <c r="AR12" t="s">
        <v>34</v>
      </c>
      <c r="AS12" t="s">
        <v>1041</v>
      </c>
      <c r="AT12" t="s">
        <v>456</v>
      </c>
      <c r="AU12" t="s">
        <v>364</v>
      </c>
      <c r="AV12" s="20">
        <v>46325</v>
      </c>
      <c r="AW12" t="s">
        <v>457</v>
      </c>
      <c r="AX12" s="96">
        <v>6.6</v>
      </c>
      <c r="AY12" t="s">
        <v>36</v>
      </c>
      <c r="AZ12">
        <v>99.855000000000004</v>
      </c>
      <c r="BA12" s="96">
        <v>250000000000</v>
      </c>
      <c r="BB12" s="96">
        <v>263143822905.69</v>
      </c>
      <c r="BC12">
        <v>0</v>
      </c>
      <c r="BD12">
        <v>0</v>
      </c>
      <c r="BE12" s="14">
        <v>-10285198399.620001</v>
      </c>
      <c r="BF12">
        <v>0.14000000000000001</v>
      </c>
      <c r="BG12">
        <v>0.15</v>
      </c>
      <c r="BH12">
        <v>0.152</v>
      </c>
      <c r="BI12" s="14">
        <v>11449925155.77</v>
      </c>
      <c r="BJ12" s="14">
        <v>12658893867.58</v>
      </c>
      <c r="BK12" s="14">
        <v>12658893867.58</v>
      </c>
      <c r="BL12" s="63">
        <f>FNRP_PPCD[[#This Row],[Mat. Date]]-RPT</f>
        <v>63</v>
      </c>
      <c r="BM12" s="63" t="str">
        <f>IF(FNRP_PPCD[[#This Row],[Days]]&lt;=0,"Mat",_xlfn.XLOOKUP(FNRP_PPCD[[#This Row],[Days]],Ref!$D$1:$D$13,Ref!$C$1:$C$13,"Mat",1,1))</f>
        <v>3M</v>
      </c>
      <c r="BN12" s="25" t="str">
        <f>IF(FNRP_PPCD[[#This Row],[Days]]&lt;=0,"",VLOOKUP(FNRP_PPCD[[#This Row],[Short Name]],AllDealps!C:D,2,0))</f>
        <v>VCCB</v>
      </c>
      <c r="BO12" s="126">
        <f>SUMIFS(Ref!Q:Q,Ref!O:O,FNRP_PPCD[[#This Row],[Short Name]])</f>
        <v>0</v>
      </c>
      <c r="BP12" s="126">
        <f>IF(FNRP_PPCD[[#This Row],[Days]]=0,0,IF(FNRP_PPCD[[#This Row],[Nominal]]&lt;0,FNRP_PPCD[[#This Row],[Nominal]],MAX(0,FNRP_PPCD[[#This Row],[Nominal]]-FNRP_PPCD[[#This Row],[Đối ứng]])))</f>
        <v>250000000000</v>
      </c>
      <c r="BS12" t="s">
        <v>638</v>
      </c>
      <c r="BT12" t="s">
        <v>650</v>
      </c>
      <c r="BU12" s="20">
        <v>46470</v>
      </c>
      <c r="BV12" s="20">
        <v>46470</v>
      </c>
      <c r="BW12" s="96">
        <v>100000</v>
      </c>
      <c r="BZ12" t="s">
        <v>455</v>
      </c>
      <c r="CA12" t="s">
        <v>34</v>
      </c>
      <c r="CB12" t="s">
        <v>1396</v>
      </c>
      <c r="CC12" t="s">
        <v>456</v>
      </c>
      <c r="CD12" t="s">
        <v>364</v>
      </c>
      <c r="CE12" t="s">
        <v>1397</v>
      </c>
      <c r="CF12" t="s">
        <v>457</v>
      </c>
      <c r="CG12">
        <v>9</v>
      </c>
      <c r="CH12" t="s">
        <v>990</v>
      </c>
      <c r="CI12">
        <v>100.744</v>
      </c>
      <c r="CJ12">
        <v>-400000000000</v>
      </c>
      <c r="CK12">
        <v>-408341641335.96002</v>
      </c>
      <c r="CL12">
        <v>0</v>
      </c>
      <c r="CM12">
        <v>0</v>
      </c>
      <c r="CN12">
        <v>2597777777.7800002</v>
      </c>
      <c r="CO12">
        <v>0.76</v>
      </c>
      <c r="CP12">
        <v>0.82</v>
      </c>
      <c r="CQ12">
        <v>1.29</v>
      </c>
      <c r="CR12">
        <v>-8341641335.96</v>
      </c>
      <c r="CS12" s="14">
        <v>-62887137958.830002</v>
      </c>
      <c r="CT12" s="14">
        <v>-62887137958.830002</v>
      </c>
      <c r="CU12" s="63">
        <f>FNRP_MSB[[#This Row],[Mat. Date]]-RPT</f>
        <v>308</v>
      </c>
      <c r="CV12" s="63" t="str">
        <f>IF(FNRP_MSB[[#This Row],[Days]]&lt;=0,"Mat",_xlfn.XLOOKUP(FNRP_MSB[[#This Row],[Days]],Ref!$D$1:$D$13,Ref!$C$1:$C$13,"Mat",1,1))</f>
        <v>1Y</v>
      </c>
      <c r="CW12" s="25">
        <f>SUMIFS(Ref!X:X,Ref!W:W,FNRP_MSB[[#This Row],[Short Name]])</f>
        <v>0</v>
      </c>
    </row>
    <row r="13" spans="1:142" x14ac:dyDescent="0.3">
      <c r="B13" t="s">
        <v>33</v>
      </c>
      <c r="C13" t="s">
        <v>41</v>
      </c>
      <c r="D13" t="s">
        <v>1298</v>
      </c>
      <c r="E13" t="s">
        <v>35</v>
      </c>
      <c r="F13" s="20">
        <v>47265</v>
      </c>
      <c r="G13" t="s">
        <v>36</v>
      </c>
      <c r="H13">
        <v>114.049750915</v>
      </c>
      <c r="I13">
        <v>1000</v>
      </c>
      <c r="J13" s="96">
        <v>1000000000000</v>
      </c>
      <c r="K13">
        <v>1000000000000</v>
      </c>
      <c r="L13">
        <v>100</v>
      </c>
      <c r="M13">
        <v>0</v>
      </c>
      <c r="N13">
        <v>9.7490045819999995</v>
      </c>
      <c r="O13">
        <v>9.7377155870000003</v>
      </c>
      <c r="P13">
        <v>9.7906615309999996</v>
      </c>
      <c r="Q13">
        <v>1140497509150</v>
      </c>
      <c r="R13">
        <v>9.8000000000000007</v>
      </c>
      <c r="S13">
        <v>2.819</v>
      </c>
      <c r="T13">
        <v>8.8000000000000007</v>
      </c>
      <c r="U13">
        <v>0</v>
      </c>
      <c r="V13">
        <v>0</v>
      </c>
      <c r="W13">
        <v>-14288888888.888884</v>
      </c>
      <c r="X13">
        <v>28191780820</v>
      </c>
      <c r="Y13">
        <v>12336225264.44445</v>
      </c>
      <c r="Z13">
        <v>-15855555555.559999</v>
      </c>
      <c r="AA13">
        <v>2.3743052733334</v>
      </c>
      <c r="AB13">
        <v>2.4738169999999999</v>
      </c>
      <c r="AC13">
        <v>8.2353932210468006</v>
      </c>
      <c r="AD13">
        <v>-277482.514406409</v>
      </c>
      <c r="AE13">
        <v>0</v>
      </c>
      <c r="AF13">
        <v>140497509150.00009</v>
      </c>
      <c r="AG13">
        <v>140497509150.00009</v>
      </c>
      <c r="AH13" s="89" t="str">
        <f>IF(_xlfn.XLOOKUP(FNRP_FIbond[[#This Row],[Short Name]],BS:BS,BU:BU,0,0)-RPT&lt;0,FNRP_FIbond[[#This Row],[Tenor]],_xlfn.XLOOKUP(_xlfn.XLOOKUP(FNRP_FIbond[[#This Row],[Short Name]],BS:BS,BU:BU,0,0)-RPT,Ref!$D$1:$D$13,Ref!$C$1:$C$13,"Mat",1,1))</f>
        <v>3Y</v>
      </c>
      <c r="AI13" s="89">
        <f>FNRP_FIbond[[#This Row],[Mat. Date]]-RPT</f>
        <v>1003</v>
      </c>
      <c r="AJ13" s="25" t="str">
        <f>IF(FNRP_FIbond[[#This Row],[Mat. Date]]-RPT&lt;=0,"Mat",_xlfn.XLOOKUP(FNRP_FIbond[[#This Row],[Mat. Date]]-RPT,Ref!$D$1:$D$13,Ref!$C$1:$C$13,"Mat",1,1))</f>
        <v>3Y</v>
      </c>
      <c r="AK13" s="25" t="str">
        <f>_xlfn.XLOOKUP(FNRP_FIbond[[#This Row],[Short Name]],AllDealps!C:C,AllDealps!D:D,"",0)</f>
        <v>HCVN</v>
      </c>
      <c r="AL13" s="25">
        <f>FNRP_FIbond[[#This Row],[Market Value]]/FNRP_FIbond[[#This Row],[Quantity]]</f>
        <v>1140497509.1500001</v>
      </c>
      <c r="AM13" s="25">
        <f>SUMIFS(Ref!Q:Q,Ref!O:O,FNRP_FIbond[[#This Row],[Short Name]])</f>
        <v>0</v>
      </c>
      <c r="AN13" s="25">
        <f>IF(FNRP_FIbond[[#This Row],[Days]]=0,0,IF(FNRP_FIbond[[#This Row],[Nominal]]&lt;0,FNRP_FIbond[[#This Row],[Nominal]],MAX(0,FNRP_FIbond[[#This Row],[Nominal]]-FNRP_FIbond[[#This Row],[Đối ứng]])))</f>
        <v>1000000000000</v>
      </c>
      <c r="AO13" s="25"/>
      <c r="AQ13" t="s">
        <v>455</v>
      </c>
      <c r="AR13" t="s">
        <v>34</v>
      </c>
      <c r="AS13" t="s">
        <v>1010</v>
      </c>
      <c r="AT13" t="s">
        <v>456</v>
      </c>
      <c r="AU13" t="s">
        <v>364</v>
      </c>
      <c r="AV13" s="20">
        <v>46329</v>
      </c>
      <c r="AW13" t="s">
        <v>457</v>
      </c>
      <c r="AX13" s="96">
        <v>6.3</v>
      </c>
      <c r="AY13" t="s">
        <v>36</v>
      </c>
      <c r="AZ13">
        <v>99.787000000000006</v>
      </c>
      <c r="BA13" s="96">
        <v>2000000000000</v>
      </c>
      <c r="BB13" s="96">
        <v>839873485839.81006</v>
      </c>
      <c r="BC13">
        <v>0</v>
      </c>
      <c r="BD13">
        <v>0</v>
      </c>
      <c r="BE13">
        <v>-56387793816.769997</v>
      </c>
      <c r="BF13">
        <v>0.15</v>
      </c>
      <c r="BG13">
        <v>0.16</v>
      </c>
      <c r="BH13">
        <v>0.16500000000000001</v>
      </c>
      <c r="BI13">
        <v>45130099439.330002</v>
      </c>
      <c r="BJ13" s="14">
        <v>12658893867.58</v>
      </c>
      <c r="BK13" s="14">
        <v>12658893867.58</v>
      </c>
      <c r="BL13" s="63">
        <f>FNRP_PPCD[[#This Row],[Mat. Date]]-RPT</f>
        <v>67</v>
      </c>
      <c r="BM13" s="63" t="str">
        <f>IF(FNRP_PPCD[[#This Row],[Days]]&lt;=0,"Mat",_xlfn.XLOOKUP(FNRP_PPCD[[#This Row],[Days]],Ref!$D$1:$D$13,Ref!$C$1:$C$13,"Mat",1,1))</f>
        <v>3M</v>
      </c>
      <c r="BN13" s="25" t="str">
        <f>IF(FNRP_PPCD[[#This Row],[Days]]&lt;=0,"",VLOOKUP(FNRP_PPCD[[#This Row],[Short Name]],AllDealps!C:D,2,0))</f>
        <v>HDBV</v>
      </c>
      <c r="BO13" s="126">
        <f>SUMIFS(Ref!Q:Q,Ref!O:O,FNRP_PPCD[[#This Row],[Short Name]])</f>
        <v>0</v>
      </c>
      <c r="BP13" s="126">
        <f>IF(FNRP_PPCD[[#This Row],[Days]]=0,0,IF(FNRP_PPCD[[#This Row],[Nominal]]&lt;0,FNRP_PPCD[[#This Row],[Nominal]],MAX(0,FNRP_PPCD[[#This Row],[Nominal]]-FNRP_PPCD[[#This Row],[Đối ứng]])))</f>
        <v>2000000000000</v>
      </c>
      <c r="BS13" t="s">
        <v>40</v>
      </c>
      <c r="BT13" t="s">
        <v>650</v>
      </c>
      <c r="BU13" s="20">
        <v>46289</v>
      </c>
      <c r="BV13" s="20">
        <v>46289</v>
      </c>
      <c r="BW13" s="96">
        <v>1000000000</v>
      </c>
    </row>
    <row r="14" spans="1:142" x14ac:dyDescent="0.3">
      <c r="B14" t="s">
        <v>33</v>
      </c>
      <c r="C14" t="s">
        <v>41</v>
      </c>
      <c r="D14" t="s">
        <v>1608</v>
      </c>
      <c r="E14" t="s">
        <v>35</v>
      </c>
      <c r="F14">
        <v>48453</v>
      </c>
      <c r="G14" t="s">
        <v>36</v>
      </c>
      <c r="H14">
        <v>124.174923191</v>
      </c>
      <c r="I14">
        <v>1000</v>
      </c>
      <c r="J14">
        <v>1000000000000</v>
      </c>
      <c r="K14">
        <v>1000000000000</v>
      </c>
      <c r="L14">
        <v>100</v>
      </c>
      <c r="M14">
        <v>330</v>
      </c>
      <c r="N14">
        <v>9.5005219059999995</v>
      </c>
      <c r="O14">
        <v>9.5001058740000008</v>
      </c>
      <c r="P14">
        <v>9.5034202269999994</v>
      </c>
      <c r="Q14">
        <v>1241749231910</v>
      </c>
      <c r="R14">
        <v>9.6999999999999993</v>
      </c>
      <c r="S14">
        <v>2.7E-2</v>
      </c>
      <c r="T14">
        <v>9.58</v>
      </c>
      <c r="U14">
        <v>0</v>
      </c>
      <c r="V14">
        <v>0</v>
      </c>
      <c r="W14">
        <v>-130555555.55555533</v>
      </c>
      <c r="X14">
        <v>265753419.99999997</v>
      </c>
      <c r="Y14">
        <v>135197864.44444466</v>
      </c>
      <c r="Z14">
        <v>-130555555.56</v>
      </c>
      <c r="AA14">
        <v>1.0071386097195001</v>
      </c>
      <c r="AB14">
        <v>1.05527522</v>
      </c>
      <c r="AC14">
        <v>8.7218063909788004</v>
      </c>
      <c r="AD14">
        <v>-125088.12455749301</v>
      </c>
      <c r="AE14">
        <v>0</v>
      </c>
      <c r="AF14">
        <v>241749231910.00009</v>
      </c>
      <c r="AG14">
        <v>241749231910.00009</v>
      </c>
      <c r="AH14" s="89" t="str">
        <f>IF(_xlfn.XLOOKUP(FNRP_FIbond[[#This Row],[Short Name]],BS:BS,BU:BU,0,0)-RPT&lt;0,FNRP_FIbond[[#This Row],[Tenor]],_xlfn.XLOOKUP(_xlfn.XLOOKUP(FNRP_FIbond[[#This Row],[Short Name]],BS:BS,BU:BU,0,0)-RPT,Ref!$D$1:$D$13,Ref!$C$1:$C$13,"Mat",1,1))</f>
        <v>7Y</v>
      </c>
      <c r="AI14" s="89">
        <f>FNRP_FIbond[[#This Row],[Mat. Date]]-RPT</f>
        <v>2191</v>
      </c>
      <c r="AJ14" s="25" t="str">
        <f>IF(FNRP_FIbond[[#This Row],[Mat. Date]]-RPT&lt;=0,"Mat",_xlfn.XLOOKUP(FNRP_FIbond[[#This Row],[Mat. Date]]-RPT,Ref!$D$1:$D$13,Ref!$C$1:$C$13,"Mat",1,1))</f>
        <v>7Y</v>
      </c>
      <c r="AK14" s="25" t="str">
        <f>_xlfn.XLOOKUP(FNRP_FIbond[[#This Row],[Short Name]],AllDealps!C:C,AllDealps!D:D,"",0)</f>
        <v>SHBV</v>
      </c>
      <c r="AL14" s="25">
        <f>FNRP_FIbond[[#This Row],[Market Value]]/FNRP_FIbond[[#This Row],[Quantity]]</f>
        <v>1241749231.9100001</v>
      </c>
      <c r="AM14" s="25">
        <f>SUMIFS(Ref!Q:Q,Ref!O:O,FNRP_FIbond[[#This Row],[Short Name]])</f>
        <v>0</v>
      </c>
      <c r="AN14" s="25">
        <f>IF(FNRP_FIbond[[#This Row],[Days]]=0,0,IF(FNRP_FIbond[[#This Row],[Nominal]]&lt;0,FNRP_FIbond[[#This Row],[Nominal]],MAX(0,FNRP_FIbond[[#This Row],[Nominal]]-FNRP_FIbond[[#This Row],[Đối ứng]])))</f>
        <v>1000000000000</v>
      </c>
      <c r="AQ14" t="s">
        <v>455</v>
      </c>
      <c r="AR14" t="s">
        <v>34</v>
      </c>
      <c r="AS14" t="s">
        <v>1050</v>
      </c>
      <c r="AT14" t="s">
        <v>456</v>
      </c>
      <c r="AU14" t="s">
        <v>364</v>
      </c>
      <c r="AV14" s="20">
        <v>46332</v>
      </c>
      <c r="AW14" t="s">
        <v>457</v>
      </c>
      <c r="AX14" s="96">
        <v>5</v>
      </c>
      <c r="AY14" t="s">
        <v>36</v>
      </c>
      <c r="AZ14">
        <v>99.561000000000007</v>
      </c>
      <c r="BA14" s="96">
        <v>1000000000000</v>
      </c>
      <c r="BB14" s="96">
        <v>1035756045967.37</v>
      </c>
      <c r="BC14">
        <v>0</v>
      </c>
      <c r="BD14">
        <v>0</v>
      </c>
      <c r="BE14">
        <v>-45343055555.559998</v>
      </c>
      <c r="BF14">
        <v>0.16</v>
      </c>
      <c r="BG14">
        <v>0.17</v>
      </c>
      <c r="BH14">
        <v>0.17499999999999999</v>
      </c>
      <c r="BI14">
        <v>35756045967.370003</v>
      </c>
      <c r="BJ14" s="14">
        <v>12658893867.58</v>
      </c>
      <c r="BK14" s="14">
        <v>12658893867.58</v>
      </c>
      <c r="BL14" s="63">
        <f>FNRP_PPCD[[#This Row],[Mat. Date]]-RPT</f>
        <v>70</v>
      </c>
      <c r="BM14" s="63" t="str">
        <f>IF(FNRP_PPCD[[#This Row],[Days]]&lt;=0,"Mat",_xlfn.XLOOKUP(FNRP_PPCD[[#This Row],[Days]],Ref!$D$1:$D$13,Ref!$C$1:$C$13,"Mat",1,1))</f>
        <v>3M</v>
      </c>
      <c r="BN14" s="25" t="str">
        <f>IF(FNRP_PPCD[[#This Row],[Days]]&lt;=0,"",VLOOKUP(FNRP_PPCD[[#This Row],[Short Name]],AllDealps!C:D,2,0))</f>
        <v>SGTT</v>
      </c>
      <c r="BO14" s="126">
        <f>SUMIFS(Ref!Q:Q,Ref!O:O,FNRP_PPCD[[#This Row],[Short Name]])</f>
        <v>0</v>
      </c>
      <c r="BP14" s="126">
        <f>IF(FNRP_PPCD[[#This Row],[Days]]=0,0,IF(FNRP_PPCD[[#This Row],[Nominal]]&lt;0,FNRP_PPCD[[#This Row],[Nominal]],MAX(0,FNRP_PPCD[[#This Row],[Nominal]]-FNRP_PPCD[[#This Row],[Đối ứng]])))</f>
        <v>1000000000000</v>
      </c>
      <c r="BS14" t="s">
        <v>1274</v>
      </c>
      <c r="BT14" t="s">
        <v>650</v>
      </c>
      <c r="BU14" s="20">
        <v>46520</v>
      </c>
      <c r="BV14" s="20">
        <v>46520</v>
      </c>
      <c r="BW14" s="96">
        <v>1000000000</v>
      </c>
    </row>
    <row r="15" spans="1:142" x14ac:dyDescent="0.3">
      <c r="B15" t="s">
        <v>33</v>
      </c>
      <c r="C15" t="s">
        <v>41</v>
      </c>
      <c r="D15" t="s">
        <v>1479</v>
      </c>
      <c r="E15" t="s">
        <v>35</v>
      </c>
      <c r="F15">
        <v>48791</v>
      </c>
      <c r="G15" t="s">
        <v>36</v>
      </c>
      <c r="H15">
        <v>128.97502862299999</v>
      </c>
      <c r="I15">
        <v>10000</v>
      </c>
      <c r="J15">
        <v>1000000000000</v>
      </c>
      <c r="K15">
        <v>1000000000000</v>
      </c>
      <c r="L15">
        <v>100</v>
      </c>
      <c r="M15">
        <v>390</v>
      </c>
      <c r="N15">
        <v>9.7661210890000003</v>
      </c>
      <c r="O15">
        <v>9.7625067320000003</v>
      </c>
      <c r="P15">
        <v>9.4211338809999994</v>
      </c>
      <c r="Q15">
        <v>1289750286230</v>
      </c>
      <c r="R15">
        <v>9.8000000000000007</v>
      </c>
      <c r="S15">
        <v>0.752</v>
      </c>
      <c r="T15">
        <v>9.9499999999999993</v>
      </c>
      <c r="U15">
        <v>0</v>
      </c>
      <c r="V15">
        <v>0</v>
      </c>
      <c r="W15">
        <v>-4029166666.6666665</v>
      </c>
      <c r="X15">
        <v>7517808220</v>
      </c>
      <c r="Y15">
        <v>3488641553.3333335</v>
      </c>
      <c r="Z15">
        <v>-4029166666.6700001</v>
      </c>
      <c r="AA15">
        <v>1.1703765640378001</v>
      </c>
      <c r="AB15">
        <v>1.2264819499999999</v>
      </c>
      <c r="AC15">
        <v>9.1579406046888998</v>
      </c>
      <c r="AD15">
        <v>-151829.21750181299</v>
      </c>
      <c r="AE15">
        <v>0</v>
      </c>
      <c r="AF15">
        <v>289750286230.00012</v>
      </c>
      <c r="AG15">
        <v>289750286230.00012</v>
      </c>
      <c r="AH15" s="89" t="str">
        <f>IF(_xlfn.XLOOKUP(FNRP_FIbond[[#This Row],[Short Name]],BS:BS,BU:BU,0,0)-RPT&lt;0,FNRP_FIbond[[#This Row],[Tenor]],_xlfn.XLOOKUP(_xlfn.XLOOKUP(FNRP_FIbond[[#This Row],[Short Name]],BS:BS,BU:BU,0,0)-RPT,Ref!$D$1:$D$13,Ref!$C$1:$C$13,"Mat",1,1))</f>
        <v>2Y</v>
      </c>
      <c r="AI15" s="89">
        <f>FNRP_FIbond[[#This Row],[Mat. Date]]-RPT</f>
        <v>2529</v>
      </c>
      <c r="AJ15" s="25" t="str">
        <f>IF(FNRP_FIbond[[#This Row],[Mat. Date]]-RPT&lt;=0,"Mat",_xlfn.XLOOKUP(FNRP_FIbond[[#This Row],[Mat. Date]]-RPT,Ref!$D$1:$D$13,Ref!$C$1:$C$13,"Mat",1,1))</f>
        <v>7Y</v>
      </c>
      <c r="AK15" s="25" t="str">
        <f>_xlfn.XLOOKUP(FNRP_FIbond[[#This Row],[Short Name]],AllDealps!C:C,AllDealps!D:D,"",0)</f>
        <v>PVFC</v>
      </c>
      <c r="AL15" s="25">
        <f>FNRP_FIbond[[#This Row],[Market Value]]/FNRP_FIbond[[#This Row],[Quantity]]</f>
        <v>128975028.623</v>
      </c>
      <c r="AM15" s="25">
        <f>SUMIFS(Ref!Q:Q,Ref!O:O,FNRP_FIbond[[#This Row],[Short Name]])</f>
        <v>0</v>
      </c>
      <c r="AN15" s="25">
        <f>IF(FNRP_FIbond[[#This Row],[Days]]=0,0,IF(FNRP_FIbond[[#This Row],[Nominal]]&lt;0,FNRP_FIbond[[#This Row],[Nominal]],MAX(0,FNRP_FIbond[[#This Row],[Nominal]]-FNRP_FIbond[[#This Row],[Đối ứng]])))</f>
        <v>1000000000000</v>
      </c>
      <c r="AQ15" t="s">
        <v>455</v>
      </c>
      <c r="AR15" t="s">
        <v>34</v>
      </c>
      <c r="AS15" t="s">
        <v>1061</v>
      </c>
      <c r="AT15" t="s">
        <v>456</v>
      </c>
      <c r="AU15" t="s">
        <v>364</v>
      </c>
      <c r="AV15" s="20">
        <v>46343</v>
      </c>
      <c r="AW15" t="s">
        <v>457</v>
      </c>
      <c r="AX15" s="96">
        <v>6.3</v>
      </c>
      <c r="AY15" t="s">
        <v>36</v>
      </c>
      <c r="AZ15">
        <v>99.691000000000003</v>
      </c>
      <c r="BA15" s="96">
        <v>1500000000000</v>
      </c>
      <c r="BB15" s="96">
        <v>-12978356832.98</v>
      </c>
      <c r="BC15">
        <v>0</v>
      </c>
      <c r="BD15">
        <v>0</v>
      </c>
      <c r="BE15" s="14">
        <v>-20544726918.25</v>
      </c>
      <c r="BF15">
        <v>0.19</v>
      </c>
      <c r="BG15">
        <v>0.2</v>
      </c>
      <c r="BH15">
        <v>0.20899999999999999</v>
      </c>
      <c r="BI15" s="14">
        <v>618659534.96000004</v>
      </c>
      <c r="BJ15" s="14">
        <v>12658893867.58</v>
      </c>
      <c r="BK15" s="14">
        <v>12658893867.58</v>
      </c>
      <c r="BL15" s="63">
        <f>FNRP_PPCD[[#This Row],[Mat. Date]]-RPT</f>
        <v>81</v>
      </c>
      <c r="BM15" s="63" t="str">
        <f>IF(FNRP_PPCD[[#This Row],[Days]]&lt;=0,"Mat",_xlfn.XLOOKUP(FNRP_PPCD[[#This Row],[Days]],Ref!$D$1:$D$13,Ref!$C$1:$C$13,"Mat",1,1))</f>
        <v>3M</v>
      </c>
      <c r="BN15" s="25" t="str">
        <f>IF(FNRP_PPCD[[#This Row],[Days]]&lt;=0,"",VLOOKUP(FNRP_PPCD[[#This Row],[Short Name]],AllDealps!C:D,2,0))</f>
        <v>LVBT</v>
      </c>
      <c r="BO15" s="126">
        <f>SUMIFS(Ref!Q:Q,Ref!O:O,FNRP_PPCD[[#This Row],[Short Name]])</f>
        <v>0</v>
      </c>
      <c r="BP15" s="126">
        <f>IF(FNRP_PPCD[[#This Row],[Days]]=0,0,IF(FNRP_PPCD[[#This Row],[Nominal]]&lt;0,FNRP_PPCD[[#This Row],[Nominal]],MAX(0,FNRP_PPCD[[#This Row],[Nominal]]-FNRP_PPCD[[#This Row],[Đối ứng]])))</f>
        <v>1500000000000</v>
      </c>
      <c r="BS15" t="s">
        <v>1262</v>
      </c>
      <c r="BT15" t="s">
        <v>651</v>
      </c>
      <c r="BU15" s="20">
        <v>46498</v>
      </c>
      <c r="BV15" s="20">
        <v>46498</v>
      </c>
      <c r="BW15" s="96">
        <v>1000000000</v>
      </c>
    </row>
    <row r="16" spans="1:142" x14ac:dyDescent="0.3">
      <c r="B16" t="s">
        <v>33</v>
      </c>
      <c r="C16" t="s">
        <v>1449</v>
      </c>
      <c r="D16" t="s">
        <v>1617</v>
      </c>
      <c r="E16" t="s">
        <v>35</v>
      </c>
      <c r="F16">
        <v>48454</v>
      </c>
      <c r="G16" t="s">
        <v>36</v>
      </c>
      <c r="H16">
        <v>124.128511742</v>
      </c>
      <c r="I16">
        <v>1000</v>
      </c>
      <c r="J16">
        <v>1000000000000</v>
      </c>
      <c r="K16">
        <v>1000000000000</v>
      </c>
      <c r="L16">
        <v>100</v>
      </c>
      <c r="M16">
        <v>0</v>
      </c>
      <c r="N16">
        <v>9.4996157369999992</v>
      </c>
      <c r="O16">
        <v>9.4915078439999991</v>
      </c>
      <c r="P16">
        <v>9.4996157369999992</v>
      </c>
      <c r="Q16">
        <v>1241285117420</v>
      </c>
      <c r="R16">
        <v>9.5</v>
      </c>
      <c r="S16">
        <v>0</v>
      </c>
      <c r="T16">
        <v>9.58</v>
      </c>
      <c r="U16">
        <v>0</v>
      </c>
      <c r="V16">
        <v>0</v>
      </c>
      <c r="W16">
        <v>0</v>
      </c>
      <c r="X16">
        <v>0</v>
      </c>
      <c r="Y16">
        <v>0</v>
      </c>
      <c r="Z16">
        <v>0</v>
      </c>
      <c r="AA16">
        <v>4.7455513708458996</v>
      </c>
      <c r="AB16">
        <v>4.97252004</v>
      </c>
      <c r="AC16">
        <v>29.597622458307299</v>
      </c>
      <c r="AD16">
        <v>-589058.22905830899</v>
      </c>
      <c r="AE16">
        <v>0</v>
      </c>
      <c r="AF16">
        <v>241285117420.00006</v>
      </c>
      <c r="AG16">
        <v>241285117420.00006</v>
      </c>
      <c r="AH16" s="89" t="str">
        <f>IF(_xlfn.XLOOKUP(FNRP_FIbond[[#This Row],[Short Name]],BS:BS,BU:BU,0,0)-RPT&lt;0,FNRP_FIbond[[#This Row],[Tenor]],_xlfn.XLOOKUP(_xlfn.XLOOKUP(FNRP_FIbond[[#This Row],[Short Name]],BS:BS,BU:BU,0,0)-RPT,Ref!$D$1:$D$13,Ref!$C$1:$C$13,"Mat",1,1))</f>
        <v>7Y</v>
      </c>
      <c r="AI16" s="89">
        <f>FNRP_FIbond[[#This Row],[Mat. Date]]-RPT</f>
        <v>2192</v>
      </c>
      <c r="AJ16" s="25" t="str">
        <f>IF(FNRP_FIbond[[#This Row],[Mat. Date]]-RPT&lt;=0,"Mat",_xlfn.XLOOKUP(FNRP_FIbond[[#This Row],[Mat. Date]]-RPT,Ref!$D$1:$D$13,Ref!$C$1:$C$13,"Mat",1,1))</f>
        <v>7Y</v>
      </c>
      <c r="AK16" s="25" t="str">
        <f>_xlfn.XLOOKUP(FNRP_FIbond[[#This Row],[Short Name]],AllDealps!C:C,AllDealps!D:D,"",0)</f>
        <v>SGTT</v>
      </c>
      <c r="AL16" s="25">
        <f>FNRP_FIbond[[#This Row],[Market Value]]/FNRP_FIbond[[#This Row],[Quantity]]</f>
        <v>1241285117.4200001</v>
      </c>
      <c r="AM16" s="25">
        <f>SUMIFS(Ref!Q:Q,Ref!O:O,FNRP_FIbond[[#This Row],[Short Name]])</f>
        <v>0</v>
      </c>
      <c r="AN16" s="25">
        <f>IF(FNRP_FIbond[[#This Row],[Days]]=0,0,IF(FNRP_FIbond[[#This Row],[Nominal]]&lt;0,FNRP_FIbond[[#This Row],[Nominal]],MAX(0,FNRP_FIbond[[#This Row],[Nominal]]-FNRP_FIbond[[#This Row],[Đối ứng]])))</f>
        <v>1000000000000</v>
      </c>
      <c r="AQ16" t="s">
        <v>455</v>
      </c>
      <c r="AR16" t="s">
        <v>34</v>
      </c>
      <c r="AS16" t="s">
        <v>1064</v>
      </c>
      <c r="AT16" t="s">
        <v>456</v>
      </c>
      <c r="AU16" t="s">
        <v>364</v>
      </c>
      <c r="AV16" s="20">
        <v>46350</v>
      </c>
      <c r="AW16" t="s">
        <v>457</v>
      </c>
      <c r="AX16" s="96">
        <v>6.3</v>
      </c>
      <c r="AY16" t="s">
        <v>36</v>
      </c>
      <c r="AZ16">
        <v>99.634</v>
      </c>
      <c r="BA16" s="96">
        <v>2000000000000</v>
      </c>
      <c r="BB16" s="96">
        <v>2089570898966.6399</v>
      </c>
      <c r="BC16">
        <v>0</v>
      </c>
      <c r="BD16">
        <v>0</v>
      </c>
      <c r="BE16">
        <v>-87255555555.559998</v>
      </c>
      <c r="BF16">
        <v>0.21</v>
      </c>
      <c r="BG16">
        <v>0.22</v>
      </c>
      <c r="BH16">
        <v>0.23200000000000001</v>
      </c>
      <c r="BI16">
        <v>89570898966.639999</v>
      </c>
      <c r="BJ16" s="14">
        <v>12658893867.58</v>
      </c>
      <c r="BK16" s="14">
        <v>12658893867.58</v>
      </c>
      <c r="BL16" s="63">
        <f>FNRP_PPCD[[#This Row],[Mat. Date]]-RPT</f>
        <v>88</v>
      </c>
      <c r="BM16" s="63" t="str">
        <f>IF(FNRP_PPCD[[#This Row],[Days]]&lt;=0,"Mat",_xlfn.XLOOKUP(FNRP_PPCD[[#This Row],[Days]],Ref!$D$1:$D$13,Ref!$C$1:$C$13,"Mat",1,1))</f>
        <v>3M</v>
      </c>
      <c r="BN16" s="25" t="str">
        <f>IF(FNRP_PPCD[[#This Row],[Days]]&lt;=0,"",VLOOKUP(FNRP_PPCD[[#This Row],[Short Name]],AllDealps!C:D,2,0))</f>
        <v>OCBV</v>
      </c>
      <c r="BO16" s="126">
        <f>SUMIFS(Ref!Q:Q,Ref!O:O,FNRP_PPCD[[#This Row],[Short Name]])</f>
        <v>2000000000000</v>
      </c>
      <c r="BP16" s="126">
        <f>IF(FNRP_PPCD[[#This Row],[Days]]=0,0,IF(FNRP_PPCD[[#This Row],[Nominal]]&lt;0,FNRP_PPCD[[#This Row],[Nominal]],MAX(0,FNRP_PPCD[[#This Row],[Nominal]]-FNRP_PPCD[[#This Row],[Đối ứng]])))</f>
        <v>0</v>
      </c>
      <c r="BS16" t="s">
        <v>1265</v>
      </c>
      <c r="BT16" t="s">
        <v>651</v>
      </c>
      <c r="BU16" s="20">
        <v>46501</v>
      </c>
      <c r="BV16" s="20">
        <v>46501</v>
      </c>
      <c r="BW16" s="96">
        <v>1000000000</v>
      </c>
    </row>
    <row r="17" spans="2:75" x14ac:dyDescent="0.3">
      <c r="B17" t="s">
        <v>516</v>
      </c>
      <c r="F17"/>
      <c r="H17"/>
      <c r="I17"/>
      <c r="J17"/>
      <c r="K17"/>
      <c r="L17"/>
      <c r="M17"/>
      <c r="N17"/>
      <c r="O17"/>
      <c r="P17"/>
      <c r="Q17"/>
      <c r="R17"/>
      <c r="S17"/>
      <c r="T17"/>
      <c r="U17"/>
      <c r="V17"/>
      <c r="W17"/>
      <c r="X17"/>
      <c r="Y17"/>
      <c r="Z17"/>
      <c r="AA17"/>
      <c r="AB17"/>
      <c r="AC17"/>
      <c r="AD17"/>
      <c r="AE17"/>
      <c r="AF17"/>
      <c r="AG17"/>
      <c r="AH17"/>
      <c r="AI17"/>
      <c r="AJ17"/>
      <c r="AK17"/>
      <c r="AL17"/>
      <c r="AM17"/>
      <c r="AN17" s="43">
        <f>SUBTOTAL(109,FNRP_FIbond[Điều chỉnh đối ứng])</f>
        <v>12397610600000</v>
      </c>
      <c r="AQ17" t="s">
        <v>455</v>
      </c>
      <c r="AR17" t="s">
        <v>34</v>
      </c>
      <c r="AS17" t="s">
        <v>1071</v>
      </c>
      <c r="AT17" t="s">
        <v>456</v>
      </c>
      <c r="AU17" t="s">
        <v>364</v>
      </c>
      <c r="AV17" s="20">
        <v>46352</v>
      </c>
      <c r="AW17" t="s">
        <v>457</v>
      </c>
      <c r="AX17" s="96">
        <v>6.6</v>
      </c>
      <c r="AY17" t="s">
        <v>36</v>
      </c>
      <c r="AZ17">
        <v>99.68</v>
      </c>
      <c r="BA17" s="96">
        <v>1500000000000</v>
      </c>
      <c r="BB17" s="96">
        <v>1570811722017.49</v>
      </c>
      <c r="BC17">
        <v>0</v>
      </c>
      <c r="BD17">
        <v>0</v>
      </c>
      <c r="BE17">
        <v>-36078132487.089996</v>
      </c>
      <c r="BF17">
        <v>0.21</v>
      </c>
      <c r="BG17">
        <v>0.23</v>
      </c>
      <c r="BH17">
        <v>0.23899999999999999</v>
      </c>
      <c r="BI17">
        <v>34277827818.09</v>
      </c>
      <c r="BJ17" s="14">
        <v>12658893867.58</v>
      </c>
      <c r="BK17" s="14">
        <v>12658893867.58</v>
      </c>
      <c r="BL17" s="63">
        <f>FNRP_PPCD[[#This Row],[Mat. Date]]-RPT</f>
        <v>90</v>
      </c>
      <c r="BM17" s="63" t="str">
        <f>IF(FNRP_PPCD[[#This Row],[Days]]&lt;=0,"Mat",_xlfn.XLOOKUP(FNRP_PPCD[[#This Row],[Days]],Ref!$D$1:$D$13,Ref!$C$1:$C$13,"Mat",1,1))</f>
        <v>3M</v>
      </c>
      <c r="BN17" s="25" t="str">
        <f>IF(FNRP_PPCD[[#This Row],[Days]]&lt;=0,"",VLOOKUP(FNRP_PPCD[[#This Row],[Short Name]],AllDealps!C:D,2,0))</f>
        <v>HDBV</v>
      </c>
      <c r="BO17" s="126">
        <f>SUMIFS(Ref!Q:Q,Ref!O:O,FNRP_PPCD[[#This Row],[Short Name]])</f>
        <v>1500000000000</v>
      </c>
      <c r="BP17" s="126">
        <f>IF(FNRP_PPCD[[#This Row],[Days]]=0,0,IF(FNRP_PPCD[[#This Row],[Nominal]]&lt;0,FNRP_PPCD[[#This Row],[Nominal]],MAX(0,FNRP_PPCD[[#This Row],[Nominal]]-FNRP_PPCD[[#This Row],[Đối ứng]])))</f>
        <v>0</v>
      </c>
      <c r="BS17" t="s">
        <v>791</v>
      </c>
      <c r="BT17" t="s">
        <v>650</v>
      </c>
      <c r="BU17" s="20">
        <v>46246</v>
      </c>
      <c r="BV17" s="20">
        <v>46246</v>
      </c>
      <c r="BW17" s="96">
        <v>1000000000</v>
      </c>
    </row>
    <row r="18" spans="2:75" x14ac:dyDescent="0.3">
      <c r="E18" s="14"/>
      <c r="F18" s="36"/>
      <c r="AQ18" t="s">
        <v>455</v>
      </c>
      <c r="AR18" t="s">
        <v>34</v>
      </c>
      <c r="AS18" t="s">
        <v>1073</v>
      </c>
      <c r="AT18" t="s">
        <v>456</v>
      </c>
      <c r="AU18" t="s">
        <v>364</v>
      </c>
      <c r="AV18" s="20">
        <v>46356</v>
      </c>
      <c r="AW18" t="s">
        <v>457</v>
      </c>
      <c r="AX18" s="96">
        <v>6.6</v>
      </c>
      <c r="AY18" t="s">
        <v>36</v>
      </c>
      <c r="AZ18">
        <v>99.647000000000006</v>
      </c>
      <c r="BA18" s="96">
        <v>400000000000</v>
      </c>
      <c r="BB18" s="96">
        <v>208565563384.44</v>
      </c>
      <c r="BC18">
        <v>0</v>
      </c>
      <c r="BD18">
        <v>0</v>
      </c>
      <c r="BE18" s="14">
        <v>-14326431525.17</v>
      </c>
      <c r="BF18">
        <v>0.22</v>
      </c>
      <c r="BG18">
        <v>0.24</v>
      </c>
      <c r="BH18">
        <v>0.253</v>
      </c>
      <c r="BI18" s="14">
        <v>14490008784.51</v>
      </c>
      <c r="BJ18" s="14">
        <v>12658893867.58</v>
      </c>
      <c r="BK18" s="14">
        <v>12658893867.58</v>
      </c>
      <c r="BL18" s="63">
        <f>FNRP_PPCD[[#This Row],[Mat. Date]]-RPT</f>
        <v>94</v>
      </c>
      <c r="BM18" s="63" t="str">
        <f>IF(FNRP_PPCD[[#This Row],[Days]]&lt;=0,"Mat",_xlfn.XLOOKUP(FNRP_PPCD[[#This Row],[Days]],Ref!$D$1:$D$13,Ref!$C$1:$C$13,"Mat",1,1))</f>
        <v>6M</v>
      </c>
      <c r="BN18" s="25" t="str">
        <f>IF(FNRP_PPCD[[#This Row],[Days]]&lt;=0,"",VLOOKUP(FNRP_PPCD[[#This Row],[Short Name]],AllDealps!C:D,2,0))</f>
        <v>VIETBANK</v>
      </c>
      <c r="BO18" s="126">
        <f>SUMIFS(Ref!Q:Q,Ref!O:O,FNRP_PPCD[[#This Row],[Short Name]])</f>
        <v>0</v>
      </c>
      <c r="BP18" s="126">
        <f>IF(FNRP_PPCD[[#This Row],[Days]]=0,0,IF(FNRP_PPCD[[#This Row],[Nominal]]&lt;0,FNRP_PPCD[[#This Row],[Nominal]],MAX(0,FNRP_PPCD[[#This Row],[Nominal]]-FNRP_PPCD[[#This Row],[Đối ứng]])))</f>
        <v>400000000000</v>
      </c>
      <c r="BS18" t="s">
        <v>1262</v>
      </c>
      <c r="BT18" t="s">
        <v>650</v>
      </c>
      <c r="BU18" s="20">
        <v>46498</v>
      </c>
      <c r="BV18" s="20">
        <v>46498</v>
      </c>
      <c r="BW18" s="96">
        <v>1000000000</v>
      </c>
    </row>
    <row r="19" spans="2:75" x14ac:dyDescent="0.3">
      <c r="E19" s="14"/>
      <c r="F19" s="36"/>
      <c r="AQ19" t="s">
        <v>455</v>
      </c>
      <c r="AR19" t="s">
        <v>34</v>
      </c>
      <c r="AS19" t="s">
        <v>1104</v>
      </c>
      <c r="AT19" t="s">
        <v>456</v>
      </c>
      <c r="AU19" t="s">
        <v>364</v>
      </c>
      <c r="AV19" s="20">
        <v>46360</v>
      </c>
      <c r="AW19" t="s">
        <v>457</v>
      </c>
      <c r="AX19" s="96">
        <v>6.9</v>
      </c>
      <c r="AY19" t="s">
        <v>36</v>
      </c>
      <c r="AZ19">
        <v>99.680999999999997</v>
      </c>
      <c r="BA19" s="96">
        <v>1000000000000</v>
      </c>
      <c r="BB19" s="96">
        <v>1048020727913.14</v>
      </c>
      <c r="BC19">
        <v>0</v>
      </c>
      <c r="BD19">
        <v>0</v>
      </c>
      <c r="BE19" s="14">
        <v>-32664187814.040001</v>
      </c>
      <c r="BF19">
        <v>0.23</v>
      </c>
      <c r="BG19">
        <v>0.25</v>
      </c>
      <c r="BH19">
        <v>0.26700000000000002</v>
      </c>
      <c r="BI19" s="14">
        <v>23753990712.450001</v>
      </c>
      <c r="BJ19" s="14">
        <v>12658893867.58</v>
      </c>
      <c r="BK19" s="14">
        <v>12658893867.58</v>
      </c>
      <c r="BL19" s="63">
        <f>FNRP_PPCD[[#This Row],[Mat. Date]]-RPT</f>
        <v>98</v>
      </c>
      <c r="BM19" s="63" t="str">
        <f>IF(FNRP_PPCD[[#This Row],[Days]]&lt;=0,"Mat",_xlfn.XLOOKUP(FNRP_PPCD[[#This Row],[Days]],Ref!$D$1:$D$13,Ref!$C$1:$C$13,"Mat",1,1))</f>
        <v>6M</v>
      </c>
      <c r="BN19" s="25" t="str">
        <f>IF(FNRP_PPCD[[#This Row],[Days]]&lt;=0,"",VLOOKUP(FNRP_PPCD[[#This Row],[Short Name]],AllDealps!C:D,2,0))</f>
        <v>SABH</v>
      </c>
      <c r="BO19" s="126">
        <f>SUMIFS(Ref!Q:Q,Ref!O:O,FNRP_PPCD[[#This Row],[Short Name]])</f>
        <v>0</v>
      </c>
      <c r="BP19" s="126">
        <f>IF(FNRP_PPCD[[#This Row],[Days]]=0,0,IF(FNRP_PPCD[[#This Row],[Nominal]]&lt;0,FNRP_PPCD[[#This Row],[Nominal]],MAX(0,FNRP_PPCD[[#This Row],[Nominal]]-FNRP_PPCD[[#This Row],[Đối ứng]])))</f>
        <v>1000000000000</v>
      </c>
      <c r="BS19" t="s">
        <v>942</v>
      </c>
      <c r="BT19" t="s">
        <v>650</v>
      </c>
      <c r="BU19" s="20">
        <v>46614</v>
      </c>
      <c r="BV19" s="20">
        <v>46614</v>
      </c>
      <c r="BW19" s="96">
        <v>1000000000</v>
      </c>
    </row>
    <row r="20" spans="2:75" x14ac:dyDescent="0.3">
      <c r="E20" s="14"/>
      <c r="F20" s="36"/>
      <c r="AQ20" t="s">
        <v>455</v>
      </c>
      <c r="AR20" t="s">
        <v>34</v>
      </c>
      <c r="AS20" t="s">
        <v>1158</v>
      </c>
      <c r="AT20" t="s">
        <v>456</v>
      </c>
      <c r="AU20" t="s">
        <v>364</v>
      </c>
      <c r="AV20" s="20">
        <v>46409</v>
      </c>
      <c r="AW20" t="s">
        <v>457</v>
      </c>
      <c r="AX20" s="96">
        <v>7.2</v>
      </c>
      <c r="AY20" t="s">
        <v>36</v>
      </c>
      <c r="AZ20">
        <v>99.628</v>
      </c>
      <c r="BA20" s="96">
        <v>2000000000000</v>
      </c>
      <c r="BB20" s="96">
        <v>519983786784.44</v>
      </c>
      <c r="BC20">
        <v>0</v>
      </c>
      <c r="BD20">
        <v>0</v>
      </c>
      <c r="BE20" s="14">
        <v>-13723126101.08</v>
      </c>
      <c r="BF20">
        <v>0.35</v>
      </c>
      <c r="BG20">
        <v>0.38</v>
      </c>
      <c r="BH20">
        <v>0.45400000000000001</v>
      </c>
      <c r="BI20" s="14">
        <v>6740706236.1300001</v>
      </c>
      <c r="BJ20" s="14">
        <v>12658893867.58</v>
      </c>
      <c r="BK20" s="14">
        <v>12658893867.58</v>
      </c>
      <c r="BL20" s="63">
        <f>FNRP_PPCD[[#This Row],[Mat. Date]]-RPT</f>
        <v>147</v>
      </c>
      <c r="BM20" s="63" t="str">
        <f>IF(FNRP_PPCD[[#This Row],[Days]]&lt;=0,"Mat",_xlfn.XLOOKUP(FNRP_PPCD[[#This Row],[Days]],Ref!$D$1:$D$13,Ref!$C$1:$C$13,"Mat",1,1))</f>
        <v>6M</v>
      </c>
      <c r="BN20" s="25" t="str">
        <f>IF(FNRP_PPCD[[#This Row],[Days]]&lt;=0,"",VLOOKUP(FNRP_PPCD[[#This Row],[Short Name]],AllDealps!C:D,2,0))</f>
        <v>BIDV</v>
      </c>
      <c r="BO20" s="126">
        <f>SUMIFS(Ref!Q:Q,Ref!O:O,FNRP_PPCD[[#This Row],[Short Name]])</f>
        <v>0</v>
      </c>
      <c r="BP20" s="126">
        <f>IF(FNRP_PPCD[[#This Row],[Days]]=0,0,IF(FNRP_PPCD[[#This Row],[Nominal]]&lt;0,FNRP_PPCD[[#This Row],[Nominal]],MAX(0,FNRP_PPCD[[#This Row],[Nominal]]-FNRP_PPCD[[#This Row],[Đối ứng]])))</f>
        <v>2000000000000</v>
      </c>
      <c r="BS20" t="s">
        <v>1479</v>
      </c>
      <c r="BT20" t="s">
        <v>650</v>
      </c>
      <c r="BU20" s="20">
        <v>46965</v>
      </c>
      <c r="BV20" s="20">
        <v>46965</v>
      </c>
      <c r="BW20" s="96">
        <v>100000000</v>
      </c>
    </row>
    <row r="21" spans="2:75" x14ac:dyDescent="0.3">
      <c r="E21" s="14"/>
      <c r="F21" s="36"/>
      <c r="AQ21" t="s">
        <v>455</v>
      </c>
      <c r="AR21" t="s">
        <v>34</v>
      </c>
      <c r="AS21" t="s">
        <v>1159</v>
      </c>
      <c r="AT21" t="s">
        <v>456</v>
      </c>
      <c r="AU21" t="s">
        <v>364</v>
      </c>
      <c r="AV21" s="20">
        <v>46412</v>
      </c>
      <c r="AW21" t="s">
        <v>457</v>
      </c>
      <c r="AX21" s="96">
        <v>7.5</v>
      </c>
      <c r="AY21" t="s">
        <v>36</v>
      </c>
      <c r="AZ21">
        <v>99.73</v>
      </c>
      <c r="BA21" s="96">
        <v>1000000000000</v>
      </c>
      <c r="BB21" s="96">
        <v>-3041821780.9400001</v>
      </c>
      <c r="BC21">
        <v>0</v>
      </c>
      <c r="BD21">
        <v>0</v>
      </c>
      <c r="BE21" s="14">
        <v>-24594367839.200001</v>
      </c>
      <c r="BF21">
        <v>0.36</v>
      </c>
      <c r="BG21">
        <v>0.39</v>
      </c>
      <c r="BH21">
        <v>0.46700000000000003</v>
      </c>
      <c r="BI21" s="14">
        <v>24582878318.810001</v>
      </c>
      <c r="BJ21" s="14">
        <v>12658893867.58</v>
      </c>
      <c r="BK21" s="14">
        <v>12658893867.58</v>
      </c>
      <c r="BL21" s="63">
        <f>FNRP_PPCD[[#This Row],[Mat. Date]]-RPT</f>
        <v>150</v>
      </c>
      <c r="BM21" s="63" t="str">
        <f>IF(FNRP_PPCD[[#This Row],[Days]]&lt;=0,"Mat",_xlfn.XLOOKUP(FNRP_PPCD[[#This Row],[Days]],Ref!$D$1:$D$13,Ref!$C$1:$C$13,"Mat",1,1))</f>
        <v>6M</v>
      </c>
      <c r="BN21" s="25" t="str">
        <f>IF(FNRP_PPCD[[#This Row],[Days]]&lt;=0,"",VLOOKUP(FNRP_PPCD[[#This Row],[Short Name]],AllDealps!C:D,2,0))</f>
        <v>SABH</v>
      </c>
      <c r="BO21" s="126">
        <f>SUMIFS(Ref!Q:Q,Ref!O:O,FNRP_PPCD[[#This Row],[Short Name]])</f>
        <v>0</v>
      </c>
      <c r="BP21" s="126">
        <f>IF(FNRP_PPCD[[#This Row],[Days]]=0,0,IF(FNRP_PPCD[[#This Row],[Nominal]]&lt;0,FNRP_PPCD[[#This Row],[Nominal]],MAX(0,FNRP_PPCD[[#This Row],[Nominal]]-FNRP_PPCD[[#This Row],[Đối ứng]])))</f>
        <v>1000000000000</v>
      </c>
      <c r="BS21" t="s">
        <v>1274</v>
      </c>
      <c r="BT21" t="s">
        <v>651</v>
      </c>
      <c r="BU21" s="20">
        <v>46520</v>
      </c>
      <c r="BV21" s="20">
        <v>46520</v>
      </c>
      <c r="BW21" s="96">
        <v>1000000000</v>
      </c>
    </row>
    <row r="22" spans="2:75" x14ac:dyDescent="0.3">
      <c r="E22" s="14"/>
      <c r="F22" s="36"/>
      <c r="AQ22" t="s">
        <v>455</v>
      </c>
      <c r="AR22" t="s">
        <v>34</v>
      </c>
      <c r="AS22" t="s">
        <v>1207</v>
      </c>
      <c r="AT22" t="s">
        <v>456</v>
      </c>
      <c r="AU22" t="s">
        <v>364</v>
      </c>
      <c r="AV22" s="20">
        <v>46419</v>
      </c>
      <c r="AW22" t="s">
        <v>457</v>
      </c>
      <c r="AX22" s="96">
        <v>8</v>
      </c>
      <c r="AY22" t="s">
        <v>36</v>
      </c>
      <c r="AZ22">
        <v>99.912999999999997</v>
      </c>
      <c r="BA22" s="96">
        <v>200000000000</v>
      </c>
      <c r="BB22" s="96">
        <v>59248896095.720001</v>
      </c>
      <c r="BC22">
        <v>0</v>
      </c>
      <c r="BD22">
        <v>0</v>
      </c>
      <c r="BE22" s="14">
        <v>-4335160382.8299999</v>
      </c>
      <c r="BF22">
        <v>0.38</v>
      </c>
      <c r="BG22">
        <v>0.41</v>
      </c>
      <c r="BH22">
        <v>0.496</v>
      </c>
      <c r="BI22" s="14">
        <v>3678972055.73</v>
      </c>
      <c r="BJ22" s="14">
        <v>12658893867.58</v>
      </c>
      <c r="BK22" s="14">
        <v>12658893867.58</v>
      </c>
      <c r="BL22" s="63">
        <f>FNRP_PPCD[[#This Row],[Mat. Date]]-RPT</f>
        <v>157</v>
      </c>
      <c r="BM22" s="63" t="str">
        <f>IF(FNRP_PPCD[[#This Row],[Days]]&lt;=0,"Mat",_xlfn.XLOOKUP(FNRP_PPCD[[#This Row],[Days]],Ref!$D$1:$D$13,Ref!$C$1:$C$13,"Mat",1,1))</f>
        <v>6M</v>
      </c>
      <c r="BN22" s="25" t="str">
        <f>IF(FNRP_PPCD[[#This Row],[Days]]&lt;=0,"",VLOOKUP(FNRP_PPCD[[#This Row],[Short Name]],AllDealps!C:D,2,0))</f>
        <v>TC_DIENLUC</v>
      </c>
      <c r="BO22" s="126">
        <f>SUMIFS(Ref!Q:Q,Ref!O:O,FNRP_PPCD[[#This Row],[Short Name]])</f>
        <v>0</v>
      </c>
      <c r="BP22" s="126">
        <f>IF(FNRP_PPCD[[#This Row],[Days]]=0,0,IF(FNRP_PPCD[[#This Row],[Nominal]]&lt;0,FNRP_PPCD[[#This Row],[Nominal]],MAX(0,FNRP_PPCD[[#This Row],[Nominal]]-FNRP_PPCD[[#This Row],[Đối ứng]])))</f>
        <v>200000000000</v>
      </c>
    </row>
    <row r="23" spans="2:75" x14ac:dyDescent="0.3">
      <c r="E23" s="14"/>
      <c r="F23" s="36"/>
      <c r="AQ23" t="s">
        <v>455</v>
      </c>
      <c r="AR23" t="s">
        <v>34</v>
      </c>
      <c r="AS23" t="s">
        <v>1204</v>
      </c>
      <c r="AT23" t="s">
        <v>456</v>
      </c>
      <c r="AU23" t="s">
        <v>364</v>
      </c>
      <c r="AV23" s="20">
        <v>46422</v>
      </c>
      <c r="AW23" t="s">
        <v>457</v>
      </c>
      <c r="AX23" s="96">
        <v>7.24</v>
      </c>
      <c r="AY23" t="s">
        <v>36</v>
      </c>
      <c r="AZ23">
        <v>99.611000000000004</v>
      </c>
      <c r="BA23" s="96">
        <v>1000000000000</v>
      </c>
      <c r="BB23" s="96">
        <v>739067021217.95996</v>
      </c>
      <c r="BC23">
        <v>0</v>
      </c>
      <c r="BD23">
        <v>0</v>
      </c>
      <c r="BE23" s="14">
        <v>-10570562879.360001</v>
      </c>
      <c r="BF23">
        <v>0.39</v>
      </c>
      <c r="BG23">
        <v>0.42</v>
      </c>
      <c r="BH23">
        <v>0.50900000000000001</v>
      </c>
      <c r="BI23" s="14">
        <v>7226827429.1199999</v>
      </c>
      <c r="BJ23" s="14">
        <v>12658893867.58</v>
      </c>
      <c r="BK23" s="14">
        <v>12658893867.58</v>
      </c>
      <c r="BL23" s="63">
        <f>FNRP_PPCD[[#This Row],[Mat. Date]]-RPT</f>
        <v>160</v>
      </c>
      <c r="BM23" s="63" t="str">
        <f>IF(FNRP_PPCD[[#This Row],[Days]]&lt;=0,"Mat",_xlfn.XLOOKUP(FNRP_PPCD[[#This Row],[Days]],Ref!$D$1:$D$13,Ref!$C$1:$C$13,"Mat",1,1))</f>
        <v>6M</v>
      </c>
      <c r="BN23" s="25" t="str">
        <f>IF(FNRP_PPCD[[#This Row],[Days]]&lt;=0,"",VLOOKUP(FNRP_PPCD[[#This Row],[Short Name]],AllDealps!C:D,2,0))</f>
        <v>MCSB</v>
      </c>
      <c r="BO23" s="126">
        <f>SUMIFS(Ref!Q:Q,Ref!O:O,FNRP_PPCD[[#This Row],[Short Name]])</f>
        <v>0</v>
      </c>
      <c r="BP23" s="126">
        <f>IF(FNRP_PPCD[[#This Row],[Days]]=0,0,IF(FNRP_PPCD[[#This Row],[Nominal]]&lt;0,FNRP_PPCD[[#This Row],[Nominal]],MAX(0,FNRP_PPCD[[#This Row],[Nominal]]-FNRP_PPCD[[#This Row],[Đối ứng]])))</f>
        <v>1000000000000</v>
      </c>
    </row>
    <row r="24" spans="2:75" x14ac:dyDescent="0.3">
      <c r="E24" s="14"/>
      <c r="F24" s="36"/>
      <c r="AQ24" t="s">
        <v>455</v>
      </c>
      <c r="AR24" t="s">
        <v>34</v>
      </c>
      <c r="AS24" t="s">
        <v>1245</v>
      </c>
      <c r="AT24" t="s">
        <v>456</v>
      </c>
      <c r="AU24" t="s">
        <v>364</v>
      </c>
      <c r="AV24" s="20">
        <v>46470</v>
      </c>
      <c r="AW24" t="s">
        <v>457</v>
      </c>
      <c r="AX24" s="96">
        <v>8.8000000000000007</v>
      </c>
      <c r="AY24" t="s">
        <v>36</v>
      </c>
      <c r="AZ24">
        <v>100.31699999999999</v>
      </c>
      <c r="BA24" s="96">
        <v>400000000000</v>
      </c>
      <c r="BB24" s="96">
        <v>416344800758.02002</v>
      </c>
      <c r="BC24">
        <v>0</v>
      </c>
      <c r="BD24">
        <v>0</v>
      </c>
      <c r="BE24">
        <v>-9517222222.2199993</v>
      </c>
      <c r="BF24">
        <v>0.51</v>
      </c>
      <c r="BG24">
        <v>0.55000000000000004</v>
      </c>
      <c r="BH24">
        <v>0.73099999999999998</v>
      </c>
      <c r="BI24">
        <v>16344800758.02</v>
      </c>
      <c r="BJ24" s="14">
        <v>12658893867.58</v>
      </c>
      <c r="BK24" s="14">
        <v>12658893867.58</v>
      </c>
      <c r="BL24" s="63">
        <f>FNRP_PPCD[[#This Row],[Mat. Date]]-RPT</f>
        <v>208</v>
      </c>
      <c r="BM24" s="63" t="str">
        <f>IF(FNRP_PPCD[[#This Row],[Days]]&lt;=0,"Mat",_xlfn.XLOOKUP(FNRP_PPCD[[#This Row],[Days]],Ref!$D$1:$D$13,Ref!$C$1:$C$13,"Mat",1,1))</f>
        <v>1Y</v>
      </c>
      <c r="BN24" s="25" t="str">
        <f>IF(FNRP_PPCD[[#This Row],[Days]]&lt;=0,"",VLOOKUP(FNRP_PPCD[[#This Row],[Short Name]],AllDealps!C:D,2,0))</f>
        <v>TC_SHINSEI</v>
      </c>
      <c r="BO24" s="126">
        <f>SUMIFS(Ref!Q:Q,Ref!O:O,FNRP_PPCD[[#This Row],[Short Name]])</f>
        <v>0</v>
      </c>
      <c r="BP24" s="126">
        <f>IF(FNRP_PPCD[[#This Row],[Days]]=0,0,IF(FNRP_PPCD[[#This Row],[Nominal]]&lt;0,FNRP_PPCD[[#This Row],[Nominal]],MAX(0,FNRP_PPCD[[#This Row],[Nominal]]-FNRP_PPCD[[#This Row],[Đối ứng]])))</f>
        <v>400000000000</v>
      </c>
    </row>
    <row r="25" spans="2:75" x14ac:dyDescent="0.3">
      <c r="E25" s="14"/>
      <c r="F25" s="36"/>
      <c r="AQ25" t="s">
        <v>455</v>
      </c>
      <c r="AR25" t="s">
        <v>34</v>
      </c>
      <c r="AS25" t="s">
        <v>1258</v>
      </c>
      <c r="AT25" t="s">
        <v>456</v>
      </c>
      <c r="AU25" t="s">
        <v>364</v>
      </c>
      <c r="AV25" s="20">
        <v>46485</v>
      </c>
      <c r="AW25" t="s">
        <v>457</v>
      </c>
      <c r="AX25" s="96">
        <v>8.4</v>
      </c>
      <c r="AY25" t="s">
        <v>36</v>
      </c>
      <c r="AZ25">
        <v>100.136</v>
      </c>
      <c r="BA25" s="96">
        <v>2000000000000</v>
      </c>
      <c r="BB25" s="96">
        <v>-17178084873.4</v>
      </c>
      <c r="BC25">
        <v>0</v>
      </c>
      <c r="BD25">
        <v>0</v>
      </c>
      <c r="BE25" s="14">
        <v>-11120222252.120001</v>
      </c>
      <c r="BF25">
        <v>0.55000000000000004</v>
      </c>
      <c r="BG25">
        <v>0.59</v>
      </c>
      <c r="BH25">
        <v>0.80700000000000005</v>
      </c>
      <c r="BI25" s="14">
        <v>24347693775.57</v>
      </c>
      <c r="BJ25" s="14">
        <v>12658893867.58</v>
      </c>
      <c r="BK25" s="14">
        <v>12658893867.58</v>
      </c>
      <c r="BL25" s="63">
        <f>FNRP_PPCD[[#This Row],[Mat. Date]]-RPT</f>
        <v>223</v>
      </c>
      <c r="BM25" s="63" t="str">
        <f>IF(FNRP_PPCD[[#This Row],[Days]]&lt;=0,"Mat",_xlfn.XLOOKUP(FNRP_PPCD[[#This Row],[Days]],Ref!$D$1:$D$13,Ref!$C$1:$C$13,"Mat",1,1))</f>
        <v>1Y</v>
      </c>
      <c r="BN25" s="25" t="str">
        <f>IF(FNRP_PPCD[[#This Row],[Days]]&lt;=0,"",VLOOKUP(FNRP_PPCD[[#This Row],[Short Name]],AllDealps!C:D,2,0))</f>
        <v>VPVN</v>
      </c>
      <c r="BO25" s="126">
        <f>SUMIFS(Ref!Q:Q,Ref!O:O,FNRP_PPCD[[#This Row],[Short Name]])</f>
        <v>0</v>
      </c>
      <c r="BP25" s="126">
        <f>IF(FNRP_PPCD[[#This Row],[Days]]=0,0,IF(FNRP_PPCD[[#This Row],[Nominal]]&lt;0,FNRP_PPCD[[#This Row],[Nominal]],MAX(0,FNRP_PPCD[[#This Row],[Nominal]]-FNRP_PPCD[[#This Row],[Đối ứng]])))</f>
        <v>2000000000000</v>
      </c>
    </row>
    <row r="26" spans="2:75" x14ac:dyDescent="0.3">
      <c r="E26" s="14"/>
      <c r="F26" s="36"/>
      <c r="AQ26" t="s">
        <v>455</v>
      </c>
      <c r="AR26" t="s">
        <v>34</v>
      </c>
      <c r="AS26" t="s">
        <v>1256</v>
      </c>
      <c r="AT26" t="s">
        <v>456</v>
      </c>
      <c r="AU26" t="s">
        <v>364</v>
      </c>
      <c r="AV26" s="20">
        <v>46486</v>
      </c>
      <c r="AW26" t="s">
        <v>457</v>
      </c>
      <c r="AX26" s="96">
        <v>8.6999999999999993</v>
      </c>
      <c r="AY26" t="s">
        <v>36</v>
      </c>
      <c r="AZ26">
        <v>100.29600000000001</v>
      </c>
      <c r="BA26" s="96">
        <v>200000000000</v>
      </c>
      <c r="BB26" s="96">
        <v>207568195287.95999</v>
      </c>
      <c r="BC26">
        <v>0</v>
      </c>
      <c r="BD26">
        <v>0</v>
      </c>
      <c r="BE26" s="14">
        <v>-2124825784.4300001</v>
      </c>
      <c r="BF26">
        <v>0.55000000000000004</v>
      </c>
      <c r="BG26">
        <v>0.59</v>
      </c>
      <c r="BH26">
        <v>0.81200000000000006</v>
      </c>
      <c r="BI26" s="14">
        <v>4541146931.9799995</v>
      </c>
      <c r="BJ26" s="14">
        <v>12658893867.58</v>
      </c>
      <c r="BK26" s="14">
        <v>12658893867.58</v>
      </c>
      <c r="BL26" s="63">
        <f>FNRP_PPCD[[#This Row],[Mat. Date]]-RPT</f>
        <v>224</v>
      </c>
      <c r="BM26" s="63" t="str">
        <f>IF(FNRP_PPCD[[#This Row],[Days]]&lt;=0,"Mat",_xlfn.XLOOKUP(FNRP_PPCD[[#This Row],[Days]],Ref!$D$1:$D$13,Ref!$C$1:$C$13,"Mat",1,1))</f>
        <v>1Y</v>
      </c>
      <c r="BN26" s="25" t="str">
        <f>IF(FNRP_PPCD[[#This Row],[Days]]&lt;=0,"",VLOOKUP(FNRP_PPCD[[#This Row],[Short Name]],AllDealps!C:D,2,0))</f>
        <v>ACBV</v>
      </c>
      <c r="BO26" s="126">
        <f>SUMIFS(Ref!Q:Q,Ref!O:O,FNRP_PPCD[[#This Row],[Short Name]])</f>
        <v>0</v>
      </c>
      <c r="BP26" s="126">
        <f>IF(FNRP_PPCD[[#This Row],[Days]]=0,0,IF(FNRP_PPCD[[#This Row],[Nominal]]&lt;0,FNRP_PPCD[[#This Row],[Nominal]],MAX(0,FNRP_PPCD[[#This Row],[Nominal]]-FNRP_PPCD[[#This Row],[Đối ứng]])))</f>
        <v>200000000000</v>
      </c>
    </row>
    <row r="27" spans="2:75" x14ac:dyDescent="0.3">
      <c r="E27" s="14"/>
      <c r="F27" s="36"/>
      <c r="AQ27" t="s">
        <v>455</v>
      </c>
      <c r="AR27" t="s">
        <v>34</v>
      </c>
      <c r="AS27" t="s">
        <v>1239</v>
      </c>
      <c r="AT27" t="s">
        <v>456</v>
      </c>
      <c r="AU27" t="s">
        <v>364</v>
      </c>
      <c r="AV27" s="20">
        <v>46493</v>
      </c>
      <c r="AW27" t="s">
        <v>457</v>
      </c>
      <c r="AX27" s="96">
        <v>8.9</v>
      </c>
      <c r="AY27" t="s">
        <v>36</v>
      </c>
      <c r="AZ27">
        <v>100.392</v>
      </c>
      <c r="BA27" s="96">
        <v>300000000000</v>
      </c>
      <c r="BB27" s="96">
        <v>313637024562.31</v>
      </c>
      <c r="BC27">
        <v>0</v>
      </c>
      <c r="BD27">
        <v>0</v>
      </c>
      <c r="BE27" s="14">
        <v>-4907866400.79</v>
      </c>
      <c r="BF27">
        <v>0.56999999999999995</v>
      </c>
      <c r="BG27">
        <v>0.61</v>
      </c>
      <c r="BH27">
        <v>0.84799999999999998</v>
      </c>
      <c r="BI27" s="14">
        <v>2579287099.1799998</v>
      </c>
      <c r="BJ27" s="14">
        <v>12658893867.58</v>
      </c>
      <c r="BK27" s="14">
        <v>12658893867.58</v>
      </c>
      <c r="BL27" s="63">
        <f>FNRP_PPCD[[#This Row],[Mat. Date]]-RPT</f>
        <v>231</v>
      </c>
      <c r="BM27" s="63" t="str">
        <f>IF(FNRP_PPCD[[#This Row],[Days]]&lt;=0,"Mat",_xlfn.XLOOKUP(FNRP_PPCD[[#This Row],[Days]],Ref!$D$1:$D$13,Ref!$C$1:$C$13,"Mat",1,1))</f>
        <v>1Y</v>
      </c>
      <c r="BN27" s="25" t="str">
        <f>IF(FNRP_PPCD[[#This Row],[Days]]&lt;=0,"",VLOOKUP(FNRP_PPCD[[#This Row],[Short Name]],AllDealps!C:D,2,0))</f>
        <v>TC_DIENLUC</v>
      </c>
      <c r="BO27" s="126">
        <f>SUMIFS(Ref!Q:Q,Ref!O:O,FNRP_PPCD[[#This Row],[Short Name]])</f>
        <v>0</v>
      </c>
      <c r="BP27" s="126">
        <f>IF(FNRP_PPCD[[#This Row],[Days]]=0,0,IF(FNRP_PPCD[[#This Row],[Nominal]]&lt;0,FNRP_PPCD[[#This Row],[Nominal]],MAX(0,FNRP_PPCD[[#This Row],[Nominal]]-FNRP_PPCD[[#This Row],[Đối ứng]])))</f>
        <v>300000000000</v>
      </c>
    </row>
    <row r="28" spans="2:75" x14ac:dyDescent="0.3">
      <c r="E28" s="43"/>
      <c r="AQ28" t="s">
        <v>455</v>
      </c>
      <c r="AR28" t="s">
        <v>34</v>
      </c>
      <c r="AS28" t="s">
        <v>1261</v>
      </c>
      <c r="AT28" t="s">
        <v>456</v>
      </c>
      <c r="AU28" t="s">
        <v>364</v>
      </c>
      <c r="AV28" s="20">
        <v>46496</v>
      </c>
      <c r="AW28" t="s">
        <v>457</v>
      </c>
      <c r="AX28" s="96">
        <v>9.1</v>
      </c>
      <c r="AY28" t="s">
        <v>36</v>
      </c>
      <c r="AZ28">
        <v>100.55200000000001</v>
      </c>
      <c r="BA28" s="96">
        <v>400000000000</v>
      </c>
      <c r="BB28" s="96">
        <v>415710335748.45001</v>
      </c>
      <c r="BC28">
        <v>0</v>
      </c>
      <c r="BD28">
        <v>0</v>
      </c>
      <c r="BE28">
        <v>-8075555555.5600004</v>
      </c>
      <c r="BF28">
        <v>0.57999999999999996</v>
      </c>
      <c r="BG28">
        <v>0.62</v>
      </c>
      <c r="BH28">
        <v>0.86399999999999999</v>
      </c>
      <c r="BI28">
        <v>15710335748.450001</v>
      </c>
      <c r="BJ28" s="14">
        <v>12658893867.58</v>
      </c>
      <c r="BK28" s="14">
        <v>12658893867.58</v>
      </c>
      <c r="BL28" s="63">
        <f>FNRP_PPCD[[#This Row],[Mat. Date]]-RPT</f>
        <v>234</v>
      </c>
      <c r="BM28" s="63" t="str">
        <f>IF(FNRP_PPCD[[#This Row],[Days]]&lt;=0,"Mat",_xlfn.XLOOKUP(FNRP_PPCD[[#This Row],[Days]],Ref!$D$1:$D$13,Ref!$C$1:$C$13,"Mat",1,1))</f>
        <v>1Y</v>
      </c>
      <c r="BN28" s="25" t="str">
        <f>IF(FNRP_PPCD[[#This Row],[Days]]&lt;=0,"",VLOOKUP(FNRP_PPCD[[#This Row],[Short Name]],AllDealps!C:D,2,0))</f>
        <v>HCVN</v>
      </c>
      <c r="BO28" s="126">
        <f>SUMIFS(Ref!Q:Q,Ref!O:O,FNRP_PPCD[[#This Row],[Short Name]])</f>
        <v>0</v>
      </c>
      <c r="BP28" s="126">
        <f>IF(FNRP_PPCD[[#This Row],[Days]]=0,0,IF(FNRP_PPCD[[#This Row],[Nominal]]&lt;0,FNRP_PPCD[[#This Row],[Nominal]],MAX(0,FNRP_PPCD[[#This Row],[Nominal]]-FNRP_PPCD[[#This Row],[Đối ứng]])))</f>
        <v>400000000000</v>
      </c>
    </row>
    <row r="29" spans="2:75" x14ac:dyDescent="0.3">
      <c r="AQ29" t="s">
        <v>455</v>
      </c>
      <c r="AR29" t="s">
        <v>34</v>
      </c>
      <c r="AS29" t="s">
        <v>1244</v>
      </c>
      <c r="AT29" t="s">
        <v>456</v>
      </c>
      <c r="AU29" t="s">
        <v>364</v>
      </c>
      <c r="AV29" s="20">
        <v>46503</v>
      </c>
      <c r="AW29" t="s">
        <v>457</v>
      </c>
      <c r="AX29" s="96">
        <v>9</v>
      </c>
      <c r="AY29" t="s">
        <v>36</v>
      </c>
      <c r="AZ29">
        <v>100.477</v>
      </c>
      <c r="BA29" s="96">
        <v>100000000000</v>
      </c>
      <c r="BB29" s="96">
        <v>104480386554.78</v>
      </c>
      <c r="BC29">
        <v>0</v>
      </c>
      <c r="BD29">
        <v>0</v>
      </c>
      <c r="BE29">
        <v>-1840855722.3199999</v>
      </c>
      <c r="BF29">
        <v>0.59</v>
      </c>
      <c r="BG29">
        <v>0.64</v>
      </c>
      <c r="BH29">
        <v>0.90100000000000002</v>
      </c>
      <c r="BI29">
        <v>3528750054.79</v>
      </c>
      <c r="BJ29" s="14">
        <v>12658893867.58</v>
      </c>
      <c r="BK29" s="14">
        <v>12658893867.58</v>
      </c>
      <c r="BL29" s="63">
        <f>FNRP_PPCD[[#This Row],[Mat. Date]]-RPT</f>
        <v>241</v>
      </c>
      <c r="BM29" s="63" t="str">
        <f>IF(FNRP_PPCD[[#This Row],[Days]]&lt;=0,"Mat",_xlfn.XLOOKUP(FNRP_PPCD[[#This Row],[Days]],Ref!$D$1:$D$13,Ref!$C$1:$C$13,"Mat",1,1))</f>
        <v>1Y</v>
      </c>
      <c r="BN29" s="25" t="str">
        <f>IF(FNRP_PPCD[[#This Row],[Days]]&lt;=0,"",VLOOKUP(FNRP_PPCD[[#This Row],[Short Name]],AllDealps!C:D,2,0))</f>
        <v>TC_DIENLUC</v>
      </c>
      <c r="BO29" s="126">
        <f>SUMIFS(Ref!Q:Q,Ref!O:O,FNRP_PPCD[[#This Row],[Short Name]])</f>
        <v>0</v>
      </c>
      <c r="BP29" s="126">
        <f>IF(FNRP_PPCD[[#This Row],[Days]]=0,0,IF(FNRP_PPCD[[#This Row],[Nominal]]&lt;0,FNRP_PPCD[[#This Row],[Nominal]],MAX(0,FNRP_PPCD[[#This Row],[Nominal]]-FNRP_PPCD[[#This Row],[Đối ứng]])))</f>
        <v>100000000000</v>
      </c>
    </row>
    <row r="30" spans="2:75" x14ac:dyDescent="0.3">
      <c r="AQ30" t="s">
        <v>455</v>
      </c>
      <c r="AR30" t="s">
        <v>34</v>
      </c>
      <c r="AS30" t="s">
        <v>1275</v>
      </c>
      <c r="AT30" t="s">
        <v>456</v>
      </c>
      <c r="AU30" t="s">
        <v>364</v>
      </c>
      <c r="AV30" s="20">
        <v>46520</v>
      </c>
      <c r="AW30" t="s">
        <v>457</v>
      </c>
      <c r="AX30" s="96">
        <v>8.6999999999999993</v>
      </c>
      <c r="AY30" t="s">
        <v>36</v>
      </c>
      <c r="AZ30">
        <v>100.383</v>
      </c>
      <c r="BA30" s="96">
        <v>800000000000</v>
      </c>
      <c r="BB30" s="96">
        <v>209571264801.92999</v>
      </c>
      <c r="BC30">
        <v>0</v>
      </c>
      <c r="BD30">
        <v>0</v>
      </c>
      <c r="BE30">
        <v>-12443813522.33</v>
      </c>
      <c r="BF30">
        <v>0.64</v>
      </c>
      <c r="BG30">
        <v>0.69</v>
      </c>
      <c r="BH30">
        <v>0.995</v>
      </c>
      <c r="BI30">
        <v>21420897902.200001</v>
      </c>
      <c r="BJ30" s="14">
        <v>12658893867.58</v>
      </c>
      <c r="BK30" s="14">
        <v>12658893867.58</v>
      </c>
      <c r="BL30" s="63">
        <f>FNRP_PPCD[[#This Row],[Mat. Date]]-RPT</f>
        <v>258</v>
      </c>
      <c r="BM30" s="63" t="str">
        <f>IF(FNRP_PPCD[[#This Row],[Days]]&lt;=0,"Mat",_xlfn.XLOOKUP(FNRP_PPCD[[#This Row],[Days]],Ref!$D$1:$D$13,Ref!$C$1:$C$13,"Mat",1,1))</f>
        <v>1Y</v>
      </c>
      <c r="BN30" s="25" t="str">
        <f>IF(FNRP_PPCD[[#This Row],[Days]]&lt;=0,"",VLOOKUP(FNRP_PPCD[[#This Row],[Short Name]],AllDealps!C:D,2,0))</f>
        <v>VIETBANK</v>
      </c>
      <c r="BO30" s="126">
        <f>SUMIFS(Ref!Q:Q,Ref!O:O,FNRP_PPCD[[#This Row],[Short Name]])</f>
        <v>0</v>
      </c>
      <c r="BP30" s="126">
        <f>IF(FNRP_PPCD[[#This Row],[Days]]=0,0,IF(FNRP_PPCD[[#This Row],[Nominal]]&lt;0,FNRP_PPCD[[#This Row],[Nominal]],MAX(0,FNRP_PPCD[[#This Row],[Nominal]]-FNRP_PPCD[[#This Row],[Đối ứng]])))</f>
        <v>800000000000</v>
      </c>
    </row>
    <row r="31" spans="2:75" x14ac:dyDescent="0.3">
      <c r="AQ31" t="s">
        <v>455</v>
      </c>
      <c r="AR31" t="s">
        <v>34</v>
      </c>
      <c r="AS31" t="s">
        <v>1260</v>
      </c>
      <c r="AT31" t="s">
        <v>456</v>
      </c>
      <c r="AU31" t="s">
        <v>364</v>
      </c>
      <c r="AV31" s="20">
        <v>46524</v>
      </c>
      <c r="AW31" t="s">
        <v>457</v>
      </c>
      <c r="AX31" s="96">
        <v>9.5</v>
      </c>
      <c r="AY31" t="s">
        <v>36</v>
      </c>
      <c r="AZ31">
        <v>100.869</v>
      </c>
      <c r="BA31" s="96">
        <v>400000000000</v>
      </c>
      <c r="BB31" s="96">
        <v>407463367232.72998</v>
      </c>
      <c r="BC31">
        <v>0</v>
      </c>
      <c r="BD31">
        <v>0</v>
      </c>
      <c r="BE31">
        <v>-5056683911.1099997</v>
      </c>
      <c r="BF31">
        <v>0.65</v>
      </c>
      <c r="BG31">
        <v>0.7</v>
      </c>
      <c r="BH31">
        <v>1.0169999999999999</v>
      </c>
      <c r="BI31">
        <v>4883531146.5799999</v>
      </c>
      <c r="BJ31" s="14">
        <v>12658893867.58</v>
      </c>
      <c r="BK31" s="14">
        <v>12658893867.58</v>
      </c>
      <c r="BL31" s="63">
        <f>FNRP_PPCD[[#This Row],[Mat. Date]]-RPT</f>
        <v>262</v>
      </c>
      <c r="BM31" s="63" t="str">
        <f>IF(FNRP_PPCD[[#This Row],[Days]]&lt;=0,"Mat",_xlfn.XLOOKUP(FNRP_PPCD[[#This Row],[Days]],Ref!$D$1:$D$13,Ref!$C$1:$C$13,"Mat",1,1))</f>
        <v>1Y</v>
      </c>
      <c r="BN31" s="25" t="str">
        <f>IF(FNRP_PPCD[[#This Row],[Days]]&lt;=0,"",VLOOKUP(FNRP_PPCD[[#This Row],[Short Name]],AllDealps!C:D,2,0))</f>
        <v>TC_DIENLUC</v>
      </c>
      <c r="BO31" s="126">
        <f>SUMIFS(Ref!Q:Q,Ref!O:O,FNRP_PPCD[[#This Row],[Short Name]])</f>
        <v>0</v>
      </c>
      <c r="BP31" s="126">
        <f>IF(FNRP_PPCD[[#This Row],[Days]]=0,0,IF(FNRP_PPCD[[#This Row],[Nominal]]&lt;0,FNRP_PPCD[[#This Row],[Nominal]],MAX(0,FNRP_PPCD[[#This Row],[Nominal]]-FNRP_PPCD[[#This Row],[Đối ứng]])))</f>
        <v>400000000000</v>
      </c>
    </row>
    <row r="32" spans="2:75" x14ac:dyDescent="0.3">
      <c r="AQ32" t="s">
        <v>455</v>
      </c>
      <c r="AR32" t="s">
        <v>34</v>
      </c>
      <c r="AS32" t="s">
        <v>1514</v>
      </c>
      <c r="AT32" t="s">
        <v>456</v>
      </c>
      <c r="AU32" t="s">
        <v>364</v>
      </c>
      <c r="AV32" s="20">
        <v>46525</v>
      </c>
      <c r="AW32" t="s">
        <v>457</v>
      </c>
      <c r="AX32" s="96">
        <v>9.3000000000000007</v>
      </c>
      <c r="AY32" t="s">
        <v>36</v>
      </c>
      <c r="AZ32">
        <v>100.96599999999999</v>
      </c>
      <c r="BA32" s="96">
        <v>400000000000</v>
      </c>
      <c r="BB32" s="96">
        <v>405441217127.17999</v>
      </c>
      <c r="BC32">
        <v>0</v>
      </c>
      <c r="BD32">
        <v>0</v>
      </c>
      <c r="BE32" s="14">
        <v>-508888888.88999999</v>
      </c>
      <c r="BF32">
        <v>0.64</v>
      </c>
      <c r="BG32">
        <v>0.69</v>
      </c>
      <c r="BH32">
        <v>1.0109999999999999</v>
      </c>
      <c r="BI32" s="14">
        <v>5441217127.1800003</v>
      </c>
      <c r="BJ32" s="14">
        <v>12658893867.58</v>
      </c>
      <c r="BK32" s="14">
        <v>12658893867.58</v>
      </c>
      <c r="BL32" s="63">
        <f>FNRP_PPCD[[#This Row],[Mat. Date]]-RPT</f>
        <v>263</v>
      </c>
      <c r="BM32" s="63" t="str">
        <f>IF(FNRP_PPCD[[#This Row],[Days]]&lt;=0,"Mat",_xlfn.XLOOKUP(FNRP_PPCD[[#This Row],[Days]],Ref!$D$1:$D$13,Ref!$C$1:$C$13,"Mat",1,1))</f>
        <v>1Y</v>
      </c>
      <c r="BN32" s="25" t="str">
        <f>IF(FNRP_PPCD[[#This Row],[Days]]&lt;=0,"",VLOOKUP(FNRP_PPCD[[#This Row],[Short Name]],AllDealps!C:D,2,0))</f>
        <v>VIETBANK</v>
      </c>
      <c r="BO32" s="126">
        <f>SUMIFS(Ref!Q:Q,Ref!O:O,FNRP_PPCD[[#This Row],[Short Name]])</f>
        <v>0</v>
      </c>
      <c r="BP32" s="126">
        <f>IF(FNRP_PPCD[[#This Row],[Days]]=0,0,IF(FNRP_PPCD[[#This Row],[Nominal]]&lt;0,FNRP_PPCD[[#This Row],[Nominal]],MAX(0,FNRP_PPCD[[#This Row],[Nominal]]-FNRP_PPCD[[#This Row],[Đối ứng]])))</f>
        <v>400000000000</v>
      </c>
    </row>
    <row r="33" spans="43:68" x14ac:dyDescent="0.3">
      <c r="AQ33" t="s">
        <v>455</v>
      </c>
      <c r="AR33" t="s">
        <v>34</v>
      </c>
      <c r="AS33" t="s">
        <v>1517</v>
      </c>
      <c r="AT33" t="s">
        <v>456</v>
      </c>
      <c r="AU33" t="s">
        <v>364</v>
      </c>
      <c r="AV33" s="20">
        <v>46525</v>
      </c>
      <c r="AW33" t="s">
        <v>457</v>
      </c>
      <c r="AX33">
        <v>9.3000000000000007</v>
      </c>
      <c r="AY33" t="s">
        <v>36</v>
      </c>
      <c r="AZ33">
        <v>100.96599999999999</v>
      </c>
      <c r="BA33">
        <v>900000000000</v>
      </c>
      <c r="BB33">
        <v>912242738536.15002</v>
      </c>
      <c r="BC33">
        <v>0</v>
      </c>
      <c r="BD33">
        <v>0</v>
      </c>
      <c r="BE33">
        <v>-1145000000</v>
      </c>
      <c r="BF33">
        <v>0.64</v>
      </c>
      <c r="BG33">
        <v>0.69</v>
      </c>
      <c r="BH33">
        <v>1.0109999999999999</v>
      </c>
      <c r="BI33">
        <v>12242738536.15</v>
      </c>
      <c r="BJ33" s="14">
        <v>12658893867.58</v>
      </c>
      <c r="BK33" s="14">
        <v>12658893867.58</v>
      </c>
      <c r="BL33" s="63">
        <f>FNRP_PPCD[[#This Row],[Mat. Date]]-RPT</f>
        <v>263</v>
      </c>
      <c r="BM33" s="63" t="str">
        <f>IF(FNRP_PPCD[[#This Row],[Days]]&lt;=0,"Mat",_xlfn.XLOOKUP(FNRP_PPCD[[#This Row],[Days]],Ref!$D$1:$D$13,Ref!$C$1:$C$13,"Mat",1,1))</f>
        <v>1Y</v>
      </c>
      <c r="BN33" s="25" t="str">
        <f>IF(FNRP_PPCD[[#This Row],[Days]]&lt;=0,"",VLOOKUP(FNRP_PPCD[[#This Row],[Short Name]],AllDealps!C:D,2,0))</f>
        <v>VIETBANK</v>
      </c>
      <c r="BO33" s="126">
        <f>SUMIFS(Ref!Q:Q,Ref!O:O,FNRP_PPCD[[#This Row],[Short Name]])</f>
        <v>0</v>
      </c>
      <c r="BP33" s="126">
        <f>IF(FNRP_PPCD[[#This Row],[Days]]=0,0,IF(FNRP_PPCD[[#This Row],[Nominal]]&lt;0,FNRP_PPCD[[#This Row],[Nominal]],MAX(0,FNRP_PPCD[[#This Row],[Nominal]]-FNRP_PPCD[[#This Row],[Đối ứng]])))</f>
        <v>900000000000</v>
      </c>
    </row>
    <row r="34" spans="43:68" x14ac:dyDescent="0.3">
      <c r="AQ34" t="s">
        <v>455</v>
      </c>
      <c r="AR34" t="s">
        <v>34</v>
      </c>
      <c r="AS34" t="s">
        <v>1292</v>
      </c>
      <c r="AT34" t="s">
        <v>456</v>
      </c>
      <c r="AU34" t="s">
        <v>364</v>
      </c>
      <c r="AV34" s="20">
        <v>46527</v>
      </c>
      <c r="AW34" t="s">
        <v>457</v>
      </c>
      <c r="AX34" s="96">
        <v>8.5</v>
      </c>
      <c r="AY34" t="s">
        <v>36</v>
      </c>
      <c r="AZ34">
        <v>100.27200000000001</v>
      </c>
      <c r="BA34" s="96">
        <v>2000000000000</v>
      </c>
      <c r="BB34" s="96">
        <v>2054012130531.2</v>
      </c>
      <c r="BC34">
        <v>0</v>
      </c>
      <c r="BD34">
        <v>0</v>
      </c>
      <c r="BE34" s="14">
        <v>-23049800862.880001</v>
      </c>
      <c r="BF34">
        <v>0.65</v>
      </c>
      <c r="BG34">
        <v>0.71</v>
      </c>
      <c r="BH34">
        <v>1.034</v>
      </c>
      <c r="BI34" s="14">
        <v>43769669681.160004</v>
      </c>
      <c r="BJ34" s="14">
        <v>12658893867.58</v>
      </c>
      <c r="BK34" s="14">
        <v>12658893867.58</v>
      </c>
      <c r="BL34" s="63">
        <f>FNRP_PPCD[[#This Row],[Mat. Date]]-RPT</f>
        <v>265</v>
      </c>
      <c r="BM34" s="63" t="str">
        <f>IF(FNRP_PPCD[[#This Row],[Days]]&lt;=0,"Mat",_xlfn.XLOOKUP(FNRP_PPCD[[#This Row],[Days]],Ref!$D$1:$D$13,Ref!$C$1:$C$13,"Mat",1,1))</f>
        <v>1Y</v>
      </c>
      <c r="BN34" s="25" t="str">
        <f>IF(FNRP_PPCD[[#This Row],[Days]]&lt;=0,"",VLOOKUP(FNRP_PPCD[[#This Row],[Short Name]],AllDealps!C:D,2,0))</f>
        <v>SABH</v>
      </c>
      <c r="BO34" s="126">
        <f>SUMIFS(Ref!Q:Q,Ref!O:O,FNRP_PPCD[[#This Row],[Short Name]])</f>
        <v>0</v>
      </c>
      <c r="BP34" s="126">
        <f>IF(FNRP_PPCD[[#This Row],[Days]]=0,0,IF(FNRP_PPCD[[#This Row],[Nominal]]&lt;0,FNRP_PPCD[[#This Row],[Nominal]],MAX(0,FNRP_PPCD[[#This Row],[Nominal]]-FNRP_PPCD[[#This Row],[Đối ứng]])))</f>
        <v>2000000000000</v>
      </c>
    </row>
    <row r="35" spans="43:68" x14ac:dyDescent="0.3">
      <c r="AQ35" t="s">
        <v>455</v>
      </c>
      <c r="AR35" t="s">
        <v>34</v>
      </c>
      <c r="AS35" t="s">
        <v>1382</v>
      </c>
      <c r="AT35" t="s">
        <v>456</v>
      </c>
      <c r="AU35" t="s">
        <v>364</v>
      </c>
      <c r="AV35" s="20">
        <v>46563</v>
      </c>
      <c r="AW35" t="s">
        <v>457</v>
      </c>
      <c r="AX35" s="96">
        <v>9</v>
      </c>
      <c r="AY35" t="s">
        <v>36</v>
      </c>
      <c r="AZ35">
        <v>100.723</v>
      </c>
      <c r="BA35" s="96">
        <v>1000000000000</v>
      </c>
      <c r="BB35" s="96">
        <v>4912588225.8900003</v>
      </c>
      <c r="BC35">
        <v>0</v>
      </c>
      <c r="BD35">
        <v>0</v>
      </c>
      <c r="BE35" s="14">
        <v>-2032406350.3199999</v>
      </c>
      <c r="BF35">
        <v>0.75</v>
      </c>
      <c r="BG35">
        <v>0.81</v>
      </c>
      <c r="BH35">
        <v>1.2470000000000001</v>
      </c>
      <c r="BI35" s="14">
        <v>12597243226.17</v>
      </c>
      <c r="BJ35" s="14">
        <v>12658893867.58</v>
      </c>
      <c r="BK35" s="14">
        <v>12658893867.58</v>
      </c>
      <c r="BL35" s="63">
        <f>FNRP_PPCD[[#This Row],[Mat. Date]]-RPT</f>
        <v>301</v>
      </c>
      <c r="BM35" s="63" t="str">
        <f>IF(FNRP_PPCD[[#This Row],[Days]]&lt;=0,"Mat",_xlfn.XLOOKUP(FNRP_PPCD[[#This Row],[Days]],Ref!$D$1:$D$13,Ref!$C$1:$C$13,"Mat",1,1))</f>
        <v>1Y</v>
      </c>
      <c r="BN35" s="25" t="str">
        <f>IF(FNRP_PPCD[[#This Row],[Days]]&lt;=0,"",VLOOKUP(FNRP_PPCD[[#This Row],[Short Name]],AllDealps!C:D,2,0))</f>
        <v>EIBV</v>
      </c>
      <c r="BO35" s="126">
        <f>SUMIFS(Ref!Q:Q,Ref!O:O,FNRP_PPCD[[#This Row],[Short Name]])</f>
        <v>0</v>
      </c>
      <c r="BP35" s="126">
        <f>IF(FNRP_PPCD[[#This Row],[Days]]=0,0,IF(FNRP_PPCD[[#This Row],[Nominal]]&lt;0,FNRP_PPCD[[#This Row],[Nominal]],MAX(0,FNRP_PPCD[[#This Row],[Nominal]]-FNRP_PPCD[[#This Row],[Đối ứng]])))</f>
        <v>1000000000000</v>
      </c>
    </row>
    <row r="36" spans="43:68" x14ac:dyDescent="0.3">
      <c r="AQ36" t="s">
        <v>455</v>
      </c>
      <c r="AR36" t="s">
        <v>34</v>
      </c>
      <c r="AS36" t="s">
        <v>1507</v>
      </c>
      <c r="AT36" t="s">
        <v>456</v>
      </c>
      <c r="AU36" t="s">
        <v>364</v>
      </c>
      <c r="AV36" s="20">
        <v>46604</v>
      </c>
      <c r="AW36" t="s">
        <v>457</v>
      </c>
      <c r="AX36" s="96">
        <v>9.1</v>
      </c>
      <c r="AY36" t="s">
        <v>36</v>
      </c>
      <c r="AZ36">
        <v>100.93300000000001</v>
      </c>
      <c r="BA36" s="96">
        <v>1000000000000</v>
      </c>
      <c r="BB36" s="96">
        <v>512401494685.21997</v>
      </c>
      <c r="BC36">
        <v>0</v>
      </c>
      <c r="BD36">
        <v>0</v>
      </c>
      <c r="BE36">
        <v>-1151390682.1800001</v>
      </c>
      <c r="BF36">
        <v>0.85</v>
      </c>
      <c r="BG36">
        <v>0.92</v>
      </c>
      <c r="BH36">
        <v>1.5089999999999999</v>
      </c>
      <c r="BI36">
        <v>12899833585.32</v>
      </c>
      <c r="BJ36" s="14">
        <v>12658893867.58</v>
      </c>
      <c r="BK36" s="14">
        <v>12658893867.58</v>
      </c>
      <c r="BL36" s="63">
        <f>FNRP_PPCD[[#This Row],[Mat. Date]]-RPT</f>
        <v>342</v>
      </c>
      <c r="BM36" s="63" t="str">
        <f>IF(FNRP_PPCD[[#This Row],[Days]]&lt;=0,"Mat",_xlfn.XLOOKUP(FNRP_PPCD[[#This Row],[Days]],Ref!$D$1:$D$13,Ref!$C$1:$C$13,"Mat",1,1))</f>
        <v>1Y</v>
      </c>
      <c r="BN36" s="25" t="str">
        <f>IF(FNRP_PPCD[[#This Row],[Days]]&lt;=0,"",VLOOKUP(FNRP_PPCD[[#This Row],[Short Name]],AllDealps!C:D,2,0))</f>
        <v>SGTT</v>
      </c>
      <c r="BO36" s="126">
        <f>SUMIFS(Ref!Q:Q,Ref!O:O,FNRP_PPCD[[#This Row],[Short Name]])</f>
        <v>0</v>
      </c>
      <c r="BP36" s="126">
        <f>IF(FNRP_PPCD[[#This Row],[Days]]=0,0,IF(FNRP_PPCD[[#This Row],[Nominal]]&lt;0,FNRP_PPCD[[#This Row],[Nominal]],MAX(0,FNRP_PPCD[[#This Row],[Nominal]]-FNRP_PPCD[[#This Row],[Đối ứng]])))</f>
        <v>1000000000000</v>
      </c>
    </row>
    <row r="37" spans="43:68" x14ac:dyDescent="0.3">
      <c r="AQ37" t="s">
        <v>455</v>
      </c>
      <c r="AR37" t="s">
        <v>34</v>
      </c>
      <c r="AS37" t="s">
        <v>1508</v>
      </c>
      <c r="AT37" t="s">
        <v>456</v>
      </c>
      <c r="AU37" t="s">
        <v>364</v>
      </c>
      <c r="AV37" s="20">
        <v>46605</v>
      </c>
      <c r="AW37" t="s">
        <v>457</v>
      </c>
      <c r="AX37" s="96">
        <v>9.8000000000000007</v>
      </c>
      <c r="AY37" t="s">
        <v>36</v>
      </c>
      <c r="AZ37">
        <v>101.532</v>
      </c>
      <c r="BA37" s="96">
        <v>200000000000</v>
      </c>
      <c r="BB37" s="96">
        <v>204166552690</v>
      </c>
      <c r="BC37">
        <v>0</v>
      </c>
      <c r="BD37">
        <v>0</v>
      </c>
      <c r="BE37" s="14">
        <v>-392777777.77999997</v>
      </c>
      <c r="BF37">
        <v>0.85</v>
      </c>
      <c r="BG37">
        <v>0.92</v>
      </c>
      <c r="BH37">
        <v>1.516</v>
      </c>
      <c r="BI37" s="14">
        <v>4166552690</v>
      </c>
      <c r="BJ37" s="14">
        <v>12658893867.58</v>
      </c>
      <c r="BK37" s="14">
        <v>12658893867.58</v>
      </c>
      <c r="BL37" s="63">
        <f>FNRP_PPCD[[#This Row],[Mat. Date]]-RPT</f>
        <v>343</v>
      </c>
      <c r="BM37" s="63" t="str">
        <f>IF(FNRP_PPCD[[#This Row],[Days]]&lt;=0,"Mat",_xlfn.XLOOKUP(FNRP_PPCD[[#This Row],[Days]],Ref!$D$1:$D$13,Ref!$C$1:$C$13,"Mat",1,1))</f>
        <v>1Y</v>
      </c>
      <c r="BN37" s="25" t="str">
        <f>IF(FNRP_PPCD[[#This Row],[Days]]&lt;=0,"",VLOOKUP(FNRP_PPCD[[#This Row],[Short Name]],AllDealps!C:D,2,0))</f>
        <v>TC_SHINSEI</v>
      </c>
      <c r="BO37" s="126">
        <f>SUMIFS(Ref!Q:Q,Ref!O:O,FNRP_PPCD[[#This Row],[Short Name]])</f>
        <v>0</v>
      </c>
      <c r="BP37" s="126">
        <f>IF(FNRP_PPCD[[#This Row],[Days]]=0,0,IF(FNRP_PPCD[[#This Row],[Nominal]]&lt;0,FNRP_PPCD[[#This Row],[Nominal]],MAX(0,FNRP_PPCD[[#This Row],[Nominal]]-FNRP_PPCD[[#This Row],[Đối ứng]])))</f>
        <v>200000000000</v>
      </c>
    </row>
    <row r="38" spans="43:68" x14ac:dyDescent="0.3">
      <c r="AQ38" t="s">
        <v>455</v>
      </c>
      <c r="AR38" t="s">
        <v>34</v>
      </c>
      <c r="AS38" t="s">
        <v>1515</v>
      </c>
      <c r="AT38" t="s">
        <v>456</v>
      </c>
      <c r="AU38" t="s">
        <v>364</v>
      </c>
      <c r="AV38">
        <v>46615</v>
      </c>
      <c r="AW38" t="s">
        <v>457</v>
      </c>
      <c r="AX38">
        <v>9.1</v>
      </c>
      <c r="AY38" t="s">
        <v>36</v>
      </c>
      <c r="AZ38">
        <v>100.958</v>
      </c>
      <c r="BA38">
        <v>1000000000000</v>
      </c>
      <c r="BB38">
        <v>10369670972.66</v>
      </c>
      <c r="BC38">
        <v>0</v>
      </c>
      <c r="BD38">
        <v>0</v>
      </c>
      <c r="BE38">
        <v>-424310000.85000002</v>
      </c>
      <c r="BF38">
        <v>0.88</v>
      </c>
      <c r="BG38">
        <v>0.95</v>
      </c>
      <c r="BH38">
        <v>1.583</v>
      </c>
      <c r="BI38">
        <v>11055857973.26</v>
      </c>
      <c r="BJ38" s="14">
        <v>12658893867.58</v>
      </c>
      <c r="BK38" s="14">
        <v>12658893867.58</v>
      </c>
      <c r="BL38" s="63">
        <f>FNRP_PPCD[[#This Row],[Mat. Date]]-RPT</f>
        <v>353</v>
      </c>
      <c r="BM38" s="63" t="str">
        <f>IF(FNRP_PPCD[[#This Row],[Days]]&lt;=0,"Mat",_xlfn.XLOOKUP(FNRP_PPCD[[#This Row],[Days]],Ref!$D$1:$D$13,Ref!$C$1:$C$13,"Mat",1,1))</f>
        <v>1Y</v>
      </c>
      <c r="BN38" s="25" t="str">
        <f>IF(FNRP_PPCD[[#This Row],[Days]]&lt;=0,"",VLOOKUP(FNRP_PPCD[[#This Row],[Short Name]],AllDealps!C:D,2,0))</f>
        <v>LVBT</v>
      </c>
      <c r="BO38" s="126">
        <f>SUMIFS(Ref!Q:Q,Ref!O:O,FNRP_PPCD[[#This Row],[Short Name]])</f>
        <v>0</v>
      </c>
      <c r="BP38" s="126">
        <f>IF(FNRP_PPCD[[#This Row],[Days]]=0,0,IF(FNRP_PPCD[[#This Row],[Nominal]]&lt;0,FNRP_PPCD[[#This Row],[Nominal]],MAX(0,FNRP_PPCD[[#This Row],[Nominal]]-FNRP_PPCD[[#This Row],[Đối ứng]])))</f>
        <v>1000000000000</v>
      </c>
    </row>
    <row r="39" spans="43:68" x14ac:dyDescent="0.3">
      <c r="AQ39" t="s">
        <v>455</v>
      </c>
      <c r="AR39" t="s">
        <v>34</v>
      </c>
      <c r="AS39" t="s">
        <v>1525</v>
      </c>
      <c r="AT39" t="s">
        <v>456</v>
      </c>
      <c r="AU39" t="s">
        <v>364</v>
      </c>
      <c r="AV39">
        <v>46617</v>
      </c>
      <c r="AW39" t="s">
        <v>457</v>
      </c>
      <c r="AX39">
        <v>8.5</v>
      </c>
      <c r="AY39" t="s">
        <v>36</v>
      </c>
      <c r="AZ39">
        <v>100.43300000000001</v>
      </c>
      <c r="BA39">
        <v>460000000000</v>
      </c>
      <c r="BB39">
        <v>463635871615.90002</v>
      </c>
      <c r="BC39">
        <v>0</v>
      </c>
      <c r="BD39">
        <v>0</v>
      </c>
      <c r="BE39">
        <v>-478309367.22000003</v>
      </c>
      <c r="BF39">
        <v>0.88</v>
      </c>
      <c r="BG39">
        <v>0.95</v>
      </c>
      <c r="BH39">
        <v>1.5960000000000001</v>
      </c>
      <c r="BI39">
        <v>42630071616.040001</v>
      </c>
      <c r="BJ39" s="14">
        <v>12658893867.58</v>
      </c>
      <c r="BK39" s="14">
        <v>12658893867.58</v>
      </c>
      <c r="BL39" s="63">
        <f>FNRP_PPCD[[#This Row],[Mat. Date]]-RPT</f>
        <v>355</v>
      </c>
      <c r="BM39" s="63" t="str">
        <f>IF(FNRP_PPCD[[#This Row],[Days]]&lt;=0,"Mat",_xlfn.XLOOKUP(FNRP_PPCD[[#This Row],[Days]],Ref!$D$1:$D$13,Ref!$C$1:$C$13,"Mat",1,1))</f>
        <v>1Y</v>
      </c>
      <c r="BN39" s="25" t="str">
        <f>IF(FNRP_PPCD[[#This Row],[Days]]&lt;=0,"",VLOOKUP(FNRP_PPCD[[#This Row],[Short Name]],AllDealps!C:D,2,0))</f>
        <v>OJBV</v>
      </c>
      <c r="BO39" s="126">
        <f>SUMIFS(Ref!Q:Q,Ref!O:O,FNRP_PPCD[[#This Row],[Short Name]])</f>
        <v>0</v>
      </c>
      <c r="BP39" s="126">
        <f>IF(FNRP_PPCD[[#This Row],[Days]]=0,0,IF(FNRP_PPCD[[#This Row],[Nominal]]&lt;0,FNRP_PPCD[[#This Row],[Nominal]],MAX(0,FNRP_PPCD[[#This Row],[Nominal]]-FNRP_PPCD[[#This Row],[Đối ứng]])))</f>
        <v>460000000000</v>
      </c>
    </row>
    <row r="40" spans="43:68" x14ac:dyDescent="0.3">
      <c r="AQ40" t="s">
        <v>455</v>
      </c>
      <c r="AR40" t="s">
        <v>34</v>
      </c>
      <c r="AS40" t="s">
        <v>1526</v>
      </c>
      <c r="AT40" t="s">
        <v>456</v>
      </c>
      <c r="AU40" t="s">
        <v>364</v>
      </c>
      <c r="AV40">
        <v>46617</v>
      </c>
      <c r="AW40" t="s">
        <v>457</v>
      </c>
      <c r="AX40">
        <v>8.5</v>
      </c>
      <c r="AY40" t="s">
        <v>36</v>
      </c>
      <c r="AZ40">
        <v>100.43300000000001</v>
      </c>
      <c r="BA40">
        <v>39100000000</v>
      </c>
      <c r="BB40">
        <v>39409049087.349998</v>
      </c>
      <c r="BC40">
        <v>0</v>
      </c>
      <c r="BD40">
        <v>0</v>
      </c>
      <c r="BE40">
        <v>-44432161.490000002</v>
      </c>
      <c r="BF40">
        <v>0.88</v>
      </c>
      <c r="BG40">
        <v>0.95</v>
      </c>
      <c r="BH40">
        <v>1.5960000000000001</v>
      </c>
      <c r="BI40">
        <v>300056087.37</v>
      </c>
      <c r="BJ40" s="14">
        <v>12658893867.58</v>
      </c>
      <c r="BK40" s="14">
        <v>12658893867.58</v>
      </c>
      <c r="BL40" s="63">
        <f>FNRP_PPCD[[#This Row],[Mat. Date]]-RPT</f>
        <v>355</v>
      </c>
      <c r="BM40" s="63" t="str">
        <f>IF(FNRP_PPCD[[#This Row],[Days]]&lt;=0,"Mat",_xlfn.XLOOKUP(FNRP_PPCD[[#This Row],[Days]],Ref!$D$1:$D$13,Ref!$C$1:$C$13,"Mat",1,1))</f>
        <v>1Y</v>
      </c>
      <c r="BN40" s="25" t="str">
        <f>IF(FNRP_PPCD[[#This Row],[Days]]&lt;=0,"",VLOOKUP(FNRP_PPCD[[#This Row],[Short Name]],AllDealps!C:D,2,0))</f>
        <v>OJBV</v>
      </c>
      <c r="BO40" s="126">
        <f>SUMIFS(Ref!Q:Q,Ref!O:O,FNRP_PPCD[[#This Row],[Short Name]])</f>
        <v>0</v>
      </c>
      <c r="BP40" s="126">
        <f>IF(FNRP_PPCD[[#This Row],[Days]]=0,0,IF(FNRP_PPCD[[#This Row],[Nominal]]&lt;0,FNRP_PPCD[[#This Row],[Nominal]],MAX(0,FNRP_PPCD[[#This Row],[Nominal]]-FNRP_PPCD[[#This Row],[Đối ứng]])))</f>
        <v>39100000000</v>
      </c>
    </row>
    <row r="41" spans="43:68" x14ac:dyDescent="0.3">
      <c r="AQ41" t="s">
        <v>455</v>
      </c>
      <c r="AR41" t="s">
        <v>34</v>
      </c>
      <c r="AS41" t="s">
        <v>1602</v>
      </c>
      <c r="AT41" t="s">
        <v>456</v>
      </c>
      <c r="AU41" t="s">
        <v>364</v>
      </c>
      <c r="AV41">
        <v>46618</v>
      </c>
      <c r="AW41" t="s">
        <v>457</v>
      </c>
      <c r="AX41">
        <v>9.1999999999999993</v>
      </c>
      <c r="AY41" t="s">
        <v>36</v>
      </c>
      <c r="AZ41">
        <v>101.065</v>
      </c>
      <c r="BA41">
        <v>600000000000</v>
      </c>
      <c r="BB41">
        <v>307165372175.35999</v>
      </c>
      <c r="BC41">
        <v>0</v>
      </c>
      <c r="BD41">
        <v>0</v>
      </c>
      <c r="BE41">
        <v>-195804667.61000001</v>
      </c>
      <c r="BF41">
        <v>0.89</v>
      </c>
      <c r="BG41">
        <v>0.96</v>
      </c>
      <c r="BH41">
        <v>1.603</v>
      </c>
      <c r="BI41">
        <v>7384939433.3500004</v>
      </c>
      <c r="BJ41" s="14">
        <v>12658893867.58</v>
      </c>
      <c r="BK41" s="14">
        <v>12658893867.58</v>
      </c>
      <c r="BL41" s="63">
        <f>FNRP_PPCD[[#This Row],[Mat. Date]]-RPT</f>
        <v>356</v>
      </c>
      <c r="BM41" s="63" t="str">
        <f>IF(FNRP_PPCD[[#This Row],[Days]]&lt;=0,"Mat",_xlfn.XLOOKUP(FNRP_PPCD[[#This Row],[Days]],Ref!$D$1:$D$13,Ref!$C$1:$C$13,"Mat",1,1))</f>
        <v>1Y</v>
      </c>
      <c r="BN41" s="25" t="str">
        <f>IF(FNRP_PPCD[[#This Row],[Days]]&lt;=0,"",VLOOKUP(FNRP_PPCD[[#This Row],[Short Name]],AllDealps!C:D,2,0))</f>
        <v>VABV</v>
      </c>
      <c r="BO41" s="126">
        <f>SUMIFS(Ref!Q:Q,Ref!O:O,FNRP_PPCD[[#This Row],[Short Name]])</f>
        <v>0</v>
      </c>
      <c r="BP41" s="126">
        <f>IF(FNRP_PPCD[[#This Row],[Days]]=0,0,IF(FNRP_PPCD[[#This Row],[Nominal]]&lt;0,FNRP_PPCD[[#This Row],[Nominal]],MAX(0,FNRP_PPCD[[#This Row],[Nominal]]-FNRP_PPCD[[#This Row],[Đối ứng]])))</f>
        <v>600000000000</v>
      </c>
    </row>
    <row r="42" spans="43:68" x14ac:dyDescent="0.3">
      <c r="AQ42" t="s">
        <v>516</v>
      </c>
      <c r="AV42"/>
      <c r="AX42"/>
      <c r="BA42"/>
      <c r="BB42"/>
      <c r="BE42"/>
      <c r="BI42"/>
      <c r="BJ42"/>
      <c r="BK42"/>
      <c r="BL42"/>
      <c r="BM42"/>
      <c r="BN42"/>
      <c r="BO42"/>
      <c r="BP42" s="135">
        <f>SUBTOTAL(109,FNRP_PPCD[Adjust])</f>
        <v>27199100000000</v>
      </c>
    </row>
  </sheetData>
  <phoneticPr fontId="16" type="noConversion"/>
  <conditionalFormatting sqref="AK1:AK1048576">
    <cfRule type="containsText" dxfId="241" priority="4" operator="containsText" text="MSB">
      <formula>NOT(ISERROR(SEARCH("MSB",AK1)))</formula>
    </cfRule>
  </conditionalFormatting>
  <conditionalFormatting sqref="EG1">
    <cfRule type="containsText" dxfId="240" priority="2" operator="containsText" text="MSB">
      <formula>NOT(ISERROR(SEARCH("MSB",EG1)))</formula>
    </cfRule>
  </conditionalFormatting>
  <conditionalFormatting sqref="EG1:EG3">
    <cfRule type="containsText" dxfId="239" priority="1" operator="containsText" text="MSB">
      <formula>NOT(ISERROR(SEARCH("MSB",EG1)))</formula>
    </cfRule>
  </conditionalFormatting>
  <pageMargins left="0.7" right="0.7" top="0.75" bottom="0.75" header="0.3" footer="0.3"/>
  <pageSetup paperSize="9" orientation="portrait" r:id="rId1"/>
  <tableParts count="5">
    <tablePart r:id="rId2"/>
    <tablePart r:id="rId3"/>
    <tablePart r:id="rId4"/>
    <tablePart r:id="rId5"/>
    <tablePart r:id="rId6"/>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F105F-9BDE-4800-8884-BBBF64F84691}">
  <sheetPr codeName="Sheet5">
    <tabColor theme="7" tint="0.79998168889431442"/>
  </sheetPr>
  <dimension ref="A1:AE71"/>
  <sheetViews>
    <sheetView showGridLines="0" zoomScale="85" zoomScaleNormal="85" workbookViewId="0">
      <pane ySplit="1" topLeftCell="A2" activePane="bottomLeft" state="frozen"/>
      <selection pane="bottomLeft" activeCell="L1" sqref="L1"/>
    </sheetView>
  </sheetViews>
  <sheetFormatPr defaultColWidth="9.09765625" defaultRowHeight="14.4" x14ac:dyDescent="0.3"/>
  <cols>
    <col min="1" max="1" width="21.59765625" style="18" customWidth="1"/>
    <col min="2" max="2" width="16.69921875" style="28" customWidth="1"/>
    <col min="3" max="6" width="9.3984375" style="62" customWidth="1"/>
    <col min="7" max="7" width="8.296875" style="29" customWidth="1"/>
    <col min="8" max="8" width="11.09765625" style="18" customWidth="1"/>
    <col min="9" max="9" width="9.296875" style="30" customWidth="1"/>
    <col min="10" max="10" width="10.59765625" style="30" bestFit="1" customWidth="1"/>
    <col min="11" max="11" width="64.09765625" style="30" bestFit="1" customWidth="1"/>
    <col min="12" max="12" width="19" style="332" bestFit="1" customWidth="1"/>
    <col min="13" max="13" width="11.09765625" style="18" customWidth="1"/>
    <col min="14" max="14" width="14.296875" style="332" bestFit="1" customWidth="1"/>
    <col min="15" max="15" width="11.3984375" style="18" bestFit="1" customWidth="1"/>
    <col min="16" max="16" width="18.8984375" bestFit="1" customWidth="1"/>
    <col min="17" max="17" width="19" style="96" bestFit="1" customWidth="1"/>
    <col min="18" max="18" width="11.3984375" bestFit="1" customWidth="1"/>
    <col min="19" max="19" width="18.8984375" bestFit="1" customWidth="1"/>
    <col min="20" max="20" width="10.59765625" bestFit="1" customWidth="1"/>
    <col min="21" max="21" width="63.5" style="30" bestFit="1" customWidth="1"/>
    <col min="22" max="22" width="15.8984375" style="30" bestFit="1" customWidth="1"/>
    <col min="23" max="23" width="14.296875" style="442" bestFit="1" customWidth="1"/>
    <col min="24" max="24" width="16.5" style="442" bestFit="1" customWidth="1"/>
    <col min="25" max="25" width="12.09765625" style="18" bestFit="1" customWidth="1"/>
    <col min="26" max="26" width="14.09765625" style="18" bestFit="1" customWidth="1"/>
    <col min="27" max="27" width="11.3984375" style="18" bestFit="1" customWidth="1"/>
    <col min="28" max="28" width="15.5" style="18" bestFit="1" customWidth="1"/>
    <col min="29" max="29" width="18.5" style="18" bestFit="1" customWidth="1"/>
    <col min="30" max="30" width="11.296875" style="18" bestFit="1" customWidth="1"/>
    <col min="31" max="31" width="15.5" style="18" bestFit="1" customWidth="1"/>
    <col min="32" max="83" width="12.09765625" style="18" bestFit="1" customWidth="1"/>
    <col min="84" max="16384" width="9.09765625" style="18"/>
  </cols>
  <sheetData>
    <row r="1" spans="1:31" x14ac:dyDescent="0.3">
      <c r="A1" s="383" t="s">
        <v>354</v>
      </c>
      <c r="B1" s="365" t="s">
        <v>0</v>
      </c>
      <c r="C1" s="366" t="s">
        <v>301</v>
      </c>
      <c r="D1" s="366" t="s">
        <v>387</v>
      </c>
      <c r="E1" s="366" t="s">
        <v>44</v>
      </c>
      <c r="F1" s="367" t="s">
        <v>1169</v>
      </c>
      <c r="G1" s="367" t="s">
        <v>305</v>
      </c>
      <c r="H1" s="31"/>
      <c r="I1" s="21" t="s">
        <v>1164</v>
      </c>
      <c r="J1" s="58" t="s">
        <v>306</v>
      </c>
      <c r="K1" t="s">
        <v>307</v>
      </c>
      <c r="L1" s="96" t="s">
        <v>1166</v>
      </c>
      <c r="M1" s="31"/>
      <c r="N1" s="21" t="s">
        <v>1165</v>
      </c>
      <c r="O1" t="s">
        <v>306</v>
      </c>
      <c r="P1" s="14" t="s">
        <v>307</v>
      </c>
      <c r="Q1" s="96" t="s">
        <v>1166</v>
      </c>
      <c r="R1" s="30"/>
      <c r="S1" s="21" t="s">
        <v>1464</v>
      </c>
      <c r="T1" s="18" t="s">
        <v>306</v>
      </c>
      <c r="U1" s="18" t="s">
        <v>307</v>
      </c>
      <c r="V1" s="18" t="s">
        <v>1465</v>
      </c>
      <c r="W1" s="442" t="s">
        <v>1166</v>
      </c>
      <c r="X1" s="442" t="s">
        <v>1466</v>
      </c>
      <c r="Z1" s="21" t="s">
        <v>1470</v>
      </c>
      <c r="AA1" s="18" t="s">
        <v>306</v>
      </c>
      <c r="AB1" s="18" t="s">
        <v>307</v>
      </c>
      <c r="AC1" s="18" t="s">
        <v>1465</v>
      </c>
      <c r="AD1" s="18" t="s">
        <v>1166</v>
      </c>
      <c r="AE1" s="18" t="s">
        <v>1466</v>
      </c>
    </row>
    <row r="2" spans="1:31" x14ac:dyDescent="0.3">
      <c r="A2" s="384" t="s">
        <v>480</v>
      </c>
      <c r="B2" s="373" t="s">
        <v>388</v>
      </c>
      <c r="C2" s="59"/>
      <c r="D2" s="59">
        <f>SUMIFS(RPBOD3!G:G,RPBOD3!W:W,"CD")/10^9</f>
        <v>20361.099999999999</v>
      </c>
      <c r="E2" s="59"/>
      <c r="F2" s="363">
        <f>SUMIFS(AllDealps!U:U,AllDealps!W:W,"On BS",AllDealps!F:F,"CD")/10^9</f>
        <v>20361.099999999999</v>
      </c>
      <c r="G2" s="350">
        <f>D2-F2</f>
        <v>0</v>
      </c>
      <c r="H2" s="32"/>
      <c r="I2" s="18"/>
      <c r="J2">
        <v>130203001</v>
      </c>
      <c r="K2" t="s">
        <v>946</v>
      </c>
      <c r="L2" s="128">
        <v>32143100000000</v>
      </c>
      <c r="M2" s="32"/>
      <c r="N2" s="18"/>
      <c r="O2">
        <v>922002001</v>
      </c>
      <c r="P2" s="174" t="s">
        <v>1455</v>
      </c>
      <c r="Q2" s="333">
        <v>2081000000000</v>
      </c>
      <c r="R2" s="30"/>
      <c r="S2" s="18"/>
      <c r="T2">
        <v>130303001</v>
      </c>
      <c r="U2" t="s">
        <v>1467</v>
      </c>
      <c r="V2" t="s">
        <v>1430</v>
      </c>
      <c r="W2" s="391">
        <v>1911785400</v>
      </c>
      <c r="X2" s="391">
        <v>569817197396.99988</v>
      </c>
      <c r="AA2"/>
      <c r="AB2"/>
      <c r="AC2"/>
      <c r="AD2"/>
      <c r="AE2" s="391"/>
    </row>
    <row r="3" spans="1:31" x14ac:dyDescent="0.3">
      <c r="A3" s="384" t="s">
        <v>478</v>
      </c>
      <c r="B3" s="373" t="s">
        <v>389</v>
      </c>
      <c r="C3" s="59"/>
      <c r="D3" s="59"/>
      <c r="E3" s="59"/>
      <c r="F3" s="363">
        <f>SUMIFS(AllDealps!U:U,AllDealps!W:W,"Off BS",AllDealps!F:F,"CD")/10^9</f>
        <v>0</v>
      </c>
      <c r="G3" s="301"/>
      <c r="H3" s="32"/>
      <c r="I3" s="18"/>
      <c r="J3">
        <v>130204001</v>
      </c>
      <c r="K3" t="s">
        <v>948</v>
      </c>
      <c r="L3" s="96">
        <v>-46610618487.209999</v>
      </c>
      <c r="M3" s="32"/>
      <c r="N3" s="18"/>
      <c r="O3">
        <v>922002002</v>
      </c>
      <c r="P3" s="174" t="s">
        <v>1167</v>
      </c>
      <c r="Q3" s="333">
        <v>23044700000000</v>
      </c>
      <c r="R3" s="30"/>
      <c r="S3" s="18"/>
      <c r="T3">
        <v>130303002</v>
      </c>
      <c r="U3" t="s">
        <v>1468</v>
      </c>
      <c r="V3" t="s">
        <v>1430</v>
      </c>
      <c r="W3" s="391">
        <v>-588808348.34000003</v>
      </c>
      <c r="X3" s="391">
        <v>-175497272264.47867</v>
      </c>
    </row>
    <row r="4" spans="1:31" x14ac:dyDescent="0.3">
      <c r="A4" s="384" t="s">
        <v>1186</v>
      </c>
      <c r="B4" s="373" t="s">
        <v>1187</v>
      </c>
      <c r="C4" s="59"/>
      <c r="D4" s="59"/>
      <c r="E4" s="59"/>
      <c r="F4" s="363">
        <f>SUMIFS(AllDealps!U:U,AllDealps!W:W,"Ngoai BS",AllDealps!F:F,"CD")/10^9</f>
        <v>10338</v>
      </c>
      <c r="G4" s="301"/>
      <c r="H4" s="32"/>
      <c r="I4" s="18"/>
      <c r="J4">
        <v>130205001</v>
      </c>
      <c r="K4" t="s">
        <v>949</v>
      </c>
      <c r="L4" s="96">
        <v>23075146364.830002</v>
      </c>
      <c r="M4" s="32"/>
      <c r="N4" s="18"/>
      <c r="O4"/>
      <c r="Q4" s="333"/>
      <c r="R4" s="174"/>
      <c r="S4" s="30"/>
      <c r="T4">
        <v>180205010</v>
      </c>
      <c r="U4" t="s">
        <v>1469</v>
      </c>
      <c r="V4" t="s">
        <v>1430</v>
      </c>
      <c r="W4" s="391">
        <v>11429205.720000001</v>
      </c>
      <c r="X4" s="391">
        <v>3406531910.8745995</v>
      </c>
    </row>
    <row r="5" spans="1:31" x14ac:dyDescent="0.3">
      <c r="A5" s="385" t="s">
        <v>364</v>
      </c>
      <c r="B5" s="374" t="s">
        <v>1188</v>
      </c>
      <c r="C5" s="352"/>
      <c r="D5" s="352"/>
      <c r="E5" s="353">
        <f>SUMIFS(FNRP!BA:BA,FNRP!BL:BL,"&gt;0")/10^9</f>
        <v>30699.1</v>
      </c>
      <c r="F5" s="364">
        <f>SUM(F2:F4)</f>
        <v>30699.1</v>
      </c>
      <c r="G5" s="354">
        <f>E5-F5</f>
        <v>0</v>
      </c>
      <c r="I5" s="18"/>
      <c r="J5">
        <v>130206001</v>
      </c>
      <c r="K5" t="s">
        <v>1141</v>
      </c>
      <c r="L5" s="96">
        <v>397610600000</v>
      </c>
      <c r="N5" s="18"/>
      <c r="O5"/>
      <c r="Q5" s="333"/>
      <c r="R5" s="174"/>
      <c r="S5" s="30"/>
      <c r="T5" s="18"/>
      <c r="U5" s="18"/>
      <c r="V5" s="18"/>
    </row>
    <row r="6" spans="1:31" x14ac:dyDescent="0.3">
      <c r="A6" s="386" t="s">
        <v>484</v>
      </c>
      <c r="B6" s="373" t="s">
        <v>477</v>
      </c>
      <c r="C6" s="59"/>
      <c r="D6" s="59">
        <f>SUMIFS(RPBOD3!G:G,RPBOD3!W:W,"FI_CORP_U")/10^9</f>
        <v>15000</v>
      </c>
      <c r="E6" s="59"/>
      <c r="F6" s="363">
        <f>SUMIFS(AllDealps!U:U,AllDealps!W:W,"On BS",AllDealps!F:F,"FI_CORP_U")/10^9</f>
        <v>15000</v>
      </c>
      <c r="G6" s="351">
        <f>D6-F6</f>
        <v>0</v>
      </c>
      <c r="I6" s="18"/>
      <c r="J6">
        <v>130208001</v>
      </c>
      <c r="K6" t="s">
        <v>1142</v>
      </c>
      <c r="L6" s="96">
        <v>516442727</v>
      </c>
      <c r="N6" s="18"/>
      <c r="O6"/>
      <c r="Q6" s="333"/>
      <c r="R6" s="174"/>
      <c r="S6" s="30"/>
      <c r="T6" s="18"/>
      <c r="U6" s="18"/>
      <c r="V6" s="18"/>
    </row>
    <row r="7" spans="1:31" x14ac:dyDescent="0.3">
      <c r="A7" s="386" t="s">
        <v>483</v>
      </c>
      <c r="B7" s="373" t="s">
        <v>1190</v>
      </c>
      <c r="C7" s="59"/>
      <c r="D7" s="59"/>
      <c r="E7" s="59"/>
      <c r="F7" s="363">
        <f>SUMIFS(AllDealps!U:U,AllDealps!W:W,"Off BS",AllDealps!F:F,"FI_CORP_U")/10^9</f>
        <v>0</v>
      </c>
      <c r="G7" s="301"/>
      <c r="H7" s="32"/>
      <c r="I7" s="18"/>
      <c r="J7" s="18"/>
      <c r="K7" s="18"/>
      <c r="M7" s="32"/>
      <c r="O7" s="32"/>
      <c r="V7" s="18"/>
    </row>
    <row r="8" spans="1:31" x14ac:dyDescent="0.3">
      <c r="A8" s="386" t="s">
        <v>1189</v>
      </c>
      <c r="B8" s="373" t="s">
        <v>487</v>
      </c>
      <c r="C8" s="59"/>
      <c r="D8" s="59"/>
      <c r="E8" s="59"/>
      <c r="F8" s="363">
        <f>SUMIFS(AllDealps!U:U,AllDealps!W:W,"Ngoai BS",AllDealps!F:F,"FI_CORP_U")/10^9</f>
        <v>0</v>
      </c>
      <c r="G8" s="301"/>
    </row>
    <row r="9" spans="1:31" x14ac:dyDescent="0.3">
      <c r="A9" s="387" t="s">
        <v>385</v>
      </c>
      <c r="B9" s="375" t="s">
        <v>1191</v>
      </c>
      <c r="C9" s="368"/>
      <c r="D9" s="369"/>
      <c r="E9" s="370">
        <f>SUMIFS(FNRP!J:J,FNRP!E:E,"FI_CORP_U",FNRP!AI:AI,"&gt;0")/10^9</f>
        <v>15000</v>
      </c>
      <c r="F9" s="371">
        <f>SUM(F6:F8)</f>
        <v>15000</v>
      </c>
      <c r="G9" s="372">
        <f>E9-F9</f>
        <v>0</v>
      </c>
    </row>
    <row r="10" spans="1:31" x14ac:dyDescent="0.3">
      <c r="A10" s="386" t="s">
        <v>485</v>
      </c>
      <c r="B10" s="373" t="s">
        <v>1193</v>
      </c>
      <c r="C10" s="60"/>
      <c r="D10" s="60">
        <f>SUMIFS(RPBOD3!G:G,RPBOD3!W:W,"FI_CORP_L")/10^9</f>
        <v>397.61059999999998</v>
      </c>
      <c r="E10" s="60"/>
      <c r="F10" s="363">
        <f>SUMIFS(AllDealps!U:U,AllDealps!W:W,"On BS",AllDealps!F:F,"FI_CORP_L")/10^9</f>
        <v>397.61059999999998</v>
      </c>
      <c r="G10" s="350">
        <f>D10-F10</f>
        <v>0</v>
      </c>
    </row>
    <row r="11" spans="1:31" x14ac:dyDescent="0.3">
      <c r="A11" s="386" t="s">
        <v>486</v>
      </c>
      <c r="B11" s="373" t="s">
        <v>1194</v>
      </c>
      <c r="C11" s="60"/>
      <c r="D11" s="60"/>
      <c r="E11" s="60"/>
      <c r="F11" s="363">
        <f>SUMIFS(AllDealps!U:U,AllDealps!W:W,"Off BS",AllDealps!F:F,"FI_CORP_L")/10^9</f>
        <v>0</v>
      </c>
      <c r="G11" s="301"/>
    </row>
    <row r="12" spans="1:31" x14ac:dyDescent="0.3">
      <c r="A12" s="386" t="s">
        <v>1192</v>
      </c>
      <c r="B12" s="373" t="s">
        <v>1195</v>
      </c>
      <c r="C12" s="60"/>
      <c r="D12" s="60"/>
      <c r="E12" s="60"/>
      <c r="F12" s="363">
        <f>SUMIFS(AllDealps!U:U,AllDealps!W:W,"Ngoai BS",AllDealps!F:F,"FI_CORP_L")/10^9</f>
        <v>0</v>
      </c>
      <c r="G12" s="301"/>
    </row>
    <row r="13" spans="1:31" x14ac:dyDescent="0.3">
      <c r="A13" s="387" t="s">
        <v>386</v>
      </c>
      <c r="B13" s="376" t="s">
        <v>1196</v>
      </c>
      <c r="C13" s="369"/>
      <c r="D13" s="369"/>
      <c r="E13" s="370">
        <f>SUMIFS(FNRP!J:J,FNRP!E:E,"FI_CORP_L",FNRP!AI:AI,"&gt;0")/10^9</f>
        <v>397.61059999999998</v>
      </c>
      <c r="F13" s="371">
        <f>SUM(F10:F12)</f>
        <v>397.61059999999998</v>
      </c>
      <c r="G13" s="371">
        <f>E13-F13</f>
        <v>0</v>
      </c>
    </row>
    <row r="14" spans="1:31" x14ac:dyDescent="0.3">
      <c r="A14" s="385" t="s">
        <v>479</v>
      </c>
      <c r="B14" s="374" t="s">
        <v>1197</v>
      </c>
      <c r="C14" s="352"/>
      <c r="D14" s="352"/>
      <c r="E14" s="352">
        <f>E9+E13</f>
        <v>15397.6106</v>
      </c>
      <c r="F14" s="364">
        <f>F9+F13</f>
        <v>15397.6106</v>
      </c>
      <c r="G14" s="354">
        <f>E14-F14</f>
        <v>0</v>
      </c>
      <c r="H14" s="61"/>
      <c r="M14" s="61"/>
    </row>
    <row r="15" spans="1:31" x14ac:dyDescent="0.3">
      <c r="A15" s="387" t="s">
        <v>1450</v>
      </c>
      <c r="B15" s="373" t="s">
        <v>1473</v>
      </c>
      <c r="C15" s="369">
        <f>SUM(X2)/10^9</f>
        <v>569.81719739699986</v>
      </c>
      <c r="D15" s="369"/>
      <c r="E15" s="370">
        <f>SUM(FNRP_ITB_2[Nominal_VND])/10^9</f>
        <v>569.81719739699986</v>
      </c>
      <c r="F15" s="371"/>
      <c r="G15" s="371"/>
    </row>
    <row r="16" spans="1:31" x14ac:dyDescent="0.3">
      <c r="A16" s="388" t="s">
        <v>481</v>
      </c>
      <c r="B16" s="377" t="s">
        <v>1471</v>
      </c>
      <c r="C16" s="378">
        <f>SUMIFS(L:L,J:J,130203001)/10^9</f>
        <v>32143.1</v>
      </c>
      <c r="D16" s="378">
        <f>D6+D2</f>
        <v>35361.1</v>
      </c>
      <c r="E16" s="378"/>
      <c r="F16" s="379">
        <f>F2+F6</f>
        <v>35361.1</v>
      </c>
      <c r="G16" s="379">
        <f>ROUND((C16*2-D16-F16)/2,9)</f>
        <v>-3218</v>
      </c>
    </row>
    <row r="17" spans="1:7" x14ac:dyDescent="0.3">
      <c r="A17" s="389" t="s">
        <v>482</v>
      </c>
      <c r="B17" s="380" t="s">
        <v>1472</v>
      </c>
      <c r="C17" s="381" cm="1">
        <f t="array" ref="C17">SUM(SUMIFS(L:L,J:J,{130203001,130206001}))/10^9</f>
        <v>32540.710599999999</v>
      </c>
      <c r="D17" s="381">
        <f>D2+D6+D10</f>
        <v>35758.710599999999</v>
      </c>
      <c r="E17" s="381"/>
      <c r="F17" s="382">
        <f>F2+F6+F10</f>
        <v>35758.710599999999</v>
      </c>
      <c r="G17" s="382">
        <f>ROUND((C17*2-D17-F17)/2,9)</f>
        <v>-3218</v>
      </c>
    </row>
    <row r="18" spans="1:7" x14ac:dyDescent="0.3">
      <c r="A18" s="33"/>
      <c r="C18" s="61"/>
      <c r="D18" s="61"/>
      <c r="E18" s="61"/>
      <c r="F18" s="61"/>
      <c r="G18" s="61"/>
    </row>
    <row r="19" spans="1:7" x14ac:dyDescent="0.3">
      <c r="A19" s="33"/>
      <c r="C19" s="61"/>
      <c r="D19" s="61"/>
      <c r="E19" s="61"/>
      <c r="F19" s="61"/>
    </row>
    <row r="20" spans="1:7" x14ac:dyDescent="0.3">
      <c r="A20" s="337" t="s">
        <v>1168</v>
      </c>
      <c r="G20" s="444"/>
    </row>
    <row r="21" spans="1:7" x14ac:dyDescent="0.3">
      <c r="A21" s="334" t="s">
        <v>301</v>
      </c>
      <c r="B21" s="335">
        <f>(Q2-Q3)/10^9</f>
        <v>-20963.7</v>
      </c>
      <c r="C21" s="70"/>
    </row>
    <row r="22" spans="1:7" x14ac:dyDescent="0.3">
      <c r="A22" s="334" t="s">
        <v>1169</v>
      </c>
      <c r="B22" s="335">
        <f>SUM(F3,F7,F11,'His53'!AL:AL)</f>
        <v>-23510.7</v>
      </c>
    </row>
    <row r="23" spans="1:7" x14ac:dyDescent="0.3">
      <c r="A23" s="334" t="s">
        <v>305</v>
      </c>
      <c r="B23" s="336">
        <f>B21-B22</f>
        <v>2547</v>
      </c>
      <c r="C23" s="150"/>
    </row>
    <row r="24" spans="1:7" x14ac:dyDescent="0.3">
      <c r="B24" s="149"/>
      <c r="C24" s="150"/>
    </row>
    <row r="25" spans="1:7" x14ac:dyDescent="0.3">
      <c r="A25" s="334" t="s">
        <v>1480</v>
      </c>
      <c r="B25" s="335">
        <f>W2/10^6</f>
        <v>1911.7854</v>
      </c>
      <c r="C25" s="150"/>
    </row>
    <row r="26" spans="1:7" x14ac:dyDescent="0.3">
      <c r="A26" s="334" t="s">
        <v>44</v>
      </c>
      <c r="B26" s="335">
        <f>SUM(FNRP!DI:DI)/10^6</f>
        <v>1911.7854</v>
      </c>
      <c r="C26" s="150"/>
    </row>
    <row r="27" spans="1:7" x14ac:dyDescent="0.3">
      <c r="A27" s="334" t="s">
        <v>305</v>
      </c>
      <c r="B27" s="336">
        <f>B25-B26</f>
        <v>0</v>
      </c>
      <c r="C27" s="150"/>
    </row>
    <row r="28" spans="1:7" x14ac:dyDescent="0.3">
      <c r="B28" s="149"/>
      <c r="C28" s="150"/>
    </row>
    <row r="29" spans="1:7" x14ac:dyDescent="0.3">
      <c r="B29" s="149"/>
      <c r="C29" s="150"/>
    </row>
    <row r="30" spans="1:7" x14ac:dyDescent="0.3">
      <c r="B30" s="149"/>
      <c r="C30" s="150"/>
    </row>
    <row r="31" spans="1:7" x14ac:dyDescent="0.3">
      <c r="B31" s="149"/>
      <c r="C31" s="150"/>
    </row>
    <row r="32" spans="1:7" x14ac:dyDescent="0.3">
      <c r="B32" s="149"/>
      <c r="C32" s="150"/>
    </row>
    <row r="33" spans="2:3" x14ac:dyDescent="0.3">
      <c r="B33" s="149"/>
      <c r="C33" s="150"/>
    </row>
    <row r="34" spans="2:3" x14ac:dyDescent="0.3">
      <c r="B34" s="149"/>
      <c r="C34" s="150"/>
    </row>
    <row r="35" spans="2:3" x14ac:dyDescent="0.3">
      <c r="B35" s="149"/>
      <c r="C35" s="150"/>
    </row>
    <row r="36" spans="2:3" x14ac:dyDescent="0.3">
      <c r="B36" s="149"/>
      <c r="C36" s="150"/>
    </row>
    <row r="37" spans="2:3" x14ac:dyDescent="0.3">
      <c r="B37" s="149"/>
      <c r="C37" s="150"/>
    </row>
    <row r="38" spans="2:3" x14ac:dyDescent="0.3">
      <c r="B38" s="149"/>
      <c r="C38" s="150"/>
    </row>
    <row r="39" spans="2:3" x14ac:dyDescent="0.3">
      <c r="B39" s="149"/>
      <c r="C39" s="150"/>
    </row>
    <row r="40" spans="2:3" x14ac:dyDescent="0.3">
      <c r="B40" s="149"/>
      <c r="C40" s="150"/>
    </row>
    <row r="41" spans="2:3" x14ac:dyDescent="0.3">
      <c r="B41" s="149"/>
      <c r="C41" s="150"/>
    </row>
    <row r="42" spans="2:3" x14ac:dyDescent="0.3">
      <c r="B42" s="149"/>
      <c r="C42" s="150"/>
    </row>
    <row r="43" spans="2:3" x14ac:dyDescent="0.3">
      <c r="B43" s="149"/>
      <c r="C43" s="150"/>
    </row>
    <row r="44" spans="2:3" x14ac:dyDescent="0.3">
      <c r="B44" s="149"/>
      <c r="C44" s="150"/>
    </row>
    <row r="45" spans="2:3" x14ac:dyDescent="0.3">
      <c r="B45" s="149"/>
      <c r="C45" s="150"/>
    </row>
    <row r="46" spans="2:3" x14ac:dyDescent="0.3">
      <c r="B46" s="149"/>
      <c r="C46" s="150"/>
    </row>
    <row r="47" spans="2:3" x14ac:dyDescent="0.3">
      <c r="B47" s="149"/>
      <c r="C47" s="150"/>
    </row>
    <row r="48" spans="2:3" x14ac:dyDescent="0.3">
      <c r="B48" s="149"/>
      <c r="C48" s="150"/>
    </row>
    <row r="49" spans="2:3" x14ac:dyDescent="0.3">
      <c r="B49" s="149"/>
      <c r="C49" s="150"/>
    </row>
    <row r="50" spans="2:3" x14ac:dyDescent="0.3">
      <c r="B50" s="149"/>
      <c r="C50" s="150"/>
    </row>
    <row r="51" spans="2:3" x14ac:dyDescent="0.3">
      <c r="B51" s="149"/>
      <c r="C51" s="150"/>
    </row>
    <row r="52" spans="2:3" x14ac:dyDescent="0.3">
      <c r="B52" s="149"/>
      <c r="C52" s="150"/>
    </row>
    <row r="53" spans="2:3" x14ac:dyDescent="0.3">
      <c r="B53" s="149"/>
      <c r="C53" s="150"/>
    </row>
    <row r="54" spans="2:3" x14ac:dyDescent="0.3">
      <c r="B54" s="149"/>
      <c r="C54" s="150"/>
    </row>
    <row r="55" spans="2:3" x14ac:dyDescent="0.3">
      <c r="B55" s="149"/>
      <c r="C55" s="150"/>
    </row>
    <row r="56" spans="2:3" x14ac:dyDescent="0.3">
      <c r="B56" s="149"/>
      <c r="C56" s="150"/>
    </row>
    <row r="57" spans="2:3" x14ac:dyDescent="0.3">
      <c r="B57" s="149"/>
      <c r="C57" s="150"/>
    </row>
    <row r="58" spans="2:3" x14ac:dyDescent="0.3">
      <c r="B58" s="149"/>
      <c r="C58" s="150"/>
    </row>
    <row r="59" spans="2:3" x14ac:dyDescent="0.3">
      <c r="B59" s="149"/>
      <c r="C59" s="150"/>
    </row>
    <row r="60" spans="2:3" x14ac:dyDescent="0.3">
      <c r="B60" s="149"/>
      <c r="C60" s="150"/>
    </row>
    <row r="61" spans="2:3" x14ac:dyDescent="0.3">
      <c r="B61" s="149"/>
      <c r="C61" s="150"/>
    </row>
    <row r="62" spans="2:3" x14ac:dyDescent="0.3">
      <c r="B62" s="149"/>
      <c r="C62" s="150"/>
    </row>
    <row r="63" spans="2:3" x14ac:dyDescent="0.3">
      <c r="B63" s="149"/>
      <c r="C63" s="150"/>
    </row>
    <row r="64" spans="2:3" x14ac:dyDescent="0.3">
      <c r="B64" s="149"/>
      <c r="C64" s="150"/>
    </row>
    <row r="65" spans="2:3" x14ac:dyDescent="0.3">
      <c r="B65" s="149"/>
      <c r="C65" s="150"/>
    </row>
    <row r="66" spans="2:3" x14ac:dyDescent="0.3">
      <c r="B66" s="149"/>
      <c r="C66" s="150"/>
    </row>
    <row r="67" spans="2:3" x14ac:dyDescent="0.3">
      <c r="B67" s="149"/>
      <c r="C67" s="150"/>
    </row>
    <row r="68" spans="2:3" x14ac:dyDescent="0.3">
      <c r="B68" s="149"/>
      <c r="C68" s="150"/>
    </row>
    <row r="69" spans="2:3" x14ac:dyDescent="0.3">
      <c r="B69" s="149"/>
      <c r="C69" s="150"/>
    </row>
    <row r="70" spans="2:3" x14ac:dyDescent="0.3">
      <c r="B70" s="149"/>
      <c r="C70" s="150"/>
    </row>
    <row r="71" spans="2:3" x14ac:dyDescent="0.3">
      <c r="B71" s="149"/>
      <c r="C71" s="150"/>
    </row>
  </sheetData>
  <phoneticPr fontId="16" type="noConversion"/>
  <conditionalFormatting sqref="B23">
    <cfRule type="cellIs" dxfId="183" priority="2" operator="notEqual">
      <formula>0</formula>
    </cfRule>
  </conditionalFormatting>
  <conditionalFormatting sqref="B27">
    <cfRule type="cellIs" dxfId="182" priority="1" operator="notEqual">
      <formula>0</formula>
    </cfRule>
  </conditionalFormatting>
  <pageMargins left="0.7" right="0.7" top="0.75" bottom="0.75" header="0.3" footer="0.3"/>
  <ignoredErrors>
    <ignoredError sqref="B2:B4 B6:B8 B10:B12" numberStoredAsText="1"/>
  </ignoredErrors>
  <tableParts count="4">
    <tablePart r:id="rId1"/>
    <tablePart r:id="rId2"/>
    <tablePart r:id="rId3"/>
    <tablePart r:id="rId4"/>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AB2C6-DF9B-43DC-9CE0-A3C75D112734}">
  <sheetPr codeName="Sheet10">
    <tabColor theme="7" tint="0.79998168889431442"/>
  </sheetPr>
  <dimension ref="A1:CV1217"/>
  <sheetViews>
    <sheetView zoomScale="70" zoomScaleNormal="70" workbookViewId="0">
      <pane ySplit="1" topLeftCell="A785" activePane="bottomLeft" state="frozen"/>
      <selection activeCell="CL5" sqref="CL5"/>
      <selection pane="bottomLeft" activeCell="I816" sqref="I816"/>
    </sheetView>
  </sheetViews>
  <sheetFormatPr defaultRowHeight="14.4" outlineLevelCol="1" x14ac:dyDescent="0.3"/>
  <cols>
    <col min="1" max="1" width="10.8984375" style="20" bestFit="1" customWidth="1" outlineLevel="1"/>
    <col min="2" max="2" width="8.09765625" bestFit="1" customWidth="1" outlineLevel="1"/>
    <col min="3" max="3" width="14.5" bestFit="1" customWidth="1" outlineLevel="1"/>
    <col min="4" max="4" width="17.796875" bestFit="1" customWidth="1" outlineLevel="1"/>
    <col min="5" max="5" width="12.19921875" bestFit="1" customWidth="1" outlineLevel="1"/>
    <col min="6" max="6" width="15.09765625" bestFit="1" customWidth="1" outlineLevel="1"/>
    <col min="7" max="7" width="14.19921875" bestFit="1" customWidth="1" outlineLevel="1"/>
    <col min="8" max="8" width="10.296875" bestFit="1" customWidth="1" outlineLevel="1"/>
    <col min="9" max="9" width="14.296875" style="20" bestFit="1" customWidth="1" outlineLevel="1"/>
    <col min="10" max="10" width="14.19921875" style="20" bestFit="1" customWidth="1" outlineLevel="1"/>
    <col min="11" max="11" width="11.8984375" style="20" bestFit="1" customWidth="1" outlineLevel="1"/>
    <col min="12" max="12" width="15.3984375" style="20" bestFit="1" customWidth="1" outlineLevel="1"/>
    <col min="13" max="13" width="10.796875" style="14" bestFit="1" customWidth="1" outlineLevel="1"/>
    <col min="14" max="14" width="17.69921875" style="14" bestFit="1" customWidth="1" outlineLevel="1"/>
    <col min="15" max="15" width="12" style="14" bestFit="1" customWidth="1" outlineLevel="1"/>
    <col min="16" max="16" width="9" style="14" bestFit="1" customWidth="1" outlineLevel="1"/>
    <col min="17" max="17" width="17.69921875" style="14" bestFit="1" customWidth="1" outlineLevel="1"/>
    <col min="18" max="18" width="12" bestFit="1" customWidth="1" outlineLevel="1"/>
    <col min="19" max="19" width="20.5" bestFit="1" customWidth="1" outlineLevel="1"/>
    <col min="20" max="20" width="7.8984375" bestFit="1" customWidth="1" outlineLevel="1"/>
    <col min="21" max="21" width="18.19921875" bestFit="1" customWidth="1" outlineLevel="1"/>
    <col min="22" max="22" width="18.19921875" style="14" bestFit="1" customWidth="1" outlineLevel="1"/>
    <col min="23" max="23" width="8.19921875" style="14" bestFit="1" customWidth="1" outlineLevel="1"/>
    <col min="24" max="25" width="17.69921875" bestFit="1" customWidth="1" outlineLevel="1"/>
    <col min="26" max="26" width="7.5" style="126" bestFit="1" customWidth="1" outlineLevel="1"/>
    <col min="27" max="27" width="7.8984375" bestFit="1" customWidth="1"/>
    <col min="28" max="29" width="12.09765625" bestFit="1" customWidth="1"/>
    <col min="30" max="30" width="14.8984375" style="14" bestFit="1" customWidth="1"/>
    <col min="31" max="31" width="13.59765625" style="14" bestFit="1" customWidth="1"/>
    <col min="32" max="32" width="16" style="14" bestFit="1" customWidth="1"/>
    <col min="33" max="33" width="18.69921875" style="14" bestFit="1" customWidth="1"/>
    <col min="34" max="34" width="18.69921875" style="96" bestFit="1" customWidth="1"/>
    <col min="35" max="35" width="18.3984375" style="14" bestFit="1" customWidth="1"/>
    <col min="36" max="36" width="9" customWidth="1"/>
    <col min="37" max="37" width="13" bestFit="1" customWidth="1"/>
    <col min="38" max="38" width="10.09765625" customWidth="1"/>
    <col min="39" max="39" width="13.3984375" bestFit="1" customWidth="1"/>
    <col min="40" max="40" width="10.59765625" bestFit="1" customWidth="1"/>
    <col min="41" max="41" width="13" style="14" bestFit="1" customWidth="1"/>
    <col min="42" max="44" width="19.296875" style="14" customWidth="1"/>
    <col min="45" max="45" width="17.8984375" style="14" bestFit="1" customWidth="1"/>
    <col min="46" max="46" width="17.8984375" style="14" customWidth="1"/>
    <col min="47" max="47" width="8.296875" style="14" bestFit="1" customWidth="1"/>
    <col min="48" max="48" width="10.8984375" style="14" bestFit="1" customWidth="1"/>
    <col min="49" max="49" width="12.19921875" style="36" bestFit="1" customWidth="1"/>
    <col min="50" max="50" width="15.09765625" style="14" bestFit="1" customWidth="1"/>
    <col min="51" max="51" width="10" style="234" bestFit="1" customWidth="1"/>
    <col min="52" max="52" width="13.09765625" style="96" bestFit="1" customWidth="1"/>
    <col min="53" max="53" width="17.8984375" style="14" customWidth="1"/>
    <col min="54" max="54" width="10.8984375" bestFit="1" customWidth="1" outlineLevel="1"/>
    <col min="55" max="55" width="8.09765625" bestFit="1" customWidth="1" outlineLevel="1"/>
    <col min="56" max="56" width="13.3984375" bestFit="1" customWidth="1" outlineLevel="1"/>
    <col min="57" max="57" width="17.796875" bestFit="1" customWidth="1" outlineLevel="1"/>
    <col min="58" max="58" width="12.09765625" style="14" bestFit="1" customWidth="1" outlineLevel="1"/>
    <col min="59" max="59" width="15.09765625" style="25" bestFit="1" customWidth="1" outlineLevel="1"/>
    <col min="60" max="60" width="14.19921875" style="25" bestFit="1" customWidth="1" outlineLevel="1"/>
    <col min="61" max="61" width="10.296875" style="25" bestFit="1" customWidth="1" outlineLevel="1"/>
    <col min="62" max="62" width="14.296875" style="25" bestFit="1" customWidth="1" outlineLevel="1"/>
    <col min="63" max="63" width="14.19921875" style="25" bestFit="1" customWidth="1" outlineLevel="1"/>
    <col min="64" max="64" width="11.8984375" style="25" bestFit="1" customWidth="1" outlineLevel="1"/>
    <col min="65" max="65" width="15.3984375" style="15" bestFit="1" customWidth="1" outlineLevel="1"/>
    <col min="66" max="66" width="10.796875" style="15" bestFit="1" customWidth="1" outlineLevel="1"/>
    <col min="67" max="67" width="17.69921875" bestFit="1" customWidth="1" outlineLevel="1"/>
    <col min="68" max="68" width="12" bestFit="1" customWidth="1" outlineLevel="1"/>
    <col min="69" max="69" width="9" bestFit="1" customWidth="1" outlineLevel="1"/>
    <col min="70" max="70" width="17.69921875" bestFit="1" customWidth="1" outlineLevel="1"/>
    <col min="71" max="71" width="12" style="14" bestFit="1" customWidth="1" outlineLevel="1"/>
    <col min="72" max="72" width="20.5" style="14" bestFit="1" customWidth="1" outlineLevel="1"/>
    <col min="73" max="73" width="18.59765625" style="14" bestFit="1" customWidth="1" outlineLevel="1"/>
    <col min="74" max="74" width="22.09765625" style="14" bestFit="1" customWidth="1"/>
    <col min="75" max="75" width="11.69921875" bestFit="1" customWidth="1"/>
    <col min="76" max="76" width="13.796875" bestFit="1" customWidth="1"/>
    <col min="77" max="77" width="9.796875" bestFit="1" customWidth="1"/>
    <col min="78" max="78" width="14.3984375" bestFit="1" customWidth="1"/>
    <col min="79" max="79" width="8.796875" bestFit="1" customWidth="1"/>
    <col min="80" max="80" width="17.19921875" bestFit="1" customWidth="1"/>
    <col min="81" max="81" width="15.5" bestFit="1" customWidth="1"/>
    <col min="82" max="82" width="18.19921875" bestFit="1" customWidth="1"/>
    <col min="83" max="83" width="11.5" bestFit="1" customWidth="1"/>
    <col min="84" max="84" width="5" bestFit="1" customWidth="1"/>
    <col min="85" max="85" width="9.3984375" bestFit="1" customWidth="1"/>
    <col min="86" max="86" width="12.3984375" bestFit="1" customWidth="1"/>
    <col min="87" max="87" width="8.5" bestFit="1" customWidth="1"/>
    <col min="88" max="88" width="9.3984375" bestFit="1" customWidth="1"/>
    <col min="89" max="89" width="5" bestFit="1" customWidth="1"/>
    <col min="90" max="90" width="7.09765625" bestFit="1" customWidth="1"/>
    <col min="91" max="91" width="12.69921875" bestFit="1" customWidth="1"/>
    <col min="92" max="92" width="24.5" bestFit="1" customWidth="1"/>
    <col min="93" max="93" width="9.5" bestFit="1" customWidth="1"/>
    <col min="94" max="95" width="9.3984375" bestFit="1" customWidth="1"/>
    <col min="96" max="96" width="11.69921875" bestFit="1" customWidth="1"/>
    <col min="97" max="97" width="18" bestFit="1" customWidth="1"/>
    <col min="98" max="98" width="14.19921875" bestFit="1" customWidth="1"/>
    <col min="99" max="99" width="13.5" bestFit="1" customWidth="1"/>
    <col min="100" max="100" width="17.19921875" bestFit="1" customWidth="1"/>
  </cols>
  <sheetData>
    <row r="1" spans="1:100" x14ac:dyDescent="0.3">
      <c r="A1" s="20" t="s">
        <v>47</v>
      </c>
      <c r="B1" t="s">
        <v>48</v>
      </c>
      <c r="C1" t="s">
        <v>472</v>
      </c>
      <c r="D1" t="s">
        <v>49</v>
      </c>
      <c r="E1" t="s">
        <v>50</v>
      </c>
      <c r="F1" t="s">
        <v>51</v>
      </c>
      <c r="G1" t="s">
        <v>52</v>
      </c>
      <c r="H1" t="s">
        <v>53</v>
      </c>
      <c r="I1" s="20" t="s">
        <v>54</v>
      </c>
      <c r="J1" s="20" t="s">
        <v>55</v>
      </c>
      <c r="K1" s="20" t="s">
        <v>56</v>
      </c>
      <c r="L1" s="20" t="s">
        <v>57</v>
      </c>
      <c r="M1" s="14" t="s">
        <v>58</v>
      </c>
      <c r="N1" s="14" t="s">
        <v>59</v>
      </c>
      <c r="O1" s="23" t="s">
        <v>60</v>
      </c>
      <c r="P1" t="s">
        <v>62</v>
      </c>
      <c r="Q1" s="14" t="s">
        <v>63</v>
      </c>
      <c r="R1" t="s">
        <v>61</v>
      </c>
      <c r="S1" t="s">
        <v>1183</v>
      </c>
      <c r="T1" s="25" t="s">
        <v>1185</v>
      </c>
      <c r="U1" s="25" t="s">
        <v>1054</v>
      </c>
      <c r="V1" s="25" t="s">
        <v>502</v>
      </c>
      <c r="W1" s="15" t="s">
        <v>348</v>
      </c>
      <c r="X1" s="25" t="s">
        <v>490</v>
      </c>
      <c r="Y1" s="126" t="s">
        <v>985</v>
      </c>
      <c r="Z1" s="15" t="s">
        <v>1122</v>
      </c>
      <c r="AB1" s="66" t="s">
        <v>531</v>
      </c>
      <c r="AC1" s="14" t="s">
        <v>47</v>
      </c>
      <c r="AD1" s="14" t="s">
        <v>48</v>
      </c>
      <c r="AE1" s="14" t="s">
        <v>532</v>
      </c>
      <c r="AF1" s="14" t="s">
        <v>53</v>
      </c>
      <c r="AG1" s="96" t="s">
        <v>59</v>
      </c>
      <c r="AH1" s="14" t="s">
        <v>52</v>
      </c>
      <c r="AI1" s="14" t="s">
        <v>51</v>
      </c>
      <c r="AK1" s="13" t="s">
        <v>539</v>
      </c>
      <c r="AL1" t="s">
        <v>47</v>
      </c>
      <c r="AM1" t="s">
        <v>48</v>
      </c>
      <c r="AN1" t="s">
        <v>532</v>
      </c>
      <c r="AO1" t="s">
        <v>51</v>
      </c>
      <c r="AP1" t="s">
        <v>53</v>
      </c>
      <c r="AQ1" s="14" t="s">
        <v>537</v>
      </c>
      <c r="AR1" s="14" t="s">
        <v>538</v>
      </c>
      <c r="AS1" t="s">
        <v>1088</v>
      </c>
      <c r="AT1"/>
      <c r="AU1" s="13" t="s">
        <v>1118</v>
      </c>
      <c r="AV1" s="20" t="s">
        <v>47</v>
      </c>
      <c r="AW1" t="s">
        <v>472</v>
      </c>
      <c r="AX1" s="234" t="s">
        <v>51</v>
      </c>
      <c r="AY1" s="96" t="s">
        <v>1054</v>
      </c>
      <c r="AZ1"/>
      <c r="BA1" s="13" t="s">
        <v>1003</v>
      </c>
      <c r="BB1" s="20" t="s">
        <v>47</v>
      </c>
      <c r="BC1" t="s">
        <v>48</v>
      </c>
      <c r="BD1" t="s">
        <v>472</v>
      </c>
      <c r="BE1" t="s">
        <v>49</v>
      </c>
      <c r="BF1" t="s">
        <v>50</v>
      </c>
      <c r="BG1" t="s">
        <v>51</v>
      </c>
      <c r="BH1" t="s">
        <v>52</v>
      </c>
      <c r="BI1" t="s">
        <v>53</v>
      </c>
      <c r="BJ1" s="20" t="s">
        <v>54</v>
      </c>
      <c r="BK1" s="20" t="s">
        <v>55</v>
      </c>
      <c r="BL1" s="20" t="s">
        <v>56</v>
      </c>
      <c r="BM1" s="20" t="s">
        <v>57</v>
      </c>
      <c r="BN1" s="14" t="s">
        <v>58</v>
      </c>
      <c r="BO1" s="14" t="s">
        <v>59</v>
      </c>
      <c r="BP1" s="23" t="s">
        <v>60</v>
      </c>
      <c r="BQ1" t="s">
        <v>62</v>
      </c>
      <c r="BR1" s="14" t="s">
        <v>63</v>
      </c>
      <c r="BS1" t="s">
        <v>61</v>
      </c>
      <c r="BT1" t="s">
        <v>1183</v>
      </c>
      <c r="BU1" s="126" t="s">
        <v>988</v>
      </c>
      <c r="BV1"/>
      <c r="BW1" s="13" t="s">
        <v>1410</v>
      </c>
      <c r="BX1" t="s">
        <v>366</v>
      </c>
      <c r="BY1" t="s">
        <v>1411</v>
      </c>
      <c r="BZ1" t="s">
        <v>1412</v>
      </c>
      <c r="CA1" t="s">
        <v>1413</v>
      </c>
      <c r="CB1" t="s">
        <v>368</v>
      </c>
      <c r="CC1" t="s">
        <v>1414</v>
      </c>
      <c r="CD1" t="s">
        <v>1415</v>
      </c>
      <c r="CE1" t="s">
        <v>1416</v>
      </c>
      <c r="CF1" t="s">
        <v>1417</v>
      </c>
      <c r="CG1" t="s">
        <v>371</v>
      </c>
      <c r="CH1" t="s">
        <v>373</v>
      </c>
      <c r="CI1" t="s">
        <v>15</v>
      </c>
      <c r="CJ1" t="s">
        <v>369</v>
      </c>
      <c r="CK1" t="s">
        <v>726</v>
      </c>
      <c r="CL1" t="s">
        <v>1418</v>
      </c>
      <c r="CM1" t="s">
        <v>1419</v>
      </c>
      <c r="CN1" t="s">
        <v>1420</v>
      </c>
      <c r="CO1" t="s">
        <v>1421</v>
      </c>
      <c r="CP1" t="s">
        <v>1422</v>
      </c>
      <c r="CQ1" t="s">
        <v>1423</v>
      </c>
      <c r="CR1" t="s">
        <v>1424</v>
      </c>
      <c r="CS1" t="s">
        <v>1425</v>
      </c>
      <c r="CT1" t="s">
        <v>1426</v>
      </c>
      <c r="CU1" t="s">
        <v>1427</v>
      </c>
      <c r="CV1" t="s">
        <v>1428</v>
      </c>
    </row>
    <row r="2" spans="1:100" x14ac:dyDescent="0.3">
      <c r="A2" s="93">
        <v>46262</v>
      </c>
      <c r="B2">
        <v>13643</v>
      </c>
      <c r="C2" s="56" t="s">
        <v>336</v>
      </c>
      <c r="D2" t="s">
        <v>314</v>
      </c>
      <c r="E2" t="s">
        <v>330</v>
      </c>
      <c r="F2" t="s">
        <v>35</v>
      </c>
      <c r="G2" t="s">
        <v>310</v>
      </c>
      <c r="H2" t="s">
        <v>300</v>
      </c>
      <c r="I2" s="93">
        <v>42955</v>
      </c>
      <c r="J2" s="93">
        <v>42957</v>
      </c>
      <c r="K2" s="93">
        <v>42957</v>
      </c>
      <c r="L2" s="93">
        <v>46609</v>
      </c>
      <c r="M2" s="14">
        <v>5000000</v>
      </c>
      <c r="N2" s="14">
        <v>500000000000</v>
      </c>
      <c r="O2" s="56">
        <v>100</v>
      </c>
      <c r="P2" s="56">
        <v>0</v>
      </c>
      <c r="Q2" s="14">
        <v>500000000000</v>
      </c>
      <c r="R2">
        <v>7.5</v>
      </c>
      <c r="S2" t="s">
        <v>1184</v>
      </c>
      <c r="T2" s="57">
        <f>IF(Dealps[[#This Row],[MATURITY_DATE]]-Dealps[[#This Row],[POSTED_DT]]&lt;0,0,IF(Dealps[[#This Row],[VALUE_DATE]]-Dealps[[#This Row],[POSTED_DT]]&gt;0,Dealps[[#This Row],[MATURITY_DATE]]-Dealps[[#This Row],[VALUE_DATE]],Dealps[[#This Row],[MATURITY_DATE]]-Dealps[[#This Row],[POSTED_DT]]))</f>
        <v>347</v>
      </c>
      <c r="U2" s="25">
        <f>IF(Dealps[[#This Row],[TENOR]]=0,0,IF(Dealps[[#This Row],[DEAL_TYPE]]="B",Dealps[[#This Row],[FACE_AMOUNT]],-Dealps[[#This Row],[FACE_AMOUNT]]))</f>
        <v>500000000000</v>
      </c>
      <c r="V2" s="25">
        <f>_xlfn.XLOOKUP(Dealps[[#This Row],[PAPER_CODE]],FNRP!D:D,FNRP!H:H,0,0)/100*Dealps[[#This Row],[AMOUNT]]</f>
        <v>0</v>
      </c>
      <c r="W2" s="57" t="str">
        <f>IF(Dealps[[#This Row],[TRANSACTION_STATUS]]&lt;&gt;"V","Ngoai BS",IF(Dealps[[#This Row],[POSTED_DT]]&gt;=Dealps[[#This Row],[VALUE_DATE]],"On BS","Off BS"))</f>
        <v>On BS</v>
      </c>
      <c r="X2" s="25">
        <f>SUMIFS(U:U,C:C,Dealps[[#This Row],[PAPER_CODE]])</f>
        <v>0</v>
      </c>
      <c r="Y2" s="25">
        <f>_xlfn.XLOOKUP(Dealps[[#This Row],[DEAL_ID]],Ref!N:N,Ref!Q:Q,0,0)</f>
        <v>0</v>
      </c>
      <c r="Z2" s="25" t="str">
        <f>IF(Dealps[[#This Row],[CPTY_CODE]]=Dealps[[#This Row],[CPTY_CODE_ISSUER]],"Yes","No")</f>
        <v>No</v>
      </c>
      <c r="AA2" s="25"/>
      <c r="AC2" s="14"/>
      <c r="AG2" s="96"/>
      <c r="AH2" s="14"/>
      <c r="AL2" s="20"/>
      <c r="AN2" s="23"/>
      <c r="AO2" s="23"/>
      <c r="AP2" s="23"/>
      <c r="AS2" s="23"/>
      <c r="AV2" s="20"/>
      <c r="AW2"/>
      <c r="AX2"/>
      <c r="AY2" s="96"/>
      <c r="AZ2" s="14"/>
      <c r="BA2"/>
      <c r="BB2" s="93">
        <v>46262</v>
      </c>
      <c r="BC2">
        <v>46833</v>
      </c>
      <c r="BD2" s="56" t="s">
        <v>1028</v>
      </c>
      <c r="BE2" t="s">
        <v>1011</v>
      </c>
      <c r="BF2" t="s">
        <v>1031</v>
      </c>
      <c r="BG2" t="s">
        <v>35</v>
      </c>
      <c r="BH2" t="s">
        <v>310</v>
      </c>
      <c r="BI2" t="s">
        <v>311</v>
      </c>
      <c r="BJ2" s="93">
        <v>45849</v>
      </c>
      <c r="BK2" s="93">
        <v>45849</v>
      </c>
      <c r="BL2" s="93">
        <v>45849</v>
      </c>
      <c r="BM2" s="93">
        <v>47675</v>
      </c>
      <c r="BN2" s="14">
        <v>200</v>
      </c>
      <c r="BO2" s="14">
        <v>200000000000</v>
      </c>
      <c r="BP2" s="56">
        <v>100</v>
      </c>
      <c r="BQ2" s="56">
        <v>0</v>
      </c>
      <c r="BR2" s="14">
        <v>200000000000</v>
      </c>
      <c r="BS2">
        <v>6.1998969480000001</v>
      </c>
      <c r="BT2" t="s">
        <v>1184</v>
      </c>
      <c r="BU2" s="25">
        <f>_xlfn.XLOOKUP(Dealps_MSB[[#This Row],[DEAL_ID]],Ref!V:V,Ref!X:X,0,0)</f>
        <v>0</v>
      </c>
      <c r="BV2"/>
      <c r="BY2" s="20"/>
      <c r="BZ2" s="20"/>
      <c r="CG2" s="20"/>
      <c r="CH2" s="20"/>
      <c r="CR2" s="20"/>
      <c r="CT2" s="20"/>
    </row>
    <row r="3" spans="1:100" x14ac:dyDescent="0.3">
      <c r="A3" s="93">
        <v>46262</v>
      </c>
      <c r="B3">
        <v>13644</v>
      </c>
      <c r="C3" s="56" t="s">
        <v>336</v>
      </c>
      <c r="D3" t="s">
        <v>314</v>
      </c>
      <c r="E3" t="s">
        <v>330</v>
      </c>
      <c r="F3" t="s">
        <v>35</v>
      </c>
      <c r="G3" t="s">
        <v>310</v>
      </c>
      <c r="H3" t="s">
        <v>300</v>
      </c>
      <c r="I3" s="93">
        <v>42955</v>
      </c>
      <c r="J3" s="93">
        <v>42957</v>
      </c>
      <c r="K3" s="93">
        <v>42957</v>
      </c>
      <c r="L3" s="93">
        <v>46609</v>
      </c>
      <c r="M3" s="14">
        <v>5000000</v>
      </c>
      <c r="N3" s="14">
        <v>500000000000</v>
      </c>
      <c r="O3" s="56">
        <v>100</v>
      </c>
      <c r="P3" s="56">
        <v>0</v>
      </c>
      <c r="Q3" s="14">
        <v>500000000000</v>
      </c>
      <c r="R3">
        <v>7.5</v>
      </c>
      <c r="S3" t="s">
        <v>1184</v>
      </c>
      <c r="T3" s="57">
        <f>IF(Dealps[[#This Row],[MATURITY_DATE]]-Dealps[[#This Row],[POSTED_DT]]&lt;0,0,IF(Dealps[[#This Row],[VALUE_DATE]]-Dealps[[#This Row],[POSTED_DT]]&gt;0,Dealps[[#This Row],[MATURITY_DATE]]-Dealps[[#This Row],[VALUE_DATE]],Dealps[[#This Row],[MATURITY_DATE]]-Dealps[[#This Row],[POSTED_DT]]))</f>
        <v>347</v>
      </c>
      <c r="U3" s="25">
        <f>IF(Dealps[[#This Row],[TENOR]]=0,0,IF(Dealps[[#This Row],[DEAL_TYPE]]="B",Dealps[[#This Row],[FACE_AMOUNT]],-Dealps[[#This Row],[FACE_AMOUNT]]))</f>
        <v>500000000000</v>
      </c>
      <c r="V3" s="25">
        <f>_xlfn.XLOOKUP(Dealps[[#This Row],[PAPER_CODE]],FNRP!D:D,FNRP!H:H,0,0)/100*Dealps[[#This Row],[AMOUNT]]</f>
        <v>0</v>
      </c>
      <c r="W3" s="57" t="str">
        <f>IF(Dealps[[#This Row],[TRANSACTION_STATUS]]&lt;&gt;"V","Ngoai BS",IF(Dealps[[#This Row],[POSTED_DT]]&gt;=Dealps[[#This Row],[VALUE_DATE]],"On BS","Off BS"))</f>
        <v>On BS</v>
      </c>
      <c r="X3" s="25">
        <f>SUMIFS(U:U,C:C,Dealps[[#This Row],[PAPER_CODE]])</f>
        <v>0</v>
      </c>
      <c r="Y3" s="25">
        <f>_xlfn.XLOOKUP(Dealps[[#This Row],[DEAL_ID]],Ref!N:N,Ref!Q:Q,0,0)</f>
        <v>0</v>
      </c>
      <c r="Z3" s="25" t="str">
        <f>IF(Dealps[[#This Row],[CPTY_CODE]]=Dealps[[#This Row],[CPTY_CODE_ISSUER]],"Yes","No")</f>
        <v>No</v>
      </c>
      <c r="AA3" s="25"/>
      <c r="AC3" s="14"/>
      <c r="AG3" s="96"/>
      <c r="AH3" s="14"/>
      <c r="AI3"/>
      <c r="AN3" s="14"/>
      <c r="AV3" s="36"/>
      <c r="AW3" s="14"/>
      <c r="AX3" s="234"/>
      <c r="AY3" s="96"/>
      <c r="AZ3" s="14"/>
      <c r="BA3"/>
      <c r="BB3" s="93">
        <v>46262</v>
      </c>
      <c r="BC3">
        <v>46834</v>
      </c>
      <c r="BD3" s="56" t="s">
        <v>1028</v>
      </c>
      <c r="BE3" t="s">
        <v>1011</v>
      </c>
      <c r="BF3" t="s">
        <v>1032</v>
      </c>
      <c r="BG3" t="s">
        <v>35</v>
      </c>
      <c r="BH3" t="s">
        <v>310</v>
      </c>
      <c r="BI3" t="s">
        <v>311</v>
      </c>
      <c r="BJ3" s="93">
        <v>45849</v>
      </c>
      <c r="BK3" s="93">
        <v>45849</v>
      </c>
      <c r="BL3" s="93">
        <v>45849</v>
      </c>
      <c r="BM3" s="93">
        <v>47675</v>
      </c>
      <c r="BN3" s="14">
        <v>200</v>
      </c>
      <c r="BO3" s="14">
        <v>200000000000</v>
      </c>
      <c r="BP3" s="56">
        <v>100</v>
      </c>
      <c r="BQ3" s="56">
        <v>0</v>
      </c>
      <c r="BR3" s="14">
        <v>200000000000</v>
      </c>
      <c r="BS3">
        <v>6.1998969480000001</v>
      </c>
      <c r="BT3" t="s">
        <v>1184</v>
      </c>
      <c r="BU3" s="25">
        <f>_xlfn.XLOOKUP(Dealps_MSB[[#This Row],[DEAL_ID]],Ref!V:V,Ref!X:X,0,0)</f>
        <v>0</v>
      </c>
      <c r="BV3"/>
    </row>
    <row r="4" spans="1:100" x14ac:dyDescent="0.3">
      <c r="A4" s="93">
        <v>46262</v>
      </c>
      <c r="B4">
        <v>13910</v>
      </c>
      <c r="C4" s="56" t="s">
        <v>43</v>
      </c>
      <c r="D4" t="s">
        <v>315</v>
      </c>
      <c r="E4" t="s">
        <v>317</v>
      </c>
      <c r="F4" t="s">
        <v>35</v>
      </c>
      <c r="G4" t="s">
        <v>310</v>
      </c>
      <c r="H4" t="s">
        <v>300</v>
      </c>
      <c r="I4" s="93">
        <v>42983</v>
      </c>
      <c r="J4" s="93">
        <v>42985</v>
      </c>
      <c r="K4" s="93">
        <v>42985</v>
      </c>
      <c r="L4" s="93">
        <v>46637</v>
      </c>
      <c r="M4" s="14">
        <v>5000</v>
      </c>
      <c r="N4" s="14">
        <v>500000000000</v>
      </c>
      <c r="O4" s="56">
        <v>100</v>
      </c>
      <c r="P4" s="56">
        <v>0</v>
      </c>
      <c r="Q4" s="14">
        <v>500000000000</v>
      </c>
      <c r="R4">
        <v>8.4</v>
      </c>
      <c r="S4" t="s">
        <v>1184</v>
      </c>
      <c r="T4" s="57">
        <f>IF(Dealps[[#This Row],[MATURITY_DATE]]-Dealps[[#This Row],[POSTED_DT]]&lt;0,0,IF(Dealps[[#This Row],[VALUE_DATE]]-Dealps[[#This Row],[POSTED_DT]]&gt;0,Dealps[[#This Row],[MATURITY_DATE]]-Dealps[[#This Row],[VALUE_DATE]],Dealps[[#This Row],[MATURITY_DATE]]-Dealps[[#This Row],[POSTED_DT]]))</f>
        <v>375</v>
      </c>
      <c r="U4" s="25">
        <f>IF(Dealps[[#This Row],[TENOR]]=0,0,IF(Dealps[[#This Row],[DEAL_TYPE]]="B",Dealps[[#This Row],[FACE_AMOUNT]],-Dealps[[#This Row],[FACE_AMOUNT]]))</f>
        <v>500000000000</v>
      </c>
      <c r="V4" s="25">
        <f>_xlfn.XLOOKUP(Dealps[[#This Row],[PAPER_CODE]],FNRP!D:D,FNRP!H:H,0,0)/100*Dealps[[#This Row],[AMOUNT]]</f>
        <v>522552858345</v>
      </c>
      <c r="W4" s="57" t="str">
        <f>IF(Dealps[[#This Row],[TRANSACTION_STATUS]]&lt;&gt;"V","Ngoai BS",IF(Dealps[[#This Row],[POSTED_DT]]&gt;=Dealps[[#This Row],[VALUE_DATE]],"On BS","Off BS"))</f>
        <v>On BS</v>
      </c>
      <c r="X4" s="25">
        <f>SUMIFS(U:U,C:C,Dealps[[#This Row],[PAPER_CODE]])</f>
        <v>500000000000</v>
      </c>
      <c r="Y4" s="25">
        <f>_xlfn.XLOOKUP(Dealps[[#This Row],[DEAL_ID]],Ref!N:N,Ref!Q:Q,0,0)</f>
        <v>0</v>
      </c>
      <c r="Z4" s="25" t="str">
        <f>IF(Dealps[[#This Row],[CPTY_CODE]]=Dealps[[#This Row],[CPTY_CODE_ISSUER]],"Yes","No")</f>
        <v>No</v>
      </c>
      <c r="AA4" s="25"/>
      <c r="AC4" s="14"/>
      <c r="AG4" s="96"/>
      <c r="AH4" s="14"/>
      <c r="AI4"/>
      <c r="AN4" s="14"/>
      <c r="AV4" s="36"/>
      <c r="AW4" s="14"/>
      <c r="AX4" s="234"/>
      <c r="AY4" s="96"/>
      <c r="AZ4" s="14"/>
      <c r="BA4"/>
      <c r="BB4" s="93">
        <v>46262</v>
      </c>
      <c r="BC4">
        <v>4706</v>
      </c>
      <c r="BD4" s="56" t="s">
        <v>1446</v>
      </c>
      <c r="BE4" t="s">
        <v>1011</v>
      </c>
      <c r="BF4" t="s">
        <v>327</v>
      </c>
      <c r="BG4" t="s">
        <v>364</v>
      </c>
      <c r="BH4" t="s">
        <v>310</v>
      </c>
      <c r="BI4" t="s">
        <v>311</v>
      </c>
      <c r="BJ4" s="93">
        <v>46218</v>
      </c>
      <c r="BK4" s="93">
        <v>46218</v>
      </c>
      <c r="BL4" s="93">
        <v>46219</v>
      </c>
      <c r="BM4" s="93">
        <v>46399</v>
      </c>
      <c r="BN4" s="14">
        <v>1</v>
      </c>
      <c r="BO4" s="14">
        <v>800000000000</v>
      </c>
      <c r="BP4" s="56">
        <v>100</v>
      </c>
      <c r="BQ4" s="56">
        <v>0</v>
      </c>
      <c r="BR4" s="14">
        <v>800000000000</v>
      </c>
      <c r="BS4">
        <v>8.9</v>
      </c>
      <c r="BT4" t="s">
        <v>1184</v>
      </c>
      <c r="BU4" s="25">
        <f>_xlfn.XLOOKUP(Dealps_MSB[[#This Row],[DEAL_ID]],Ref!V:V,Ref!X:X,0,0)</f>
        <v>0</v>
      </c>
      <c r="BV4"/>
    </row>
    <row r="5" spans="1:100" x14ac:dyDescent="0.3">
      <c r="A5" s="93">
        <v>46262</v>
      </c>
      <c r="B5">
        <v>15087</v>
      </c>
      <c r="C5" s="56" t="s">
        <v>336</v>
      </c>
      <c r="D5" t="s">
        <v>314</v>
      </c>
      <c r="E5" t="s">
        <v>332</v>
      </c>
      <c r="F5" t="s">
        <v>35</v>
      </c>
      <c r="G5" t="s">
        <v>310</v>
      </c>
      <c r="H5" t="s">
        <v>311</v>
      </c>
      <c r="I5" s="93">
        <v>43076</v>
      </c>
      <c r="J5" s="93">
        <v>43075</v>
      </c>
      <c r="K5" s="93">
        <v>43077</v>
      </c>
      <c r="L5" s="93">
        <v>46609</v>
      </c>
      <c r="M5" s="14">
        <v>450000</v>
      </c>
      <c r="N5" s="14">
        <v>45000000000</v>
      </c>
      <c r="O5" s="56">
        <v>100.00024657500001</v>
      </c>
      <c r="P5" s="56">
        <v>2</v>
      </c>
      <c r="Q5" s="14">
        <v>46109700000</v>
      </c>
      <c r="R5">
        <v>7.7</v>
      </c>
      <c r="S5" t="s">
        <v>1184</v>
      </c>
      <c r="T5" s="57">
        <f>IF(Dealps[[#This Row],[MATURITY_DATE]]-Dealps[[#This Row],[POSTED_DT]]&lt;0,0,IF(Dealps[[#This Row],[VALUE_DATE]]-Dealps[[#This Row],[POSTED_DT]]&gt;0,Dealps[[#This Row],[MATURITY_DATE]]-Dealps[[#This Row],[VALUE_DATE]],Dealps[[#This Row],[MATURITY_DATE]]-Dealps[[#This Row],[POSTED_DT]]))</f>
        <v>347</v>
      </c>
      <c r="U5" s="25">
        <f>IF(Dealps[[#This Row],[TENOR]]=0,0,IF(Dealps[[#This Row],[DEAL_TYPE]]="B",Dealps[[#This Row],[FACE_AMOUNT]],-Dealps[[#This Row],[FACE_AMOUNT]]))</f>
        <v>-45000000000</v>
      </c>
      <c r="V5" s="25">
        <f>_xlfn.XLOOKUP(Dealps[[#This Row],[PAPER_CODE]],FNRP!D:D,FNRP!H:H,0,0)/100*Dealps[[#This Row],[AMOUNT]]</f>
        <v>0</v>
      </c>
      <c r="W5" s="57" t="str">
        <f>IF(Dealps[[#This Row],[TRANSACTION_STATUS]]&lt;&gt;"V","Ngoai BS",IF(Dealps[[#This Row],[POSTED_DT]]&gt;=Dealps[[#This Row],[VALUE_DATE]],"On BS","Off BS"))</f>
        <v>On BS</v>
      </c>
      <c r="X5" s="25">
        <f>SUMIFS(U:U,C:C,Dealps[[#This Row],[PAPER_CODE]])</f>
        <v>0</v>
      </c>
      <c r="Y5" s="25">
        <f>_xlfn.XLOOKUP(Dealps[[#This Row],[DEAL_ID]],Ref!N:N,Ref!Q:Q,0,0)</f>
        <v>0</v>
      </c>
      <c r="Z5" s="25" t="str">
        <f>IF(Dealps[[#This Row],[CPTY_CODE]]=Dealps[[#This Row],[CPTY_CODE_ISSUER]],"Yes","No")</f>
        <v>No</v>
      </c>
      <c r="AA5" s="25"/>
      <c r="AC5" s="14"/>
      <c r="AG5" s="96"/>
      <c r="AH5" s="14"/>
      <c r="AI5"/>
      <c r="AN5" s="14"/>
      <c r="AV5" s="36"/>
      <c r="AW5" s="14"/>
      <c r="AX5" s="234"/>
      <c r="AY5" s="96"/>
      <c r="AZ5" s="14"/>
      <c r="BA5"/>
      <c r="BB5" s="93">
        <v>46262</v>
      </c>
      <c r="BC5">
        <v>4707</v>
      </c>
      <c r="BD5" s="56" t="s">
        <v>1446</v>
      </c>
      <c r="BE5" t="s">
        <v>1011</v>
      </c>
      <c r="BF5" t="s">
        <v>327</v>
      </c>
      <c r="BG5" t="s">
        <v>364</v>
      </c>
      <c r="BH5" t="s">
        <v>310</v>
      </c>
      <c r="BI5" t="s">
        <v>311</v>
      </c>
      <c r="BJ5" s="93">
        <v>46218</v>
      </c>
      <c r="BK5" s="93">
        <v>46218</v>
      </c>
      <c r="BL5" s="93">
        <v>46219</v>
      </c>
      <c r="BM5" s="93">
        <v>46399</v>
      </c>
      <c r="BN5" s="14">
        <v>1</v>
      </c>
      <c r="BO5" s="14">
        <v>800000000000</v>
      </c>
      <c r="BP5" s="56">
        <v>100</v>
      </c>
      <c r="BQ5" s="56">
        <v>0</v>
      </c>
      <c r="BR5" s="14">
        <v>800000000000</v>
      </c>
      <c r="BS5">
        <v>8.9</v>
      </c>
      <c r="BT5" t="s">
        <v>1184</v>
      </c>
      <c r="BU5" s="25">
        <f>_xlfn.XLOOKUP(Dealps_MSB[[#This Row],[DEAL_ID]],Ref!V:V,Ref!X:X,0,0)</f>
        <v>0</v>
      </c>
      <c r="BV5"/>
    </row>
    <row r="6" spans="1:100" x14ac:dyDescent="0.3">
      <c r="A6" s="93">
        <v>46262</v>
      </c>
      <c r="B6">
        <v>15730</v>
      </c>
      <c r="C6" s="56" t="s">
        <v>336</v>
      </c>
      <c r="D6" t="s">
        <v>314</v>
      </c>
      <c r="E6" t="s">
        <v>326</v>
      </c>
      <c r="F6" t="s">
        <v>35</v>
      </c>
      <c r="G6" t="s">
        <v>310</v>
      </c>
      <c r="H6" t="s">
        <v>311</v>
      </c>
      <c r="I6" s="93">
        <v>43110</v>
      </c>
      <c r="J6" s="93">
        <v>43110</v>
      </c>
      <c r="K6" s="93">
        <v>43112</v>
      </c>
      <c r="L6" s="93">
        <v>46609</v>
      </c>
      <c r="M6" s="14">
        <v>2500000</v>
      </c>
      <c r="N6" s="14">
        <v>250000000000</v>
      </c>
      <c r="O6" s="56">
        <v>100</v>
      </c>
      <c r="P6" s="56">
        <v>3</v>
      </c>
      <c r="Q6" s="14">
        <v>257962328767</v>
      </c>
      <c r="R6">
        <v>7.7</v>
      </c>
      <c r="S6" t="s">
        <v>1184</v>
      </c>
      <c r="T6" s="57">
        <f>IF(Dealps[[#This Row],[MATURITY_DATE]]-Dealps[[#This Row],[POSTED_DT]]&lt;0,0,IF(Dealps[[#This Row],[VALUE_DATE]]-Dealps[[#This Row],[POSTED_DT]]&gt;0,Dealps[[#This Row],[MATURITY_DATE]]-Dealps[[#This Row],[VALUE_DATE]],Dealps[[#This Row],[MATURITY_DATE]]-Dealps[[#This Row],[POSTED_DT]]))</f>
        <v>347</v>
      </c>
      <c r="U6" s="25">
        <f>IF(Dealps[[#This Row],[TENOR]]=0,0,IF(Dealps[[#This Row],[DEAL_TYPE]]="B",Dealps[[#This Row],[FACE_AMOUNT]],-Dealps[[#This Row],[FACE_AMOUNT]]))</f>
        <v>-250000000000</v>
      </c>
      <c r="V6" s="25">
        <f>_xlfn.XLOOKUP(Dealps[[#This Row],[PAPER_CODE]],FNRP!D:D,FNRP!H:H,0,0)/100*Dealps[[#This Row],[AMOUNT]]</f>
        <v>0</v>
      </c>
      <c r="W6" s="57" t="str">
        <f>IF(Dealps[[#This Row],[TRANSACTION_STATUS]]&lt;&gt;"V","Ngoai BS",IF(Dealps[[#This Row],[POSTED_DT]]&gt;=Dealps[[#This Row],[VALUE_DATE]],"On BS","Off BS"))</f>
        <v>On BS</v>
      </c>
      <c r="X6" s="25">
        <f>SUMIFS(U:U,C:C,Dealps[[#This Row],[PAPER_CODE]])</f>
        <v>0</v>
      </c>
      <c r="Y6" s="25">
        <f>_xlfn.XLOOKUP(Dealps[[#This Row],[DEAL_ID]],Ref!N:N,Ref!Q:Q,0,0)</f>
        <v>0</v>
      </c>
      <c r="Z6" s="25" t="str">
        <f>IF(Dealps[[#This Row],[CPTY_CODE]]=Dealps[[#This Row],[CPTY_CODE_ISSUER]],"Yes","No")</f>
        <v>No</v>
      </c>
      <c r="AA6" s="25"/>
      <c r="AC6" s="14"/>
      <c r="AG6" s="96"/>
      <c r="AH6" s="14"/>
      <c r="AI6"/>
      <c r="AN6" s="14"/>
      <c r="AV6" s="36"/>
      <c r="AW6" s="14"/>
      <c r="AX6" s="234"/>
      <c r="AY6" s="96"/>
      <c r="AZ6" s="14"/>
      <c r="BA6"/>
      <c r="BB6" s="93">
        <v>46262</v>
      </c>
      <c r="BC6">
        <v>1472</v>
      </c>
      <c r="BD6" s="56" t="s">
        <v>1014</v>
      </c>
      <c r="BE6" t="s">
        <v>1011</v>
      </c>
      <c r="BF6" t="s">
        <v>1015</v>
      </c>
      <c r="BG6" t="s">
        <v>364</v>
      </c>
      <c r="BH6" t="s">
        <v>1013</v>
      </c>
      <c r="BI6" t="s">
        <v>311</v>
      </c>
      <c r="BJ6" s="93">
        <v>45713</v>
      </c>
      <c r="BK6" s="93">
        <v>45713</v>
      </c>
      <c r="BL6" s="93">
        <v>45713</v>
      </c>
      <c r="BM6" s="93">
        <v>46443</v>
      </c>
      <c r="BN6" s="14">
        <v>1</v>
      </c>
      <c r="BO6" s="14">
        <v>20000000000</v>
      </c>
      <c r="BP6" s="56">
        <v>100</v>
      </c>
      <c r="BQ6" s="56">
        <v>0</v>
      </c>
      <c r="BR6" s="14">
        <v>20000000000</v>
      </c>
      <c r="BS6">
        <v>4.5</v>
      </c>
      <c r="BT6" t="s">
        <v>1184</v>
      </c>
      <c r="BU6" s="25">
        <f>_xlfn.XLOOKUP(Dealps_MSB[[#This Row],[DEAL_ID]],Ref!V:V,Ref!X:X,0,0)</f>
        <v>0</v>
      </c>
      <c r="BV6"/>
    </row>
    <row r="7" spans="1:100" x14ac:dyDescent="0.3">
      <c r="A7" s="93">
        <v>46262</v>
      </c>
      <c r="B7">
        <v>15885</v>
      </c>
      <c r="C7" s="56" t="s">
        <v>336</v>
      </c>
      <c r="D7" t="s">
        <v>314</v>
      </c>
      <c r="E7" t="s">
        <v>326</v>
      </c>
      <c r="F7" t="s">
        <v>35</v>
      </c>
      <c r="G7" t="s">
        <v>310</v>
      </c>
      <c r="H7" t="s">
        <v>300</v>
      </c>
      <c r="I7" s="93">
        <v>43126</v>
      </c>
      <c r="J7" s="93">
        <v>43126</v>
      </c>
      <c r="K7" s="93">
        <v>43140</v>
      </c>
      <c r="L7" s="93">
        <v>46609</v>
      </c>
      <c r="M7" s="14">
        <v>2500000</v>
      </c>
      <c r="N7" s="14">
        <v>250000000000</v>
      </c>
      <c r="O7" s="56">
        <v>99.765026457999994</v>
      </c>
      <c r="P7" s="56">
        <v>4</v>
      </c>
      <c r="Q7" s="14">
        <v>258813251079</v>
      </c>
      <c r="R7">
        <v>7.7</v>
      </c>
      <c r="S7" t="s">
        <v>1184</v>
      </c>
      <c r="T7" s="57">
        <f>IF(Dealps[[#This Row],[MATURITY_DATE]]-Dealps[[#This Row],[POSTED_DT]]&lt;0,0,IF(Dealps[[#This Row],[VALUE_DATE]]-Dealps[[#This Row],[POSTED_DT]]&gt;0,Dealps[[#This Row],[MATURITY_DATE]]-Dealps[[#This Row],[VALUE_DATE]],Dealps[[#This Row],[MATURITY_DATE]]-Dealps[[#This Row],[POSTED_DT]]))</f>
        <v>347</v>
      </c>
      <c r="U7" s="25">
        <f>IF(Dealps[[#This Row],[TENOR]]=0,0,IF(Dealps[[#This Row],[DEAL_TYPE]]="B",Dealps[[#This Row],[FACE_AMOUNT]],-Dealps[[#This Row],[FACE_AMOUNT]]))</f>
        <v>250000000000</v>
      </c>
      <c r="V7" s="25">
        <f>_xlfn.XLOOKUP(Dealps[[#This Row],[PAPER_CODE]],FNRP!D:D,FNRP!H:H,0,0)/100*Dealps[[#This Row],[AMOUNT]]</f>
        <v>0</v>
      </c>
      <c r="W7" s="57" t="str">
        <f>IF(Dealps[[#This Row],[TRANSACTION_STATUS]]&lt;&gt;"V","Ngoai BS",IF(Dealps[[#This Row],[POSTED_DT]]&gt;=Dealps[[#This Row],[VALUE_DATE]],"On BS","Off BS"))</f>
        <v>On BS</v>
      </c>
      <c r="X7" s="25">
        <f>SUMIFS(U:U,C:C,Dealps[[#This Row],[PAPER_CODE]])</f>
        <v>0</v>
      </c>
      <c r="Y7" s="25">
        <f>_xlfn.XLOOKUP(Dealps[[#This Row],[DEAL_ID]],Ref!N:N,Ref!Q:Q,0,0)</f>
        <v>0</v>
      </c>
      <c r="Z7" s="25" t="str">
        <f>IF(Dealps[[#This Row],[CPTY_CODE]]=Dealps[[#This Row],[CPTY_CODE_ISSUER]],"Yes","No")</f>
        <v>No</v>
      </c>
      <c r="AA7" s="25"/>
      <c r="AC7" s="14"/>
      <c r="AG7" s="96"/>
      <c r="AH7" s="14"/>
      <c r="AI7"/>
      <c r="AN7" s="14"/>
      <c r="AV7" s="36"/>
      <c r="AW7" s="14"/>
      <c r="AX7" s="234"/>
      <c r="AY7" s="96"/>
      <c r="AZ7" s="14"/>
      <c r="BA7"/>
      <c r="BB7" s="93">
        <v>46262</v>
      </c>
      <c r="BC7">
        <v>1482</v>
      </c>
      <c r="BD7" s="56" t="s">
        <v>1014</v>
      </c>
      <c r="BE7" t="s">
        <v>1011</v>
      </c>
      <c r="BF7" t="s">
        <v>1015</v>
      </c>
      <c r="BG7" t="s">
        <v>364</v>
      </c>
      <c r="BH7" t="s">
        <v>1013</v>
      </c>
      <c r="BI7" t="s">
        <v>311</v>
      </c>
      <c r="BJ7" s="93">
        <v>45714</v>
      </c>
      <c r="BK7" s="93">
        <v>45714</v>
      </c>
      <c r="BL7" s="93">
        <v>45714</v>
      </c>
      <c r="BM7" s="93">
        <v>46443</v>
      </c>
      <c r="BN7" s="14">
        <v>1</v>
      </c>
      <c r="BO7" s="14">
        <v>15000000000</v>
      </c>
      <c r="BP7" s="56">
        <v>100</v>
      </c>
      <c r="BQ7" s="56">
        <v>0</v>
      </c>
      <c r="BR7" s="14">
        <v>15001849314.999998</v>
      </c>
      <c r="BS7">
        <v>4.4994449999999997</v>
      </c>
      <c r="BT7" t="s">
        <v>1184</v>
      </c>
      <c r="BU7" s="25">
        <f>_xlfn.XLOOKUP(Dealps_MSB[[#This Row],[DEAL_ID]],Ref!V:V,Ref!X:X,0,0)</f>
        <v>0</v>
      </c>
      <c r="BV7"/>
    </row>
    <row r="8" spans="1:100" x14ac:dyDescent="0.3">
      <c r="A8" s="93">
        <v>46262</v>
      </c>
      <c r="B8">
        <v>16247</v>
      </c>
      <c r="C8" s="56" t="s">
        <v>331</v>
      </c>
      <c r="D8" t="s">
        <v>314</v>
      </c>
      <c r="E8" t="s">
        <v>333</v>
      </c>
      <c r="F8" t="s">
        <v>35</v>
      </c>
      <c r="G8" t="s">
        <v>310</v>
      </c>
      <c r="H8" t="s">
        <v>300</v>
      </c>
      <c r="I8" s="93">
        <v>43168</v>
      </c>
      <c r="J8" s="93">
        <v>43168</v>
      </c>
      <c r="K8" s="93">
        <v>43171</v>
      </c>
      <c r="L8" s="93">
        <v>46351</v>
      </c>
      <c r="M8" s="14">
        <v>1350000</v>
      </c>
      <c r="N8" s="14">
        <v>135000000000</v>
      </c>
      <c r="O8" s="56">
        <v>99.964527778000004</v>
      </c>
      <c r="P8" s="56">
        <v>2</v>
      </c>
      <c r="Q8" s="14">
        <v>138061800000</v>
      </c>
      <c r="R8">
        <v>4.2</v>
      </c>
      <c r="S8" t="s">
        <v>1184</v>
      </c>
      <c r="T8" s="57">
        <f>IF(Dealps[[#This Row],[MATURITY_DATE]]-Dealps[[#This Row],[POSTED_DT]]&lt;0,0,IF(Dealps[[#This Row],[VALUE_DATE]]-Dealps[[#This Row],[POSTED_DT]]&gt;0,Dealps[[#This Row],[MATURITY_DATE]]-Dealps[[#This Row],[VALUE_DATE]],Dealps[[#This Row],[MATURITY_DATE]]-Dealps[[#This Row],[POSTED_DT]]))</f>
        <v>89</v>
      </c>
      <c r="U8" s="25">
        <f>IF(Dealps[[#This Row],[TENOR]]=0,0,IF(Dealps[[#This Row],[DEAL_TYPE]]="B",Dealps[[#This Row],[FACE_AMOUNT]],-Dealps[[#This Row],[FACE_AMOUNT]]))</f>
        <v>135000000000</v>
      </c>
      <c r="V8" s="25">
        <f>_xlfn.XLOOKUP(Dealps[[#This Row],[PAPER_CODE]],FNRP!D:D,FNRP!H:H,0,0)/100*Dealps[[#This Row],[AMOUNT]]</f>
        <v>0</v>
      </c>
      <c r="W8" s="57" t="str">
        <f>IF(Dealps[[#This Row],[TRANSACTION_STATUS]]&lt;&gt;"V","Ngoai BS",IF(Dealps[[#This Row],[POSTED_DT]]&gt;=Dealps[[#This Row],[VALUE_DATE]],"On BS","Off BS"))</f>
        <v>On BS</v>
      </c>
      <c r="X8" s="25">
        <f>SUMIFS(U:U,C:C,Dealps[[#This Row],[PAPER_CODE]])</f>
        <v>0</v>
      </c>
      <c r="Y8" s="25">
        <f>_xlfn.XLOOKUP(Dealps[[#This Row],[DEAL_ID]],Ref!N:N,Ref!Q:Q,0,0)</f>
        <v>0</v>
      </c>
      <c r="Z8" s="25" t="str">
        <f>IF(Dealps[[#This Row],[CPTY_CODE]]=Dealps[[#This Row],[CPTY_CODE_ISSUER]],"Yes","No")</f>
        <v>No</v>
      </c>
      <c r="AA8" s="25"/>
      <c r="AC8" s="14"/>
      <c r="AG8" s="96"/>
      <c r="AH8" s="14"/>
      <c r="AI8"/>
      <c r="AN8" s="14"/>
      <c r="AV8" s="36"/>
      <c r="AW8" s="14"/>
      <c r="AX8" s="234"/>
      <c r="AY8" s="96"/>
      <c r="AZ8" s="14"/>
      <c r="BA8"/>
      <c r="BB8" s="93">
        <v>46262</v>
      </c>
      <c r="BC8">
        <v>1483</v>
      </c>
      <c r="BD8" s="56" t="s">
        <v>1014</v>
      </c>
      <c r="BE8" t="s">
        <v>1011</v>
      </c>
      <c r="BF8" t="s">
        <v>1015</v>
      </c>
      <c r="BG8" t="s">
        <v>364</v>
      </c>
      <c r="BH8" t="s">
        <v>1013</v>
      </c>
      <c r="BI8" t="s">
        <v>311</v>
      </c>
      <c r="BJ8" s="93">
        <v>45714</v>
      </c>
      <c r="BK8" s="93">
        <v>45715</v>
      </c>
      <c r="BL8" s="93">
        <v>45715</v>
      </c>
      <c r="BM8" s="93">
        <v>46443</v>
      </c>
      <c r="BN8" s="14">
        <v>1</v>
      </c>
      <c r="BO8" s="14">
        <v>16000000000</v>
      </c>
      <c r="BP8" s="56">
        <v>100</v>
      </c>
      <c r="BQ8" s="56">
        <v>0</v>
      </c>
      <c r="BR8" s="14">
        <v>16003945204.999998</v>
      </c>
      <c r="BS8">
        <v>4.4988910000000004</v>
      </c>
      <c r="BT8" t="s">
        <v>1184</v>
      </c>
      <c r="BU8" s="25">
        <f>_xlfn.XLOOKUP(Dealps_MSB[[#This Row],[DEAL_ID]],Ref!V:V,Ref!X:X,0,0)</f>
        <v>0</v>
      </c>
      <c r="BV8"/>
    </row>
    <row r="9" spans="1:100" x14ac:dyDescent="0.3">
      <c r="A9" s="93">
        <v>46262</v>
      </c>
      <c r="B9">
        <v>16248</v>
      </c>
      <c r="C9" s="56" t="s">
        <v>331</v>
      </c>
      <c r="D9" t="s">
        <v>314</v>
      </c>
      <c r="E9" t="s">
        <v>332</v>
      </c>
      <c r="F9" t="s">
        <v>35</v>
      </c>
      <c r="G9" t="s">
        <v>310</v>
      </c>
      <c r="H9" t="s">
        <v>311</v>
      </c>
      <c r="I9" s="93">
        <v>43168</v>
      </c>
      <c r="J9" s="93">
        <v>43168</v>
      </c>
      <c r="K9" s="93">
        <v>43171</v>
      </c>
      <c r="L9" s="93">
        <v>46351</v>
      </c>
      <c r="M9" s="14">
        <v>1000000</v>
      </c>
      <c r="N9" s="14">
        <v>100000000000</v>
      </c>
      <c r="O9" s="56">
        <v>100.724527778</v>
      </c>
      <c r="P9" s="56">
        <v>2</v>
      </c>
      <c r="Q9" s="14">
        <v>103028000000</v>
      </c>
      <c r="R9">
        <v>4.0999999999999996</v>
      </c>
      <c r="S9" t="s">
        <v>1184</v>
      </c>
      <c r="T9" s="57">
        <f>IF(Dealps[[#This Row],[MATURITY_DATE]]-Dealps[[#This Row],[POSTED_DT]]&lt;0,0,IF(Dealps[[#This Row],[VALUE_DATE]]-Dealps[[#This Row],[POSTED_DT]]&gt;0,Dealps[[#This Row],[MATURITY_DATE]]-Dealps[[#This Row],[VALUE_DATE]],Dealps[[#This Row],[MATURITY_DATE]]-Dealps[[#This Row],[POSTED_DT]]))</f>
        <v>89</v>
      </c>
      <c r="U9" s="25">
        <f>IF(Dealps[[#This Row],[TENOR]]=0,0,IF(Dealps[[#This Row],[DEAL_TYPE]]="B",Dealps[[#This Row],[FACE_AMOUNT]],-Dealps[[#This Row],[FACE_AMOUNT]]))</f>
        <v>-100000000000</v>
      </c>
      <c r="V9" s="25">
        <f>_xlfn.XLOOKUP(Dealps[[#This Row],[PAPER_CODE]],FNRP!D:D,FNRP!H:H,0,0)/100*Dealps[[#This Row],[AMOUNT]]</f>
        <v>0</v>
      </c>
      <c r="W9" s="57" t="str">
        <f>IF(Dealps[[#This Row],[TRANSACTION_STATUS]]&lt;&gt;"V","Ngoai BS",IF(Dealps[[#This Row],[POSTED_DT]]&gt;=Dealps[[#This Row],[VALUE_DATE]],"On BS","Off BS"))</f>
        <v>On BS</v>
      </c>
      <c r="X9" s="25">
        <f>SUMIFS(U:U,C:C,Dealps[[#This Row],[PAPER_CODE]])</f>
        <v>0</v>
      </c>
      <c r="Y9" s="25">
        <f>_xlfn.XLOOKUP(Dealps[[#This Row],[DEAL_ID]],Ref!N:N,Ref!Q:Q,0,0)</f>
        <v>0</v>
      </c>
      <c r="Z9" s="25" t="str">
        <f>IF(Dealps[[#This Row],[CPTY_CODE]]=Dealps[[#This Row],[CPTY_CODE_ISSUER]],"Yes","No")</f>
        <v>No</v>
      </c>
      <c r="AA9" s="25"/>
      <c r="AC9" s="14"/>
      <c r="AG9" s="96"/>
      <c r="AH9" s="14"/>
      <c r="AI9"/>
      <c r="AN9" s="14"/>
      <c r="AV9" s="36"/>
      <c r="AW9" s="14"/>
      <c r="AX9" s="234"/>
      <c r="AY9" s="96"/>
      <c r="AZ9" s="14"/>
      <c r="BA9"/>
      <c r="BB9" s="93">
        <v>46262</v>
      </c>
      <c r="BC9">
        <v>1484</v>
      </c>
      <c r="BD9" s="56" t="s">
        <v>1014</v>
      </c>
      <c r="BE9" t="s">
        <v>1011</v>
      </c>
      <c r="BF9" t="s">
        <v>1015</v>
      </c>
      <c r="BG9" t="s">
        <v>364</v>
      </c>
      <c r="BH9" t="s">
        <v>1013</v>
      </c>
      <c r="BI9" t="s">
        <v>311</v>
      </c>
      <c r="BJ9" s="93">
        <v>45714</v>
      </c>
      <c r="BK9" s="93">
        <v>45716</v>
      </c>
      <c r="BL9" s="93">
        <v>45716</v>
      </c>
      <c r="BM9" s="93">
        <v>46443</v>
      </c>
      <c r="BN9" s="14">
        <v>1</v>
      </c>
      <c r="BO9" s="14">
        <v>20000000000</v>
      </c>
      <c r="BP9" s="56">
        <v>100</v>
      </c>
      <c r="BQ9" s="56">
        <v>0</v>
      </c>
      <c r="BR9" s="14">
        <v>20007397260</v>
      </c>
      <c r="BS9">
        <v>4.4983360000000001</v>
      </c>
      <c r="BT9" t="s">
        <v>1184</v>
      </c>
      <c r="BU9" s="25">
        <f>_xlfn.XLOOKUP(Dealps_MSB[[#This Row],[DEAL_ID]],Ref!V:V,Ref!X:X,0,0)</f>
        <v>0</v>
      </c>
      <c r="BV9"/>
    </row>
    <row r="10" spans="1:100" x14ac:dyDescent="0.3">
      <c r="A10" s="93">
        <v>46262</v>
      </c>
      <c r="B10">
        <v>16250</v>
      </c>
      <c r="C10" s="56" t="s">
        <v>331</v>
      </c>
      <c r="D10" t="s">
        <v>314</v>
      </c>
      <c r="E10" t="s">
        <v>332</v>
      </c>
      <c r="F10" t="s">
        <v>35</v>
      </c>
      <c r="G10" t="s">
        <v>310</v>
      </c>
      <c r="H10" t="s">
        <v>311</v>
      </c>
      <c r="I10" s="93">
        <v>43171</v>
      </c>
      <c r="J10" s="93">
        <v>43168</v>
      </c>
      <c r="K10" s="93">
        <v>43171</v>
      </c>
      <c r="L10" s="93">
        <v>46351</v>
      </c>
      <c r="M10" s="14">
        <v>350000</v>
      </c>
      <c r="N10" s="14">
        <v>35000000000</v>
      </c>
      <c r="O10" s="56">
        <v>100.724527778</v>
      </c>
      <c r="P10" s="56">
        <v>2</v>
      </c>
      <c r="Q10" s="14">
        <v>36059800000</v>
      </c>
      <c r="R10">
        <v>4.0999999999999996</v>
      </c>
      <c r="S10" t="s">
        <v>1184</v>
      </c>
      <c r="T10" s="57">
        <f>IF(Dealps[[#This Row],[MATURITY_DATE]]-Dealps[[#This Row],[POSTED_DT]]&lt;0,0,IF(Dealps[[#This Row],[VALUE_DATE]]-Dealps[[#This Row],[POSTED_DT]]&gt;0,Dealps[[#This Row],[MATURITY_DATE]]-Dealps[[#This Row],[VALUE_DATE]],Dealps[[#This Row],[MATURITY_DATE]]-Dealps[[#This Row],[POSTED_DT]]))</f>
        <v>89</v>
      </c>
      <c r="U10" s="25">
        <f>IF(Dealps[[#This Row],[TENOR]]=0,0,IF(Dealps[[#This Row],[DEAL_TYPE]]="B",Dealps[[#This Row],[FACE_AMOUNT]],-Dealps[[#This Row],[FACE_AMOUNT]]))</f>
        <v>-35000000000</v>
      </c>
      <c r="V10" s="25">
        <f>_xlfn.XLOOKUP(Dealps[[#This Row],[PAPER_CODE]],FNRP!D:D,FNRP!H:H,0,0)/100*Dealps[[#This Row],[AMOUNT]]</f>
        <v>0</v>
      </c>
      <c r="W10" s="57" t="str">
        <f>IF(Dealps[[#This Row],[TRANSACTION_STATUS]]&lt;&gt;"V","Ngoai BS",IF(Dealps[[#This Row],[POSTED_DT]]&gt;=Dealps[[#This Row],[VALUE_DATE]],"On BS","Off BS"))</f>
        <v>On BS</v>
      </c>
      <c r="X10" s="25">
        <f>SUMIFS(U:U,C:C,Dealps[[#This Row],[PAPER_CODE]])</f>
        <v>0</v>
      </c>
      <c r="Y10" s="25">
        <f>_xlfn.XLOOKUP(Dealps[[#This Row],[DEAL_ID]],Ref!N:N,Ref!Q:Q,0,0)</f>
        <v>0</v>
      </c>
      <c r="Z10" s="25" t="str">
        <f>IF(Dealps[[#This Row],[CPTY_CODE]]=Dealps[[#This Row],[CPTY_CODE_ISSUER]],"Yes","No")</f>
        <v>No</v>
      </c>
      <c r="AA10" s="25"/>
      <c r="AC10" s="14"/>
      <c r="AG10" s="96"/>
      <c r="AH10" s="14"/>
      <c r="AI10"/>
      <c r="AN10" s="14"/>
      <c r="AV10" s="36"/>
      <c r="AW10" s="14"/>
      <c r="AX10" s="234"/>
      <c r="AY10" s="96"/>
      <c r="AZ10" s="14"/>
      <c r="BA10"/>
      <c r="BB10" s="93">
        <v>46262</v>
      </c>
      <c r="BC10">
        <v>1485</v>
      </c>
      <c r="BD10" s="56" t="s">
        <v>1014</v>
      </c>
      <c r="BE10" t="s">
        <v>1011</v>
      </c>
      <c r="BF10" t="s">
        <v>1015</v>
      </c>
      <c r="BG10" t="s">
        <v>364</v>
      </c>
      <c r="BH10" t="s">
        <v>1013</v>
      </c>
      <c r="BI10" t="s">
        <v>311</v>
      </c>
      <c r="BJ10" s="93">
        <v>45714</v>
      </c>
      <c r="BK10" s="93">
        <v>45715</v>
      </c>
      <c r="BL10" s="93">
        <v>45715</v>
      </c>
      <c r="BM10" s="93">
        <v>46443</v>
      </c>
      <c r="BN10" s="14">
        <v>1</v>
      </c>
      <c r="BO10" s="14">
        <v>16000000000</v>
      </c>
      <c r="BP10" s="56">
        <v>100</v>
      </c>
      <c r="BQ10" s="56">
        <v>0</v>
      </c>
      <c r="BR10" s="14">
        <v>16003945204.999998</v>
      </c>
      <c r="BS10">
        <v>4.4988910000000004</v>
      </c>
      <c r="BT10" t="s">
        <v>1184</v>
      </c>
      <c r="BU10" s="25">
        <f>_xlfn.XLOOKUP(Dealps_MSB[[#This Row],[DEAL_ID]],Ref!V:V,Ref!X:X,0,0)</f>
        <v>0</v>
      </c>
      <c r="BV10"/>
    </row>
    <row r="11" spans="1:100" x14ac:dyDescent="0.3">
      <c r="A11" s="93">
        <v>46262</v>
      </c>
      <c r="B11">
        <v>26959</v>
      </c>
      <c r="C11" s="56" t="s">
        <v>336</v>
      </c>
      <c r="D11" t="s">
        <v>314</v>
      </c>
      <c r="E11" t="s">
        <v>337</v>
      </c>
      <c r="F11" t="s">
        <v>35</v>
      </c>
      <c r="G11" t="s">
        <v>310</v>
      </c>
      <c r="H11" t="s">
        <v>311</v>
      </c>
      <c r="I11" s="93">
        <v>43903</v>
      </c>
      <c r="J11" s="93">
        <v>43902</v>
      </c>
      <c r="K11" s="93">
        <v>43907</v>
      </c>
      <c r="L11" s="93">
        <v>46609</v>
      </c>
      <c r="M11" s="14">
        <v>600000</v>
      </c>
      <c r="N11" s="14">
        <v>60000000000</v>
      </c>
      <c r="O11" s="56">
        <v>99.999803279000005</v>
      </c>
      <c r="P11" s="56">
        <v>5</v>
      </c>
      <c r="Q11" s="14">
        <v>62704800000</v>
      </c>
      <c r="R11">
        <v>7.8</v>
      </c>
      <c r="S11" t="s">
        <v>1184</v>
      </c>
      <c r="T11" s="57">
        <f>IF(Dealps[[#This Row],[MATURITY_DATE]]-Dealps[[#This Row],[POSTED_DT]]&lt;0,0,IF(Dealps[[#This Row],[VALUE_DATE]]-Dealps[[#This Row],[POSTED_DT]]&gt;0,Dealps[[#This Row],[MATURITY_DATE]]-Dealps[[#This Row],[VALUE_DATE]],Dealps[[#This Row],[MATURITY_DATE]]-Dealps[[#This Row],[POSTED_DT]]))</f>
        <v>347</v>
      </c>
      <c r="U11" s="25">
        <f>IF(Dealps[[#This Row],[TENOR]]=0,0,IF(Dealps[[#This Row],[DEAL_TYPE]]="B",Dealps[[#This Row],[FACE_AMOUNT]],-Dealps[[#This Row],[FACE_AMOUNT]]))</f>
        <v>-60000000000</v>
      </c>
      <c r="V11" s="25">
        <f>_xlfn.XLOOKUP(Dealps[[#This Row],[PAPER_CODE]],FNRP!D:D,FNRP!H:H,0,0)/100*Dealps[[#This Row],[AMOUNT]]</f>
        <v>0</v>
      </c>
      <c r="W11" s="57" t="str">
        <f>IF(Dealps[[#This Row],[TRANSACTION_STATUS]]&lt;&gt;"V","Ngoai BS",IF(Dealps[[#This Row],[POSTED_DT]]&gt;=Dealps[[#This Row],[VALUE_DATE]],"On BS","Off BS"))</f>
        <v>On BS</v>
      </c>
      <c r="X11" s="25">
        <f>SUMIFS(U:U,C:C,Dealps[[#This Row],[PAPER_CODE]])</f>
        <v>0</v>
      </c>
      <c r="Y11" s="25">
        <f>_xlfn.XLOOKUP(Dealps[[#This Row],[DEAL_ID]],Ref!N:N,Ref!Q:Q,0,0)</f>
        <v>0</v>
      </c>
      <c r="Z11" s="25" t="str">
        <f>IF(Dealps[[#This Row],[CPTY_CODE]]=Dealps[[#This Row],[CPTY_CODE_ISSUER]],"Yes","No")</f>
        <v>No</v>
      </c>
      <c r="AA11" s="25"/>
      <c r="AC11" s="14"/>
      <c r="AG11" s="96"/>
      <c r="AH11" s="14"/>
      <c r="AI11"/>
      <c r="AN11" s="14"/>
      <c r="AV11" s="36"/>
      <c r="AW11" s="14"/>
      <c r="AX11" s="234"/>
      <c r="AY11" s="96"/>
      <c r="AZ11" s="14"/>
      <c r="BA11"/>
      <c r="BB11" s="93">
        <v>46262</v>
      </c>
      <c r="BC11">
        <v>1492</v>
      </c>
      <c r="BD11" s="56" t="s">
        <v>1014</v>
      </c>
      <c r="BE11" t="s">
        <v>1011</v>
      </c>
      <c r="BF11" t="s">
        <v>1015</v>
      </c>
      <c r="BG11" t="s">
        <v>364</v>
      </c>
      <c r="BH11" t="s">
        <v>1013</v>
      </c>
      <c r="BI11" t="s">
        <v>311</v>
      </c>
      <c r="BJ11" s="93">
        <v>45716</v>
      </c>
      <c r="BK11" s="93">
        <v>45719</v>
      </c>
      <c r="BL11" s="93">
        <v>45719</v>
      </c>
      <c r="BM11" s="93">
        <v>46443</v>
      </c>
      <c r="BN11" s="14">
        <v>1</v>
      </c>
      <c r="BO11" s="14">
        <v>10000000000</v>
      </c>
      <c r="BP11" s="56">
        <v>100</v>
      </c>
      <c r="BQ11" s="56">
        <v>0</v>
      </c>
      <c r="BR11" s="14">
        <v>10007397260</v>
      </c>
      <c r="BS11">
        <v>4.4966739999999996</v>
      </c>
      <c r="BT11" t="s">
        <v>1184</v>
      </c>
      <c r="BU11" s="25">
        <f>_xlfn.XLOOKUP(Dealps_MSB[[#This Row],[DEAL_ID]],Ref!V:V,Ref!X:X,0,0)</f>
        <v>0</v>
      </c>
      <c r="BV11"/>
    </row>
    <row r="12" spans="1:100" x14ac:dyDescent="0.3">
      <c r="A12" s="93">
        <v>46262</v>
      </c>
      <c r="B12">
        <v>26998</v>
      </c>
      <c r="C12" s="56" t="s">
        <v>336</v>
      </c>
      <c r="D12" t="s">
        <v>314</v>
      </c>
      <c r="E12" t="s">
        <v>338</v>
      </c>
      <c r="F12" t="s">
        <v>35</v>
      </c>
      <c r="G12" t="s">
        <v>310</v>
      </c>
      <c r="H12" t="s">
        <v>311</v>
      </c>
      <c r="I12" s="93">
        <v>43907</v>
      </c>
      <c r="J12" s="93">
        <v>43907</v>
      </c>
      <c r="K12" s="93">
        <v>43909</v>
      </c>
      <c r="L12" s="93">
        <v>46609</v>
      </c>
      <c r="M12" s="14">
        <v>950000</v>
      </c>
      <c r="N12" s="14">
        <v>95000000000</v>
      </c>
      <c r="O12" s="56">
        <v>99.999819672000001</v>
      </c>
      <c r="P12" s="56">
        <v>5</v>
      </c>
      <c r="Q12" s="14">
        <v>99321550000</v>
      </c>
      <c r="R12">
        <v>7.8</v>
      </c>
      <c r="S12" t="s">
        <v>1184</v>
      </c>
      <c r="T12" s="57">
        <f>IF(Dealps[[#This Row],[MATURITY_DATE]]-Dealps[[#This Row],[POSTED_DT]]&lt;0,0,IF(Dealps[[#This Row],[VALUE_DATE]]-Dealps[[#This Row],[POSTED_DT]]&gt;0,Dealps[[#This Row],[MATURITY_DATE]]-Dealps[[#This Row],[VALUE_DATE]],Dealps[[#This Row],[MATURITY_DATE]]-Dealps[[#This Row],[POSTED_DT]]))</f>
        <v>347</v>
      </c>
      <c r="U12" s="25">
        <f>IF(Dealps[[#This Row],[TENOR]]=0,0,IF(Dealps[[#This Row],[DEAL_TYPE]]="B",Dealps[[#This Row],[FACE_AMOUNT]],-Dealps[[#This Row],[FACE_AMOUNT]]))</f>
        <v>-95000000000</v>
      </c>
      <c r="V12" s="25">
        <f>_xlfn.XLOOKUP(Dealps[[#This Row],[PAPER_CODE]],FNRP!D:D,FNRP!H:H,0,0)/100*Dealps[[#This Row],[AMOUNT]]</f>
        <v>0</v>
      </c>
      <c r="W12" s="57" t="str">
        <f>IF(Dealps[[#This Row],[TRANSACTION_STATUS]]&lt;&gt;"V","Ngoai BS",IF(Dealps[[#This Row],[POSTED_DT]]&gt;=Dealps[[#This Row],[VALUE_DATE]],"On BS","Off BS"))</f>
        <v>On BS</v>
      </c>
      <c r="X12" s="25">
        <f>SUMIFS(U:U,C:C,Dealps[[#This Row],[PAPER_CODE]])</f>
        <v>0</v>
      </c>
      <c r="Y12" s="25">
        <f>_xlfn.XLOOKUP(Dealps[[#This Row],[DEAL_ID]],Ref!N:N,Ref!Q:Q,0,0)</f>
        <v>0</v>
      </c>
      <c r="Z12" s="25" t="str">
        <f>IF(Dealps[[#This Row],[CPTY_CODE]]=Dealps[[#This Row],[CPTY_CODE_ISSUER]],"Yes","No")</f>
        <v>No</v>
      </c>
      <c r="AA12" s="25"/>
      <c r="AC12" s="14"/>
      <c r="AG12" s="96"/>
      <c r="AH12" s="14"/>
      <c r="AI12"/>
      <c r="AN12" s="14"/>
      <c r="AV12" s="36"/>
      <c r="AW12" s="14"/>
      <c r="AX12" s="234"/>
      <c r="AY12" s="96"/>
      <c r="AZ12" s="14"/>
      <c r="BA12"/>
      <c r="BB12" s="93">
        <v>46262</v>
      </c>
      <c r="BC12">
        <v>1493</v>
      </c>
      <c r="BD12" s="56" t="s">
        <v>1014</v>
      </c>
      <c r="BE12" t="s">
        <v>1011</v>
      </c>
      <c r="BF12" t="s">
        <v>1015</v>
      </c>
      <c r="BG12" t="s">
        <v>364</v>
      </c>
      <c r="BH12" t="s">
        <v>1013</v>
      </c>
      <c r="BI12" t="s">
        <v>311</v>
      </c>
      <c r="BJ12" s="93">
        <v>45716</v>
      </c>
      <c r="BK12" s="93">
        <v>45720</v>
      </c>
      <c r="BL12" s="93">
        <v>45720</v>
      </c>
      <c r="BM12" s="93">
        <v>46443</v>
      </c>
      <c r="BN12" s="14">
        <v>1</v>
      </c>
      <c r="BO12" s="14">
        <v>10000000000</v>
      </c>
      <c r="BP12" s="56">
        <v>100</v>
      </c>
      <c r="BQ12" s="56">
        <v>0</v>
      </c>
      <c r="BR12" s="14">
        <v>10008630137</v>
      </c>
      <c r="BS12">
        <v>4.4961200000000003</v>
      </c>
      <c r="BT12" t="s">
        <v>1184</v>
      </c>
      <c r="BU12" s="25">
        <f>_xlfn.XLOOKUP(Dealps_MSB[[#This Row],[DEAL_ID]],Ref!V:V,Ref!X:X,0,0)</f>
        <v>0</v>
      </c>
      <c r="BV12"/>
    </row>
    <row r="13" spans="1:100" x14ac:dyDescent="0.3">
      <c r="A13" s="93">
        <v>46262</v>
      </c>
      <c r="B13">
        <v>27767</v>
      </c>
      <c r="C13" s="56" t="s">
        <v>336</v>
      </c>
      <c r="D13" t="s">
        <v>314</v>
      </c>
      <c r="E13" t="s">
        <v>337</v>
      </c>
      <c r="F13" t="s">
        <v>35</v>
      </c>
      <c r="G13" t="s">
        <v>310</v>
      </c>
      <c r="H13" t="s">
        <v>311</v>
      </c>
      <c r="I13" s="93">
        <v>43969</v>
      </c>
      <c r="J13" s="93">
        <v>43977</v>
      </c>
      <c r="K13" s="93">
        <v>43977</v>
      </c>
      <c r="L13" s="93">
        <v>46609</v>
      </c>
      <c r="M13" s="14">
        <v>300000</v>
      </c>
      <c r="N13" s="14">
        <v>30000000000</v>
      </c>
      <c r="O13" s="56">
        <v>100.00037704899999</v>
      </c>
      <c r="P13" s="56">
        <v>6</v>
      </c>
      <c r="Q13" s="14">
        <v>31782900000</v>
      </c>
      <c r="R13">
        <v>7.5</v>
      </c>
      <c r="S13" t="s">
        <v>1184</v>
      </c>
      <c r="T13" s="57">
        <f>IF(Dealps[[#This Row],[MATURITY_DATE]]-Dealps[[#This Row],[POSTED_DT]]&lt;0,0,IF(Dealps[[#This Row],[VALUE_DATE]]-Dealps[[#This Row],[POSTED_DT]]&gt;0,Dealps[[#This Row],[MATURITY_DATE]]-Dealps[[#This Row],[VALUE_DATE]],Dealps[[#This Row],[MATURITY_DATE]]-Dealps[[#This Row],[POSTED_DT]]))</f>
        <v>347</v>
      </c>
      <c r="U13" s="25">
        <f>IF(Dealps[[#This Row],[TENOR]]=0,0,IF(Dealps[[#This Row],[DEAL_TYPE]]="B",Dealps[[#This Row],[FACE_AMOUNT]],-Dealps[[#This Row],[FACE_AMOUNT]]))</f>
        <v>-30000000000</v>
      </c>
      <c r="V13" s="25">
        <f>_xlfn.XLOOKUP(Dealps[[#This Row],[PAPER_CODE]],FNRP!D:D,FNRP!H:H,0,0)/100*Dealps[[#This Row],[AMOUNT]]</f>
        <v>0</v>
      </c>
      <c r="W13" s="57" t="str">
        <f>IF(Dealps[[#This Row],[TRANSACTION_STATUS]]&lt;&gt;"V","Ngoai BS",IF(Dealps[[#This Row],[POSTED_DT]]&gt;=Dealps[[#This Row],[VALUE_DATE]],"On BS","Off BS"))</f>
        <v>On BS</v>
      </c>
      <c r="X13" s="25">
        <f>SUMIFS(U:U,C:C,Dealps[[#This Row],[PAPER_CODE]])</f>
        <v>0</v>
      </c>
      <c r="Y13" s="25">
        <f>_xlfn.XLOOKUP(Dealps[[#This Row],[DEAL_ID]],Ref!N:N,Ref!Q:Q,0,0)</f>
        <v>0</v>
      </c>
      <c r="Z13" s="25" t="str">
        <f>IF(Dealps[[#This Row],[CPTY_CODE]]=Dealps[[#This Row],[CPTY_CODE_ISSUER]],"Yes","No")</f>
        <v>No</v>
      </c>
      <c r="AA13" s="25"/>
      <c r="AC13" s="14"/>
      <c r="AG13" s="96"/>
      <c r="AH13" s="14"/>
      <c r="AI13"/>
      <c r="AN13" s="14"/>
      <c r="AV13" s="36"/>
      <c r="AW13" s="14"/>
      <c r="AX13" s="234"/>
      <c r="AY13" s="96"/>
      <c r="AZ13" s="14"/>
      <c r="BA13"/>
      <c r="BB13" s="93">
        <v>46262</v>
      </c>
      <c r="BC13">
        <v>1494</v>
      </c>
      <c r="BD13" s="56" t="s">
        <v>1014</v>
      </c>
      <c r="BE13" t="s">
        <v>1011</v>
      </c>
      <c r="BF13" t="s">
        <v>1015</v>
      </c>
      <c r="BG13" t="s">
        <v>364</v>
      </c>
      <c r="BH13" t="s">
        <v>1013</v>
      </c>
      <c r="BI13" t="s">
        <v>311</v>
      </c>
      <c r="BJ13" s="93">
        <v>45716</v>
      </c>
      <c r="BK13" s="93">
        <v>45723</v>
      </c>
      <c r="BL13" s="93">
        <v>45723</v>
      </c>
      <c r="BM13" s="93">
        <v>46443</v>
      </c>
      <c r="BN13" s="14">
        <v>1</v>
      </c>
      <c r="BO13" s="14">
        <v>10000000000</v>
      </c>
      <c r="BP13" s="56">
        <v>100</v>
      </c>
      <c r="BQ13" s="56">
        <v>0</v>
      </c>
      <c r="BR13" s="14">
        <v>10012328767</v>
      </c>
      <c r="BS13">
        <v>4.494459</v>
      </c>
      <c r="BT13" t="s">
        <v>1184</v>
      </c>
      <c r="BU13" s="25">
        <f>_xlfn.XLOOKUP(Dealps_MSB[[#This Row],[DEAL_ID]],Ref!V:V,Ref!X:X,0,0)</f>
        <v>0</v>
      </c>
      <c r="BV13"/>
    </row>
    <row r="14" spans="1:100" x14ac:dyDescent="0.3">
      <c r="A14" s="93">
        <v>46262</v>
      </c>
      <c r="B14">
        <v>27891</v>
      </c>
      <c r="C14" s="56" t="s">
        <v>336</v>
      </c>
      <c r="D14" t="s">
        <v>314</v>
      </c>
      <c r="E14" t="s">
        <v>337</v>
      </c>
      <c r="F14" t="s">
        <v>35</v>
      </c>
      <c r="G14" t="s">
        <v>310</v>
      </c>
      <c r="H14" t="s">
        <v>311</v>
      </c>
      <c r="I14" s="93">
        <v>43976</v>
      </c>
      <c r="J14" s="93">
        <v>43977</v>
      </c>
      <c r="K14" s="93">
        <v>43977</v>
      </c>
      <c r="L14" s="93">
        <v>46609</v>
      </c>
      <c r="M14" s="14">
        <v>300000</v>
      </c>
      <c r="N14" s="14">
        <v>30000000000</v>
      </c>
      <c r="O14" s="56">
        <v>100.00037704899999</v>
      </c>
      <c r="P14" s="56">
        <v>6</v>
      </c>
      <c r="Q14" s="14">
        <v>31782900000</v>
      </c>
      <c r="R14">
        <v>7.5</v>
      </c>
      <c r="S14" t="s">
        <v>1184</v>
      </c>
      <c r="T14" s="57">
        <f>IF(Dealps[[#This Row],[MATURITY_DATE]]-Dealps[[#This Row],[POSTED_DT]]&lt;0,0,IF(Dealps[[#This Row],[VALUE_DATE]]-Dealps[[#This Row],[POSTED_DT]]&gt;0,Dealps[[#This Row],[MATURITY_DATE]]-Dealps[[#This Row],[VALUE_DATE]],Dealps[[#This Row],[MATURITY_DATE]]-Dealps[[#This Row],[POSTED_DT]]))</f>
        <v>347</v>
      </c>
      <c r="U14" s="25">
        <f>IF(Dealps[[#This Row],[TENOR]]=0,0,IF(Dealps[[#This Row],[DEAL_TYPE]]="B",Dealps[[#This Row],[FACE_AMOUNT]],-Dealps[[#This Row],[FACE_AMOUNT]]))</f>
        <v>-30000000000</v>
      </c>
      <c r="V14" s="25">
        <f>_xlfn.XLOOKUP(Dealps[[#This Row],[PAPER_CODE]],FNRP!D:D,FNRP!H:H,0,0)/100*Dealps[[#This Row],[AMOUNT]]</f>
        <v>0</v>
      </c>
      <c r="W14" s="57" t="str">
        <f>IF(Dealps[[#This Row],[TRANSACTION_STATUS]]&lt;&gt;"V","Ngoai BS",IF(Dealps[[#This Row],[POSTED_DT]]&gt;=Dealps[[#This Row],[VALUE_DATE]],"On BS","Off BS"))</f>
        <v>On BS</v>
      </c>
      <c r="X14" s="25">
        <f>SUMIFS(U:U,C:C,Dealps[[#This Row],[PAPER_CODE]])</f>
        <v>0</v>
      </c>
      <c r="Y14" s="25">
        <f>_xlfn.XLOOKUP(Dealps[[#This Row],[DEAL_ID]],Ref!N:N,Ref!Q:Q,0,0)</f>
        <v>0</v>
      </c>
      <c r="Z14" s="25" t="str">
        <f>IF(Dealps[[#This Row],[CPTY_CODE]]=Dealps[[#This Row],[CPTY_CODE_ISSUER]],"Yes","No")</f>
        <v>No</v>
      </c>
      <c r="AA14" s="25"/>
      <c r="AC14" s="14"/>
      <c r="AG14" s="96"/>
      <c r="AH14" s="14"/>
      <c r="AI14"/>
      <c r="AN14" s="14"/>
      <c r="AV14" s="36"/>
      <c r="AW14" s="14"/>
      <c r="AX14" s="234"/>
      <c r="AY14" s="96"/>
      <c r="AZ14" s="14"/>
      <c r="BA14"/>
      <c r="BB14" s="93">
        <v>46262</v>
      </c>
      <c r="BC14">
        <v>1495</v>
      </c>
      <c r="BD14" s="56" t="s">
        <v>1014</v>
      </c>
      <c r="BE14" t="s">
        <v>1011</v>
      </c>
      <c r="BF14" t="s">
        <v>1015</v>
      </c>
      <c r="BG14" t="s">
        <v>364</v>
      </c>
      <c r="BH14" t="s">
        <v>1013</v>
      </c>
      <c r="BI14" t="s">
        <v>311</v>
      </c>
      <c r="BJ14" s="93">
        <v>45716</v>
      </c>
      <c r="BK14" s="93">
        <v>45723</v>
      </c>
      <c r="BL14" s="93">
        <v>45723</v>
      </c>
      <c r="BM14" s="93">
        <v>46443</v>
      </c>
      <c r="BN14" s="14">
        <v>1</v>
      </c>
      <c r="BO14" s="14">
        <v>10000000000</v>
      </c>
      <c r="BP14" s="56">
        <v>100</v>
      </c>
      <c r="BQ14" s="56">
        <v>0</v>
      </c>
      <c r="BR14" s="14">
        <v>10012328767</v>
      </c>
      <c r="BS14">
        <v>4.494459</v>
      </c>
      <c r="BT14" t="s">
        <v>1184</v>
      </c>
      <c r="BU14" s="25">
        <f>_xlfn.XLOOKUP(Dealps_MSB[[#This Row],[DEAL_ID]],Ref!V:V,Ref!X:X,0,0)</f>
        <v>0</v>
      </c>
      <c r="BV14"/>
    </row>
    <row r="15" spans="1:100" x14ac:dyDescent="0.3">
      <c r="A15" s="93">
        <v>46262</v>
      </c>
      <c r="B15">
        <v>38078</v>
      </c>
      <c r="C15" s="56" t="s">
        <v>336</v>
      </c>
      <c r="D15" t="s">
        <v>314</v>
      </c>
      <c r="E15" t="s">
        <v>314</v>
      </c>
      <c r="F15" t="s">
        <v>35</v>
      </c>
      <c r="G15" t="s">
        <v>310</v>
      </c>
      <c r="H15" t="s">
        <v>311</v>
      </c>
      <c r="I15" s="93">
        <v>44768</v>
      </c>
      <c r="J15" s="93">
        <v>44768</v>
      </c>
      <c r="K15" s="93">
        <v>44783</v>
      </c>
      <c r="L15" s="93">
        <v>46609</v>
      </c>
      <c r="M15" s="14">
        <v>7400000</v>
      </c>
      <c r="N15" s="14">
        <v>740000000000</v>
      </c>
      <c r="O15" s="56">
        <v>100</v>
      </c>
      <c r="P15" s="56">
        <v>0</v>
      </c>
      <c r="Q15" s="14">
        <v>740000000000</v>
      </c>
      <c r="R15">
        <v>8</v>
      </c>
      <c r="S15" t="s">
        <v>1184</v>
      </c>
      <c r="T15" s="57">
        <f>IF(Dealps[[#This Row],[MATURITY_DATE]]-Dealps[[#This Row],[POSTED_DT]]&lt;0,0,IF(Dealps[[#This Row],[VALUE_DATE]]-Dealps[[#This Row],[POSTED_DT]]&gt;0,Dealps[[#This Row],[MATURITY_DATE]]-Dealps[[#This Row],[VALUE_DATE]],Dealps[[#This Row],[MATURITY_DATE]]-Dealps[[#This Row],[POSTED_DT]]))</f>
        <v>347</v>
      </c>
      <c r="U15" s="25">
        <f>IF(Dealps[[#This Row],[TENOR]]=0,0,IF(Dealps[[#This Row],[DEAL_TYPE]]="B",Dealps[[#This Row],[FACE_AMOUNT]],-Dealps[[#This Row],[FACE_AMOUNT]]))</f>
        <v>-740000000000</v>
      </c>
      <c r="V15" s="25">
        <f>_xlfn.XLOOKUP(Dealps[[#This Row],[PAPER_CODE]],FNRP!D:D,FNRP!H:H,0,0)/100*Dealps[[#This Row],[AMOUNT]]</f>
        <v>0</v>
      </c>
      <c r="W15" s="57" t="str">
        <f>IF(Dealps[[#This Row],[TRANSACTION_STATUS]]&lt;&gt;"V","Ngoai BS",IF(Dealps[[#This Row],[POSTED_DT]]&gt;=Dealps[[#This Row],[VALUE_DATE]],"On BS","Off BS"))</f>
        <v>On BS</v>
      </c>
      <c r="X15" s="25">
        <f>SUMIFS(U:U,C:C,Dealps[[#This Row],[PAPER_CODE]])</f>
        <v>0</v>
      </c>
      <c r="Y15" s="25">
        <f>_xlfn.XLOOKUP(Dealps[[#This Row],[DEAL_ID]],Ref!N:N,Ref!Q:Q,0,0)</f>
        <v>0</v>
      </c>
      <c r="Z15" s="25" t="str">
        <f>IF(Dealps[[#This Row],[CPTY_CODE]]=Dealps[[#This Row],[CPTY_CODE_ISSUER]],"Yes","No")</f>
        <v>Yes</v>
      </c>
      <c r="AA15" s="25"/>
      <c r="AC15" s="14"/>
      <c r="AG15" s="96"/>
      <c r="AH15" s="14"/>
      <c r="AI15"/>
      <c r="AN15" s="14"/>
      <c r="AV15" s="36"/>
      <c r="AW15" s="14"/>
      <c r="AX15" s="234"/>
      <c r="AY15" s="96"/>
      <c r="AZ15" s="14"/>
      <c r="BA15"/>
      <c r="BB15" s="93">
        <v>46262</v>
      </c>
      <c r="BC15">
        <v>1500</v>
      </c>
      <c r="BD15" s="56" t="s">
        <v>1014</v>
      </c>
      <c r="BE15" t="s">
        <v>1011</v>
      </c>
      <c r="BF15" t="s">
        <v>1015</v>
      </c>
      <c r="BG15" t="s">
        <v>364</v>
      </c>
      <c r="BH15" t="s">
        <v>1013</v>
      </c>
      <c r="BI15" t="s">
        <v>311</v>
      </c>
      <c r="BJ15" s="93">
        <v>45719</v>
      </c>
      <c r="BK15" s="93">
        <v>45720</v>
      </c>
      <c r="BL15" s="93">
        <v>45720</v>
      </c>
      <c r="BM15" s="93">
        <v>46443</v>
      </c>
      <c r="BN15" s="14">
        <v>1</v>
      </c>
      <c r="BO15" s="14">
        <v>10000000000</v>
      </c>
      <c r="BP15" s="56">
        <v>100</v>
      </c>
      <c r="BQ15" s="56">
        <v>0</v>
      </c>
      <c r="BR15" s="14">
        <v>10008630137</v>
      </c>
      <c r="BS15">
        <v>4.4961200000000003</v>
      </c>
      <c r="BT15" t="s">
        <v>1184</v>
      </c>
      <c r="BU15" s="25">
        <f>_xlfn.XLOOKUP(Dealps_MSB[[#This Row],[DEAL_ID]],Ref!V:V,Ref!X:X,0,0)</f>
        <v>0</v>
      </c>
      <c r="BV15"/>
    </row>
    <row r="16" spans="1:100" x14ac:dyDescent="0.3">
      <c r="A16" s="93">
        <v>46262</v>
      </c>
      <c r="B16">
        <v>41647</v>
      </c>
      <c r="C16" s="56" t="s">
        <v>212</v>
      </c>
      <c r="D16" t="s">
        <v>309</v>
      </c>
      <c r="E16" t="s">
        <v>327</v>
      </c>
      <c r="F16" t="s">
        <v>35</v>
      </c>
      <c r="G16" t="s">
        <v>310</v>
      </c>
      <c r="H16" t="s">
        <v>300</v>
      </c>
      <c r="I16" s="93">
        <v>45349</v>
      </c>
      <c r="J16" s="93">
        <v>45349</v>
      </c>
      <c r="K16" s="93">
        <v>45349</v>
      </c>
      <c r="L16" s="93">
        <v>46294</v>
      </c>
      <c r="M16" s="14">
        <v>3000</v>
      </c>
      <c r="N16" s="14">
        <v>300000000000</v>
      </c>
      <c r="O16" s="56">
        <v>101.574917808</v>
      </c>
      <c r="P16" s="56">
        <v>2</v>
      </c>
      <c r="Q16" s="14">
        <v>311799000000</v>
      </c>
      <c r="R16">
        <v>5.0217552449999996</v>
      </c>
      <c r="S16" t="s">
        <v>1184</v>
      </c>
      <c r="T16" s="57">
        <f>IF(Dealps[[#This Row],[MATURITY_DATE]]-Dealps[[#This Row],[POSTED_DT]]&lt;0,0,IF(Dealps[[#This Row],[VALUE_DATE]]-Dealps[[#This Row],[POSTED_DT]]&gt;0,Dealps[[#This Row],[MATURITY_DATE]]-Dealps[[#This Row],[VALUE_DATE]],Dealps[[#This Row],[MATURITY_DATE]]-Dealps[[#This Row],[POSTED_DT]]))</f>
        <v>32</v>
      </c>
      <c r="U16" s="25">
        <f>IF(Dealps[[#This Row],[TENOR]]=0,0,IF(Dealps[[#This Row],[DEAL_TYPE]]="B",Dealps[[#This Row],[FACE_AMOUNT]],-Dealps[[#This Row],[FACE_AMOUNT]]))</f>
        <v>300000000000</v>
      </c>
      <c r="V16" s="25">
        <f>_xlfn.XLOOKUP(Dealps[[#This Row],[PAPER_CODE]],FNRP!D:D,FNRP!H:H,0,0)/100*Dealps[[#This Row],[AMOUNT]]</f>
        <v>0</v>
      </c>
      <c r="W16" s="57" t="str">
        <f>IF(Dealps[[#This Row],[TRANSACTION_STATUS]]&lt;&gt;"V","Ngoai BS",IF(Dealps[[#This Row],[POSTED_DT]]&gt;=Dealps[[#This Row],[VALUE_DATE]],"On BS","Off BS"))</f>
        <v>On BS</v>
      </c>
      <c r="X16" s="25">
        <f>SUMIFS(U:U,C:C,Dealps[[#This Row],[PAPER_CODE]])</f>
        <v>0</v>
      </c>
      <c r="Y16" s="25">
        <f>_xlfn.XLOOKUP(Dealps[[#This Row],[DEAL_ID]],Ref!N:N,Ref!Q:Q,0,0)</f>
        <v>0</v>
      </c>
      <c r="Z16" s="25" t="str">
        <f>IF(Dealps[[#This Row],[CPTY_CODE]]=Dealps[[#This Row],[CPTY_CODE_ISSUER]],"Yes","No")</f>
        <v>No</v>
      </c>
      <c r="AA16" s="25"/>
      <c r="AC16" s="14"/>
      <c r="AG16" s="96"/>
      <c r="AH16" s="14"/>
      <c r="AI16"/>
      <c r="AN16" s="14"/>
      <c r="AV16" s="36"/>
      <c r="AW16" s="14"/>
      <c r="AX16" s="234"/>
      <c r="AY16" s="96"/>
      <c r="AZ16" s="14"/>
      <c r="BA16"/>
      <c r="BB16" s="93">
        <v>46262</v>
      </c>
      <c r="BC16">
        <v>1503</v>
      </c>
      <c r="BD16" s="56" t="s">
        <v>1014</v>
      </c>
      <c r="BE16" t="s">
        <v>1011</v>
      </c>
      <c r="BF16" t="s">
        <v>1015</v>
      </c>
      <c r="BG16" t="s">
        <v>364</v>
      </c>
      <c r="BH16" t="s">
        <v>1013</v>
      </c>
      <c r="BI16" t="s">
        <v>311</v>
      </c>
      <c r="BJ16" s="93">
        <v>45720</v>
      </c>
      <c r="BK16" s="93">
        <v>45721</v>
      </c>
      <c r="BL16" s="93">
        <v>45721</v>
      </c>
      <c r="BM16" s="93">
        <v>46443</v>
      </c>
      <c r="BN16" s="14">
        <v>1</v>
      </c>
      <c r="BO16" s="14">
        <v>10000000000</v>
      </c>
      <c r="BP16" s="56">
        <v>100</v>
      </c>
      <c r="BQ16" s="56">
        <v>0</v>
      </c>
      <c r="BR16" s="14">
        <v>10009863014</v>
      </c>
      <c r="BS16">
        <v>4.4955660000000002</v>
      </c>
      <c r="BT16" t="s">
        <v>1184</v>
      </c>
      <c r="BU16" s="25">
        <f>_xlfn.XLOOKUP(Dealps_MSB[[#This Row],[DEAL_ID]],Ref!V:V,Ref!X:X,0,0)</f>
        <v>0</v>
      </c>
      <c r="BV16"/>
    </row>
    <row r="17" spans="1:74" x14ac:dyDescent="0.3">
      <c r="A17" s="93">
        <v>46262</v>
      </c>
      <c r="B17">
        <v>41648</v>
      </c>
      <c r="C17" s="56" t="s">
        <v>212</v>
      </c>
      <c r="D17" t="s">
        <v>309</v>
      </c>
      <c r="E17" t="s">
        <v>327</v>
      </c>
      <c r="F17" t="s">
        <v>35</v>
      </c>
      <c r="G17" t="s">
        <v>310</v>
      </c>
      <c r="H17" t="s">
        <v>300</v>
      </c>
      <c r="I17" s="93">
        <v>45349</v>
      </c>
      <c r="J17" s="93">
        <v>45349</v>
      </c>
      <c r="K17" s="93">
        <v>45349</v>
      </c>
      <c r="L17" s="93">
        <v>46294</v>
      </c>
      <c r="M17" s="14">
        <v>3000</v>
      </c>
      <c r="N17" s="14">
        <v>300000000000</v>
      </c>
      <c r="O17" s="56">
        <v>101.574917808</v>
      </c>
      <c r="P17" s="56">
        <v>2</v>
      </c>
      <c r="Q17" s="14">
        <v>311799000000</v>
      </c>
      <c r="R17">
        <v>5.0217552449999996</v>
      </c>
      <c r="S17" t="s">
        <v>1184</v>
      </c>
      <c r="T17" s="57">
        <f>IF(Dealps[[#This Row],[MATURITY_DATE]]-Dealps[[#This Row],[POSTED_DT]]&lt;0,0,IF(Dealps[[#This Row],[VALUE_DATE]]-Dealps[[#This Row],[POSTED_DT]]&gt;0,Dealps[[#This Row],[MATURITY_DATE]]-Dealps[[#This Row],[VALUE_DATE]],Dealps[[#This Row],[MATURITY_DATE]]-Dealps[[#This Row],[POSTED_DT]]))</f>
        <v>32</v>
      </c>
      <c r="U17" s="25">
        <f>IF(Dealps[[#This Row],[TENOR]]=0,0,IF(Dealps[[#This Row],[DEAL_TYPE]]="B",Dealps[[#This Row],[FACE_AMOUNT]],-Dealps[[#This Row],[FACE_AMOUNT]]))</f>
        <v>300000000000</v>
      </c>
      <c r="V17" s="25">
        <f>_xlfn.XLOOKUP(Dealps[[#This Row],[PAPER_CODE]],FNRP!D:D,FNRP!H:H,0,0)/100*Dealps[[#This Row],[AMOUNT]]</f>
        <v>0</v>
      </c>
      <c r="W17" s="57" t="str">
        <f>IF(Dealps[[#This Row],[TRANSACTION_STATUS]]&lt;&gt;"V","Ngoai BS",IF(Dealps[[#This Row],[POSTED_DT]]&gt;=Dealps[[#This Row],[VALUE_DATE]],"On BS","Off BS"))</f>
        <v>On BS</v>
      </c>
      <c r="X17" s="25">
        <f>SUMIFS(U:U,C:C,Dealps[[#This Row],[PAPER_CODE]])</f>
        <v>0</v>
      </c>
      <c r="Y17" s="25">
        <f>_xlfn.XLOOKUP(Dealps[[#This Row],[DEAL_ID]],Ref!N:N,Ref!Q:Q,0,0)</f>
        <v>0</v>
      </c>
      <c r="Z17" s="25" t="str">
        <f>IF(Dealps[[#This Row],[CPTY_CODE]]=Dealps[[#This Row],[CPTY_CODE_ISSUER]],"Yes","No")</f>
        <v>No</v>
      </c>
      <c r="AA17" s="25"/>
      <c r="AC17" s="14"/>
      <c r="AG17" s="96"/>
      <c r="AH17" s="14"/>
      <c r="AI17"/>
      <c r="AN17" s="14"/>
      <c r="AV17" s="36"/>
      <c r="AW17" s="14"/>
      <c r="AX17" s="234"/>
      <c r="AY17" s="96"/>
      <c r="AZ17" s="14"/>
      <c r="BA17"/>
      <c r="BB17" s="93">
        <v>46262</v>
      </c>
      <c r="BC17">
        <v>1504</v>
      </c>
      <c r="BD17" s="56" t="s">
        <v>1014</v>
      </c>
      <c r="BE17" t="s">
        <v>1011</v>
      </c>
      <c r="BF17" t="s">
        <v>1015</v>
      </c>
      <c r="BG17" t="s">
        <v>364</v>
      </c>
      <c r="BH17" t="s">
        <v>1013</v>
      </c>
      <c r="BI17" t="s">
        <v>311</v>
      </c>
      <c r="BJ17" s="93">
        <v>45720</v>
      </c>
      <c r="BK17" s="93">
        <v>45722</v>
      </c>
      <c r="BL17" s="93">
        <v>45722</v>
      </c>
      <c r="BM17" s="93">
        <v>46443</v>
      </c>
      <c r="BN17" s="14">
        <v>1</v>
      </c>
      <c r="BO17" s="14">
        <v>10000000000</v>
      </c>
      <c r="BP17" s="56">
        <v>100</v>
      </c>
      <c r="BQ17" s="56">
        <v>0</v>
      </c>
      <c r="BR17" s="14">
        <v>10011095890</v>
      </c>
      <c r="BS17">
        <v>4.495012</v>
      </c>
      <c r="BT17" t="s">
        <v>1184</v>
      </c>
      <c r="BU17" s="25">
        <f>_xlfn.XLOOKUP(Dealps_MSB[[#This Row],[DEAL_ID]],Ref!V:V,Ref!X:X,0,0)</f>
        <v>0</v>
      </c>
      <c r="BV17"/>
    </row>
    <row r="18" spans="1:74" x14ac:dyDescent="0.3">
      <c r="A18" s="93">
        <v>46262</v>
      </c>
      <c r="B18">
        <v>41661</v>
      </c>
      <c r="C18" s="56" t="s">
        <v>212</v>
      </c>
      <c r="D18" t="s">
        <v>309</v>
      </c>
      <c r="E18" t="s">
        <v>319</v>
      </c>
      <c r="F18" t="s">
        <v>35</v>
      </c>
      <c r="G18" t="s">
        <v>310</v>
      </c>
      <c r="H18" t="s">
        <v>311</v>
      </c>
      <c r="I18" s="93">
        <v>45350</v>
      </c>
      <c r="J18" s="93">
        <v>45350</v>
      </c>
      <c r="K18" s="93">
        <v>45350</v>
      </c>
      <c r="L18" s="93">
        <v>46294</v>
      </c>
      <c r="M18" s="14">
        <v>3000</v>
      </c>
      <c r="N18" s="14">
        <v>300000000000</v>
      </c>
      <c r="O18" s="56">
        <v>101.58614237</v>
      </c>
      <c r="P18" s="56">
        <v>2</v>
      </c>
      <c r="Q18" s="14">
        <v>311879523000</v>
      </c>
      <c r="R18">
        <v>5.0163942639999997</v>
      </c>
      <c r="S18" t="s">
        <v>1184</v>
      </c>
      <c r="T18" s="57">
        <f>IF(Dealps[[#This Row],[MATURITY_DATE]]-Dealps[[#This Row],[POSTED_DT]]&lt;0,0,IF(Dealps[[#This Row],[VALUE_DATE]]-Dealps[[#This Row],[POSTED_DT]]&gt;0,Dealps[[#This Row],[MATURITY_DATE]]-Dealps[[#This Row],[VALUE_DATE]],Dealps[[#This Row],[MATURITY_DATE]]-Dealps[[#This Row],[POSTED_DT]]))</f>
        <v>32</v>
      </c>
      <c r="U18" s="25">
        <f>IF(Dealps[[#This Row],[TENOR]]=0,0,IF(Dealps[[#This Row],[DEAL_TYPE]]="B",Dealps[[#This Row],[FACE_AMOUNT]],-Dealps[[#This Row],[FACE_AMOUNT]]))</f>
        <v>-300000000000</v>
      </c>
      <c r="V18" s="25">
        <f>_xlfn.XLOOKUP(Dealps[[#This Row],[PAPER_CODE]],FNRP!D:D,FNRP!H:H,0,0)/100*Dealps[[#This Row],[AMOUNT]]</f>
        <v>0</v>
      </c>
      <c r="W18" s="57" t="str">
        <f>IF(Dealps[[#This Row],[TRANSACTION_STATUS]]&lt;&gt;"V","Ngoai BS",IF(Dealps[[#This Row],[POSTED_DT]]&gt;=Dealps[[#This Row],[VALUE_DATE]],"On BS","Off BS"))</f>
        <v>On BS</v>
      </c>
      <c r="X18" s="25">
        <f>SUMIFS(U:U,C:C,Dealps[[#This Row],[PAPER_CODE]])</f>
        <v>0</v>
      </c>
      <c r="Y18" s="25">
        <f>_xlfn.XLOOKUP(Dealps[[#This Row],[DEAL_ID]],Ref!N:N,Ref!Q:Q,0,0)</f>
        <v>0</v>
      </c>
      <c r="Z18" s="25" t="str">
        <f>IF(Dealps[[#This Row],[CPTY_CODE]]=Dealps[[#This Row],[CPTY_CODE_ISSUER]],"Yes","No")</f>
        <v>No</v>
      </c>
      <c r="AA18" s="25"/>
      <c r="AC18" s="14"/>
      <c r="AG18" s="96"/>
      <c r="AH18" s="14"/>
      <c r="AI18"/>
      <c r="AN18" s="14"/>
      <c r="AV18" s="36"/>
      <c r="AW18" s="14"/>
      <c r="AX18" s="234"/>
      <c r="AY18" s="96"/>
      <c r="AZ18" s="14"/>
      <c r="BA18"/>
      <c r="BB18" s="93">
        <v>46262</v>
      </c>
      <c r="BC18">
        <v>1533</v>
      </c>
      <c r="BD18" s="56" t="s">
        <v>1014</v>
      </c>
      <c r="BE18" t="s">
        <v>1011</v>
      </c>
      <c r="BF18" t="s">
        <v>1015</v>
      </c>
      <c r="BG18" t="s">
        <v>364</v>
      </c>
      <c r="BH18" t="s">
        <v>1013</v>
      </c>
      <c r="BI18" t="s">
        <v>311</v>
      </c>
      <c r="BJ18" s="93">
        <v>45726</v>
      </c>
      <c r="BK18" s="93">
        <v>45726</v>
      </c>
      <c r="BL18" s="93">
        <v>45726</v>
      </c>
      <c r="BM18" s="93">
        <v>46443</v>
      </c>
      <c r="BN18" s="14">
        <v>1</v>
      </c>
      <c r="BO18" s="14">
        <v>15000000000</v>
      </c>
      <c r="BP18" s="56">
        <v>100</v>
      </c>
      <c r="BQ18" s="56">
        <v>0</v>
      </c>
      <c r="BR18" s="14">
        <v>15024041096</v>
      </c>
      <c r="BS18">
        <v>4.4927989999999998</v>
      </c>
      <c r="BT18" t="s">
        <v>1184</v>
      </c>
      <c r="BU18" s="25">
        <f>_xlfn.XLOOKUP(Dealps_MSB[[#This Row],[DEAL_ID]],Ref!V:V,Ref!X:X,0,0)</f>
        <v>0</v>
      </c>
      <c r="BV18"/>
    </row>
    <row r="19" spans="1:74" x14ac:dyDescent="0.3">
      <c r="A19" s="93">
        <v>46262</v>
      </c>
      <c r="B19">
        <v>41662</v>
      </c>
      <c r="C19" s="56" t="s">
        <v>212</v>
      </c>
      <c r="D19" t="s">
        <v>309</v>
      </c>
      <c r="E19" t="s">
        <v>319</v>
      </c>
      <c r="F19" t="s">
        <v>35</v>
      </c>
      <c r="G19" t="s">
        <v>310</v>
      </c>
      <c r="H19" t="s">
        <v>311</v>
      </c>
      <c r="I19" s="93">
        <v>45350</v>
      </c>
      <c r="J19" s="93">
        <v>45350</v>
      </c>
      <c r="K19" s="93">
        <v>45350</v>
      </c>
      <c r="L19" s="93">
        <v>46294</v>
      </c>
      <c r="M19" s="14">
        <v>3000</v>
      </c>
      <c r="N19" s="14">
        <v>300000000000</v>
      </c>
      <c r="O19" s="56">
        <v>101.58614237</v>
      </c>
      <c r="P19" s="56">
        <v>2</v>
      </c>
      <c r="Q19" s="14">
        <v>311879523000</v>
      </c>
      <c r="R19">
        <v>5.0163942639999997</v>
      </c>
      <c r="S19" t="s">
        <v>1184</v>
      </c>
      <c r="T19" s="57">
        <f>IF(Dealps[[#This Row],[MATURITY_DATE]]-Dealps[[#This Row],[POSTED_DT]]&lt;0,0,IF(Dealps[[#This Row],[VALUE_DATE]]-Dealps[[#This Row],[POSTED_DT]]&gt;0,Dealps[[#This Row],[MATURITY_DATE]]-Dealps[[#This Row],[VALUE_DATE]],Dealps[[#This Row],[MATURITY_DATE]]-Dealps[[#This Row],[POSTED_DT]]))</f>
        <v>32</v>
      </c>
      <c r="U19" s="25">
        <f>IF(Dealps[[#This Row],[TENOR]]=0,0,IF(Dealps[[#This Row],[DEAL_TYPE]]="B",Dealps[[#This Row],[FACE_AMOUNT]],-Dealps[[#This Row],[FACE_AMOUNT]]))</f>
        <v>-300000000000</v>
      </c>
      <c r="V19" s="25">
        <f>_xlfn.XLOOKUP(Dealps[[#This Row],[PAPER_CODE]],FNRP!D:D,FNRP!H:H,0,0)/100*Dealps[[#This Row],[AMOUNT]]</f>
        <v>0</v>
      </c>
      <c r="W19" s="57" t="str">
        <f>IF(Dealps[[#This Row],[TRANSACTION_STATUS]]&lt;&gt;"V","Ngoai BS",IF(Dealps[[#This Row],[POSTED_DT]]&gt;=Dealps[[#This Row],[VALUE_DATE]],"On BS","Off BS"))</f>
        <v>On BS</v>
      </c>
      <c r="X19" s="25">
        <f>SUMIFS(U:U,C:C,Dealps[[#This Row],[PAPER_CODE]])</f>
        <v>0</v>
      </c>
      <c r="Y19" s="25">
        <f>_xlfn.XLOOKUP(Dealps[[#This Row],[DEAL_ID]],Ref!N:N,Ref!Q:Q,0,0)</f>
        <v>0</v>
      </c>
      <c r="Z19" s="25" t="str">
        <f>IF(Dealps[[#This Row],[CPTY_CODE]]=Dealps[[#This Row],[CPTY_CODE_ISSUER]],"Yes","No")</f>
        <v>No</v>
      </c>
      <c r="AA19" s="25"/>
      <c r="AC19" s="14"/>
      <c r="AG19" s="96"/>
      <c r="AH19" s="14"/>
      <c r="AI19"/>
      <c r="AN19" s="14"/>
      <c r="AV19" s="36"/>
      <c r="AW19" s="14"/>
      <c r="AX19" s="234"/>
      <c r="AY19" s="96"/>
      <c r="AZ19" s="14"/>
      <c r="BA19"/>
      <c r="BB19" s="93">
        <v>46262</v>
      </c>
      <c r="BC19">
        <v>1534</v>
      </c>
      <c r="BD19" s="56" t="s">
        <v>1014</v>
      </c>
      <c r="BE19" t="s">
        <v>1011</v>
      </c>
      <c r="BF19" t="s">
        <v>1015</v>
      </c>
      <c r="BG19" t="s">
        <v>364</v>
      </c>
      <c r="BH19" t="s">
        <v>1013</v>
      </c>
      <c r="BI19" t="s">
        <v>311</v>
      </c>
      <c r="BJ19" s="93">
        <v>45726</v>
      </c>
      <c r="BK19" s="93">
        <v>45726</v>
      </c>
      <c r="BL19" s="93">
        <v>45726</v>
      </c>
      <c r="BM19" s="93">
        <v>46443</v>
      </c>
      <c r="BN19" s="14">
        <v>1</v>
      </c>
      <c r="BO19" s="14">
        <v>15000000000</v>
      </c>
      <c r="BP19" s="56">
        <v>100</v>
      </c>
      <c r="BQ19" s="56">
        <v>0</v>
      </c>
      <c r="BR19" s="14">
        <v>15024041096</v>
      </c>
      <c r="BS19">
        <v>4.4927989999999998</v>
      </c>
      <c r="BT19" t="s">
        <v>1184</v>
      </c>
      <c r="BU19" s="25">
        <f>_xlfn.XLOOKUP(Dealps_MSB[[#This Row],[DEAL_ID]],Ref!V:V,Ref!X:X,0,0)</f>
        <v>0</v>
      </c>
      <c r="BV19"/>
    </row>
    <row r="20" spans="1:74" x14ac:dyDescent="0.3">
      <c r="A20" s="93">
        <v>46262</v>
      </c>
      <c r="B20">
        <v>42529</v>
      </c>
      <c r="C20" s="56" t="s">
        <v>231</v>
      </c>
      <c r="D20" t="s">
        <v>312</v>
      </c>
      <c r="E20" t="s">
        <v>315</v>
      </c>
      <c r="F20" t="s">
        <v>35</v>
      </c>
      <c r="G20" t="s">
        <v>310</v>
      </c>
      <c r="H20" t="s">
        <v>300</v>
      </c>
      <c r="I20" s="93">
        <v>45432</v>
      </c>
      <c r="J20" s="93">
        <v>45433</v>
      </c>
      <c r="K20" s="93">
        <v>45433</v>
      </c>
      <c r="L20" s="93">
        <v>46381</v>
      </c>
      <c r="M20" s="14">
        <v>750</v>
      </c>
      <c r="N20" s="14">
        <v>750000000000</v>
      </c>
      <c r="O20" s="56">
        <v>99.93648795</v>
      </c>
      <c r="P20" s="56">
        <v>2</v>
      </c>
      <c r="Q20" s="14">
        <v>765337358250</v>
      </c>
      <c r="R20">
        <v>5.2074076570000001</v>
      </c>
      <c r="S20" t="s">
        <v>1184</v>
      </c>
      <c r="T20" s="57">
        <f>IF(Dealps[[#This Row],[MATURITY_DATE]]-Dealps[[#This Row],[POSTED_DT]]&lt;0,0,IF(Dealps[[#This Row],[VALUE_DATE]]-Dealps[[#This Row],[POSTED_DT]]&gt;0,Dealps[[#This Row],[MATURITY_DATE]]-Dealps[[#This Row],[VALUE_DATE]],Dealps[[#This Row],[MATURITY_DATE]]-Dealps[[#This Row],[POSTED_DT]]))</f>
        <v>119</v>
      </c>
      <c r="U20" s="25">
        <f>IF(Dealps[[#This Row],[TENOR]]=0,0,IF(Dealps[[#This Row],[DEAL_TYPE]]="B",Dealps[[#This Row],[FACE_AMOUNT]],-Dealps[[#This Row],[FACE_AMOUNT]]))</f>
        <v>750000000000</v>
      </c>
      <c r="V20" s="25">
        <f>_xlfn.XLOOKUP(Dealps[[#This Row],[PAPER_CODE]],FNRP!D:D,FNRP!H:H,0,0)/100*Dealps[[#This Row],[AMOUNT]]</f>
        <v>0</v>
      </c>
      <c r="W20" s="57" t="str">
        <f>IF(Dealps[[#This Row],[TRANSACTION_STATUS]]&lt;&gt;"V","Ngoai BS",IF(Dealps[[#This Row],[POSTED_DT]]&gt;=Dealps[[#This Row],[VALUE_DATE]],"On BS","Off BS"))</f>
        <v>On BS</v>
      </c>
      <c r="X20" s="25">
        <f>SUMIFS(U:U,C:C,Dealps[[#This Row],[PAPER_CODE]])</f>
        <v>0</v>
      </c>
      <c r="Y20" s="25">
        <f>_xlfn.XLOOKUP(Dealps[[#This Row],[DEAL_ID]],Ref!N:N,Ref!Q:Q,0,0)</f>
        <v>0</v>
      </c>
      <c r="Z20" s="25" t="str">
        <f>IF(Dealps[[#This Row],[CPTY_CODE]]=Dealps[[#This Row],[CPTY_CODE_ISSUER]],"Yes","No")</f>
        <v>No</v>
      </c>
      <c r="AA20" s="25"/>
      <c r="AC20" s="14"/>
      <c r="AG20" s="96"/>
      <c r="AH20" s="14"/>
      <c r="AI20"/>
      <c r="AN20" s="14"/>
      <c r="AV20" s="36"/>
      <c r="AW20" s="14"/>
      <c r="AX20" s="234"/>
      <c r="AY20" s="96"/>
      <c r="AZ20" s="14"/>
      <c r="BA20"/>
      <c r="BB20" s="93">
        <v>46262</v>
      </c>
      <c r="BC20">
        <v>1535</v>
      </c>
      <c r="BD20" s="56" t="s">
        <v>1014</v>
      </c>
      <c r="BE20" t="s">
        <v>1011</v>
      </c>
      <c r="BF20" t="s">
        <v>1015</v>
      </c>
      <c r="BG20" t="s">
        <v>364</v>
      </c>
      <c r="BH20" t="s">
        <v>1013</v>
      </c>
      <c r="BI20" t="s">
        <v>311</v>
      </c>
      <c r="BJ20" s="93">
        <v>45726</v>
      </c>
      <c r="BK20" s="93">
        <v>45727</v>
      </c>
      <c r="BL20" s="93">
        <v>45727</v>
      </c>
      <c r="BM20" s="93">
        <v>46443</v>
      </c>
      <c r="BN20" s="14">
        <v>1</v>
      </c>
      <c r="BO20" s="14">
        <v>10000000000</v>
      </c>
      <c r="BP20" s="56">
        <v>100</v>
      </c>
      <c r="BQ20" s="56">
        <v>0</v>
      </c>
      <c r="BR20" s="14">
        <v>10017260274</v>
      </c>
      <c r="BS20">
        <v>4.4922459999999997</v>
      </c>
      <c r="BT20" t="s">
        <v>1184</v>
      </c>
      <c r="BU20" s="25">
        <f>_xlfn.XLOOKUP(Dealps_MSB[[#This Row],[DEAL_ID]],Ref!V:V,Ref!X:X,0,0)</f>
        <v>0</v>
      </c>
      <c r="BV20"/>
    </row>
    <row r="21" spans="1:74" x14ac:dyDescent="0.3">
      <c r="A21" s="93">
        <v>46262</v>
      </c>
      <c r="B21">
        <v>42530</v>
      </c>
      <c r="C21" s="56" t="s">
        <v>231</v>
      </c>
      <c r="D21" t="s">
        <v>312</v>
      </c>
      <c r="E21" t="s">
        <v>315</v>
      </c>
      <c r="F21" t="s">
        <v>35</v>
      </c>
      <c r="G21" t="s">
        <v>310</v>
      </c>
      <c r="H21" t="s">
        <v>300</v>
      </c>
      <c r="I21" s="93">
        <v>45432</v>
      </c>
      <c r="J21" s="93">
        <v>45433</v>
      </c>
      <c r="K21" s="93">
        <v>45433</v>
      </c>
      <c r="L21" s="93">
        <v>46381</v>
      </c>
      <c r="M21" s="14">
        <v>750</v>
      </c>
      <c r="N21" s="14">
        <v>750000000000</v>
      </c>
      <c r="O21" s="56">
        <v>99.93648795</v>
      </c>
      <c r="P21" s="56">
        <v>2</v>
      </c>
      <c r="Q21" s="14">
        <v>765337358250</v>
      </c>
      <c r="R21">
        <v>5.2074076570000001</v>
      </c>
      <c r="S21" t="s">
        <v>1184</v>
      </c>
      <c r="T21" s="57">
        <f>IF(Dealps[[#This Row],[MATURITY_DATE]]-Dealps[[#This Row],[POSTED_DT]]&lt;0,0,IF(Dealps[[#This Row],[VALUE_DATE]]-Dealps[[#This Row],[POSTED_DT]]&gt;0,Dealps[[#This Row],[MATURITY_DATE]]-Dealps[[#This Row],[VALUE_DATE]],Dealps[[#This Row],[MATURITY_DATE]]-Dealps[[#This Row],[POSTED_DT]]))</f>
        <v>119</v>
      </c>
      <c r="U21" s="25">
        <f>IF(Dealps[[#This Row],[TENOR]]=0,0,IF(Dealps[[#This Row],[DEAL_TYPE]]="B",Dealps[[#This Row],[FACE_AMOUNT]],-Dealps[[#This Row],[FACE_AMOUNT]]))</f>
        <v>750000000000</v>
      </c>
      <c r="V21" s="25">
        <f>_xlfn.XLOOKUP(Dealps[[#This Row],[PAPER_CODE]],FNRP!D:D,FNRP!H:H,0,0)/100*Dealps[[#This Row],[AMOUNT]]</f>
        <v>0</v>
      </c>
      <c r="W21" s="57" t="str">
        <f>IF(Dealps[[#This Row],[TRANSACTION_STATUS]]&lt;&gt;"V","Ngoai BS",IF(Dealps[[#This Row],[POSTED_DT]]&gt;=Dealps[[#This Row],[VALUE_DATE]],"On BS","Off BS"))</f>
        <v>On BS</v>
      </c>
      <c r="X21" s="25">
        <f>SUMIFS(U:U,C:C,Dealps[[#This Row],[PAPER_CODE]])</f>
        <v>0</v>
      </c>
      <c r="Y21" s="25">
        <f>_xlfn.XLOOKUP(Dealps[[#This Row],[DEAL_ID]],Ref!N:N,Ref!Q:Q,0,0)</f>
        <v>0</v>
      </c>
      <c r="Z21" s="25" t="str">
        <f>IF(Dealps[[#This Row],[CPTY_CODE]]=Dealps[[#This Row],[CPTY_CODE_ISSUER]],"Yes","No")</f>
        <v>No</v>
      </c>
      <c r="AA21" s="25"/>
      <c r="AC21" s="14"/>
      <c r="AG21" s="96"/>
      <c r="AH21" s="14"/>
      <c r="AI21"/>
      <c r="AN21" s="14"/>
      <c r="AV21" s="36"/>
      <c r="AW21" s="14"/>
      <c r="AX21" s="234"/>
      <c r="AY21" s="96"/>
      <c r="AZ21" s="14"/>
      <c r="BA21"/>
      <c r="BB21" s="93">
        <v>46262</v>
      </c>
      <c r="BC21">
        <v>1536</v>
      </c>
      <c r="BD21" s="56" t="s">
        <v>1014</v>
      </c>
      <c r="BE21" t="s">
        <v>1011</v>
      </c>
      <c r="BF21" t="s">
        <v>1015</v>
      </c>
      <c r="BG21" t="s">
        <v>364</v>
      </c>
      <c r="BH21" t="s">
        <v>1013</v>
      </c>
      <c r="BI21" t="s">
        <v>311</v>
      </c>
      <c r="BJ21" s="93">
        <v>45726</v>
      </c>
      <c r="BK21" s="93">
        <v>45727</v>
      </c>
      <c r="BL21" s="93">
        <v>45727</v>
      </c>
      <c r="BM21" s="93">
        <v>46443</v>
      </c>
      <c r="BN21" s="14">
        <v>1</v>
      </c>
      <c r="BO21" s="14">
        <v>10000000000</v>
      </c>
      <c r="BP21" s="56">
        <v>100</v>
      </c>
      <c r="BQ21" s="56">
        <v>0</v>
      </c>
      <c r="BR21" s="14">
        <v>10017260274</v>
      </c>
      <c r="BS21">
        <v>4.4922459999999997</v>
      </c>
      <c r="BT21" t="s">
        <v>1184</v>
      </c>
      <c r="BU21" s="25">
        <f>_xlfn.XLOOKUP(Dealps_MSB[[#This Row],[DEAL_ID]],Ref!V:V,Ref!X:X,0,0)</f>
        <v>0</v>
      </c>
      <c r="BV21"/>
    </row>
    <row r="22" spans="1:74" x14ac:dyDescent="0.3">
      <c r="A22" s="93">
        <v>46262</v>
      </c>
      <c r="B22">
        <v>42531</v>
      </c>
      <c r="C22" s="56" t="s">
        <v>231</v>
      </c>
      <c r="D22" t="s">
        <v>312</v>
      </c>
      <c r="E22" t="s">
        <v>315</v>
      </c>
      <c r="F22" t="s">
        <v>35</v>
      </c>
      <c r="G22" t="s">
        <v>310</v>
      </c>
      <c r="H22" t="s">
        <v>311</v>
      </c>
      <c r="I22" s="93">
        <v>45432</v>
      </c>
      <c r="J22" s="93">
        <v>45434</v>
      </c>
      <c r="K22" s="93">
        <v>45434</v>
      </c>
      <c r="L22" s="93">
        <v>46381</v>
      </c>
      <c r="M22" s="14">
        <v>750</v>
      </c>
      <c r="N22" s="14">
        <v>750000000000</v>
      </c>
      <c r="O22" s="56">
        <v>99.946983775000007</v>
      </c>
      <c r="P22" s="56">
        <v>2</v>
      </c>
      <c r="Q22" s="14">
        <v>765522926250</v>
      </c>
      <c r="R22">
        <v>5.2029669470000002</v>
      </c>
      <c r="S22" t="s">
        <v>1184</v>
      </c>
      <c r="T22" s="57">
        <f>IF(Dealps[[#This Row],[MATURITY_DATE]]-Dealps[[#This Row],[POSTED_DT]]&lt;0,0,IF(Dealps[[#This Row],[VALUE_DATE]]-Dealps[[#This Row],[POSTED_DT]]&gt;0,Dealps[[#This Row],[MATURITY_DATE]]-Dealps[[#This Row],[VALUE_DATE]],Dealps[[#This Row],[MATURITY_DATE]]-Dealps[[#This Row],[POSTED_DT]]))</f>
        <v>119</v>
      </c>
      <c r="U22" s="25">
        <f>IF(Dealps[[#This Row],[TENOR]]=0,0,IF(Dealps[[#This Row],[DEAL_TYPE]]="B",Dealps[[#This Row],[FACE_AMOUNT]],-Dealps[[#This Row],[FACE_AMOUNT]]))</f>
        <v>-750000000000</v>
      </c>
      <c r="V22" s="25">
        <f>_xlfn.XLOOKUP(Dealps[[#This Row],[PAPER_CODE]],FNRP!D:D,FNRP!H:H,0,0)/100*Dealps[[#This Row],[AMOUNT]]</f>
        <v>0</v>
      </c>
      <c r="W22" s="57" t="str">
        <f>IF(Dealps[[#This Row],[TRANSACTION_STATUS]]&lt;&gt;"V","Ngoai BS",IF(Dealps[[#This Row],[POSTED_DT]]&gt;=Dealps[[#This Row],[VALUE_DATE]],"On BS","Off BS"))</f>
        <v>On BS</v>
      </c>
      <c r="X22" s="25">
        <f>SUMIFS(U:U,C:C,Dealps[[#This Row],[PAPER_CODE]])</f>
        <v>0</v>
      </c>
      <c r="Y22" s="25">
        <f>_xlfn.XLOOKUP(Dealps[[#This Row],[DEAL_ID]],Ref!N:N,Ref!Q:Q,0,0)</f>
        <v>0</v>
      </c>
      <c r="Z22" s="25" t="str">
        <f>IF(Dealps[[#This Row],[CPTY_CODE]]=Dealps[[#This Row],[CPTY_CODE_ISSUER]],"Yes","No")</f>
        <v>No</v>
      </c>
      <c r="AA22" s="25"/>
      <c r="AC22" s="14"/>
      <c r="AG22" s="96"/>
      <c r="AH22" s="14"/>
      <c r="AI22"/>
      <c r="AN22" s="14"/>
      <c r="AV22" s="36"/>
      <c r="AW22" s="14"/>
      <c r="AX22" s="234"/>
      <c r="AY22" s="96"/>
      <c r="AZ22" s="14"/>
      <c r="BA22"/>
      <c r="BB22" s="93">
        <v>46262</v>
      </c>
      <c r="BC22">
        <v>1537</v>
      </c>
      <c r="BD22" s="56" t="s">
        <v>1014</v>
      </c>
      <c r="BE22" t="s">
        <v>1011</v>
      </c>
      <c r="BF22" t="s">
        <v>1015</v>
      </c>
      <c r="BG22" t="s">
        <v>364</v>
      </c>
      <c r="BH22" t="s">
        <v>1013</v>
      </c>
      <c r="BI22" t="s">
        <v>311</v>
      </c>
      <c r="BJ22" s="93">
        <v>45726</v>
      </c>
      <c r="BK22" s="93">
        <v>45727</v>
      </c>
      <c r="BL22" s="93">
        <v>45727</v>
      </c>
      <c r="BM22" s="93">
        <v>46443</v>
      </c>
      <c r="BN22" s="14">
        <v>1</v>
      </c>
      <c r="BO22" s="14">
        <v>10000000000</v>
      </c>
      <c r="BP22" s="56">
        <v>100</v>
      </c>
      <c r="BQ22" s="56">
        <v>0</v>
      </c>
      <c r="BR22" s="14">
        <v>10017260274</v>
      </c>
      <c r="BS22">
        <v>4.4922459999999997</v>
      </c>
      <c r="BT22" t="s">
        <v>1184</v>
      </c>
      <c r="BU22" s="25">
        <f>_xlfn.XLOOKUP(Dealps_MSB[[#This Row],[DEAL_ID]],Ref!V:V,Ref!X:X,0,0)</f>
        <v>0</v>
      </c>
      <c r="BV22"/>
    </row>
    <row r="23" spans="1:74" x14ac:dyDescent="0.3">
      <c r="A23" s="93">
        <v>46262</v>
      </c>
      <c r="B23">
        <v>42532</v>
      </c>
      <c r="C23" s="56" t="s">
        <v>231</v>
      </c>
      <c r="D23" t="s">
        <v>312</v>
      </c>
      <c r="E23" t="s">
        <v>315</v>
      </c>
      <c r="F23" t="s">
        <v>35</v>
      </c>
      <c r="G23" t="s">
        <v>310</v>
      </c>
      <c r="H23" t="s">
        <v>311</v>
      </c>
      <c r="I23" s="93">
        <v>45432</v>
      </c>
      <c r="J23" s="93">
        <v>45434</v>
      </c>
      <c r="K23" s="93">
        <v>45434</v>
      </c>
      <c r="L23" s="93">
        <v>46381</v>
      </c>
      <c r="M23" s="14">
        <v>750</v>
      </c>
      <c r="N23" s="14">
        <v>750000000000</v>
      </c>
      <c r="O23" s="56">
        <v>99.946983775000007</v>
      </c>
      <c r="P23" s="56">
        <v>2</v>
      </c>
      <c r="Q23" s="14">
        <v>765522926250</v>
      </c>
      <c r="R23">
        <v>5.2029669470000002</v>
      </c>
      <c r="S23" t="s">
        <v>1184</v>
      </c>
      <c r="T23" s="57">
        <f>IF(Dealps[[#This Row],[MATURITY_DATE]]-Dealps[[#This Row],[POSTED_DT]]&lt;0,0,IF(Dealps[[#This Row],[VALUE_DATE]]-Dealps[[#This Row],[POSTED_DT]]&gt;0,Dealps[[#This Row],[MATURITY_DATE]]-Dealps[[#This Row],[VALUE_DATE]],Dealps[[#This Row],[MATURITY_DATE]]-Dealps[[#This Row],[POSTED_DT]]))</f>
        <v>119</v>
      </c>
      <c r="U23" s="25">
        <f>IF(Dealps[[#This Row],[TENOR]]=0,0,IF(Dealps[[#This Row],[DEAL_TYPE]]="B",Dealps[[#This Row],[FACE_AMOUNT]],-Dealps[[#This Row],[FACE_AMOUNT]]))</f>
        <v>-750000000000</v>
      </c>
      <c r="V23" s="25">
        <f>_xlfn.XLOOKUP(Dealps[[#This Row],[PAPER_CODE]],FNRP!D:D,FNRP!H:H,0,0)/100*Dealps[[#This Row],[AMOUNT]]</f>
        <v>0</v>
      </c>
      <c r="W23" s="57" t="str">
        <f>IF(Dealps[[#This Row],[TRANSACTION_STATUS]]&lt;&gt;"V","Ngoai BS",IF(Dealps[[#This Row],[POSTED_DT]]&gt;=Dealps[[#This Row],[VALUE_DATE]],"On BS","Off BS"))</f>
        <v>On BS</v>
      </c>
      <c r="X23" s="25">
        <f>SUMIFS(U:U,C:C,Dealps[[#This Row],[PAPER_CODE]])</f>
        <v>0</v>
      </c>
      <c r="Y23" s="25">
        <f>_xlfn.XLOOKUP(Dealps[[#This Row],[DEAL_ID]],Ref!N:N,Ref!Q:Q,0,0)</f>
        <v>0</v>
      </c>
      <c r="Z23" s="25" t="str">
        <f>IF(Dealps[[#This Row],[CPTY_CODE]]=Dealps[[#This Row],[CPTY_CODE_ISSUER]],"Yes","No")</f>
        <v>No</v>
      </c>
      <c r="AA23" s="25"/>
      <c r="AC23" s="14"/>
      <c r="AG23" s="96"/>
      <c r="AH23" s="14"/>
      <c r="AI23"/>
      <c r="AN23" s="14"/>
      <c r="AV23" s="36"/>
      <c r="AW23" s="14"/>
      <c r="AX23" s="234"/>
      <c r="AY23" s="96"/>
      <c r="AZ23" s="14"/>
      <c r="BA23"/>
      <c r="BB23" s="93">
        <v>46262</v>
      </c>
      <c r="BC23">
        <v>1538</v>
      </c>
      <c r="BD23" s="56" t="s">
        <v>1014</v>
      </c>
      <c r="BE23" t="s">
        <v>1011</v>
      </c>
      <c r="BF23" t="s">
        <v>1015</v>
      </c>
      <c r="BG23" t="s">
        <v>364</v>
      </c>
      <c r="BH23" t="s">
        <v>1013</v>
      </c>
      <c r="BI23" t="s">
        <v>311</v>
      </c>
      <c r="BJ23" s="93">
        <v>45726</v>
      </c>
      <c r="BK23" s="93">
        <v>45727</v>
      </c>
      <c r="BL23" s="93">
        <v>45727</v>
      </c>
      <c r="BM23" s="93">
        <v>46443</v>
      </c>
      <c r="BN23" s="14">
        <v>1</v>
      </c>
      <c r="BO23" s="14">
        <v>10000000000</v>
      </c>
      <c r="BP23" s="56">
        <v>100</v>
      </c>
      <c r="BQ23" s="56">
        <v>0</v>
      </c>
      <c r="BR23" s="14">
        <v>10017260274</v>
      </c>
      <c r="BS23">
        <v>4.4922459999999997</v>
      </c>
      <c r="BT23" t="s">
        <v>1184</v>
      </c>
      <c r="BU23" s="25">
        <f>_xlfn.XLOOKUP(Dealps_MSB[[#This Row],[DEAL_ID]],Ref!V:V,Ref!X:X,0,0)</f>
        <v>0</v>
      </c>
      <c r="BV23"/>
    </row>
    <row r="24" spans="1:74" x14ac:dyDescent="0.3">
      <c r="A24" s="93">
        <v>46262</v>
      </c>
      <c r="B24">
        <v>43091</v>
      </c>
      <c r="C24" s="56" t="s">
        <v>37</v>
      </c>
      <c r="D24" t="s">
        <v>322</v>
      </c>
      <c r="E24" t="s">
        <v>322</v>
      </c>
      <c r="F24" t="s">
        <v>35</v>
      </c>
      <c r="G24" t="s">
        <v>310</v>
      </c>
      <c r="H24" t="s">
        <v>300</v>
      </c>
      <c r="I24" s="93">
        <v>45470</v>
      </c>
      <c r="J24" s="93">
        <v>45471</v>
      </c>
      <c r="K24" s="93">
        <v>45471</v>
      </c>
      <c r="L24" s="93">
        <v>46566</v>
      </c>
      <c r="M24" s="14">
        <v>500</v>
      </c>
      <c r="N24" s="14">
        <v>500000000000</v>
      </c>
      <c r="O24" s="56">
        <v>100</v>
      </c>
      <c r="P24" s="56">
        <v>0</v>
      </c>
      <c r="Q24" s="14">
        <v>500000000000</v>
      </c>
      <c r="R24">
        <v>5.4</v>
      </c>
      <c r="S24" t="s">
        <v>1184</v>
      </c>
      <c r="T24" s="57">
        <f>IF(Dealps[[#This Row],[MATURITY_DATE]]-Dealps[[#This Row],[POSTED_DT]]&lt;0,0,IF(Dealps[[#This Row],[VALUE_DATE]]-Dealps[[#This Row],[POSTED_DT]]&gt;0,Dealps[[#This Row],[MATURITY_DATE]]-Dealps[[#This Row],[VALUE_DATE]],Dealps[[#This Row],[MATURITY_DATE]]-Dealps[[#This Row],[POSTED_DT]]))</f>
        <v>304</v>
      </c>
      <c r="U24" s="25">
        <f>IF(Dealps[[#This Row],[TENOR]]=0,0,IF(Dealps[[#This Row],[DEAL_TYPE]]="B",Dealps[[#This Row],[FACE_AMOUNT]],-Dealps[[#This Row],[FACE_AMOUNT]]))</f>
        <v>500000000000</v>
      </c>
      <c r="V24" s="25">
        <f>_xlfn.XLOOKUP(Dealps[[#This Row],[PAPER_CODE]],FNRP!D:D,FNRP!H:H,0,0)/100*Dealps[[#This Row],[AMOUNT]]</f>
        <v>0</v>
      </c>
      <c r="W24" s="57" t="str">
        <f>IF(Dealps[[#This Row],[TRANSACTION_STATUS]]&lt;&gt;"V","Ngoai BS",IF(Dealps[[#This Row],[POSTED_DT]]&gt;=Dealps[[#This Row],[VALUE_DATE]],"On BS","Off BS"))</f>
        <v>On BS</v>
      </c>
      <c r="X24" s="25">
        <f>SUMIFS(U:U,C:C,Dealps[[#This Row],[PAPER_CODE]])</f>
        <v>0</v>
      </c>
      <c r="Y24" s="25">
        <f>_xlfn.XLOOKUP(Dealps[[#This Row],[DEAL_ID]],Ref!N:N,Ref!Q:Q,0,0)</f>
        <v>0</v>
      </c>
      <c r="Z24" s="25" t="str">
        <f>IF(Dealps[[#This Row],[CPTY_CODE]]=Dealps[[#This Row],[CPTY_CODE_ISSUER]],"Yes","No")</f>
        <v>Yes</v>
      </c>
      <c r="AA24" s="25"/>
      <c r="AC24" s="14"/>
      <c r="AG24" s="96"/>
      <c r="AH24" s="14"/>
      <c r="AI24"/>
      <c r="AN24" s="14"/>
      <c r="AV24" s="36"/>
      <c r="AW24" s="14"/>
      <c r="AX24" s="234"/>
      <c r="AY24" s="96"/>
      <c r="AZ24" s="14"/>
      <c r="BA24"/>
      <c r="BB24" s="93">
        <v>46262</v>
      </c>
      <c r="BC24">
        <v>1539</v>
      </c>
      <c r="BD24" s="56" t="s">
        <v>1014</v>
      </c>
      <c r="BE24" t="s">
        <v>1011</v>
      </c>
      <c r="BF24" t="s">
        <v>1015</v>
      </c>
      <c r="BG24" t="s">
        <v>364</v>
      </c>
      <c r="BH24" t="s">
        <v>1013</v>
      </c>
      <c r="BI24" t="s">
        <v>311</v>
      </c>
      <c r="BJ24" s="93">
        <v>45726</v>
      </c>
      <c r="BK24" s="93">
        <v>45728</v>
      </c>
      <c r="BL24" s="93">
        <v>45728</v>
      </c>
      <c r="BM24" s="93">
        <v>46443</v>
      </c>
      <c r="BN24" s="14">
        <v>1</v>
      </c>
      <c r="BO24" s="14">
        <v>15000000000</v>
      </c>
      <c r="BP24" s="56">
        <v>100</v>
      </c>
      <c r="BQ24" s="56">
        <v>0</v>
      </c>
      <c r="BR24" s="14">
        <v>15027739726</v>
      </c>
      <c r="BS24">
        <v>4.4916929999999997</v>
      </c>
      <c r="BT24" t="s">
        <v>1184</v>
      </c>
      <c r="BU24" s="25">
        <f>_xlfn.XLOOKUP(Dealps_MSB[[#This Row],[DEAL_ID]],Ref!V:V,Ref!X:X,0,0)</f>
        <v>0</v>
      </c>
      <c r="BV24"/>
    </row>
    <row r="25" spans="1:74" x14ac:dyDescent="0.3">
      <c r="A25" s="93">
        <v>46262</v>
      </c>
      <c r="B25">
        <v>43092</v>
      </c>
      <c r="C25" s="56" t="s">
        <v>37</v>
      </c>
      <c r="D25" t="s">
        <v>322</v>
      </c>
      <c r="E25" t="s">
        <v>322</v>
      </c>
      <c r="F25" t="s">
        <v>35</v>
      </c>
      <c r="G25" t="s">
        <v>310</v>
      </c>
      <c r="H25" t="s">
        <v>300</v>
      </c>
      <c r="I25" s="93">
        <v>45470</v>
      </c>
      <c r="J25" s="93">
        <v>45471</v>
      </c>
      <c r="K25" s="93">
        <v>45471</v>
      </c>
      <c r="L25" s="93">
        <v>46566</v>
      </c>
      <c r="M25" s="14">
        <v>500</v>
      </c>
      <c r="N25" s="14">
        <v>500000000000</v>
      </c>
      <c r="O25" s="56">
        <v>100</v>
      </c>
      <c r="P25" s="56">
        <v>0</v>
      </c>
      <c r="Q25" s="14">
        <v>500000000000</v>
      </c>
      <c r="R25">
        <v>5.4</v>
      </c>
      <c r="S25" t="s">
        <v>1184</v>
      </c>
      <c r="T25" s="57">
        <f>IF(Dealps[[#This Row],[MATURITY_DATE]]-Dealps[[#This Row],[POSTED_DT]]&lt;0,0,IF(Dealps[[#This Row],[VALUE_DATE]]-Dealps[[#This Row],[POSTED_DT]]&gt;0,Dealps[[#This Row],[MATURITY_DATE]]-Dealps[[#This Row],[VALUE_DATE]],Dealps[[#This Row],[MATURITY_DATE]]-Dealps[[#This Row],[POSTED_DT]]))</f>
        <v>304</v>
      </c>
      <c r="U25" s="25">
        <f>IF(Dealps[[#This Row],[TENOR]]=0,0,IF(Dealps[[#This Row],[DEAL_TYPE]]="B",Dealps[[#This Row],[FACE_AMOUNT]],-Dealps[[#This Row],[FACE_AMOUNT]]))</f>
        <v>500000000000</v>
      </c>
      <c r="V25" s="25">
        <f>_xlfn.XLOOKUP(Dealps[[#This Row],[PAPER_CODE]],FNRP!D:D,FNRP!H:H,0,0)/100*Dealps[[#This Row],[AMOUNT]]</f>
        <v>0</v>
      </c>
      <c r="W25" s="57" t="str">
        <f>IF(Dealps[[#This Row],[TRANSACTION_STATUS]]&lt;&gt;"V","Ngoai BS",IF(Dealps[[#This Row],[POSTED_DT]]&gt;=Dealps[[#This Row],[VALUE_DATE]],"On BS","Off BS"))</f>
        <v>On BS</v>
      </c>
      <c r="X25" s="25">
        <f>SUMIFS(U:U,C:C,Dealps[[#This Row],[PAPER_CODE]])</f>
        <v>0</v>
      </c>
      <c r="Y25" s="25">
        <f>_xlfn.XLOOKUP(Dealps[[#This Row],[DEAL_ID]],Ref!N:N,Ref!Q:Q,0,0)</f>
        <v>0</v>
      </c>
      <c r="Z25" s="25" t="str">
        <f>IF(Dealps[[#This Row],[CPTY_CODE]]=Dealps[[#This Row],[CPTY_CODE_ISSUER]],"Yes","No")</f>
        <v>Yes</v>
      </c>
      <c r="AA25" s="25"/>
      <c r="AC25" s="14"/>
      <c r="AG25" s="96"/>
      <c r="AH25" s="14"/>
      <c r="AI25"/>
      <c r="AN25" s="14"/>
      <c r="AV25" s="36"/>
      <c r="AW25" s="14"/>
      <c r="AX25" s="234"/>
      <c r="AY25" s="96"/>
      <c r="AZ25" s="14"/>
      <c r="BA25"/>
      <c r="BB25" s="93">
        <v>46262</v>
      </c>
      <c r="BC25">
        <v>1540</v>
      </c>
      <c r="BD25" s="56" t="s">
        <v>1014</v>
      </c>
      <c r="BE25" t="s">
        <v>1011</v>
      </c>
      <c r="BF25" t="s">
        <v>1015</v>
      </c>
      <c r="BG25" t="s">
        <v>364</v>
      </c>
      <c r="BH25" t="s">
        <v>1013</v>
      </c>
      <c r="BI25" t="s">
        <v>311</v>
      </c>
      <c r="BJ25" s="93">
        <v>45726</v>
      </c>
      <c r="BK25" s="93">
        <v>45728</v>
      </c>
      <c r="BL25" s="93">
        <v>45728</v>
      </c>
      <c r="BM25" s="93">
        <v>46443</v>
      </c>
      <c r="BN25" s="14">
        <v>1</v>
      </c>
      <c r="BO25" s="14">
        <v>15000000000</v>
      </c>
      <c r="BP25" s="56">
        <v>100</v>
      </c>
      <c r="BQ25" s="56">
        <v>0</v>
      </c>
      <c r="BR25" s="14">
        <v>15027739726</v>
      </c>
      <c r="BS25">
        <v>4.4916929999999997</v>
      </c>
      <c r="BT25" t="s">
        <v>1184</v>
      </c>
      <c r="BU25" s="25">
        <f>_xlfn.XLOOKUP(Dealps_MSB[[#This Row],[DEAL_ID]],Ref!V:V,Ref!X:X,0,0)</f>
        <v>0</v>
      </c>
      <c r="BV25"/>
    </row>
    <row r="26" spans="1:74" x14ac:dyDescent="0.3">
      <c r="A26" s="93">
        <v>46262</v>
      </c>
      <c r="B26">
        <v>43093</v>
      </c>
      <c r="C26" s="56" t="s">
        <v>37</v>
      </c>
      <c r="D26" t="s">
        <v>322</v>
      </c>
      <c r="E26" t="s">
        <v>322</v>
      </c>
      <c r="F26" t="s">
        <v>35</v>
      </c>
      <c r="G26" t="s">
        <v>310</v>
      </c>
      <c r="H26" t="s">
        <v>300</v>
      </c>
      <c r="I26" s="93">
        <v>45470</v>
      </c>
      <c r="J26" s="93">
        <v>45471</v>
      </c>
      <c r="K26" s="93">
        <v>45471</v>
      </c>
      <c r="L26" s="93">
        <v>46566</v>
      </c>
      <c r="M26" s="14">
        <v>500</v>
      </c>
      <c r="N26" s="14">
        <v>500000000000</v>
      </c>
      <c r="O26" s="56">
        <v>100</v>
      </c>
      <c r="P26" s="56">
        <v>0</v>
      </c>
      <c r="Q26" s="14">
        <v>500000000000</v>
      </c>
      <c r="R26">
        <v>5.4</v>
      </c>
      <c r="S26" t="s">
        <v>1184</v>
      </c>
      <c r="T26" s="57">
        <f>IF(Dealps[[#This Row],[MATURITY_DATE]]-Dealps[[#This Row],[POSTED_DT]]&lt;0,0,IF(Dealps[[#This Row],[VALUE_DATE]]-Dealps[[#This Row],[POSTED_DT]]&gt;0,Dealps[[#This Row],[MATURITY_DATE]]-Dealps[[#This Row],[VALUE_DATE]],Dealps[[#This Row],[MATURITY_DATE]]-Dealps[[#This Row],[POSTED_DT]]))</f>
        <v>304</v>
      </c>
      <c r="U26" s="25">
        <f>IF(Dealps[[#This Row],[TENOR]]=0,0,IF(Dealps[[#This Row],[DEAL_TYPE]]="B",Dealps[[#This Row],[FACE_AMOUNT]],-Dealps[[#This Row],[FACE_AMOUNT]]))</f>
        <v>500000000000</v>
      </c>
      <c r="V26" s="25">
        <f>_xlfn.XLOOKUP(Dealps[[#This Row],[PAPER_CODE]],FNRP!D:D,FNRP!H:H,0,0)/100*Dealps[[#This Row],[AMOUNT]]</f>
        <v>0</v>
      </c>
      <c r="W26" s="57" t="str">
        <f>IF(Dealps[[#This Row],[TRANSACTION_STATUS]]&lt;&gt;"V","Ngoai BS",IF(Dealps[[#This Row],[POSTED_DT]]&gt;=Dealps[[#This Row],[VALUE_DATE]],"On BS","Off BS"))</f>
        <v>On BS</v>
      </c>
      <c r="X26" s="25">
        <f>SUMIFS(U:U,C:C,Dealps[[#This Row],[PAPER_CODE]])</f>
        <v>0</v>
      </c>
      <c r="Y26" s="25">
        <f>_xlfn.XLOOKUP(Dealps[[#This Row],[DEAL_ID]],Ref!N:N,Ref!Q:Q,0,0)</f>
        <v>0</v>
      </c>
      <c r="Z26" s="25" t="str">
        <f>IF(Dealps[[#This Row],[CPTY_CODE]]=Dealps[[#This Row],[CPTY_CODE_ISSUER]],"Yes","No")</f>
        <v>Yes</v>
      </c>
      <c r="AA26" s="25"/>
      <c r="AC26" s="14"/>
      <c r="AG26" s="96"/>
      <c r="AH26" s="14"/>
      <c r="AI26"/>
      <c r="AN26" s="14"/>
      <c r="AV26" s="36"/>
      <c r="AW26" s="14"/>
      <c r="AX26" s="234"/>
      <c r="AY26" s="96"/>
      <c r="AZ26" s="14"/>
      <c r="BA26"/>
      <c r="BB26" s="93">
        <v>46262</v>
      </c>
      <c r="BC26">
        <v>1541</v>
      </c>
      <c r="BD26" s="56" t="s">
        <v>1014</v>
      </c>
      <c r="BE26" t="s">
        <v>1011</v>
      </c>
      <c r="BF26" t="s">
        <v>1015</v>
      </c>
      <c r="BG26" t="s">
        <v>364</v>
      </c>
      <c r="BH26" t="s">
        <v>1013</v>
      </c>
      <c r="BI26" t="s">
        <v>311</v>
      </c>
      <c r="BJ26" s="93">
        <v>45726</v>
      </c>
      <c r="BK26" s="93">
        <v>45729</v>
      </c>
      <c r="BL26" s="93">
        <v>45729</v>
      </c>
      <c r="BM26" s="93">
        <v>46443</v>
      </c>
      <c r="BN26" s="14">
        <v>1</v>
      </c>
      <c r="BO26" s="14">
        <v>15000000000</v>
      </c>
      <c r="BP26" s="56">
        <v>100</v>
      </c>
      <c r="BQ26" s="56">
        <v>0</v>
      </c>
      <c r="BR26" s="14">
        <v>15029589041</v>
      </c>
      <c r="BS26">
        <v>4.4911409999999998</v>
      </c>
      <c r="BT26" t="s">
        <v>1184</v>
      </c>
      <c r="BU26" s="25">
        <f>_xlfn.XLOOKUP(Dealps_MSB[[#This Row],[DEAL_ID]],Ref!V:V,Ref!X:X,0,0)</f>
        <v>0</v>
      </c>
      <c r="BV26"/>
    </row>
    <row r="27" spans="1:74" x14ac:dyDescent="0.3">
      <c r="A27" s="93">
        <v>46262</v>
      </c>
      <c r="B27">
        <v>43094</v>
      </c>
      <c r="C27" s="56" t="s">
        <v>37</v>
      </c>
      <c r="D27" t="s">
        <v>322</v>
      </c>
      <c r="E27" t="s">
        <v>322</v>
      </c>
      <c r="F27" t="s">
        <v>35</v>
      </c>
      <c r="G27" t="s">
        <v>310</v>
      </c>
      <c r="H27" t="s">
        <v>300</v>
      </c>
      <c r="I27" s="93">
        <v>45470</v>
      </c>
      <c r="J27" s="93">
        <v>45471</v>
      </c>
      <c r="K27" s="93">
        <v>45471</v>
      </c>
      <c r="L27" s="93">
        <v>46566</v>
      </c>
      <c r="M27" s="14">
        <v>500</v>
      </c>
      <c r="N27" s="14">
        <v>500000000000</v>
      </c>
      <c r="O27" s="56">
        <v>100</v>
      </c>
      <c r="P27" s="56">
        <v>0</v>
      </c>
      <c r="Q27" s="14">
        <v>500000000000</v>
      </c>
      <c r="R27">
        <v>5.4</v>
      </c>
      <c r="S27" t="s">
        <v>1184</v>
      </c>
      <c r="T27" s="57">
        <f>IF(Dealps[[#This Row],[MATURITY_DATE]]-Dealps[[#This Row],[POSTED_DT]]&lt;0,0,IF(Dealps[[#This Row],[VALUE_DATE]]-Dealps[[#This Row],[POSTED_DT]]&gt;0,Dealps[[#This Row],[MATURITY_DATE]]-Dealps[[#This Row],[VALUE_DATE]],Dealps[[#This Row],[MATURITY_DATE]]-Dealps[[#This Row],[POSTED_DT]]))</f>
        <v>304</v>
      </c>
      <c r="U27" s="25">
        <f>IF(Dealps[[#This Row],[TENOR]]=0,0,IF(Dealps[[#This Row],[DEAL_TYPE]]="B",Dealps[[#This Row],[FACE_AMOUNT]],-Dealps[[#This Row],[FACE_AMOUNT]]))</f>
        <v>500000000000</v>
      </c>
      <c r="V27" s="25">
        <f>_xlfn.XLOOKUP(Dealps[[#This Row],[PAPER_CODE]],FNRP!D:D,FNRP!H:H,0,0)/100*Dealps[[#This Row],[AMOUNT]]</f>
        <v>0</v>
      </c>
      <c r="W27" s="57" t="str">
        <f>IF(Dealps[[#This Row],[TRANSACTION_STATUS]]&lt;&gt;"V","Ngoai BS",IF(Dealps[[#This Row],[POSTED_DT]]&gt;=Dealps[[#This Row],[VALUE_DATE]],"On BS","Off BS"))</f>
        <v>On BS</v>
      </c>
      <c r="X27" s="25">
        <f>SUMIFS(U:U,C:C,Dealps[[#This Row],[PAPER_CODE]])</f>
        <v>0</v>
      </c>
      <c r="Y27" s="25">
        <f>_xlfn.XLOOKUP(Dealps[[#This Row],[DEAL_ID]],Ref!N:N,Ref!Q:Q,0,0)</f>
        <v>0</v>
      </c>
      <c r="Z27" s="25" t="str">
        <f>IF(Dealps[[#This Row],[CPTY_CODE]]=Dealps[[#This Row],[CPTY_CODE_ISSUER]],"Yes","No")</f>
        <v>Yes</v>
      </c>
      <c r="AA27" s="25"/>
      <c r="AC27" s="14"/>
      <c r="AG27" s="96"/>
      <c r="AH27" s="14"/>
      <c r="AI27"/>
      <c r="AN27" s="14"/>
      <c r="AV27" s="36"/>
      <c r="AW27" s="14"/>
      <c r="AX27" s="234"/>
      <c r="AY27" s="96"/>
      <c r="AZ27" s="14"/>
      <c r="BA27"/>
      <c r="BB27" s="93">
        <v>46262</v>
      </c>
      <c r="BC27">
        <v>1542</v>
      </c>
      <c r="BD27" s="56" t="s">
        <v>1014</v>
      </c>
      <c r="BE27" t="s">
        <v>1011</v>
      </c>
      <c r="BF27" t="s">
        <v>1015</v>
      </c>
      <c r="BG27" t="s">
        <v>364</v>
      </c>
      <c r="BH27" t="s">
        <v>1013</v>
      </c>
      <c r="BI27" t="s">
        <v>311</v>
      </c>
      <c r="BJ27" s="93">
        <v>45726</v>
      </c>
      <c r="BK27" s="93">
        <v>45729</v>
      </c>
      <c r="BL27" s="93">
        <v>45729</v>
      </c>
      <c r="BM27" s="93">
        <v>46443</v>
      </c>
      <c r="BN27" s="14">
        <v>1</v>
      </c>
      <c r="BO27" s="14">
        <v>15000000000</v>
      </c>
      <c r="BP27" s="56">
        <v>100</v>
      </c>
      <c r="BQ27" s="56">
        <v>0</v>
      </c>
      <c r="BR27" s="14">
        <v>15029589041</v>
      </c>
      <c r="BS27">
        <v>4.4911409999999998</v>
      </c>
      <c r="BT27" t="s">
        <v>1184</v>
      </c>
      <c r="BU27" s="25">
        <f>_xlfn.XLOOKUP(Dealps_MSB[[#This Row],[DEAL_ID]],Ref!V:V,Ref!X:X,0,0)</f>
        <v>0</v>
      </c>
      <c r="BV27"/>
    </row>
    <row r="28" spans="1:74" x14ac:dyDescent="0.3">
      <c r="A28" s="93">
        <v>46262</v>
      </c>
      <c r="B28">
        <v>43344</v>
      </c>
      <c r="C28" s="56" t="s">
        <v>231</v>
      </c>
      <c r="D28" t="s">
        <v>312</v>
      </c>
      <c r="E28" t="s">
        <v>315</v>
      </c>
      <c r="F28" t="s">
        <v>35</v>
      </c>
      <c r="G28" t="s">
        <v>310</v>
      </c>
      <c r="H28" t="s">
        <v>300</v>
      </c>
      <c r="I28" s="93">
        <v>45488</v>
      </c>
      <c r="J28" s="93">
        <v>45490</v>
      </c>
      <c r="K28" s="93">
        <v>45490</v>
      </c>
      <c r="L28" s="93">
        <v>46381</v>
      </c>
      <c r="M28" s="14">
        <v>470</v>
      </c>
      <c r="N28" s="14">
        <v>470000000000</v>
      </c>
      <c r="O28" s="56">
        <v>99.996825959999995</v>
      </c>
      <c r="P28" s="56">
        <v>3</v>
      </c>
      <c r="Q28" s="14">
        <v>483711657330</v>
      </c>
      <c r="R28">
        <v>5.1805824080000002</v>
      </c>
      <c r="S28" t="s">
        <v>1184</v>
      </c>
      <c r="T28" s="57">
        <f>IF(Dealps[[#This Row],[MATURITY_DATE]]-Dealps[[#This Row],[POSTED_DT]]&lt;0,0,IF(Dealps[[#This Row],[VALUE_DATE]]-Dealps[[#This Row],[POSTED_DT]]&gt;0,Dealps[[#This Row],[MATURITY_DATE]]-Dealps[[#This Row],[VALUE_DATE]],Dealps[[#This Row],[MATURITY_DATE]]-Dealps[[#This Row],[POSTED_DT]]))</f>
        <v>119</v>
      </c>
      <c r="U28" s="25">
        <f>IF(Dealps[[#This Row],[TENOR]]=0,0,IF(Dealps[[#This Row],[DEAL_TYPE]]="B",Dealps[[#This Row],[FACE_AMOUNT]],-Dealps[[#This Row],[FACE_AMOUNT]]))</f>
        <v>470000000000</v>
      </c>
      <c r="V28" s="25">
        <f>_xlfn.XLOOKUP(Dealps[[#This Row],[PAPER_CODE]],FNRP!D:D,FNRP!H:H,0,0)/100*Dealps[[#This Row],[AMOUNT]]</f>
        <v>0</v>
      </c>
      <c r="W28" s="57" t="str">
        <f>IF(Dealps[[#This Row],[TRANSACTION_STATUS]]&lt;&gt;"V","Ngoai BS",IF(Dealps[[#This Row],[POSTED_DT]]&gt;=Dealps[[#This Row],[VALUE_DATE]],"On BS","Off BS"))</f>
        <v>On BS</v>
      </c>
      <c r="X28" s="25">
        <f>SUMIFS(U:U,C:C,Dealps[[#This Row],[PAPER_CODE]])</f>
        <v>0</v>
      </c>
      <c r="Y28" s="25">
        <f>_xlfn.XLOOKUP(Dealps[[#This Row],[DEAL_ID]],Ref!N:N,Ref!Q:Q,0,0)</f>
        <v>0</v>
      </c>
      <c r="Z28" s="25" t="str">
        <f>IF(Dealps[[#This Row],[CPTY_CODE]]=Dealps[[#This Row],[CPTY_CODE_ISSUER]],"Yes","No")</f>
        <v>No</v>
      </c>
      <c r="AA28" s="25"/>
      <c r="AC28" s="14"/>
      <c r="AG28" s="96"/>
      <c r="AH28" s="14"/>
      <c r="AI28"/>
      <c r="AN28" s="14"/>
      <c r="AV28" s="36"/>
      <c r="AW28" s="14"/>
      <c r="AX28" s="234"/>
      <c r="AY28" s="96"/>
      <c r="AZ28" s="14"/>
      <c r="BA28"/>
      <c r="BB28" s="93">
        <v>46262</v>
      </c>
      <c r="BC28">
        <v>1549</v>
      </c>
      <c r="BD28" s="56" t="s">
        <v>1014</v>
      </c>
      <c r="BE28" t="s">
        <v>1011</v>
      </c>
      <c r="BF28" t="s">
        <v>1015</v>
      </c>
      <c r="BG28" t="s">
        <v>364</v>
      </c>
      <c r="BH28" t="s">
        <v>1013</v>
      </c>
      <c r="BI28" t="s">
        <v>311</v>
      </c>
      <c r="BJ28" s="93">
        <v>45726</v>
      </c>
      <c r="BK28" s="93">
        <v>45726</v>
      </c>
      <c r="BL28" s="93">
        <v>45726</v>
      </c>
      <c r="BM28" s="93">
        <v>46443</v>
      </c>
      <c r="BN28" s="14">
        <v>1</v>
      </c>
      <c r="BO28" s="14">
        <v>15000000000</v>
      </c>
      <c r="BP28" s="56">
        <v>100</v>
      </c>
      <c r="BQ28" s="56">
        <v>0</v>
      </c>
      <c r="BR28" s="14">
        <v>15024041096</v>
      </c>
      <c r="BS28">
        <v>4.4927989999999998</v>
      </c>
      <c r="BT28" t="s">
        <v>1184</v>
      </c>
      <c r="BU28" s="25">
        <f>_xlfn.XLOOKUP(Dealps_MSB[[#This Row],[DEAL_ID]],Ref!V:V,Ref!X:X,0,0)</f>
        <v>0</v>
      </c>
      <c r="BV28"/>
    </row>
    <row r="29" spans="1:74" x14ac:dyDescent="0.3">
      <c r="A29" s="93">
        <v>46262</v>
      </c>
      <c r="B29">
        <v>43345</v>
      </c>
      <c r="C29" s="56" t="s">
        <v>231</v>
      </c>
      <c r="D29" t="s">
        <v>312</v>
      </c>
      <c r="E29" t="s">
        <v>315</v>
      </c>
      <c r="F29" t="s">
        <v>35</v>
      </c>
      <c r="G29" t="s">
        <v>310</v>
      </c>
      <c r="H29" t="s">
        <v>311</v>
      </c>
      <c r="I29" s="93">
        <v>45488</v>
      </c>
      <c r="J29" s="93">
        <v>45491</v>
      </c>
      <c r="K29" s="93">
        <v>45491</v>
      </c>
      <c r="L29" s="93">
        <v>46381</v>
      </c>
      <c r="M29" s="14">
        <v>470</v>
      </c>
      <c r="N29" s="14">
        <v>470000000000</v>
      </c>
      <c r="O29" s="56">
        <v>100.007533275</v>
      </c>
      <c r="P29" s="56">
        <v>3</v>
      </c>
      <c r="Q29" s="14">
        <v>483828940660</v>
      </c>
      <c r="R29">
        <v>5.1758084970000002</v>
      </c>
      <c r="S29" t="s">
        <v>1184</v>
      </c>
      <c r="T29" s="57">
        <f>IF(Dealps[[#This Row],[MATURITY_DATE]]-Dealps[[#This Row],[POSTED_DT]]&lt;0,0,IF(Dealps[[#This Row],[VALUE_DATE]]-Dealps[[#This Row],[POSTED_DT]]&gt;0,Dealps[[#This Row],[MATURITY_DATE]]-Dealps[[#This Row],[VALUE_DATE]],Dealps[[#This Row],[MATURITY_DATE]]-Dealps[[#This Row],[POSTED_DT]]))</f>
        <v>119</v>
      </c>
      <c r="U29" s="25">
        <f>IF(Dealps[[#This Row],[TENOR]]=0,0,IF(Dealps[[#This Row],[DEAL_TYPE]]="B",Dealps[[#This Row],[FACE_AMOUNT]],-Dealps[[#This Row],[FACE_AMOUNT]]))</f>
        <v>-470000000000</v>
      </c>
      <c r="V29" s="25">
        <f>_xlfn.XLOOKUP(Dealps[[#This Row],[PAPER_CODE]],FNRP!D:D,FNRP!H:H,0,0)/100*Dealps[[#This Row],[AMOUNT]]</f>
        <v>0</v>
      </c>
      <c r="W29" s="57" t="str">
        <f>IF(Dealps[[#This Row],[TRANSACTION_STATUS]]&lt;&gt;"V","Ngoai BS",IF(Dealps[[#This Row],[POSTED_DT]]&gt;=Dealps[[#This Row],[VALUE_DATE]],"On BS","Off BS"))</f>
        <v>On BS</v>
      </c>
      <c r="X29" s="25">
        <f>SUMIFS(U:U,C:C,Dealps[[#This Row],[PAPER_CODE]])</f>
        <v>0</v>
      </c>
      <c r="Y29" s="25">
        <f>_xlfn.XLOOKUP(Dealps[[#This Row],[DEAL_ID]],Ref!N:N,Ref!Q:Q,0,0)</f>
        <v>0</v>
      </c>
      <c r="Z29" s="25" t="str">
        <f>IF(Dealps[[#This Row],[CPTY_CODE]]=Dealps[[#This Row],[CPTY_CODE_ISSUER]],"Yes","No")</f>
        <v>No</v>
      </c>
      <c r="AA29" s="25"/>
      <c r="AC29" s="14"/>
      <c r="AG29" s="96"/>
      <c r="AH29" s="14"/>
      <c r="AI29"/>
      <c r="AN29" s="14"/>
      <c r="AV29" s="36"/>
      <c r="AW29" s="14"/>
      <c r="AX29" s="234"/>
      <c r="AY29" s="96"/>
      <c r="AZ29" s="14"/>
      <c r="BA29"/>
      <c r="BB29" s="93">
        <v>46262</v>
      </c>
      <c r="BC29">
        <v>1569</v>
      </c>
      <c r="BD29" s="56" t="s">
        <v>1014</v>
      </c>
      <c r="BE29" t="s">
        <v>1011</v>
      </c>
      <c r="BF29" t="s">
        <v>1015</v>
      </c>
      <c r="BG29" t="s">
        <v>364</v>
      </c>
      <c r="BH29" t="s">
        <v>1013</v>
      </c>
      <c r="BI29" t="s">
        <v>311</v>
      </c>
      <c r="BJ29" s="93">
        <v>45729</v>
      </c>
      <c r="BK29" s="93">
        <v>45729</v>
      </c>
      <c r="BL29" s="93">
        <v>45729</v>
      </c>
      <c r="BM29" s="93">
        <v>46443</v>
      </c>
      <c r="BN29" s="14">
        <v>1</v>
      </c>
      <c r="BO29" s="14">
        <v>15000000000</v>
      </c>
      <c r="BP29" s="56">
        <v>100</v>
      </c>
      <c r="BQ29" s="56">
        <v>0</v>
      </c>
      <c r="BR29" s="14">
        <v>15029589041</v>
      </c>
      <c r="BS29">
        <v>4.4911409999999998</v>
      </c>
      <c r="BT29" t="s">
        <v>1184</v>
      </c>
      <c r="BU29" s="25">
        <f>_xlfn.XLOOKUP(Dealps_MSB[[#This Row],[DEAL_ID]],Ref!V:V,Ref!X:X,0,0)</f>
        <v>0</v>
      </c>
      <c r="BV29"/>
    </row>
    <row r="30" spans="1:74" x14ac:dyDescent="0.3">
      <c r="A30" s="93">
        <v>46262</v>
      </c>
      <c r="B30">
        <v>43705</v>
      </c>
      <c r="C30" s="56" t="s">
        <v>245</v>
      </c>
      <c r="D30" t="s">
        <v>324</v>
      </c>
      <c r="E30" t="s">
        <v>315</v>
      </c>
      <c r="F30" t="s">
        <v>35</v>
      </c>
      <c r="G30" t="s">
        <v>310</v>
      </c>
      <c r="H30" t="s">
        <v>300</v>
      </c>
      <c r="I30" s="93">
        <v>45526</v>
      </c>
      <c r="J30" s="93">
        <v>45533</v>
      </c>
      <c r="K30" s="93">
        <v>45533</v>
      </c>
      <c r="L30" s="93">
        <v>46548</v>
      </c>
      <c r="M30" s="14">
        <v>500</v>
      </c>
      <c r="N30" s="14">
        <v>500000000000</v>
      </c>
      <c r="O30" s="56">
        <v>100.00106276</v>
      </c>
      <c r="P30" s="56">
        <v>1</v>
      </c>
      <c r="Q30" s="14">
        <v>505923122000</v>
      </c>
      <c r="R30">
        <v>5.3900000099999996</v>
      </c>
      <c r="S30" t="s">
        <v>1184</v>
      </c>
      <c r="T30" s="57">
        <f>IF(Dealps[[#This Row],[MATURITY_DATE]]-Dealps[[#This Row],[POSTED_DT]]&lt;0,0,IF(Dealps[[#This Row],[VALUE_DATE]]-Dealps[[#This Row],[POSTED_DT]]&gt;0,Dealps[[#This Row],[MATURITY_DATE]]-Dealps[[#This Row],[VALUE_DATE]],Dealps[[#This Row],[MATURITY_DATE]]-Dealps[[#This Row],[POSTED_DT]]))</f>
        <v>286</v>
      </c>
      <c r="U30" s="25">
        <f>IF(Dealps[[#This Row],[TENOR]]=0,0,IF(Dealps[[#This Row],[DEAL_TYPE]]="B",Dealps[[#This Row],[FACE_AMOUNT]],-Dealps[[#This Row],[FACE_AMOUNT]]))</f>
        <v>500000000000</v>
      </c>
      <c r="V30" s="25">
        <f>_xlfn.XLOOKUP(Dealps[[#This Row],[PAPER_CODE]],FNRP!D:D,FNRP!H:H,0,0)/100*Dealps[[#This Row],[AMOUNT]]</f>
        <v>0</v>
      </c>
      <c r="W30" s="57" t="str">
        <f>IF(Dealps[[#This Row],[TRANSACTION_STATUS]]&lt;&gt;"V","Ngoai BS",IF(Dealps[[#This Row],[POSTED_DT]]&gt;=Dealps[[#This Row],[VALUE_DATE]],"On BS","Off BS"))</f>
        <v>On BS</v>
      </c>
      <c r="X30" s="25">
        <f>SUMIFS(U:U,C:C,Dealps[[#This Row],[PAPER_CODE]])</f>
        <v>0</v>
      </c>
      <c r="Y30" s="25">
        <f>_xlfn.XLOOKUP(Dealps[[#This Row],[DEAL_ID]],Ref!N:N,Ref!Q:Q,0,0)</f>
        <v>0</v>
      </c>
      <c r="Z30" s="25" t="str">
        <f>IF(Dealps[[#This Row],[CPTY_CODE]]=Dealps[[#This Row],[CPTY_CODE_ISSUER]],"Yes","No")</f>
        <v>No</v>
      </c>
      <c r="AA30" s="25"/>
      <c r="AC30" s="14"/>
      <c r="AG30" s="96"/>
      <c r="AH30" s="14"/>
      <c r="AI30"/>
      <c r="AN30" s="14"/>
      <c r="AV30" s="36"/>
      <c r="AW30" s="14"/>
      <c r="AX30" s="234"/>
      <c r="AY30" s="96"/>
      <c r="AZ30" s="14"/>
      <c r="BA30"/>
      <c r="BB30" s="93">
        <v>46262</v>
      </c>
      <c r="BC30">
        <v>1587</v>
      </c>
      <c r="BD30" s="56" t="s">
        <v>1014</v>
      </c>
      <c r="BE30" t="s">
        <v>1011</v>
      </c>
      <c r="BF30" t="s">
        <v>1015</v>
      </c>
      <c r="BG30" t="s">
        <v>364</v>
      </c>
      <c r="BH30" t="s">
        <v>1013</v>
      </c>
      <c r="BI30" t="s">
        <v>311</v>
      </c>
      <c r="BJ30" s="93">
        <v>45730</v>
      </c>
      <c r="BK30" s="93">
        <v>45733</v>
      </c>
      <c r="BL30" s="93">
        <v>45733</v>
      </c>
      <c r="BM30" s="93">
        <v>46443</v>
      </c>
      <c r="BN30" s="14">
        <v>1</v>
      </c>
      <c r="BO30" s="14">
        <v>15000000000</v>
      </c>
      <c r="BP30" s="56">
        <v>100</v>
      </c>
      <c r="BQ30" s="56">
        <v>0</v>
      </c>
      <c r="BR30" s="14">
        <v>15036986301.000002</v>
      </c>
      <c r="BS30">
        <v>4.488931</v>
      </c>
      <c r="BT30" t="s">
        <v>1184</v>
      </c>
      <c r="BU30" s="25">
        <f>_xlfn.XLOOKUP(Dealps_MSB[[#This Row],[DEAL_ID]],Ref!V:V,Ref!X:X,0,0)</f>
        <v>0</v>
      </c>
      <c r="BV30"/>
    </row>
    <row r="31" spans="1:74" x14ac:dyDescent="0.3">
      <c r="A31" s="93">
        <v>46262</v>
      </c>
      <c r="B31">
        <v>43706</v>
      </c>
      <c r="C31" s="56" t="s">
        <v>245</v>
      </c>
      <c r="D31" t="s">
        <v>324</v>
      </c>
      <c r="E31" t="s">
        <v>315</v>
      </c>
      <c r="F31" t="s">
        <v>35</v>
      </c>
      <c r="G31" t="s">
        <v>310</v>
      </c>
      <c r="H31" t="s">
        <v>300</v>
      </c>
      <c r="I31" s="93">
        <v>45526</v>
      </c>
      <c r="J31" s="93">
        <v>45533</v>
      </c>
      <c r="K31" s="93">
        <v>45533</v>
      </c>
      <c r="L31" s="93">
        <v>46548</v>
      </c>
      <c r="M31" s="14">
        <v>500</v>
      </c>
      <c r="N31" s="14">
        <v>500000000000</v>
      </c>
      <c r="O31" s="56">
        <v>100.00106276</v>
      </c>
      <c r="P31" s="56">
        <v>1</v>
      </c>
      <c r="Q31" s="14">
        <v>505923122000</v>
      </c>
      <c r="R31">
        <v>5.3900000099999996</v>
      </c>
      <c r="S31" t="s">
        <v>1184</v>
      </c>
      <c r="T31" s="57">
        <f>IF(Dealps[[#This Row],[MATURITY_DATE]]-Dealps[[#This Row],[POSTED_DT]]&lt;0,0,IF(Dealps[[#This Row],[VALUE_DATE]]-Dealps[[#This Row],[POSTED_DT]]&gt;0,Dealps[[#This Row],[MATURITY_DATE]]-Dealps[[#This Row],[VALUE_DATE]],Dealps[[#This Row],[MATURITY_DATE]]-Dealps[[#This Row],[POSTED_DT]]))</f>
        <v>286</v>
      </c>
      <c r="U31" s="25">
        <f>IF(Dealps[[#This Row],[TENOR]]=0,0,IF(Dealps[[#This Row],[DEAL_TYPE]]="B",Dealps[[#This Row],[FACE_AMOUNT]],-Dealps[[#This Row],[FACE_AMOUNT]]))</f>
        <v>500000000000</v>
      </c>
      <c r="V31" s="25">
        <f>_xlfn.XLOOKUP(Dealps[[#This Row],[PAPER_CODE]],FNRP!D:D,FNRP!H:H,0,0)/100*Dealps[[#This Row],[AMOUNT]]</f>
        <v>0</v>
      </c>
      <c r="W31" s="57" t="str">
        <f>IF(Dealps[[#This Row],[TRANSACTION_STATUS]]&lt;&gt;"V","Ngoai BS",IF(Dealps[[#This Row],[POSTED_DT]]&gt;=Dealps[[#This Row],[VALUE_DATE]],"On BS","Off BS"))</f>
        <v>On BS</v>
      </c>
      <c r="X31" s="25">
        <f>SUMIFS(U:U,C:C,Dealps[[#This Row],[PAPER_CODE]])</f>
        <v>0</v>
      </c>
      <c r="Y31" s="25">
        <f>_xlfn.XLOOKUP(Dealps[[#This Row],[DEAL_ID]],Ref!N:N,Ref!Q:Q,0,0)</f>
        <v>0</v>
      </c>
      <c r="Z31" s="25" t="str">
        <f>IF(Dealps[[#This Row],[CPTY_CODE]]=Dealps[[#This Row],[CPTY_CODE_ISSUER]],"Yes","No")</f>
        <v>No</v>
      </c>
      <c r="AA31" s="25"/>
      <c r="AC31" s="14"/>
      <c r="AG31" s="96"/>
      <c r="AH31" s="14"/>
      <c r="AI31"/>
      <c r="AN31" s="14"/>
      <c r="AV31" s="36"/>
      <c r="AW31" s="14"/>
      <c r="AX31" s="234"/>
      <c r="AY31" s="96"/>
      <c r="AZ31" s="14"/>
      <c r="BA31"/>
      <c r="BB31" s="93">
        <v>46262</v>
      </c>
      <c r="BC31">
        <v>1589</v>
      </c>
      <c r="BD31" s="56" t="s">
        <v>1014</v>
      </c>
      <c r="BE31" t="s">
        <v>1011</v>
      </c>
      <c r="BF31" t="s">
        <v>1015</v>
      </c>
      <c r="BG31" t="s">
        <v>364</v>
      </c>
      <c r="BH31" t="s">
        <v>1013</v>
      </c>
      <c r="BI31" t="s">
        <v>311</v>
      </c>
      <c r="BJ31" s="93">
        <v>45730</v>
      </c>
      <c r="BK31" s="93">
        <v>45734</v>
      </c>
      <c r="BL31" s="93">
        <v>45734</v>
      </c>
      <c r="BM31" s="93">
        <v>46443</v>
      </c>
      <c r="BN31" s="14">
        <v>1</v>
      </c>
      <c r="BO31" s="14">
        <v>10000000000</v>
      </c>
      <c r="BP31" s="56">
        <v>100</v>
      </c>
      <c r="BQ31" s="56">
        <v>0</v>
      </c>
      <c r="BR31" s="14">
        <v>10025890411</v>
      </c>
      <c r="BS31">
        <v>4.4883790000000001</v>
      </c>
      <c r="BT31" t="s">
        <v>1184</v>
      </c>
      <c r="BU31" s="25">
        <f>_xlfn.XLOOKUP(Dealps_MSB[[#This Row],[DEAL_ID]],Ref!V:V,Ref!X:X,0,0)</f>
        <v>0</v>
      </c>
      <c r="BV31"/>
    </row>
    <row r="32" spans="1:74" x14ac:dyDescent="0.3">
      <c r="A32" s="93">
        <v>46262</v>
      </c>
      <c r="B32">
        <v>43707</v>
      </c>
      <c r="C32" s="56" t="s">
        <v>245</v>
      </c>
      <c r="D32" t="s">
        <v>324</v>
      </c>
      <c r="E32" t="s">
        <v>315</v>
      </c>
      <c r="F32" t="s">
        <v>35</v>
      </c>
      <c r="G32" t="s">
        <v>310</v>
      </c>
      <c r="H32" t="s">
        <v>311</v>
      </c>
      <c r="I32" s="93">
        <v>45526</v>
      </c>
      <c r="J32" s="93">
        <v>45534</v>
      </c>
      <c r="K32" s="93">
        <v>45534</v>
      </c>
      <c r="L32" s="93">
        <v>46548</v>
      </c>
      <c r="M32" s="14">
        <v>500</v>
      </c>
      <c r="N32" s="14">
        <v>500000000000</v>
      </c>
      <c r="O32" s="56">
        <v>100.01135644</v>
      </c>
      <c r="P32" s="56">
        <v>1</v>
      </c>
      <c r="Q32" s="14">
        <v>506048563000</v>
      </c>
      <c r="R32">
        <v>5.3858244590000002</v>
      </c>
      <c r="S32" t="s">
        <v>1184</v>
      </c>
      <c r="T32" s="57">
        <f>IF(Dealps[[#This Row],[MATURITY_DATE]]-Dealps[[#This Row],[POSTED_DT]]&lt;0,0,IF(Dealps[[#This Row],[VALUE_DATE]]-Dealps[[#This Row],[POSTED_DT]]&gt;0,Dealps[[#This Row],[MATURITY_DATE]]-Dealps[[#This Row],[VALUE_DATE]],Dealps[[#This Row],[MATURITY_DATE]]-Dealps[[#This Row],[POSTED_DT]]))</f>
        <v>286</v>
      </c>
      <c r="U32" s="25">
        <f>IF(Dealps[[#This Row],[TENOR]]=0,0,IF(Dealps[[#This Row],[DEAL_TYPE]]="B",Dealps[[#This Row],[FACE_AMOUNT]],-Dealps[[#This Row],[FACE_AMOUNT]]))</f>
        <v>-500000000000</v>
      </c>
      <c r="V32" s="25">
        <f>_xlfn.XLOOKUP(Dealps[[#This Row],[PAPER_CODE]],FNRP!D:D,FNRP!H:H,0,0)/100*Dealps[[#This Row],[AMOUNT]]</f>
        <v>0</v>
      </c>
      <c r="W32" s="57" t="str">
        <f>IF(Dealps[[#This Row],[TRANSACTION_STATUS]]&lt;&gt;"V","Ngoai BS",IF(Dealps[[#This Row],[POSTED_DT]]&gt;=Dealps[[#This Row],[VALUE_DATE]],"On BS","Off BS"))</f>
        <v>On BS</v>
      </c>
      <c r="X32" s="25">
        <f>SUMIFS(U:U,C:C,Dealps[[#This Row],[PAPER_CODE]])</f>
        <v>0</v>
      </c>
      <c r="Y32" s="25">
        <f>_xlfn.XLOOKUP(Dealps[[#This Row],[DEAL_ID]],Ref!N:N,Ref!Q:Q,0,0)</f>
        <v>0</v>
      </c>
      <c r="Z32" s="25" t="str">
        <f>IF(Dealps[[#This Row],[CPTY_CODE]]=Dealps[[#This Row],[CPTY_CODE_ISSUER]],"Yes","No")</f>
        <v>No</v>
      </c>
      <c r="AA32" s="25"/>
      <c r="AC32" s="14"/>
      <c r="AG32" s="96"/>
      <c r="AH32" s="14"/>
      <c r="AI32"/>
      <c r="AN32" s="14"/>
      <c r="AV32" s="36"/>
      <c r="AW32" s="14"/>
      <c r="AX32" s="234"/>
      <c r="AY32" s="96"/>
      <c r="AZ32" s="14"/>
      <c r="BA32"/>
      <c r="BB32" s="93">
        <v>46262</v>
      </c>
      <c r="BC32">
        <v>1590</v>
      </c>
      <c r="BD32" s="56" t="s">
        <v>1014</v>
      </c>
      <c r="BE32" t="s">
        <v>1011</v>
      </c>
      <c r="BF32" t="s">
        <v>1015</v>
      </c>
      <c r="BG32" t="s">
        <v>364</v>
      </c>
      <c r="BH32" t="s">
        <v>1013</v>
      </c>
      <c r="BI32" t="s">
        <v>311</v>
      </c>
      <c r="BJ32" s="93">
        <v>45730</v>
      </c>
      <c r="BK32" s="93">
        <v>45734</v>
      </c>
      <c r="BL32" s="93">
        <v>45734</v>
      </c>
      <c r="BM32" s="93">
        <v>46443</v>
      </c>
      <c r="BN32" s="14">
        <v>1</v>
      </c>
      <c r="BO32" s="14">
        <v>10000000000</v>
      </c>
      <c r="BP32" s="56">
        <v>100</v>
      </c>
      <c r="BQ32" s="56">
        <v>0</v>
      </c>
      <c r="BR32" s="14">
        <v>10025890411</v>
      </c>
      <c r="BS32">
        <v>4.4883790000000001</v>
      </c>
      <c r="BT32" t="s">
        <v>1184</v>
      </c>
      <c r="BU32" s="25">
        <f>_xlfn.XLOOKUP(Dealps_MSB[[#This Row],[DEAL_ID]],Ref!V:V,Ref!X:X,0,0)</f>
        <v>0</v>
      </c>
      <c r="BV32"/>
    </row>
    <row r="33" spans="1:74" x14ac:dyDescent="0.3">
      <c r="A33" s="93">
        <v>46262</v>
      </c>
      <c r="B33">
        <v>43708</v>
      </c>
      <c r="C33" s="56" t="s">
        <v>245</v>
      </c>
      <c r="D33" t="s">
        <v>324</v>
      </c>
      <c r="E33" t="s">
        <v>315</v>
      </c>
      <c r="F33" t="s">
        <v>35</v>
      </c>
      <c r="G33" t="s">
        <v>310</v>
      </c>
      <c r="H33" t="s">
        <v>311</v>
      </c>
      <c r="I33" s="93">
        <v>45526</v>
      </c>
      <c r="J33" s="93">
        <v>45534</v>
      </c>
      <c r="K33" s="93">
        <v>45534</v>
      </c>
      <c r="L33" s="93">
        <v>46548</v>
      </c>
      <c r="M33" s="14">
        <v>500</v>
      </c>
      <c r="N33" s="14">
        <v>500000000000</v>
      </c>
      <c r="O33" s="56">
        <v>100.01135644</v>
      </c>
      <c r="P33" s="56">
        <v>1</v>
      </c>
      <c r="Q33" s="14">
        <v>506048563000</v>
      </c>
      <c r="R33">
        <v>5.3858244590000002</v>
      </c>
      <c r="S33" t="s">
        <v>1184</v>
      </c>
      <c r="T33" s="57">
        <f>IF(Dealps[[#This Row],[MATURITY_DATE]]-Dealps[[#This Row],[POSTED_DT]]&lt;0,0,IF(Dealps[[#This Row],[VALUE_DATE]]-Dealps[[#This Row],[POSTED_DT]]&gt;0,Dealps[[#This Row],[MATURITY_DATE]]-Dealps[[#This Row],[VALUE_DATE]],Dealps[[#This Row],[MATURITY_DATE]]-Dealps[[#This Row],[POSTED_DT]]))</f>
        <v>286</v>
      </c>
      <c r="U33" s="25">
        <f>IF(Dealps[[#This Row],[TENOR]]=0,0,IF(Dealps[[#This Row],[DEAL_TYPE]]="B",Dealps[[#This Row],[FACE_AMOUNT]],-Dealps[[#This Row],[FACE_AMOUNT]]))</f>
        <v>-500000000000</v>
      </c>
      <c r="V33" s="25">
        <f>_xlfn.XLOOKUP(Dealps[[#This Row],[PAPER_CODE]],FNRP!D:D,FNRP!H:H,0,0)/100*Dealps[[#This Row],[AMOUNT]]</f>
        <v>0</v>
      </c>
      <c r="W33" s="57" t="str">
        <f>IF(Dealps[[#This Row],[TRANSACTION_STATUS]]&lt;&gt;"V","Ngoai BS",IF(Dealps[[#This Row],[POSTED_DT]]&gt;=Dealps[[#This Row],[VALUE_DATE]],"On BS","Off BS"))</f>
        <v>On BS</v>
      </c>
      <c r="X33" s="25">
        <f>SUMIFS(U:U,C:C,Dealps[[#This Row],[PAPER_CODE]])</f>
        <v>0</v>
      </c>
      <c r="Y33" s="25">
        <f>_xlfn.XLOOKUP(Dealps[[#This Row],[DEAL_ID]],Ref!N:N,Ref!Q:Q,0,0)</f>
        <v>0</v>
      </c>
      <c r="Z33" s="25" t="str">
        <f>IF(Dealps[[#This Row],[CPTY_CODE]]=Dealps[[#This Row],[CPTY_CODE_ISSUER]],"Yes","No")</f>
        <v>No</v>
      </c>
      <c r="AA33" s="25"/>
      <c r="AC33" s="14"/>
      <c r="AG33" s="96"/>
      <c r="AH33" s="14"/>
      <c r="AI33"/>
      <c r="AN33" s="14"/>
      <c r="AV33" s="36"/>
      <c r="AW33" s="14"/>
      <c r="AX33" s="234"/>
      <c r="AY33" s="96"/>
      <c r="AZ33" s="14"/>
      <c r="BA33"/>
      <c r="BB33" s="93">
        <v>46262</v>
      </c>
      <c r="BC33">
        <v>1591</v>
      </c>
      <c r="BD33" s="56" t="s">
        <v>1014</v>
      </c>
      <c r="BE33" t="s">
        <v>1011</v>
      </c>
      <c r="BF33" t="s">
        <v>1015</v>
      </c>
      <c r="BG33" t="s">
        <v>364</v>
      </c>
      <c r="BH33" t="s">
        <v>1013</v>
      </c>
      <c r="BI33" t="s">
        <v>311</v>
      </c>
      <c r="BJ33" s="93">
        <v>45730</v>
      </c>
      <c r="BK33" s="93">
        <v>45736</v>
      </c>
      <c r="BL33" s="93">
        <v>45736</v>
      </c>
      <c r="BM33" s="93">
        <v>46443</v>
      </c>
      <c r="BN33" s="14">
        <v>1</v>
      </c>
      <c r="BO33" s="14">
        <v>10000000000</v>
      </c>
      <c r="BP33" s="56">
        <v>100</v>
      </c>
      <c r="BQ33" s="56">
        <v>0</v>
      </c>
      <c r="BR33" s="14">
        <v>10028356164</v>
      </c>
      <c r="BS33">
        <v>4.4872759999999996</v>
      </c>
      <c r="BT33" t="s">
        <v>1184</v>
      </c>
      <c r="BU33" s="25">
        <f>_xlfn.XLOOKUP(Dealps_MSB[[#This Row],[DEAL_ID]],Ref!V:V,Ref!X:X,0,0)</f>
        <v>0</v>
      </c>
      <c r="BV33"/>
    </row>
    <row r="34" spans="1:74" x14ac:dyDescent="0.3">
      <c r="A34" s="93">
        <v>46262</v>
      </c>
      <c r="B34">
        <v>44001</v>
      </c>
      <c r="C34" s="56" t="s">
        <v>40</v>
      </c>
      <c r="D34" t="s">
        <v>312</v>
      </c>
      <c r="E34" t="s">
        <v>312</v>
      </c>
      <c r="F34" t="s">
        <v>35</v>
      </c>
      <c r="G34" t="s">
        <v>310</v>
      </c>
      <c r="H34" t="s">
        <v>300</v>
      </c>
      <c r="I34" s="93">
        <v>45555</v>
      </c>
      <c r="J34" s="93">
        <v>45559</v>
      </c>
      <c r="K34" s="93">
        <v>45559</v>
      </c>
      <c r="L34" s="93">
        <v>46289</v>
      </c>
      <c r="M34" s="14">
        <v>500</v>
      </c>
      <c r="N34" s="14">
        <v>500000000000</v>
      </c>
      <c r="O34" s="56">
        <v>100</v>
      </c>
      <c r="P34" s="56">
        <v>0</v>
      </c>
      <c r="Q34" s="14">
        <v>500000000000</v>
      </c>
      <c r="R34">
        <v>6.9195646530000001</v>
      </c>
      <c r="S34" t="s">
        <v>1184</v>
      </c>
      <c r="T34" s="57">
        <f>IF(Dealps[[#This Row],[MATURITY_DATE]]-Dealps[[#This Row],[POSTED_DT]]&lt;0,0,IF(Dealps[[#This Row],[VALUE_DATE]]-Dealps[[#This Row],[POSTED_DT]]&gt;0,Dealps[[#This Row],[MATURITY_DATE]]-Dealps[[#This Row],[VALUE_DATE]],Dealps[[#This Row],[MATURITY_DATE]]-Dealps[[#This Row],[POSTED_DT]]))</f>
        <v>27</v>
      </c>
      <c r="U34" s="25">
        <f>IF(Dealps[[#This Row],[TENOR]]=0,0,IF(Dealps[[#This Row],[DEAL_TYPE]]="B",Dealps[[#This Row],[FACE_AMOUNT]],-Dealps[[#This Row],[FACE_AMOUNT]]))</f>
        <v>500000000000</v>
      </c>
      <c r="V34" s="25">
        <f>_xlfn.XLOOKUP(Dealps[[#This Row],[PAPER_CODE]],FNRP!D:D,FNRP!H:H,0,0)/100*Dealps[[#This Row],[AMOUNT]]</f>
        <v>2679521645</v>
      </c>
      <c r="W34" s="57" t="str">
        <f>IF(Dealps[[#This Row],[TRANSACTION_STATUS]]&lt;&gt;"V","Ngoai BS",IF(Dealps[[#This Row],[POSTED_DT]]&gt;=Dealps[[#This Row],[VALUE_DATE]],"On BS","Off BS"))</f>
        <v>On BS</v>
      </c>
      <c r="X34" s="25">
        <f>SUMIFS(U:U,C:C,Dealps[[#This Row],[PAPER_CODE]])</f>
        <v>1000000000000</v>
      </c>
      <c r="Y34" s="25">
        <f>_xlfn.XLOOKUP(Dealps[[#This Row],[DEAL_ID]],Ref!N:N,Ref!Q:Q,0,0)</f>
        <v>0</v>
      </c>
      <c r="Z34" s="25" t="str">
        <f>IF(Dealps[[#This Row],[CPTY_CODE]]=Dealps[[#This Row],[CPTY_CODE_ISSUER]],"Yes","No")</f>
        <v>Yes</v>
      </c>
      <c r="AA34" s="25"/>
      <c r="AC34" s="14"/>
      <c r="AG34" s="96"/>
      <c r="AH34" s="14"/>
      <c r="AI34"/>
      <c r="AN34" s="14"/>
      <c r="AV34" s="36"/>
      <c r="AW34" s="14"/>
      <c r="AX34" s="234"/>
      <c r="AY34" s="96"/>
      <c r="AZ34" s="14"/>
      <c r="BA34"/>
      <c r="BB34" s="93">
        <v>46262</v>
      </c>
      <c r="BC34">
        <v>1592</v>
      </c>
      <c r="BD34" s="56" t="s">
        <v>1014</v>
      </c>
      <c r="BE34" t="s">
        <v>1011</v>
      </c>
      <c r="BF34" t="s">
        <v>1015</v>
      </c>
      <c r="BG34" t="s">
        <v>364</v>
      </c>
      <c r="BH34" t="s">
        <v>1013</v>
      </c>
      <c r="BI34" t="s">
        <v>311</v>
      </c>
      <c r="BJ34" s="93">
        <v>45730</v>
      </c>
      <c r="BK34" s="93">
        <v>45736</v>
      </c>
      <c r="BL34" s="93">
        <v>45736</v>
      </c>
      <c r="BM34" s="93">
        <v>46443</v>
      </c>
      <c r="BN34" s="14">
        <v>1</v>
      </c>
      <c r="BO34" s="14">
        <v>15000000000</v>
      </c>
      <c r="BP34" s="56">
        <v>100</v>
      </c>
      <c r="BQ34" s="56">
        <v>0</v>
      </c>
      <c r="BR34" s="14">
        <v>15042534246.999998</v>
      </c>
      <c r="BS34">
        <v>4.4872759999999996</v>
      </c>
      <c r="BT34" t="s">
        <v>1184</v>
      </c>
      <c r="BU34" s="25">
        <f>_xlfn.XLOOKUP(Dealps_MSB[[#This Row],[DEAL_ID]],Ref!V:V,Ref!X:X,0,0)</f>
        <v>0</v>
      </c>
      <c r="BV34"/>
    </row>
    <row r="35" spans="1:74" x14ac:dyDescent="0.3">
      <c r="A35" s="93">
        <v>46262</v>
      </c>
      <c r="B35">
        <v>44002</v>
      </c>
      <c r="C35" s="56" t="s">
        <v>40</v>
      </c>
      <c r="D35" t="s">
        <v>312</v>
      </c>
      <c r="E35" t="s">
        <v>312</v>
      </c>
      <c r="F35" t="s">
        <v>35</v>
      </c>
      <c r="G35" t="s">
        <v>310</v>
      </c>
      <c r="H35" t="s">
        <v>300</v>
      </c>
      <c r="I35" s="93">
        <v>45555</v>
      </c>
      <c r="J35" s="93">
        <v>45559</v>
      </c>
      <c r="K35" s="93">
        <v>45559</v>
      </c>
      <c r="L35" s="93">
        <v>46289</v>
      </c>
      <c r="M35" s="14">
        <v>500</v>
      </c>
      <c r="N35" s="14">
        <v>500000000000</v>
      </c>
      <c r="O35" s="56">
        <v>100</v>
      </c>
      <c r="P35" s="56">
        <v>0</v>
      </c>
      <c r="Q35" s="14">
        <v>500000000000</v>
      </c>
      <c r="R35">
        <v>6.9195646530000001</v>
      </c>
      <c r="S35" t="s">
        <v>1184</v>
      </c>
      <c r="T35" s="57">
        <f>IF(Dealps[[#This Row],[MATURITY_DATE]]-Dealps[[#This Row],[POSTED_DT]]&lt;0,0,IF(Dealps[[#This Row],[VALUE_DATE]]-Dealps[[#This Row],[POSTED_DT]]&gt;0,Dealps[[#This Row],[MATURITY_DATE]]-Dealps[[#This Row],[VALUE_DATE]],Dealps[[#This Row],[MATURITY_DATE]]-Dealps[[#This Row],[POSTED_DT]]))</f>
        <v>27</v>
      </c>
      <c r="U35" s="25">
        <f>IF(Dealps[[#This Row],[TENOR]]=0,0,IF(Dealps[[#This Row],[DEAL_TYPE]]="B",Dealps[[#This Row],[FACE_AMOUNT]],-Dealps[[#This Row],[FACE_AMOUNT]]))</f>
        <v>500000000000</v>
      </c>
      <c r="V35" s="25">
        <f>_xlfn.XLOOKUP(Dealps[[#This Row],[PAPER_CODE]],FNRP!D:D,FNRP!H:H,0,0)/100*Dealps[[#This Row],[AMOUNT]]</f>
        <v>2679521645</v>
      </c>
      <c r="W35" s="57" t="str">
        <f>IF(Dealps[[#This Row],[TRANSACTION_STATUS]]&lt;&gt;"V","Ngoai BS",IF(Dealps[[#This Row],[POSTED_DT]]&gt;=Dealps[[#This Row],[VALUE_DATE]],"On BS","Off BS"))</f>
        <v>On BS</v>
      </c>
      <c r="X35" s="25">
        <f>SUMIFS(U:U,C:C,Dealps[[#This Row],[PAPER_CODE]])</f>
        <v>1000000000000</v>
      </c>
      <c r="Y35" s="25">
        <f>_xlfn.XLOOKUP(Dealps[[#This Row],[DEAL_ID]],Ref!N:N,Ref!Q:Q,0,0)</f>
        <v>0</v>
      </c>
      <c r="Z35" s="25" t="str">
        <f>IF(Dealps[[#This Row],[CPTY_CODE]]=Dealps[[#This Row],[CPTY_CODE_ISSUER]],"Yes","No")</f>
        <v>Yes</v>
      </c>
      <c r="AA35" s="25"/>
      <c r="AC35" s="14"/>
      <c r="AG35" s="96"/>
      <c r="AH35" s="14"/>
      <c r="AI35"/>
      <c r="AN35" s="14"/>
      <c r="AV35" s="36"/>
      <c r="AW35" s="14"/>
      <c r="AX35" s="234"/>
      <c r="AY35" s="96"/>
      <c r="AZ35" s="14"/>
      <c r="BA35"/>
      <c r="BB35" s="93">
        <v>46262</v>
      </c>
      <c r="BC35">
        <v>1593</v>
      </c>
      <c r="BD35" s="56" t="s">
        <v>1014</v>
      </c>
      <c r="BE35" t="s">
        <v>1011</v>
      </c>
      <c r="BF35" t="s">
        <v>1015</v>
      </c>
      <c r="BG35" t="s">
        <v>364</v>
      </c>
      <c r="BH35" t="s">
        <v>1013</v>
      </c>
      <c r="BI35" t="s">
        <v>311</v>
      </c>
      <c r="BJ35" s="93">
        <v>45730</v>
      </c>
      <c r="BK35" s="93">
        <v>45737</v>
      </c>
      <c r="BL35" s="93">
        <v>45737</v>
      </c>
      <c r="BM35" s="93">
        <v>46443</v>
      </c>
      <c r="BN35" s="14">
        <v>1</v>
      </c>
      <c r="BO35" s="14">
        <v>15000000000</v>
      </c>
      <c r="BP35" s="56">
        <v>100</v>
      </c>
      <c r="BQ35" s="56">
        <v>0</v>
      </c>
      <c r="BR35" s="14">
        <v>15044383562</v>
      </c>
      <c r="BS35">
        <v>4.4867239999999997</v>
      </c>
      <c r="BT35" t="s">
        <v>1184</v>
      </c>
      <c r="BU35" s="25">
        <f>_xlfn.XLOOKUP(Dealps_MSB[[#This Row],[DEAL_ID]],Ref!V:V,Ref!X:X,0,0)</f>
        <v>0</v>
      </c>
      <c r="BV35"/>
    </row>
    <row r="36" spans="1:74" x14ac:dyDescent="0.3">
      <c r="A36" s="93">
        <v>46262</v>
      </c>
      <c r="B36">
        <v>44424</v>
      </c>
      <c r="C36" s="56" t="s">
        <v>37</v>
      </c>
      <c r="D36" t="s">
        <v>322</v>
      </c>
      <c r="E36" t="s">
        <v>321</v>
      </c>
      <c r="F36" t="s">
        <v>35</v>
      </c>
      <c r="G36" t="s">
        <v>310</v>
      </c>
      <c r="H36" t="s">
        <v>311</v>
      </c>
      <c r="I36" s="93">
        <v>45588</v>
      </c>
      <c r="J36" s="93">
        <v>45594</v>
      </c>
      <c r="K36" s="93">
        <v>45595</v>
      </c>
      <c r="L36" s="93">
        <v>46566</v>
      </c>
      <c r="M36" s="14">
        <v>650</v>
      </c>
      <c r="N36" s="14">
        <v>650000000000</v>
      </c>
      <c r="O36" s="56">
        <v>100.03357235199999</v>
      </c>
      <c r="P36" s="56">
        <v>2</v>
      </c>
      <c r="Q36" s="14">
        <v>662142603850</v>
      </c>
      <c r="R36">
        <v>5.373054776</v>
      </c>
      <c r="S36" t="s">
        <v>1184</v>
      </c>
      <c r="T36" s="57">
        <f>IF(Dealps[[#This Row],[MATURITY_DATE]]-Dealps[[#This Row],[POSTED_DT]]&lt;0,0,IF(Dealps[[#This Row],[VALUE_DATE]]-Dealps[[#This Row],[POSTED_DT]]&gt;0,Dealps[[#This Row],[MATURITY_DATE]]-Dealps[[#This Row],[VALUE_DATE]],Dealps[[#This Row],[MATURITY_DATE]]-Dealps[[#This Row],[POSTED_DT]]))</f>
        <v>304</v>
      </c>
      <c r="U36" s="25">
        <f>IF(Dealps[[#This Row],[TENOR]]=0,0,IF(Dealps[[#This Row],[DEAL_TYPE]]="B",Dealps[[#This Row],[FACE_AMOUNT]],-Dealps[[#This Row],[FACE_AMOUNT]]))</f>
        <v>-650000000000</v>
      </c>
      <c r="V36" s="25">
        <f>_xlfn.XLOOKUP(Dealps[[#This Row],[PAPER_CODE]],FNRP!D:D,FNRP!H:H,0,0)/100*Dealps[[#This Row],[AMOUNT]]</f>
        <v>0</v>
      </c>
      <c r="W36" s="57" t="str">
        <f>IF(Dealps[[#This Row],[TRANSACTION_STATUS]]&lt;&gt;"V","Ngoai BS",IF(Dealps[[#This Row],[POSTED_DT]]&gt;=Dealps[[#This Row],[VALUE_DATE]],"On BS","Off BS"))</f>
        <v>On BS</v>
      </c>
      <c r="X36" s="25">
        <f>SUMIFS(U:U,C:C,Dealps[[#This Row],[PAPER_CODE]])</f>
        <v>0</v>
      </c>
      <c r="Y36" s="25">
        <f>_xlfn.XLOOKUP(Dealps[[#This Row],[DEAL_ID]],Ref!N:N,Ref!Q:Q,0,0)</f>
        <v>0</v>
      </c>
      <c r="Z36" s="25" t="str">
        <f>IF(Dealps[[#This Row],[CPTY_CODE]]=Dealps[[#This Row],[CPTY_CODE_ISSUER]],"Yes","No")</f>
        <v>No</v>
      </c>
      <c r="AA36" s="25"/>
      <c r="AC36" s="14"/>
      <c r="AG36" s="96"/>
      <c r="AH36" s="14"/>
      <c r="AI36"/>
      <c r="AN36" s="14"/>
      <c r="AV36" s="36"/>
      <c r="AW36" s="14"/>
      <c r="AX36" s="234"/>
      <c r="AY36" s="96"/>
      <c r="AZ36" s="14"/>
      <c r="BA36"/>
      <c r="BB36" s="93">
        <v>46262</v>
      </c>
      <c r="BC36">
        <v>1594</v>
      </c>
      <c r="BD36" s="56" t="s">
        <v>1014</v>
      </c>
      <c r="BE36" t="s">
        <v>1011</v>
      </c>
      <c r="BF36" t="s">
        <v>1015</v>
      </c>
      <c r="BG36" t="s">
        <v>364</v>
      </c>
      <c r="BH36" t="s">
        <v>1013</v>
      </c>
      <c r="BI36" t="s">
        <v>311</v>
      </c>
      <c r="BJ36" s="93">
        <v>45730</v>
      </c>
      <c r="BK36" s="93">
        <v>45737</v>
      </c>
      <c r="BL36" s="93">
        <v>45737</v>
      </c>
      <c r="BM36" s="93">
        <v>46443</v>
      </c>
      <c r="BN36" s="14">
        <v>1</v>
      </c>
      <c r="BO36" s="14">
        <v>15000000000</v>
      </c>
      <c r="BP36" s="56">
        <v>100</v>
      </c>
      <c r="BQ36" s="56">
        <v>0</v>
      </c>
      <c r="BR36" s="14">
        <v>15044383562</v>
      </c>
      <c r="BS36">
        <v>4.4867239999999997</v>
      </c>
      <c r="BT36" t="s">
        <v>1184</v>
      </c>
      <c r="BU36" s="25">
        <f>_xlfn.XLOOKUP(Dealps_MSB[[#This Row],[DEAL_ID]],Ref!V:V,Ref!X:X,0,0)</f>
        <v>0</v>
      </c>
      <c r="BV36"/>
    </row>
    <row r="37" spans="1:74" x14ac:dyDescent="0.3">
      <c r="A37" s="93">
        <v>46262</v>
      </c>
      <c r="B37">
        <v>44425</v>
      </c>
      <c r="C37" s="56" t="s">
        <v>37</v>
      </c>
      <c r="D37" t="s">
        <v>322</v>
      </c>
      <c r="E37" t="s">
        <v>321</v>
      </c>
      <c r="F37" t="s">
        <v>35</v>
      </c>
      <c r="G37" t="s">
        <v>310</v>
      </c>
      <c r="H37" t="s">
        <v>311</v>
      </c>
      <c r="I37" s="93">
        <v>45588</v>
      </c>
      <c r="J37" s="93">
        <v>45594</v>
      </c>
      <c r="K37" s="93">
        <v>45595</v>
      </c>
      <c r="L37" s="93">
        <v>46566</v>
      </c>
      <c r="M37" s="14">
        <v>800</v>
      </c>
      <c r="N37" s="14">
        <v>800000000000</v>
      </c>
      <c r="O37" s="56">
        <v>100.03357235199999</v>
      </c>
      <c r="P37" s="56">
        <v>2</v>
      </c>
      <c r="Q37" s="14">
        <v>814944743200</v>
      </c>
      <c r="R37">
        <v>5.373054776</v>
      </c>
      <c r="S37" t="s">
        <v>1184</v>
      </c>
      <c r="T37" s="57">
        <f>IF(Dealps[[#This Row],[MATURITY_DATE]]-Dealps[[#This Row],[POSTED_DT]]&lt;0,0,IF(Dealps[[#This Row],[VALUE_DATE]]-Dealps[[#This Row],[POSTED_DT]]&gt;0,Dealps[[#This Row],[MATURITY_DATE]]-Dealps[[#This Row],[VALUE_DATE]],Dealps[[#This Row],[MATURITY_DATE]]-Dealps[[#This Row],[POSTED_DT]]))</f>
        <v>304</v>
      </c>
      <c r="U37" s="25">
        <f>IF(Dealps[[#This Row],[TENOR]]=0,0,IF(Dealps[[#This Row],[DEAL_TYPE]]="B",Dealps[[#This Row],[FACE_AMOUNT]],-Dealps[[#This Row],[FACE_AMOUNT]]))</f>
        <v>-800000000000</v>
      </c>
      <c r="V37" s="25">
        <f>_xlfn.XLOOKUP(Dealps[[#This Row],[PAPER_CODE]],FNRP!D:D,FNRP!H:H,0,0)/100*Dealps[[#This Row],[AMOUNT]]</f>
        <v>0</v>
      </c>
      <c r="W37" s="57" t="str">
        <f>IF(Dealps[[#This Row],[TRANSACTION_STATUS]]&lt;&gt;"V","Ngoai BS",IF(Dealps[[#This Row],[POSTED_DT]]&gt;=Dealps[[#This Row],[VALUE_DATE]],"On BS","Off BS"))</f>
        <v>On BS</v>
      </c>
      <c r="X37" s="25">
        <f>SUMIFS(U:U,C:C,Dealps[[#This Row],[PAPER_CODE]])</f>
        <v>0</v>
      </c>
      <c r="Y37" s="25">
        <f>_xlfn.XLOOKUP(Dealps[[#This Row],[DEAL_ID]],Ref!N:N,Ref!Q:Q,0,0)</f>
        <v>0</v>
      </c>
      <c r="Z37" s="25" t="str">
        <f>IF(Dealps[[#This Row],[CPTY_CODE]]=Dealps[[#This Row],[CPTY_CODE_ISSUER]],"Yes","No")</f>
        <v>No</v>
      </c>
      <c r="AA37" s="25"/>
      <c r="AC37" s="14"/>
      <c r="AG37" s="96"/>
      <c r="AH37" s="14"/>
      <c r="AI37"/>
      <c r="AN37" s="14"/>
      <c r="AV37" s="36"/>
      <c r="AW37" s="14"/>
      <c r="AX37" s="234"/>
      <c r="AY37" s="96"/>
      <c r="AZ37" s="14"/>
      <c r="BA37"/>
      <c r="BB37" s="93">
        <v>46262</v>
      </c>
      <c r="BC37">
        <v>1595</v>
      </c>
      <c r="BD37" s="56" t="s">
        <v>1014</v>
      </c>
      <c r="BE37" t="s">
        <v>1011</v>
      </c>
      <c r="BF37" t="s">
        <v>1015</v>
      </c>
      <c r="BG37" t="s">
        <v>364</v>
      </c>
      <c r="BH37" t="s">
        <v>1013</v>
      </c>
      <c r="BI37" t="s">
        <v>311</v>
      </c>
      <c r="BJ37" s="93">
        <v>45730</v>
      </c>
      <c r="BK37" s="93">
        <v>45737</v>
      </c>
      <c r="BL37" s="93">
        <v>45737</v>
      </c>
      <c r="BM37" s="93">
        <v>46443</v>
      </c>
      <c r="BN37" s="14">
        <v>1</v>
      </c>
      <c r="BO37" s="14">
        <v>15000000000</v>
      </c>
      <c r="BP37" s="56">
        <v>100</v>
      </c>
      <c r="BQ37" s="56">
        <v>0</v>
      </c>
      <c r="BR37" s="14">
        <v>15044383562</v>
      </c>
      <c r="BS37">
        <v>4.4867239999999997</v>
      </c>
      <c r="BT37" t="s">
        <v>1184</v>
      </c>
      <c r="BU37" s="25">
        <f>_xlfn.XLOOKUP(Dealps_MSB[[#This Row],[DEAL_ID]],Ref!V:V,Ref!X:X,0,0)</f>
        <v>0</v>
      </c>
      <c r="BV37"/>
    </row>
    <row r="38" spans="1:74" x14ac:dyDescent="0.3">
      <c r="A38" s="93">
        <v>46262</v>
      </c>
      <c r="B38">
        <v>44427</v>
      </c>
      <c r="C38" s="56" t="s">
        <v>37</v>
      </c>
      <c r="D38" t="s">
        <v>322</v>
      </c>
      <c r="E38" t="s">
        <v>321</v>
      </c>
      <c r="F38" t="s">
        <v>35</v>
      </c>
      <c r="G38" t="s">
        <v>310</v>
      </c>
      <c r="H38" t="s">
        <v>311</v>
      </c>
      <c r="I38" s="93">
        <v>45588</v>
      </c>
      <c r="J38" s="93">
        <v>45588</v>
      </c>
      <c r="K38" s="93">
        <v>45589</v>
      </c>
      <c r="L38" s="93">
        <v>46566</v>
      </c>
      <c r="M38" s="14">
        <v>550</v>
      </c>
      <c r="N38" s="14">
        <v>550000000000</v>
      </c>
      <c r="O38" s="56">
        <v>100.036180675</v>
      </c>
      <c r="P38" s="56">
        <v>2</v>
      </c>
      <c r="Q38" s="14">
        <v>559800637550</v>
      </c>
      <c r="R38">
        <v>5.3724629869999996</v>
      </c>
      <c r="S38" t="s">
        <v>1184</v>
      </c>
      <c r="T38" s="57">
        <f>IF(Dealps[[#This Row],[MATURITY_DATE]]-Dealps[[#This Row],[POSTED_DT]]&lt;0,0,IF(Dealps[[#This Row],[VALUE_DATE]]-Dealps[[#This Row],[POSTED_DT]]&gt;0,Dealps[[#This Row],[MATURITY_DATE]]-Dealps[[#This Row],[VALUE_DATE]],Dealps[[#This Row],[MATURITY_DATE]]-Dealps[[#This Row],[POSTED_DT]]))</f>
        <v>304</v>
      </c>
      <c r="U38" s="25">
        <f>IF(Dealps[[#This Row],[TENOR]]=0,0,IF(Dealps[[#This Row],[DEAL_TYPE]]="B",Dealps[[#This Row],[FACE_AMOUNT]],-Dealps[[#This Row],[FACE_AMOUNT]]))</f>
        <v>-550000000000</v>
      </c>
      <c r="V38" s="25">
        <f>_xlfn.XLOOKUP(Dealps[[#This Row],[PAPER_CODE]],FNRP!D:D,FNRP!H:H,0,0)/100*Dealps[[#This Row],[AMOUNT]]</f>
        <v>0</v>
      </c>
      <c r="W38" s="57" t="str">
        <f>IF(Dealps[[#This Row],[TRANSACTION_STATUS]]&lt;&gt;"V","Ngoai BS",IF(Dealps[[#This Row],[POSTED_DT]]&gt;=Dealps[[#This Row],[VALUE_DATE]],"On BS","Off BS"))</f>
        <v>On BS</v>
      </c>
      <c r="X38" s="25">
        <f>SUMIFS(U:U,C:C,Dealps[[#This Row],[PAPER_CODE]])</f>
        <v>0</v>
      </c>
      <c r="Y38" s="25">
        <f>_xlfn.XLOOKUP(Dealps[[#This Row],[DEAL_ID]],Ref!N:N,Ref!Q:Q,0,0)</f>
        <v>0</v>
      </c>
      <c r="Z38" s="25" t="str">
        <f>IF(Dealps[[#This Row],[CPTY_CODE]]=Dealps[[#This Row],[CPTY_CODE_ISSUER]],"Yes","No")</f>
        <v>No</v>
      </c>
      <c r="AA38" s="25"/>
      <c r="AC38" s="14"/>
      <c r="AG38" s="96"/>
      <c r="AH38" s="14"/>
      <c r="AI38"/>
      <c r="AN38" s="14"/>
      <c r="AV38" s="36"/>
      <c r="AW38" s="14"/>
      <c r="AX38" s="234"/>
      <c r="AY38" s="96"/>
      <c r="AZ38" s="14"/>
      <c r="BA38"/>
      <c r="BB38" s="93">
        <v>46262</v>
      </c>
      <c r="BC38">
        <v>1596</v>
      </c>
      <c r="BD38" s="56" t="s">
        <v>1014</v>
      </c>
      <c r="BE38" t="s">
        <v>1011</v>
      </c>
      <c r="BF38" t="s">
        <v>1015</v>
      </c>
      <c r="BG38" t="s">
        <v>364</v>
      </c>
      <c r="BH38" t="s">
        <v>1013</v>
      </c>
      <c r="BI38" t="s">
        <v>311</v>
      </c>
      <c r="BJ38" s="93">
        <v>45730</v>
      </c>
      <c r="BK38" s="93">
        <v>45737</v>
      </c>
      <c r="BL38" s="93">
        <v>45737</v>
      </c>
      <c r="BM38" s="93">
        <v>46443</v>
      </c>
      <c r="BN38" s="14">
        <v>1</v>
      </c>
      <c r="BO38" s="14">
        <v>5000000000</v>
      </c>
      <c r="BP38" s="56">
        <v>100</v>
      </c>
      <c r="BQ38" s="56">
        <v>0</v>
      </c>
      <c r="BR38" s="14">
        <v>5014794521</v>
      </c>
      <c r="BS38">
        <v>4.4867239999999997</v>
      </c>
      <c r="BT38" t="s">
        <v>1184</v>
      </c>
      <c r="BU38" s="25">
        <f>_xlfn.XLOOKUP(Dealps_MSB[[#This Row],[DEAL_ID]],Ref!V:V,Ref!X:X,0,0)</f>
        <v>0</v>
      </c>
      <c r="BV38"/>
    </row>
    <row r="39" spans="1:74" x14ac:dyDescent="0.3">
      <c r="A39" s="93">
        <v>46262</v>
      </c>
      <c r="B39">
        <v>44511</v>
      </c>
      <c r="C39" s="56" t="s">
        <v>37</v>
      </c>
      <c r="D39" t="s">
        <v>322</v>
      </c>
      <c r="E39" t="s">
        <v>321</v>
      </c>
      <c r="F39" t="s">
        <v>35</v>
      </c>
      <c r="G39" t="s">
        <v>310</v>
      </c>
      <c r="H39" t="s">
        <v>300</v>
      </c>
      <c r="I39" s="93">
        <v>45593</v>
      </c>
      <c r="J39" s="93">
        <v>45593</v>
      </c>
      <c r="K39" s="93">
        <v>45621</v>
      </c>
      <c r="L39" s="93">
        <v>46566</v>
      </c>
      <c r="M39" s="14">
        <v>550</v>
      </c>
      <c r="N39" s="14">
        <v>550000000000</v>
      </c>
      <c r="O39" s="56">
        <v>100.00000001799999</v>
      </c>
      <c r="P39" s="56">
        <v>2</v>
      </c>
      <c r="Q39" s="14">
        <v>562205479550</v>
      </c>
      <c r="R39">
        <v>5.3854839139999999</v>
      </c>
      <c r="S39" t="s">
        <v>1184</v>
      </c>
      <c r="T39" s="57">
        <f>IF(Dealps[[#This Row],[MATURITY_DATE]]-Dealps[[#This Row],[POSTED_DT]]&lt;0,0,IF(Dealps[[#This Row],[VALUE_DATE]]-Dealps[[#This Row],[POSTED_DT]]&gt;0,Dealps[[#This Row],[MATURITY_DATE]]-Dealps[[#This Row],[VALUE_DATE]],Dealps[[#This Row],[MATURITY_DATE]]-Dealps[[#This Row],[POSTED_DT]]))</f>
        <v>304</v>
      </c>
      <c r="U39" s="25">
        <f>IF(Dealps[[#This Row],[TENOR]]=0,0,IF(Dealps[[#This Row],[DEAL_TYPE]]="B",Dealps[[#This Row],[FACE_AMOUNT]],-Dealps[[#This Row],[FACE_AMOUNT]]))</f>
        <v>550000000000</v>
      </c>
      <c r="V39" s="25">
        <f>_xlfn.XLOOKUP(Dealps[[#This Row],[PAPER_CODE]],FNRP!D:D,FNRP!H:H,0,0)/100*Dealps[[#This Row],[AMOUNT]]</f>
        <v>0</v>
      </c>
      <c r="W39" s="57" t="str">
        <f>IF(Dealps[[#This Row],[TRANSACTION_STATUS]]&lt;&gt;"V","Ngoai BS",IF(Dealps[[#This Row],[POSTED_DT]]&gt;=Dealps[[#This Row],[VALUE_DATE]],"On BS","Off BS"))</f>
        <v>On BS</v>
      </c>
      <c r="X39" s="25">
        <f>SUMIFS(U:U,C:C,Dealps[[#This Row],[PAPER_CODE]])</f>
        <v>0</v>
      </c>
      <c r="Y39" s="25">
        <f>_xlfn.XLOOKUP(Dealps[[#This Row],[DEAL_ID]],Ref!N:N,Ref!Q:Q,0,0)</f>
        <v>0</v>
      </c>
      <c r="Z39" s="25" t="str">
        <f>IF(Dealps[[#This Row],[CPTY_CODE]]=Dealps[[#This Row],[CPTY_CODE_ISSUER]],"Yes","No")</f>
        <v>No</v>
      </c>
      <c r="AA39" s="25"/>
      <c r="AC39" s="14"/>
      <c r="AG39" s="96"/>
      <c r="AH39" s="14"/>
      <c r="AI39"/>
      <c r="AN39" s="14"/>
      <c r="AV39" s="36"/>
      <c r="AW39" s="14"/>
      <c r="AX39" s="234"/>
      <c r="AY39" s="96"/>
      <c r="AZ39" s="14"/>
      <c r="BA39"/>
      <c r="BB39" s="93">
        <v>46262</v>
      </c>
      <c r="BC39">
        <v>1599</v>
      </c>
      <c r="BD39" s="56" t="s">
        <v>1014</v>
      </c>
      <c r="BE39" t="s">
        <v>1011</v>
      </c>
      <c r="BF39" t="s">
        <v>1015</v>
      </c>
      <c r="BG39" t="s">
        <v>364</v>
      </c>
      <c r="BH39" t="s">
        <v>1013</v>
      </c>
      <c r="BI39" t="s">
        <v>311</v>
      </c>
      <c r="BJ39" s="93">
        <v>45733</v>
      </c>
      <c r="BK39" s="93">
        <v>45729</v>
      </c>
      <c r="BL39" s="93">
        <v>45729</v>
      </c>
      <c r="BM39" s="93">
        <v>46443</v>
      </c>
      <c r="BN39" s="14">
        <v>1</v>
      </c>
      <c r="BO39" s="14">
        <v>15000000000</v>
      </c>
      <c r="BP39" s="56">
        <v>100</v>
      </c>
      <c r="BQ39" s="56">
        <v>0</v>
      </c>
      <c r="BR39" s="14">
        <v>15029589041</v>
      </c>
      <c r="BS39">
        <v>4.4911409999999998</v>
      </c>
      <c r="BT39" t="s">
        <v>1184</v>
      </c>
      <c r="BU39" s="25">
        <f>_xlfn.XLOOKUP(Dealps_MSB[[#This Row],[DEAL_ID]],Ref!V:V,Ref!X:X,0,0)</f>
        <v>0</v>
      </c>
      <c r="BV39"/>
    </row>
    <row r="40" spans="1:74" x14ac:dyDescent="0.3">
      <c r="A40" s="93">
        <v>46262</v>
      </c>
      <c r="B40">
        <v>44573</v>
      </c>
      <c r="C40" s="56" t="s">
        <v>37</v>
      </c>
      <c r="D40" t="s">
        <v>322</v>
      </c>
      <c r="E40" t="s">
        <v>321</v>
      </c>
      <c r="F40" t="s">
        <v>35</v>
      </c>
      <c r="G40" t="s">
        <v>310</v>
      </c>
      <c r="H40" t="s">
        <v>300</v>
      </c>
      <c r="I40" s="93">
        <v>45597</v>
      </c>
      <c r="J40" s="93">
        <v>45597</v>
      </c>
      <c r="K40" s="93">
        <v>45625</v>
      </c>
      <c r="L40" s="93">
        <v>46566</v>
      </c>
      <c r="M40" s="14">
        <v>800</v>
      </c>
      <c r="N40" s="14">
        <v>800000000000</v>
      </c>
      <c r="O40" s="56">
        <v>100.000000036</v>
      </c>
      <c r="P40" s="56">
        <v>2</v>
      </c>
      <c r="Q40" s="14">
        <v>818226849600</v>
      </c>
      <c r="R40">
        <v>5.3853137149999997</v>
      </c>
      <c r="S40" t="s">
        <v>1184</v>
      </c>
      <c r="T40" s="57">
        <f>IF(Dealps[[#This Row],[MATURITY_DATE]]-Dealps[[#This Row],[POSTED_DT]]&lt;0,0,IF(Dealps[[#This Row],[VALUE_DATE]]-Dealps[[#This Row],[POSTED_DT]]&gt;0,Dealps[[#This Row],[MATURITY_DATE]]-Dealps[[#This Row],[VALUE_DATE]],Dealps[[#This Row],[MATURITY_DATE]]-Dealps[[#This Row],[POSTED_DT]]))</f>
        <v>304</v>
      </c>
      <c r="U40" s="25">
        <f>IF(Dealps[[#This Row],[TENOR]]=0,0,IF(Dealps[[#This Row],[DEAL_TYPE]]="B",Dealps[[#This Row],[FACE_AMOUNT]],-Dealps[[#This Row],[FACE_AMOUNT]]))</f>
        <v>800000000000</v>
      </c>
      <c r="V40" s="25">
        <f>_xlfn.XLOOKUP(Dealps[[#This Row],[PAPER_CODE]],FNRP!D:D,FNRP!H:H,0,0)/100*Dealps[[#This Row],[AMOUNT]]</f>
        <v>0</v>
      </c>
      <c r="W40" s="57" t="str">
        <f>IF(Dealps[[#This Row],[TRANSACTION_STATUS]]&lt;&gt;"V","Ngoai BS",IF(Dealps[[#This Row],[POSTED_DT]]&gt;=Dealps[[#This Row],[VALUE_DATE]],"On BS","Off BS"))</f>
        <v>On BS</v>
      </c>
      <c r="X40" s="25">
        <f>SUMIFS(U:U,C:C,Dealps[[#This Row],[PAPER_CODE]])</f>
        <v>0</v>
      </c>
      <c r="Y40" s="25">
        <f>_xlfn.XLOOKUP(Dealps[[#This Row],[DEAL_ID]],Ref!N:N,Ref!Q:Q,0,0)</f>
        <v>0</v>
      </c>
      <c r="Z40" s="25" t="str">
        <f>IF(Dealps[[#This Row],[CPTY_CODE]]=Dealps[[#This Row],[CPTY_CODE_ISSUER]],"Yes","No")</f>
        <v>No</v>
      </c>
      <c r="AA40" s="25"/>
      <c r="AC40" s="14"/>
      <c r="AG40" s="96"/>
      <c r="AH40" s="14"/>
      <c r="AI40"/>
      <c r="AN40" s="14"/>
      <c r="AV40" s="36"/>
      <c r="AW40" s="14"/>
      <c r="AX40" s="234"/>
      <c r="AY40" s="96"/>
      <c r="AZ40" s="14"/>
      <c r="BA40"/>
      <c r="BB40" s="93">
        <v>46262</v>
      </c>
      <c r="BC40">
        <v>1603</v>
      </c>
      <c r="BD40" s="56" t="s">
        <v>1014</v>
      </c>
      <c r="BE40" t="s">
        <v>1011</v>
      </c>
      <c r="BF40" t="s">
        <v>1015</v>
      </c>
      <c r="BG40" t="s">
        <v>364</v>
      </c>
      <c r="BH40" t="s">
        <v>1013</v>
      </c>
      <c r="BI40" t="s">
        <v>311</v>
      </c>
      <c r="BJ40" s="93">
        <v>45735</v>
      </c>
      <c r="BK40" s="93">
        <v>45735</v>
      </c>
      <c r="BL40" s="93">
        <v>45735</v>
      </c>
      <c r="BM40" s="93">
        <v>46443</v>
      </c>
      <c r="BN40" s="14">
        <v>1</v>
      </c>
      <c r="BO40" s="14">
        <v>10000000000</v>
      </c>
      <c r="BP40" s="56">
        <v>100</v>
      </c>
      <c r="BQ40" s="56">
        <v>0</v>
      </c>
      <c r="BR40" s="14">
        <v>10027123288</v>
      </c>
      <c r="BS40">
        <v>4.4878280000000004</v>
      </c>
      <c r="BT40" t="s">
        <v>1184</v>
      </c>
      <c r="BU40" s="25">
        <f>_xlfn.XLOOKUP(Dealps_MSB[[#This Row],[DEAL_ID]],Ref!V:V,Ref!X:X,0,0)</f>
        <v>0</v>
      </c>
      <c r="BV40"/>
    </row>
    <row r="41" spans="1:74" x14ac:dyDescent="0.3">
      <c r="A41" s="93">
        <v>46262</v>
      </c>
      <c r="B41">
        <v>44574</v>
      </c>
      <c r="C41" s="56" t="s">
        <v>37</v>
      </c>
      <c r="D41" t="s">
        <v>322</v>
      </c>
      <c r="E41" t="s">
        <v>321</v>
      </c>
      <c r="F41" t="s">
        <v>35</v>
      </c>
      <c r="G41" t="s">
        <v>310</v>
      </c>
      <c r="H41" t="s">
        <v>300</v>
      </c>
      <c r="I41" s="93">
        <v>45597</v>
      </c>
      <c r="J41" s="93">
        <v>45597</v>
      </c>
      <c r="K41" s="93">
        <v>45625</v>
      </c>
      <c r="L41" s="93">
        <v>46566</v>
      </c>
      <c r="M41" s="14">
        <v>650</v>
      </c>
      <c r="N41" s="14">
        <v>650000000000</v>
      </c>
      <c r="O41" s="56">
        <v>100.000000036</v>
      </c>
      <c r="P41" s="56">
        <v>2</v>
      </c>
      <c r="Q41" s="14">
        <v>664809315300</v>
      </c>
      <c r="R41">
        <v>5.3853137149999997</v>
      </c>
      <c r="S41" t="s">
        <v>1184</v>
      </c>
      <c r="T41" s="57">
        <f>IF(Dealps[[#This Row],[MATURITY_DATE]]-Dealps[[#This Row],[POSTED_DT]]&lt;0,0,IF(Dealps[[#This Row],[VALUE_DATE]]-Dealps[[#This Row],[POSTED_DT]]&gt;0,Dealps[[#This Row],[MATURITY_DATE]]-Dealps[[#This Row],[VALUE_DATE]],Dealps[[#This Row],[MATURITY_DATE]]-Dealps[[#This Row],[POSTED_DT]]))</f>
        <v>304</v>
      </c>
      <c r="U41" s="25">
        <f>IF(Dealps[[#This Row],[TENOR]]=0,0,IF(Dealps[[#This Row],[DEAL_TYPE]]="B",Dealps[[#This Row],[FACE_AMOUNT]],-Dealps[[#This Row],[FACE_AMOUNT]]))</f>
        <v>650000000000</v>
      </c>
      <c r="V41" s="25">
        <f>_xlfn.XLOOKUP(Dealps[[#This Row],[PAPER_CODE]],FNRP!D:D,FNRP!H:H,0,0)/100*Dealps[[#This Row],[AMOUNT]]</f>
        <v>0</v>
      </c>
      <c r="W41" s="57" t="str">
        <f>IF(Dealps[[#This Row],[TRANSACTION_STATUS]]&lt;&gt;"V","Ngoai BS",IF(Dealps[[#This Row],[POSTED_DT]]&gt;=Dealps[[#This Row],[VALUE_DATE]],"On BS","Off BS"))</f>
        <v>On BS</v>
      </c>
      <c r="X41" s="25">
        <f>SUMIFS(U:U,C:C,Dealps[[#This Row],[PAPER_CODE]])</f>
        <v>0</v>
      </c>
      <c r="Y41" s="25">
        <f>_xlfn.XLOOKUP(Dealps[[#This Row],[DEAL_ID]],Ref!N:N,Ref!Q:Q,0,0)</f>
        <v>0</v>
      </c>
      <c r="Z41" s="25" t="str">
        <f>IF(Dealps[[#This Row],[CPTY_CODE]]=Dealps[[#This Row],[CPTY_CODE_ISSUER]],"Yes","No")</f>
        <v>No</v>
      </c>
      <c r="AA41" s="25"/>
      <c r="AC41" s="14"/>
      <c r="AG41" s="96"/>
      <c r="AH41" s="14"/>
      <c r="AI41"/>
      <c r="AN41" s="14"/>
      <c r="AV41" s="36"/>
      <c r="AW41" s="14"/>
      <c r="AX41" s="234"/>
      <c r="AY41" s="96"/>
      <c r="AZ41" s="14"/>
      <c r="BA41"/>
      <c r="BB41" s="93">
        <v>46262</v>
      </c>
      <c r="BC41">
        <v>1604</v>
      </c>
      <c r="BD41" s="56" t="s">
        <v>1014</v>
      </c>
      <c r="BE41" t="s">
        <v>1011</v>
      </c>
      <c r="BF41" t="s">
        <v>1015</v>
      </c>
      <c r="BG41" t="s">
        <v>364</v>
      </c>
      <c r="BH41" t="s">
        <v>1013</v>
      </c>
      <c r="BI41" t="s">
        <v>311</v>
      </c>
      <c r="BJ41" s="93">
        <v>45735</v>
      </c>
      <c r="BK41" s="93">
        <v>45735</v>
      </c>
      <c r="BL41" s="93">
        <v>45735</v>
      </c>
      <c r="BM41" s="93">
        <v>46443</v>
      </c>
      <c r="BN41" s="14">
        <v>1</v>
      </c>
      <c r="BO41" s="14">
        <v>10000000000</v>
      </c>
      <c r="BP41" s="56">
        <v>100</v>
      </c>
      <c r="BQ41" s="56">
        <v>0</v>
      </c>
      <c r="BR41" s="14">
        <v>10027123288</v>
      </c>
      <c r="BS41">
        <v>4.4878280000000004</v>
      </c>
      <c r="BT41" t="s">
        <v>1184</v>
      </c>
      <c r="BU41" s="25">
        <f>_xlfn.XLOOKUP(Dealps_MSB[[#This Row],[DEAL_ID]],Ref!V:V,Ref!X:X,0,0)</f>
        <v>0</v>
      </c>
      <c r="BV41"/>
    </row>
    <row r="42" spans="1:74" x14ac:dyDescent="0.3">
      <c r="A42" s="93">
        <v>46262</v>
      </c>
      <c r="B42">
        <v>44849</v>
      </c>
      <c r="C42" s="56" t="s">
        <v>37</v>
      </c>
      <c r="D42" t="s">
        <v>322</v>
      </c>
      <c r="E42" t="s">
        <v>335</v>
      </c>
      <c r="F42" t="s">
        <v>35</v>
      </c>
      <c r="G42" t="s">
        <v>310</v>
      </c>
      <c r="H42" t="s">
        <v>311</v>
      </c>
      <c r="I42" s="93">
        <v>45629</v>
      </c>
      <c r="J42" s="93">
        <v>45629</v>
      </c>
      <c r="K42" s="93">
        <v>45629</v>
      </c>
      <c r="L42" s="93">
        <v>46566</v>
      </c>
      <c r="M42" s="14">
        <v>1000</v>
      </c>
      <c r="N42" s="14">
        <v>1000000000000</v>
      </c>
      <c r="O42" s="56">
        <v>99.999999950000003</v>
      </c>
      <c r="P42" s="56">
        <v>2</v>
      </c>
      <c r="Q42" s="14">
        <v>1023375342000</v>
      </c>
      <c r="R42">
        <v>5.3851366440000001</v>
      </c>
      <c r="S42" t="s">
        <v>1184</v>
      </c>
      <c r="T42" s="57">
        <f>IF(Dealps[[#This Row],[MATURITY_DATE]]-Dealps[[#This Row],[POSTED_DT]]&lt;0,0,IF(Dealps[[#This Row],[VALUE_DATE]]-Dealps[[#This Row],[POSTED_DT]]&gt;0,Dealps[[#This Row],[MATURITY_DATE]]-Dealps[[#This Row],[VALUE_DATE]],Dealps[[#This Row],[MATURITY_DATE]]-Dealps[[#This Row],[POSTED_DT]]))</f>
        <v>304</v>
      </c>
      <c r="U42" s="25">
        <f>IF(Dealps[[#This Row],[TENOR]]=0,0,IF(Dealps[[#This Row],[DEAL_TYPE]]="B",Dealps[[#This Row],[FACE_AMOUNT]],-Dealps[[#This Row],[FACE_AMOUNT]]))</f>
        <v>-1000000000000</v>
      </c>
      <c r="V42" s="25">
        <f>_xlfn.XLOOKUP(Dealps[[#This Row],[PAPER_CODE]],FNRP!D:D,FNRP!H:H,0,0)/100*Dealps[[#This Row],[AMOUNT]]</f>
        <v>0</v>
      </c>
      <c r="W42" s="57" t="str">
        <f>IF(Dealps[[#This Row],[TRANSACTION_STATUS]]&lt;&gt;"V","Ngoai BS",IF(Dealps[[#This Row],[POSTED_DT]]&gt;=Dealps[[#This Row],[VALUE_DATE]],"On BS","Off BS"))</f>
        <v>On BS</v>
      </c>
      <c r="X42" s="25">
        <f>SUMIFS(U:U,C:C,Dealps[[#This Row],[PAPER_CODE]])</f>
        <v>0</v>
      </c>
      <c r="Y42" s="25">
        <f>_xlfn.XLOOKUP(Dealps[[#This Row],[DEAL_ID]],Ref!N:N,Ref!Q:Q,0,0)</f>
        <v>0</v>
      </c>
      <c r="Z42" s="25" t="str">
        <f>IF(Dealps[[#This Row],[CPTY_CODE]]=Dealps[[#This Row],[CPTY_CODE_ISSUER]],"Yes","No")</f>
        <v>No</v>
      </c>
      <c r="AA42" s="25"/>
      <c r="AC42" s="14"/>
      <c r="AG42" s="96"/>
      <c r="AH42" s="14"/>
      <c r="AI42"/>
      <c r="AN42" s="14"/>
      <c r="AV42" s="36"/>
      <c r="AW42" s="14"/>
      <c r="AX42" s="234"/>
      <c r="AY42" s="96"/>
      <c r="AZ42" s="14"/>
      <c r="BA42"/>
      <c r="BB42" s="93">
        <v>46262</v>
      </c>
      <c r="BC42">
        <v>1626</v>
      </c>
      <c r="BD42" s="56" t="s">
        <v>1014</v>
      </c>
      <c r="BE42" t="s">
        <v>1011</v>
      </c>
      <c r="BF42" t="s">
        <v>1015</v>
      </c>
      <c r="BG42" t="s">
        <v>364</v>
      </c>
      <c r="BH42" t="s">
        <v>1013</v>
      </c>
      <c r="BI42" t="s">
        <v>311</v>
      </c>
      <c r="BJ42" s="93">
        <v>45737</v>
      </c>
      <c r="BK42" s="93">
        <v>45737</v>
      </c>
      <c r="BL42" s="93">
        <v>45737</v>
      </c>
      <c r="BM42" s="93">
        <v>46443</v>
      </c>
      <c r="BN42" s="14">
        <v>1</v>
      </c>
      <c r="BO42" s="14">
        <v>15000000000</v>
      </c>
      <c r="BP42" s="56">
        <v>100</v>
      </c>
      <c r="BQ42" s="56">
        <v>0</v>
      </c>
      <c r="BR42" s="14">
        <v>15044383562</v>
      </c>
      <c r="BS42">
        <v>4.4867239999999997</v>
      </c>
      <c r="BT42" t="s">
        <v>1184</v>
      </c>
      <c r="BU42" s="25">
        <f>_xlfn.XLOOKUP(Dealps_MSB[[#This Row],[DEAL_ID]],Ref!V:V,Ref!X:X,0,0)</f>
        <v>0</v>
      </c>
      <c r="BV42"/>
    </row>
    <row r="43" spans="1:74" x14ac:dyDescent="0.3">
      <c r="A43" s="93">
        <v>46262</v>
      </c>
      <c r="B43">
        <v>44856</v>
      </c>
      <c r="C43" s="56" t="s">
        <v>37</v>
      </c>
      <c r="D43" t="s">
        <v>322</v>
      </c>
      <c r="E43" t="s">
        <v>335</v>
      </c>
      <c r="F43" t="s">
        <v>35</v>
      </c>
      <c r="G43" t="s">
        <v>310</v>
      </c>
      <c r="H43" t="s">
        <v>311</v>
      </c>
      <c r="I43" s="93">
        <v>45629</v>
      </c>
      <c r="J43" s="93">
        <v>45631</v>
      </c>
      <c r="K43" s="93">
        <v>45631</v>
      </c>
      <c r="L43" s="93">
        <v>46566</v>
      </c>
      <c r="M43" s="14">
        <v>500</v>
      </c>
      <c r="N43" s="14">
        <v>500000000000</v>
      </c>
      <c r="O43" s="56">
        <v>100</v>
      </c>
      <c r="P43" s="56">
        <v>2</v>
      </c>
      <c r="Q43" s="14">
        <v>511835616500</v>
      </c>
      <c r="R43">
        <v>5.3850629589999999</v>
      </c>
      <c r="S43" t="s">
        <v>1184</v>
      </c>
      <c r="T43" s="57">
        <f>IF(Dealps[[#This Row],[MATURITY_DATE]]-Dealps[[#This Row],[POSTED_DT]]&lt;0,0,IF(Dealps[[#This Row],[VALUE_DATE]]-Dealps[[#This Row],[POSTED_DT]]&gt;0,Dealps[[#This Row],[MATURITY_DATE]]-Dealps[[#This Row],[VALUE_DATE]],Dealps[[#This Row],[MATURITY_DATE]]-Dealps[[#This Row],[POSTED_DT]]))</f>
        <v>304</v>
      </c>
      <c r="U43" s="25">
        <f>IF(Dealps[[#This Row],[TENOR]]=0,0,IF(Dealps[[#This Row],[DEAL_TYPE]]="B",Dealps[[#This Row],[FACE_AMOUNT]],-Dealps[[#This Row],[FACE_AMOUNT]]))</f>
        <v>-500000000000</v>
      </c>
      <c r="V43" s="25">
        <f>_xlfn.XLOOKUP(Dealps[[#This Row],[PAPER_CODE]],FNRP!D:D,FNRP!H:H,0,0)/100*Dealps[[#This Row],[AMOUNT]]</f>
        <v>0</v>
      </c>
      <c r="W43" s="57" t="str">
        <f>IF(Dealps[[#This Row],[TRANSACTION_STATUS]]&lt;&gt;"V","Ngoai BS",IF(Dealps[[#This Row],[POSTED_DT]]&gt;=Dealps[[#This Row],[VALUE_DATE]],"On BS","Off BS"))</f>
        <v>On BS</v>
      </c>
      <c r="X43" s="25">
        <f>SUMIFS(U:U,C:C,Dealps[[#This Row],[PAPER_CODE]])</f>
        <v>0</v>
      </c>
      <c r="Y43" s="25">
        <f>_xlfn.XLOOKUP(Dealps[[#This Row],[DEAL_ID]],Ref!N:N,Ref!Q:Q,0,0)</f>
        <v>0</v>
      </c>
      <c r="Z43" s="25" t="str">
        <f>IF(Dealps[[#This Row],[CPTY_CODE]]=Dealps[[#This Row],[CPTY_CODE_ISSUER]],"Yes","No")</f>
        <v>No</v>
      </c>
      <c r="AA43" s="25"/>
      <c r="AC43" s="14"/>
      <c r="AG43" s="96"/>
      <c r="AH43" s="14"/>
      <c r="AI43"/>
      <c r="AN43" s="14"/>
      <c r="AV43" s="36"/>
      <c r="AW43" s="14"/>
      <c r="AX43" s="234"/>
      <c r="AY43" s="96"/>
      <c r="AZ43" s="14"/>
      <c r="BA43"/>
      <c r="BB43" s="93">
        <v>46262</v>
      </c>
      <c r="BC43">
        <v>1627</v>
      </c>
      <c r="BD43" s="56" t="s">
        <v>1014</v>
      </c>
      <c r="BE43" t="s">
        <v>1011</v>
      </c>
      <c r="BF43" t="s">
        <v>1015</v>
      </c>
      <c r="BG43" t="s">
        <v>364</v>
      </c>
      <c r="BH43" t="s">
        <v>1013</v>
      </c>
      <c r="BI43" t="s">
        <v>311</v>
      </c>
      <c r="BJ43" s="93">
        <v>45737</v>
      </c>
      <c r="BK43" s="93">
        <v>45737</v>
      </c>
      <c r="BL43" s="93">
        <v>45737</v>
      </c>
      <c r="BM43" s="93">
        <v>46443</v>
      </c>
      <c r="BN43" s="14">
        <v>1</v>
      </c>
      <c r="BO43" s="14">
        <v>15000000000</v>
      </c>
      <c r="BP43" s="56">
        <v>100</v>
      </c>
      <c r="BQ43" s="56">
        <v>0</v>
      </c>
      <c r="BR43" s="14">
        <v>15044383562</v>
      </c>
      <c r="BS43">
        <v>4.4867239999999997</v>
      </c>
      <c r="BT43" t="s">
        <v>1184</v>
      </c>
      <c r="BU43" s="25">
        <f>_xlfn.XLOOKUP(Dealps_MSB[[#This Row],[DEAL_ID]],Ref!V:V,Ref!X:X,0,0)</f>
        <v>0</v>
      </c>
      <c r="BV43"/>
    </row>
    <row r="44" spans="1:74" x14ac:dyDescent="0.3">
      <c r="A44" s="93">
        <v>46262</v>
      </c>
      <c r="B44">
        <v>44857</v>
      </c>
      <c r="C44" s="56" t="s">
        <v>37</v>
      </c>
      <c r="D44" t="s">
        <v>322</v>
      </c>
      <c r="E44" t="s">
        <v>335</v>
      </c>
      <c r="F44" t="s">
        <v>35</v>
      </c>
      <c r="G44" t="s">
        <v>310</v>
      </c>
      <c r="H44" t="s">
        <v>311</v>
      </c>
      <c r="I44" s="93">
        <v>45629</v>
      </c>
      <c r="J44" s="93">
        <v>45631</v>
      </c>
      <c r="K44" s="93">
        <v>45631</v>
      </c>
      <c r="L44" s="93">
        <v>46566</v>
      </c>
      <c r="M44" s="14">
        <v>500</v>
      </c>
      <c r="N44" s="14">
        <v>500000000000</v>
      </c>
      <c r="O44" s="56">
        <v>100</v>
      </c>
      <c r="P44" s="56">
        <v>2</v>
      </c>
      <c r="Q44" s="14">
        <v>511835616500</v>
      </c>
      <c r="R44">
        <v>5.3850629589999999</v>
      </c>
      <c r="S44" t="s">
        <v>1184</v>
      </c>
      <c r="T44" s="57">
        <f>IF(Dealps[[#This Row],[MATURITY_DATE]]-Dealps[[#This Row],[POSTED_DT]]&lt;0,0,IF(Dealps[[#This Row],[VALUE_DATE]]-Dealps[[#This Row],[POSTED_DT]]&gt;0,Dealps[[#This Row],[MATURITY_DATE]]-Dealps[[#This Row],[VALUE_DATE]],Dealps[[#This Row],[MATURITY_DATE]]-Dealps[[#This Row],[POSTED_DT]]))</f>
        <v>304</v>
      </c>
      <c r="U44" s="25">
        <f>IF(Dealps[[#This Row],[TENOR]]=0,0,IF(Dealps[[#This Row],[DEAL_TYPE]]="B",Dealps[[#This Row],[FACE_AMOUNT]],-Dealps[[#This Row],[FACE_AMOUNT]]))</f>
        <v>-500000000000</v>
      </c>
      <c r="V44" s="25">
        <f>_xlfn.XLOOKUP(Dealps[[#This Row],[PAPER_CODE]],FNRP!D:D,FNRP!H:H,0,0)/100*Dealps[[#This Row],[AMOUNT]]</f>
        <v>0</v>
      </c>
      <c r="W44" s="57" t="str">
        <f>IF(Dealps[[#This Row],[TRANSACTION_STATUS]]&lt;&gt;"V","Ngoai BS",IF(Dealps[[#This Row],[POSTED_DT]]&gt;=Dealps[[#This Row],[VALUE_DATE]],"On BS","Off BS"))</f>
        <v>On BS</v>
      </c>
      <c r="X44" s="25">
        <f>SUMIFS(U:U,C:C,Dealps[[#This Row],[PAPER_CODE]])</f>
        <v>0</v>
      </c>
      <c r="Y44" s="25">
        <f>_xlfn.XLOOKUP(Dealps[[#This Row],[DEAL_ID]],Ref!N:N,Ref!Q:Q,0,0)</f>
        <v>0</v>
      </c>
      <c r="Z44" s="25" t="str">
        <f>IF(Dealps[[#This Row],[CPTY_CODE]]=Dealps[[#This Row],[CPTY_CODE_ISSUER]],"Yes","No")</f>
        <v>No</v>
      </c>
      <c r="AA44" s="25"/>
      <c r="AC44" s="14"/>
      <c r="AG44" s="96"/>
      <c r="AH44" s="14"/>
      <c r="AI44"/>
      <c r="AN44" s="14"/>
      <c r="AV44" s="36"/>
      <c r="AW44" s="14"/>
      <c r="AX44" s="234"/>
      <c r="AY44" s="96"/>
      <c r="AZ44" s="14"/>
      <c r="BA44"/>
      <c r="BB44" s="93">
        <v>46262</v>
      </c>
      <c r="BC44">
        <v>1628</v>
      </c>
      <c r="BD44" s="56" t="s">
        <v>1014</v>
      </c>
      <c r="BE44" t="s">
        <v>1011</v>
      </c>
      <c r="BF44" t="s">
        <v>1015</v>
      </c>
      <c r="BG44" t="s">
        <v>364</v>
      </c>
      <c r="BH44" t="s">
        <v>1013</v>
      </c>
      <c r="BI44" t="s">
        <v>311</v>
      </c>
      <c r="BJ44" s="93">
        <v>45737</v>
      </c>
      <c r="BK44" s="93">
        <v>45737</v>
      </c>
      <c r="BL44" s="93">
        <v>45737</v>
      </c>
      <c r="BM44" s="93">
        <v>46443</v>
      </c>
      <c r="BN44" s="14">
        <v>1</v>
      </c>
      <c r="BO44" s="14">
        <v>8000000000</v>
      </c>
      <c r="BP44" s="56">
        <v>100</v>
      </c>
      <c r="BQ44" s="56">
        <v>0</v>
      </c>
      <c r="BR44" s="14">
        <v>8023671233.000001</v>
      </c>
      <c r="BS44">
        <v>4.4867239999999997</v>
      </c>
      <c r="BT44" t="s">
        <v>1184</v>
      </c>
      <c r="BU44" s="25">
        <f>_xlfn.XLOOKUP(Dealps_MSB[[#This Row],[DEAL_ID]],Ref!V:V,Ref!X:X,0,0)</f>
        <v>0</v>
      </c>
      <c r="BV44"/>
    </row>
    <row r="45" spans="1:74" x14ac:dyDescent="0.3">
      <c r="A45" s="93">
        <v>46262</v>
      </c>
      <c r="B45">
        <v>44860</v>
      </c>
      <c r="C45" s="56" t="s">
        <v>37</v>
      </c>
      <c r="D45" t="s">
        <v>322</v>
      </c>
      <c r="E45" t="s">
        <v>335</v>
      </c>
      <c r="F45" t="s">
        <v>35</v>
      </c>
      <c r="G45" t="s">
        <v>310</v>
      </c>
      <c r="H45" t="s">
        <v>300</v>
      </c>
      <c r="I45" s="93">
        <v>45630</v>
      </c>
      <c r="J45" s="93">
        <v>45630</v>
      </c>
      <c r="K45" s="93">
        <v>45692</v>
      </c>
      <c r="L45" s="93">
        <v>46566</v>
      </c>
      <c r="M45" s="14">
        <v>1000</v>
      </c>
      <c r="N45" s="14">
        <v>1000000000000</v>
      </c>
      <c r="O45" s="56">
        <v>100.057114559</v>
      </c>
      <c r="P45" s="56">
        <v>3</v>
      </c>
      <c r="Q45" s="14">
        <v>1033267036000</v>
      </c>
      <c r="R45">
        <v>5.3585494899999997</v>
      </c>
      <c r="S45" t="s">
        <v>1184</v>
      </c>
      <c r="T45" s="57">
        <f>IF(Dealps[[#This Row],[MATURITY_DATE]]-Dealps[[#This Row],[POSTED_DT]]&lt;0,0,IF(Dealps[[#This Row],[VALUE_DATE]]-Dealps[[#This Row],[POSTED_DT]]&gt;0,Dealps[[#This Row],[MATURITY_DATE]]-Dealps[[#This Row],[VALUE_DATE]],Dealps[[#This Row],[MATURITY_DATE]]-Dealps[[#This Row],[POSTED_DT]]))</f>
        <v>304</v>
      </c>
      <c r="U45" s="25">
        <f>IF(Dealps[[#This Row],[TENOR]]=0,0,IF(Dealps[[#This Row],[DEAL_TYPE]]="B",Dealps[[#This Row],[FACE_AMOUNT]],-Dealps[[#This Row],[FACE_AMOUNT]]))</f>
        <v>1000000000000</v>
      </c>
      <c r="V45" s="25">
        <f>_xlfn.XLOOKUP(Dealps[[#This Row],[PAPER_CODE]],FNRP!D:D,FNRP!H:H,0,0)/100*Dealps[[#This Row],[AMOUNT]]</f>
        <v>0</v>
      </c>
      <c r="W45" s="57" t="str">
        <f>IF(Dealps[[#This Row],[TRANSACTION_STATUS]]&lt;&gt;"V","Ngoai BS",IF(Dealps[[#This Row],[POSTED_DT]]&gt;=Dealps[[#This Row],[VALUE_DATE]],"On BS","Off BS"))</f>
        <v>On BS</v>
      </c>
      <c r="X45" s="25">
        <f>SUMIFS(U:U,C:C,Dealps[[#This Row],[PAPER_CODE]])</f>
        <v>0</v>
      </c>
      <c r="Y45" s="25">
        <f>_xlfn.XLOOKUP(Dealps[[#This Row],[DEAL_ID]],Ref!N:N,Ref!Q:Q,0,0)</f>
        <v>0</v>
      </c>
      <c r="Z45" s="25" t="str">
        <f>IF(Dealps[[#This Row],[CPTY_CODE]]=Dealps[[#This Row],[CPTY_CODE_ISSUER]],"Yes","No")</f>
        <v>No</v>
      </c>
      <c r="AA45" s="25"/>
      <c r="AC45" s="14"/>
      <c r="AG45" s="96"/>
      <c r="AH45" s="14"/>
      <c r="AI45"/>
      <c r="AN45" s="14"/>
      <c r="AV45" s="36"/>
      <c r="AW45" s="14"/>
      <c r="AX45" s="234"/>
      <c r="AY45" s="96"/>
      <c r="AZ45" s="14"/>
      <c r="BA45"/>
      <c r="BB45" s="93">
        <v>46262</v>
      </c>
      <c r="BC45">
        <v>1709</v>
      </c>
      <c r="BD45" s="56" t="s">
        <v>1016</v>
      </c>
      <c r="BE45" t="s">
        <v>1011</v>
      </c>
      <c r="BF45" t="s">
        <v>1015</v>
      </c>
      <c r="BG45" t="s">
        <v>364</v>
      </c>
      <c r="BH45" t="s">
        <v>1013</v>
      </c>
      <c r="BI45" t="s">
        <v>311</v>
      </c>
      <c r="BJ45" s="93">
        <v>45750</v>
      </c>
      <c r="BK45" s="93">
        <v>45751</v>
      </c>
      <c r="BL45" s="93">
        <v>45751</v>
      </c>
      <c r="BM45" s="93">
        <v>46480</v>
      </c>
      <c r="BN45" s="14">
        <v>1</v>
      </c>
      <c r="BO45" s="14">
        <v>10000000000</v>
      </c>
      <c r="BP45" s="56">
        <v>100</v>
      </c>
      <c r="BQ45" s="56">
        <v>0</v>
      </c>
      <c r="BR45" s="14">
        <v>10001369863</v>
      </c>
      <c r="BS45">
        <v>4.9856369999999997</v>
      </c>
      <c r="BT45" t="s">
        <v>1184</v>
      </c>
      <c r="BU45" s="25">
        <f>_xlfn.XLOOKUP(Dealps_MSB[[#This Row],[DEAL_ID]],Ref!V:V,Ref!X:X,0,0)</f>
        <v>0</v>
      </c>
      <c r="BV45"/>
    </row>
    <row r="46" spans="1:74" x14ac:dyDescent="0.3">
      <c r="A46" s="93">
        <v>46262</v>
      </c>
      <c r="B46">
        <v>44868</v>
      </c>
      <c r="C46" s="56" t="s">
        <v>256</v>
      </c>
      <c r="D46" t="s">
        <v>315</v>
      </c>
      <c r="E46" t="s">
        <v>327</v>
      </c>
      <c r="F46" t="s">
        <v>35</v>
      </c>
      <c r="G46" t="s">
        <v>310</v>
      </c>
      <c r="H46" t="s">
        <v>300</v>
      </c>
      <c r="I46" s="93">
        <v>45631</v>
      </c>
      <c r="J46" s="93">
        <v>45635</v>
      </c>
      <c r="K46" s="93">
        <v>45635</v>
      </c>
      <c r="L46" s="93">
        <v>46591</v>
      </c>
      <c r="M46" s="14">
        <v>3000</v>
      </c>
      <c r="N46" s="14">
        <v>300000000000</v>
      </c>
      <c r="O46" s="56">
        <v>100.14652055000001</v>
      </c>
      <c r="P46" s="56">
        <v>2</v>
      </c>
      <c r="Q46" s="14">
        <v>306666000000</v>
      </c>
      <c r="R46">
        <v>5.374461846</v>
      </c>
      <c r="S46" t="s">
        <v>1184</v>
      </c>
      <c r="T46" s="57">
        <f>IF(Dealps[[#This Row],[MATURITY_DATE]]-Dealps[[#This Row],[POSTED_DT]]&lt;0,0,IF(Dealps[[#This Row],[VALUE_DATE]]-Dealps[[#This Row],[POSTED_DT]]&gt;0,Dealps[[#This Row],[MATURITY_DATE]]-Dealps[[#This Row],[VALUE_DATE]],Dealps[[#This Row],[MATURITY_DATE]]-Dealps[[#This Row],[POSTED_DT]]))</f>
        <v>329</v>
      </c>
      <c r="U46" s="25">
        <f>IF(Dealps[[#This Row],[TENOR]]=0,0,IF(Dealps[[#This Row],[DEAL_TYPE]]="B",Dealps[[#This Row],[FACE_AMOUNT]],-Dealps[[#This Row],[FACE_AMOUNT]]))</f>
        <v>300000000000</v>
      </c>
      <c r="V46" s="25">
        <f>_xlfn.XLOOKUP(Dealps[[#This Row],[PAPER_CODE]],FNRP!D:D,FNRP!H:H,0,0)/100*Dealps[[#This Row],[AMOUNT]]</f>
        <v>0</v>
      </c>
      <c r="W46" s="57" t="str">
        <f>IF(Dealps[[#This Row],[TRANSACTION_STATUS]]&lt;&gt;"V","Ngoai BS",IF(Dealps[[#This Row],[POSTED_DT]]&gt;=Dealps[[#This Row],[VALUE_DATE]],"On BS","Off BS"))</f>
        <v>On BS</v>
      </c>
      <c r="X46" s="25">
        <f>SUMIFS(U:U,C:C,Dealps[[#This Row],[PAPER_CODE]])</f>
        <v>0</v>
      </c>
      <c r="Y46" s="25">
        <f>_xlfn.XLOOKUP(Dealps[[#This Row],[DEAL_ID]],Ref!N:N,Ref!Q:Q,0,0)</f>
        <v>0</v>
      </c>
      <c r="Z46" s="25" t="str">
        <f>IF(Dealps[[#This Row],[CPTY_CODE]]=Dealps[[#This Row],[CPTY_CODE_ISSUER]],"Yes","No")</f>
        <v>No</v>
      </c>
      <c r="AA46" s="25"/>
      <c r="AC46" s="14"/>
      <c r="AG46" s="96"/>
      <c r="AH46" s="14"/>
      <c r="AI46"/>
      <c r="AN46" s="14"/>
      <c r="AV46" s="36"/>
      <c r="AW46" s="14"/>
      <c r="AX46" s="234"/>
      <c r="AY46" s="96"/>
      <c r="AZ46" s="14"/>
      <c r="BA46"/>
      <c r="BB46" s="93">
        <v>46262</v>
      </c>
      <c r="BC46">
        <v>1722</v>
      </c>
      <c r="BD46" s="56" t="s">
        <v>1016</v>
      </c>
      <c r="BE46" t="s">
        <v>1011</v>
      </c>
      <c r="BF46" t="s">
        <v>1015</v>
      </c>
      <c r="BG46" t="s">
        <v>364</v>
      </c>
      <c r="BH46" t="s">
        <v>1013</v>
      </c>
      <c r="BI46" t="s">
        <v>311</v>
      </c>
      <c r="BJ46" s="93">
        <v>45755</v>
      </c>
      <c r="BK46" s="93">
        <v>45755</v>
      </c>
      <c r="BL46" s="93">
        <v>45755</v>
      </c>
      <c r="BM46" s="93">
        <v>46480</v>
      </c>
      <c r="BN46" s="14">
        <v>1</v>
      </c>
      <c r="BO46" s="14">
        <v>10000000000</v>
      </c>
      <c r="BP46" s="56">
        <v>100</v>
      </c>
      <c r="BQ46" s="56">
        <v>0</v>
      </c>
      <c r="BR46" s="14">
        <v>10006849315</v>
      </c>
      <c r="BS46">
        <v>4.9828320000000001</v>
      </c>
      <c r="BT46" t="s">
        <v>1184</v>
      </c>
      <c r="BU46" s="25">
        <f>_xlfn.XLOOKUP(Dealps_MSB[[#This Row],[DEAL_ID]],Ref!V:V,Ref!X:X,0,0)</f>
        <v>0</v>
      </c>
      <c r="BV46"/>
    </row>
    <row r="47" spans="1:74" x14ac:dyDescent="0.3">
      <c r="A47" s="93">
        <v>46262</v>
      </c>
      <c r="B47">
        <v>44869</v>
      </c>
      <c r="C47" s="56" t="s">
        <v>256</v>
      </c>
      <c r="D47" t="s">
        <v>315</v>
      </c>
      <c r="E47" t="s">
        <v>327</v>
      </c>
      <c r="F47" t="s">
        <v>35</v>
      </c>
      <c r="G47" t="s">
        <v>310</v>
      </c>
      <c r="H47" t="s">
        <v>300</v>
      </c>
      <c r="I47" s="93">
        <v>45631</v>
      </c>
      <c r="J47" s="93">
        <v>45635</v>
      </c>
      <c r="K47" s="93">
        <v>45635</v>
      </c>
      <c r="L47" s="93">
        <v>46591</v>
      </c>
      <c r="M47" s="14">
        <v>3000</v>
      </c>
      <c r="N47" s="14">
        <v>300000000000</v>
      </c>
      <c r="O47" s="56">
        <v>100.14652055000001</v>
      </c>
      <c r="P47" s="56">
        <v>2</v>
      </c>
      <c r="Q47" s="14">
        <v>306666000000</v>
      </c>
      <c r="R47">
        <v>5.374461846</v>
      </c>
      <c r="S47" t="s">
        <v>1184</v>
      </c>
      <c r="T47" s="57">
        <f>IF(Dealps[[#This Row],[MATURITY_DATE]]-Dealps[[#This Row],[POSTED_DT]]&lt;0,0,IF(Dealps[[#This Row],[VALUE_DATE]]-Dealps[[#This Row],[POSTED_DT]]&gt;0,Dealps[[#This Row],[MATURITY_DATE]]-Dealps[[#This Row],[VALUE_DATE]],Dealps[[#This Row],[MATURITY_DATE]]-Dealps[[#This Row],[POSTED_DT]]))</f>
        <v>329</v>
      </c>
      <c r="U47" s="25">
        <f>IF(Dealps[[#This Row],[TENOR]]=0,0,IF(Dealps[[#This Row],[DEAL_TYPE]]="B",Dealps[[#This Row],[FACE_AMOUNT]],-Dealps[[#This Row],[FACE_AMOUNT]]))</f>
        <v>300000000000</v>
      </c>
      <c r="V47" s="25">
        <f>_xlfn.XLOOKUP(Dealps[[#This Row],[PAPER_CODE]],FNRP!D:D,FNRP!H:H,0,0)/100*Dealps[[#This Row],[AMOUNT]]</f>
        <v>0</v>
      </c>
      <c r="W47" s="57" t="str">
        <f>IF(Dealps[[#This Row],[TRANSACTION_STATUS]]&lt;&gt;"V","Ngoai BS",IF(Dealps[[#This Row],[POSTED_DT]]&gt;=Dealps[[#This Row],[VALUE_DATE]],"On BS","Off BS"))</f>
        <v>On BS</v>
      </c>
      <c r="X47" s="25">
        <f>SUMIFS(U:U,C:C,Dealps[[#This Row],[PAPER_CODE]])</f>
        <v>0</v>
      </c>
      <c r="Y47" s="25">
        <f>_xlfn.XLOOKUP(Dealps[[#This Row],[DEAL_ID]],Ref!N:N,Ref!Q:Q,0,0)</f>
        <v>0</v>
      </c>
      <c r="Z47" s="25" t="str">
        <f>IF(Dealps[[#This Row],[CPTY_CODE]]=Dealps[[#This Row],[CPTY_CODE_ISSUER]],"Yes","No")</f>
        <v>No</v>
      </c>
      <c r="AA47" s="25"/>
      <c r="AC47" s="14"/>
      <c r="AG47" s="96"/>
      <c r="AH47" s="14"/>
      <c r="AI47"/>
      <c r="AN47" s="14"/>
      <c r="AV47" s="36"/>
      <c r="AW47" s="14"/>
      <c r="AX47" s="234"/>
      <c r="AY47" s="96"/>
      <c r="AZ47" s="14"/>
      <c r="BA47"/>
      <c r="BB47" s="93">
        <v>46262</v>
      </c>
      <c r="BC47">
        <v>1726</v>
      </c>
      <c r="BD47" s="56" t="s">
        <v>1016</v>
      </c>
      <c r="BE47" t="s">
        <v>1011</v>
      </c>
      <c r="BF47" t="s">
        <v>1015</v>
      </c>
      <c r="BG47" t="s">
        <v>364</v>
      </c>
      <c r="BH47" t="s">
        <v>1013</v>
      </c>
      <c r="BI47" t="s">
        <v>311</v>
      </c>
      <c r="BJ47" s="93">
        <v>45755</v>
      </c>
      <c r="BK47" s="93">
        <v>45758</v>
      </c>
      <c r="BL47" s="93">
        <v>45758</v>
      </c>
      <c r="BM47" s="93">
        <v>46480</v>
      </c>
      <c r="BN47" s="14">
        <v>1</v>
      </c>
      <c r="BO47" s="14">
        <v>10000000000</v>
      </c>
      <c r="BP47" s="56">
        <v>100</v>
      </c>
      <c r="BQ47" s="56">
        <v>0</v>
      </c>
      <c r="BR47" s="14">
        <v>10010958904</v>
      </c>
      <c r="BS47">
        <v>4.9807300000000003</v>
      </c>
      <c r="BT47" t="s">
        <v>1184</v>
      </c>
      <c r="BU47" s="25">
        <f>_xlfn.XLOOKUP(Dealps_MSB[[#This Row],[DEAL_ID]],Ref!V:V,Ref!X:X,0,0)</f>
        <v>0</v>
      </c>
      <c r="BV47"/>
    </row>
    <row r="48" spans="1:74" x14ac:dyDescent="0.3">
      <c r="A48" s="93">
        <v>46262</v>
      </c>
      <c r="B48">
        <v>44870</v>
      </c>
      <c r="C48" s="56" t="s">
        <v>257</v>
      </c>
      <c r="D48" t="s">
        <v>315</v>
      </c>
      <c r="E48" t="s">
        <v>327</v>
      </c>
      <c r="F48" t="s">
        <v>35</v>
      </c>
      <c r="G48" t="s">
        <v>310</v>
      </c>
      <c r="H48" t="s">
        <v>300</v>
      </c>
      <c r="I48" s="93">
        <v>45631</v>
      </c>
      <c r="J48" s="93">
        <v>45635</v>
      </c>
      <c r="K48" s="93">
        <v>45635</v>
      </c>
      <c r="L48" s="93">
        <v>46592</v>
      </c>
      <c r="M48" s="14">
        <v>1500</v>
      </c>
      <c r="N48" s="14">
        <v>150000000000</v>
      </c>
      <c r="O48" s="56">
        <v>100.14745207999999</v>
      </c>
      <c r="P48" s="56">
        <v>2</v>
      </c>
      <c r="Q48" s="14">
        <v>153312000000</v>
      </c>
      <c r="R48">
        <v>5.3741862600000001</v>
      </c>
      <c r="S48" t="s">
        <v>1184</v>
      </c>
      <c r="T48" s="57">
        <f>IF(Dealps[[#This Row],[MATURITY_DATE]]-Dealps[[#This Row],[POSTED_DT]]&lt;0,0,IF(Dealps[[#This Row],[VALUE_DATE]]-Dealps[[#This Row],[POSTED_DT]]&gt;0,Dealps[[#This Row],[MATURITY_DATE]]-Dealps[[#This Row],[VALUE_DATE]],Dealps[[#This Row],[MATURITY_DATE]]-Dealps[[#This Row],[POSTED_DT]]))</f>
        <v>330</v>
      </c>
      <c r="U48" s="25">
        <f>IF(Dealps[[#This Row],[TENOR]]=0,0,IF(Dealps[[#This Row],[DEAL_TYPE]]="B",Dealps[[#This Row],[FACE_AMOUNT]],-Dealps[[#This Row],[FACE_AMOUNT]]))</f>
        <v>150000000000</v>
      </c>
      <c r="V48" s="25">
        <f>_xlfn.XLOOKUP(Dealps[[#This Row],[PAPER_CODE]],FNRP!D:D,FNRP!H:H,0,0)/100*Dealps[[#This Row],[AMOUNT]]</f>
        <v>0</v>
      </c>
      <c r="W48" s="57" t="str">
        <f>IF(Dealps[[#This Row],[TRANSACTION_STATUS]]&lt;&gt;"V","Ngoai BS",IF(Dealps[[#This Row],[POSTED_DT]]&gt;=Dealps[[#This Row],[VALUE_DATE]],"On BS","Off BS"))</f>
        <v>On BS</v>
      </c>
      <c r="X48" s="25">
        <f>SUMIFS(U:U,C:C,Dealps[[#This Row],[PAPER_CODE]])</f>
        <v>0</v>
      </c>
      <c r="Y48" s="25">
        <f>_xlfn.XLOOKUP(Dealps[[#This Row],[DEAL_ID]],Ref!N:N,Ref!Q:Q,0,0)</f>
        <v>0</v>
      </c>
      <c r="Z48" s="25" t="str">
        <f>IF(Dealps[[#This Row],[CPTY_CODE]]=Dealps[[#This Row],[CPTY_CODE_ISSUER]],"Yes","No")</f>
        <v>No</v>
      </c>
      <c r="AA48" s="25"/>
      <c r="AC48" s="14"/>
      <c r="AG48" s="96"/>
      <c r="AH48" s="14"/>
      <c r="AI48"/>
      <c r="AN48" s="14"/>
      <c r="AV48" s="36"/>
      <c r="AW48" s="14"/>
      <c r="AX48" s="234"/>
      <c r="AY48" s="96"/>
      <c r="AZ48" s="14"/>
      <c r="BA48"/>
      <c r="BB48" s="93">
        <v>46262</v>
      </c>
      <c r="BC48">
        <v>1728</v>
      </c>
      <c r="BD48" s="56" t="s">
        <v>1016</v>
      </c>
      <c r="BE48" t="s">
        <v>1011</v>
      </c>
      <c r="BF48" t="s">
        <v>1015</v>
      </c>
      <c r="BG48" t="s">
        <v>364</v>
      </c>
      <c r="BH48" t="s">
        <v>1013</v>
      </c>
      <c r="BI48" t="s">
        <v>311</v>
      </c>
      <c r="BJ48" s="93">
        <v>45755</v>
      </c>
      <c r="BK48" s="93">
        <v>45758</v>
      </c>
      <c r="BL48" s="93">
        <v>45758</v>
      </c>
      <c r="BM48" s="93">
        <v>46480</v>
      </c>
      <c r="BN48" s="14">
        <v>1</v>
      </c>
      <c r="BO48" s="14">
        <v>10000000000</v>
      </c>
      <c r="BP48" s="56">
        <v>100</v>
      </c>
      <c r="BQ48" s="56">
        <v>0</v>
      </c>
      <c r="BR48" s="14">
        <v>10010958904</v>
      </c>
      <c r="BS48">
        <v>4.9807300000000003</v>
      </c>
      <c r="BT48" t="s">
        <v>1184</v>
      </c>
      <c r="BU48" s="25">
        <f>_xlfn.XLOOKUP(Dealps_MSB[[#This Row],[DEAL_ID]],Ref!V:V,Ref!X:X,0,0)</f>
        <v>0</v>
      </c>
      <c r="BV48"/>
    </row>
    <row r="49" spans="1:74" x14ac:dyDescent="0.3">
      <c r="A49" s="93">
        <v>46262</v>
      </c>
      <c r="B49">
        <v>44874</v>
      </c>
      <c r="C49" s="56" t="s">
        <v>257</v>
      </c>
      <c r="D49" t="s">
        <v>315</v>
      </c>
      <c r="E49" t="s">
        <v>327</v>
      </c>
      <c r="F49" t="s">
        <v>35</v>
      </c>
      <c r="G49" t="s">
        <v>310</v>
      </c>
      <c r="H49" t="s">
        <v>300</v>
      </c>
      <c r="I49" s="93">
        <v>45631</v>
      </c>
      <c r="J49" s="93">
        <v>45637</v>
      </c>
      <c r="K49" s="93">
        <v>45637</v>
      </c>
      <c r="L49" s="93">
        <v>46592</v>
      </c>
      <c r="M49" s="14">
        <v>3000</v>
      </c>
      <c r="N49" s="14">
        <v>300000000000</v>
      </c>
      <c r="O49" s="56">
        <v>100.14558904</v>
      </c>
      <c r="P49" s="56">
        <v>2</v>
      </c>
      <c r="Q49" s="14">
        <v>306708000000</v>
      </c>
      <c r="R49">
        <v>5.3747388389999999</v>
      </c>
      <c r="S49" t="s">
        <v>1184</v>
      </c>
      <c r="T49" s="57">
        <f>IF(Dealps[[#This Row],[MATURITY_DATE]]-Dealps[[#This Row],[POSTED_DT]]&lt;0,0,IF(Dealps[[#This Row],[VALUE_DATE]]-Dealps[[#This Row],[POSTED_DT]]&gt;0,Dealps[[#This Row],[MATURITY_DATE]]-Dealps[[#This Row],[VALUE_DATE]],Dealps[[#This Row],[MATURITY_DATE]]-Dealps[[#This Row],[POSTED_DT]]))</f>
        <v>330</v>
      </c>
      <c r="U49" s="25">
        <f>IF(Dealps[[#This Row],[TENOR]]=0,0,IF(Dealps[[#This Row],[DEAL_TYPE]]="B",Dealps[[#This Row],[FACE_AMOUNT]],-Dealps[[#This Row],[FACE_AMOUNT]]))</f>
        <v>300000000000</v>
      </c>
      <c r="V49" s="25">
        <f>_xlfn.XLOOKUP(Dealps[[#This Row],[PAPER_CODE]],FNRP!D:D,FNRP!H:H,0,0)/100*Dealps[[#This Row],[AMOUNT]]</f>
        <v>0</v>
      </c>
      <c r="W49" s="57" t="str">
        <f>IF(Dealps[[#This Row],[TRANSACTION_STATUS]]&lt;&gt;"V","Ngoai BS",IF(Dealps[[#This Row],[POSTED_DT]]&gt;=Dealps[[#This Row],[VALUE_DATE]],"On BS","Off BS"))</f>
        <v>On BS</v>
      </c>
      <c r="X49" s="25">
        <f>SUMIFS(U:U,C:C,Dealps[[#This Row],[PAPER_CODE]])</f>
        <v>0</v>
      </c>
      <c r="Y49" s="25">
        <f>_xlfn.XLOOKUP(Dealps[[#This Row],[DEAL_ID]],Ref!N:N,Ref!Q:Q,0,0)</f>
        <v>0</v>
      </c>
      <c r="Z49" s="25" t="str">
        <f>IF(Dealps[[#This Row],[CPTY_CODE]]=Dealps[[#This Row],[CPTY_CODE_ISSUER]],"Yes","No")</f>
        <v>No</v>
      </c>
      <c r="AA49" s="25"/>
      <c r="AC49" s="14"/>
      <c r="AG49" s="96"/>
      <c r="AH49" s="14"/>
      <c r="AI49"/>
      <c r="AN49" s="14"/>
      <c r="AV49" s="36"/>
      <c r="AW49" s="14"/>
      <c r="AX49" s="234"/>
      <c r="AY49" s="96"/>
      <c r="AZ49" s="14"/>
      <c r="BA49"/>
      <c r="BB49" s="93">
        <v>46262</v>
      </c>
      <c r="BC49">
        <v>1744</v>
      </c>
      <c r="BD49" s="56" t="s">
        <v>1016</v>
      </c>
      <c r="BE49" t="s">
        <v>1011</v>
      </c>
      <c r="BF49" t="s">
        <v>1015</v>
      </c>
      <c r="BG49" t="s">
        <v>364</v>
      </c>
      <c r="BH49" t="s">
        <v>1013</v>
      </c>
      <c r="BI49" t="s">
        <v>311</v>
      </c>
      <c r="BJ49" s="93">
        <v>45758</v>
      </c>
      <c r="BK49" s="93">
        <v>45758</v>
      </c>
      <c r="BL49" s="93">
        <v>45758</v>
      </c>
      <c r="BM49" s="93">
        <v>46480</v>
      </c>
      <c r="BN49" s="14">
        <v>1</v>
      </c>
      <c r="BO49" s="14">
        <v>15000000000</v>
      </c>
      <c r="BP49" s="56">
        <v>100</v>
      </c>
      <c r="BQ49" s="56">
        <v>0</v>
      </c>
      <c r="BR49" s="14">
        <v>15016438356.000002</v>
      </c>
      <c r="BS49">
        <v>4.9807300000000003</v>
      </c>
      <c r="BT49" t="s">
        <v>1184</v>
      </c>
      <c r="BU49" s="25">
        <f>_xlfn.XLOOKUP(Dealps_MSB[[#This Row],[DEAL_ID]],Ref!V:V,Ref!X:X,0,0)</f>
        <v>0</v>
      </c>
      <c r="BV49"/>
    </row>
    <row r="50" spans="1:74" x14ac:dyDescent="0.3">
      <c r="A50" s="93">
        <v>46262</v>
      </c>
      <c r="B50">
        <v>44875</v>
      </c>
      <c r="C50" s="56" t="s">
        <v>259</v>
      </c>
      <c r="D50" t="s">
        <v>315</v>
      </c>
      <c r="E50" t="s">
        <v>327</v>
      </c>
      <c r="F50" t="s">
        <v>35</v>
      </c>
      <c r="G50" t="s">
        <v>310</v>
      </c>
      <c r="H50" t="s">
        <v>300</v>
      </c>
      <c r="I50" s="93">
        <v>45631</v>
      </c>
      <c r="J50" s="93">
        <v>45637</v>
      </c>
      <c r="K50" s="93">
        <v>45637</v>
      </c>
      <c r="L50" s="93">
        <v>46600</v>
      </c>
      <c r="M50" s="14">
        <v>3000</v>
      </c>
      <c r="N50" s="14">
        <v>300000000000</v>
      </c>
      <c r="O50" s="56">
        <v>100.1540411</v>
      </c>
      <c r="P50" s="56">
        <v>2</v>
      </c>
      <c r="Q50" s="14">
        <v>306375000000</v>
      </c>
      <c r="R50">
        <v>5.3721472720000003</v>
      </c>
      <c r="S50" t="s">
        <v>1184</v>
      </c>
      <c r="T50" s="57">
        <f>IF(Dealps[[#This Row],[MATURITY_DATE]]-Dealps[[#This Row],[POSTED_DT]]&lt;0,0,IF(Dealps[[#This Row],[VALUE_DATE]]-Dealps[[#This Row],[POSTED_DT]]&gt;0,Dealps[[#This Row],[MATURITY_DATE]]-Dealps[[#This Row],[VALUE_DATE]],Dealps[[#This Row],[MATURITY_DATE]]-Dealps[[#This Row],[POSTED_DT]]))</f>
        <v>338</v>
      </c>
      <c r="U50" s="25">
        <f>IF(Dealps[[#This Row],[TENOR]]=0,0,IF(Dealps[[#This Row],[DEAL_TYPE]]="B",Dealps[[#This Row],[FACE_AMOUNT]],-Dealps[[#This Row],[FACE_AMOUNT]]))</f>
        <v>300000000000</v>
      </c>
      <c r="V50" s="25">
        <f>_xlfn.XLOOKUP(Dealps[[#This Row],[PAPER_CODE]],FNRP!D:D,FNRP!H:H,0,0)/100*Dealps[[#This Row],[AMOUNT]]</f>
        <v>0</v>
      </c>
      <c r="W50" s="57" t="str">
        <f>IF(Dealps[[#This Row],[TRANSACTION_STATUS]]&lt;&gt;"V","Ngoai BS",IF(Dealps[[#This Row],[POSTED_DT]]&gt;=Dealps[[#This Row],[VALUE_DATE]],"On BS","Off BS"))</f>
        <v>On BS</v>
      </c>
      <c r="X50" s="25">
        <f>SUMIFS(U:U,C:C,Dealps[[#This Row],[PAPER_CODE]])</f>
        <v>0</v>
      </c>
      <c r="Y50" s="25">
        <f>_xlfn.XLOOKUP(Dealps[[#This Row],[DEAL_ID]],Ref!N:N,Ref!Q:Q,0,0)</f>
        <v>0</v>
      </c>
      <c r="Z50" s="25" t="str">
        <f>IF(Dealps[[#This Row],[CPTY_CODE]]=Dealps[[#This Row],[CPTY_CODE_ISSUER]],"Yes","No")</f>
        <v>No</v>
      </c>
      <c r="AA50" s="25"/>
      <c r="AC50" s="14"/>
      <c r="AG50" s="96"/>
      <c r="AH50" s="14"/>
      <c r="AI50"/>
      <c r="AN50" s="14"/>
      <c r="AV50" s="36"/>
      <c r="AW50" s="14"/>
      <c r="AX50" s="234"/>
      <c r="AY50" s="96"/>
      <c r="AZ50" s="14"/>
      <c r="BA50"/>
      <c r="BB50" s="93">
        <v>46262</v>
      </c>
      <c r="BC50">
        <v>1746</v>
      </c>
      <c r="BD50" s="56" t="s">
        <v>1016</v>
      </c>
      <c r="BE50" t="s">
        <v>1011</v>
      </c>
      <c r="BF50" t="s">
        <v>1015</v>
      </c>
      <c r="BG50" t="s">
        <v>364</v>
      </c>
      <c r="BH50" t="s">
        <v>1013</v>
      </c>
      <c r="BI50" t="s">
        <v>311</v>
      </c>
      <c r="BJ50" s="93">
        <v>45758</v>
      </c>
      <c r="BK50" s="93">
        <v>45758</v>
      </c>
      <c r="BL50" s="93">
        <v>45758</v>
      </c>
      <c r="BM50" s="93">
        <v>46480</v>
      </c>
      <c r="BN50" s="14">
        <v>1</v>
      </c>
      <c r="BO50" s="14">
        <v>10000000000</v>
      </c>
      <c r="BP50" s="56">
        <v>100</v>
      </c>
      <c r="BQ50" s="56">
        <v>0</v>
      </c>
      <c r="BR50" s="14">
        <v>10010958904</v>
      </c>
      <c r="BS50">
        <v>4.9807300000000003</v>
      </c>
      <c r="BT50" t="s">
        <v>1184</v>
      </c>
      <c r="BU50" s="25">
        <f>_xlfn.XLOOKUP(Dealps_MSB[[#This Row],[DEAL_ID]],Ref!V:V,Ref!X:X,0,0)</f>
        <v>0</v>
      </c>
      <c r="BV50"/>
    </row>
    <row r="51" spans="1:74" x14ac:dyDescent="0.3">
      <c r="A51" s="93">
        <v>46262</v>
      </c>
      <c r="B51">
        <v>44879</v>
      </c>
      <c r="C51" s="56" t="s">
        <v>259</v>
      </c>
      <c r="D51" t="s">
        <v>315</v>
      </c>
      <c r="E51" t="s">
        <v>327</v>
      </c>
      <c r="F51" t="s">
        <v>35</v>
      </c>
      <c r="G51" t="s">
        <v>310</v>
      </c>
      <c r="H51" t="s">
        <v>311</v>
      </c>
      <c r="I51" s="93">
        <v>45632</v>
      </c>
      <c r="J51" s="93">
        <v>45638</v>
      </c>
      <c r="K51" s="93">
        <v>45638</v>
      </c>
      <c r="L51" s="93">
        <v>46600</v>
      </c>
      <c r="M51" s="14">
        <v>3000</v>
      </c>
      <c r="N51" s="14">
        <v>300000000000</v>
      </c>
      <c r="O51" s="56">
        <v>100.1683256</v>
      </c>
      <c r="P51" s="56">
        <v>2</v>
      </c>
      <c r="Q51" s="14">
        <v>306462648000</v>
      </c>
      <c r="R51">
        <v>5.3660936939999999</v>
      </c>
      <c r="S51" t="s">
        <v>1184</v>
      </c>
      <c r="T51" s="57">
        <f>IF(Dealps[[#This Row],[MATURITY_DATE]]-Dealps[[#This Row],[POSTED_DT]]&lt;0,0,IF(Dealps[[#This Row],[VALUE_DATE]]-Dealps[[#This Row],[POSTED_DT]]&gt;0,Dealps[[#This Row],[MATURITY_DATE]]-Dealps[[#This Row],[VALUE_DATE]],Dealps[[#This Row],[MATURITY_DATE]]-Dealps[[#This Row],[POSTED_DT]]))</f>
        <v>338</v>
      </c>
      <c r="U51" s="25">
        <f>IF(Dealps[[#This Row],[TENOR]]=0,0,IF(Dealps[[#This Row],[DEAL_TYPE]]="B",Dealps[[#This Row],[FACE_AMOUNT]],-Dealps[[#This Row],[FACE_AMOUNT]]))</f>
        <v>-300000000000</v>
      </c>
      <c r="V51" s="25">
        <f>_xlfn.XLOOKUP(Dealps[[#This Row],[PAPER_CODE]],FNRP!D:D,FNRP!H:H,0,0)/100*Dealps[[#This Row],[AMOUNT]]</f>
        <v>0</v>
      </c>
      <c r="W51" s="57" t="str">
        <f>IF(Dealps[[#This Row],[TRANSACTION_STATUS]]&lt;&gt;"V","Ngoai BS",IF(Dealps[[#This Row],[POSTED_DT]]&gt;=Dealps[[#This Row],[VALUE_DATE]],"On BS","Off BS"))</f>
        <v>On BS</v>
      </c>
      <c r="X51" s="25">
        <f>SUMIFS(U:U,C:C,Dealps[[#This Row],[PAPER_CODE]])</f>
        <v>0</v>
      </c>
      <c r="Y51" s="25">
        <f>_xlfn.XLOOKUP(Dealps[[#This Row],[DEAL_ID]],Ref!N:N,Ref!Q:Q,0,0)</f>
        <v>0</v>
      </c>
      <c r="Z51" s="25" t="str">
        <f>IF(Dealps[[#This Row],[CPTY_CODE]]=Dealps[[#This Row],[CPTY_CODE_ISSUER]],"Yes","No")</f>
        <v>No</v>
      </c>
      <c r="AA51" s="25"/>
      <c r="AC51" s="14"/>
      <c r="AG51" s="96"/>
      <c r="AH51" s="14"/>
      <c r="AI51"/>
      <c r="AN51" s="14"/>
      <c r="AV51" s="36"/>
      <c r="AW51" s="14"/>
      <c r="AX51" s="234"/>
      <c r="AY51" s="96"/>
      <c r="AZ51" s="14"/>
      <c r="BA51"/>
      <c r="BB51" s="93">
        <v>46262</v>
      </c>
      <c r="BC51">
        <v>1749</v>
      </c>
      <c r="BD51" s="56" t="s">
        <v>1016</v>
      </c>
      <c r="BE51" t="s">
        <v>1011</v>
      </c>
      <c r="BF51" t="s">
        <v>1015</v>
      </c>
      <c r="BG51" t="s">
        <v>364</v>
      </c>
      <c r="BH51" t="s">
        <v>1013</v>
      </c>
      <c r="BI51" t="s">
        <v>311</v>
      </c>
      <c r="BJ51" s="93">
        <v>45761</v>
      </c>
      <c r="BK51" s="93">
        <v>45761</v>
      </c>
      <c r="BL51" s="93">
        <v>45761</v>
      </c>
      <c r="BM51" s="93">
        <v>46480</v>
      </c>
      <c r="BN51" s="14">
        <v>1</v>
      </c>
      <c r="BO51" s="14">
        <v>10000000000</v>
      </c>
      <c r="BP51" s="56">
        <v>100</v>
      </c>
      <c r="BQ51" s="56">
        <v>0</v>
      </c>
      <c r="BR51" s="14">
        <v>10015068493</v>
      </c>
      <c r="BS51">
        <v>4.9786279999999996</v>
      </c>
      <c r="BT51" t="s">
        <v>1184</v>
      </c>
      <c r="BU51" s="25">
        <f>_xlfn.XLOOKUP(Dealps_MSB[[#This Row],[DEAL_ID]],Ref!V:V,Ref!X:X,0,0)</f>
        <v>0</v>
      </c>
      <c r="BV51"/>
    </row>
    <row r="52" spans="1:74" x14ac:dyDescent="0.3">
      <c r="A52" s="93">
        <v>46262</v>
      </c>
      <c r="B52">
        <v>44880</v>
      </c>
      <c r="C52" s="56" t="s">
        <v>257</v>
      </c>
      <c r="D52" t="s">
        <v>315</v>
      </c>
      <c r="E52" t="s">
        <v>327</v>
      </c>
      <c r="F52" t="s">
        <v>35</v>
      </c>
      <c r="G52" t="s">
        <v>310</v>
      </c>
      <c r="H52" t="s">
        <v>311</v>
      </c>
      <c r="I52" s="93">
        <v>45632</v>
      </c>
      <c r="J52" s="93">
        <v>45636</v>
      </c>
      <c r="K52" s="93">
        <v>45636</v>
      </c>
      <c r="L52" s="93">
        <v>46592</v>
      </c>
      <c r="M52" s="14">
        <v>1500</v>
      </c>
      <c r="N52" s="14">
        <v>150000000000</v>
      </c>
      <c r="O52" s="56">
        <v>100.16176059999999</v>
      </c>
      <c r="P52" s="56">
        <v>2</v>
      </c>
      <c r="Q52" s="14">
        <v>153355860000</v>
      </c>
      <c r="R52">
        <v>5.3680943670000003</v>
      </c>
      <c r="S52" t="s">
        <v>1184</v>
      </c>
      <c r="T52" s="57">
        <f>IF(Dealps[[#This Row],[MATURITY_DATE]]-Dealps[[#This Row],[POSTED_DT]]&lt;0,0,IF(Dealps[[#This Row],[VALUE_DATE]]-Dealps[[#This Row],[POSTED_DT]]&gt;0,Dealps[[#This Row],[MATURITY_DATE]]-Dealps[[#This Row],[VALUE_DATE]],Dealps[[#This Row],[MATURITY_DATE]]-Dealps[[#This Row],[POSTED_DT]]))</f>
        <v>330</v>
      </c>
      <c r="U52" s="25">
        <f>IF(Dealps[[#This Row],[TENOR]]=0,0,IF(Dealps[[#This Row],[DEAL_TYPE]]="B",Dealps[[#This Row],[FACE_AMOUNT]],-Dealps[[#This Row],[FACE_AMOUNT]]))</f>
        <v>-150000000000</v>
      </c>
      <c r="V52" s="25">
        <f>_xlfn.XLOOKUP(Dealps[[#This Row],[PAPER_CODE]],FNRP!D:D,FNRP!H:H,0,0)/100*Dealps[[#This Row],[AMOUNT]]</f>
        <v>0</v>
      </c>
      <c r="W52" s="57" t="str">
        <f>IF(Dealps[[#This Row],[TRANSACTION_STATUS]]&lt;&gt;"V","Ngoai BS",IF(Dealps[[#This Row],[POSTED_DT]]&gt;=Dealps[[#This Row],[VALUE_DATE]],"On BS","Off BS"))</f>
        <v>On BS</v>
      </c>
      <c r="X52" s="25">
        <f>SUMIFS(U:U,C:C,Dealps[[#This Row],[PAPER_CODE]])</f>
        <v>0</v>
      </c>
      <c r="Y52" s="25">
        <f>_xlfn.XLOOKUP(Dealps[[#This Row],[DEAL_ID]],Ref!N:N,Ref!Q:Q,0,0)</f>
        <v>0</v>
      </c>
      <c r="Z52" s="25" t="str">
        <f>IF(Dealps[[#This Row],[CPTY_CODE]]=Dealps[[#This Row],[CPTY_CODE_ISSUER]],"Yes","No")</f>
        <v>No</v>
      </c>
      <c r="AA52" s="25"/>
      <c r="AC52" s="14"/>
      <c r="AG52" s="96"/>
      <c r="AH52" s="14"/>
      <c r="AI52"/>
      <c r="AN52" s="14"/>
      <c r="AV52" s="36"/>
      <c r="AW52" s="14"/>
      <c r="AX52" s="234"/>
      <c r="AY52" s="96"/>
      <c r="AZ52" s="14"/>
      <c r="BA52"/>
      <c r="BB52" s="93">
        <v>46262</v>
      </c>
      <c r="BC52">
        <v>1750</v>
      </c>
      <c r="BD52" s="56" t="s">
        <v>1016</v>
      </c>
      <c r="BE52" t="s">
        <v>1011</v>
      </c>
      <c r="BF52" t="s">
        <v>1015</v>
      </c>
      <c r="BG52" t="s">
        <v>364</v>
      </c>
      <c r="BH52" t="s">
        <v>1013</v>
      </c>
      <c r="BI52" t="s">
        <v>311</v>
      </c>
      <c r="BJ52" s="93">
        <v>45761</v>
      </c>
      <c r="BK52" s="93">
        <v>45762</v>
      </c>
      <c r="BL52" s="93">
        <v>45762</v>
      </c>
      <c r="BM52" s="93">
        <v>46480</v>
      </c>
      <c r="BN52" s="14">
        <v>1</v>
      </c>
      <c r="BO52" s="14">
        <v>10000000000</v>
      </c>
      <c r="BP52" s="56">
        <v>100</v>
      </c>
      <c r="BQ52" s="56">
        <v>0</v>
      </c>
      <c r="BR52" s="14">
        <v>10016438356</v>
      </c>
      <c r="BS52">
        <v>4.9779280000000004</v>
      </c>
      <c r="BT52" t="s">
        <v>1184</v>
      </c>
      <c r="BU52" s="25">
        <f>_xlfn.XLOOKUP(Dealps_MSB[[#This Row],[DEAL_ID]],Ref!V:V,Ref!X:X,0,0)</f>
        <v>0</v>
      </c>
      <c r="BV52"/>
    </row>
    <row r="53" spans="1:74" x14ac:dyDescent="0.3">
      <c r="A53" s="93">
        <v>46262</v>
      </c>
      <c r="B53">
        <v>44881</v>
      </c>
      <c r="C53" s="56" t="s">
        <v>256</v>
      </c>
      <c r="D53" t="s">
        <v>315</v>
      </c>
      <c r="E53" t="s">
        <v>327</v>
      </c>
      <c r="F53" t="s">
        <v>35</v>
      </c>
      <c r="G53" t="s">
        <v>310</v>
      </c>
      <c r="H53" t="s">
        <v>311</v>
      </c>
      <c r="I53" s="93">
        <v>45632</v>
      </c>
      <c r="J53" s="93">
        <v>45636</v>
      </c>
      <c r="K53" s="93">
        <v>45636</v>
      </c>
      <c r="L53" s="93">
        <v>46591</v>
      </c>
      <c r="M53" s="14">
        <v>3000</v>
      </c>
      <c r="N53" s="14">
        <v>300000000000</v>
      </c>
      <c r="O53" s="56">
        <v>100.16083304999999</v>
      </c>
      <c r="P53" s="56">
        <v>2</v>
      </c>
      <c r="Q53" s="14">
        <v>306753732000</v>
      </c>
      <c r="R53">
        <v>5.3683634790000001</v>
      </c>
      <c r="S53" t="s">
        <v>1184</v>
      </c>
      <c r="T53" s="57">
        <f>IF(Dealps[[#This Row],[MATURITY_DATE]]-Dealps[[#This Row],[POSTED_DT]]&lt;0,0,IF(Dealps[[#This Row],[VALUE_DATE]]-Dealps[[#This Row],[POSTED_DT]]&gt;0,Dealps[[#This Row],[MATURITY_DATE]]-Dealps[[#This Row],[VALUE_DATE]],Dealps[[#This Row],[MATURITY_DATE]]-Dealps[[#This Row],[POSTED_DT]]))</f>
        <v>329</v>
      </c>
      <c r="U53" s="25">
        <f>IF(Dealps[[#This Row],[TENOR]]=0,0,IF(Dealps[[#This Row],[DEAL_TYPE]]="B",Dealps[[#This Row],[FACE_AMOUNT]],-Dealps[[#This Row],[FACE_AMOUNT]]))</f>
        <v>-300000000000</v>
      </c>
      <c r="V53" s="25">
        <f>_xlfn.XLOOKUP(Dealps[[#This Row],[PAPER_CODE]],FNRP!D:D,FNRP!H:H,0,0)/100*Dealps[[#This Row],[AMOUNT]]</f>
        <v>0</v>
      </c>
      <c r="W53" s="57" t="str">
        <f>IF(Dealps[[#This Row],[TRANSACTION_STATUS]]&lt;&gt;"V","Ngoai BS",IF(Dealps[[#This Row],[POSTED_DT]]&gt;=Dealps[[#This Row],[VALUE_DATE]],"On BS","Off BS"))</f>
        <v>On BS</v>
      </c>
      <c r="X53" s="25">
        <f>SUMIFS(U:U,C:C,Dealps[[#This Row],[PAPER_CODE]])</f>
        <v>0</v>
      </c>
      <c r="Y53" s="25">
        <f>_xlfn.XLOOKUP(Dealps[[#This Row],[DEAL_ID]],Ref!N:N,Ref!Q:Q,0,0)</f>
        <v>0</v>
      </c>
      <c r="Z53" s="25" t="str">
        <f>IF(Dealps[[#This Row],[CPTY_CODE]]=Dealps[[#This Row],[CPTY_CODE_ISSUER]],"Yes","No")</f>
        <v>No</v>
      </c>
      <c r="AA53" s="25"/>
      <c r="AC53" s="14"/>
      <c r="AG53" s="96"/>
      <c r="AH53" s="14"/>
      <c r="AI53"/>
      <c r="AN53" s="14"/>
      <c r="AV53" s="36"/>
      <c r="AW53" s="14"/>
      <c r="AX53" s="234"/>
      <c r="AY53" s="96"/>
      <c r="AZ53" s="14"/>
      <c r="BA53"/>
      <c r="BB53" s="93">
        <v>46262</v>
      </c>
      <c r="BC53">
        <v>1751</v>
      </c>
      <c r="BD53" s="56" t="s">
        <v>1016</v>
      </c>
      <c r="BE53" t="s">
        <v>1011</v>
      </c>
      <c r="BF53" t="s">
        <v>1015</v>
      </c>
      <c r="BG53" t="s">
        <v>364</v>
      </c>
      <c r="BH53" t="s">
        <v>1013</v>
      </c>
      <c r="BI53" t="s">
        <v>311</v>
      </c>
      <c r="BJ53" s="93">
        <v>45761</v>
      </c>
      <c r="BK53" s="93">
        <v>45763</v>
      </c>
      <c r="BL53" s="93">
        <v>45763</v>
      </c>
      <c r="BM53" s="93">
        <v>46480</v>
      </c>
      <c r="BN53" s="14">
        <v>1</v>
      </c>
      <c r="BO53" s="14">
        <v>10000000000</v>
      </c>
      <c r="BP53" s="56">
        <v>100</v>
      </c>
      <c r="BQ53" s="56">
        <v>0</v>
      </c>
      <c r="BR53" s="14">
        <v>10017808219</v>
      </c>
      <c r="BS53">
        <v>4.9772280000000002</v>
      </c>
      <c r="BT53" t="s">
        <v>1184</v>
      </c>
      <c r="BU53" s="25">
        <f>_xlfn.XLOOKUP(Dealps_MSB[[#This Row],[DEAL_ID]],Ref!V:V,Ref!X:X,0,0)</f>
        <v>0</v>
      </c>
      <c r="BV53"/>
    </row>
    <row r="54" spans="1:74" x14ac:dyDescent="0.3">
      <c r="A54" s="93">
        <v>46262</v>
      </c>
      <c r="B54">
        <v>44882</v>
      </c>
      <c r="C54" s="56" t="s">
        <v>256</v>
      </c>
      <c r="D54" t="s">
        <v>315</v>
      </c>
      <c r="E54" t="s">
        <v>327</v>
      </c>
      <c r="F54" t="s">
        <v>35</v>
      </c>
      <c r="G54" t="s">
        <v>310</v>
      </c>
      <c r="H54" t="s">
        <v>311</v>
      </c>
      <c r="I54" s="93">
        <v>45632</v>
      </c>
      <c r="J54" s="93">
        <v>45636</v>
      </c>
      <c r="K54" s="93">
        <v>45636</v>
      </c>
      <c r="L54" s="93">
        <v>46591</v>
      </c>
      <c r="M54" s="14">
        <v>3000</v>
      </c>
      <c r="N54" s="14">
        <v>300000000000</v>
      </c>
      <c r="O54" s="56">
        <v>100.16083304999999</v>
      </c>
      <c r="P54" s="56">
        <v>2</v>
      </c>
      <c r="Q54" s="14">
        <v>306753732000</v>
      </c>
      <c r="R54">
        <v>5.3683634790000001</v>
      </c>
      <c r="S54" t="s">
        <v>1184</v>
      </c>
      <c r="T54" s="57">
        <f>IF(Dealps[[#This Row],[MATURITY_DATE]]-Dealps[[#This Row],[POSTED_DT]]&lt;0,0,IF(Dealps[[#This Row],[VALUE_DATE]]-Dealps[[#This Row],[POSTED_DT]]&gt;0,Dealps[[#This Row],[MATURITY_DATE]]-Dealps[[#This Row],[VALUE_DATE]],Dealps[[#This Row],[MATURITY_DATE]]-Dealps[[#This Row],[POSTED_DT]]))</f>
        <v>329</v>
      </c>
      <c r="U54" s="25">
        <f>IF(Dealps[[#This Row],[TENOR]]=0,0,IF(Dealps[[#This Row],[DEAL_TYPE]]="B",Dealps[[#This Row],[FACE_AMOUNT]],-Dealps[[#This Row],[FACE_AMOUNT]]))</f>
        <v>-300000000000</v>
      </c>
      <c r="V54" s="25">
        <f>_xlfn.XLOOKUP(Dealps[[#This Row],[PAPER_CODE]],FNRP!D:D,FNRP!H:H,0,0)/100*Dealps[[#This Row],[AMOUNT]]</f>
        <v>0</v>
      </c>
      <c r="W54" s="57" t="str">
        <f>IF(Dealps[[#This Row],[TRANSACTION_STATUS]]&lt;&gt;"V","Ngoai BS",IF(Dealps[[#This Row],[POSTED_DT]]&gt;=Dealps[[#This Row],[VALUE_DATE]],"On BS","Off BS"))</f>
        <v>On BS</v>
      </c>
      <c r="X54" s="25">
        <f>SUMIFS(U:U,C:C,Dealps[[#This Row],[PAPER_CODE]])</f>
        <v>0</v>
      </c>
      <c r="Y54" s="25">
        <f>_xlfn.XLOOKUP(Dealps[[#This Row],[DEAL_ID]],Ref!N:N,Ref!Q:Q,0,0)</f>
        <v>0</v>
      </c>
      <c r="Z54" s="25" t="str">
        <f>IF(Dealps[[#This Row],[CPTY_CODE]]=Dealps[[#This Row],[CPTY_CODE_ISSUER]],"Yes","No")</f>
        <v>No</v>
      </c>
      <c r="AA54" s="25"/>
      <c r="AC54" s="14"/>
      <c r="AG54" s="96"/>
      <c r="AH54" s="14"/>
      <c r="AI54"/>
      <c r="AN54" s="14"/>
      <c r="AV54" s="36"/>
      <c r="AW54" s="14"/>
      <c r="AX54" s="234"/>
      <c r="AY54" s="96"/>
      <c r="AZ54" s="14"/>
      <c r="BA54"/>
      <c r="BB54" s="93">
        <v>46262</v>
      </c>
      <c r="BC54">
        <v>1752</v>
      </c>
      <c r="BD54" s="56" t="s">
        <v>1016</v>
      </c>
      <c r="BE54" t="s">
        <v>1011</v>
      </c>
      <c r="BF54" t="s">
        <v>1015</v>
      </c>
      <c r="BG54" t="s">
        <v>364</v>
      </c>
      <c r="BH54" t="s">
        <v>1013</v>
      </c>
      <c r="BI54" t="s">
        <v>311</v>
      </c>
      <c r="BJ54" s="93">
        <v>45761</v>
      </c>
      <c r="BK54" s="93">
        <v>45764</v>
      </c>
      <c r="BL54" s="93">
        <v>45764</v>
      </c>
      <c r="BM54" s="93">
        <v>46480</v>
      </c>
      <c r="BN54" s="14">
        <v>1</v>
      </c>
      <c r="BO54" s="14">
        <v>15000000000</v>
      </c>
      <c r="BP54" s="56">
        <v>100</v>
      </c>
      <c r="BQ54" s="56">
        <v>0</v>
      </c>
      <c r="BR54" s="14">
        <v>15028767123</v>
      </c>
      <c r="BS54">
        <v>4.9765280000000001</v>
      </c>
      <c r="BT54" t="s">
        <v>1184</v>
      </c>
      <c r="BU54" s="25">
        <f>_xlfn.XLOOKUP(Dealps_MSB[[#This Row],[DEAL_ID]],Ref!V:V,Ref!X:X,0,0)</f>
        <v>0</v>
      </c>
      <c r="BV54"/>
    </row>
    <row r="55" spans="1:74" x14ac:dyDescent="0.3">
      <c r="A55" s="93">
        <v>46262</v>
      </c>
      <c r="B55">
        <v>44883</v>
      </c>
      <c r="C55" s="56" t="s">
        <v>37</v>
      </c>
      <c r="D55" t="s">
        <v>322</v>
      </c>
      <c r="E55" t="s">
        <v>321</v>
      </c>
      <c r="F55" t="s">
        <v>35</v>
      </c>
      <c r="G55" t="s">
        <v>310</v>
      </c>
      <c r="H55" t="s">
        <v>300</v>
      </c>
      <c r="I55" s="93">
        <v>45632</v>
      </c>
      <c r="J55" s="93">
        <v>45632</v>
      </c>
      <c r="K55" s="93">
        <v>45693</v>
      </c>
      <c r="L55" s="93">
        <v>46566</v>
      </c>
      <c r="M55" s="14">
        <v>500</v>
      </c>
      <c r="N55" s="14">
        <v>500000000000</v>
      </c>
      <c r="O55" s="56">
        <v>100.056489438</v>
      </c>
      <c r="P55" s="56">
        <v>3</v>
      </c>
      <c r="Q55" s="14">
        <v>516704365000</v>
      </c>
      <c r="R55">
        <v>5.3588263620000003</v>
      </c>
      <c r="S55" t="s">
        <v>1184</v>
      </c>
      <c r="T55" s="57">
        <f>IF(Dealps[[#This Row],[MATURITY_DATE]]-Dealps[[#This Row],[POSTED_DT]]&lt;0,0,IF(Dealps[[#This Row],[VALUE_DATE]]-Dealps[[#This Row],[POSTED_DT]]&gt;0,Dealps[[#This Row],[MATURITY_DATE]]-Dealps[[#This Row],[VALUE_DATE]],Dealps[[#This Row],[MATURITY_DATE]]-Dealps[[#This Row],[POSTED_DT]]))</f>
        <v>304</v>
      </c>
      <c r="U55" s="25">
        <f>IF(Dealps[[#This Row],[TENOR]]=0,0,IF(Dealps[[#This Row],[DEAL_TYPE]]="B",Dealps[[#This Row],[FACE_AMOUNT]],-Dealps[[#This Row],[FACE_AMOUNT]]))</f>
        <v>500000000000</v>
      </c>
      <c r="V55" s="25">
        <f>_xlfn.XLOOKUP(Dealps[[#This Row],[PAPER_CODE]],FNRP!D:D,FNRP!H:H,0,0)/100*Dealps[[#This Row],[AMOUNT]]</f>
        <v>0</v>
      </c>
      <c r="W55" s="57" t="str">
        <f>IF(Dealps[[#This Row],[TRANSACTION_STATUS]]&lt;&gt;"V","Ngoai BS",IF(Dealps[[#This Row],[POSTED_DT]]&gt;=Dealps[[#This Row],[VALUE_DATE]],"On BS","Off BS"))</f>
        <v>On BS</v>
      </c>
      <c r="X55" s="25">
        <f>SUMIFS(U:U,C:C,Dealps[[#This Row],[PAPER_CODE]])</f>
        <v>0</v>
      </c>
      <c r="Y55" s="25">
        <f>_xlfn.XLOOKUP(Dealps[[#This Row],[DEAL_ID]],Ref!N:N,Ref!Q:Q,0,0)</f>
        <v>0</v>
      </c>
      <c r="Z55" s="25" t="str">
        <f>IF(Dealps[[#This Row],[CPTY_CODE]]=Dealps[[#This Row],[CPTY_CODE_ISSUER]],"Yes","No")</f>
        <v>No</v>
      </c>
      <c r="AA55" s="25"/>
      <c r="AC55" s="14"/>
      <c r="AG55" s="96"/>
      <c r="AH55" s="14"/>
      <c r="AI55"/>
      <c r="AN55" s="14"/>
      <c r="AV55" s="36"/>
      <c r="AW55" s="14"/>
      <c r="AX55" s="234"/>
      <c r="AY55" s="96"/>
      <c r="AZ55" s="14"/>
      <c r="BA55"/>
      <c r="BB55" s="93">
        <v>46262</v>
      </c>
      <c r="BC55">
        <v>1754</v>
      </c>
      <c r="BD55" s="56" t="s">
        <v>1016</v>
      </c>
      <c r="BE55" t="s">
        <v>1011</v>
      </c>
      <c r="BF55" t="s">
        <v>1015</v>
      </c>
      <c r="BG55" t="s">
        <v>364</v>
      </c>
      <c r="BH55" t="s">
        <v>1013</v>
      </c>
      <c r="BI55" t="s">
        <v>311</v>
      </c>
      <c r="BJ55" s="93">
        <v>45761</v>
      </c>
      <c r="BK55" s="93">
        <v>45765</v>
      </c>
      <c r="BL55" s="93">
        <v>45765</v>
      </c>
      <c r="BM55" s="93">
        <v>46480</v>
      </c>
      <c r="BN55" s="14">
        <v>1</v>
      </c>
      <c r="BO55" s="14">
        <v>10000000000</v>
      </c>
      <c r="BP55" s="56">
        <v>100</v>
      </c>
      <c r="BQ55" s="56">
        <v>0</v>
      </c>
      <c r="BR55" s="14">
        <v>10020547945</v>
      </c>
      <c r="BS55">
        <v>4.9758290000000001</v>
      </c>
      <c r="BT55" t="s">
        <v>1184</v>
      </c>
      <c r="BU55" s="25">
        <f>_xlfn.XLOOKUP(Dealps_MSB[[#This Row],[DEAL_ID]],Ref!V:V,Ref!X:X,0,0)</f>
        <v>0</v>
      </c>
      <c r="BV55"/>
    </row>
    <row r="56" spans="1:74" x14ac:dyDescent="0.3">
      <c r="A56" s="93">
        <v>46262</v>
      </c>
      <c r="B56">
        <v>44884</v>
      </c>
      <c r="C56" s="56" t="s">
        <v>37</v>
      </c>
      <c r="D56" t="s">
        <v>322</v>
      </c>
      <c r="E56" t="s">
        <v>321</v>
      </c>
      <c r="F56" t="s">
        <v>35</v>
      </c>
      <c r="G56" t="s">
        <v>310</v>
      </c>
      <c r="H56" t="s">
        <v>300</v>
      </c>
      <c r="I56" s="93">
        <v>45632</v>
      </c>
      <c r="J56" s="93">
        <v>45632</v>
      </c>
      <c r="K56" s="93">
        <v>45721</v>
      </c>
      <c r="L56" s="93">
        <v>46566</v>
      </c>
      <c r="M56" s="14">
        <v>500</v>
      </c>
      <c r="N56" s="14">
        <v>500000000000</v>
      </c>
      <c r="O56" s="56">
        <v>100.082000863</v>
      </c>
      <c r="P56" s="56">
        <v>4</v>
      </c>
      <c r="Q56" s="14">
        <v>518903155000</v>
      </c>
      <c r="R56">
        <v>5.3470518370000004</v>
      </c>
      <c r="S56" t="s">
        <v>1184</v>
      </c>
      <c r="T56" s="57">
        <f>IF(Dealps[[#This Row],[MATURITY_DATE]]-Dealps[[#This Row],[POSTED_DT]]&lt;0,0,IF(Dealps[[#This Row],[VALUE_DATE]]-Dealps[[#This Row],[POSTED_DT]]&gt;0,Dealps[[#This Row],[MATURITY_DATE]]-Dealps[[#This Row],[VALUE_DATE]],Dealps[[#This Row],[MATURITY_DATE]]-Dealps[[#This Row],[POSTED_DT]]))</f>
        <v>304</v>
      </c>
      <c r="U56" s="25">
        <f>IF(Dealps[[#This Row],[TENOR]]=0,0,IF(Dealps[[#This Row],[DEAL_TYPE]]="B",Dealps[[#This Row],[FACE_AMOUNT]],-Dealps[[#This Row],[FACE_AMOUNT]]))</f>
        <v>500000000000</v>
      </c>
      <c r="V56" s="25">
        <f>_xlfn.XLOOKUP(Dealps[[#This Row],[PAPER_CODE]],FNRP!D:D,FNRP!H:H,0,0)/100*Dealps[[#This Row],[AMOUNT]]</f>
        <v>0</v>
      </c>
      <c r="W56" s="57" t="str">
        <f>IF(Dealps[[#This Row],[TRANSACTION_STATUS]]&lt;&gt;"V","Ngoai BS",IF(Dealps[[#This Row],[POSTED_DT]]&gt;=Dealps[[#This Row],[VALUE_DATE]],"On BS","Off BS"))</f>
        <v>On BS</v>
      </c>
      <c r="X56" s="25">
        <f>SUMIFS(U:U,C:C,Dealps[[#This Row],[PAPER_CODE]])</f>
        <v>0</v>
      </c>
      <c r="Y56" s="25">
        <f>_xlfn.XLOOKUP(Dealps[[#This Row],[DEAL_ID]],Ref!N:N,Ref!Q:Q,0,0)</f>
        <v>0</v>
      </c>
      <c r="Z56" s="25" t="str">
        <f>IF(Dealps[[#This Row],[CPTY_CODE]]=Dealps[[#This Row],[CPTY_CODE_ISSUER]],"Yes","No")</f>
        <v>No</v>
      </c>
      <c r="AA56" s="25"/>
      <c r="AC56" s="14"/>
      <c r="AG56" s="96"/>
      <c r="AH56" s="14"/>
      <c r="AI56"/>
      <c r="AN56" s="14"/>
      <c r="AV56" s="36"/>
      <c r="AW56" s="14"/>
      <c r="AX56" s="234"/>
      <c r="AY56" s="96"/>
      <c r="AZ56" s="14"/>
      <c r="BA56"/>
      <c r="BB56" s="93">
        <v>46262</v>
      </c>
      <c r="BC56">
        <v>1760</v>
      </c>
      <c r="BD56" s="56" t="s">
        <v>1016</v>
      </c>
      <c r="BE56" t="s">
        <v>1011</v>
      </c>
      <c r="BF56" t="s">
        <v>1015</v>
      </c>
      <c r="BG56" t="s">
        <v>364</v>
      </c>
      <c r="BH56" t="s">
        <v>1013</v>
      </c>
      <c r="BI56" t="s">
        <v>311</v>
      </c>
      <c r="BJ56" s="93">
        <v>45761</v>
      </c>
      <c r="BK56" s="93">
        <v>45761</v>
      </c>
      <c r="BL56" s="93">
        <v>45761</v>
      </c>
      <c r="BM56" s="93">
        <v>46480</v>
      </c>
      <c r="BN56" s="14">
        <v>1</v>
      </c>
      <c r="BO56" s="14">
        <v>10000000000</v>
      </c>
      <c r="BP56" s="56">
        <v>100</v>
      </c>
      <c r="BQ56" s="56">
        <v>0</v>
      </c>
      <c r="BR56" s="14">
        <v>10015068493</v>
      </c>
      <c r="BS56">
        <v>4.9786279999999996</v>
      </c>
      <c r="BT56" t="s">
        <v>1184</v>
      </c>
      <c r="BU56" s="25">
        <f>_xlfn.XLOOKUP(Dealps_MSB[[#This Row],[DEAL_ID]],Ref!V:V,Ref!X:X,0,0)</f>
        <v>0</v>
      </c>
      <c r="BV56"/>
    </row>
    <row r="57" spans="1:74" x14ac:dyDescent="0.3">
      <c r="A57" s="93">
        <v>46262</v>
      </c>
      <c r="B57">
        <v>44888</v>
      </c>
      <c r="C57" s="56" t="s">
        <v>257</v>
      </c>
      <c r="D57" t="s">
        <v>315</v>
      </c>
      <c r="E57" t="s">
        <v>327</v>
      </c>
      <c r="F57" t="s">
        <v>35</v>
      </c>
      <c r="G57" t="s">
        <v>310</v>
      </c>
      <c r="H57" t="s">
        <v>300</v>
      </c>
      <c r="I57" s="93">
        <v>45635</v>
      </c>
      <c r="J57" s="93">
        <v>45637</v>
      </c>
      <c r="K57" s="93">
        <v>45637</v>
      </c>
      <c r="L57" s="93">
        <v>46592</v>
      </c>
      <c r="M57" s="14">
        <v>1500</v>
      </c>
      <c r="N57" s="14">
        <v>150000000000</v>
      </c>
      <c r="O57" s="56">
        <v>100.14558904</v>
      </c>
      <c r="P57" s="56">
        <v>2</v>
      </c>
      <c r="Q57" s="14">
        <v>153354000000</v>
      </c>
      <c r="R57">
        <v>5.3747388389999999</v>
      </c>
      <c r="S57" t="s">
        <v>1184</v>
      </c>
      <c r="T57" s="57">
        <f>IF(Dealps[[#This Row],[MATURITY_DATE]]-Dealps[[#This Row],[POSTED_DT]]&lt;0,0,IF(Dealps[[#This Row],[VALUE_DATE]]-Dealps[[#This Row],[POSTED_DT]]&gt;0,Dealps[[#This Row],[MATURITY_DATE]]-Dealps[[#This Row],[VALUE_DATE]],Dealps[[#This Row],[MATURITY_DATE]]-Dealps[[#This Row],[POSTED_DT]]))</f>
        <v>330</v>
      </c>
      <c r="U57" s="25">
        <f>IF(Dealps[[#This Row],[TENOR]]=0,0,IF(Dealps[[#This Row],[DEAL_TYPE]]="B",Dealps[[#This Row],[FACE_AMOUNT]],-Dealps[[#This Row],[FACE_AMOUNT]]))</f>
        <v>150000000000</v>
      </c>
      <c r="V57" s="25">
        <f>_xlfn.XLOOKUP(Dealps[[#This Row],[PAPER_CODE]],FNRP!D:D,FNRP!H:H,0,0)/100*Dealps[[#This Row],[AMOUNT]]</f>
        <v>0</v>
      </c>
      <c r="W57" s="57" t="str">
        <f>IF(Dealps[[#This Row],[TRANSACTION_STATUS]]&lt;&gt;"V","Ngoai BS",IF(Dealps[[#This Row],[POSTED_DT]]&gt;=Dealps[[#This Row],[VALUE_DATE]],"On BS","Off BS"))</f>
        <v>On BS</v>
      </c>
      <c r="X57" s="25">
        <f>SUMIFS(U:U,C:C,Dealps[[#This Row],[PAPER_CODE]])</f>
        <v>0</v>
      </c>
      <c r="Y57" s="25">
        <f>_xlfn.XLOOKUP(Dealps[[#This Row],[DEAL_ID]],Ref!N:N,Ref!Q:Q,0,0)</f>
        <v>0</v>
      </c>
      <c r="Z57" s="25" t="str">
        <f>IF(Dealps[[#This Row],[CPTY_CODE]]=Dealps[[#This Row],[CPTY_CODE_ISSUER]],"Yes","No")</f>
        <v>No</v>
      </c>
      <c r="AA57" s="25"/>
      <c r="AC57" s="14"/>
      <c r="AG57" s="96"/>
      <c r="AH57" s="14"/>
      <c r="AI57"/>
      <c r="AN57" s="14"/>
      <c r="AV57" s="36"/>
      <c r="AW57" s="14"/>
      <c r="AX57" s="234"/>
      <c r="AY57" s="96"/>
      <c r="AZ57" s="14"/>
      <c r="BA57"/>
      <c r="BB57" s="93">
        <v>46262</v>
      </c>
      <c r="BC57">
        <v>1768</v>
      </c>
      <c r="BD57" s="56" t="s">
        <v>1016</v>
      </c>
      <c r="BE57" t="s">
        <v>1011</v>
      </c>
      <c r="BF57" t="s">
        <v>1015</v>
      </c>
      <c r="BG57" t="s">
        <v>364</v>
      </c>
      <c r="BH57" t="s">
        <v>1013</v>
      </c>
      <c r="BI57" t="s">
        <v>311</v>
      </c>
      <c r="BJ57" s="93">
        <v>45761</v>
      </c>
      <c r="BK57" s="93">
        <v>45761</v>
      </c>
      <c r="BL57" s="93">
        <v>45761</v>
      </c>
      <c r="BM57" s="93">
        <v>46480</v>
      </c>
      <c r="BN57" s="14">
        <v>1</v>
      </c>
      <c r="BO57" s="14">
        <v>10000000000</v>
      </c>
      <c r="BP57" s="56">
        <v>100</v>
      </c>
      <c r="BQ57" s="56">
        <v>0</v>
      </c>
      <c r="BR57" s="14">
        <v>10015068493</v>
      </c>
      <c r="BS57">
        <v>4.9786279999999996</v>
      </c>
      <c r="BT57" t="s">
        <v>1184</v>
      </c>
      <c r="BU57" s="25">
        <f>_xlfn.XLOOKUP(Dealps_MSB[[#This Row],[DEAL_ID]],Ref!V:V,Ref!X:X,0,0)</f>
        <v>0</v>
      </c>
      <c r="BV57"/>
    </row>
    <row r="58" spans="1:74" x14ac:dyDescent="0.3">
      <c r="A58" s="93">
        <v>46262</v>
      </c>
      <c r="B58">
        <v>44940</v>
      </c>
      <c r="C58" s="56" t="s">
        <v>257</v>
      </c>
      <c r="D58" t="s">
        <v>315</v>
      </c>
      <c r="E58" t="s">
        <v>327</v>
      </c>
      <c r="F58" t="s">
        <v>35</v>
      </c>
      <c r="G58" t="s">
        <v>310</v>
      </c>
      <c r="H58" t="s">
        <v>311</v>
      </c>
      <c r="I58" s="93">
        <v>45638</v>
      </c>
      <c r="J58" s="93">
        <v>45638</v>
      </c>
      <c r="K58" s="93">
        <v>45638</v>
      </c>
      <c r="L58" s="93">
        <v>46592</v>
      </c>
      <c r="M58" s="14">
        <v>1500</v>
      </c>
      <c r="N58" s="14">
        <v>150000000000</v>
      </c>
      <c r="O58" s="56">
        <v>100.15990554</v>
      </c>
      <c r="P58" s="56">
        <v>2</v>
      </c>
      <c r="Q58" s="14">
        <v>153397872000</v>
      </c>
      <c r="R58">
        <v>5.368633977</v>
      </c>
      <c r="S58" t="s">
        <v>1184</v>
      </c>
      <c r="T58" s="57">
        <f>IF(Dealps[[#This Row],[MATURITY_DATE]]-Dealps[[#This Row],[POSTED_DT]]&lt;0,0,IF(Dealps[[#This Row],[VALUE_DATE]]-Dealps[[#This Row],[POSTED_DT]]&gt;0,Dealps[[#This Row],[MATURITY_DATE]]-Dealps[[#This Row],[VALUE_DATE]],Dealps[[#This Row],[MATURITY_DATE]]-Dealps[[#This Row],[POSTED_DT]]))</f>
        <v>330</v>
      </c>
      <c r="U58" s="25">
        <f>IF(Dealps[[#This Row],[TENOR]]=0,0,IF(Dealps[[#This Row],[DEAL_TYPE]]="B",Dealps[[#This Row],[FACE_AMOUNT]],-Dealps[[#This Row],[FACE_AMOUNT]]))</f>
        <v>-150000000000</v>
      </c>
      <c r="V58" s="25">
        <f>_xlfn.XLOOKUP(Dealps[[#This Row],[PAPER_CODE]],FNRP!D:D,FNRP!H:H,0,0)/100*Dealps[[#This Row],[AMOUNT]]</f>
        <v>0</v>
      </c>
      <c r="W58" s="57" t="str">
        <f>IF(Dealps[[#This Row],[TRANSACTION_STATUS]]&lt;&gt;"V","Ngoai BS",IF(Dealps[[#This Row],[POSTED_DT]]&gt;=Dealps[[#This Row],[VALUE_DATE]],"On BS","Off BS"))</f>
        <v>On BS</v>
      </c>
      <c r="X58" s="25">
        <f>SUMIFS(U:U,C:C,Dealps[[#This Row],[PAPER_CODE]])</f>
        <v>0</v>
      </c>
      <c r="Y58" s="25">
        <f>_xlfn.XLOOKUP(Dealps[[#This Row],[DEAL_ID]],Ref!N:N,Ref!Q:Q,0,0)</f>
        <v>0</v>
      </c>
      <c r="Z58" s="25" t="str">
        <f>IF(Dealps[[#This Row],[CPTY_CODE]]=Dealps[[#This Row],[CPTY_CODE_ISSUER]],"Yes","No")</f>
        <v>No</v>
      </c>
      <c r="AA58" s="25"/>
      <c r="AC58" s="14"/>
      <c r="AG58" s="96"/>
      <c r="AH58" s="14"/>
      <c r="AI58"/>
      <c r="AN58" s="14"/>
      <c r="AV58" s="36"/>
      <c r="AW58" s="14"/>
      <c r="AX58" s="234"/>
      <c r="AY58" s="96"/>
      <c r="AZ58" s="14"/>
      <c r="BA58"/>
      <c r="BB58" s="93">
        <v>46262</v>
      </c>
      <c r="BC58">
        <v>1784</v>
      </c>
      <c r="BD58" s="56" t="s">
        <v>1016</v>
      </c>
      <c r="BE58" t="s">
        <v>1011</v>
      </c>
      <c r="BF58" t="s">
        <v>1015</v>
      </c>
      <c r="BG58" t="s">
        <v>364</v>
      </c>
      <c r="BH58" t="s">
        <v>1013</v>
      </c>
      <c r="BI58" t="s">
        <v>311</v>
      </c>
      <c r="BJ58" s="93">
        <v>45763</v>
      </c>
      <c r="BK58" s="93">
        <v>45763</v>
      </c>
      <c r="BL58" s="93">
        <v>45763</v>
      </c>
      <c r="BM58" s="93">
        <v>46480</v>
      </c>
      <c r="BN58" s="14">
        <v>1</v>
      </c>
      <c r="BO58" s="14">
        <v>10000000000</v>
      </c>
      <c r="BP58" s="56">
        <v>100</v>
      </c>
      <c r="BQ58" s="56">
        <v>0</v>
      </c>
      <c r="BR58" s="14">
        <v>10017808219</v>
      </c>
      <c r="BS58">
        <v>4.9772280000000002</v>
      </c>
      <c r="BT58" t="s">
        <v>1184</v>
      </c>
      <c r="BU58" s="25">
        <f>_xlfn.XLOOKUP(Dealps_MSB[[#This Row],[DEAL_ID]],Ref!V:V,Ref!X:X,0,0)</f>
        <v>0</v>
      </c>
      <c r="BV58"/>
    </row>
    <row r="59" spans="1:74" x14ac:dyDescent="0.3">
      <c r="A59" s="93">
        <v>46262</v>
      </c>
      <c r="B59">
        <v>44941</v>
      </c>
      <c r="C59" s="56" t="s">
        <v>257</v>
      </c>
      <c r="D59" t="s">
        <v>315</v>
      </c>
      <c r="E59" t="s">
        <v>327</v>
      </c>
      <c r="F59" t="s">
        <v>35</v>
      </c>
      <c r="G59" t="s">
        <v>310</v>
      </c>
      <c r="H59" t="s">
        <v>311</v>
      </c>
      <c r="I59" s="93">
        <v>45638</v>
      </c>
      <c r="J59" s="93">
        <v>45638</v>
      </c>
      <c r="K59" s="93">
        <v>45638</v>
      </c>
      <c r="L59" s="93">
        <v>46592</v>
      </c>
      <c r="M59" s="14">
        <v>3000</v>
      </c>
      <c r="N59" s="14">
        <v>300000000000</v>
      </c>
      <c r="O59" s="56">
        <v>100.15990554</v>
      </c>
      <c r="P59" s="56">
        <v>2</v>
      </c>
      <c r="Q59" s="14">
        <v>306795744000</v>
      </c>
      <c r="R59">
        <v>5.368633977</v>
      </c>
      <c r="S59" t="s">
        <v>1184</v>
      </c>
      <c r="T59" s="57">
        <f>IF(Dealps[[#This Row],[MATURITY_DATE]]-Dealps[[#This Row],[POSTED_DT]]&lt;0,0,IF(Dealps[[#This Row],[VALUE_DATE]]-Dealps[[#This Row],[POSTED_DT]]&gt;0,Dealps[[#This Row],[MATURITY_DATE]]-Dealps[[#This Row],[VALUE_DATE]],Dealps[[#This Row],[MATURITY_DATE]]-Dealps[[#This Row],[POSTED_DT]]))</f>
        <v>330</v>
      </c>
      <c r="U59" s="25">
        <f>IF(Dealps[[#This Row],[TENOR]]=0,0,IF(Dealps[[#This Row],[DEAL_TYPE]]="B",Dealps[[#This Row],[FACE_AMOUNT]],-Dealps[[#This Row],[FACE_AMOUNT]]))</f>
        <v>-300000000000</v>
      </c>
      <c r="V59" s="25">
        <f>_xlfn.XLOOKUP(Dealps[[#This Row],[PAPER_CODE]],FNRP!D:D,FNRP!H:H,0,0)/100*Dealps[[#This Row],[AMOUNT]]</f>
        <v>0</v>
      </c>
      <c r="W59" s="57" t="str">
        <f>IF(Dealps[[#This Row],[TRANSACTION_STATUS]]&lt;&gt;"V","Ngoai BS",IF(Dealps[[#This Row],[POSTED_DT]]&gt;=Dealps[[#This Row],[VALUE_DATE]],"On BS","Off BS"))</f>
        <v>On BS</v>
      </c>
      <c r="X59" s="25">
        <f>SUMIFS(U:U,C:C,Dealps[[#This Row],[PAPER_CODE]])</f>
        <v>0</v>
      </c>
      <c r="Y59" s="25">
        <f>_xlfn.XLOOKUP(Dealps[[#This Row],[DEAL_ID]],Ref!N:N,Ref!Q:Q,0,0)</f>
        <v>0</v>
      </c>
      <c r="Z59" s="25" t="str">
        <f>IF(Dealps[[#This Row],[CPTY_CODE]]=Dealps[[#This Row],[CPTY_CODE_ISSUER]],"Yes","No")</f>
        <v>No</v>
      </c>
      <c r="AA59" s="25"/>
      <c r="AC59" s="14"/>
      <c r="AG59" s="96"/>
      <c r="AH59" s="14"/>
      <c r="AI59"/>
      <c r="AN59" s="14"/>
      <c r="AV59" s="36"/>
      <c r="AW59" s="14"/>
      <c r="AX59" s="234"/>
      <c r="AY59" s="96"/>
      <c r="AZ59" s="14"/>
      <c r="BA59"/>
      <c r="BB59" s="93">
        <v>46262</v>
      </c>
      <c r="BC59">
        <v>1785</v>
      </c>
      <c r="BD59" s="56" t="s">
        <v>1016</v>
      </c>
      <c r="BE59" t="s">
        <v>1011</v>
      </c>
      <c r="BF59" t="s">
        <v>1015</v>
      </c>
      <c r="BG59" t="s">
        <v>364</v>
      </c>
      <c r="BH59" t="s">
        <v>1013</v>
      </c>
      <c r="BI59" t="s">
        <v>311</v>
      </c>
      <c r="BJ59" s="93">
        <v>45763</v>
      </c>
      <c r="BK59" s="93">
        <v>45763</v>
      </c>
      <c r="BL59" s="93">
        <v>45763</v>
      </c>
      <c r="BM59" s="93">
        <v>46480</v>
      </c>
      <c r="BN59" s="14">
        <v>1</v>
      </c>
      <c r="BO59" s="14">
        <v>10000000000</v>
      </c>
      <c r="BP59" s="56">
        <v>100</v>
      </c>
      <c r="BQ59" s="56">
        <v>0</v>
      </c>
      <c r="BR59" s="14">
        <v>10017808219</v>
      </c>
      <c r="BS59">
        <v>4.9772280000000002</v>
      </c>
      <c r="BT59" t="s">
        <v>1184</v>
      </c>
      <c r="BU59" s="25">
        <f>_xlfn.XLOOKUP(Dealps_MSB[[#This Row],[DEAL_ID]],Ref!V:V,Ref!X:X,0,0)</f>
        <v>0</v>
      </c>
      <c r="BV59"/>
    </row>
    <row r="60" spans="1:74" x14ac:dyDescent="0.3">
      <c r="A60" s="93">
        <v>46262</v>
      </c>
      <c r="B60">
        <v>44953</v>
      </c>
      <c r="C60" s="56" t="s">
        <v>392</v>
      </c>
      <c r="D60" t="s">
        <v>313</v>
      </c>
      <c r="E60" t="s">
        <v>313</v>
      </c>
      <c r="F60" t="s">
        <v>35</v>
      </c>
      <c r="G60" t="s">
        <v>310</v>
      </c>
      <c r="H60" t="s">
        <v>300</v>
      </c>
      <c r="I60" s="93">
        <v>45638</v>
      </c>
      <c r="J60" s="93">
        <v>45639</v>
      </c>
      <c r="K60" s="93">
        <v>45639</v>
      </c>
      <c r="L60" s="93">
        <v>46369</v>
      </c>
      <c r="M60" s="14">
        <v>400</v>
      </c>
      <c r="N60" s="14">
        <v>400000000000</v>
      </c>
      <c r="O60" s="56">
        <v>100</v>
      </c>
      <c r="P60" s="56">
        <v>0</v>
      </c>
      <c r="Q60" s="14">
        <v>400000000000</v>
      </c>
      <c r="R60">
        <v>6.7597108459999999</v>
      </c>
      <c r="S60" t="s">
        <v>1184</v>
      </c>
      <c r="T60" s="57">
        <f>IF(Dealps[[#This Row],[MATURITY_DATE]]-Dealps[[#This Row],[POSTED_DT]]&lt;0,0,IF(Dealps[[#This Row],[VALUE_DATE]]-Dealps[[#This Row],[POSTED_DT]]&gt;0,Dealps[[#This Row],[MATURITY_DATE]]-Dealps[[#This Row],[VALUE_DATE]],Dealps[[#This Row],[MATURITY_DATE]]-Dealps[[#This Row],[POSTED_DT]]))</f>
        <v>107</v>
      </c>
      <c r="U60" s="25">
        <f>IF(Dealps[[#This Row],[TENOR]]=0,0,IF(Dealps[[#This Row],[DEAL_TYPE]]="B",Dealps[[#This Row],[FACE_AMOUNT]],-Dealps[[#This Row],[FACE_AMOUNT]]))</f>
        <v>400000000000</v>
      </c>
      <c r="V60" s="25">
        <f>_xlfn.XLOOKUP(Dealps[[#This Row],[PAPER_CODE]],FNRP!D:D,FNRP!H:H,0,0)/100*Dealps[[#This Row],[AMOUNT]]</f>
        <v>404036967091.99994</v>
      </c>
      <c r="W60" s="57" t="str">
        <f>IF(Dealps[[#This Row],[TRANSACTION_STATUS]]&lt;&gt;"V","Ngoai BS",IF(Dealps[[#This Row],[POSTED_DT]]&gt;=Dealps[[#This Row],[VALUE_DATE]],"On BS","Off BS"))</f>
        <v>On BS</v>
      </c>
      <c r="X60" s="25">
        <f>SUMIFS(U:U,C:C,Dealps[[#This Row],[PAPER_CODE]])</f>
        <v>400000000000</v>
      </c>
      <c r="Y60" s="25">
        <f>_xlfn.XLOOKUP(Dealps[[#This Row],[DEAL_ID]],Ref!N:N,Ref!Q:Q,0,0)</f>
        <v>0</v>
      </c>
      <c r="Z60" s="25" t="str">
        <f>IF(Dealps[[#This Row],[CPTY_CODE]]=Dealps[[#This Row],[CPTY_CODE_ISSUER]],"Yes","No")</f>
        <v>Yes</v>
      </c>
      <c r="AA60" s="25"/>
      <c r="AC60" s="14"/>
      <c r="AG60" s="96"/>
      <c r="AH60" s="14"/>
      <c r="AI60"/>
      <c r="AN60" s="14"/>
      <c r="AV60" s="36"/>
      <c r="AW60" s="14"/>
      <c r="AX60" s="234"/>
      <c r="AY60" s="96"/>
      <c r="AZ60" s="14"/>
      <c r="BA60"/>
      <c r="BB60" s="93">
        <v>46262</v>
      </c>
      <c r="BC60">
        <v>1796</v>
      </c>
      <c r="BD60" s="56" t="s">
        <v>1016</v>
      </c>
      <c r="BE60" t="s">
        <v>1011</v>
      </c>
      <c r="BF60" t="s">
        <v>1015</v>
      </c>
      <c r="BG60" t="s">
        <v>364</v>
      </c>
      <c r="BH60" t="s">
        <v>1013</v>
      </c>
      <c r="BI60" t="s">
        <v>311</v>
      </c>
      <c r="BJ60" s="93">
        <v>45765</v>
      </c>
      <c r="BK60" s="93">
        <v>45765</v>
      </c>
      <c r="BL60" s="93">
        <v>45765</v>
      </c>
      <c r="BM60" s="93">
        <v>46480</v>
      </c>
      <c r="BN60" s="14">
        <v>1</v>
      </c>
      <c r="BO60" s="14">
        <v>10000000000</v>
      </c>
      <c r="BP60" s="56">
        <v>100</v>
      </c>
      <c r="BQ60" s="56">
        <v>0</v>
      </c>
      <c r="BR60" s="14">
        <v>10020547945</v>
      </c>
      <c r="BS60">
        <v>4.9758290000000001</v>
      </c>
      <c r="BT60" t="s">
        <v>1184</v>
      </c>
      <c r="BU60" s="25">
        <f>_xlfn.XLOOKUP(Dealps_MSB[[#This Row],[DEAL_ID]],Ref!V:V,Ref!X:X,0,0)</f>
        <v>0</v>
      </c>
      <c r="BV60"/>
    </row>
    <row r="61" spans="1:74" x14ac:dyDescent="0.3">
      <c r="A61" s="93">
        <v>46262</v>
      </c>
      <c r="B61">
        <v>44970</v>
      </c>
      <c r="C61" s="56" t="s">
        <v>262</v>
      </c>
      <c r="D61" t="s">
        <v>322</v>
      </c>
      <c r="E61" t="s">
        <v>327</v>
      </c>
      <c r="F61" t="s">
        <v>35</v>
      </c>
      <c r="G61" t="s">
        <v>310</v>
      </c>
      <c r="H61" t="s">
        <v>300</v>
      </c>
      <c r="I61" s="93">
        <v>45642</v>
      </c>
      <c r="J61" s="93">
        <v>45643</v>
      </c>
      <c r="K61" s="93">
        <v>45643</v>
      </c>
      <c r="L61" s="93">
        <v>46487</v>
      </c>
      <c r="M61" s="14">
        <v>300</v>
      </c>
      <c r="N61" s="14">
        <v>300000000000</v>
      </c>
      <c r="O61" s="56">
        <v>99.560616440000004</v>
      </c>
      <c r="P61" s="56">
        <v>3</v>
      </c>
      <c r="Q61" s="14">
        <v>306315000000</v>
      </c>
      <c r="R61">
        <v>3.895368682</v>
      </c>
      <c r="S61" t="s">
        <v>1184</v>
      </c>
      <c r="T61" s="57">
        <f>IF(Dealps[[#This Row],[MATURITY_DATE]]-Dealps[[#This Row],[POSTED_DT]]&lt;0,0,IF(Dealps[[#This Row],[VALUE_DATE]]-Dealps[[#This Row],[POSTED_DT]]&gt;0,Dealps[[#This Row],[MATURITY_DATE]]-Dealps[[#This Row],[VALUE_DATE]],Dealps[[#This Row],[MATURITY_DATE]]-Dealps[[#This Row],[POSTED_DT]]))</f>
        <v>225</v>
      </c>
      <c r="U61" s="25">
        <f>IF(Dealps[[#This Row],[TENOR]]=0,0,IF(Dealps[[#This Row],[DEAL_TYPE]]="B",Dealps[[#This Row],[FACE_AMOUNT]],-Dealps[[#This Row],[FACE_AMOUNT]]))</f>
        <v>300000000000</v>
      </c>
      <c r="V61" s="25">
        <f>_xlfn.XLOOKUP(Dealps[[#This Row],[PAPER_CODE]],FNRP!D:D,FNRP!H:H,0,0)/100*Dealps[[#This Row],[AMOUNT]]</f>
        <v>0</v>
      </c>
      <c r="W61" s="57" t="str">
        <f>IF(Dealps[[#This Row],[TRANSACTION_STATUS]]&lt;&gt;"V","Ngoai BS",IF(Dealps[[#This Row],[POSTED_DT]]&gt;=Dealps[[#This Row],[VALUE_DATE]],"On BS","Off BS"))</f>
        <v>On BS</v>
      </c>
      <c r="X61" s="25">
        <f>SUMIFS(U:U,C:C,Dealps[[#This Row],[PAPER_CODE]])</f>
        <v>0</v>
      </c>
      <c r="Y61" s="25">
        <f>_xlfn.XLOOKUP(Dealps[[#This Row],[DEAL_ID]],Ref!N:N,Ref!Q:Q,0,0)</f>
        <v>0</v>
      </c>
      <c r="Z61" s="25" t="str">
        <f>IF(Dealps[[#This Row],[CPTY_CODE]]=Dealps[[#This Row],[CPTY_CODE_ISSUER]],"Yes","No")</f>
        <v>No</v>
      </c>
      <c r="AA61" s="25"/>
      <c r="AC61" s="14"/>
      <c r="AG61" s="96"/>
      <c r="AH61" s="14"/>
      <c r="AI61"/>
      <c r="AN61" s="14"/>
      <c r="AV61" s="36"/>
      <c r="AW61" s="14"/>
      <c r="AX61" s="234"/>
      <c r="AY61" s="96"/>
      <c r="AZ61" s="14"/>
      <c r="BA61"/>
      <c r="BB61" s="93">
        <v>46262</v>
      </c>
      <c r="BC61">
        <v>1797</v>
      </c>
      <c r="BD61" s="56" t="s">
        <v>1016</v>
      </c>
      <c r="BE61" t="s">
        <v>1011</v>
      </c>
      <c r="BF61" t="s">
        <v>1015</v>
      </c>
      <c r="BG61" t="s">
        <v>364</v>
      </c>
      <c r="BH61" t="s">
        <v>1013</v>
      </c>
      <c r="BI61" t="s">
        <v>311</v>
      </c>
      <c r="BJ61" s="93">
        <v>45765</v>
      </c>
      <c r="BK61" s="93">
        <v>45765</v>
      </c>
      <c r="BL61" s="93">
        <v>45765</v>
      </c>
      <c r="BM61" s="93">
        <v>46480</v>
      </c>
      <c r="BN61" s="14">
        <v>1</v>
      </c>
      <c r="BO61" s="14">
        <v>10000000000</v>
      </c>
      <c r="BP61" s="56">
        <v>100</v>
      </c>
      <c r="BQ61" s="56">
        <v>0</v>
      </c>
      <c r="BR61" s="14">
        <v>10020547945</v>
      </c>
      <c r="BS61">
        <v>4.9758290000000001</v>
      </c>
      <c r="BT61" t="s">
        <v>1184</v>
      </c>
      <c r="BU61" s="25">
        <f>_xlfn.XLOOKUP(Dealps_MSB[[#This Row],[DEAL_ID]],Ref!V:V,Ref!X:X,0,0)</f>
        <v>0</v>
      </c>
      <c r="BV61"/>
    </row>
    <row r="62" spans="1:74" x14ac:dyDescent="0.3">
      <c r="A62" s="93">
        <v>46262</v>
      </c>
      <c r="B62">
        <v>44977</v>
      </c>
      <c r="C62" s="56" t="s">
        <v>262</v>
      </c>
      <c r="D62" t="s">
        <v>322</v>
      </c>
      <c r="E62" t="s">
        <v>327</v>
      </c>
      <c r="F62" t="s">
        <v>35</v>
      </c>
      <c r="G62" t="s">
        <v>310</v>
      </c>
      <c r="H62" t="s">
        <v>311</v>
      </c>
      <c r="I62" s="93">
        <v>45644</v>
      </c>
      <c r="J62" s="93">
        <v>45644</v>
      </c>
      <c r="K62" s="93">
        <v>45644</v>
      </c>
      <c r="L62" s="93">
        <v>46487</v>
      </c>
      <c r="M62" s="14">
        <v>300</v>
      </c>
      <c r="N62" s="14">
        <v>300000000000</v>
      </c>
      <c r="O62" s="56">
        <v>99.579689852000001</v>
      </c>
      <c r="P62" s="56">
        <v>3</v>
      </c>
      <c r="Q62" s="14">
        <v>306402631200</v>
      </c>
      <c r="R62">
        <v>3.8868186630000001</v>
      </c>
      <c r="S62" t="s">
        <v>1184</v>
      </c>
      <c r="T62" s="57">
        <f>IF(Dealps[[#This Row],[MATURITY_DATE]]-Dealps[[#This Row],[POSTED_DT]]&lt;0,0,IF(Dealps[[#This Row],[VALUE_DATE]]-Dealps[[#This Row],[POSTED_DT]]&gt;0,Dealps[[#This Row],[MATURITY_DATE]]-Dealps[[#This Row],[VALUE_DATE]],Dealps[[#This Row],[MATURITY_DATE]]-Dealps[[#This Row],[POSTED_DT]]))</f>
        <v>225</v>
      </c>
      <c r="U62" s="25">
        <f>IF(Dealps[[#This Row],[TENOR]]=0,0,IF(Dealps[[#This Row],[DEAL_TYPE]]="B",Dealps[[#This Row],[FACE_AMOUNT]],-Dealps[[#This Row],[FACE_AMOUNT]]))</f>
        <v>-300000000000</v>
      </c>
      <c r="V62" s="25">
        <f>_xlfn.XLOOKUP(Dealps[[#This Row],[PAPER_CODE]],FNRP!D:D,FNRP!H:H,0,0)/100*Dealps[[#This Row],[AMOUNT]]</f>
        <v>0</v>
      </c>
      <c r="W62" s="57" t="str">
        <f>IF(Dealps[[#This Row],[TRANSACTION_STATUS]]&lt;&gt;"V","Ngoai BS",IF(Dealps[[#This Row],[POSTED_DT]]&gt;=Dealps[[#This Row],[VALUE_DATE]],"On BS","Off BS"))</f>
        <v>On BS</v>
      </c>
      <c r="X62" s="25">
        <f>SUMIFS(U:U,C:C,Dealps[[#This Row],[PAPER_CODE]])</f>
        <v>0</v>
      </c>
      <c r="Y62" s="25">
        <f>_xlfn.XLOOKUP(Dealps[[#This Row],[DEAL_ID]],Ref!N:N,Ref!Q:Q,0,0)</f>
        <v>0</v>
      </c>
      <c r="Z62" s="25" t="str">
        <f>IF(Dealps[[#This Row],[CPTY_CODE]]=Dealps[[#This Row],[CPTY_CODE_ISSUER]],"Yes","No")</f>
        <v>No</v>
      </c>
      <c r="AA62" s="25"/>
      <c r="AC62" s="14"/>
      <c r="AG62" s="96"/>
      <c r="AH62" s="14"/>
      <c r="AI62"/>
      <c r="AN62" s="14"/>
      <c r="AV62" s="36"/>
      <c r="AW62" s="14"/>
      <c r="AX62" s="234"/>
      <c r="AY62" s="96"/>
      <c r="AZ62" s="14"/>
      <c r="BA62"/>
      <c r="BB62" s="93">
        <v>46262</v>
      </c>
      <c r="BC62">
        <v>1798</v>
      </c>
      <c r="BD62" s="56" t="s">
        <v>1016</v>
      </c>
      <c r="BE62" t="s">
        <v>1011</v>
      </c>
      <c r="BF62" t="s">
        <v>1015</v>
      </c>
      <c r="BG62" t="s">
        <v>364</v>
      </c>
      <c r="BH62" t="s">
        <v>1013</v>
      </c>
      <c r="BI62" t="s">
        <v>311</v>
      </c>
      <c r="BJ62" s="93">
        <v>45765</v>
      </c>
      <c r="BK62" s="93">
        <v>45765</v>
      </c>
      <c r="BL62" s="93">
        <v>45765</v>
      </c>
      <c r="BM62" s="93">
        <v>46480</v>
      </c>
      <c r="BN62" s="14">
        <v>1</v>
      </c>
      <c r="BO62" s="14">
        <v>10000000000</v>
      </c>
      <c r="BP62" s="56">
        <v>100</v>
      </c>
      <c r="BQ62" s="56">
        <v>0</v>
      </c>
      <c r="BR62" s="14">
        <v>10020547945</v>
      </c>
      <c r="BS62">
        <v>4.9758290000000001</v>
      </c>
      <c r="BT62" t="s">
        <v>1184</v>
      </c>
      <c r="BU62" s="25">
        <f>_xlfn.XLOOKUP(Dealps_MSB[[#This Row],[DEAL_ID]],Ref!V:V,Ref!X:X,0,0)</f>
        <v>0</v>
      </c>
      <c r="BV62"/>
    </row>
    <row r="63" spans="1:74" x14ac:dyDescent="0.3">
      <c r="A63" s="93">
        <v>46262</v>
      </c>
      <c r="B63">
        <v>45160</v>
      </c>
      <c r="C63" s="56" t="s">
        <v>340</v>
      </c>
      <c r="D63" t="s">
        <v>339</v>
      </c>
      <c r="E63" t="s">
        <v>317</v>
      </c>
      <c r="F63" t="s">
        <v>39</v>
      </c>
      <c r="G63" t="s">
        <v>310</v>
      </c>
      <c r="H63" t="s">
        <v>300</v>
      </c>
      <c r="I63" s="93">
        <v>45657</v>
      </c>
      <c r="J63" s="93">
        <v>45657</v>
      </c>
      <c r="K63" s="93">
        <v>45659</v>
      </c>
      <c r="L63" s="93">
        <v>49170</v>
      </c>
      <c r="M63" s="14">
        <v>200000</v>
      </c>
      <c r="N63" s="14">
        <v>20000000000</v>
      </c>
      <c r="O63" s="56">
        <v>100.06950684900001</v>
      </c>
      <c r="P63" s="56">
        <v>3</v>
      </c>
      <c r="Q63" s="14">
        <v>20530000000</v>
      </c>
      <c r="R63">
        <v>7.1467448410000003</v>
      </c>
      <c r="S63" t="s">
        <v>1184</v>
      </c>
      <c r="T63" s="57">
        <f>IF(Dealps[[#This Row],[MATURITY_DATE]]-Dealps[[#This Row],[POSTED_DT]]&lt;0,0,IF(Dealps[[#This Row],[VALUE_DATE]]-Dealps[[#This Row],[POSTED_DT]]&gt;0,Dealps[[#This Row],[MATURITY_DATE]]-Dealps[[#This Row],[VALUE_DATE]],Dealps[[#This Row],[MATURITY_DATE]]-Dealps[[#This Row],[POSTED_DT]]))</f>
        <v>2908</v>
      </c>
      <c r="U63" s="25">
        <f>IF(Dealps[[#This Row],[TENOR]]=0,0,IF(Dealps[[#This Row],[DEAL_TYPE]]="B",Dealps[[#This Row],[FACE_AMOUNT]],-Dealps[[#This Row],[FACE_AMOUNT]]))</f>
        <v>20000000000</v>
      </c>
      <c r="V63" s="25">
        <f>_xlfn.XLOOKUP(Dealps[[#This Row],[PAPER_CODE]],FNRP!D:D,FNRP!H:H,0,0)/100*Dealps[[#This Row],[AMOUNT]]</f>
        <v>0</v>
      </c>
      <c r="W63" s="57" t="str">
        <f>IF(Dealps[[#This Row],[TRANSACTION_STATUS]]&lt;&gt;"V","Ngoai BS",IF(Dealps[[#This Row],[POSTED_DT]]&gt;=Dealps[[#This Row],[VALUE_DATE]],"On BS","Off BS"))</f>
        <v>On BS</v>
      </c>
      <c r="X63" s="25">
        <f>SUMIFS(U:U,C:C,Dealps[[#This Row],[PAPER_CODE]])</f>
        <v>0</v>
      </c>
      <c r="Y63" s="25">
        <f>_xlfn.XLOOKUP(Dealps[[#This Row],[DEAL_ID]],Ref!N:N,Ref!Q:Q,0,0)</f>
        <v>0</v>
      </c>
      <c r="Z63" s="25" t="str">
        <f>IF(Dealps[[#This Row],[CPTY_CODE]]=Dealps[[#This Row],[CPTY_CODE_ISSUER]],"Yes","No")</f>
        <v>No</v>
      </c>
      <c r="AA63" s="25"/>
      <c r="AC63" s="14"/>
      <c r="AG63" s="96"/>
      <c r="AH63" s="14"/>
      <c r="AI63"/>
      <c r="AN63" s="14"/>
      <c r="AV63" s="36"/>
      <c r="AW63" s="14"/>
      <c r="AX63" s="234"/>
      <c r="AY63" s="96"/>
      <c r="AZ63" s="14"/>
      <c r="BA63"/>
      <c r="BB63" s="93">
        <v>46262</v>
      </c>
      <c r="BC63">
        <v>1799</v>
      </c>
      <c r="BD63" s="56" t="s">
        <v>1016</v>
      </c>
      <c r="BE63" t="s">
        <v>1011</v>
      </c>
      <c r="BF63" t="s">
        <v>1015</v>
      </c>
      <c r="BG63" t="s">
        <v>364</v>
      </c>
      <c r="BH63" t="s">
        <v>1013</v>
      </c>
      <c r="BI63" t="s">
        <v>311</v>
      </c>
      <c r="BJ63" s="93">
        <v>45765</v>
      </c>
      <c r="BK63" s="93">
        <v>45765</v>
      </c>
      <c r="BL63" s="93">
        <v>45765</v>
      </c>
      <c r="BM63" s="93">
        <v>46480</v>
      </c>
      <c r="BN63" s="14">
        <v>1</v>
      </c>
      <c r="BO63" s="14">
        <v>10000000000</v>
      </c>
      <c r="BP63" s="56">
        <v>100</v>
      </c>
      <c r="BQ63" s="56">
        <v>0</v>
      </c>
      <c r="BR63" s="14">
        <v>10020547945</v>
      </c>
      <c r="BS63">
        <v>4.9758290000000001</v>
      </c>
      <c r="BT63" t="s">
        <v>1184</v>
      </c>
      <c r="BU63" s="25">
        <f>_xlfn.XLOOKUP(Dealps_MSB[[#This Row],[DEAL_ID]],Ref!V:V,Ref!X:X,0,0)</f>
        <v>0</v>
      </c>
      <c r="BV63"/>
    </row>
    <row r="64" spans="1:74" x14ac:dyDescent="0.3">
      <c r="A64" s="93">
        <v>46262</v>
      </c>
      <c r="B64">
        <v>45161</v>
      </c>
      <c r="C64" s="56" t="s">
        <v>341</v>
      </c>
      <c r="D64" t="s">
        <v>339</v>
      </c>
      <c r="E64" t="s">
        <v>317</v>
      </c>
      <c r="F64" t="s">
        <v>39</v>
      </c>
      <c r="G64" t="s">
        <v>310</v>
      </c>
      <c r="H64" t="s">
        <v>300</v>
      </c>
      <c r="I64" s="93">
        <v>45657</v>
      </c>
      <c r="J64" s="93">
        <v>45657</v>
      </c>
      <c r="K64" s="93">
        <v>45659</v>
      </c>
      <c r="L64" s="93">
        <v>48187</v>
      </c>
      <c r="M64" s="14">
        <v>100000</v>
      </c>
      <c r="N64" s="14">
        <v>10000000000</v>
      </c>
      <c r="O64" s="56">
        <v>100.487561644</v>
      </c>
      <c r="P64" s="56">
        <v>1</v>
      </c>
      <c r="Q64" s="14">
        <v>10100000000</v>
      </c>
      <c r="R64">
        <v>7.0605599960000003</v>
      </c>
      <c r="S64" t="s">
        <v>1184</v>
      </c>
      <c r="T64" s="57">
        <f>IF(Dealps[[#This Row],[MATURITY_DATE]]-Dealps[[#This Row],[POSTED_DT]]&lt;0,0,IF(Dealps[[#This Row],[VALUE_DATE]]-Dealps[[#This Row],[POSTED_DT]]&gt;0,Dealps[[#This Row],[MATURITY_DATE]]-Dealps[[#This Row],[VALUE_DATE]],Dealps[[#This Row],[MATURITY_DATE]]-Dealps[[#This Row],[POSTED_DT]]))</f>
        <v>1925</v>
      </c>
      <c r="U64" s="25">
        <f>IF(Dealps[[#This Row],[TENOR]]=0,0,IF(Dealps[[#This Row],[DEAL_TYPE]]="B",Dealps[[#This Row],[FACE_AMOUNT]],-Dealps[[#This Row],[FACE_AMOUNT]]))</f>
        <v>10000000000</v>
      </c>
      <c r="V64" s="25">
        <f>_xlfn.XLOOKUP(Dealps[[#This Row],[PAPER_CODE]],FNRP!D:D,FNRP!H:H,0,0)/100*Dealps[[#This Row],[AMOUNT]]</f>
        <v>0</v>
      </c>
      <c r="W64" s="57" t="str">
        <f>IF(Dealps[[#This Row],[TRANSACTION_STATUS]]&lt;&gt;"V","Ngoai BS",IF(Dealps[[#This Row],[POSTED_DT]]&gt;=Dealps[[#This Row],[VALUE_DATE]],"On BS","Off BS"))</f>
        <v>On BS</v>
      </c>
      <c r="X64" s="25">
        <f>SUMIFS(U:U,C:C,Dealps[[#This Row],[PAPER_CODE]])</f>
        <v>0</v>
      </c>
      <c r="Y64" s="25">
        <f>_xlfn.XLOOKUP(Dealps[[#This Row],[DEAL_ID]],Ref!N:N,Ref!Q:Q,0,0)</f>
        <v>0</v>
      </c>
      <c r="Z64" s="25" t="str">
        <f>IF(Dealps[[#This Row],[CPTY_CODE]]=Dealps[[#This Row],[CPTY_CODE_ISSUER]],"Yes","No")</f>
        <v>No</v>
      </c>
      <c r="AA64" s="25"/>
      <c r="AC64" s="14"/>
      <c r="AG64" s="96"/>
      <c r="AH64" s="14"/>
      <c r="AI64"/>
      <c r="AN64" s="14"/>
      <c r="AV64" s="36"/>
      <c r="AW64" s="14"/>
      <c r="AX64" s="234"/>
      <c r="AY64" s="96"/>
      <c r="AZ64" s="14"/>
      <c r="BA64"/>
      <c r="BB64" s="93">
        <v>46262</v>
      </c>
      <c r="BC64">
        <v>1801</v>
      </c>
      <c r="BD64" s="56" t="s">
        <v>1016</v>
      </c>
      <c r="BE64" t="s">
        <v>1011</v>
      </c>
      <c r="BF64" t="s">
        <v>1015</v>
      </c>
      <c r="BG64" t="s">
        <v>364</v>
      </c>
      <c r="BH64" t="s">
        <v>1013</v>
      </c>
      <c r="BI64" t="s">
        <v>311</v>
      </c>
      <c r="BJ64" s="93">
        <v>45765</v>
      </c>
      <c r="BK64" s="93">
        <v>45765</v>
      </c>
      <c r="BL64" s="93">
        <v>45765</v>
      </c>
      <c r="BM64" s="93">
        <v>46480</v>
      </c>
      <c r="BN64" s="14">
        <v>1</v>
      </c>
      <c r="BO64" s="14">
        <v>10000000000</v>
      </c>
      <c r="BP64" s="56">
        <v>100</v>
      </c>
      <c r="BQ64" s="56">
        <v>0</v>
      </c>
      <c r="BR64" s="14">
        <v>10020547945</v>
      </c>
      <c r="BS64">
        <v>4.9758290000000001</v>
      </c>
      <c r="BT64" t="s">
        <v>1184</v>
      </c>
      <c r="BU64" s="25">
        <f>_xlfn.XLOOKUP(Dealps_MSB[[#This Row],[DEAL_ID]],Ref!V:V,Ref!X:X,0,0)</f>
        <v>0</v>
      </c>
      <c r="BV64"/>
    </row>
    <row r="65" spans="1:74" x14ac:dyDescent="0.3">
      <c r="A65" s="93">
        <v>46262</v>
      </c>
      <c r="B65">
        <v>45183</v>
      </c>
      <c r="C65" s="56" t="s">
        <v>340</v>
      </c>
      <c r="D65" t="s">
        <v>339</v>
      </c>
      <c r="E65" t="s">
        <v>317</v>
      </c>
      <c r="F65" t="s">
        <v>39</v>
      </c>
      <c r="G65" t="s">
        <v>310</v>
      </c>
      <c r="H65" t="s">
        <v>311</v>
      </c>
      <c r="I65" s="93">
        <v>45660</v>
      </c>
      <c r="J65" s="93">
        <v>45660</v>
      </c>
      <c r="K65" s="93">
        <v>45663</v>
      </c>
      <c r="L65" s="93">
        <v>49170</v>
      </c>
      <c r="M65" s="14">
        <v>200000</v>
      </c>
      <c r="N65" s="14">
        <v>20000000000</v>
      </c>
      <c r="O65" s="56">
        <v>100.09730137</v>
      </c>
      <c r="P65" s="56">
        <v>3</v>
      </c>
      <c r="Q65" s="14">
        <v>20550200000</v>
      </c>
      <c r="R65">
        <v>7.1433220290000001</v>
      </c>
      <c r="S65" t="s">
        <v>1184</v>
      </c>
      <c r="T65" s="57">
        <f>IF(Dealps[[#This Row],[MATURITY_DATE]]-Dealps[[#This Row],[POSTED_DT]]&lt;0,0,IF(Dealps[[#This Row],[VALUE_DATE]]-Dealps[[#This Row],[POSTED_DT]]&gt;0,Dealps[[#This Row],[MATURITY_DATE]]-Dealps[[#This Row],[VALUE_DATE]],Dealps[[#This Row],[MATURITY_DATE]]-Dealps[[#This Row],[POSTED_DT]]))</f>
        <v>2908</v>
      </c>
      <c r="U65" s="25">
        <f>IF(Dealps[[#This Row],[TENOR]]=0,0,IF(Dealps[[#This Row],[DEAL_TYPE]]="B",Dealps[[#This Row],[FACE_AMOUNT]],-Dealps[[#This Row],[FACE_AMOUNT]]))</f>
        <v>-20000000000</v>
      </c>
      <c r="V65" s="25">
        <f>_xlfn.XLOOKUP(Dealps[[#This Row],[PAPER_CODE]],FNRP!D:D,FNRP!H:H,0,0)/100*Dealps[[#This Row],[AMOUNT]]</f>
        <v>0</v>
      </c>
      <c r="W65" s="57" t="str">
        <f>IF(Dealps[[#This Row],[TRANSACTION_STATUS]]&lt;&gt;"V","Ngoai BS",IF(Dealps[[#This Row],[POSTED_DT]]&gt;=Dealps[[#This Row],[VALUE_DATE]],"On BS","Off BS"))</f>
        <v>On BS</v>
      </c>
      <c r="X65" s="25">
        <f>SUMIFS(U:U,C:C,Dealps[[#This Row],[PAPER_CODE]])</f>
        <v>0</v>
      </c>
      <c r="Y65" s="25">
        <f>_xlfn.XLOOKUP(Dealps[[#This Row],[DEAL_ID]],Ref!N:N,Ref!Q:Q,0,0)</f>
        <v>0</v>
      </c>
      <c r="Z65" s="25" t="str">
        <f>IF(Dealps[[#This Row],[CPTY_CODE]]=Dealps[[#This Row],[CPTY_CODE_ISSUER]],"Yes","No")</f>
        <v>No</v>
      </c>
      <c r="AA65" s="25"/>
      <c r="AC65" s="14"/>
      <c r="AG65" s="96"/>
      <c r="AH65" s="14"/>
      <c r="AI65"/>
      <c r="AN65" s="14"/>
      <c r="AV65" s="36"/>
      <c r="AW65" s="14"/>
      <c r="AX65" s="234"/>
      <c r="AY65" s="96"/>
      <c r="AZ65" s="14"/>
      <c r="BA65"/>
      <c r="BB65" s="93">
        <v>46262</v>
      </c>
      <c r="BC65">
        <v>1802</v>
      </c>
      <c r="BD65" s="56" t="s">
        <v>1016</v>
      </c>
      <c r="BE65" t="s">
        <v>1011</v>
      </c>
      <c r="BF65" t="s">
        <v>1015</v>
      </c>
      <c r="BG65" t="s">
        <v>364</v>
      </c>
      <c r="BH65" t="s">
        <v>1013</v>
      </c>
      <c r="BI65" t="s">
        <v>311</v>
      </c>
      <c r="BJ65" s="93">
        <v>45765</v>
      </c>
      <c r="BK65" s="93">
        <v>45765</v>
      </c>
      <c r="BL65" s="93">
        <v>45765</v>
      </c>
      <c r="BM65" s="93">
        <v>46480</v>
      </c>
      <c r="BN65" s="14">
        <v>1</v>
      </c>
      <c r="BO65" s="14">
        <v>10000000000</v>
      </c>
      <c r="BP65" s="56">
        <v>100</v>
      </c>
      <c r="BQ65" s="56">
        <v>0</v>
      </c>
      <c r="BR65" s="14">
        <v>10020547945</v>
      </c>
      <c r="BS65">
        <v>4.9758290000000001</v>
      </c>
      <c r="BT65" t="s">
        <v>1184</v>
      </c>
      <c r="BU65" s="25">
        <f>_xlfn.XLOOKUP(Dealps_MSB[[#This Row],[DEAL_ID]],Ref!V:V,Ref!X:X,0,0)</f>
        <v>0</v>
      </c>
      <c r="BV65"/>
    </row>
    <row r="66" spans="1:74" x14ac:dyDescent="0.3">
      <c r="A66" s="93">
        <v>46262</v>
      </c>
      <c r="B66">
        <v>45184</v>
      </c>
      <c r="C66" s="56" t="s">
        <v>341</v>
      </c>
      <c r="D66" t="s">
        <v>339</v>
      </c>
      <c r="E66" t="s">
        <v>317</v>
      </c>
      <c r="F66" t="s">
        <v>39</v>
      </c>
      <c r="G66" t="s">
        <v>310</v>
      </c>
      <c r="H66" t="s">
        <v>311</v>
      </c>
      <c r="I66" s="93">
        <v>45660</v>
      </c>
      <c r="J66" s="93">
        <v>45660</v>
      </c>
      <c r="K66" s="93">
        <v>45663</v>
      </c>
      <c r="L66" s="93">
        <v>48187</v>
      </c>
      <c r="M66" s="14">
        <v>100000</v>
      </c>
      <c r="N66" s="14">
        <v>10000000000</v>
      </c>
      <c r="O66" s="56">
        <v>100.51435616400001</v>
      </c>
      <c r="P66" s="56">
        <v>1</v>
      </c>
      <c r="Q66" s="14">
        <v>10110000000</v>
      </c>
      <c r="R66">
        <v>7.0559985200000002</v>
      </c>
      <c r="S66" t="s">
        <v>1184</v>
      </c>
      <c r="T66" s="57">
        <f>IF(Dealps[[#This Row],[MATURITY_DATE]]-Dealps[[#This Row],[POSTED_DT]]&lt;0,0,IF(Dealps[[#This Row],[VALUE_DATE]]-Dealps[[#This Row],[POSTED_DT]]&gt;0,Dealps[[#This Row],[MATURITY_DATE]]-Dealps[[#This Row],[VALUE_DATE]],Dealps[[#This Row],[MATURITY_DATE]]-Dealps[[#This Row],[POSTED_DT]]))</f>
        <v>1925</v>
      </c>
      <c r="U66" s="25">
        <f>IF(Dealps[[#This Row],[TENOR]]=0,0,IF(Dealps[[#This Row],[DEAL_TYPE]]="B",Dealps[[#This Row],[FACE_AMOUNT]],-Dealps[[#This Row],[FACE_AMOUNT]]))</f>
        <v>-10000000000</v>
      </c>
      <c r="V66" s="25">
        <f>_xlfn.XLOOKUP(Dealps[[#This Row],[PAPER_CODE]],FNRP!D:D,FNRP!H:H,0,0)/100*Dealps[[#This Row],[AMOUNT]]</f>
        <v>0</v>
      </c>
      <c r="W66" s="57" t="str">
        <f>IF(Dealps[[#This Row],[TRANSACTION_STATUS]]&lt;&gt;"V","Ngoai BS",IF(Dealps[[#This Row],[POSTED_DT]]&gt;=Dealps[[#This Row],[VALUE_DATE]],"On BS","Off BS"))</f>
        <v>On BS</v>
      </c>
      <c r="X66" s="25">
        <f>SUMIFS(U:U,C:C,Dealps[[#This Row],[PAPER_CODE]])</f>
        <v>0</v>
      </c>
      <c r="Y66" s="25">
        <f>_xlfn.XLOOKUP(Dealps[[#This Row],[DEAL_ID]],Ref!N:N,Ref!Q:Q,0,0)</f>
        <v>0</v>
      </c>
      <c r="Z66" s="25" t="str">
        <f>IF(Dealps[[#This Row],[CPTY_CODE]]=Dealps[[#This Row],[CPTY_CODE_ISSUER]],"Yes","No")</f>
        <v>No</v>
      </c>
      <c r="AA66" s="25"/>
      <c r="AC66" s="14"/>
      <c r="AG66" s="96"/>
      <c r="AH66" s="14"/>
      <c r="AI66"/>
      <c r="AN66" s="14"/>
      <c r="AV66" s="36"/>
      <c r="AW66" s="14"/>
      <c r="AX66" s="234"/>
      <c r="AY66" s="96"/>
      <c r="AZ66" s="14"/>
      <c r="BA66"/>
      <c r="BB66" s="93">
        <v>46262</v>
      </c>
      <c r="BC66">
        <v>1803</v>
      </c>
      <c r="BD66" s="56" t="s">
        <v>1016</v>
      </c>
      <c r="BE66" t="s">
        <v>1011</v>
      </c>
      <c r="BF66" t="s">
        <v>1015</v>
      </c>
      <c r="BG66" t="s">
        <v>364</v>
      </c>
      <c r="BH66" t="s">
        <v>1013</v>
      </c>
      <c r="BI66" t="s">
        <v>311</v>
      </c>
      <c r="BJ66" s="93">
        <v>45765</v>
      </c>
      <c r="BK66" s="93">
        <v>45765</v>
      </c>
      <c r="BL66" s="93">
        <v>45765</v>
      </c>
      <c r="BM66" s="93">
        <v>46480</v>
      </c>
      <c r="BN66" s="14">
        <v>1</v>
      </c>
      <c r="BO66" s="14">
        <v>10000000000</v>
      </c>
      <c r="BP66" s="56">
        <v>100</v>
      </c>
      <c r="BQ66" s="56">
        <v>0</v>
      </c>
      <c r="BR66" s="14">
        <v>10020547945</v>
      </c>
      <c r="BS66">
        <v>4.9758290000000001</v>
      </c>
      <c r="BT66" t="s">
        <v>1184</v>
      </c>
      <c r="BU66" s="25">
        <f>_xlfn.XLOOKUP(Dealps_MSB[[#This Row],[DEAL_ID]],Ref!V:V,Ref!X:X,0,0)</f>
        <v>0</v>
      </c>
      <c r="BV66"/>
    </row>
    <row r="67" spans="1:74" x14ac:dyDescent="0.3">
      <c r="A67" s="93">
        <v>46262</v>
      </c>
      <c r="B67">
        <v>45723</v>
      </c>
      <c r="C67" s="56" t="s">
        <v>464</v>
      </c>
      <c r="D67" t="s">
        <v>315</v>
      </c>
      <c r="E67" t="s">
        <v>327</v>
      </c>
      <c r="F67" t="s">
        <v>35</v>
      </c>
      <c r="G67" t="s">
        <v>310</v>
      </c>
      <c r="H67" t="s">
        <v>300</v>
      </c>
      <c r="I67" s="93">
        <v>45734</v>
      </c>
      <c r="J67" s="93">
        <v>45735</v>
      </c>
      <c r="K67" s="93">
        <v>45735</v>
      </c>
      <c r="L67" s="93">
        <v>46593</v>
      </c>
      <c r="M67" s="14">
        <v>3000</v>
      </c>
      <c r="N67" s="14">
        <v>300000000000</v>
      </c>
      <c r="O67" s="56">
        <v>100.044185877</v>
      </c>
      <c r="P67" s="56">
        <v>4</v>
      </c>
      <c r="Q67" s="14">
        <v>310748859000</v>
      </c>
      <c r="R67">
        <v>5.4142430089999998</v>
      </c>
      <c r="S67" t="s">
        <v>1184</v>
      </c>
      <c r="T67" s="57">
        <f>IF(Dealps[[#This Row],[MATURITY_DATE]]-Dealps[[#This Row],[POSTED_DT]]&lt;0,0,IF(Dealps[[#This Row],[VALUE_DATE]]-Dealps[[#This Row],[POSTED_DT]]&gt;0,Dealps[[#This Row],[MATURITY_DATE]]-Dealps[[#This Row],[VALUE_DATE]],Dealps[[#This Row],[MATURITY_DATE]]-Dealps[[#This Row],[POSTED_DT]]))</f>
        <v>331</v>
      </c>
      <c r="U67" s="25">
        <f>IF(Dealps[[#This Row],[TENOR]]=0,0,IF(Dealps[[#This Row],[DEAL_TYPE]]="B",Dealps[[#This Row],[FACE_AMOUNT]],-Dealps[[#This Row],[FACE_AMOUNT]]))</f>
        <v>300000000000</v>
      </c>
      <c r="V67" s="25">
        <f>_xlfn.XLOOKUP(Dealps[[#This Row],[PAPER_CODE]],FNRP!D:D,FNRP!H:H,0,0)/100*Dealps[[#This Row],[AMOUNT]]</f>
        <v>0</v>
      </c>
      <c r="W67" s="57" t="str">
        <f>IF(Dealps[[#This Row],[TRANSACTION_STATUS]]&lt;&gt;"V","Ngoai BS",IF(Dealps[[#This Row],[POSTED_DT]]&gt;=Dealps[[#This Row],[VALUE_DATE]],"On BS","Off BS"))</f>
        <v>On BS</v>
      </c>
      <c r="X67" s="25">
        <f>SUMIFS(U:U,C:C,Dealps[[#This Row],[PAPER_CODE]])</f>
        <v>0</v>
      </c>
      <c r="Y67" s="25">
        <f>_xlfn.XLOOKUP(Dealps[[#This Row],[DEAL_ID]],Ref!N:N,Ref!Q:Q,0,0)</f>
        <v>0</v>
      </c>
      <c r="Z67" s="25" t="str">
        <f>IF(Dealps[[#This Row],[CPTY_CODE]]=Dealps[[#This Row],[CPTY_CODE_ISSUER]],"Yes","No")</f>
        <v>No</v>
      </c>
      <c r="AA67" s="25"/>
      <c r="AC67" s="14"/>
      <c r="AG67" s="96"/>
      <c r="AH67" s="14"/>
      <c r="AI67"/>
      <c r="AN67" s="14"/>
      <c r="AV67" s="36"/>
      <c r="AW67" s="14"/>
      <c r="AX67" s="234"/>
      <c r="AY67" s="96"/>
      <c r="AZ67" s="14"/>
      <c r="BA67"/>
      <c r="BB67" s="93">
        <v>46262</v>
      </c>
      <c r="BC67">
        <v>1804</v>
      </c>
      <c r="BD67" s="56" t="s">
        <v>1016</v>
      </c>
      <c r="BE67" t="s">
        <v>1011</v>
      </c>
      <c r="BF67" t="s">
        <v>1015</v>
      </c>
      <c r="BG67" t="s">
        <v>364</v>
      </c>
      <c r="BH67" t="s">
        <v>1013</v>
      </c>
      <c r="BI67" t="s">
        <v>311</v>
      </c>
      <c r="BJ67" s="93">
        <v>45768</v>
      </c>
      <c r="BK67" s="93">
        <v>45768</v>
      </c>
      <c r="BL67" s="93">
        <v>45768</v>
      </c>
      <c r="BM67" s="93">
        <v>46480</v>
      </c>
      <c r="BN67" s="14">
        <v>1</v>
      </c>
      <c r="BO67" s="14">
        <v>10000000000</v>
      </c>
      <c r="BP67" s="56">
        <v>100</v>
      </c>
      <c r="BQ67" s="56">
        <v>0</v>
      </c>
      <c r="BR67" s="14">
        <v>10024657534</v>
      </c>
      <c r="BS67">
        <v>4.9737299999999998</v>
      </c>
      <c r="BT67" t="s">
        <v>1184</v>
      </c>
      <c r="BU67" s="25">
        <f>_xlfn.XLOOKUP(Dealps_MSB[[#This Row],[DEAL_ID]],Ref!V:V,Ref!X:X,0,0)</f>
        <v>0</v>
      </c>
      <c r="BV67"/>
    </row>
    <row r="68" spans="1:74" x14ac:dyDescent="0.3">
      <c r="A68" s="93">
        <v>46262</v>
      </c>
      <c r="B68">
        <v>45725</v>
      </c>
      <c r="C68" s="56" t="s">
        <v>259</v>
      </c>
      <c r="D68" t="s">
        <v>315</v>
      </c>
      <c r="E68" t="s">
        <v>327</v>
      </c>
      <c r="F68" t="s">
        <v>35</v>
      </c>
      <c r="G68" t="s">
        <v>310</v>
      </c>
      <c r="H68" t="s">
        <v>300</v>
      </c>
      <c r="I68" s="93">
        <v>45734</v>
      </c>
      <c r="J68" s="93">
        <v>45735</v>
      </c>
      <c r="K68" s="93">
        <v>45735</v>
      </c>
      <c r="L68" s="93">
        <v>46600</v>
      </c>
      <c r="M68" s="14">
        <v>3000</v>
      </c>
      <c r="N68" s="14">
        <v>300000000000</v>
      </c>
      <c r="O68" s="56">
        <v>100.063474425</v>
      </c>
      <c r="P68" s="56">
        <v>3</v>
      </c>
      <c r="Q68" s="14">
        <v>310493163000</v>
      </c>
      <c r="R68">
        <v>5.4053048910000001</v>
      </c>
      <c r="S68" t="s">
        <v>1184</v>
      </c>
      <c r="T68" s="57">
        <f>IF(Dealps[[#This Row],[MATURITY_DATE]]-Dealps[[#This Row],[POSTED_DT]]&lt;0,0,IF(Dealps[[#This Row],[VALUE_DATE]]-Dealps[[#This Row],[POSTED_DT]]&gt;0,Dealps[[#This Row],[MATURITY_DATE]]-Dealps[[#This Row],[VALUE_DATE]],Dealps[[#This Row],[MATURITY_DATE]]-Dealps[[#This Row],[POSTED_DT]]))</f>
        <v>338</v>
      </c>
      <c r="U68" s="25">
        <f>IF(Dealps[[#This Row],[TENOR]]=0,0,IF(Dealps[[#This Row],[DEAL_TYPE]]="B",Dealps[[#This Row],[FACE_AMOUNT]],-Dealps[[#This Row],[FACE_AMOUNT]]))</f>
        <v>300000000000</v>
      </c>
      <c r="V68" s="25">
        <f>_xlfn.XLOOKUP(Dealps[[#This Row],[PAPER_CODE]],FNRP!D:D,FNRP!H:H,0,0)/100*Dealps[[#This Row],[AMOUNT]]</f>
        <v>0</v>
      </c>
      <c r="W68" s="57" t="str">
        <f>IF(Dealps[[#This Row],[TRANSACTION_STATUS]]&lt;&gt;"V","Ngoai BS",IF(Dealps[[#This Row],[POSTED_DT]]&gt;=Dealps[[#This Row],[VALUE_DATE]],"On BS","Off BS"))</f>
        <v>On BS</v>
      </c>
      <c r="X68" s="25">
        <f>SUMIFS(U:U,C:C,Dealps[[#This Row],[PAPER_CODE]])</f>
        <v>0</v>
      </c>
      <c r="Y68" s="25">
        <f>_xlfn.XLOOKUP(Dealps[[#This Row],[DEAL_ID]],Ref!N:N,Ref!Q:Q,0,0)</f>
        <v>0</v>
      </c>
      <c r="Z68" s="25" t="str">
        <f>IF(Dealps[[#This Row],[CPTY_CODE]]=Dealps[[#This Row],[CPTY_CODE_ISSUER]],"Yes","No")</f>
        <v>No</v>
      </c>
      <c r="AA68" s="25"/>
      <c r="AC68" s="14"/>
      <c r="AG68" s="96"/>
      <c r="AH68" s="14"/>
      <c r="AI68"/>
      <c r="AN68" s="14"/>
      <c r="AV68" s="36"/>
      <c r="AW68" s="14"/>
      <c r="AX68" s="234"/>
      <c r="AY68" s="96"/>
      <c r="AZ68" s="14"/>
      <c r="BA68"/>
      <c r="BB68" s="93">
        <v>46262</v>
      </c>
      <c r="BC68">
        <v>1805</v>
      </c>
      <c r="BD68" s="56" t="s">
        <v>1016</v>
      </c>
      <c r="BE68" t="s">
        <v>1011</v>
      </c>
      <c r="BF68" t="s">
        <v>1015</v>
      </c>
      <c r="BG68" t="s">
        <v>364</v>
      </c>
      <c r="BH68" t="s">
        <v>1013</v>
      </c>
      <c r="BI68" t="s">
        <v>311</v>
      </c>
      <c r="BJ68" s="93">
        <v>45768</v>
      </c>
      <c r="BK68" s="93">
        <v>45768</v>
      </c>
      <c r="BL68" s="93">
        <v>45768</v>
      </c>
      <c r="BM68" s="93">
        <v>46480</v>
      </c>
      <c r="BN68" s="14">
        <v>1</v>
      </c>
      <c r="BO68" s="14">
        <v>10000000000</v>
      </c>
      <c r="BP68" s="56">
        <v>100</v>
      </c>
      <c r="BQ68" s="56">
        <v>0</v>
      </c>
      <c r="BR68" s="14">
        <v>10024657534</v>
      </c>
      <c r="BS68">
        <v>4.9737299999999998</v>
      </c>
      <c r="BT68" t="s">
        <v>1184</v>
      </c>
      <c r="BU68" s="25">
        <f>_xlfn.XLOOKUP(Dealps_MSB[[#This Row],[DEAL_ID]],Ref!V:V,Ref!X:X,0,0)</f>
        <v>0</v>
      </c>
      <c r="BV68"/>
    </row>
    <row r="69" spans="1:74" x14ac:dyDescent="0.3">
      <c r="A69" s="93">
        <v>46262</v>
      </c>
      <c r="B69">
        <v>45727</v>
      </c>
      <c r="C69" s="56" t="s">
        <v>465</v>
      </c>
      <c r="D69" t="s">
        <v>315</v>
      </c>
      <c r="E69" t="s">
        <v>327</v>
      </c>
      <c r="F69" t="s">
        <v>35</v>
      </c>
      <c r="G69" t="s">
        <v>310</v>
      </c>
      <c r="H69" t="s">
        <v>300</v>
      </c>
      <c r="I69" s="93">
        <v>45734</v>
      </c>
      <c r="J69" s="93">
        <v>45735</v>
      </c>
      <c r="K69" s="93">
        <v>45735</v>
      </c>
      <c r="L69" s="93">
        <v>46604</v>
      </c>
      <c r="M69" s="14">
        <v>3000</v>
      </c>
      <c r="N69" s="14">
        <v>300000000000</v>
      </c>
      <c r="O69" s="56">
        <v>100.06645745199999</v>
      </c>
      <c r="P69" s="56">
        <v>3</v>
      </c>
      <c r="Q69" s="14">
        <v>310322934000</v>
      </c>
      <c r="R69">
        <v>5.4039567589999997</v>
      </c>
      <c r="S69" t="s">
        <v>1184</v>
      </c>
      <c r="T69" s="57">
        <f>IF(Dealps[[#This Row],[MATURITY_DATE]]-Dealps[[#This Row],[POSTED_DT]]&lt;0,0,IF(Dealps[[#This Row],[VALUE_DATE]]-Dealps[[#This Row],[POSTED_DT]]&gt;0,Dealps[[#This Row],[MATURITY_DATE]]-Dealps[[#This Row],[VALUE_DATE]],Dealps[[#This Row],[MATURITY_DATE]]-Dealps[[#This Row],[POSTED_DT]]))</f>
        <v>342</v>
      </c>
      <c r="U69" s="25">
        <f>IF(Dealps[[#This Row],[TENOR]]=0,0,IF(Dealps[[#This Row],[DEAL_TYPE]]="B",Dealps[[#This Row],[FACE_AMOUNT]],-Dealps[[#This Row],[FACE_AMOUNT]]))</f>
        <v>300000000000</v>
      </c>
      <c r="V69" s="25">
        <f>_xlfn.XLOOKUP(Dealps[[#This Row],[PAPER_CODE]],FNRP!D:D,FNRP!H:H,0,0)/100*Dealps[[#This Row],[AMOUNT]]</f>
        <v>0</v>
      </c>
      <c r="W69" s="57" t="str">
        <f>IF(Dealps[[#This Row],[TRANSACTION_STATUS]]&lt;&gt;"V","Ngoai BS",IF(Dealps[[#This Row],[POSTED_DT]]&gt;=Dealps[[#This Row],[VALUE_DATE]],"On BS","Off BS"))</f>
        <v>On BS</v>
      </c>
      <c r="X69" s="25">
        <f>SUMIFS(U:U,C:C,Dealps[[#This Row],[PAPER_CODE]])</f>
        <v>0</v>
      </c>
      <c r="Y69" s="25">
        <f>_xlfn.XLOOKUP(Dealps[[#This Row],[DEAL_ID]],Ref!N:N,Ref!Q:Q,0,0)</f>
        <v>0</v>
      </c>
      <c r="Z69" s="25" t="str">
        <f>IF(Dealps[[#This Row],[CPTY_CODE]]=Dealps[[#This Row],[CPTY_CODE_ISSUER]],"Yes","No")</f>
        <v>No</v>
      </c>
      <c r="AA69" s="25"/>
      <c r="AC69" s="14"/>
      <c r="AG69" s="96"/>
      <c r="AH69" s="14"/>
      <c r="AI69"/>
      <c r="AN69" s="14"/>
      <c r="AV69" s="36"/>
      <c r="AW69" s="14"/>
      <c r="AX69" s="234"/>
      <c r="AY69" s="96"/>
      <c r="AZ69" s="14"/>
      <c r="BA69"/>
      <c r="BB69" s="93">
        <v>46262</v>
      </c>
      <c r="BC69">
        <v>1806</v>
      </c>
      <c r="BD69" s="56" t="s">
        <v>1016</v>
      </c>
      <c r="BE69" t="s">
        <v>1011</v>
      </c>
      <c r="BF69" t="s">
        <v>1015</v>
      </c>
      <c r="BG69" t="s">
        <v>364</v>
      </c>
      <c r="BH69" t="s">
        <v>1013</v>
      </c>
      <c r="BI69" t="s">
        <v>311</v>
      </c>
      <c r="BJ69" s="93">
        <v>45768</v>
      </c>
      <c r="BK69" s="93">
        <v>45768</v>
      </c>
      <c r="BL69" s="93">
        <v>45768</v>
      </c>
      <c r="BM69" s="93">
        <v>46480</v>
      </c>
      <c r="BN69" s="14">
        <v>1</v>
      </c>
      <c r="BO69" s="14">
        <v>10000000000</v>
      </c>
      <c r="BP69" s="56">
        <v>100</v>
      </c>
      <c r="BQ69" s="56">
        <v>0</v>
      </c>
      <c r="BR69" s="14">
        <v>10024657534</v>
      </c>
      <c r="BS69">
        <v>4.9737299999999998</v>
      </c>
      <c r="BT69" t="s">
        <v>1184</v>
      </c>
      <c r="BU69" s="25">
        <f>_xlfn.XLOOKUP(Dealps_MSB[[#This Row],[DEAL_ID]],Ref!V:V,Ref!X:X,0,0)</f>
        <v>0</v>
      </c>
      <c r="BV69"/>
    </row>
    <row r="70" spans="1:74" x14ac:dyDescent="0.3">
      <c r="A70" s="93">
        <v>46262</v>
      </c>
      <c r="B70">
        <v>45729</v>
      </c>
      <c r="C70" s="56" t="s">
        <v>466</v>
      </c>
      <c r="D70" t="s">
        <v>309</v>
      </c>
      <c r="E70" t="s">
        <v>327</v>
      </c>
      <c r="F70" t="s">
        <v>35</v>
      </c>
      <c r="G70" t="s">
        <v>310</v>
      </c>
      <c r="H70" t="s">
        <v>300</v>
      </c>
      <c r="I70" s="93">
        <v>45734</v>
      </c>
      <c r="J70" s="93">
        <v>45736</v>
      </c>
      <c r="K70" s="93">
        <v>45736</v>
      </c>
      <c r="L70" s="93">
        <v>46621</v>
      </c>
      <c r="M70" s="14">
        <v>300</v>
      </c>
      <c r="N70" s="14">
        <v>300000000000</v>
      </c>
      <c r="O70" s="56">
        <v>99.935362277999999</v>
      </c>
      <c r="P70" s="56">
        <v>3</v>
      </c>
      <c r="Q70" s="14">
        <v>308781429300</v>
      </c>
      <c r="R70">
        <v>5.2145289469999998</v>
      </c>
      <c r="S70" t="s">
        <v>1184</v>
      </c>
      <c r="T70" s="57">
        <f>IF(Dealps[[#This Row],[MATURITY_DATE]]-Dealps[[#This Row],[POSTED_DT]]&lt;0,0,IF(Dealps[[#This Row],[VALUE_DATE]]-Dealps[[#This Row],[POSTED_DT]]&gt;0,Dealps[[#This Row],[MATURITY_DATE]]-Dealps[[#This Row],[VALUE_DATE]],Dealps[[#This Row],[MATURITY_DATE]]-Dealps[[#This Row],[POSTED_DT]]))</f>
        <v>359</v>
      </c>
      <c r="U70" s="25">
        <f>IF(Dealps[[#This Row],[TENOR]]=0,0,IF(Dealps[[#This Row],[DEAL_TYPE]]="B",Dealps[[#This Row],[FACE_AMOUNT]],-Dealps[[#This Row],[FACE_AMOUNT]]))</f>
        <v>300000000000</v>
      </c>
      <c r="V70" s="25">
        <f>_xlfn.XLOOKUP(Dealps[[#This Row],[PAPER_CODE]],FNRP!D:D,FNRP!H:H,0,0)/100*Dealps[[#This Row],[AMOUNT]]</f>
        <v>0</v>
      </c>
      <c r="W70" s="57" t="str">
        <f>IF(Dealps[[#This Row],[TRANSACTION_STATUS]]&lt;&gt;"V","Ngoai BS",IF(Dealps[[#This Row],[POSTED_DT]]&gt;=Dealps[[#This Row],[VALUE_DATE]],"On BS","Off BS"))</f>
        <v>On BS</v>
      </c>
      <c r="X70" s="25">
        <f>SUMIFS(U:U,C:C,Dealps[[#This Row],[PAPER_CODE]])</f>
        <v>0</v>
      </c>
      <c r="Y70" s="25">
        <f>_xlfn.XLOOKUP(Dealps[[#This Row],[DEAL_ID]],Ref!N:N,Ref!Q:Q,0,0)</f>
        <v>0</v>
      </c>
      <c r="Z70" s="25" t="str">
        <f>IF(Dealps[[#This Row],[CPTY_CODE]]=Dealps[[#This Row],[CPTY_CODE_ISSUER]],"Yes","No")</f>
        <v>No</v>
      </c>
      <c r="AA70" s="25"/>
      <c r="AC70" s="14"/>
      <c r="AG70" s="96"/>
      <c r="AH70" s="14"/>
      <c r="AI70"/>
      <c r="AN70" s="14"/>
      <c r="AV70" s="36"/>
      <c r="AW70" s="14"/>
      <c r="AX70" s="234"/>
      <c r="AY70" s="96"/>
      <c r="AZ70" s="14"/>
      <c r="BA70"/>
      <c r="BB70" s="93">
        <v>46262</v>
      </c>
      <c r="BC70">
        <v>1825</v>
      </c>
      <c r="BD70" s="56" t="s">
        <v>1016</v>
      </c>
      <c r="BE70" t="s">
        <v>1011</v>
      </c>
      <c r="BF70" t="s">
        <v>1015</v>
      </c>
      <c r="BG70" t="s">
        <v>364</v>
      </c>
      <c r="BH70" t="s">
        <v>1013</v>
      </c>
      <c r="BI70" t="s">
        <v>311</v>
      </c>
      <c r="BJ70" s="93">
        <v>45769</v>
      </c>
      <c r="BK70" s="93">
        <v>45769</v>
      </c>
      <c r="BL70" s="93">
        <v>45769</v>
      </c>
      <c r="BM70" s="93">
        <v>46480</v>
      </c>
      <c r="BN70" s="14">
        <v>1</v>
      </c>
      <c r="BO70" s="14">
        <v>10000000000</v>
      </c>
      <c r="BP70" s="56">
        <v>100</v>
      </c>
      <c r="BQ70" s="56">
        <v>0</v>
      </c>
      <c r="BR70" s="14">
        <v>10026027397</v>
      </c>
      <c r="BS70">
        <v>4.9730309999999998</v>
      </c>
      <c r="BT70" t="s">
        <v>1184</v>
      </c>
      <c r="BU70" s="25">
        <f>_xlfn.XLOOKUP(Dealps_MSB[[#This Row],[DEAL_ID]],Ref!V:V,Ref!X:X,0,0)</f>
        <v>0</v>
      </c>
      <c r="BV70"/>
    </row>
    <row r="71" spans="1:74" x14ac:dyDescent="0.3">
      <c r="A71" s="93">
        <v>46262</v>
      </c>
      <c r="B71">
        <v>45732</v>
      </c>
      <c r="C71" s="56" t="s">
        <v>463</v>
      </c>
      <c r="D71" t="s">
        <v>309</v>
      </c>
      <c r="E71" t="s">
        <v>327</v>
      </c>
      <c r="F71" t="s">
        <v>35</v>
      </c>
      <c r="G71" t="s">
        <v>310</v>
      </c>
      <c r="H71" t="s">
        <v>300</v>
      </c>
      <c r="I71" s="93">
        <v>45734</v>
      </c>
      <c r="J71" s="93">
        <v>45736</v>
      </c>
      <c r="K71" s="93">
        <v>45736</v>
      </c>
      <c r="L71" s="93">
        <v>46627</v>
      </c>
      <c r="M71" s="14">
        <v>300</v>
      </c>
      <c r="N71" s="14">
        <v>300000000000</v>
      </c>
      <c r="O71" s="56">
        <v>99.934832929999999</v>
      </c>
      <c r="P71" s="56">
        <v>3</v>
      </c>
      <c r="Q71" s="14">
        <v>308523402900</v>
      </c>
      <c r="R71">
        <v>5.2145470879999998</v>
      </c>
      <c r="S71" t="s">
        <v>1184</v>
      </c>
      <c r="T71" s="57">
        <f>IF(Dealps[[#This Row],[MATURITY_DATE]]-Dealps[[#This Row],[POSTED_DT]]&lt;0,0,IF(Dealps[[#This Row],[VALUE_DATE]]-Dealps[[#This Row],[POSTED_DT]]&gt;0,Dealps[[#This Row],[MATURITY_DATE]]-Dealps[[#This Row],[VALUE_DATE]],Dealps[[#This Row],[MATURITY_DATE]]-Dealps[[#This Row],[POSTED_DT]]))</f>
        <v>365</v>
      </c>
      <c r="U71" s="25">
        <f>IF(Dealps[[#This Row],[TENOR]]=0,0,IF(Dealps[[#This Row],[DEAL_TYPE]]="B",Dealps[[#This Row],[FACE_AMOUNT]],-Dealps[[#This Row],[FACE_AMOUNT]]))</f>
        <v>300000000000</v>
      </c>
      <c r="V71" s="25">
        <f>_xlfn.XLOOKUP(Dealps[[#This Row],[PAPER_CODE]],FNRP!D:D,FNRP!H:H,0,0)/100*Dealps[[#This Row],[AMOUNT]]</f>
        <v>0</v>
      </c>
      <c r="W71" s="57" t="str">
        <f>IF(Dealps[[#This Row],[TRANSACTION_STATUS]]&lt;&gt;"V","Ngoai BS",IF(Dealps[[#This Row],[POSTED_DT]]&gt;=Dealps[[#This Row],[VALUE_DATE]],"On BS","Off BS"))</f>
        <v>On BS</v>
      </c>
      <c r="X71" s="25">
        <f>SUMIFS(U:U,C:C,Dealps[[#This Row],[PAPER_CODE]])</f>
        <v>0</v>
      </c>
      <c r="Y71" s="25">
        <f>_xlfn.XLOOKUP(Dealps[[#This Row],[DEAL_ID]],Ref!N:N,Ref!Q:Q,0,0)</f>
        <v>0</v>
      </c>
      <c r="Z71" s="25" t="str">
        <f>IF(Dealps[[#This Row],[CPTY_CODE]]=Dealps[[#This Row],[CPTY_CODE_ISSUER]],"Yes","No")</f>
        <v>No</v>
      </c>
      <c r="AA71" s="25"/>
      <c r="AC71" s="14"/>
      <c r="AG71" s="96"/>
      <c r="AH71" s="14"/>
      <c r="AI71"/>
      <c r="AN71" s="14"/>
      <c r="AV71" s="36"/>
      <c r="AW71" s="14"/>
      <c r="AX71" s="234"/>
      <c r="AY71" s="96"/>
      <c r="AZ71" s="14"/>
      <c r="BA71"/>
      <c r="BB71" s="93">
        <v>46262</v>
      </c>
      <c r="BC71">
        <v>1837</v>
      </c>
      <c r="BD71" s="56" t="s">
        <v>1016</v>
      </c>
      <c r="BE71" t="s">
        <v>1011</v>
      </c>
      <c r="BF71" t="s">
        <v>1015</v>
      </c>
      <c r="BG71" t="s">
        <v>364</v>
      </c>
      <c r="BH71" t="s">
        <v>1013</v>
      </c>
      <c r="BI71" t="s">
        <v>311</v>
      </c>
      <c r="BJ71" s="93">
        <v>45771</v>
      </c>
      <c r="BK71" s="93">
        <v>45772</v>
      </c>
      <c r="BL71" s="93">
        <v>45772</v>
      </c>
      <c r="BM71" s="93">
        <v>46480</v>
      </c>
      <c r="BN71" s="14">
        <v>1</v>
      </c>
      <c r="BO71" s="14">
        <v>10000000000</v>
      </c>
      <c r="BP71" s="56">
        <v>100</v>
      </c>
      <c r="BQ71" s="56">
        <v>0</v>
      </c>
      <c r="BR71" s="14">
        <v>10030136986</v>
      </c>
      <c r="BS71">
        <v>4.9709349999999999</v>
      </c>
      <c r="BT71" t="s">
        <v>1184</v>
      </c>
      <c r="BU71" s="25">
        <f>_xlfn.XLOOKUP(Dealps_MSB[[#This Row],[DEAL_ID]],Ref!V:V,Ref!X:X,0,0)</f>
        <v>0</v>
      </c>
      <c r="BV71"/>
    </row>
    <row r="72" spans="1:74" x14ac:dyDescent="0.3">
      <c r="A72" s="93">
        <v>46262</v>
      </c>
      <c r="B72">
        <v>45734</v>
      </c>
      <c r="C72" s="56" t="s">
        <v>467</v>
      </c>
      <c r="D72" t="s">
        <v>309</v>
      </c>
      <c r="E72" t="s">
        <v>327</v>
      </c>
      <c r="F72" t="s">
        <v>35</v>
      </c>
      <c r="G72" t="s">
        <v>310</v>
      </c>
      <c r="H72" t="s">
        <v>300</v>
      </c>
      <c r="I72" s="93">
        <v>45734</v>
      </c>
      <c r="J72" s="93">
        <v>45736</v>
      </c>
      <c r="K72" s="93">
        <v>45736</v>
      </c>
      <c r="L72" s="93">
        <v>46663</v>
      </c>
      <c r="M72" s="14">
        <v>280</v>
      </c>
      <c r="N72" s="14">
        <v>280000000000</v>
      </c>
      <c r="O72" s="56">
        <v>99.883417840000007</v>
      </c>
      <c r="P72" s="56">
        <v>2</v>
      </c>
      <c r="Q72" s="14">
        <v>286246282280</v>
      </c>
      <c r="R72">
        <v>5.1364958700000001</v>
      </c>
      <c r="S72" t="s">
        <v>1184</v>
      </c>
      <c r="T72" s="57">
        <f>IF(Dealps[[#This Row],[MATURITY_DATE]]-Dealps[[#This Row],[POSTED_DT]]&lt;0,0,IF(Dealps[[#This Row],[VALUE_DATE]]-Dealps[[#This Row],[POSTED_DT]]&gt;0,Dealps[[#This Row],[MATURITY_DATE]]-Dealps[[#This Row],[VALUE_DATE]],Dealps[[#This Row],[MATURITY_DATE]]-Dealps[[#This Row],[POSTED_DT]]))</f>
        <v>401</v>
      </c>
      <c r="U72" s="25">
        <f>IF(Dealps[[#This Row],[TENOR]]=0,0,IF(Dealps[[#This Row],[DEAL_TYPE]]="B",Dealps[[#This Row],[FACE_AMOUNT]],-Dealps[[#This Row],[FACE_AMOUNT]]))</f>
        <v>280000000000</v>
      </c>
      <c r="V72" s="25">
        <f>_xlfn.XLOOKUP(Dealps[[#This Row],[PAPER_CODE]],FNRP!D:D,FNRP!H:H,0,0)/100*Dealps[[#This Row],[AMOUNT]]</f>
        <v>0</v>
      </c>
      <c r="W72" s="57" t="str">
        <f>IF(Dealps[[#This Row],[TRANSACTION_STATUS]]&lt;&gt;"V","Ngoai BS",IF(Dealps[[#This Row],[POSTED_DT]]&gt;=Dealps[[#This Row],[VALUE_DATE]],"On BS","Off BS"))</f>
        <v>On BS</v>
      </c>
      <c r="X72" s="25">
        <f>SUMIFS(U:U,C:C,Dealps[[#This Row],[PAPER_CODE]])</f>
        <v>0</v>
      </c>
      <c r="Y72" s="25">
        <f>_xlfn.XLOOKUP(Dealps[[#This Row],[DEAL_ID]],Ref!N:N,Ref!Q:Q,0,0)</f>
        <v>0</v>
      </c>
      <c r="Z72" s="25" t="str">
        <f>IF(Dealps[[#This Row],[CPTY_CODE]]=Dealps[[#This Row],[CPTY_CODE_ISSUER]],"Yes","No")</f>
        <v>No</v>
      </c>
      <c r="AA72" s="25"/>
      <c r="AC72" s="14"/>
      <c r="AG72" s="96"/>
      <c r="AH72" s="14"/>
      <c r="AI72"/>
      <c r="AN72" s="14"/>
      <c r="AV72" s="36"/>
      <c r="AW72" s="14"/>
      <c r="AX72" s="234"/>
      <c r="AY72" s="96"/>
      <c r="AZ72" s="14"/>
      <c r="BA72"/>
      <c r="BB72" s="93">
        <v>46262</v>
      </c>
      <c r="BC72">
        <v>1838</v>
      </c>
      <c r="BD72" s="56" t="s">
        <v>1016</v>
      </c>
      <c r="BE72" t="s">
        <v>1011</v>
      </c>
      <c r="BF72" t="s">
        <v>1015</v>
      </c>
      <c r="BG72" t="s">
        <v>364</v>
      </c>
      <c r="BH72" t="s">
        <v>1013</v>
      </c>
      <c r="BI72" t="s">
        <v>311</v>
      </c>
      <c r="BJ72" s="93">
        <v>45771</v>
      </c>
      <c r="BK72" s="93">
        <v>45772</v>
      </c>
      <c r="BL72" s="93">
        <v>45772</v>
      </c>
      <c r="BM72" s="93">
        <v>46480</v>
      </c>
      <c r="BN72" s="14">
        <v>1</v>
      </c>
      <c r="BO72" s="14">
        <v>10000000000</v>
      </c>
      <c r="BP72" s="56">
        <v>100</v>
      </c>
      <c r="BQ72" s="56">
        <v>0</v>
      </c>
      <c r="BR72" s="14">
        <v>10030136986</v>
      </c>
      <c r="BS72">
        <v>4.9709349999999999</v>
      </c>
      <c r="BT72" t="s">
        <v>1184</v>
      </c>
      <c r="BU72" s="25">
        <f>_xlfn.XLOOKUP(Dealps_MSB[[#This Row],[DEAL_ID]],Ref!V:V,Ref!X:X,0,0)</f>
        <v>0</v>
      </c>
      <c r="BV72"/>
    </row>
    <row r="73" spans="1:74" x14ac:dyDescent="0.3">
      <c r="A73" s="93">
        <v>46262</v>
      </c>
      <c r="B73">
        <v>45743</v>
      </c>
      <c r="C73" s="56" t="s">
        <v>464</v>
      </c>
      <c r="D73" t="s">
        <v>315</v>
      </c>
      <c r="E73" t="s">
        <v>327</v>
      </c>
      <c r="F73" t="s">
        <v>35</v>
      </c>
      <c r="G73" t="s">
        <v>310</v>
      </c>
      <c r="H73" t="s">
        <v>300</v>
      </c>
      <c r="I73" s="93">
        <v>45734</v>
      </c>
      <c r="J73" s="93">
        <v>45735</v>
      </c>
      <c r="K73" s="93">
        <v>45735</v>
      </c>
      <c r="L73" s="93">
        <v>46593</v>
      </c>
      <c r="M73" s="14">
        <v>3000</v>
      </c>
      <c r="N73" s="14">
        <v>300000000000</v>
      </c>
      <c r="O73" s="56">
        <v>100.044185877</v>
      </c>
      <c r="P73" s="56">
        <v>4</v>
      </c>
      <c r="Q73" s="14">
        <v>310748859000</v>
      </c>
      <c r="R73">
        <v>5.4142430089999998</v>
      </c>
      <c r="S73" t="s">
        <v>1184</v>
      </c>
      <c r="T73" s="57">
        <f>IF(Dealps[[#This Row],[MATURITY_DATE]]-Dealps[[#This Row],[POSTED_DT]]&lt;0,0,IF(Dealps[[#This Row],[VALUE_DATE]]-Dealps[[#This Row],[POSTED_DT]]&gt;0,Dealps[[#This Row],[MATURITY_DATE]]-Dealps[[#This Row],[VALUE_DATE]],Dealps[[#This Row],[MATURITY_DATE]]-Dealps[[#This Row],[POSTED_DT]]))</f>
        <v>331</v>
      </c>
      <c r="U73" s="25">
        <f>IF(Dealps[[#This Row],[TENOR]]=0,0,IF(Dealps[[#This Row],[DEAL_TYPE]]="B",Dealps[[#This Row],[FACE_AMOUNT]],-Dealps[[#This Row],[FACE_AMOUNT]]))</f>
        <v>300000000000</v>
      </c>
      <c r="V73" s="25">
        <f>_xlfn.XLOOKUP(Dealps[[#This Row],[PAPER_CODE]],FNRP!D:D,FNRP!H:H,0,0)/100*Dealps[[#This Row],[AMOUNT]]</f>
        <v>0</v>
      </c>
      <c r="W73" s="57" t="str">
        <f>IF(Dealps[[#This Row],[TRANSACTION_STATUS]]&lt;&gt;"V","Ngoai BS",IF(Dealps[[#This Row],[POSTED_DT]]&gt;=Dealps[[#This Row],[VALUE_DATE]],"On BS","Off BS"))</f>
        <v>On BS</v>
      </c>
      <c r="X73" s="25">
        <f>SUMIFS(U:U,C:C,Dealps[[#This Row],[PAPER_CODE]])</f>
        <v>0</v>
      </c>
      <c r="Y73" s="25">
        <f>_xlfn.XLOOKUP(Dealps[[#This Row],[DEAL_ID]],Ref!N:N,Ref!Q:Q,0,0)</f>
        <v>0</v>
      </c>
      <c r="Z73" s="25" t="str">
        <f>IF(Dealps[[#This Row],[CPTY_CODE]]=Dealps[[#This Row],[CPTY_CODE_ISSUER]],"Yes","No")</f>
        <v>No</v>
      </c>
      <c r="AA73" s="25"/>
      <c r="AC73" s="14"/>
      <c r="AG73" s="96"/>
      <c r="AH73" s="14"/>
      <c r="AI73"/>
      <c r="AN73" s="14"/>
      <c r="AV73" s="36"/>
      <c r="AW73" s="14"/>
      <c r="AX73" s="234"/>
      <c r="AY73" s="96"/>
      <c r="AZ73" s="14"/>
      <c r="BA73"/>
      <c r="BB73" s="93">
        <v>46262</v>
      </c>
      <c r="BC73">
        <v>1839</v>
      </c>
      <c r="BD73" s="56" t="s">
        <v>1016</v>
      </c>
      <c r="BE73" t="s">
        <v>1011</v>
      </c>
      <c r="BF73" t="s">
        <v>1015</v>
      </c>
      <c r="BG73" t="s">
        <v>364</v>
      </c>
      <c r="BH73" t="s">
        <v>1013</v>
      </c>
      <c r="BI73" t="s">
        <v>311</v>
      </c>
      <c r="BJ73" s="93">
        <v>45771</v>
      </c>
      <c r="BK73" s="93">
        <v>45772</v>
      </c>
      <c r="BL73" s="93">
        <v>45772</v>
      </c>
      <c r="BM73" s="93">
        <v>46480</v>
      </c>
      <c r="BN73" s="14">
        <v>1</v>
      </c>
      <c r="BO73" s="14">
        <v>10000000000</v>
      </c>
      <c r="BP73" s="56">
        <v>100</v>
      </c>
      <c r="BQ73" s="56">
        <v>0</v>
      </c>
      <c r="BR73" s="14">
        <v>10030136986</v>
      </c>
      <c r="BS73">
        <v>4.9709349999999999</v>
      </c>
      <c r="BT73" t="s">
        <v>1184</v>
      </c>
      <c r="BU73" s="25">
        <f>_xlfn.XLOOKUP(Dealps_MSB[[#This Row],[DEAL_ID]],Ref!V:V,Ref!X:X,0,0)</f>
        <v>0</v>
      </c>
      <c r="BV73"/>
    </row>
    <row r="74" spans="1:74" x14ac:dyDescent="0.3">
      <c r="A74" s="93">
        <v>46262</v>
      </c>
      <c r="B74">
        <v>45745</v>
      </c>
      <c r="C74" s="56" t="s">
        <v>465</v>
      </c>
      <c r="D74" t="s">
        <v>315</v>
      </c>
      <c r="E74" t="s">
        <v>327</v>
      </c>
      <c r="F74" t="s">
        <v>35</v>
      </c>
      <c r="G74" t="s">
        <v>310</v>
      </c>
      <c r="H74" t="s">
        <v>300</v>
      </c>
      <c r="I74" s="93">
        <v>45734</v>
      </c>
      <c r="J74" s="93">
        <v>45735</v>
      </c>
      <c r="K74" s="93">
        <v>45735</v>
      </c>
      <c r="L74" s="93">
        <v>46604</v>
      </c>
      <c r="M74" s="14">
        <v>3000</v>
      </c>
      <c r="N74" s="14">
        <v>300000000000</v>
      </c>
      <c r="O74" s="56">
        <v>100.06645745199999</v>
      </c>
      <c r="P74" s="56">
        <v>3</v>
      </c>
      <c r="Q74" s="14">
        <v>310322934000</v>
      </c>
      <c r="R74">
        <v>5.4039567589999997</v>
      </c>
      <c r="S74" t="s">
        <v>1184</v>
      </c>
      <c r="T74" s="57">
        <f>IF(Dealps[[#This Row],[MATURITY_DATE]]-Dealps[[#This Row],[POSTED_DT]]&lt;0,0,IF(Dealps[[#This Row],[VALUE_DATE]]-Dealps[[#This Row],[POSTED_DT]]&gt;0,Dealps[[#This Row],[MATURITY_DATE]]-Dealps[[#This Row],[VALUE_DATE]],Dealps[[#This Row],[MATURITY_DATE]]-Dealps[[#This Row],[POSTED_DT]]))</f>
        <v>342</v>
      </c>
      <c r="U74" s="25">
        <f>IF(Dealps[[#This Row],[TENOR]]=0,0,IF(Dealps[[#This Row],[DEAL_TYPE]]="B",Dealps[[#This Row],[FACE_AMOUNT]],-Dealps[[#This Row],[FACE_AMOUNT]]))</f>
        <v>300000000000</v>
      </c>
      <c r="V74" s="25">
        <f>_xlfn.XLOOKUP(Dealps[[#This Row],[PAPER_CODE]],FNRP!D:D,FNRP!H:H,0,0)/100*Dealps[[#This Row],[AMOUNT]]</f>
        <v>0</v>
      </c>
      <c r="W74" s="57" t="str">
        <f>IF(Dealps[[#This Row],[TRANSACTION_STATUS]]&lt;&gt;"V","Ngoai BS",IF(Dealps[[#This Row],[POSTED_DT]]&gt;=Dealps[[#This Row],[VALUE_DATE]],"On BS","Off BS"))</f>
        <v>On BS</v>
      </c>
      <c r="X74" s="25">
        <f>SUMIFS(U:U,C:C,Dealps[[#This Row],[PAPER_CODE]])</f>
        <v>0</v>
      </c>
      <c r="Y74" s="25">
        <f>_xlfn.XLOOKUP(Dealps[[#This Row],[DEAL_ID]],Ref!N:N,Ref!Q:Q,0,0)</f>
        <v>0</v>
      </c>
      <c r="Z74" s="25" t="str">
        <f>IF(Dealps[[#This Row],[CPTY_CODE]]=Dealps[[#This Row],[CPTY_CODE_ISSUER]],"Yes","No")</f>
        <v>No</v>
      </c>
      <c r="AA74" s="25"/>
      <c r="AC74" s="14"/>
      <c r="AG74" s="96"/>
      <c r="AH74" s="14"/>
      <c r="AI74"/>
      <c r="AN74" s="14"/>
      <c r="AV74" s="36"/>
      <c r="AW74" s="14"/>
      <c r="AX74" s="234"/>
      <c r="AY74" s="96"/>
      <c r="AZ74" s="14"/>
      <c r="BA74"/>
      <c r="BB74" s="93">
        <v>46262</v>
      </c>
      <c r="BC74">
        <v>1847</v>
      </c>
      <c r="BD74" s="56" t="s">
        <v>1016</v>
      </c>
      <c r="BE74" t="s">
        <v>1011</v>
      </c>
      <c r="BF74" t="s">
        <v>1015</v>
      </c>
      <c r="BG74" t="s">
        <v>364</v>
      </c>
      <c r="BH74" t="s">
        <v>1013</v>
      </c>
      <c r="BI74" t="s">
        <v>311</v>
      </c>
      <c r="BJ74" s="93">
        <v>45772</v>
      </c>
      <c r="BK74" s="93">
        <v>45772</v>
      </c>
      <c r="BL74" s="93">
        <v>45772</v>
      </c>
      <c r="BM74" s="93">
        <v>46480</v>
      </c>
      <c r="BN74" s="14">
        <v>1</v>
      </c>
      <c r="BO74" s="14">
        <v>10000000000</v>
      </c>
      <c r="BP74" s="56">
        <v>100</v>
      </c>
      <c r="BQ74" s="56">
        <v>0</v>
      </c>
      <c r="BR74" s="14">
        <v>10030136986</v>
      </c>
      <c r="BS74">
        <v>4.9709349999999999</v>
      </c>
      <c r="BT74" t="s">
        <v>1184</v>
      </c>
      <c r="BU74" s="25">
        <f>_xlfn.XLOOKUP(Dealps_MSB[[#This Row],[DEAL_ID]],Ref!V:V,Ref!X:X,0,0)</f>
        <v>0</v>
      </c>
      <c r="BV74"/>
    </row>
    <row r="75" spans="1:74" x14ac:dyDescent="0.3">
      <c r="A75" s="93">
        <v>46262</v>
      </c>
      <c r="B75">
        <v>45747</v>
      </c>
      <c r="C75" s="56" t="s">
        <v>463</v>
      </c>
      <c r="D75" t="s">
        <v>309</v>
      </c>
      <c r="E75" t="s">
        <v>327</v>
      </c>
      <c r="F75" t="s">
        <v>35</v>
      </c>
      <c r="G75" t="s">
        <v>310</v>
      </c>
      <c r="H75" t="s">
        <v>300</v>
      </c>
      <c r="I75" s="93">
        <v>45734</v>
      </c>
      <c r="J75" s="93">
        <v>45736</v>
      </c>
      <c r="K75" s="93">
        <v>45736</v>
      </c>
      <c r="L75" s="93">
        <v>46627</v>
      </c>
      <c r="M75" s="14">
        <v>300</v>
      </c>
      <c r="N75" s="14">
        <v>300000000000</v>
      </c>
      <c r="O75" s="56">
        <v>99.934832929999999</v>
      </c>
      <c r="P75" s="56">
        <v>3</v>
      </c>
      <c r="Q75" s="14">
        <v>308523402900</v>
      </c>
      <c r="R75">
        <v>5.2145470879999998</v>
      </c>
      <c r="S75" t="s">
        <v>1184</v>
      </c>
      <c r="T75" s="57">
        <f>IF(Dealps[[#This Row],[MATURITY_DATE]]-Dealps[[#This Row],[POSTED_DT]]&lt;0,0,IF(Dealps[[#This Row],[VALUE_DATE]]-Dealps[[#This Row],[POSTED_DT]]&gt;0,Dealps[[#This Row],[MATURITY_DATE]]-Dealps[[#This Row],[VALUE_DATE]],Dealps[[#This Row],[MATURITY_DATE]]-Dealps[[#This Row],[POSTED_DT]]))</f>
        <v>365</v>
      </c>
      <c r="U75" s="25">
        <f>IF(Dealps[[#This Row],[TENOR]]=0,0,IF(Dealps[[#This Row],[DEAL_TYPE]]="B",Dealps[[#This Row],[FACE_AMOUNT]],-Dealps[[#This Row],[FACE_AMOUNT]]))</f>
        <v>300000000000</v>
      </c>
      <c r="V75" s="25">
        <f>_xlfn.XLOOKUP(Dealps[[#This Row],[PAPER_CODE]],FNRP!D:D,FNRP!H:H,0,0)/100*Dealps[[#This Row],[AMOUNT]]</f>
        <v>0</v>
      </c>
      <c r="W75" s="57" t="str">
        <f>IF(Dealps[[#This Row],[TRANSACTION_STATUS]]&lt;&gt;"V","Ngoai BS",IF(Dealps[[#This Row],[POSTED_DT]]&gt;=Dealps[[#This Row],[VALUE_DATE]],"On BS","Off BS"))</f>
        <v>On BS</v>
      </c>
      <c r="X75" s="25">
        <f>SUMIFS(U:U,C:C,Dealps[[#This Row],[PAPER_CODE]])</f>
        <v>0</v>
      </c>
      <c r="Y75" s="25">
        <f>_xlfn.XLOOKUP(Dealps[[#This Row],[DEAL_ID]],Ref!N:N,Ref!Q:Q,0,0)</f>
        <v>0</v>
      </c>
      <c r="Z75" s="25" t="str">
        <f>IF(Dealps[[#This Row],[CPTY_CODE]]=Dealps[[#This Row],[CPTY_CODE_ISSUER]],"Yes","No")</f>
        <v>No</v>
      </c>
      <c r="AA75" s="25"/>
      <c r="AC75" s="14"/>
      <c r="AG75" s="96"/>
      <c r="AH75" s="14"/>
      <c r="AI75"/>
      <c r="AN75" s="14"/>
      <c r="AV75" s="36"/>
      <c r="AW75" s="14"/>
      <c r="AX75" s="234"/>
      <c r="AY75" s="96"/>
      <c r="AZ75" s="14"/>
      <c r="BA75"/>
      <c r="BB75" s="93">
        <v>46262</v>
      </c>
      <c r="BC75">
        <v>1848</v>
      </c>
      <c r="BD75" s="56" t="s">
        <v>1016</v>
      </c>
      <c r="BE75" t="s">
        <v>1011</v>
      </c>
      <c r="BF75" t="s">
        <v>1015</v>
      </c>
      <c r="BG75" t="s">
        <v>364</v>
      </c>
      <c r="BH75" t="s">
        <v>1013</v>
      </c>
      <c r="BI75" t="s">
        <v>311</v>
      </c>
      <c r="BJ75" s="93">
        <v>45772</v>
      </c>
      <c r="BK75" s="93">
        <v>45772</v>
      </c>
      <c r="BL75" s="93">
        <v>45772</v>
      </c>
      <c r="BM75" s="93">
        <v>46480</v>
      </c>
      <c r="BN75" s="14">
        <v>1</v>
      </c>
      <c r="BO75" s="14">
        <v>10000000000</v>
      </c>
      <c r="BP75" s="56">
        <v>100</v>
      </c>
      <c r="BQ75" s="56">
        <v>0</v>
      </c>
      <c r="BR75" s="14">
        <v>10030136986</v>
      </c>
      <c r="BS75">
        <v>4.9709349999999999</v>
      </c>
      <c r="BT75" t="s">
        <v>1184</v>
      </c>
      <c r="BU75" s="25">
        <f>_xlfn.XLOOKUP(Dealps_MSB[[#This Row],[DEAL_ID]],Ref!V:V,Ref!X:X,0,0)</f>
        <v>0</v>
      </c>
      <c r="BV75"/>
    </row>
    <row r="76" spans="1:74" x14ac:dyDescent="0.3">
      <c r="A76" s="93">
        <v>46262</v>
      </c>
      <c r="B76">
        <v>45749</v>
      </c>
      <c r="C76" s="56" t="s">
        <v>638</v>
      </c>
      <c r="D76" t="s">
        <v>328</v>
      </c>
      <c r="E76" t="s">
        <v>328</v>
      </c>
      <c r="F76" t="s">
        <v>39</v>
      </c>
      <c r="G76" t="s">
        <v>310</v>
      </c>
      <c r="H76" t="s">
        <v>300</v>
      </c>
      <c r="I76" s="93">
        <v>45734</v>
      </c>
      <c r="J76" s="93">
        <v>45734</v>
      </c>
      <c r="K76" s="93">
        <v>45740</v>
      </c>
      <c r="L76" s="93">
        <v>48297</v>
      </c>
      <c r="M76" s="14">
        <v>3976106</v>
      </c>
      <c r="N76" s="14">
        <v>397610600000</v>
      </c>
      <c r="O76" s="56">
        <v>100</v>
      </c>
      <c r="P76" s="56">
        <v>0</v>
      </c>
      <c r="Q76" s="14">
        <v>397610600000</v>
      </c>
      <c r="R76">
        <v>7.6734593340000004</v>
      </c>
      <c r="S76" t="s">
        <v>1184</v>
      </c>
      <c r="T76" s="57">
        <f>IF(Dealps[[#This Row],[MATURITY_DATE]]-Dealps[[#This Row],[POSTED_DT]]&lt;0,0,IF(Dealps[[#This Row],[VALUE_DATE]]-Dealps[[#This Row],[POSTED_DT]]&gt;0,Dealps[[#This Row],[MATURITY_DATE]]-Dealps[[#This Row],[VALUE_DATE]],Dealps[[#This Row],[MATURITY_DATE]]-Dealps[[#This Row],[POSTED_DT]]))</f>
        <v>2035</v>
      </c>
      <c r="U76" s="25">
        <f>IF(Dealps[[#This Row],[TENOR]]=0,0,IF(Dealps[[#This Row],[DEAL_TYPE]]="B",Dealps[[#This Row],[FACE_AMOUNT]],-Dealps[[#This Row],[FACE_AMOUNT]]))</f>
        <v>397610600000</v>
      </c>
      <c r="V76" s="25">
        <f>_xlfn.XLOOKUP(Dealps[[#This Row],[PAPER_CODE]],FNRP!D:D,FNRP!H:H,0,0)/100*Dealps[[#This Row],[AMOUNT]]</f>
        <v>472429195339.61273</v>
      </c>
      <c r="W76" s="57" t="str">
        <f>IF(Dealps[[#This Row],[TRANSACTION_STATUS]]&lt;&gt;"V","Ngoai BS",IF(Dealps[[#This Row],[POSTED_DT]]&gt;=Dealps[[#This Row],[VALUE_DATE]],"On BS","Off BS"))</f>
        <v>On BS</v>
      </c>
      <c r="X76" s="25">
        <f>SUMIFS(U:U,C:C,Dealps[[#This Row],[PAPER_CODE]])</f>
        <v>397610600000</v>
      </c>
      <c r="Y76" s="25">
        <f>_xlfn.XLOOKUP(Dealps[[#This Row],[DEAL_ID]],Ref!N:N,Ref!Q:Q,0,0)</f>
        <v>0</v>
      </c>
      <c r="Z76" s="25" t="str">
        <f>IF(Dealps[[#This Row],[CPTY_CODE]]=Dealps[[#This Row],[CPTY_CODE_ISSUER]],"Yes","No")</f>
        <v>Yes</v>
      </c>
      <c r="AA76" s="25"/>
      <c r="AC76" s="14"/>
      <c r="AG76" s="96"/>
      <c r="AH76" s="14"/>
      <c r="AI76"/>
      <c r="AN76" s="14"/>
      <c r="AV76" s="36"/>
      <c r="AW76" s="14"/>
      <c r="AX76" s="234"/>
      <c r="AY76" s="96"/>
      <c r="AZ76" s="14"/>
      <c r="BA76"/>
      <c r="BB76" s="93">
        <v>46262</v>
      </c>
      <c r="BC76">
        <v>1854</v>
      </c>
      <c r="BD76" s="56" t="s">
        <v>1016</v>
      </c>
      <c r="BE76" t="s">
        <v>1011</v>
      </c>
      <c r="BF76" t="s">
        <v>1015</v>
      </c>
      <c r="BG76" t="s">
        <v>364</v>
      </c>
      <c r="BH76" t="s">
        <v>1013</v>
      </c>
      <c r="BI76" t="s">
        <v>311</v>
      </c>
      <c r="BJ76" s="93">
        <v>45775</v>
      </c>
      <c r="BK76" s="93">
        <v>45775</v>
      </c>
      <c r="BL76" s="93">
        <v>45775</v>
      </c>
      <c r="BM76" s="93">
        <v>46480</v>
      </c>
      <c r="BN76" s="14">
        <v>1</v>
      </c>
      <c r="BO76" s="14">
        <v>10000000000</v>
      </c>
      <c r="BP76" s="56">
        <v>100</v>
      </c>
      <c r="BQ76" s="56">
        <v>0</v>
      </c>
      <c r="BR76" s="14">
        <v>10034246575</v>
      </c>
      <c r="BS76">
        <v>4.968839</v>
      </c>
      <c r="BT76" t="s">
        <v>1184</v>
      </c>
      <c r="BU76" s="25">
        <f>_xlfn.XLOOKUP(Dealps_MSB[[#This Row],[DEAL_ID]],Ref!V:V,Ref!X:X,0,0)</f>
        <v>0</v>
      </c>
      <c r="BV76"/>
    </row>
    <row r="77" spans="1:74" x14ac:dyDescent="0.3">
      <c r="A77" s="93">
        <v>46262</v>
      </c>
      <c r="B77">
        <v>45760</v>
      </c>
      <c r="C77" s="56" t="s">
        <v>252</v>
      </c>
      <c r="D77" t="s">
        <v>309</v>
      </c>
      <c r="E77" t="s">
        <v>315</v>
      </c>
      <c r="F77" t="s">
        <v>35</v>
      </c>
      <c r="G77" t="s">
        <v>310</v>
      </c>
      <c r="H77" t="s">
        <v>300</v>
      </c>
      <c r="I77" s="93">
        <v>45735</v>
      </c>
      <c r="J77" s="93">
        <v>45740</v>
      </c>
      <c r="K77" s="93">
        <v>45740</v>
      </c>
      <c r="L77" s="93">
        <v>46647</v>
      </c>
      <c r="M77" s="14">
        <v>1000</v>
      </c>
      <c r="N77" s="14">
        <v>1000000000000</v>
      </c>
      <c r="O77" s="56">
        <v>100.44629550000001</v>
      </c>
      <c r="P77" s="56">
        <v>3</v>
      </c>
      <c r="Q77" s="14">
        <v>1031246517000</v>
      </c>
      <c r="R77">
        <v>4.990742043</v>
      </c>
      <c r="S77" t="s">
        <v>1184</v>
      </c>
      <c r="T77" s="57">
        <f>IF(Dealps[[#This Row],[MATURITY_DATE]]-Dealps[[#This Row],[POSTED_DT]]&lt;0,0,IF(Dealps[[#This Row],[VALUE_DATE]]-Dealps[[#This Row],[POSTED_DT]]&gt;0,Dealps[[#This Row],[MATURITY_DATE]]-Dealps[[#This Row],[VALUE_DATE]],Dealps[[#This Row],[MATURITY_DATE]]-Dealps[[#This Row],[POSTED_DT]]))</f>
        <v>385</v>
      </c>
      <c r="U77" s="25">
        <f>IF(Dealps[[#This Row],[TENOR]]=0,0,IF(Dealps[[#This Row],[DEAL_TYPE]]="B",Dealps[[#This Row],[FACE_AMOUNT]],-Dealps[[#This Row],[FACE_AMOUNT]]))</f>
        <v>1000000000000</v>
      </c>
      <c r="V77" s="25">
        <f>_xlfn.XLOOKUP(Dealps[[#This Row],[PAPER_CODE]],FNRP!D:D,FNRP!H:H,0,0)/100*Dealps[[#This Row],[AMOUNT]]</f>
        <v>0</v>
      </c>
      <c r="W77" s="57" t="str">
        <f>IF(Dealps[[#This Row],[TRANSACTION_STATUS]]&lt;&gt;"V","Ngoai BS",IF(Dealps[[#This Row],[POSTED_DT]]&gt;=Dealps[[#This Row],[VALUE_DATE]],"On BS","Off BS"))</f>
        <v>On BS</v>
      </c>
      <c r="X77" s="25">
        <f>SUMIFS(U:U,C:C,Dealps[[#This Row],[PAPER_CODE]])</f>
        <v>0</v>
      </c>
      <c r="Y77" s="25">
        <f>_xlfn.XLOOKUP(Dealps[[#This Row],[DEAL_ID]],Ref!N:N,Ref!Q:Q,0,0)</f>
        <v>0</v>
      </c>
      <c r="Z77" s="25" t="str">
        <f>IF(Dealps[[#This Row],[CPTY_CODE]]=Dealps[[#This Row],[CPTY_CODE_ISSUER]],"Yes","No")</f>
        <v>No</v>
      </c>
      <c r="AA77" s="25"/>
      <c r="AC77" s="14"/>
      <c r="AG77" s="96"/>
      <c r="AH77" s="14"/>
      <c r="AI77"/>
      <c r="AN77" s="14"/>
      <c r="AV77" s="36"/>
      <c r="AW77" s="14"/>
      <c r="AX77" s="234"/>
      <c r="AY77" s="96"/>
      <c r="AZ77" s="14"/>
      <c r="BA77"/>
      <c r="BB77" s="93">
        <v>46262</v>
      </c>
      <c r="BC77">
        <v>1855</v>
      </c>
      <c r="BD77" s="56" t="s">
        <v>1016</v>
      </c>
      <c r="BE77" t="s">
        <v>1011</v>
      </c>
      <c r="BF77" t="s">
        <v>1015</v>
      </c>
      <c r="BG77" t="s">
        <v>364</v>
      </c>
      <c r="BH77" t="s">
        <v>1013</v>
      </c>
      <c r="BI77" t="s">
        <v>311</v>
      </c>
      <c r="BJ77" s="93">
        <v>45775</v>
      </c>
      <c r="BK77" s="93">
        <v>45775</v>
      </c>
      <c r="BL77" s="93">
        <v>45775</v>
      </c>
      <c r="BM77" s="93">
        <v>46480</v>
      </c>
      <c r="BN77" s="14">
        <v>1</v>
      </c>
      <c r="BO77" s="14">
        <v>10000000000</v>
      </c>
      <c r="BP77" s="56">
        <v>100</v>
      </c>
      <c r="BQ77" s="56">
        <v>0</v>
      </c>
      <c r="BR77" s="14">
        <v>10034246575</v>
      </c>
      <c r="BS77">
        <v>4.968839</v>
      </c>
      <c r="BT77" t="s">
        <v>1184</v>
      </c>
      <c r="BU77" s="25">
        <f>_xlfn.XLOOKUP(Dealps_MSB[[#This Row],[DEAL_ID]],Ref!V:V,Ref!X:X,0,0)</f>
        <v>0</v>
      </c>
      <c r="BV77"/>
    </row>
    <row r="78" spans="1:74" x14ac:dyDescent="0.3">
      <c r="A78" s="93">
        <v>46262</v>
      </c>
      <c r="B78">
        <v>45767</v>
      </c>
      <c r="C78" s="56" t="s">
        <v>252</v>
      </c>
      <c r="D78" t="s">
        <v>309</v>
      </c>
      <c r="E78" t="s">
        <v>315</v>
      </c>
      <c r="F78" t="s">
        <v>35</v>
      </c>
      <c r="G78" t="s">
        <v>310</v>
      </c>
      <c r="H78" t="s">
        <v>300</v>
      </c>
      <c r="I78" s="93">
        <v>45735</v>
      </c>
      <c r="J78" s="93">
        <v>45741</v>
      </c>
      <c r="K78" s="93">
        <v>45741</v>
      </c>
      <c r="L78" s="93">
        <v>46647</v>
      </c>
      <c r="M78" s="14">
        <v>1000</v>
      </c>
      <c r="N78" s="14">
        <v>1000000000000</v>
      </c>
      <c r="O78" s="56">
        <v>100.443544059</v>
      </c>
      <c r="P78" s="56">
        <v>3</v>
      </c>
      <c r="Q78" s="14">
        <v>1031361468000</v>
      </c>
      <c r="R78">
        <v>4.9917290569999997</v>
      </c>
      <c r="S78" t="s">
        <v>1184</v>
      </c>
      <c r="T78" s="57">
        <f>IF(Dealps[[#This Row],[MATURITY_DATE]]-Dealps[[#This Row],[POSTED_DT]]&lt;0,0,IF(Dealps[[#This Row],[VALUE_DATE]]-Dealps[[#This Row],[POSTED_DT]]&gt;0,Dealps[[#This Row],[MATURITY_DATE]]-Dealps[[#This Row],[VALUE_DATE]],Dealps[[#This Row],[MATURITY_DATE]]-Dealps[[#This Row],[POSTED_DT]]))</f>
        <v>385</v>
      </c>
      <c r="U78" s="25">
        <f>IF(Dealps[[#This Row],[TENOR]]=0,0,IF(Dealps[[#This Row],[DEAL_TYPE]]="B",Dealps[[#This Row],[FACE_AMOUNT]],-Dealps[[#This Row],[FACE_AMOUNT]]))</f>
        <v>1000000000000</v>
      </c>
      <c r="V78" s="25">
        <f>_xlfn.XLOOKUP(Dealps[[#This Row],[PAPER_CODE]],FNRP!D:D,FNRP!H:H,0,0)/100*Dealps[[#This Row],[AMOUNT]]</f>
        <v>0</v>
      </c>
      <c r="W78" s="57" t="str">
        <f>IF(Dealps[[#This Row],[TRANSACTION_STATUS]]&lt;&gt;"V","Ngoai BS",IF(Dealps[[#This Row],[POSTED_DT]]&gt;=Dealps[[#This Row],[VALUE_DATE]],"On BS","Off BS"))</f>
        <v>On BS</v>
      </c>
      <c r="X78" s="25">
        <f>SUMIFS(U:U,C:C,Dealps[[#This Row],[PAPER_CODE]])</f>
        <v>0</v>
      </c>
      <c r="Y78" s="25">
        <f>_xlfn.XLOOKUP(Dealps[[#This Row],[DEAL_ID]],Ref!N:N,Ref!Q:Q,0,0)</f>
        <v>0</v>
      </c>
      <c r="Z78" s="25" t="str">
        <f>IF(Dealps[[#This Row],[CPTY_CODE]]=Dealps[[#This Row],[CPTY_CODE_ISSUER]],"Yes","No")</f>
        <v>No</v>
      </c>
      <c r="AA78" s="25"/>
      <c r="AC78" s="14"/>
      <c r="AG78" s="96"/>
      <c r="AH78" s="14"/>
      <c r="AI78"/>
      <c r="AN78" s="14"/>
      <c r="AV78" s="36"/>
      <c r="AW78" s="14"/>
      <c r="AX78" s="234"/>
      <c r="AY78" s="96"/>
      <c r="AZ78" s="14"/>
      <c r="BA78"/>
      <c r="BB78" s="93">
        <v>46262</v>
      </c>
      <c r="BC78">
        <v>1856</v>
      </c>
      <c r="BD78" s="56" t="s">
        <v>1016</v>
      </c>
      <c r="BE78" t="s">
        <v>1011</v>
      </c>
      <c r="BF78" t="s">
        <v>1015</v>
      </c>
      <c r="BG78" t="s">
        <v>364</v>
      </c>
      <c r="BH78" t="s">
        <v>1013</v>
      </c>
      <c r="BI78" t="s">
        <v>311</v>
      </c>
      <c r="BJ78" s="93">
        <v>45775</v>
      </c>
      <c r="BK78" s="93">
        <v>45775</v>
      </c>
      <c r="BL78" s="93">
        <v>45775</v>
      </c>
      <c r="BM78" s="93">
        <v>46480</v>
      </c>
      <c r="BN78" s="14">
        <v>1</v>
      </c>
      <c r="BO78" s="14">
        <v>10000000000</v>
      </c>
      <c r="BP78" s="56">
        <v>100</v>
      </c>
      <c r="BQ78" s="56">
        <v>0</v>
      </c>
      <c r="BR78" s="14">
        <v>10034246575</v>
      </c>
      <c r="BS78">
        <v>4.968839</v>
      </c>
      <c r="BT78" t="s">
        <v>1184</v>
      </c>
      <c r="BU78" s="25">
        <f>_xlfn.XLOOKUP(Dealps_MSB[[#This Row],[DEAL_ID]],Ref!V:V,Ref!X:X,0,0)</f>
        <v>0</v>
      </c>
      <c r="BV78"/>
    </row>
    <row r="79" spans="1:74" x14ac:dyDescent="0.3">
      <c r="A79" s="93">
        <v>46262</v>
      </c>
      <c r="B79">
        <v>45782</v>
      </c>
      <c r="C79" s="56" t="s">
        <v>469</v>
      </c>
      <c r="D79" t="s">
        <v>329</v>
      </c>
      <c r="E79" t="s">
        <v>315</v>
      </c>
      <c r="F79" t="s">
        <v>35</v>
      </c>
      <c r="G79" t="s">
        <v>310</v>
      </c>
      <c r="H79" t="s">
        <v>300</v>
      </c>
      <c r="I79" s="93">
        <v>45735</v>
      </c>
      <c r="J79" s="93">
        <v>45742</v>
      </c>
      <c r="K79" s="93">
        <v>45742</v>
      </c>
      <c r="L79" s="93">
        <v>46655</v>
      </c>
      <c r="M79" s="14">
        <v>13000</v>
      </c>
      <c r="N79" s="14">
        <v>1300000000000</v>
      </c>
      <c r="O79" s="56">
        <v>100.343804328</v>
      </c>
      <c r="P79" s="56">
        <v>2</v>
      </c>
      <c r="Q79" s="14">
        <v>1336232196000</v>
      </c>
      <c r="R79">
        <v>4.7387314199999997</v>
      </c>
      <c r="S79" t="s">
        <v>1184</v>
      </c>
      <c r="T79" s="57">
        <f>IF(Dealps[[#This Row],[MATURITY_DATE]]-Dealps[[#This Row],[POSTED_DT]]&lt;0,0,IF(Dealps[[#This Row],[VALUE_DATE]]-Dealps[[#This Row],[POSTED_DT]]&gt;0,Dealps[[#This Row],[MATURITY_DATE]]-Dealps[[#This Row],[VALUE_DATE]],Dealps[[#This Row],[MATURITY_DATE]]-Dealps[[#This Row],[POSTED_DT]]))</f>
        <v>393</v>
      </c>
      <c r="U79" s="25">
        <f>IF(Dealps[[#This Row],[TENOR]]=0,0,IF(Dealps[[#This Row],[DEAL_TYPE]]="B",Dealps[[#This Row],[FACE_AMOUNT]],-Dealps[[#This Row],[FACE_AMOUNT]]))</f>
        <v>1300000000000</v>
      </c>
      <c r="V79" s="25">
        <f>_xlfn.XLOOKUP(Dealps[[#This Row],[PAPER_CODE]],FNRP!D:D,FNRP!H:H,0,0)/100*Dealps[[#This Row],[AMOUNT]]</f>
        <v>0</v>
      </c>
      <c r="W79" s="57" t="str">
        <f>IF(Dealps[[#This Row],[TRANSACTION_STATUS]]&lt;&gt;"V","Ngoai BS",IF(Dealps[[#This Row],[POSTED_DT]]&gt;=Dealps[[#This Row],[VALUE_DATE]],"On BS","Off BS"))</f>
        <v>On BS</v>
      </c>
      <c r="X79" s="25">
        <f>SUMIFS(U:U,C:C,Dealps[[#This Row],[PAPER_CODE]])</f>
        <v>0</v>
      </c>
      <c r="Y79" s="25">
        <f>_xlfn.XLOOKUP(Dealps[[#This Row],[DEAL_ID]],Ref!N:N,Ref!Q:Q,0,0)</f>
        <v>0</v>
      </c>
      <c r="Z79" s="25" t="str">
        <f>IF(Dealps[[#This Row],[CPTY_CODE]]=Dealps[[#This Row],[CPTY_CODE_ISSUER]],"Yes","No")</f>
        <v>No</v>
      </c>
      <c r="AA79" s="25"/>
      <c r="AC79" s="14"/>
      <c r="AG79" s="96"/>
      <c r="AH79" s="14"/>
      <c r="AI79"/>
      <c r="AN79" s="14"/>
      <c r="AV79" s="36"/>
      <c r="AW79" s="14"/>
      <c r="AX79" s="234"/>
      <c r="AY79" s="96"/>
      <c r="AZ79" s="14"/>
      <c r="BA79"/>
      <c r="BB79" s="93">
        <v>46262</v>
      </c>
      <c r="BC79">
        <v>1857</v>
      </c>
      <c r="BD79" s="56" t="s">
        <v>1016</v>
      </c>
      <c r="BE79" t="s">
        <v>1011</v>
      </c>
      <c r="BF79" t="s">
        <v>1015</v>
      </c>
      <c r="BG79" t="s">
        <v>364</v>
      </c>
      <c r="BH79" t="s">
        <v>1013</v>
      </c>
      <c r="BI79" t="s">
        <v>311</v>
      </c>
      <c r="BJ79" s="93">
        <v>45775</v>
      </c>
      <c r="BK79" s="93">
        <v>45775</v>
      </c>
      <c r="BL79" s="93">
        <v>45775</v>
      </c>
      <c r="BM79" s="93">
        <v>46480</v>
      </c>
      <c r="BN79" s="14">
        <v>1</v>
      </c>
      <c r="BO79" s="14">
        <v>10000000000</v>
      </c>
      <c r="BP79" s="56">
        <v>100</v>
      </c>
      <c r="BQ79" s="56">
        <v>0</v>
      </c>
      <c r="BR79" s="14">
        <v>10034246575</v>
      </c>
      <c r="BS79">
        <v>4.968839</v>
      </c>
      <c r="BT79" t="s">
        <v>1184</v>
      </c>
      <c r="BU79" s="25">
        <f>_xlfn.XLOOKUP(Dealps_MSB[[#This Row],[DEAL_ID]],Ref!V:V,Ref!X:X,0,0)</f>
        <v>0</v>
      </c>
      <c r="BV79"/>
    </row>
    <row r="80" spans="1:74" x14ac:dyDescent="0.3">
      <c r="A80" s="93">
        <v>46262</v>
      </c>
      <c r="B80">
        <v>45784</v>
      </c>
      <c r="C80" s="56" t="s">
        <v>404</v>
      </c>
      <c r="D80" t="s">
        <v>329</v>
      </c>
      <c r="E80" t="s">
        <v>315</v>
      </c>
      <c r="F80" t="s">
        <v>35</v>
      </c>
      <c r="G80" t="s">
        <v>310</v>
      </c>
      <c r="H80" t="s">
        <v>300</v>
      </c>
      <c r="I80" s="93">
        <v>45735</v>
      </c>
      <c r="J80" s="93">
        <v>45743</v>
      </c>
      <c r="K80" s="93">
        <v>45743</v>
      </c>
      <c r="L80" s="93">
        <v>46656</v>
      </c>
      <c r="M80" s="14">
        <v>17000</v>
      </c>
      <c r="N80" s="14">
        <v>1700000000000</v>
      </c>
      <c r="O80" s="56">
        <v>100.343804331</v>
      </c>
      <c r="P80" s="56">
        <v>2</v>
      </c>
      <c r="Q80" s="14">
        <v>1747380564000</v>
      </c>
      <c r="R80">
        <v>4.7390149319999999</v>
      </c>
      <c r="S80" t="s">
        <v>1184</v>
      </c>
      <c r="T80" s="57">
        <f>IF(Dealps[[#This Row],[MATURITY_DATE]]-Dealps[[#This Row],[POSTED_DT]]&lt;0,0,IF(Dealps[[#This Row],[VALUE_DATE]]-Dealps[[#This Row],[POSTED_DT]]&gt;0,Dealps[[#This Row],[MATURITY_DATE]]-Dealps[[#This Row],[VALUE_DATE]],Dealps[[#This Row],[MATURITY_DATE]]-Dealps[[#This Row],[POSTED_DT]]))</f>
        <v>394</v>
      </c>
      <c r="U80" s="25">
        <f>IF(Dealps[[#This Row],[TENOR]]=0,0,IF(Dealps[[#This Row],[DEAL_TYPE]]="B",Dealps[[#This Row],[FACE_AMOUNT]],-Dealps[[#This Row],[FACE_AMOUNT]]))</f>
        <v>1700000000000</v>
      </c>
      <c r="V80" s="25">
        <f>_xlfn.XLOOKUP(Dealps[[#This Row],[PAPER_CODE]],FNRP!D:D,FNRP!H:H,0,0)/100*Dealps[[#This Row],[AMOUNT]]</f>
        <v>0</v>
      </c>
      <c r="W80" s="57" t="str">
        <f>IF(Dealps[[#This Row],[TRANSACTION_STATUS]]&lt;&gt;"V","Ngoai BS",IF(Dealps[[#This Row],[POSTED_DT]]&gt;=Dealps[[#This Row],[VALUE_DATE]],"On BS","Off BS"))</f>
        <v>On BS</v>
      </c>
      <c r="X80" s="25">
        <f>SUMIFS(U:U,C:C,Dealps[[#This Row],[PAPER_CODE]])</f>
        <v>0</v>
      </c>
      <c r="Y80" s="25">
        <f>_xlfn.XLOOKUP(Dealps[[#This Row],[DEAL_ID]],Ref!N:N,Ref!Q:Q,0,0)</f>
        <v>0</v>
      </c>
      <c r="Z80" s="25" t="str">
        <f>IF(Dealps[[#This Row],[CPTY_CODE]]=Dealps[[#This Row],[CPTY_CODE_ISSUER]],"Yes","No")</f>
        <v>No</v>
      </c>
      <c r="AA80" s="25"/>
      <c r="AC80" s="14"/>
      <c r="AG80" s="96"/>
      <c r="AH80" s="14"/>
      <c r="AI80"/>
      <c r="AN80" s="14"/>
      <c r="AV80" s="36"/>
      <c r="AW80" s="14"/>
      <c r="AX80" s="234"/>
      <c r="AY80" s="96"/>
      <c r="AZ80" s="14"/>
      <c r="BA80"/>
      <c r="BB80" s="93">
        <v>46262</v>
      </c>
      <c r="BC80">
        <v>1858</v>
      </c>
      <c r="BD80" s="56" t="s">
        <v>1016</v>
      </c>
      <c r="BE80" t="s">
        <v>1011</v>
      </c>
      <c r="BF80" t="s">
        <v>1015</v>
      </c>
      <c r="BG80" t="s">
        <v>364</v>
      </c>
      <c r="BH80" t="s">
        <v>1013</v>
      </c>
      <c r="BI80" t="s">
        <v>311</v>
      </c>
      <c r="BJ80" s="93">
        <v>45775</v>
      </c>
      <c r="BK80" s="93">
        <v>45775</v>
      </c>
      <c r="BL80" s="93">
        <v>45775</v>
      </c>
      <c r="BM80" s="93">
        <v>46480</v>
      </c>
      <c r="BN80" s="14">
        <v>1</v>
      </c>
      <c r="BO80" s="14">
        <v>10000000000</v>
      </c>
      <c r="BP80" s="56">
        <v>100</v>
      </c>
      <c r="BQ80" s="56">
        <v>0</v>
      </c>
      <c r="BR80" s="14">
        <v>10034246575</v>
      </c>
      <c r="BS80">
        <v>4.968839</v>
      </c>
      <c r="BT80" t="s">
        <v>1184</v>
      </c>
      <c r="BU80" s="25">
        <f>_xlfn.XLOOKUP(Dealps_MSB[[#This Row],[DEAL_ID]],Ref!V:V,Ref!X:X,0,0)</f>
        <v>0</v>
      </c>
      <c r="BV80"/>
    </row>
    <row r="81" spans="1:74" x14ac:dyDescent="0.3">
      <c r="A81" s="93">
        <v>46262</v>
      </c>
      <c r="B81">
        <v>45811</v>
      </c>
      <c r="C81" s="56" t="s">
        <v>465</v>
      </c>
      <c r="D81" t="s">
        <v>315</v>
      </c>
      <c r="E81" t="s">
        <v>327</v>
      </c>
      <c r="F81" t="s">
        <v>35</v>
      </c>
      <c r="G81" t="s">
        <v>310</v>
      </c>
      <c r="H81" t="s">
        <v>311</v>
      </c>
      <c r="I81" s="93">
        <v>45736</v>
      </c>
      <c r="J81" s="93">
        <v>45736</v>
      </c>
      <c r="K81" s="93">
        <v>45736</v>
      </c>
      <c r="L81" s="93">
        <v>46604</v>
      </c>
      <c r="M81" s="14">
        <v>3000</v>
      </c>
      <c r="N81" s="14">
        <v>300000000000</v>
      </c>
      <c r="O81" s="56">
        <v>100.07828494499999</v>
      </c>
      <c r="P81" s="56">
        <v>3</v>
      </c>
      <c r="Q81" s="14">
        <v>310403211000</v>
      </c>
      <c r="R81">
        <v>5.398536451</v>
      </c>
      <c r="S81" t="s">
        <v>1184</v>
      </c>
      <c r="T81" s="57">
        <f>IF(Dealps[[#This Row],[MATURITY_DATE]]-Dealps[[#This Row],[POSTED_DT]]&lt;0,0,IF(Dealps[[#This Row],[VALUE_DATE]]-Dealps[[#This Row],[POSTED_DT]]&gt;0,Dealps[[#This Row],[MATURITY_DATE]]-Dealps[[#This Row],[VALUE_DATE]],Dealps[[#This Row],[MATURITY_DATE]]-Dealps[[#This Row],[POSTED_DT]]))</f>
        <v>342</v>
      </c>
      <c r="U81" s="25">
        <f>IF(Dealps[[#This Row],[TENOR]]=0,0,IF(Dealps[[#This Row],[DEAL_TYPE]]="B",Dealps[[#This Row],[FACE_AMOUNT]],-Dealps[[#This Row],[FACE_AMOUNT]]))</f>
        <v>-300000000000</v>
      </c>
      <c r="V81" s="25">
        <f>_xlfn.XLOOKUP(Dealps[[#This Row],[PAPER_CODE]],FNRP!D:D,FNRP!H:H,0,0)/100*Dealps[[#This Row],[AMOUNT]]</f>
        <v>0</v>
      </c>
      <c r="W81" s="57" t="str">
        <f>IF(Dealps[[#This Row],[TRANSACTION_STATUS]]&lt;&gt;"V","Ngoai BS",IF(Dealps[[#This Row],[POSTED_DT]]&gt;=Dealps[[#This Row],[VALUE_DATE]],"On BS","Off BS"))</f>
        <v>On BS</v>
      </c>
      <c r="X81" s="25">
        <f>SUMIFS(U:U,C:C,Dealps[[#This Row],[PAPER_CODE]])</f>
        <v>0</v>
      </c>
      <c r="Y81" s="25">
        <f>_xlfn.XLOOKUP(Dealps[[#This Row],[DEAL_ID]],Ref!N:N,Ref!Q:Q,0,0)</f>
        <v>0</v>
      </c>
      <c r="Z81" s="25" t="str">
        <f>IF(Dealps[[#This Row],[CPTY_CODE]]=Dealps[[#This Row],[CPTY_CODE_ISSUER]],"Yes","No")</f>
        <v>No</v>
      </c>
      <c r="AA81" s="25"/>
      <c r="AC81" s="14"/>
      <c r="AG81" s="96"/>
      <c r="AH81" s="14"/>
      <c r="AI81"/>
      <c r="AN81" s="14"/>
      <c r="AV81" s="36"/>
      <c r="AW81" s="14"/>
      <c r="AX81" s="234"/>
      <c r="AY81" s="96"/>
      <c r="AZ81" s="14"/>
      <c r="BA81"/>
      <c r="BB81" s="93">
        <v>46262</v>
      </c>
      <c r="BC81">
        <v>1861</v>
      </c>
      <c r="BD81" s="56" t="s">
        <v>1016</v>
      </c>
      <c r="BE81" t="s">
        <v>1011</v>
      </c>
      <c r="BF81" t="s">
        <v>1015</v>
      </c>
      <c r="BG81" t="s">
        <v>364</v>
      </c>
      <c r="BH81" t="s">
        <v>1013</v>
      </c>
      <c r="BI81" t="s">
        <v>311</v>
      </c>
      <c r="BJ81" s="93">
        <v>45775</v>
      </c>
      <c r="BK81" s="93">
        <v>45775</v>
      </c>
      <c r="BL81" s="93">
        <v>45775</v>
      </c>
      <c r="BM81" s="93">
        <v>46480</v>
      </c>
      <c r="BN81" s="14">
        <v>1</v>
      </c>
      <c r="BO81" s="14">
        <v>10000000000</v>
      </c>
      <c r="BP81" s="56">
        <v>100</v>
      </c>
      <c r="BQ81" s="56">
        <v>0</v>
      </c>
      <c r="BR81" s="14">
        <v>10034246575</v>
      </c>
      <c r="BS81">
        <v>4.968839</v>
      </c>
      <c r="BT81" t="s">
        <v>1184</v>
      </c>
      <c r="BU81" s="25">
        <f>_xlfn.XLOOKUP(Dealps_MSB[[#This Row],[DEAL_ID]],Ref!V:V,Ref!X:X,0,0)</f>
        <v>0</v>
      </c>
      <c r="BV81"/>
    </row>
    <row r="82" spans="1:74" x14ac:dyDescent="0.3">
      <c r="A82" s="93">
        <v>46262</v>
      </c>
      <c r="B82">
        <v>45812</v>
      </c>
      <c r="C82" s="56" t="s">
        <v>464</v>
      </c>
      <c r="D82" t="s">
        <v>315</v>
      </c>
      <c r="E82" t="s">
        <v>327</v>
      </c>
      <c r="F82" t="s">
        <v>35</v>
      </c>
      <c r="G82" t="s">
        <v>310</v>
      </c>
      <c r="H82" t="s">
        <v>311</v>
      </c>
      <c r="I82" s="93">
        <v>45736</v>
      </c>
      <c r="J82" s="93">
        <v>45736</v>
      </c>
      <c r="K82" s="93">
        <v>45736</v>
      </c>
      <c r="L82" s="93">
        <v>46593</v>
      </c>
      <c r="M82" s="14">
        <v>3000</v>
      </c>
      <c r="N82" s="14">
        <v>300000000000</v>
      </c>
      <c r="O82" s="56">
        <v>100.05604937</v>
      </c>
      <c r="P82" s="56">
        <v>4</v>
      </c>
      <c r="Q82" s="14">
        <v>310829244000</v>
      </c>
      <c r="R82">
        <v>5.4087608850000004</v>
      </c>
      <c r="S82" t="s">
        <v>1184</v>
      </c>
      <c r="T82" s="57">
        <f>IF(Dealps[[#This Row],[MATURITY_DATE]]-Dealps[[#This Row],[POSTED_DT]]&lt;0,0,IF(Dealps[[#This Row],[VALUE_DATE]]-Dealps[[#This Row],[POSTED_DT]]&gt;0,Dealps[[#This Row],[MATURITY_DATE]]-Dealps[[#This Row],[VALUE_DATE]],Dealps[[#This Row],[MATURITY_DATE]]-Dealps[[#This Row],[POSTED_DT]]))</f>
        <v>331</v>
      </c>
      <c r="U82" s="25">
        <f>IF(Dealps[[#This Row],[TENOR]]=0,0,IF(Dealps[[#This Row],[DEAL_TYPE]]="B",Dealps[[#This Row],[FACE_AMOUNT]],-Dealps[[#This Row],[FACE_AMOUNT]]))</f>
        <v>-300000000000</v>
      </c>
      <c r="V82" s="25">
        <f>_xlfn.XLOOKUP(Dealps[[#This Row],[PAPER_CODE]],FNRP!D:D,FNRP!H:H,0,0)/100*Dealps[[#This Row],[AMOUNT]]</f>
        <v>0</v>
      </c>
      <c r="W82" s="57" t="str">
        <f>IF(Dealps[[#This Row],[TRANSACTION_STATUS]]&lt;&gt;"V","Ngoai BS",IF(Dealps[[#This Row],[POSTED_DT]]&gt;=Dealps[[#This Row],[VALUE_DATE]],"On BS","Off BS"))</f>
        <v>On BS</v>
      </c>
      <c r="X82" s="25">
        <f>SUMIFS(U:U,C:C,Dealps[[#This Row],[PAPER_CODE]])</f>
        <v>0</v>
      </c>
      <c r="Y82" s="25">
        <f>_xlfn.XLOOKUP(Dealps[[#This Row],[DEAL_ID]],Ref!N:N,Ref!Q:Q,0,0)</f>
        <v>0</v>
      </c>
      <c r="Z82" s="25" t="str">
        <f>IF(Dealps[[#This Row],[CPTY_CODE]]=Dealps[[#This Row],[CPTY_CODE_ISSUER]],"Yes","No")</f>
        <v>No</v>
      </c>
      <c r="AA82" s="25"/>
      <c r="AC82" s="14"/>
      <c r="AG82" s="96"/>
      <c r="AH82" s="14"/>
      <c r="AI82"/>
      <c r="AN82" s="14"/>
      <c r="AV82" s="36"/>
      <c r="AW82" s="14"/>
      <c r="AX82" s="234"/>
      <c r="AY82" s="96"/>
      <c r="AZ82" s="14"/>
      <c r="BA82"/>
      <c r="BB82" s="93">
        <v>46262</v>
      </c>
      <c r="BC82">
        <v>1862</v>
      </c>
      <c r="BD82" s="56" t="s">
        <v>1016</v>
      </c>
      <c r="BE82" t="s">
        <v>1011</v>
      </c>
      <c r="BF82" t="s">
        <v>1015</v>
      </c>
      <c r="BG82" t="s">
        <v>364</v>
      </c>
      <c r="BH82" t="s">
        <v>1013</v>
      </c>
      <c r="BI82" t="s">
        <v>311</v>
      </c>
      <c r="BJ82" s="93">
        <v>45775</v>
      </c>
      <c r="BK82" s="93">
        <v>45775</v>
      </c>
      <c r="BL82" s="93">
        <v>45775</v>
      </c>
      <c r="BM82" s="93">
        <v>46480</v>
      </c>
      <c r="BN82" s="14">
        <v>1</v>
      </c>
      <c r="BO82" s="14">
        <v>10000000000</v>
      </c>
      <c r="BP82" s="56">
        <v>100</v>
      </c>
      <c r="BQ82" s="56">
        <v>0</v>
      </c>
      <c r="BR82" s="14">
        <v>10034246575</v>
      </c>
      <c r="BS82">
        <v>4.968839</v>
      </c>
      <c r="BT82" t="s">
        <v>1184</v>
      </c>
      <c r="BU82" s="25">
        <f>_xlfn.XLOOKUP(Dealps_MSB[[#This Row],[DEAL_ID]],Ref!V:V,Ref!X:X,0,0)</f>
        <v>0</v>
      </c>
      <c r="BV82"/>
    </row>
    <row r="83" spans="1:74" x14ac:dyDescent="0.3">
      <c r="A83" s="93">
        <v>46262</v>
      </c>
      <c r="B83">
        <v>45813</v>
      </c>
      <c r="C83" s="56" t="s">
        <v>465</v>
      </c>
      <c r="D83" t="s">
        <v>315</v>
      </c>
      <c r="E83" t="s">
        <v>327</v>
      </c>
      <c r="F83" t="s">
        <v>35</v>
      </c>
      <c r="G83" t="s">
        <v>310</v>
      </c>
      <c r="H83" t="s">
        <v>311</v>
      </c>
      <c r="I83" s="93">
        <v>45736</v>
      </c>
      <c r="J83" s="93">
        <v>45736</v>
      </c>
      <c r="K83" s="93">
        <v>45736</v>
      </c>
      <c r="L83" s="93">
        <v>46604</v>
      </c>
      <c r="M83" s="14">
        <v>3000</v>
      </c>
      <c r="N83" s="14">
        <v>300000000000</v>
      </c>
      <c r="O83" s="56">
        <v>100.07828494499999</v>
      </c>
      <c r="P83" s="56">
        <v>3</v>
      </c>
      <c r="Q83" s="14">
        <v>310403211000</v>
      </c>
      <c r="R83">
        <v>5.398536451</v>
      </c>
      <c r="S83" t="s">
        <v>1184</v>
      </c>
      <c r="T83" s="57">
        <f>IF(Dealps[[#This Row],[MATURITY_DATE]]-Dealps[[#This Row],[POSTED_DT]]&lt;0,0,IF(Dealps[[#This Row],[VALUE_DATE]]-Dealps[[#This Row],[POSTED_DT]]&gt;0,Dealps[[#This Row],[MATURITY_DATE]]-Dealps[[#This Row],[VALUE_DATE]],Dealps[[#This Row],[MATURITY_DATE]]-Dealps[[#This Row],[POSTED_DT]]))</f>
        <v>342</v>
      </c>
      <c r="U83" s="25">
        <f>IF(Dealps[[#This Row],[TENOR]]=0,0,IF(Dealps[[#This Row],[DEAL_TYPE]]="B",Dealps[[#This Row],[FACE_AMOUNT]],-Dealps[[#This Row],[FACE_AMOUNT]]))</f>
        <v>-300000000000</v>
      </c>
      <c r="V83" s="25">
        <f>_xlfn.XLOOKUP(Dealps[[#This Row],[PAPER_CODE]],FNRP!D:D,FNRP!H:H,0,0)/100*Dealps[[#This Row],[AMOUNT]]</f>
        <v>0</v>
      </c>
      <c r="W83" s="57" t="str">
        <f>IF(Dealps[[#This Row],[TRANSACTION_STATUS]]&lt;&gt;"V","Ngoai BS",IF(Dealps[[#This Row],[POSTED_DT]]&gt;=Dealps[[#This Row],[VALUE_DATE]],"On BS","Off BS"))</f>
        <v>On BS</v>
      </c>
      <c r="X83" s="25">
        <f>SUMIFS(U:U,C:C,Dealps[[#This Row],[PAPER_CODE]])</f>
        <v>0</v>
      </c>
      <c r="Y83" s="25">
        <f>_xlfn.XLOOKUP(Dealps[[#This Row],[DEAL_ID]],Ref!N:N,Ref!Q:Q,0,0)</f>
        <v>0</v>
      </c>
      <c r="Z83" s="25" t="str">
        <f>IF(Dealps[[#This Row],[CPTY_CODE]]=Dealps[[#This Row],[CPTY_CODE_ISSUER]],"Yes","No")</f>
        <v>No</v>
      </c>
      <c r="AA83" s="25"/>
      <c r="AC83" s="14"/>
      <c r="AG83" s="96"/>
      <c r="AH83" s="14"/>
      <c r="AI83"/>
      <c r="AN83" s="14"/>
      <c r="AV83" s="36"/>
      <c r="AW83" s="14"/>
      <c r="AX83" s="234"/>
      <c r="AY83" s="96"/>
      <c r="AZ83" s="14"/>
      <c r="BA83"/>
      <c r="BB83" s="93">
        <v>46262</v>
      </c>
      <c r="BC83">
        <v>1868</v>
      </c>
      <c r="BD83" s="56" t="s">
        <v>1016</v>
      </c>
      <c r="BE83" t="s">
        <v>1011</v>
      </c>
      <c r="BF83" t="s">
        <v>1015</v>
      </c>
      <c r="BG83" t="s">
        <v>364</v>
      </c>
      <c r="BH83" t="s">
        <v>1013</v>
      </c>
      <c r="BI83" t="s">
        <v>311</v>
      </c>
      <c r="BJ83" s="93">
        <v>45776</v>
      </c>
      <c r="BK83" s="93">
        <v>45776</v>
      </c>
      <c r="BL83" s="93">
        <v>45776</v>
      </c>
      <c r="BM83" s="93">
        <v>46480</v>
      </c>
      <c r="BN83" s="14">
        <v>1</v>
      </c>
      <c r="BO83" s="14">
        <v>10000000000</v>
      </c>
      <c r="BP83" s="56">
        <v>100</v>
      </c>
      <c r="BQ83" s="56">
        <v>0</v>
      </c>
      <c r="BR83" s="14">
        <v>10035616438</v>
      </c>
      <c r="BS83">
        <v>4.9681410000000001</v>
      </c>
      <c r="BT83" t="s">
        <v>1184</v>
      </c>
      <c r="BU83" s="25">
        <f>_xlfn.XLOOKUP(Dealps_MSB[[#This Row],[DEAL_ID]],Ref!V:V,Ref!X:X,0,0)</f>
        <v>0</v>
      </c>
      <c r="BV83"/>
    </row>
    <row r="84" spans="1:74" x14ac:dyDescent="0.3">
      <c r="A84" s="93">
        <v>46262</v>
      </c>
      <c r="B84">
        <v>45814</v>
      </c>
      <c r="C84" s="56" t="s">
        <v>259</v>
      </c>
      <c r="D84" t="s">
        <v>315</v>
      </c>
      <c r="E84" t="s">
        <v>327</v>
      </c>
      <c r="F84" t="s">
        <v>35</v>
      </c>
      <c r="G84" t="s">
        <v>310</v>
      </c>
      <c r="H84" t="s">
        <v>311</v>
      </c>
      <c r="I84" s="93">
        <v>45736</v>
      </c>
      <c r="J84" s="93">
        <v>45736</v>
      </c>
      <c r="K84" s="93">
        <v>45736</v>
      </c>
      <c r="L84" s="93">
        <v>46600</v>
      </c>
      <c r="M84" s="14">
        <v>3000</v>
      </c>
      <c r="N84" s="14">
        <v>300000000000</v>
      </c>
      <c r="O84" s="56">
        <v>100.075315918</v>
      </c>
      <c r="P84" s="56">
        <v>3</v>
      </c>
      <c r="Q84" s="14">
        <v>310573482000</v>
      </c>
      <c r="R84">
        <v>5.3998596670000003</v>
      </c>
      <c r="S84" t="s">
        <v>1184</v>
      </c>
      <c r="T84" s="57">
        <f>IF(Dealps[[#This Row],[MATURITY_DATE]]-Dealps[[#This Row],[POSTED_DT]]&lt;0,0,IF(Dealps[[#This Row],[VALUE_DATE]]-Dealps[[#This Row],[POSTED_DT]]&gt;0,Dealps[[#This Row],[MATURITY_DATE]]-Dealps[[#This Row],[VALUE_DATE]],Dealps[[#This Row],[MATURITY_DATE]]-Dealps[[#This Row],[POSTED_DT]]))</f>
        <v>338</v>
      </c>
      <c r="U84" s="25">
        <f>IF(Dealps[[#This Row],[TENOR]]=0,0,IF(Dealps[[#This Row],[DEAL_TYPE]]="B",Dealps[[#This Row],[FACE_AMOUNT]],-Dealps[[#This Row],[FACE_AMOUNT]]))</f>
        <v>-300000000000</v>
      </c>
      <c r="V84" s="25">
        <f>_xlfn.XLOOKUP(Dealps[[#This Row],[PAPER_CODE]],FNRP!D:D,FNRP!H:H,0,0)/100*Dealps[[#This Row],[AMOUNT]]</f>
        <v>0</v>
      </c>
      <c r="W84" s="57" t="str">
        <f>IF(Dealps[[#This Row],[TRANSACTION_STATUS]]&lt;&gt;"V","Ngoai BS",IF(Dealps[[#This Row],[POSTED_DT]]&gt;=Dealps[[#This Row],[VALUE_DATE]],"On BS","Off BS"))</f>
        <v>On BS</v>
      </c>
      <c r="X84" s="25">
        <f>SUMIFS(U:U,C:C,Dealps[[#This Row],[PAPER_CODE]])</f>
        <v>0</v>
      </c>
      <c r="Y84" s="25">
        <f>_xlfn.XLOOKUP(Dealps[[#This Row],[DEAL_ID]],Ref!N:N,Ref!Q:Q,0,0)</f>
        <v>0</v>
      </c>
      <c r="Z84" s="25" t="str">
        <f>IF(Dealps[[#This Row],[CPTY_CODE]]=Dealps[[#This Row],[CPTY_CODE_ISSUER]],"Yes","No")</f>
        <v>No</v>
      </c>
      <c r="AA84" s="25"/>
      <c r="AC84" s="14"/>
      <c r="AG84" s="96"/>
      <c r="AH84" s="14"/>
      <c r="AI84"/>
      <c r="AN84" s="14"/>
      <c r="AV84" s="36"/>
      <c r="AW84" s="14"/>
      <c r="AX84" s="234"/>
      <c r="AY84" s="96"/>
      <c r="AZ84" s="14"/>
      <c r="BA84"/>
      <c r="BB84" s="93">
        <v>46262</v>
      </c>
      <c r="BC84">
        <v>1869</v>
      </c>
      <c r="BD84" s="56" t="s">
        <v>1016</v>
      </c>
      <c r="BE84" t="s">
        <v>1011</v>
      </c>
      <c r="BF84" t="s">
        <v>1015</v>
      </c>
      <c r="BG84" t="s">
        <v>364</v>
      </c>
      <c r="BH84" t="s">
        <v>1013</v>
      </c>
      <c r="BI84" t="s">
        <v>311</v>
      </c>
      <c r="BJ84" s="93">
        <v>45776</v>
      </c>
      <c r="BK84" s="93">
        <v>45776</v>
      </c>
      <c r="BL84" s="93">
        <v>45776</v>
      </c>
      <c r="BM84" s="93">
        <v>46480</v>
      </c>
      <c r="BN84" s="14">
        <v>1</v>
      </c>
      <c r="BO84" s="14">
        <v>10000000000</v>
      </c>
      <c r="BP84" s="56">
        <v>100</v>
      </c>
      <c r="BQ84" s="56">
        <v>0</v>
      </c>
      <c r="BR84" s="14">
        <v>10035616438</v>
      </c>
      <c r="BS84">
        <v>4.9681410000000001</v>
      </c>
      <c r="BT84" t="s">
        <v>1184</v>
      </c>
      <c r="BU84" s="25">
        <f>_xlfn.XLOOKUP(Dealps_MSB[[#This Row],[DEAL_ID]],Ref!V:V,Ref!X:X,0,0)</f>
        <v>0</v>
      </c>
      <c r="BV84"/>
    </row>
    <row r="85" spans="1:74" x14ac:dyDescent="0.3">
      <c r="A85" s="93">
        <v>46262</v>
      </c>
      <c r="B85">
        <v>45815</v>
      </c>
      <c r="C85" s="56" t="s">
        <v>464</v>
      </c>
      <c r="D85" t="s">
        <v>315</v>
      </c>
      <c r="E85" t="s">
        <v>327</v>
      </c>
      <c r="F85" t="s">
        <v>35</v>
      </c>
      <c r="G85" t="s">
        <v>310</v>
      </c>
      <c r="H85" t="s">
        <v>311</v>
      </c>
      <c r="I85" s="93">
        <v>45736</v>
      </c>
      <c r="J85" s="93">
        <v>45736</v>
      </c>
      <c r="K85" s="93">
        <v>45736</v>
      </c>
      <c r="L85" s="93">
        <v>46593</v>
      </c>
      <c r="M85" s="14">
        <v>3000</v>
      </c>
      <c r="N85" s="14">
        <v>300000000000</v>
      </c>
      <c r="O85" s="56">
        <v>100.05604937</v>
      </c>
      <c r="P85" s="56">
        <v>4</v>
      </c>
      <c r="Q85" s="14">
        <v>310829244000</v>
      </c>
      <c r="R85">
        <v>5.4087608850000004</v>
      </c>
      <c r="S85" t="s">
        <v>1184</v>
      </c>
      <c r="T85" s="57">
        <f>IF(Dealps[[#This Row],[MATURITY_DATE]]-Dealps[[#This Row],[POSTED_DT]]&lt;0,0,IF(Dealps[[#This Row],[VALUE_DATE]]-Dealps[[#This Row],[POSTED_DT]]&gt;0,Dealps[[#This Row],[MATURITY_DATE]]-Dealps[[#This Row],[VALUE_DATE]],Dealps[[#This Row],[MATURITY_DATE]]-Dealps[[#This Row],[POSTED_DT]]))</f>
        <v>331</v>
      </c>
      <c r="U85" s="25">
        <f>IF(Dealps[[#This Row],[TENOR]]=0,0,IF(Dealps[[#This Row],[DEAL_TYPE]]="B",Dealps[[#This Row],[FACE_AMOUNT]],-Dealps[[#This Row],[FACE_AMOUNT]]))</f>
        <v>-300000000000</v>
      </c>
      <c r="V85" s="25">
        <f>_xlfn.XLOOKUP(Dealps[[#This Row],[PAPER_CODE]],FNRP!D:D,FNRP!H:H,0,0)/100*Dealps[[#This Row],[AMOUNT]]</f>
        <v>0</v>
      </c>
      <c r="W85" s="57" t="str">
        <f>IF(Dealps[[#This Row],[TRANSACTION_STATUS]]&lt;&gt;"V","Ngoai BS",IF(Dealps[[#This Row],[POSTED_DT]]&gt;=Dealps[[#This Row],[VALUE_DATE]],"On BS","Off BS"))</f>
        <v>On BS</v>
      </c>
      <c r="X85" s="25">
        <f>SUMIFS(U:U,C:C,Dealps[[#This Row],[PAPER_CODE]])</f>
        <v>0</v>
      </c>
      <c r="Y85" s="25">
        <f>_xlfn.XLOOKUP(Dealps[[#This Row],[DEAL_ID]],Ref!N:N,Ref!Q:Q,0,0)</f>
        <v>0</v>
      </c>
      <c r="Z85" s="25" t="str">
        <f>IF(Dealps[[#This Row],[CPTY_CODE]]=Dealps[[#This Row],[CPTY_CODE_ISSUER]],"Yes","No")</f>
        <v>No</v>
      </c>
      <c r="AA85" s="25"/>
      <c r="AC85" s="14"/>
      <c r="AG85" s="96"/>
      <c r="AH85" s="14"/>
      <c r="AI85"/>
      <c r="AN85" s="14"/>
      <c r="AV85" s="36"/>
      <c r="AW85" s="14"/>
      <c r="AX85" s="234"/>
      <c r="AY85" s="96"/>
      <c r="AZ85" s="14"/>
      <c r="BA85"/>
      <c r="BB85" s="93">
        <v>46262</v>
      </c>
      <c r="BC85">
        <v>1874</v>
      </c>
      <c r="BD85" s="56" t="s">
        <v>1016</v>
      </c>
      <c r="BE85" t="s">
        <v>1011</v>
      </c>
      <c r="BF85" t="s">
        <v>1015</v>
      </c>
      <c r="BG85" t="s">
        <v>364</v>
      </c>
      <c r="BH85" t="s">
        <v>1013</v>
      </c>
      <c r="BI85" t="s">
        <v>311</v>
      </c>
      <c r="BJ85" s="93">
        <v>45776</v>
      </c>
      <c r="BK85" s="93">
        <v>45776</v>
      </c>
      <c r="BL85" s="93">
        <v>45776</v>
      </c>
      <c r="BM85" s="93">
        <v>46480</v>
      </c>
      <c r="BN85" s="14">
        <v>1</v>
      </c>
      <c r="BO85" s="14">
        <v>10000000000</v>
      </c>
      <c r="BP85" s="56">
        <v>100</v>
      </c>
      <c r="BQ85" s="56">
        <v>0</v>
      </c>
      <c r="BR85" s="14">
        <v>10035616438</v>
      </c>
      <c r="BS85">
        <v>4.9681410000000001</v>
      </c>
      <c r="BT85" t="s">
        <v>1184</v>
      </c>
      <c r="BU85" s="25">
        <f>_xlfn.XLOOKUP(Dealps_MSB[[#This Row],[DEAL_ID]],Ref!V:V,Ref!X:X,0,0)</f>
        <v>0</v>
      </c>
      <c r="BV85"/>
    </row>
    <row r="86" spans="1:74" x14ac:dyDescent="0.3">
      <c r="A86" s="93">
        <v>46262</v>
      </c>
      <c r="B86">
        <v>45820</v>
      </c>
      <c r="C86" s="56" t="s">
        <v>40</v>
      </c>
      <c r="D86" t="s">
        <v>312</v>
      </c>
      <c r="E86" t="s">
        <v>471</v>
      </c>
      <c r="F86" t="s">
        <v>35</v>
      </c>
      <c r="G86" t="s">
        <v>310</v>
      </c>
      <c r="H86" t="s">
        <v>311</v>
      </c>
      <c r="I86" s="93">
        <v>45736</v>
      </c>
      <c r="J86" s="93">
        <v>45741</v>
      </c>
      <c r="K86" s="93">
        <v>45747</v>
      </c>
      <c r="L86" s="93">
        <v>46289</v>
      </c>
      <c r="M86" s="14">
        <v>300</v>
      </c>
      <c r="N86" s="14">
        <v>300000000000</v>
      </c>
      <c r="O86" s="56">
        <v>99.933333300000001</v>
      </c>
      <c r="P86" s="56">
        <v>4</v>
      </c>
      <c r="Q86" s="14">
        <v>311504931300</v>
      </c>
      <c r="R86">
        <v>7.9053740829999999</v>
      </c>
      <c r="S86" t="s">
        <v>1184</v>
      </c>
      <c r="T86" s="57">
        <f>IF(Dealps[[#This Row],[MATURITY_DATE]]-Dealps[[#This Row],[POSTED_DT]]&lt;0,0,IF(Dealps[[#This Row],[VALUE_DATE]]-Dealps[[#This Row],[POSTED_DT]]&gt;0,Dealps[[#This Row],[MATURITY_DATE]]-Dealps[[#This Row],[VALUE_DATE]],Dealps[[#This Row],[MATURITY_DATE]]-Dealps[[#This Row],[POSTED_DT]]))</f>
        <v>27</v>
      </c>
      <c r="U86" s="25">
        <f>IF(Dealps[[#This Row],[TENOR]]=0,0,IF(Dealps[[#This Row],[DEAL_TYPE]]="B",Dealps[[#This Row],[FACE_AMOUNT]],-Dealps[[#This Row],[FACE_AMOUNT]]))</f>
        <v>-300000000000</v>
      </c>
      <c r="V86" s="25">
        <f>_xlfn.XLOOKUP(Dealps[[#This Row],[PAPER_CODE]],FNRP!D:D,FNRP!H:H,0,0)/100*Dealps[[#This Row],[AMOUNT]]</f>
        <v>-1607712987</v>
      </c>
      <c r="W86" s="57" t="str">
        <f>IF(Dealps[[#This Row],[TRANSACTION_STATUS]]&lt;&gt;"V","Ngoai BS",IF(Dealps[[#This Row],[POSTED_DT]]&gt;=Dealps[[#This Row],[VALUE_DATE]],"On BS","Off BS"))</f>
        <v>On BS</v>
      </c>
      <c r="X86" s="25">
        <f>SUMIFS(U:U,C:C,Dealps[[#This Row],[PAPER_CODE]])</f>
        <v>1000000000000</v>
      </c>
      <c r="Y86" s="25">
        <f>_xlfn.XLOOKUP(Dealps[[#This Row],[DEAL_ID]],Ref!N:N,Ref!Q:Q,0,0)</f>
        <v>0</v>
      </c>
      <c r="Z86" s="25" t="str">
        <f>IF(Dealps[[#This Row],[CPTY_CODE]]=Dealps[[#This Row],[CPTY_CODE_ISSUER]],"Yes","No")</f>
        <v>No</v>
      </c>
      <c r="AA86" s="25"/>
      <c r="AC86" s="14"/>
      <c r="AG86" s="96"/>
      <c r="AH86" s="14"/>
      <c r="AI86"/>
      <c r="AN86" s="14"/>
      <c r="AV86" s="36"/>
      <c r="AW86" s="14"/>
      <c r="AX86" s="234"/>
      <c r="AY86" s="96"/>
      <c r="AZ86" s="14"/>
      <c r="BA86"/>
      <c r="BB86" s="93">
        <v>46262</v>
      </c>
      <c r="BC86">
        <v>1875</v>
      </c>
      <c r="BD86" s="56" t="s">
        <v>1016</v>
      </c>
      <c r="BE86" t="s">
        <v>1011</v>
      </c>
      <c r="BF86" t="s">
        <v>1015</v>
      </c>
      <c r="BG86" t="s">
        <v>364</v>
      </c>
      <c r="BH86" t="s">
        <v>1013</v>
      </c>
      <c r="BI86" t="s">
        <v>311</v>
      </c>
      <c r="BJ86" s="93">
        <v>45776</v>
      </c>
      <c r="BK86" s="93">
        <v>45776</v>
      </c>
      <c r="BL86" s="93">
        <v>45776</v>
      </c>
      <c r="BM86" s="93">
        <v>46480</v>
      </c>
      <c r="BN86" s="14">
        <v>1</v>
      </c>
      <c r="BO86" s="14">
        <v>10000000000</v>
      </c>
      <c r="BP86" s="56">
        <v>100</v>
      </c>
      <c r="BQ86" s="56">
        <v>0</v>
      </c>
      <c r="BR86" s="14">
        <v>10035616438</v>
      </c>
      <c r="BS86">
        <v>4.9681410000000001</v>
      </c>
      <c r="BT86" t="s">
        <v>1184</v>
      </c>
      <c r="BU86" s="25">
        <f>_xlfn.XLOOKUP(Dealps_MSB[[#This Row],[DEAL_ID]],Ref!V:V,Ref!X:X,0,0)</f>
        <v>0</v>
      </c>
      <c r="BV86"/>
    </row>
    <row r="87" spans="1:74" x14ac:dyDescent="0.3">
      <c r="A87" s="93">
        <v>46262</v>
      </c>
      <c r="B87">
        <v>45824</v>
      </c>
      <c r="C87" s="56" t="s">
        <v>463</v>
      </c>
      <c r="D87" t="s">
        <v>309</v>
      </c>
      <c r="E87" t="s">
        <v>327</v>
      </c>
      <c r="F87" t="s">
        <v>35</v>
      </c>
      <c r="G87" t="s">
        <v>310</v>
      </c>
      <c r="H87" t="s">
        <v>311</v>
      </c>
      <c r="I87" s="93">
        <v>45737</v>
      </c>
      <c r="J87" s="93">
        <v>45737</v>
      </c>
      <c r="K87" s="93">
        <v>45737</v>
      </c>
      <c r="L87" s="93">
        <v>46627</v>
      </c>
      <c r="M87" s="14">
        <v>300</v>
      </c>
      <c r="N87" s="14">
        <v>300000000000</v>
      </c>
      <c r="O87" s="56">
        <v>99.947189855000005</v>
      </c>
      <c r="P87" s="56">
        <v>3</v>
      </c>
      <c r="Q87" s="14">
        <v>308603213400</v>
      </c>
      <c r="R87">
        <v>5.2090678749999997</v>
      </c>
      <c r="S87" t="s">
        <v>1184</v>
      </c>
      <c r="T87" s="57">
        <f>IF(Dealps[[#This Row],[MATURITY_DATE]]-Dealps[[#This Row],[POSTED_DT]]&lt;0,0,IF(Dealps[[#This Row],[VALUE_DATE]]-Dealps[[#This Row],[POSTED_DT]]&gt;0,Dealps[[#This Row],[MATURITY_DATE]]-Dealps[[#This Row],[VALUE_DATE]],Dealps[[#This Row],[MATURITY_DATE]]-Dealps[[#This Row],[POSTED_DT]]))</f>
        <v>365</v>
      </c>
      <c r="U87" s="25">
        <f>IF(Dealps[[#This Row],[TENOR]]=0,0,IF(Dealps[[#This Row],[DEAL_TYPE]]="B",Dealps[[#This Row],[FACE_AMOUNT]],-Dealps[[#This Row],[FACE_AMOUNT]]))</f>
        <v>-300000000000</v>
      </c>
      <c r="V87" s="25">
        <f>_xlfn.XLOOKUP(Dealps[[#This Row],[PAPER_CODE]],FNRP!D:D,FNRP!H:H,0,0)/100*Dealps[[#This Row],[AMOUNT]]</f>
        <v>0</v>
      </c>
      <c r="W87" s="57" t="str">
        <f>IF(Dealps[[#This Row],[TRANSACTION_STATUS]]&lt;&gt;"V","Ngoai BS",IF(Dealps[[#This Row],[POSTED_DT]]&gt;=Dealps[[#This Row],[VALUE_DATE]],"On BS","Off BS"))</f>
        <v>On BS</v>
      </c>
      <c r="X87" s="25">
        <f>SUMIFS(U:U,C:C,Dealps[[#This Row],[PAPER_CODE]])</f>
        <v>0</v>
      </c>
      <c r="Y87" s="25">
        <f>_xlfn.XLOOKUP(Dealps[[#This Row],[DEAL_ID]],Ref!N:N,Ref!Q:Q,0,0)</f>
        <v>0</v>
      </c>
      <c r="Z87" s="25" t="str">
        <f>IF(Dealps[[#This Row],[CPTY_CODE]]=Dealps[[#This Row],[CPTY_CODE_ISSUER]],"Yes","No")</f>
        <v>No</v>
      </c>
      <c r="AA87" s="25"/>
      <c r="AC87" s="14"/>
      <c r="AG87" s="96"/>
      <c r="AH87" s="14"/>
      <c r="AI87"/>
      <c r="AN87" s="14"/>
      <c r="AV87" s="36"/>
      <c r="AW87" s="14"/>
      <c r="AX87" s="234"/>
      <c r="AY87" s="96"/>
      <c r="AZ87" s="14"/>
      <c r="BA87"/>
      <c r="BB87" s="93">
        <v>46262</v>
      </c>
      <c r="BC87">
        <v>1876</v>
      </c>
      <c r="BD87" s="56" t="s">
        <v>1016</v>
      </c>
      <c r="BE87" t="s">
        <v>1011</v>
      </c>
      <c r="BF87" t="s">
        <v>1015</v>
      </c>
      <c r="BG87" t="s">
        <v>364</v>
      </c>
      <c r="BH87" t="s">
        <v>1013</v>
      </c>
      <c r="BI87" t="s">
        <v>311</v>
      </c>
      <c r="BJ87" s="93">
        <v>45776</v>
      </c>
      <c r="BK87" s="93">
        <v>45776</v>
      </c>
      <c r="BL87" s="93">
        <v>45776</v>
      </c>
      <c r="BM87" s="93">
        <v>46480</v>
      </c>
      <c r="BN87" s="14">
        <v>1</v>
      </c>
      <c r="BO87" s="14">
        <v>10000000000</v>
      </c>
      <c r="BP87" s="56">
        <v>100</v>
      </c>
      <c r="BQ87" s="56">
        <v>0</v>
      </c>
      <c r="BR87" s="14">
        <v>10035616438</v>
      </c>
      <c r="BS87">
        <v>4.9681410000000001</v>
      </c>
      <c r="BT87" t="s">
        <v>1184</v>
      </c>
      <c r="BU87" s="25">
        <f>_xlfn.XLOOKUP(Dealps_MSB[[#This Row],[DEAL_ID]],Ref!V:V,Ref!X:X,0,0)</f>
        <v>0</v>
      </c>
      <c r="BV87"/>
    </row>
    <row r="88" spans="1:74" x14ac:dyDescent="0.3">
      <c r="A88" s="93">
        <v>46262</v>
      </c>
      <c r="B88">
        <v>45825</v>
      </c>
      <c r="C88" s="56" t="s">
        <v>467</v>
      </c>
      <c r="D88" t="s">
        <v>309</v>
      </c>
      <c r="E88" t="s">
        <v>327</v>
      </c>
      <c r="F88" t="s">
        <v>35</v>
      </c>
      <c r="G88" t="s">
        <v>310</v>
      </c>
      <c r="H88" t="s">
        <v>311</v>
      </c>
      <c r="I88" s="93">
        <v>45737</v>
      </c>
      <c r="J88" s="93">
        <v>45737</v>
      </c>
      <c r="K88" s="93">
        <v>45737</v>
      </c>
      <c r="L88" s="93">
        <v>46663</v>
      </c>
      <c r="M88" s="14">
        <v>280</v>
      </c>
      <c r="N88" s="14">
        <v>280000000000</v>
      </c>
      <c r="O88" s="56">
        <v>99.895890836999996</v>
      </c>
      <c r="P88" s="56">
        <v>2</v>
      </c>
      <c r="Q88" s="14">
        <v>286320329960</v>
      </c>
      <c r="R88">
        <v>5.131162926</v>
      </c>
      <c r="S88" t="s">
        <v>1184</v>
      </c>
      <c r="T88" s="57">
        <f>IF(Dealps[[#This Row],[MATURITY_DATE]]-Dealps[[#This Row],[POSTED_DT]]&lt;0,0,IF(Dealps[[#This Row],[VALUE_DATE]]-Dealps[[#This Row],[POSTED_DT]]&gt;0,Dealps[[#This Row],[MATURITY_DATE]]-Dealps[[#This Row],[VALUE_DATE]],Dealps[[#This Row],[MATURITY_DATE]]-Dealps[[#This Row],[POSTED_DT]]))</f>
        <v>401</v>
      </c>
      <c r="U88" s="25">
        <f>IF(Dealps[[#This Row],[TENOR]]=0,0,IF(Dealps[[#This Row],[DEAL_TYPE]]="B",Dealps[[#This Row],[FACE_AMOUNT]],-Dealps[[#This Row],[FACE_AMOUNT]]))</f>
        <v>-280000000000</v>
      </c>
      <c r="V88" s="25">
        <f>_xlfn.XLOOKUP(Dealps[[#This Row],[PAPER_CODE]],FNRP!D:D,FNRP!H:H,0,0)/100*Dealps[[#This Row],[AMOUNT]]</f>
        <v>0</v>
      </c>
      <c r="W88" s="57" t="str">
        <f>IF(Dealps[[#This Row],[TRANSACTION_STATUS]]&lt;&gt;"V","Ngoai BS",IF(Dealps[[#This Row],[POSTED_DT]]&gt;=Dealps[[#This Row],[VALUE_DATE]],"On BS","Off BS"))</f>
        <v>On BS</v>
      </c>
      <c r="X88" s="25">
        <f>SUMIFS(U:U,C:C,Dealps[[#This Row],[PAPER_CODE]])</f>
        <v>0</v>
      </c>
      <c r="Y88" s="25">
        <f>_xlfn.XLOOKUP(Dealps[[#This Row],[DEAL_ID]],Ref!N:N,Ref!Q:Q,0,0)</f>
        <v>0</v>
      </c>
      <c r="Z88" s="25" t="str">
        <f>IF(Dealps[[#This Row],[CPTY_CODE]]=Dealps[[#This Row],[CPTY_CODE_ISSUER]],"Yes","No")</f>
        <v>No</v>
      </c>
      <c r="AA88" s="25"/>
      <c r="AC88" s="14"/>
      <c r="AG88" s="96"/>
      <c r="AH88" s="14"/>
      <c r="AI88"/>
      <c r="AN88" s="14"/>
      <c r="AV88" s="36"/>
      <c r="AW88" s="14"/>
      <c r="AX88" s="234"/>
      <c r="AY88" s="96"/>
      <c r="AZ88" s="14"/>
      <c r="BA88"/>
      <c r="BB88" s="93">
        <v>46262</v>
      </c>
      <c r="BC88">
        <v>1877</v>
      </c>
      <c r="BD88" s="56" t="s">
        <v>1016</v>
      </c>
      <c r="BE88" t="s">
        <v>1011</v>
      </c>
      <c r="BF88" t="s">
        <v>1015</v>
      </c>
      <c r="BG88" t="s">
        <v>364</v>
      </c>
      <c r="BH88" t="s">
        <v>1013</v>
      </c>
      <c r="BI88" t="s">
        <v>311</v>
      </c>
      <c r="BJ88" s="93">
        <v>45776</v>
      </c>
      <c r="BK88" s="93">
        <v>45776</v>
      </c>
      <c r="BL88" s="93">
        <v>45776</v>
      </c>
      <c r="BM88" s="93">
        <v>46480</v>
      </c>
      <c r="BN88" s="14">
        <v>1</v>
      </c>
      <c r="BO88" s="14">
        <v>10000000000</v>
      </c>
      <c r="BP88" s="56">
        <v>100</v>
      </c>
      <c r="BQ88" s="56">
        <v>0</v>
      </c>
      <c r="BR88" s="14">
        <v>10035616438</v>
      </c>
      <c r="BS88">
        <v>4.9681410000000001</v>
      </c>
      <c r="BT88" t="s">
        <v>1184</v>
      </c>
      <c r="BU88" s="25">
        <f>_xlfn.XLOOKUP(Dealps_MSB[[#This Row],[DEAL_ID]],Ref!V:V,Ref!X:X,0,0)</f>
        <v>0</v>
      </c>
      <c r="BV88"/>
    </row>
    <row r="89" spans="1:74" x14ac:dyDescent="0.3">
      <c r="A89" s="93">
        <v>46262</v>
      </c>
      <c r="B89">
        <v>45827</v>
      </c>
      <c r="C89" s="56" t="s">
        <v>466</v>
      </c>
      <c r="D89" t="s">
        <v>309</v>
      </c>
      <c r="E89" t="s">
        <v>327</v>
      </c>
      <c r="F89" t="s">
        <v>35</v>
      </c>
      <c r="G89" t="s">
        <v>310</v>
      </c>
      <c r="H89" t="s">
        <v>311</v>
      </c>
      <c r="I89" s="93">
        <v>45737</v>
      </c>
      <c r="J89" s="93">
        <v>45737</v>
      </c>
      <c r="K89" s="93">
        <v>45737</v>
      </c>
      <c r="L89" s="93">
        <v>46621</v>
      </c>
      <c r="M89" s="14">
        <v>300</v>
      </c>
      <c r="N89" s="14">
        <v>300000000000</v>
      </c>
      <c r="O89" s="56">
        <v>99.947741402999995</v>
      </c>
      <c r="P89" s="56">
        <v>3</v>
      </c>
      <c r="Q89" s="14">
        <v>308861306400</v>
      </c>
      <c r="R89">
        <v>5.2090101649999996</v>
      </c>
      <c r="S89" t="s">
        <v>1184</v>
      </c>
      <c r="T89" s="57">
        <f>IF(Dealps[[#This Row],[MATURITY_DATE]]-Dealps[[#This Row],[POSTED_DT]]&lt;0,0,IF(Dealps[[#This Row],[VALUE_DATE]]-Dealps[[#This Row],[POSTED_DT]]&gt;0,Dealps[[#This Row],[MATURITY_DATE]]-Dealps[[#This Row],[VALUE_DATE]],Dealps[[#This Row],[MATURITY_DATE]]-Dealps[[#This Row],[POSTED_DT]]))</f>
        <v>359</v>
      </c>
      <c r="U89" s="25">
        <f>IF(Dealps[[#This Row],[TENOR]]=0,0,IF(Dealps[[#This Row],[DEAL_TYPE]]="B",Dealps[[#This Row],[FACE_AMOUNT]],-Dealps[[#This Row],[FACE_AMOUNT]]))</f>
        <v>-300000000000</v>
      </c>
      <c r="V89" s="25">
        <f>_xlfn.XLOOKUP(Dealps[[#This Row],[PAPER_CODE]],FNRP!D:D,FNRP!H:H,0,0)/100*Dealps[[#This Row],[AMOUNT]]</f>
        <v>0</v>
      </c>
      <c r="W89" s="57" t="str">
        <f>IF(Dealps[[#This Row],[TRANSACTION_STATUS]]&lt;&gt;"V","Ngoai BS",IF(Dealps[[#This Row],[POSTED_DT]]&gt;=Dealps[[#This Row],[VALUE_DATE]],"On BS","Off BS"))</f>
        <v>On BS</v>
      </c>
      <c r="X89" s="25">
        <f>SUMIFS(U:U,C:C,Dealps[[#This Row],[PAPER_CODE]])</f>
        <v>0</v>
      </c>
      <c r="Y89" s="25">
        <f>_xlfn.XLOOKUP(Dealps[[#This Row],[DEAL_ID]],Ref!N:N,Ref!Q:Q,0,0)</f>
        <v>0</v>
      </c>
      <c r="Z89" s="25" t="str">
        <f>IF(Dealps[[#This Row],[CPTY_CODE]]=Dealps[[#This Row],[CPTY_CODE_ISSUER]],"Yes","No")</f>
        <v>No</v>
      </c>
      <c r="AA89" s="25"/>
      <c r="AC89" s="14"/>
      <c r="AG89" s="96"/>
      <c r="AH89" s="14"/>
      <c r="AI89"/>
      <c r="AN89" s="14"/>
      <c r="AV89" s="36"/>
      <c r="AW89" s="14"/>
      <c r="AX89" s="234"/>
      <c r="AY89" s="96"/>
      <c r="AZ89" s="14"/>
      <c r="BA89"/>
      <c r="BB89" s="93">
        <v>46262</v>
      </c>
      <c r="BC89">
        <v>1878</v>
      </c>
      <c r="BD89" s="56" t="s">
        <v>1016</v>
      </c>
      <c r="BE89" t="s">
        <v>1011</v>
      </c>
      <c r="BF89" t="s">
        <v>1015</v>
      </c>
      <c r="BG89" t="s">
        <v>364</v>
      </c>
      <c r="BH89" t="s">
        <v>1013</v>
      </c>
      <c r="BI89" t="s">
        <v>311</v>
      </c>
      <c r="BJ89" s="93">
        <v>45776</v>
      </c>
      <c r="BK89" s="93">
        <v>45776</v>
      </c>
      <c r="BL89" s="93">
        <v>45776</v>
      </c>
      <c r="BM89" s="93">
        <v>46480</v>
      </c>
      <c r="BN89" s="14">
        <v>1</v>
      </c>
      <c r="BO89" s="14">
        <v>10000000000</v>
      </c>
      <c r="BP89" s="56">
        <v>100</v>
      </c>
      <c r="BQ89" s="56">
        <v>0</v>
      </c>
      <c r="BR89" s="14">
        <v>10035616438</v>
      </c>
      <c r="BS89">
        <v>4.9681410000000001</v>
      </c>
      <c r="BT89" t="s">
        <v>1184</v>
      </c>
      <c r="BU89" s="25">
        <f>_xlfn.XLOOKUP(Dealps_MSB[[#This Row],[DEAL_ID]],Ref!V:V,Ref!X:X,0,0)</f>
        <v>0</v>
      </c>
      <c r="BV89"/>
    </row>
    <row r="90" spans="1:74" x14ac:dyDescent="0.3">
      <c r="A90" s="93">
        <v>46262</v>
      </c>
      <c r="B90">
        <v>45828</v>
      </c>
      <c r="C90" s="56" t="s">
        <v>463</v>
      </c>
      <c r="D90" t="s">
        <v>309</v>
      </c>
      <c r="E90" t="s">
        <v>327</v>
      </c>
      <c r="F90" t="s">
        <v>35</v>
      </c>
      <c r="G90" t="s">
        <v>310</v>
      </c>
      <c r="H90" t="s">
        <v>311</v>
      </c>
      <c r="I90" s="93">
        <v>45737</v>
      </c>
      <c r="J90" s="93">
        <v>45737</v>
      </c>
      <c r="K90" s="93">
        <v>45737</v>
      </c>
      <c r="L90" s="93">
        <v>46627</v>
      </c>
      <c r="M90" s="14">
        <v>300</v>
      </c>
      <c r="N90" s="14">
        <v>300000000000</v>
      </c>
      <c r="O90" s="56">
        <v>99.947189855000005</v>
      </c>
      <c r="P90" s="56">
        <v>3</v>
      </c>
      <c r="Q90" s="14">
        <v>308603213400</v>
      </c>
      <c r="R90">
        <v>5.2090678749999997</v>
      </c>
      <c r="S90" t="s">
        <v>1184</v>
      </c>
      <c r="T90" s="57">
        <f>IF(Dealps[[#This Row],[MATURITY_DATE]]-Dealps[[#This Row],[POSTED_DT]]&lt;0,0,IF(Dealps[[#This Row],[VALUE_DATE]]-Dealps[[#This Row],[POSTED_DT]]&gt;0,Dealps[[#This Row],[MATURITY_DATE]]-Dealps[[#This Row],[VALUE_DATE]],Dealps[[#This Row],[MATURITY_DATE]]-Dealps[[#This Row],[POSTED_DT]]))</f>
        <v>365</v>
      </c>
      <c r="U90" s="25">
        <f>IF(Dealps[[#This Row],[TENOR]]=0,0,IF(Dealps[[#This Row],[DEAL_TYPE]]="B",Dealps[[#This Row],[FACE_AMOUNT]],-Dealps[[#This Row],[FACE_AMOUNT]]))</f>
        <v>-300000000000</v>
      </c>
      <c r="V90" s="25">
        <f>_xlfn.XLOOKUP(Dealps[[#This Row],[PAPER_CODE]],FNRP!D:D,FNRP!H:H,0,0)/100*Dealps[[#This Row],[AMOUNT]]</f>
        <v>0</v>
      </c>
      <c r="W90" s="57" t="str">
        <f>IF(Dealps[[#This Row],[TRANSACTION_STATUS]]&lt;&gt;"V","Ngoai BS",IF(Dealps[[#This Row],[POSTED_DT]]&gt;=Dealps[[#This Row],[VALUE_DATE]],"On BS","Off BS"))</f>
        <v>On BS</v>
      </c>
      <c r="X90" s="25">
        <f>SUMIFS(U:U,C:C,Dealps[[#This Row],[PAPER_CODE]])</f>
        <v>0</v>
      </c>
      <c r="Y90" s="25">
        <f>_xlfn.XLOOKUP(Dealps[[#This Row],[DEAL_ID]],Ref!N:N,Ref!Q:Q,0,0)</f>
        <v>0</v>
      </c>
      <c r="Z90" s="25" t="str">
        <f>IF(Dealps[[#This Row],[CPTY_CODE]]=Dealps[[#This Row],[CPTY_CODE_ISSUER]],"Yes","No")</f>
        <v>No</v>
      </c>
      <c r="AA90" s="25"/>
      <c r="AC90" s="14"/>
      <c r="AG90" s="96"/>
      <c r="AH90" s="14"/>
      <c r="AI90"/>
      <c r="AN90" s="14"/>
      <c r="AV90" s="36"/>
      <c r="AW90" s="14"/>
      <c r="AX90" s="234"/>
      <c r="AY90" s="96"/>
      <c r="AZ90" s="14"/>
      <c r="BA90"/>
      <c r="BB90" s="93">
        <v>46262</v>
      </c>
      <c r="BC90">
        <v>1879</v>
      </c>
      <c r="BD90" s="56" t="s">
        <v>1016</v>
      </c>
      <c r="BE90" t="s">
        <v>1011</v>
      </c>
      <c r="BF90" t="s">
        <v>1015</v>
      </c>
      <c r="BG90" t="s">
        <v>364</v>
      </c>
      <c r="BH90" t="s">
        <v>1013</v>
      </c>
      <c r="BI90" t="s">
        <v>311</v>
      </c>
      <c r="BJ90" s="93">
        <v>45776</v>
      </c>
      <c r="BK90" s="93">
        <v>45776</v>
      </c>
      <c r="BL90" s="93">
        <v>45776</v>
      </c>
      <c r="BM90" s="93">
        <v>46480</v>
      </c>
      <c r="BN90" s="14">
        <v>1</v>
      </c>
      <c r="BO90" s="14">
        <v>10000000000</v>
      </c>
      <c r="BP90" s="56">
        <v>100</v>
      </c>
      <c r="BQ90" s="56">
        <v>0</v>
      </c>
      <c r="BR90" s="14">
        <v>10035616438</v>
      </c>
      <c r="BS90">
        <v>4.9681410000000001</v>
      </c>
      <c r="BT90" t="s">
        <v>1184</v>
      </c>
      <c r="BU90" s="25">
        <f>_xlfn.XLOOKUP(Dealps_MSB[[#This Row],[DEAL_ID]],Ref!V:V,Ref!X:X,0,0)</f>
        <v>0</v>
      </c>
      <c r="BV90"/>
    </row>
    <row r="91" spans="1:74" x14ac:dyDescent="0.3">
      <c r="A91" s="93">
        <v>46262</v>
      </c>
      <c r="B91">
        <v>45851</v>
      </c>
      <c r="C91" s="56" t="s">
        <v>252</v>
      </c>
      <c r="D91" t="s">
        <v>309</v>
      </c>
      <c r="E91" t="s">
        <v>315</v>
      </c>
      <c r="F91" t="s">
        <v>35</v>
      </c>
      <c r="G91" t="s">
        <v>310</v>
      </c>
      <c r="H91" t="s">
        <v>311</v>
      </c>
      <c r="I91" s="93">
        <v>45741</v>
      </c>
      <c r="J91" s="93">
        <v>45741</v>
      </c>
      <c r="K91" s="93">
        <v>45741</v>
      </c>
      <c r="L91" s="93">
        <v>46647</v>
      </c>
      <c r="M91" s="14">
        <v>1000</v>
      </c>
      <c r="N91" s="14">
        <v>1000000000000</v>
      </c>
      <c r="O91" s="56">
        <v>100.45872575999999</v>
      </c>
      <c r="P91" s="56">
        <v>3</v>
      </c>
      <c r="Q91" s="14">
        <v>1031513285000</v>
      </c>
      <c r="R91">
        <v>4.9851160600000002</v>
      </c>
      <c r="S91" t="s">
        <v>1184</v>
      </c>
      <c r="T91" s="57">
        <f>IF(Dealps[[#This Row],[MATURITY_DATE]]-Dealps[[#This Row],[POSTED_DT]]&lt;0,0,IF(Dealps[[#This Row],[VALUE_DATE]]-Dealps[[#This Row],[POSTED_DT]]&gt;0,Dealps[[#This Row],[MATURITY_DATE]]-Dealps[[#This Row],[VALUE_DATE]],Dealps[[#This Row],[MATURITY_DATE]]-Dealps[[#This Row],[POSTED_DT]]))</f>
        <v>385</v>
      </c>
      <c r="U91" s="25">
        <f>IF(Dealps[[#This Row],[TENOR]]=0,0,IF(Dealps[[#This Row],[DEAL_TYPE]]="B",Dealps[[#This Row],[FACE_AMOUNT]],-Dealps[[#This Row],[FACE_AMOUNT]]))</f>
        <v>-1000000000000</v>
      </c>
      <c r="V91" s="25">
        <f>_xlfn.XLOOKUP(Dealps[[#This Row],[PAPER_CODE]],FNRP!D:D,FNRP!H:H,0,0)/100*Dealps[[#This Row],[AMOUNT]]</f>
        <v>0</v>
      </c>
      <c r="W91" s="57" t="str">
        <f>IF(Dealps[[#This Row],[TRANSACTION_STATUS]]&lt;&gt;"V","Ngoai BS",IF(Dealps[[#This Row],[POSTED_DT]]&gt;=Dealps[[#This Row],[VALUE_DATE]],"On BS","Off BS"))</f>
        <v>On BS</v>
      </c>
      <c r="X91" s="25">
        <f>SUMIFS(U:U,C:C,Dealps[[#This Row],[PAPER_CODE]])</f>
        <v>0</v>
      </c>
      <c r="Y91" s="25">
        <f>_xlfn.XLOOKUP(Dealps[[#This Row],[DEAL_ID]],Ref!N:N,Ref!Q:Q,0,0)</f>
        <v>0</v>
      </c>
      <c r="Z91" s="25" t="str">
        <f>IF(Dealps[[#This Row],[CPTY_CODE]]=Dealps[[#This Row],[CPTY_CODE_ISSUER]],"Yes","No")</f>
        <v>No</v>
      </c>
      <c r="AA91" s="25"/>
      <c r="AC91" s="14"/>
      <c r="AG91" s="96"/>
      <c r="AH91" s="14"/>
      <c r="AI91"/>
      <c r="AN91" s="14"/>
      <c r="AV91" s="36"/>
      <c r="AW91" s="14"/>
      <c r="AX91" s="234"/>
      <c r="AY91" s="96"/>
      <c r="AZ91" s="14"/>
      <c r="BA91"/>
      <c r="BB91" s="93">
        <v>46262</v>
      </c>
      <c r="BC91">
        <v>1880</v>
      </c>
      <c r="BD91" s="56" t="s">
        <v>1016</v>
      </c>
      <c r="BE91" t="s">
        <v>1011</v>
      </c>
      <c r="BF91" t="s">
        <v>1015</v>
      </c>
      <c r="BG91" t="s">
        <v>364</v>
      </c>
      <c r="BH91" t="s">
        <v>1013</v>
      </c>
      <c r="BI91" t="s">
        <v>311</v>
      </c>
      <c r="BJ91" s="93">
        <v>45776</v>
      </c>
      <c r="BK91" s="93">
        <v>45776</v>
      </c>
      <c r="BL91" s="93">
        <v>45776</v>
      </c>
      <c r="BM91" s="93">
        <v>46480</v>
      </c>
      <c r="BN91" s="14">
        <v>1</v>
      </c>
      <c r="BO91" s="14">
        <v>10000000000</v>
      </c>
      <c r="BP91" s="56">
        <v>100</v>
      </c>
      <c r="BQ91" s="56">
        <v>0</v>
      </c>
      <c r="BR91" s="14">
        <v>10035616438</v>
      </c>
      <c r="BS91">
        <v>4.9681410000000001</v>
      </c>
      <c r="BT91" t="s">
        <v>1184</v>
      </c>
      <c r="BU91" s="25">
        <f>_xlfn.XLOOKUP(Dealps_MSB[[#This Row],[DEAL_ID]],Ref!V:V,Ref!X:X,0,0)</f>
        <v>0</v>
      </c>
      <c r="BV91"/>
    </row>
    <row r="92" spans="1:74" x14ac:dyDescent="0.3">
      <c r="A92" s="93">
        <v>46262</v>
      </c>
      <c r="B92">
        <v>45862</v>
      </c>
      <c r="C92" s="56" t="s">
        <v>252</v>
      </c>
      <c r="D92" t="s">
        <v>309</v>
      </c>
      <c r="E92" t="s">
        <v>315</v>
      </c>
      <c r="F92" t="s">
        <v>35</v>
      </c>
      <c r="G92" t="s">
        <v>310</v>
      </c>
      <c r="H92" t="s">
        <v>311</v>
      </c>
      <c r="I92" s="93">
        <v>45742</v>
      </c>
      <c r="J92" s="93">
        <v>45742</v>
      </c>
      <c r="K92" s="93">
        <v>45742</v>
      </c>
      <c r="L92" s="93">
        <v>46647</v>
      </c>
      <c r="M92" s="14">
        <v>1000</v>
      </c>
      <c r="N92" s="14">
        <v>1000000000000</v>
      </c>
      <c r="O92" s="56">
        <v>100.455977284</v>
      </c>
      <c r="P92" s="56">
        <v>3</v>
      </c>
      <c r="Q92" s="14">
        <v>1031628266000</v>
      </c>
      <c r="R92">
        <v>4.9860975749999996</v>
      </c>
      <c r="S92" t="s">
        <v>1184</v>
      </c>
      <c r="T92" s="57">
        <f>IF(Dealps[[#This Row],[MATURITY_DATE]]-Dealps[[#This Row],[POSTED_DT]]&lt;0,0,IF(Dealps[[#This Row],[VALUE_DATE]]-Dealps[[#This Row],[POSTED_DT]]&gt;0,Dealps[[#This Row],[MATURITY_DATE]]-Dealps[[#This Row],[VALUE_DATE]],Dealps[[#This Row],[MATURITY_DATE]]-Dealps[[#This Row],[POSTED_DT]]))</f>
        <v>385</v>
      </c>
      <c r="U92" s="25">
        <f>IF(Dealps[[#This Row],[TENOR]]=0,0,IF(Dealps[[#This Row],[DEAL_TYPE]]="B",Dealps[[#This Row],[FACE_AMOUNT]],-Dealps[[#This Row],[FACE_AMOUNT]]))</f>
        <v>-1000000000000</v>
      </c>
      <c r="V92" s="25">
        <f>_xlfn.XLOOKUP(Dealps[[#This Row],[PAPER_CODE]],FNRP!D:D,FNRP!H:H,0,0)/100*Dealps[[#This Row],[AMOUNT]]</f>
        <v>0</v>
      </c>
      <c r="W92" s="57" t="str">
        <f>IF(Dealps[[#This Row],[TRANSACTION_STATUS]]&lt;&gt;"V","Ngoai BS",IF(Dealps[[#This Row],[POSTED_DT]]&gt;=Dealps[[#This Row],[VALUE_DATE]],"On BS","Off BS"))</f>
        <v>On BS</v>
      </c>
      <c r="X92" s="25">
        <f>SUMIFS(U:U,C:C,Dealps[[#This Row],[PAPER_CODE]])</f>
        <v>0</v>
      </c>
      <c r="Y92" s="25">
        <f>_xlfn.XLOOKUP(Dealps[[#This Row],[DEAL_ID]],Ref!N:N,Ref!Q:Q,0,0)</f>
        <v>0</v>
      </c>
      <c r="Z92" s="25" t="str">
        <f>IF(Dealps[[#This Row],[CPTY_CODE]]=Dealps[[#This Row],[CPTY_CODE_ISSUER]],"Yes","No")</f>
        <v>No</v>
      </c>
      <c r="AA92" s="25"/>
      <c r="AC92" s="14"/>
      <c r="AG92" s="96"/>
      <c r="AH92" s="14"/>
      <c r="AI92"/>
      <c r="AN92" s="14"/>
      <c r="AV92" s="36"/>
      <c r="AW92" s="14"/>
      <c r="AX92" s="234"/>
      <c r="AY92" s="96"/>
      <c r="AZ92" s="14"/>
      <c r="BA92"/>
      <c r="BB92" s="93">
        <v>46262</v>
      </c>
      <c r="BC92">
        <v>1881</v>
      </c>
      <c r="BD92" s="56" t="s">
        <v>1016</v>
      </c>
      <c r="BE92" t="s">
        <v>1011</v>
      </c>
      <c r="BF92" t="s">
        <v>1015</v>
      </c>
      <c r="BG92" t="s">
        <v>364</v>
      </c>
      <c r="BH92" t="s">
        <v>1013</v>
      </c>
      <c r="BI92" t="s">
        <v>311</v>
      </c>
      <c r="BJ92" s="93">
        <v>45776</v>
      </c>
      <c r="BK92" s="93">
        <v>45776</v>
      </c>
      <c r="BL92" s="93">
        <v>45776</v>
      </c>
      <c r="BM92" s="93">
        <v>46480</v>
      </c>
      <c r="BN92" s="14">
        <v>1</v>
      </c>
      <c r="BO92" s="14">
        <v>10000000000</v>
      </c>
      <c r="BP92" s="56">
        <v>100</v>
      </c>
      <c r="BQ92" s="56">
        <v>0</v>
      </c>
      <c r="BR92" s="14">
        <v>10035616438</v>
      </c>
      <c r="BS92">
        <v>4.9681410000000001</v>
      </c>
      <c r="BT92" t="s">
        <v>1184</v>
      </c>
      <c r="BU92" s="25">
        <f>_xlfn.XLOOKUP(Dealps_MSB[[#This Row],[DEAL_ID]],Ref!V:V,Ref!X:X,0,0)</f>
        <v>0</v>
      </c>
      <c r="BV92"/>
    </row>
    <row r="93" spans="1:74" x14ac:dyDescent="0.3">
      <c r="A93" s="93">
        <v>46262</v>
      </c>
      <c r="B93">
        <v>45868</v>
      </c>
      <c r="C93" s="56" t="s">
        <v>469</v>
      </c>
      <c r="D93" t="s">
        <v>329</v>
      </c>
      <c r="E93" t="s">
        <v>315</v>
      </c>
      <c r="F93" t="s">
        <v>35</v>
      </c>
      <c r="G93" t="s">
        <v>310</v>
      </c>
      <c r="H93" t="s">
        <v>311</v>
      </c>
      <c r="I93" s="93">
        <v>45743</v>
      </c>
      <c r="J93" s="93">
        <v>45743</v>
      </c>
      <c r="K93" s="93">
        <v>45743</v>
      </c>
      <c r="L93" s="93">
        <v>46655</v>
      </c>
      <c r="M93" s="14">
        <v>13000</v>
      </c>
      <c r="N93" s="14">
        <v>1300000000000</v>
      </c>
      <c r="O93" s="56">
        <v>100.356968671</v>
      </c>
      <c r="P93" s="56">
        <v>2</v>
      </c>
      <c r="Q93" s="14">
        <v>1336577853000</v>
      </c>
      <c r="R93">
        <v>4.7328846560000004</v>
      </c>
      <c r="S93" t="s">
        <v>1184</v>
      </c>
      <c r="T93" s="57">
        <f>IF(Dealps[[#This Row],[MATURITY_DATE]]-Dealps[[#This Row],[POSTED_DT]]&lt;0,0,IF(Dealps[[#This Row],[VALUE_DATE]]-Dealps[[#This Row],[POSTED_DT]]&gt;0,Dealps[[#This Row],[MATURITY_DATE]]-Dealps[[#This Row],[VALUE_DATE]],Dealps[[#This Row],[MATURITY_DATE]]-Dealps[[#This Row],[POSTED_DT]]))</f>
        <v>393</v>
      </c>
      <c r="U93" s="25">
        <f>IF(Dealps[[#This Row],[TENOR]]=0,0,IF(Dealps[[#This Row],[DEAL_TYPE]]="B",Dealps[[#This Row],[FACE_AMOUNT]],-Dealps[[#This Row],[FACE_AMOUNT]]))</f>
        <v>-1300000000000</v>
      </c>
      <c r="V93" s="25">
        <f>_xlfn.XLOOKUP(Dealps[[#This Row],[PAPER_CODE]],FNRP!D:D,FNRP!H:H,0,0)/100*Dealps[[#This Row],[AMOUNT]]</f>
        <v>0</v>
      </c>
      <c r="W93" s="57" t="str">
        <f>IF(Dealps[[#This Row],[TRANSACTION_STATUS]]&lt;&gt;"V","Ngoai BS",IF(Dealps[[#This Row],[POSTED_DT]]&gt;=Dealps[[#This Row],[VALUE_DATE]],"On BS","Off BS"))</f>
        <v>On BS</v>
      </c>
      <c r="X93" s="25">
        <f>SUMIFS(U:U,C:C,Dealps[[#This Row],[PAPER_CODE]])</f>
        <v>0</v>
      </c>
      <c r="Y93" s="25">
        <f>_xlfn.XLOOKUP(Dealps[[#This Row],[DEAL_ID]],Ref!N:N,Ref!Q:Q,0,0)</f>
        <v>0</v>
      </c>
      <c r="Z93" s="25" t="str">
        <f>IF(Dealps[[#This Row],[CPTY_CODE]]=Dealps[[#This Row],[CPTY_CODE_ISSUER]],"Yes","No")</f>
        <v>No</v>
      </c>
      <c r="AA93" s="25"/>
      <c r="AC93" s="14"/>
      <c r="AG93" s="96"/>
      <c r="AH93" s="14"/>
      <c r="AI93"/>
      <c r="AN93" s="14"/>
      <c r="AV93" s="36"/>
      <c r="AW93" s="14"/>
      <c r="AX93" s="234"/>
      <c r="AY93" s="96"/>
      <c r="AZ93" s="14"/>
      <c r="BA93"/>
      <c r="BB93" s="93">
        <v>46262</v>
      </c>
      <c r="BC93">
        <v>1882</v>
      </c>
      <c r="BD93" s="56" t="s">
        <v>1016</v>
      </c>
      <c r="BE93" t="s">
        <v>1011</v>
      </c>
      <c r="BF93" t="s">
        <v>1015</v>
      </c>
      <c r="BG93" t="s">
        <v>364</v>
      </c>
      <c r="BH93" t="s">
        <v>1013</v>
      </c>
      <c r="BI93" t="s">
        <v>311</v>
      </c>
      <c r="BJ93" s="93">
        <v>45776</v>
      </c>
      <c r="BK93" s="93">
        <v>45776</v>
      </c>
      <c r="BL93" s="93">
        <v>45776</v>
      </c>
      <c r="BM93" s="93">
        <v>46480</v>
      </c>
      <c r="BN93" s="14">
        <v>1</v>
      </c>
      <c r="BO93" s="14">
        <v>10000000000</v>
      </c>
      <c r="BP93" s="56">
        <v>100</v>
      </c>
      <c r="BQ93" s="56">
        <v>0</v>
      </c>
      <c r="BR93" s="14">
        <v>10035616438</v>
      </c>
      <c r="BS93">
        <v>4.9681410000000001</v>
      </c>
      <c r="BT93" t="s">
        <v>1184</v>
      </c>
      <c r="BU93" s="25">
        <f>_xlfn.XLOOKUP(Dealps_MSB[[#This Row],[DEAL_ID]],Ref!V:V,Ref!X:X,0,0)</f>
        <v>0</v>
      </c>
      <c r="BV93"/>
    </row>
    <row r="94" spans="1:74" x14ac:dyDescent="0.3">
      <c r="A94" s="93">
        <v>46262</v>
      </c>
      <c r="B94">
        <v>45871</v>
      </c>
      <c r="C94" s="56" t="s">
        <v>404</v>
      </c>
      <c r="D94" t="s">
        <v>329</v>
      </c>
      <c r="E94" t="s">
        <v>315</v>
      </c>
      <c r="F94" t="s">
        <v>35</v>
      </c>
      <c r="G94" t="s">
        <v>310</v>
      </c>
      <c r="H94" t="s">
        <v>311</v>
      </c>
      <c r="I94" s="93">
        <v>45744</v>
      </c>
      <c r="J94" s="93">
        <v>45744</v>
      </c>
      <c r="K94" s="93">
        <v>45744</v>
      </c>
      <c r="L94" s="93">
        <v>46656</v>
      </c>
      <c r="M94" s="14">
        <v>17000</v>
      </c>
      <c r="N94" s="14">
        <v>1700000000000</v>
      </c>
      <c r="O94" s="56">
        <v>100.35696867</v>
      </c>
      <c r="P94" s="56">
        <v>2</v>
      </c>
      <c r="Q94" s="14">
        <v>1747832577000</v>
      </c>
      <c r="R94">
        <v>4.7331743560000001</v>
      </c>
      <c r="S94" t="s">
        <v>1184</v>
      </c>
      <c r="T94" s="57">
        <f>IF(Dealps[[#This Row],[MATURITY_DATE]]-Dealps[[#This Row],[POSTED_DT]]&lt;0,0,IF(Dealps[[#This Row],[VALUE_DATE]]-Dealps[[#This Row],[POSTED_DT]]&gt;0,Dealps[[#This Row],[MATURITY_DATE]]-Dealps[[#This Row],[VALUE_DATE]],Dealps[[#This Row],[MATURITY_DATE]]-Dealps[[#This Row],[POSTED_DT]]))</f>
        <v>394</v>
      </c>
      <c r="U94" s="25">
        <f>IF(Dealps[[#This Row],[TENOR]]=0,0,IF(Dealps[[#This Row],[DEAL_TYPE]]="B",Dealps[[#This Row],[FACE_AMOUNT]],-Dealps[[#This Row],[FACE_AMOUNT]]))</f>
        <v>-1700000000000</v>
      </c>
      <c r="V94" s="25">
        <f>_xlfn.XLOOKUP(Dealps[[#This Row],[PAPER_CODE]],FNRP!D:D,FNRP!H:H,0,0)/100*Dealps[[#This Row],[AMOUNT]]</f>
        <v>0</v>
      </c>
      <c r="W94" s="57" t="str">
        <f>IF(Dealps[[#This Row],[TRANSACTION_STATUS]]&lt;&gt;"V","Ngoai BS",IF(Dealps[[#This Row],[POSTED_DT]]&gt;=Dealps[[#This Row],[VALUE_DATE]],"On BS","Off BS"))</f>
        <v>On BS</v>
      </c>
      <c r="X94" s="25">
        <f>SUMIFS(U:U,C:C,Dealps[[#This Row],[PAPER_CODE]])</f>
        <v>0</v>
      </c>
      <c r="Y94" s="25">
        <f>_xlfn.XLOOKUP(Dealps[[#This Row],[DEAL_ID]],Ref!N:N,Ref!Q:Q,0,0)</f>
        <v>0</v>
      </c>
      <c r="Z94" s="25" t="str">
        <f>IF(Dealps[[#This Row],[CPTY_CODE]]=Dealps[[#This Row],[CPTY_CODE_ISSUER]],"Yes","No")</f>
        <v>No</v>
      </c>
      <c r="AA94" s="25"/>
      <c r="AC94" s="14"/>
      <c r="AG94" s="96"/>
      <c r="AH94" s="14"/>
      <c r="AI94"/>
      <c r="AN94" s="14"/>
      <c r="AV94" s="36"/>
      <c r="AW94" s="14"/>
      <c r="AX94" s="234"/>
      <c r="AY94" s="96"/>
      <c r="AZ94" s="14"/>
      <c r="BA94"/>
      <c r="BB94" s="93">
        <v>46262</v>
      </c>
      <c r="BC94">
        <v>3719</v>
      </c>
      <c r="BD94" s="56" t="s">
        <v>1014</v>
      </c>
      <c r="BE94" t="s">
        <v>1011</v>
      </c>
      <c r="BF94" t="s">
        <v>1015</v>
      </c>
      <c r="BG94" t="s">
        <v>364</v>
      </c>
      <c r="BH94" t="s">
        <v>1013</v>
      </c>
      <c r="BI94" t="s">
        <v>300</v>
      </c>
      <c r="BJ94" s="93">
        <v>46090</v>
      </c>
      <c r="BK94" s="93">
        <v>46090</v>
      </c>
      <c r="BL94" s="93">
        <v>46090</v>
      </c>
      <c r="BM94" s="93">
        <v>46443</v>
      </c>
      <c r="BN94" s="14">
        <v>1</v>
      </c>
      <c r="BO94" s="14">
        <v>10000000000</v>
      </c>
      <c r="BP94" s="56">
        <v>95.352054795000001</v>
      </c>
      <c r="BQ94" s="56">
        <v>0</v>
      </c>
      <c r="BR94" s="14">
        <v>10000000000</v>
      </c>
      <c r="BS94">
        <v>9.305949</v>
      </c>
      <c r="BT94" t="s">
        <v>1184</v>
      </c>
      <c r="BU94" s="25">
        <f>_xlfn.XLOOKUP(Dealps_MSB[[#This Row],[DEAL_ID]],Ref!V:V,Ref!X:X,0,0)</f>
        <v>0</v>
      </c>
      <c r="BV94"/>
    </row>
    <row r="95" spans="1:74" x14ac:dyDescent="0.3">
      <c r="A95" s="93">
        <v>46262</v>
      </c>
      <c r="B95">
        <v>45881</v>
      </c>
      <c r="C95" s="56" t="s">
        <v>40</v>
      </c>
      <c r="D95" t="s">
        <v>312</v>
      </c>
      <c r="E95" t="s">
        <v>471</v>
      </c>
      <c r="F95" t="s">
        <v>35</v>
      </c>
      <c r="G95" t="s">
        <v>310</v>
      </c>
      <c r="H95" t="s">
        <v>300</v>
      </c>
      <c r="I95" s="93">
        <v>45748</v>
      </c>
      <c r="J95" s="93">
        <v>45748</v>
      </c>
      <c r="K95" s="93">
        <v>45748</v>
      </c>
      <c r="L95" s="93">
        <v>46289</v>
      </c>
      <c r="M95" s="14">
        <v>300</v>
      </c>
      <c r="N95" s="14">
        <v>300000000000</v>
      </c>
      <c r="O95" s="56">
        <v>99.943730340000002</v>
      </c>
      <c r="P95" s="56">
        <v>4</v>
      </c>
      <c r="Q95" s="14">
        <v>311598382800</v>
      </c>
      <c r="R95">
        <v>8.0447038699999993</v>
      </c>
      <c r="S95" t="s">
        <v>1184</v>
      </c>
      <c r="T95" s="57">
        <f>IF(Dealps[[#This Row],[MATURITY_DATE]]-Dealps[[#This Row],[POSTED_DT]]&lt;0,0,IF(Dealps[[#This Row],[VALUE_DATE]]-Dealps[[#This Row],[POSTED_DT]]&gt;0,Dealps[[#This Row],[MATURITY_DATE]]-Dealps[[#This Row],[VALUE_DATE]],Dealps[[#This Row],[MATURITY_DATE]]-Dealps[[#This Row],[POSTED_DT]]))</f>
        <v>27</v>
      </c>
      <c r="U95" s="25">
        <f>IF(Dealps[[#This Row],[TENOR]]=0,0,IF(Dealps[[#This Row],[DEAL_TYPE]]="B",Dealps[[#This Row],[FACE_AMOUNT]],-Dealps[[#This Row],[FACE_AMOUNT]]))</f>
        <v>300000000000</v>
      </c>
      <c r="V95" s="25">
        <f>_xlfn.XLOOKUP(Dealps[[#This Row],[PAPER_CODE]],FNRP!D:D,FNRP!H:H,0,0)/100*Dealps[[#This Row],[AMOUNT]]</f>
        <v>1607712987</v>
      </c>
      <c r="W95" s="57" t="str">
        <f>IF(Dealps[[#This Row],[TRANSACTION_STATUS]]&lt;&gt;"V","Ngoai BS",IF(Dealps[[#This Row],[POSTED_DT]]&gt;=Dealps[[#This Row],[VALUE_DATE]],"On BS","Off BS"))</f>
        <v>On BS</v>
      </c>
      <c r="X95" s="25">
        <f>SUMIFS(U:U,C:C,Dealps[[#This Row],[PAPER_CODE]])</f>
        <v>1000000000000</v>
      </c>
      <c r="Y95" s="25">
        <f>_xlfn.XLOOKUP(Dealps[[#This Row],[DEAL_ID]],Ref!N:N,Ref!Q:Q,0,0)</f>
        <v>0</v>
      </c>
      <c r="Z95" s="25" t="str">
        <f>IF(Dealps[[#This Row],[CPTY_CODE]]=Dealps[[#This Row],[CPTY_CODE_ISSUER]],"Yes","No")</f>
        <v>No</v>
      </c>
      <c r="AA95" s="25"/>
      <c r="AC95" s="14"/>
      <c r="AG95" s="96"/>
      <c r="AH95" s="14"/>
      <c r="AI95"/>
      <c r="AN95" s="14"/>
      <c r="AV95" s="36"/>
      <c r="AW95" s="14"/>
      <c r="AX95" s="234"/>
      <c r="AY95" s="96"/>
      <c r="AZ95" s="14"/>
      <c r="BA95"/>
      <c r="BB95" s="93">
        <v>46262</v>
      </c>
      <c r="BC95">
        <v>3720</v>
      </c>
      <c r="BD95" s="56" t="s">
        <v>1014</v>
      </c>
      <c r="BE95" t="s">
        <v>1011</v>
      </c>
      <c r="BF95" t="s">
        <v>1015</v>
      </c>
      <c r="BG95" t="s">
        <v>364</v>
      </c>
      <c r="BH95" t="s">
        <v>1013</v>
      </c>
      <c r="BI95" t="s">
        <v>300</v>
      </c>
      <c r="BJ95" s="93">
        <v>46090</v>
      </c>
      <c r="BK95" s="93">
        <v>46090</v>
      </c>
      <c r="BL95" s="93">
        <v>46090</v>
      </c>
      <c r="BM95" s="93">
        <v>46443</v>
      </c>
      <c r="BN95" s="14">
        <v>1</v>
      </c>
      <c r="BO95" s="14">
        <v>10000000000</v>
      </c>
      <c r="BP95" s="56">
        <v>95.352054795000001</v>
      </c>
      <c r="BQ95" s="56">
        <v>0</v>
      </c>
      <c r="BR95" s="14">
        <v>10000000000</v>
      </c>
      <c r="BS95">
        <v>9.305949</v>
      </c>
      <c r="BT95" t="s">
        <v>1184</v>
      </c>
      <c r="BU95" s="25">
        <f>_xlfn.XLOOKUP(Dealps_MSB[[#This Row],[DEAL_ID]],Ref!V:V,Ref!X:X,0,0)</f>
        <v>0</v>
      </c>
      <c r="BV95"/>
    </row>
    <row r="96" spans="1:74" x14ac:dyDescent="0.3">
      <c r="A96" s="93">
        <v>46262</v>
      </c>
      <c r="B96">
        <v>1831</v>
      </c>
      <c r="C96" s="56" t="s">
        <v>563</v>
      </c>
      <c r="D96" t="s">
        <v>343</v>
      </c>
      <c r="E96" t="s">
        <v>344</v>
      </c>
      <c r="F96" t="s">
        <v>364</v>
      </c>
      <c r="G96" t="s">
        <v>310</v>
      </c>
      <c r="H96" t="s">
        <v>300</v>
      </c>
      <c r="I96" s="93">
        <v>45770</v>
      </c>
      <c r="J96" s="93">
        <v>45771</v>
      </c>
      <c r="K96" s="93">
        <v>45954</v>
      </c>
      <c r="L96" s="93">
        <v>46318</v>
      </c>
      <c r="M96" s="14">
        <v>1</v>
      </c>
      <c r="N96" s="14">
        <v>200000000000</v>
      </c>
      <c r="O96" s="56">
        <v>99.999999994999996</v>
      </c>
      <c r="P96" s="56">
        <v>0</v>
      </c>
      <c r="Q96" s="14">
        <v>206855890400</v>
      </c>
      <c r="R96">
        <v>6.7962020000000001</v>
      </c>
      <c r="S96" t="s">
        <v>1184</v>
      </c>
      <c r="T96" s="57">
        <f>IF(Dealps[[#This Row],[MATURITY_DATE]]-Dealps[[#This Row],[POSTED_DT]]&lt;0,0,IF(Dealps[[#This Row],[VALUE_DATE]]-Dealps[[#This Row],[POSTED_DT]]&gt;0,Dealps[[#This Row],[MATURITY_DATE]]-Dealps[[#This Row],[VALUE_DATE]],Dealps[[#This Row],[MATURITY_DATE]]-Dealps[[#This Row],[POSTED_DT]]))</f>
        <v>56</v>
      </c>
      <c r="U96" s="25">
        <f>IF(Dealps[[#This Row],[TENOR]]=0,0,IF(Dealps[[#This Row],[DEAL_TYPE]]="B",Dealps[[#This Row],[FACE_AMOUNT]],-Dealps[[#This Row],[FACE_AMOUNT]]))</f>
        <v>200000000000</v>
      </c>
      <c r="V96" s="25">
        <f>_xlfn.XLOOKUP(Dealps[[#This Row],[PAPER_CODE]],FNRP!D:D,FNRP!H:H,0,0)/100*Dealps[[#This Row],[AMOUNT]]</f>
        <v>0</v>
      </c>
      <c r="W96" s="57" t="str">
        <f>IF(Dealps[[#This Row],[TRANSACTION_STATUS]]&lt;&gt;"V","Ngoai BS",IF(Dealps[[#This Row],[POSTED_DT]]&gt;=Dealps[[#This Row],[VALUE_DATE]],"On BS","Off BS"))</f>
        <v>On BS</v>
      </c>
      <c r="X96" s="25">
        <f>SUMIFS(U:U,C:C,Dealps[[#This Row],[PAPER_CODE]])</f>
        <v>200000000000</v>
      </c>
      <c r="Y96" s="25">
        <f>_xlfn.XLOOKUP(Dealps[[#This Row],[DEAL_ID]],Ref!N:N,Ref!Q:Q,0,0)</f>
        <v>0</v>
      </c>
      <c r="Z96" s="25" t="str">
        <f>IF(Dealps[[#This Row],[CPTY_CODE]]=Dealps[[#This Row],[CPTY_CODE_ISSUER]],"Yes","No")</f>
        <v>No</v>
      </c>
      <c r="AA96" s="25"/>
      <c r="AC96" s="14"/>
      <c r="AG96" s="96"/>
      <c r="AH96" s="14"/>
      <c r="AI96"/>
      <c r="AN96" s="14"/>
      <c r="AV96" s="36"/>
      <c r="AW96" s="14"/>
      <c r="AX96" s="234"/>
      <c r="AY96" s="96"/>
      <c r="AZ96" s="14"/>
      <c r="BA96"/>
      <c r="BB96" s="93">
        <v>46262</v>
      </c>
      <c r="BC96">
        <v>3722</v>
      </c>
      <c r="BD96" s="56" t="s">
        <v>1014</v>
      </c>
      <c r="BE96" t="s">
        <v>1011</v>
      </c>
      <c r="BF96" t="s">
        <v>1015</v>
      </c>
      <c r="BG96" t="s">
        <v>364</v>
      </c>
      <c r="BH96" t="s">
        <v>1013</v>
      </c>
      <c r="BI96" t="s">
        <v>300</v>
      </c>
      <c r="BJ96" s="93">
        <v>46090</v>
      </c>
      <c r="BK96" s="93">
        <v>46090</v>
      </c>
      <c r="BL96" s="93">
        <v>46090</v>
      </c>
      <c r="BM96" s="93">
        <v>46443</v>
      </c>
      <c r="BN96" s="14">
        <v>1</v>
      </c>
      <c r="BO96" s="14">
        <v>10000000000</v>
      </c>
      <c r="BP96" s="56">
        <v>95.352054795000001</v>
      </c>
      <c r="BQ96" s="56">
        <v>0</v>
      </c>
      <c r="BR96" s="14">
        <v>10000000000</v>
      </c>
      <c r="BS96">
        <v>9.305949</v>
      </c>
      <c r="BT96" t="s">
        <v>1184</v>
      </c>
      <c r="BU96" s="25">
        <f>_xlfn.XLOOKUP(Dealps_MSB[[#This Row],[DEAL_ID]],Ref!V:V,Ref!X:X,0,0)</f>
        <v>0</v>
      </c>
      <c r="BV96"/>
    </row>
    <row r="97" spans="1:74" x14ac:dyDescent="0.3">
      <c r="A97" s="93">
        <v>46262</v>
      </c>
      <c r="B97">
        <v>46185</v>
      </c>
      <c r="C97" s="56" t="s">
        <v>37</v>
      </c>
      <c r="D97" t="s">
        <v>322</v>
      </c>
      <c r="E97" t="s">
        <v>314</v>
      </c>
      <c r="F97" t="s">
        <v>35</v>
      </c>
      <c r="G97" t="s">
        <v>310</v>
      </c>
      <c r="H97" t="s">
        <v>311</v>
      </c>
      <c r="I97" s="93">
        <v>45782</v>
      </c>
      <c r="J97" s="93">
        <v>45783</v>
      </c>
      <c r="K97" s="93">
        <v>45784</v>
      </c>
      <c r="L97" s="93">
        <v>46566</v>
      </c>
      <c r="M97" s="14">
        <v>2000</v>
      </c>
      <c r="N97" s="14">
        <v>2000000000000</v>
      </c>
      <c r="O97" s="56">
        <v>100.05344770000001</v>
      </c>
      <c r="P97" s="56">
        <v>5</v>
      </c>
      <c r="Q97" s="14">
        <v>2093682652000</v>
      </c>
      <c r="R97">
        <v>5.3641218889999998</v>
      </c>
      <c r="S97" t="s">
        <v>1184</v>
      </c>
      <c r="T97" s="57">
        <f>IF(Dealps[[#This Row],[MATURITY_DATE]]-Dealps[[#This Row],[POSTED_DT]]&lt;0,0,IF(Dealps[[#This Row],[VALUE_DATE]]-Dealps[[#This Row],[POSTED_DT]]&gt;0,Dealps[[#This Row],[MATURITY_DATE]]-Dealps[[#This Row],[VALUE_DATE]],Dealps[[#This Row],[MATURITY_DATE]]-Dealps[[#This Row],[POSTED_DT]]))</f>
        <v>304</v>
      </c>
      <c r="U97" s="25">
        <f>IF(Dealps[[#This Row],[TENOR]]=0,0,IF(Dealps[[#This Row],[DEAL_TYPE]]="B",Dealps[[#This Row],[FACE_AMOUNT]],-Dealps[[#This Row],[FACE_AMOUNT]]))</f>
        <v>-2000000000000</v>
      </c>
      <c r="V97" s="25">
        <f>_xlfn.XLOOKUP(Dealps[[#This Row],[PAPER_CODE]],FNRP!D:D,FNRP!H:H,0,0)/100*Dealps[[#This Row],[AMOUNT]]</f>
        <v>0</v>
      </c>
      <c r="W97" s="57" t="str">
        <f>IF(Dealps[[#This Row],[TRANSACTION_STATUS]]&lt;&gt;"V","Ngoai BS",IF(Dealps[[#This Row],[POSTED_DT]]&gt;=Dealps[[#This Row],[VALUE_DATE]],"On BS","Off BS"))</f>
        <v>On BS</v>
      </c>
      <c r="X97" s="25">
        <f>SUMIFS(U:U,C:C,Dealps[[#This Row],[PAPER_CODE]])</f>
        <v>0</v>
      </c>
      <c r="Y97" s="25">
        <f>_xlfn.XLOOKUP(Dealps[[#This Row],[DEAL_ID]],Ref!N:N,Ref!Q:Q,0,0)</f>
        <v>0</v>
      </c>
      <c r="Z97" s="25" t="str">
        <f>IF(Dealps[[#This Row],[CPTY_CODE]]=Dealps[[#This Row],[CPTY_CODE_ISSUER]],"Yes","No")</f>
        <v>No</v>
      </c>
      <c r="AA97" s="25"/>
      <c r="AC97" s="14"/>
      <c r="AG97" s="96"/>
      <c r="AH97" s="14"/>
      <c r="AI97"/>
      <c r="AN97" s="14"/>
      <c r="AV97" s="36"/>
      <c r="AW97" s="14"/>
      <c r="AX97" s="234"/>
      <c r="AY97" s="96"/>
      <c r="AZ97" s="14"/>
      <c r="BA97"/>
      <c r="BB97" s="93">
        <v>46262</v>
      </c>
      <c r="BC97">
        <v>3723</v>
      </c>
      <c r="BD97" s="56" t="s">
        <v>1014</v>
      </c>
      <c r="BE97" t="s">
        <v>1011</v>
      </c>
      <c r="BF97" t="s">
        <v>1015</v>
      </c>
      <c r="BG97" t="s">
        <v>364</v>
      </c>
      <c r="BH97" t="s">
        <v>1013</v>
      </c>
      <c r="BI97" t="s">
        <v>300</v>
      </c>
      <c r="BJ97" s="93">
        <v>46090</v>
      </c>
      <c r="BK97" s="93">
        <v>46090</v>
      </c>
      <c r="BL97" s="93">
        <v>46090</v>
      </c>
      <c r="BM97" s="93">
        <v>46443</v>
      </c>
      <c r="BN97" s="14">
        <v>1</v>
      </c>
      <c r="BO97" s="14">
        <v>10000000000</v>
      </c>
      <c r="BP97" s="56">
        <v>95.352054795000001</v>
      </c>
      <c r="BQ97" s="56">
        <v>0</v>
      </c>
      <c r="BR97" s="14">
        <v>10000000000</v>
      </c>
      <c r="BS97">
        <v>9.305949</v>
      </c>
      <c r="BT97" t="s">
        <v>1184</v>
      </c>
      <c r="BU97" s="25">
        <f>_xlfn.XLOOKUP(Dealps_MSB[[#This Row],[DEAL_ID]],Ref!V:V,Ref!X:X,0,0)</f>
        <v>0</v>
      </c>
      <c r="BV97"/>
    </row>
    <row r="98" spans="1:74" x14ac:dyDescent="0.3">
      <c r="A98" s="93">
        <v>46262</v>
      </c>
      <c r="B98">
        <v>46442</v>
      </c>
      <c r="C98" s="56" t="s">
        <v>601</v>
      </c>
      <c r="D98" t="s">
        <v>343</v>
      </c>
      <c r="E98" t="s">
        <v>343</v>
      </c>
      <c r="F98" t="s">
        <v>35</v>
      </c>
      <c r="G98" t="s">
        <v>310</v>
      </c>
      <c r="H98" t="s">
        <v>300</v>
      </c>
      <c r="I98" s="93">
        <v>45803</v>
      </c>
      <c r="J98" s="93">
        <v>45803</v>
      </c>
      <c r="K98" s="93">
        <v>45803</v>
      </c>
      <c r="L98" s="93">
        <v>46533</v>
      </c>
      <c r="M98" s="14">
        <v>400</v>
      </c>
      <c r="N98" s="14">
        <v>400000000000</v>
      </c>
      <c r="O98" s="56">
        <v>100</v>
      </c>
      <c r="P98" s="56">
        <v>0</v>
      </c>
      <c r="Q98" s="14">
        <v>400000000000</v>
      </c>
      <c r="R98">
        <v>6.8</v>
      </c>
      <c r="S98" t="s">
        <v>1184</v>
      </c>
      <c r="T98" s="57">
        <f>IF(Dealps[[#This Row],[MATURITY_DATE]]-Dealps[[#This Row],[POSTED_DT]]&lt;0,0,IF(Dealps[[#This Row],[VALUE_DATE]]-Dealps[[#This Row],[POSTED_DT]]&gt;0,Dealps[[#This Row],[MATURITY_DATE]]-Dealps[[#This Row],[VALUE_DATE]],Dealps[[#This Row],[MATURITY_DATE]]-Dealps[[#This Row],[POSTED_DT]]))</f>
        <v>271</v>
      </c>
      <c r="U98" s="25">
        <f>IF(Dealps[[#This Row],[TENOR]]=0,0,IF(Dealps[[#This Row],[DEAL_TYPE]]="B",Dealps[[#This Row],[FACE_AMOUNT]],-Dealps[[#This Row],[FACE_AMOUNT]]))</f>
        <v>400000000000</v>
      </c>
      <c r="V98" s="25">
        <f>_xlfn.XLOOKUP(Dealps[[#This Row],[PAPER_CODE]],FNRP!D:D,FNRP!H:H,0,0)/100*Dealps[[#This Row],[AMOUNT]]</f>
        <v>406655051876</v>
      </c>
      <c r="W98" s="57" t="str">
        <f>IF(Dealps[[#This Row],[TRANSACTION_STATUS]]&lt;&gt;"V","Ngoai BS",IF(Dealps[[#This Row],[POSTED_DT]]&gt;=Dealps[[#This Row],[VALUE_DATE]],"On BS","Off BS"))</f>
        <v>On BS</v>
      </c>
      <c r="X98" s="25">
        <f>SUMIFS(U:U,C:C,Dealps[[#This Row],[PAPER_CODE]])</f>
        <v>400000000000</v>
      </c>
      <c r="Y98" s="25">
        <f>_xlfn.XLOOKUP(Dealps[[#This Row],[DEAL_ID]],Ref!N:N,Ref!Q:Q,0,0)</f>
        <v>0</v>
      </c>
      <c r="Z98" s="25" t="str">
        <f>IF(Dealps[[#This Row],[CPTY_CODE]]=Dealps[[#This Row],[CPTY_CODE_ISSUER]],"Yes","No")</f>
        <v>Yes</v>
      </c>
      <c r="AA98" s="25"/>
      <c r="AC98" s="14"/>
      <c r="AG98" s="96"/>
      <c r="AH98" s="14"/>
      <c r="AI98"/>
      <c r="AN98" s="14"/>
      <c r="AV98" s="36"/>
      <c r="AW98" s="14"/>
      <c r="AX98" s="234"/>
      <c r="AY98" s="96"/>
      <c r="AZ98" s="14"/>
      <c r="BA98"/>
      <c r="BB98" s="93">
        <v>46262</v>
      </c>
      <c r="BC98">
        <v>3724</v>
      </c>
      <c r="BD98" s="56" t="s">
        <v>1236</v>
      </c>
      <c r="BE98" t="s">
        <v>1011</v>
      </c>
      <c r="BF98" t="s">
        <v>1015</v>
      </c>
      <c r="BG98" t="s">
        <v>364</v>
      </c>
      <c r="BH98" t="s">
        <v>1013</v>
      </c>
      <c r="BI98" t="s">
        <v>311</v>
      </c>
      <c r="BJ98" s="93">
        <v>46090</v>
      </c>
      <c r="BK98" s="93">
        <v>46090</v>
      </c>
      <c r="BL98" s="93">
        <v>46090</v>
      </c>
      <c r="BM98" s="93">
        <v>46821</v>
      </c>
      <c r="BN98" s="14">
        <v>1</v>
      </c>
      <c r="BO98" s="14">
        <v>15000000000</v>
      </c>
      <c r="BP98" s="56">
        <v>100</v>
      </c>
      <c r="BQ98" s="56">
        <v>0</v>
      </c>
      <c r="BR98" s="14">
        <v>15000000000</v>
      </c>
      <c r="BS98">
        <v>7.5</v>
      </c>
      <c r="BT98" t="s">
        <v>1184</v>
      </c>
      <c r="BU98" s="25">
        <f>_xlfn.XLOOKUP(Dealps_MSB[[#This Row],[DEAL_ID]],Ref!V:V,Ref!X:X,0,0)</f>
        <v>0</v>
      </c>
      <c r="BV98"/>
    </row>
    <row r="99" spans="1:74" x14ac:dyDescent="0.3">
      <c r="A99" s="93">
        <v>46262</v>
      </c>
      <c r="B99">
        <v>46786</v>
      </c>
      <c r="C99" s="56" t="s">
        <v>640</v>
      </c>
      <c r="D99" t="s">
        <v>339</v>
      </c>
      <c r="E99" t="s">
        <v>339</v>
      </c>
      <c r="F99" t="s">
        <v>35</v>
      </c>
      <c r="G99" t="s">
        <v>310</v>
      </c>
      <c r="H99" t="s">
        <v>300</v>
      </c>
      <c r="I99" s="93">
        <v>45846</v>
      </c>
      <c r="J99" s="93">
        <v>45852</v>
      </c>
      <c r="K99" s="93">
        <v>45852</v>
      </c>
      <c r="L99" s="93">
        <v>46582</v>
      </c>
      <c r="M99" s="14">
        <v>10000</v>
      </c>
      <c r="N99" s="14">
        <v>1000000000000</v>
      </c>
      <c r="O99" s="56">
        <v>100</v>
      </c>
      <c r="P99" s="56">
        <v>0</v>
      </c>
      <c r="Q99" s="14">
        <v>1000000000000</v>
      </c>
      <c r="R99">
        <v>5.2</v>
      </c>
      <c r="S99" t="s">
        <v>1184</v>
      </c>
      <c r="T99" s="57">
        <f>IF(Dealps[[#This Row],[MATURITY_DATE]]-Dealps[[#This Row],[POSTED_DT]]&lt;0,0,IF(Dealps[[#This Row],[VALUE_DATE]]-Dealps[[#This Row],[POSTED_DT]]&gt;0,Dealps[[#This Row],[MATURITY_DATE]]-Dealps[[#This Row],[VALUE_DATE]],Dealps[[#This Row],[MATURITY_DATE]]-Dealps[[#This Row],[POSTED_DT]]))</f>
        <v>320</v>
      </c>
      <c r="U99" s="25">
        <f>IF(Dealps[[#This Row],[TENOR]]=0,0,IF(Dealps[[#This Row],[DEAL_TYPE]]="B",Dealps[[#This Row],[FACE_AMOUNT]],-Dealps[[#This Row],[FACE_AMOUNT]]))</f>
        <v>1000000000000</v>
      </c>
      <c r="V99" s="25">
        <f>_xlfn.XLOOKUP(Dealps[[#This Row],[PAPER_CODE]],FNRP!D:D,FNRP!H:H,0,0)/100*Dealps[[#This Row],[AMOUNT]]</f>
        <v>1008486151089.9999</v>
      </c>
      <c r="W99" s="57" t="str">
        <f>IF(Dealps[[#This Row],[TRANSACTION_STATUS]]&lt;&gt;"V","Ngoai BS",IF(Dealps[[#This Row],[POSTED_DT]]&gt;=Dealps[[#This Row],[VALUE_DATE]],"On BS","Off BS"))</f>
        <v>On BS</v>
      </c>
      <c r="X99" s="25">
        <f>SUMIFS(U:U,C:C,Dealps[[#This Row],[PAPER_CODE]])</f>
        <v>3000000000000</v>
      </c>
      <c r="Y99" s="25">
        <f>_xlfn.XLOOKUP(Dealps[[#This Row],[DEAL_ID]],Ref!N:N,Ref!Q:Q,0,0)</f>
        <v>0</v>
      </c>
      <c r="Z99" s="25" t="str">
        <f>IF(Dealps[[#This Row],[CPTY_CODE]]=Dealps[[#This Row],[CPTY_CODE_ISSUER]],"Yes","No")</f>
        <v>Yes</v>
      </c>
      <c r="AA99" s="25"/>
      <c r="AC99" s="14"/>
      <c r="AG99" s="96"/>
      <c r="AH99" s="14"/>
      <c r="AI99"/>
      <c r="AN99" s="14"/>
      <c r="AV99" s="36"/>
      <c r="AW99" s="14"/>
      <c r="AX99" s="234"/>
      <c r="AY99" s="96"/>
      <c r="AZ99" s="14"/>
      <c r="BA99"/>
      <c r="BB99" s="93">
        <v>46262</v>
      </c>
      <c r="BC99">
        <v>3725</v>
      </c>
      <c r="BD99" s="56" t="s">
        <v>1236</v>
      </c>
      <c r="BE99" t="s">
        <v>1011</v>
      </c>
      <c r="BF99" t="s">
        <v>1015</v>
      </c>
      <c r="BG99" t="s">
        <v>364</v>
      </c>
      <c r="BH99" t="s">
        <v>1013</v>
      </c>
      <c r="BI99" t="s">
        <v>311</v>
      </c>
      <c r="BJ99" s="93">
        <v>46090</v>
      </c>
      <c r="BK99" s="93">
        <v>46090</v>
      </c>
      <c r="BL99" s="93">
        <v>46090</v>
      </c>
      <c r="BM99" s="93">
        <v>46821</v>
      </c>
      <c r="BN99" s="14">
        <v>1</v>
      </c>
      <c r="BO99" s="14">
        <v>15000000000</v>
      </c>
      <c r="BP99" s="56">
        <v>100</v>
      </c>
      <c r="BQ99" s="56">
        <v>0</v>
      </c>
      <c r="BR99" s="14">
        <v>15000000000</v>
      </c>
      <c r="BS99">
        <v>7.5</v>
      </c>
      <c r="BT99" t="s">
        <v>1184</v>
      </c>
      <c r="BU99" s="25">
        <f>_xlfn.XLOOKUP(Dealps_MSB[[#This Row],[DEAL_ID]],Ref!V:V,Ref!X:X,0,0)</f>
        <v>0</v>
      </c>
      <c r="BV99"/>
    </row>
    <row r="100" spans="1:74" x14ac:dyDescent="0.3">
      <c r="A100" s="93">
        <v>46262</v>
      </c>
      <c r="B100">
        <v>46787</v>
      </c>
      <c r="C100" s="56" t="s">
        <v>640</v>
      </c>
      <c r="D100" t="s">
        <v>339</v>
      </c>
      <c r="E100" t="s">
        <v>339</v>
      </c>
      <c r="F100" t="s">
        <v>35</v>
      </c>
      <c r="G100" t="s">
        <v>310</v>
      </c>
      <c r="H100" t="s">
        <v>300</v>
      </c>
      <c r="I100" s="93">
        <v>45846</v>
      </c>
      <c r="J100" s="93">
        <v>45852</v>
      </c>
      <c r="K100" s="93">
        <v>45852</v>
      </c>
      <c r="L100" s="93">
        <v>46582</v>
      </c>
      <c r="M100" s="14">
        <v>10000</v>
      </c>
      <c r="N100" s="14">
        <v>1000000000000</v>
      </c>
      <c r="O100" s="56">
        <v>100</v>
      </c>
      <c r="P100" s="56">
        <v>0</v>
      </c>
      <c r="Q100" s="14">
        <v>1000000000000</v>
      </c>
      <c r="R100">
        <v>5.2</v>
      </c>
      <c r="S100" t="s">
        <v>1184</v>
      </c>
      <c r="T100" s="57">
        <f>IF(Dealps[[#This Row],[MATURITY_DATE]]-Dealps[[#This Row],[POSTED_DT]]&lt;0,0,IF(Dealps[[#This Row],[VALUE_DATE]]-Dealps[[#This Row],[POSTED_DT]]&gt;0,Dealps[[#This Row],[MATURITY_DATE]]-Dealps[[#This Row],[VALUE_DATE]],Dealps[[#This Row],[MATURITY_DATE]]-Dealps[[#This Row],[POSTED_DT]]))</f>
        <v>320</v>
      </c>
      <c r="U100" s="25">
        <f>IF(Dealps[[#This Row],[TENOR]]=0,0,IF(Dealps[[#This Row],[DEAL_TYPE]]="B",Dealps[[#This Row],[FACE_AMOUNT]],-Dealps[[#This Row],[FACE_AMOUNT]]))</f>
        <v>1000000000000</v>
      </c>
      <c r="V100" s="25">
        <f>_xlfn.XLOOKUP(Dealps[[#This Row],[PAPER_CODE]],FNRP!D:D,FNRP!H:H,0,0)/100*Dealps[[#This Row],[AMOUNT]]</f>
        <v>1008486151089.9999</v>
      </c>
      <c r="W100" s="57" t="str">
        <f>IF(Dealps[[#This Row],[TRANSACTION_STATUS]]&lt;&gt;"V","Ngoai BS",IF(Dealps[[#This Row],[POSTED_DT]]&gt;=Dealps[[#This Row],[VALUE_DATE]],"On BS","Off BS"))</f>
        <v>On BS</v>
      </c>
      <c r="X100" s="25">
        <f>SUMIFS(U:U,C:C,Dealps[[#This Row],[PAPER_CODE]])</f>
        <v>3000000000000</v>
      </c>
      <c r="Y100" s="25">
        <f>_xlfn.XLOOKUP(Dealps[[#This Row],[DEAL_ID]],Ref!N:N,Ref!Q:Q,0,0)</f>
        <v>0</v>
      </c>
      <c r="Z100" s="25" t="str">
        <f>IF(Dealps[[#This Row],[CPTY_CODE]]=Dealps[[#This Row],[CPTY_CODE_ISSUER]],"Yes","No")</f>
        <v>Yes</v>
      </c>
      <c r="AA100" s="25"/>
      <c r="AC100" s="14"/>
      <c r="AG100" s="96"/>
      <c r="AH100" s="14"/>
      <c r="AI100"/>
      <c r="AN100" s="14"/>
      <c r="AV100" s="36"/>
      <c r="AW100" s="14"/>
      <c r="AX100" s="234"/>
      <c r="AY100" s="96"/>
      <c r="AZ100" s="14"/>
      <c r="BA100"/>
      <c r="BB100" s="93">
        <v>46262</v>
      </c>
      <c r="BC100">
        <v>3726</v>
      </c>
      <c r="BD100" s="56" t="s">
        <v>1236</v>
      </c>
      <c r="BE100" t="s">
        <v>1011</v>
      </c>
      <c r="BF100" t="s">
        <v>1015</v>
      </c>
      <c r="BG100" t="s">
        <v>364</v>
      </c>
      <c r="BH100" t="s">
        <v>1013</v>
      </c>
      <c r="BI100" t="s">
        <v>311</v>
      </c>
      <c r="BJ100" s="93">
        <v>46090</v>
      </c>
      <c r="BK100" s="93">
        <v>46090</v>
      </c>
      <c r="BL100" s="93">
        <v>46090</v>
      </c>
      <c r="BM100" s="93">
        <v>46821</v>
      </c>
      <c r="BN100" s="14">
        <v>1</v>
      </c>
      <c r="BO100" s="14">
        <v>15000000000</v>
      </c>
      <c r="BP100" s="56">
        <v>100</v>
      </c>
      <c r="BQ100" s="56">
        <v>0</v>
      </c>
      <c r="BR100" s="14">
        <v>15000000000</v>
      </c>
      <c r="BS100">
        <v>7.5</v>
      </c>
      <c r="BT100" t="s">
        <v>1184</v>
      </c>
      <c r="BU100" s="25">
        <f>_xlfn.XLOOKUP(Dealps_MSB[[#This Row],[DEAL_ID]],Ref!V:V,Ref!X:X,0,0)</f>
        <v>0</v>
      </c>
      <c r="BV100"/>
    </row>
    <row r="101" spans="1:74" x14ac:dyDescent="0.3">
      <c r="A101" s="93">
        <v>46262</v>
      </c>
      <c r="B101">
        <v>46835</v>
      </c>
      <c r="C101" s="56" t="s">
        <v>640</v>
      </c>
      <c r="D101" t="s">
        <v>339</v>
      </c>
      <c r="E101" t="s">
        <v>339</v>
      </c>
      <c r="F101" t="s">
        <v>35</v>
      </c>
      <c r="G101" t="s">
        <v>310</v>
      </c>
      <c r="H101" t="s">
        <v>300</v>
      </c>
      <c r="I101" s="93">
        <v>45849</v>
      </c>
      <c r="J101" s="93">
        <v>45852</v>
      </c>
      <c r="K101" s="93">
        <v>45852</v>
      </c>
      <c r="L101" s="93">
        <v>46582</v>
      </c>
      <c r="M101" s="14">
        <v>10000</v>
      </c>
      <c r="N101" s="14">
        <v>1000000000000</v>
      </c>
      <c r="O101" s="56">
        <v>100</v>
      </c>
      <c r="P101" s="56">
        <v>0</v>
      </c>
      <c r="Q101" s="14">
        <v>1000000000000</v>
      </c>
      <c r="R101">
        <v>5.2</v>
      </c>
      <c r="S101" t="s">
        <v>1184</v>
      </c>
      <c r="T101" s="57">
        <f>IF(Dealps[[#This Row],[MATURITY_DATE]]-Dealps[[#This Row],[POSTED_DT]]&lt;0,0,IF(Dealps[[#This Row],[VALUE_DATE]]-Dealps[[#This Row],[POSTED_DT]]&gt;0,Dealps[[#This Row],[MATURITY_DATE]]-Dealps[[#This Row],[VALUE_DATE]],Dealps[[#This Row],[MATURITY_DATE]]-Dealps[[#This Row],[POSTED_DT]]))</f>
        <v>320</v>
      </c>
      <c r="U101" s="25">
        <f>IF(Dealps[[#This Row],[TENOR]]=0,0,IF(Dealps[[#This Row],[DEAL_TYPE]]="B",Dealps[[#This Row],[FACE_AMOUNT]],-Dealps[[#This Row],[FACE_AMOUNT]]))</f>
        <v>1000000000000</v>
      </c>
      <c r="V101" s="25">
        <f>_xlfn.XLOOKUP(Dealps[[#This Row],[PAPER_CODE]],FNRP!D:D,FNRP!H:H,0,0)/100*Dealps[[#This Row],[AMOUNT]]</f>
        <v>1008486151089.9999</v>
      </c>
      <c r="W101" s="57" t="str">
        <f>IF(Dealps[[#This Row],[TRANSACTION_STATUS]]&lt;&gt;"V","Ngoai BS",IF(Dealps[[#This Row],[POSTED_DT]]&gt;=Dealps[[#This Row],[VALUE_DATE]],"On BS","Off BS"))</f>
        <v>On BS</v>
      </c>
      <c r="X101" s="25">
        <f>SUMIFS(U:U,C:C,Dealps[[#This Row],[PAPER_CODE]])</f>
        <v>3000000000000</v>
      </c>
      <c r="Y101" s="25">
        <f>_xlfn.XLOOKUP(Dealps[[#This Row],[DEAL_ID]],Ref!N:N,Ref!Q:Q,0,0)</f>
        <v>0</v>
      </c>
      <c r="Z101" s="25" t="str">
        <f>IF(Dealps[[#This Row],[CPTY_CODE]]=Dealps[[#This Row],[CPTY_CODE_ISSUER]],"Yes","No")</f>
        <v>Yes</v>
      </c>
      <c r="AA101" s="25"/>
      <c r="AC101" s="14"/>
      <c r="AG101" s="96"/>
      <c r="AH101" s="14"/>
      <c r="AI101"/>
      <c r="AN101" s="14"/>
      <c r="AV101" s="36"/>
      <c r="AW101" s="14"/>
      <c r="AX101" s="234"/>
      <c r="AY101" s="96"/>
      <c r="AZ101" s="14"/>
      <c r="BA101"/>
      <c r="BB101" s="93">
        <v>46262</v>
      </c>
      <c r="BC101">
        <v>3727</v>
      </c>
      <c r="BD101" s="56" t="s">
        <v>1236</v>
      </c>
      <c r="BE101" t="s">
        <v>1011</v>
      </c>
      <c r="BF101" t="s">
        <v>1015</v>
      </c>
      <c r="BG101" t="s">
        <v>364</v>
      </c>
      <c r="BH101" t="s">
        <v>1013</v>
      </c>
      <c r="BI101" t="s">
        <v>311</v>
      </c>
      <c r="BJ101" s="93">
        <v>46090</v>
      </c>
      <c r="BK101" s="93">
        <v>46090</v>
      </c>
      <c r="BL101" s="93">
        <v>46090</v>
      </c>
      <c r="BM101" s="93">
        <v>46821</v>
      </c>
      <c r="BN101" s="14">
        <v>1</v>
      </c>
      <c r="BO101" s="14">
        <v>15000000000</v>
      </c>
      <c r="BP101" s="56">
        <v>100</v>
      </c>
      <c r="BQ101" s="56">
        <v>0</v>
      </c>
      <c r="BR101" s="14">
        <v>15000000000</v>
      </c>
      <c r="BS101">
        <v>7.5</v>
      </c>
      <c r="BT101" t="s">
        <v>1184</v>
      </c>
      <c r="BU101" s="25">
        <f>_xlfn.XLOOKUP(Dealps_MSB[[#This Row],[DEAL_ID]],Ref!V:V,Ref!X:X,0,0)</f>
        <v>0</v>
      </c>
      <c r="BV101"/>
    </row>
    <row r="102" spans="1:74" x14ac:dyDescent="0.3">
      <c r="A102" s="93">
        <v>46262</v>
      </c>
      <c r="B102">
        <v>47236</v>
      </c>
      <c r="C102" s="56" t="s">
        <v>942</v>
      </c>
      <c r="D102" t="s">
        <v>342</v>
      </c>
      <c r="E102" t="s">
        <v>342</v>
      </c>
      <c r="F102" t="s">
        <v>35</v>
      </c>
      <c r="G102" t="s">
        <v>310</v>
      </c>
      <c r="H102" t="s">
        <v>300</v>
      </c>
      <c r="I102" s="93">
        <v>45883</v>
      </c>
      <c r="J102" s="93">
        <v>45884</v>
      </c>
      <c r="K102" s="93">
        <v>45884</v>
      </c>
      <c r="L102" s="93">
        <v>48441</v>
      </c>
      <c r="M102" s="14">
        <v>500</v>
      </c>
      <c r="N102" s="14">
        <v>500000000000</v>
      </c>
      <c r="O102" s="56">
        <v>100</v>
      </c>
      <c r="P102" s="56">
        <v>0</v>
      </c>
      <c r="Q102" s="14">
        <v>500000000000</v>
      </c>
      <c r="R102">
        <v>7.8116088169999998</v>
      </c>
      <c r="S102" t="s">
        <v>1184</v>
      </c>
      <c r="T102" s="57">
        <f>IF(Dealps[[#This Row],[MATURITY_DATE]]-Dealps[[#This Row],[POSTED_DT]]&lt;0,0,IF(Dealps[[#This Row],[VALUE_DATE]]-Dealps[[#This Row],[POSTED_DT]]&gt;0,Dealps[[#This Row],[MATURITY_DATE]]-Dealps[[#This Row],[VALUE_DATE]],Dealps[[#This Row],[MATURITY_DATE]]-Dealps[[#This Row],[POSTED_DT]]))</f>
        <v>2179</v>
      </c>
      <c r="U102" s="25">
        <f>IF(Dealps[[#This Row],[TENOR]]=0,0,IF(Dealps[[#This Row],[DEAL_TYPE]]="B",Dealps[[#This Row],[FACE_AMOUNT]],-Dealps[[#This Row],[FACE_AMOUNT]]))</f>
        <v>500000000000</v>
      </c>
      <c r="V102" s="25">
        <f>_xlfn.XLOOKUP(Dealps[[#This Row],[PAPER_CODE]],FNRP!D:D,FNRP!H:H,0,0)/100*Dealps[[#This Row],[AMOUNT]]</f>
        <v>610043669120</v>
      </c>
      <c r="W102" s="57" t="str">
        <f>IF(Dealps[[#This Row],[TRANSACTION_STATUS]]&lt;&gt;"V","Ngoai BS",IF(Dealps[[#This Row],[POSTED_DT]]&gt;=Dealps[[#This Row],[VALUE_DATE]],"On BS","Off BS"))</f>
        <v>On BS</v>
      </c>
      <c r="X102" s="25">
        <f>SUMIFS(U:U,C:C,Dealps[[#This Row],[PAPER_CODE]])</f>
        <v>500000000000</v>
      </c>
      <c r="Y102" s="25">
        <f>_xlfn.XLOOKUP(Dealps[[#This Row],[DEAL_ID]],Ref!N:N,Ref!Q:Q,0,0)</f>
        <v>0</v>
      </c>
      <c r="Z102" s="25" t="str">
        <f>IF(Dealps[[#This Row],[CPTY_CODE]]=Dealps[[#This Row],[CPTY_CODE_ISSUER]],"Yes","No")</f>
        <v>Yes</v>
      </c>
      <c r="AA102" s="25"/>
      <c r="AC102" s="14"/>
      <c r="AG102" s="96"/>
      <c r="AH102" s="14"/>
      <c r="AI102"/>
      <c r="AN102" s="14"/>
      <c r="AV102" s="36"/>
      <c r="AW102" s="14"/>
      <c r="AX102" s="234"/>
      <c r="AY102" s="96"/>
      <c r="AZ102" s="14"/>
      <c r="BA102"/>
      <c r="BB102" s="93">
        <v>46262</v>
      </c>
      <c r="BC102">
        <v>3733</v>
      </c>
      <c r="BD102" s="56" t="s">
        <v>1014</v>
      </c>
      <c r="BE102" t="s">
        <v>1011</v>
      </c>
      <c r="BF102" t="s">
        <v>1015</v>
      </c>
      <c r="BG102" t="s">
        <v>364</v>
      </c>
      <c r="BH102" t="s">
        <v>1013</v>
      </c>
      <c r="BI102" t="s">
        <v>300</v>
      </c>
      <c r="BJ102" s="93">
        <v>46090</v>
      </c>
      <c r="BK102" s="93">
        <v>46090</v>
      </c>
      <c r="BL102" s="93">
        <v>46090</v>
      </c>
      <c r="BM102" s="93">
        <v>46443</v>
      </c>
      <c r="BN102" s="14">
        <v>1</v>
      </c>
      <c r="BO102" s="14">
        <v>10000000000</v>
      </c>
      <c r="BP102" s="56">
        <v>95.352054795000001</v>
      </c>
      <c r="BQ102" s="56">
        <v>0</v>
      </c>
      <c r="BR102" s="14">
        <v>10000000000</v>
      </c>
      <c r="BS102">
        <v>9.305949</v>
      </c>
      <c r="BT102" t="s">
        <v>1184</v>
      </c>
      <c r="BU102" s="25">
        <f>_xlfn.XLOOKUP(Dealps_MSB[[#This Row],[DEAL_ID]],Ref!V:V,Ref!X:X,0,0)</f>
        <v>0</v>
      </c>
      <c r="BV102"/>
    </row>
    <row r="103" spans="1:74" x14ac:dyDescent="0.3">
      <c r="A103" s="93">
        <v>46262</v>
      </c>
      <c r="B103">
        <v>2542</v>
      </c>
      <c r="C103" s="56" t="s">
        <v>953</v>
      </c>
      <c r="D103" t="s">
        <v>325</v>
      </c>
      <c r="E103" t="s">
        <v>325</v>
      </c>
      <c r="F103" t="s">
        <v>364</v>
      </c>
      <c r="G103" t="s">
        <v>310</v>
      </c>
      <c r="H103" t="s">
        <v>300</v>
      </c>
      <c r="I103" s="93">
        <v>45909</v>
      </c>
      <c r="J103" s="93">
        <v>45910</v>
      </c>
      <c r="K103" s="93">
        <v>45910</v>
      </c>
      <c r="L103" s="93">
        <v>46274</v>
      </c>
      <c r="M103" s="14">
        <v>1</v>
      </c>
      <c r="N103" s="14">
        <v>300000000000</v>
      </c>
      <c r="O103" s="56">
        <v>100</v>
      </c>
      <c r="P103" s="56">
        <v>0</v>
      </c>
      <c r="Q103" s="14">
        <v>300000000000</v>
      </c>
      <c r="R103">
        <v>6</v>
      </c>
      <c r="S103" t="s">
        <v>1184</v>
      </c>
      <c r="T103" s="57">
        <f>IF(Dealps[[#This Row],[MATURITY_DATE]]-Dealps[[#This Row],[POSTED_DT]]&lt;0,0,IF(Dealps[[#This Row],[VALUE_DATE]]-Dealps[[#This Row],[POSTED_DT]]&gt;0,Dealps[[#This Row],[MATURITY_DATE]]-Dealps[[#This Row],[VALUE_DATE]],Dealps[[#This Row],[MATURITY_DATE]]-Dealps[[#This Row],[POSTED_DT]]))</f>
        <v>12</v>
      </c>
      <c r="U103" s="25">
        <f>IF(Dealps[[#This Row],[TENOR]]=0,0,IF(Dealps[[#This Row],[DEAL_TYPE]]="B",Dealps[[#This Row],[FACE_AMOUNT]],-Dealps[[#This Row],[FACE_AMOUNT]]))</f>
        <v>300000000000</v>
      </c>
      <c r="V103" s="25">
        <f>_xlfn.XLOOKUP(Dealps[[#This Row],[PAPER_CODE]],FNRP!D:D,FNRP!H:H,0,0)/100*Dealps[[#This Row],[AMOUNT]]</f>
        <v>0</v>
      </c>
      <c r="W103" s="57" t="str">
        <f>IF(Dealps[[#This Row],[TRANSACTION_STATUS]]&lt;&gt;"V","Ngoai BS",IF(Dealps[[#This Row],[POSTED_DT]]&gt;=Dealps[[#This Row],[VALUE_DATE]],"On BS","Off BS"))</f>
        <v>On BS</v>
      </c>
      <c r="X103" s="25">
        <f>SUMIFS(U:U,C:C,Dealps[[#This Row],[PAPER_CODE]])</f>
        <v>300000000000</v>
      </c>
      <c r="Y103" s="25">
        <f>_xlfn.XLOOKUP(Dealps[[#This Row],[DEAL_ID]],Ref!N:N,Ref!Q:Q,0,0)</f>
        <v>0</v>
      </c>
      <c r="Z103" s="25" t="str">
        <f>IF(Dealps[[#This Row],[CPTY_CODE]]=Dealps[[#This Row],[CPTY_CODE_ISSUER]],"Yes","No")</f>
        <v>Yes</v>
      </c>
      <c r="AA103" s="25"/>
      <c r="AC103" s="14"/>
      <c r="AG103" s="96"/>
      <c r="AH103" s="14"/>
      <c r="AI103"/>
      <c r="AN103" s="14"/>
      <c r="AV103" s="36"/>
      <c r="AW103" s="14"/>
      <c r="AX103" s="234"/>
      <c r="AY103" s="96"/>
      <c r="AZ103" s="14"/>
      <c r="BA103"/>
      <c r="BB103" s="93">
        <v>46262</v>
      </c>
      <c r="BC103">
        <v>3734</v>
      </c>
      <c r="BD103" s="56" t="s">
        <v>1014</v>
      </c>
      <c r="BE103" t="s">
        <v>1011</v>
      </c>
      <c r="BF103" t="s">
        <v>1015</v>
      </c>
      <c r="BG103" t="s">
        <v>364</v>
      </c>
      <c r="BH103" t="s">
        <v>1013</v>
      </c>
      <c r="BI103" t="s">
        <v>300</v>
      </c>
      <c r="BJ103" s="93">
        <v>46091</v>
      </c>
      <c r="BK103" s="93">
        <v>46091</v>
      </c>
      <c r="BL103" s="93">
        <v>46091</v>
      </c>
      <c r="BM103" s="93">
        <v>46443</v>
      </c>
      <c r="BN103" s="14">
        <v>1</v>
      </c>
      <c r="BO103" s="14">
        <v>10000000000</v>
      </c>
      <c r="BP103" s="56">
        <v>95.339726026999998</v>
      </c>
      <c r="BQ103" s="56">
        <v>0</v>
      </c>
      <c r="BR103" s="14">
        <v>10000000000</v>
      </c>
      <c r="BS103">
        <v>9.3323859999999996</v>
      </c>
      <c r="BT103" t="s">
        <v>1184</v>
      </c>
      <c r="BU103" s="25">
        <f>_xlfn.XLOOKUP(Dealps_MSB[[#This Row],[DEAL_ID]],Ref!V:V,Ref!X:X,0,0)</f>
        <v>0</v>
      </c>
      <c r="BV103"/>
    </row>
    <row r="104" spans="1:74" x14ac:dyDescent="0.3">
      <c r="A104" s="93">
        <v>46262</v>
      </c>
      <c r="B104">
        <v>47562</v>
      </c>
      <c r="C104" s="56" t="s">
        <v>638</v>
      </c>
      <c r="D104" t="s">
        <v>328</v>
      </c>
      <c r="E104" t="s">
        <v>959</v>
      </c>
      <c r="F104" t="s">
        <v>39</v>
      </c>
      <c r="G104" t="s">
        <v>310</v>
      </c>
      <c r="H104" t="s">
        <v>311</v>
      </c>
      <c r="I104" s="93">
        <v>45926</v>
      </c>
      <c r="J104" s="93">
        <v>45929</v>
      </c>
      <c r="K104" s="93">
        <v>45930</v>
      </c>
      <c r="L104" s="93">
        <v>48297</v>
      </c>
      <c r="M104" s="14">
        <v>2500000</v>
      </c>
      <c r="N104" s="14">
        <v>250000000000</v>
      </c>
      <c r="O104" s="56">
        <v>100.31195890399999</v>
      </c>
      <c r="P104" s="56">
        <v>4</v>
      </c>
      <c r="Q104" s="14">
        <v>260377500000</v>
      </c>
      <c r="R104">
        <v>7.6178433749999996</v>
      </c>
      <c r="S104" t="s">
        <v>1184</v>
      </c>
      <c r="T104" s="57">
        <f>IF(Dealps[[#This Row],[MATURITY_DATE]]-Dealps[[#This Row],[POSTED_DT]]&lt;0,0,IF(Dealps[[#This Row],[VALUE_DATE]]-Dealps[[#This Row],[POSTED_DT]]&gt;0,Dealps[[#This Row],[MATURITY_DATE]]-Dealps[[#This Row],[VALUE_DATE]],Dealps[[#This Row],[MATURITY_DATE]]-Dealps[[#This Row],[POSTED_DT]]))</f>
        <v>2035</v>
      </c>
      <c r="U104" s="25">
        <f>IF(Dealps[[#This Row],[TENOR]]=0,0,IF(Dealps[[#This Row],[DEAL_TYPE]]="B",Dealps[[#This Row],[FACE_AMOUNT]],-Dealps[[#This Row],[FACE_AMOUNT]]))</f>
        <v>-250000000000</v>
      </c>
      <c r="V104" s="25">
        <f>_xlfn.XLOOKUP(Dealps[[#This Row],[PAPER_CODE]],FNRP!D:D,FNRP!H:H,0,0)/100*Dealps[[#This Row],[AMOUNT]]</f>
        <v>-297042631244.99994</v>
      </c>
      <c r="W104" s="57" t="str">
        <f>IF(Dealps[[#This Row],[TRANSACTION_STATUS]]&lt;&gt;"V","Ngoai BS",IF(Dealps[[#This Row],[POSTED_DT]]&gt;=Dealps[[#This Row],[VALUE_DATE]],"On BS","Off BS"))</f>
        <v>On BS</v>
      </c>
      <c r="X104" s="25">
        <f>SUMIFS(U:U,C:C,Dealps[[#This Row],[PAPER_CODE]])</f>
        <v>397610600000</v>
      </c>
      <c r="Y104" s="25">
        <f>_xlfn.XLOOKUP(Dealps[[#This Row],[DEAL_ID]],Ref!N:N,Ref!Q:Q,0,0)</f>
        <v>0</v>
      </c>
      <c r="Z104" s="25" t="str">
        <f>IF(Dealps[[#This Row],[CPTY_CODE]]=Dealps[[#This Row],[CPTY_CODE_ISSUER]],"Yes","No")</f>
        <v>No</v>
      </c>
      <c r="AA104" s="25"/>
      <c r="AC104" s="14"/>
      <c r="AG104" s="96"/>
      <c r="AH104" s="14"/>
      <c r="AI104"/>
      <c r="AN104" s="14"/>
      <c r="AV104" s="36"/>
      <c r="AW104" s="14"/>
      <c r="AX104" s="234"/>
      <c r="AY104" s="96"/>
      <c r="AZ104" s="14"/>
      <c r="BA104"/>
      <c r="BB104" s="93">
        <v>46262</v>
      </c>
      <c r="BC104">
        <v>3735</v>
      </c>
      <c r="BD104" s="56" t="s">
        <v>1014</v>
      </c>
      <c r="BE104" t="s">
        <v>1011</v>
      </c>
      <c r="BF104" t="s">
        <v>1015</v>
      </c>
      <c r="BG104" t="s">
        <v>364</v>
      </c>
      <c r="BH104" t="s">
        <v>1013</v>
      </c>
      <c r="BI104" t="s">
        <v>300</v>
      </c>
      <c r="BJ104" s="93">
        <v>46091</v>
      </c>
      <c r="BK104" s="93">
        <v>46091</v>
      </c>
      <c r="BL104" s="93">
        <v>46091</v>
      </c>
      <c r="BM104" s="93">
        <v>46443</v>
      </c>
      <c r="BN104" s="14">
        <v>1</v>
      </c>
      <c r="BO104" s="14">
        <v>10000000000</v>
      </c>
      <c r="BP104" s="56">
        <v>95.339726026999998</v>
      </c>
      <c r="BQ104" s="56">
        <v>0</v>
      </c>
      <c r="BR104" s="14">
        <v>10000000000</v>
      </c>
      <c r="BS104">
        <v>9.3323859999999996</v>
      </c>
      <c r="BT104" t="s">
        <v>1184</v>
      </c>
      <c r="BU104" s="25">
        <f>_xlfn.XLOOKUP(Dealps_MSB[[#This Row],[DEAL_ID]],Ref!V:V,Ref!X:X,0,0)</f>
        <v>0</v>
      </c>
      <c r="BV104"/>
    </row>
    <row r="105" spans="1:74" x14ac:dyDescent="0.3">
      <c r="A105" s="93">
        <v>46262</v>
      </c>
      <c r="B105">
        <v>2675</v>
      </c>
      <c r="C105" s="56" t="s">
        <v>960</v>
      </c>
      <c r="D105" t="s">
        <v>347</v>
      </c>
      <c r="E105" t="s">
        <v>347</v>
      </c>
      <c r="F105" t="s">
        <v>364</v>
      </c>
      <c r="G105" t="s">
        <v>310</v>
      </c>
      <c r="H105" t="s">
        <v>300</v>
      </c>
      <c r="I105" s="93">
        <v>45929</v>
      </c>
      <c r="J105" s="93">
        <v>45929</v>
      </c>
      <c r="K105" s="93">
        <v>45929</v>
      </c>
      <c r="L105" s="93">
        <v>46288</v>
      </c>
      <c r="M105" s="14">
        <v>1</v>
      </c>
      <c r="N105" s="14">
        <v>1000000000000</v>
      </c>
      <c r="O105" s="56">
        <v>100</v>
      </c>
      <c r="P105" s="56">
        <v>0</v>
      </c>
      <c r="Q105" s="14">
        <v>1000000000000</v>
      </c>
      <c r="R105">
        <v>5</v>
      </c>
      <c r="S105" t="s">
        <v>1184</v>
      </c>
      <c r="T105" s="57">
        <f>IF(Dealps[[#This Row],[MATURITY_DATE]]-Dealps[[#This Row],[POSTED_DT]]&lt;0,0,IF(Dealps[[#This Row],[VALUE_DATE]]-Dealps[[#This Row],[POSTED_DT]]&gt;0,Dealps[[#This Row],[MATURITY_DATE]]-Dealps[[#This Row],[VALUE_DATE]],Dealps[[#This Row],[MATURITY_DATE]]-Dealps[[#This Row],[POSTED_DT]]))</f>
        <v>26</v>
      </c>
      <c r="U105" s="25">
        <f>IF(Dealps[[#This Row],[TENOR]]=0,0,IF(Dealps[[#This Row],[DEAL_TYPE]]="B",Dealps[[#This Row],[FACE_AMOUNT]],-Dealps[[#This Row],[FACE_AMOUNT]]))</f>
        <v>1000000000000</v>
      </c>
      <c r="V105" s="25">
        <f>_xlfn.XLOOKUP(Dealps[[#This Row],[PAPER_CODE]],FNRP!D:D,FNRP!H:H,0,0)/100*Dealps[[#This Row],[AMOUNT]]</f>
        <v>0</v>
      </c>
      <c r="W105" s="57" t="str">
        <f>IF(Dealps[[#This Row],[TRANSACTION_STATUS]]&lt;&gt;"V","Ngoai BS",IF(Dealps[[#This Row],[POSTED_DT]]&gt;=Dealps[[#This Row],[VALUE_DATE]],"On BS","Off BS"))</f>
        <v>On BS</v>
      </c>
      <c r="X105" s="25">
        <f>SUMIFS(U:U,C:C,Dealps[[#This Row],[PAPER_CODE]])</f>
        <v>1000000000000</v>
      </c>
      <c r="Y105" s="25">
        <f>_xlfn.XLOOKUP(Dealps[[#This Row],[DEAL_ID]],Ref!N:N,Ref!Q:Q,0,0)</f>
        <v>0</v>
      </c>
      <c r="Z105" s="25" t="str">
        <f>IF(Dealps[[#This Row],[CPTY_CODE]]=Dealps[[#This Row],[CPTY_CODE_ISSUER]],"Yes","No")</f>
        <v>Yes</v>
      </c>
      <c r="AA105" s="25"/>
      <c r="AC105" s="14"/>
      <c r="AG105" s="96"/>
      <c r="AH105" s="14"/>
      <c r="AI105"/>
      <c r="AN105" s="14"/>
      <c r="AV105" s="36"/>
      <c r="AW105" s="14"/>
      <c r="AX105" s="234"/>
      <c r="AY105" s="96"/>
      <c r="AZ105" s="14"/>
      <c r="BA105"/>
      <c r="BB105" s="93">
        <v>46262</v>
      </c>
      <c r="BC105">
        <v>3736</v>
      </c>
      <c r="BD105" s="56" t="s">
        <v>1014</v>
      </c>
      <c r="BE105" t="s">
        <v>1011</v>
      </c>
      <c r="BF105" t="s">
        <v>1015</v>
      </c>
      <c r="BG105" t="s">
        <v>364</v>
      </c>
      <c r="BH105" t="s">
        <v>1013</v>
      </c>
      <c r="BI105" t="s">
        <v>300</v>
      </c>
      <c r="BJ105" s="93">
        <v>46091</v>
      </c>
      <c r="BK105" s="93">
        <v>46091</v>
      </c>
      <c r="BL105" s="93">
        <v>46091</v>
      </c>
      <c r="BM105" s="93">
        <v>46443</v>
      </c>
      <c r="BN105" s="14">
        <v>1</v>
      </c>
      <c r="BO105" s="14">
        <v>10000000000</v>
      </c>
      <c r="BP105" s="56">
        <v>95.339726026999998</v>
      </c>
      <c r="BQ105" s="56">
        <v>0</v>
      </c>
      <c r="BR105" s="14">
        <v>10000000000</v>
      </c>
      <c r="BS105">
        <v>9.3323859999999996</v>
      </c>
      <c r="BT105" t="s">
        <v>1184</v>
      </c>
      <c r="BU105" s="25">
        <f>_xlfn.XLOOKUP(Dealps_MSB[[#This Row],[DEAL_ID]],Ref!V:V,Ref!X:X,0,0)</f>
        <v>0</v>
      </c>
      <c r="BV105"/>
    </row>
    <row r="106" spans="1:74" x14ac:dyDescent="0.3">
      <c r="A106" s="93">
        <v>46262</v>
      </c>
      <c r="B106">
        <v>2680</v>
      </c>
      <c r="C106" s="56" t="s">
        <v>961</v>
      </c>
      <c r="D106" t="s">
        <v>473</v>
      </c>
      <c r="E106" t="s">
        <v>473</v>
      </c>
      <c r="F106" t="s">
        <v>364</v>
      </c>
      <c r="G106" t="s">
        <v>310</v>
      </c>
      <c r="H106" t="s">
        <v>300</v>
      </c>
      <c r="I106" s="93">
        <v>45929</v>
      </c>
      <c r="J106" s="93">
        <v>45930</v>
      </c>
      <c r="K106" s="93">
        <v>45930</v>
      </c>
      <c r="L106" s="93">
        <v>46289</v>
      </c>
      <c r="M106" s="14">
        <v>1</v>
      </c>
      <c r="N106" s="14">
        <v>1000000000000</v>
      </c>
      <c r="O106" s="56">
        <v>100</v>
      </c>
      <c r="P106" s="56">
        <v>0</v>
      </c>
      <c r="Q106" s="14">
        <v>1000000000000</v>
      </c>
      <c r="R106">
        <v>6</v>
      </c>
      <c r="S106" t="s">
        <v>1184</v>
      </c>
      <c r="T106" s="57">
        <f>IF(Dealps[[#This Row],[MATURITY_DATE]]-Dealps[[#This Row],[POSTED_DT]]&lt;0,0,IF(Dealps[[#This Row],[VALUE_DATE]]-Dealps[[#This Row],[POSTED_DT]]&gt;0,Dealps[[#This Row],[MATURITY_DATE]]-Dealps[[#This Row],[VALUE_DATE]],Dealps[[#This Row],[MATURITY_DATE]]-Dealps[[#This Row],[POSTED_DT]]))</f>
        <v>27</v>
      </c>
      <c r="U106" s="25">
        <f>IF(Dealps[[#This Row],[TENOR]]=0,0,IF(Dealps[[#This Row],[DEAL_TYPE]]="B",Dealps[[#This Row],[FACE_AMOUNT]],-Dealps[[#This Row],[FACE_AMOUNT]]))</f>
        <v>1000000000000</v>
      </c>
      <c r="V106" s="25">
        <f>_xlfn.XLOOKUP(Dealps[[#This Row],[PAPER_CODE]],FNRP!D:D,FNRP!H:H,0,0)/100*Dealps[[#This Row],[AMOUNT]]</f>
        <v>0</v>
      </c>
      <c r="W106" s="57" t="str">
        <f>IF(Dealps[[#This Row],[TRANSACTION_STATUS]]&lt;&gt;"V","Ngoai BS",IF(Dealps[[#This Row],[POSTED_DT]]&gt;=Dealps[[#This Row],[VALUE_DATE]],"On BS","Off BS"))</f>
        <v>On BS</v>
      </c>
      <c r="X106" s="25">
        <f>SUMIFS(U:U,C:C,Dealps[[#This Row],[PAPER_CODE]])</f>
        <v>1000000000000</v>
      </c>
      <c r="Y106" s="25">
        <f>_xlfn.XLOOKUP(Dealps[[#This Row],[DEAL_ID]],Ref!N:N,Ref!Q:Q,0,0)</f>
        <v>0</v>
      </c>
      <c r="Z106" s="25" t="str">
        <f>IF(Dealps[[#This Row],[CPTY_CODE]]=Dealps[[#This Row],[CPTY_CODE_ISSUER]],"Yes","No")</f>
        <v>Yes</v>
      </c>
      <c r="AA106" s="25"/>
      <c r="AC106" s="14"/>
      <c r="AG106" s="96"/>
      <c r="AH106" s="14"/>
      <c r="AI106"/>
      <c r="AN106" s="14"/>
      <c r="AV106" s="36"/>
      <c r="AW106" s="14"/>
      <c r="AX106" s="234"/>
      <c r="AY106" s="96"/>
      <c r="AZ106" s="14"/>
      <c r="BA106"/>
      <c r="BB106" s="93">
        <v>46262</v>
      </c>
      <c r="BC106">
        <v>3737</v>
      </c>
      <c r="BD106" s="56" t="s">
        <v>1014</v>
      </c>
      <c r="BE106" t="s">
        <v>1011</v>
      </c>
      <c r="BF106" t="s">
        <v>1015</v>
      </c>
      <c r="BG106" t="s">
        <v>364</v>
      </c>
      <c r="BH106" t="s">
        <v>1013</v>
      </c>
      <c r="BI106" t="s">
        <v>300</v>
      </c>
      <c r="BJ106" s="93">
        <v>46091</v>
      </c>
      <c r="BK106" s="93">
        <v>46091</v>
      </c>
      <c r="BL106" s="93">
        <v>46091</v>
      </c>
      <c r="BM106" s="93">
        <v>46443</v>
      </c>
      <c r="BN106" s="14">
        <v>1</v>
      </c>
      <c r="BO106" s="14">
        <v>10000000000</v>
      </c>
      <c r="BP106" s="56">
        <v>95.339726026999998</v>
      </c>
      <c r="BQ106" s="56">
        <v>0</v>
      </c>
      <c r="BR106" s="14">
        <v>10000000000</v>
      </c>
      <c r="BS106">
        <v>9.3323859999999996</v>
      </c>
      <c r="BT106" t="s">
        <v>1184</v>
      </c>
      <c r="BU106" s="25">
        <f>_xlfn.XLOOKUP(Dealps_MSB[[#This Row],[DEAL_ID]],Ref!V:V,Ref!X:X,0,0)</f>
        <v>0</v>
      </c>
      <c r="BV106"/>
    </row>
    <row r="107" spans="1:74" x14ac:dyDescent="0.3">
      <c r="A107" s="93">
        <v>46262</v>
      </c>
      <c r="B107">
        <v>2689</v>
      </c>
      <c r="C107" s="56" t="s">
        <v>963</v>
      </c>
      <c r="D107" t="s">
        <v>308</v>
      </c>
      <c r="E107" t="s">
        <v>308</v>
      </c>
      <c r="F107" t="s">
        <v>364</v>
      </c>
      <c r="G107" t="s">
        <v>310</v>
      </c>
      <c r="H107" t="s">
        <v>300</v>
      </c>
      <c r="I107" s="93">
        <v>45930</v>
      </c>
      <c r="J107" s="93">
        <v>45931</v>
      </c>
      <c r="K107" s="93">
        <v>45931</v>
      </c>
      <c r="L107" s="93">
        <v>46295</v>
      </c>
      <c r="M107" s="14">
        <v>1</v>
      </c>
      <c r="N107" s="14">
        <v>400000000000</v>
      </c>
      <c r="O107" s="56">
        <v>100</v>
      </c>
      <c r="P107" s="56">
        <v>0</v>
      </c>
      <c r="Q107" s="14">
        <v>400000000000</v>
      </c>
      <c r="R107">
        <v>6.1</v>
      </c>
      <c r="S107" t="s">
        <v>1184</v>
      </c>
      <c r="T107" s="57">
        <f>IF(Dealps[[#This Row],[MATURITY_DATE]]-Dealps[[#This Row],[POSTED_DT]]&lt;0,0,IF(Dealps[[#This Row],[VALUE_DATE]]-Dealps[[#This Row],[POSTED_DT]]&gt;0,Dealps[[#This Row],[MATURITY_DATE]]-Dealps[[#This Row],[VALUE_DATE]],Dealps[[#This Row],[MATURITY_DATE]]-Dealps[[#This Row],[POSTED_DT]]))</f>
        <v>33</v>
      </c>
      <c r="U107" s="25">
        <f>IF(Dealps[[#This Row],[TENOR]]=0,0,IF(Dealps[[#This Row],[DEAL_TYPE]]="B",Dealps[[#This Row],[FACE_AMOUNT]],-Dealps[[#This Row],[FACE_AMOUNT]]))</f>
        <v>400000000000</v>
      </c>
      <c r="V107" s="25">
        <f>_xlfn.XLOOKUP(Dealps[[#This Row],[PAPER_CODE]],FNRP!D:D,FNRP!H:H,0,0)/100*Dealps[[#This Row],[AMOUNT]]</f>
        <v>0</v>
      </c>
      <c r="W107" s="57" t="str">
        <f>IF(Dealps[[#This Row],[TRANSACTION_STATUS]]&lt;&gt;"V","Ngoai BS",IF(Dealps[[#This Row],[POSTED_DT]]&gt;=Dealps[[#This Row],[VALUE_DATE]],"On BS","Off BS"))</f>
        <v>On BS</v>
      </c>
      <c r="X107" s="25">
        <f>SUMIFS(U:U,C:C,Dealps[[#This Row],[PAPER_CODE]])</f>
        <v>400000000000</v>
      </c>
      <c r="Y107" s="25">
        <f>_xlfn.XLOOKUP(Dealps[[#This Row],[DEAL_ID]],Ref!N:N,Ref!Q:Q,0,0)</f>
        <v>0</v>
      </c>
      <c r="Z107" s="25" t="str">
        <f>IF(Dealps[[#This Row],[CPTY_CODE]]=Dealps[[#This Row],[CPTY_CODE_ISSUER]],"Yes","No")</f>
        <v>Yes</v>
      </c>
      <c r="AA107" s="25"/>
      <c r="AC107" s="14"/>
      <c r="AG107" s="96"/>
      <c r="AH107" s="14"/>
      <c r="AI107"/>
      <c r="AN107" s="14"/>
      <c r="AV107" s="36"/>
      <c r="AW107" s="14"/>
      <c r="AX107" s="234"/>
      <c r="AY107" s="96"/>
      <c r="AZ107" s="14"/>
      <c r="BA107"/>
      <c r="BB107" s="93">
        <v>46262</v>
      </c>
      <c r="BC107">
        <v>3738</v>
      </c>
      <c r="BD107" s="56" t="s">
        <v>1014</v>
      </c>
      <c r="BE107" t="s">
        <v>1011</v>
      </c>
      <c r="BF107" t="s">
        <v>1015</v>
      </c>
      <c r="BG107" t="s">
        <v>364</v>
      </c>
      <c r="BH107" t="s">
        <v>1013</v>
      </c>
      <c r="BI107" t="s">
        <v>300</v>
      </c>
      <c r="BJ107" s="93">
        <v>46091</v>
      </c>
      <c r="BK107" s="93">
        <v>46091</v>
      </c>
      <c r="BL107" s="93">
        <v>46091</v>
      </c>
      <c r="BM107" s="93">
        <v>46443</v>
      </c>
      <c r="BN107" s="14">
        <v>1</v>
      </c>
      <c r="BO107" s="14">
        <v>10000000000</v>
      </c>
      <c r="BP107" s="56">
        <v>95.339726026999998</v>
      </c>
      <c r="BQ107" s="56">
        <v>0</v>
      </c>
      <c r="BR107" s="14">
        <v>10000000000</v>
      </c>
      <c r="BS107">
        <v>9.3323859999999996</v>
      </c>
      <c r="BT107" t="s">
        <v>1184</v>
      </c>
      <c r="BU107" s="25">
        <f>_xlfn.XLOOKUP(Dealps_MSB[[#This Row],[DEAL_ID]],Ref!V:V,Ref!X:X,0,0)</f>
        <v>0</v>
      </c>
      <c r="BV107"/>
    </row>
    <row r="108" spans="1:74" x14ac:dyDescent="0.3">
      <c r="A108" s="93">
        <v>46262</v>
      </c>
      <c r="B108">
        <v>2715</v>
      </c>
      <c r="C108" s="56" t="s">
        <v>965</v>
      </c>
      <c r="D108" t="s">
        <v>325</v>
      </c>
      <c r="E108" t="s">
        <v>325</v>
      </c>
      <c r="F108" t="s">
        <v>364</v>
      </c>
      <c r="G108" t="s">
        <v>310</v>
      </c>
      <c r="H108" t="s">
        <v>300</v>
      </c>
      <c r="I108" s="93">
        <v>45936</v>
      </c>
      <c r="J108" s="93">
        <v>45937</v>
      </c>
      <c r="K108" s="93">
        <v>45937</v>
      </c>
      <c r="L108" s="93">
        <v>46301</v>
      </c>
      <c r="M108" s="14">
        <v>1</v>
      </c>
      <c r="N108" s="14">
        <v>500000000000</v>
      </c>
      <c r="O108" s="56">
        <v>100</v>
      </c>
      <c r="P108" s="56">
        <v>0</v>
      </c>
      <c r="Q108" s="14">
        <v>500000000000</v>
      </c>
      <c r="R108">
        <v>6.4</v>
      </c>
      <c r="S108" t="s">
        <v>1184</v>
      </c>
      <c r="T108" s="57">
        <f>IF(Dealps[[#This Row],[MATURITY_DATE]]-Dealps[[#This Row],[POSTED_DT]]&lt;0,0,IF(Dealps[[#This Row],[VALUE_DATE]]-Dealps[[#This Row],[POSTED_DT]]&gt;0,Dealps[[#This Row],[MATURITY_DATE]]-Dealps[[#This Row],[VALUE_DATE]],Dealps[[#This Row],[MATURITY_DATE]]-Dealps[[#This Row],[POSTED_DT]]))</f>
        <v>39</v>
      </c>
      <c r="U108" s="25">
        <f>IF(Dealps[[#This Row],[TENOR]]=0,0,IF(Dealps[[#This Row],[DEAL_TYPE]]="B",Dealps[[#This Row],[FACE_AMOUNT]],-Dealps[[#This Row],[FACE_AMOUNT]]))</f>
        <v>500000000000</v>
      </c>
      <c r="V108" s="25">
        <f>_xlfn.XLOOKUP(Dealps[[#This Row],[PAPER_CODE]],FNRP!D:D,FNRP!H:H,0,0)/100*Dealps[[#This Row],[AMOUNT]]</f>
        <v>0</v>
      </c>
      <c r="W108" s="57" t="str">
        <f>IF(Dealps[[#This Row],[TRANSACTION_STATUS]]&lt;&gt;"V","Ngoai BS",IF(Dealps[[#This Row],[POSTED_DT]]&gt;=Dealps[[#This Row],[VALUE_DATE]],"On BS","Off BS"))</f>
        <v>On BS</v>
      </c>
      <c r="X108" s="25">
        <f>SUMIFS(U:U,C:C,Dealps[[#This Row],[PAPER_CODE]])</f>
        <v>500000000000</v>
      </c>
      <c r="Y108" s="25">
        <f>_xlfn.XLOOKUP(Dealps[[#This Row],[DEAL_ID]],Ref!N:N,Ref!Q:Q,0,0)</f>
        <v>0</v>
      </c>
      <c r="Z108" s="25" t="str">
        <f>IF(Dealps[[#This Row],[CPTY_CODE]]=Dealps[[#This Row],[CPTY_CODE_ISSUER]],"Yes","No")</f>
        <v>Yes</v>
      </c>
      <c r="AA108" s="25"/>
      <c r="AC108" s="14"/>
      <c r="AG108" s="96"/>
      <c r="AH108" s="14"/>
      <c r="AI108"/>
      <c r="AN108" s="14"/>
      <c r="AV108" s="36"/>
      <c r="AW108" s="14"/>
      <c r="AX108" s="234"/>
      <c r="AY108" s="96"/>
      <c r="AZ108" s="14"/>
      <c r="BA108"/>
      <c r="BB108" s="93">
        <v>46262</v>
      </c>
      <c r="BC108">
        <v>3739</v>
      </c>
      <c r="BD108" s="56" t="s">
        <v>1236</v>
      </c>
      <c r="BE108" t="s">
        <v>1011</v>
      </c>
      <c r="BF108" t="s">
        <v>1015</v>
      </c>
      <c r="BG108" t="s">
        <v>364</v>
      </c>
      <c r="BH108" t="s">
        <v>1013</v>
      </c>
      <c r="BI108" t="s">
        <v>311</v>
      </c>
      <c r="BJ108" s="93">
        <v>46091</v>
      </c>
      <c r="BK108" s="93">
        <v>46091</v>
      </c>
      <c r="BL108" s="93">
        <v>46091</v>
      </c>
      <c r="BM108" s="93">
        <v>46821</v>
      </c>
      <c r="BN108" s="14">
        <v>1</v>
      </c>
      <c r="BO108" s="14">
        <v>10000000000</v>
      </c>
      <c r="BP108" s="56">
        <v>100</v>
      </c>
      <c r="BQ108" s="56">
        <v>0</v>
      </c>
      <c r="BR108" s="14">
        <v>10002054795</v>
      </c>
      <c r="BS108">
        <v>7.4992279999999996</v>
      </c>
      <c r="BT108" t="s">
        <v>1184</v>
      </c>
      <c r="BU108" s="25">
        <f>_xlfn.XLOOKUP(Dealps_MSB[[#This Row],[DEAL_ID]],Ref!V:V,Ref!X:X,0,0)</f>
        <v>0</v>
      </c>
      <c r="BV108"/>
    </row>
    <row r="109" spans="1:74" x14ac:dyDescent="0.3">
      <c r="A109" s="93">
        <v>46262</v>
      </c>
      <c r="B109">
        <v>47598</v>
      </c>
      <c r="C109" s="56" t="s">
        <v>638</v>
      </c>
      <c r="D109" t="s">
        <v>328</v>
      </c>
      <c r="E109" t="s">
        <v>959</v>
      </c>
      <c r="F109" t="s">
        <v>39</v>
      </c>
      <c r="G109" t="s">
        <v>310</v>
      </c>
      <c r="H109" t="s">
        <v>300</v>
      </c>
      <c r="I109" s="93">
        <v>45936</v>
      </c>
      <c r="J109" s="93">
        <v>45936</v>
      </c>
      <c r="K109" s="93">
        <v>45937</v>
      </c>
      <c r="L109" s="93">
        <v>48297</v>
      </c>
      <c r="M109" s="14">
        <v>2500000</v>
      </c>
      <c r="N109" s="14">
        <v>250000000000</v>
      </c>
      <c r="O109" s="56">
        <v>100.23952054999999</v>
      </c>
      <c r="P109" s="56">
        <v>4</v>
      </c>
      <c r="Q109" s="14">
        <v>260550000000</v>
      </c>
      <c r="R109">
        <v>7.6334170050000001</v>
      </c>
      <c r="S109" t="s">
        <v>1184</v>
      </c>
      <c r="T109" s="57">
        <f>IF(Dealps[[#This Row],[MATURITY_DATE]]-Dealps[[#This Row],[POSTED_DT]]&lt;0,0,IF(Dealps[[#This Row],[VALUE_DATE]]-Dealps[[#This Row],[POSTED_DT]]&gt;0,Dealps[[#This Row],[MATURITY_DATE]]-Dealps[[#This Row],[VALUE_DATE]],Dealps[[#This Row],[MATURITY_DATE]]-Dealps[[#This Row],[POSTED_DT]]))</f>
        <v>2035</v>
      </c>
      <c r="U109" s="25">
        <f>IF(Dealps[[#This Row],[TENOR]]=0,0,IF(Dealps[[#This Row],[DEAL_TYPE]]="B",Dealps[[#This Row],[FACE_AMOUNT]],-Dealps[[#This Row],[FACE_AMOUNT]]))</f>
        <v>250000000000</v>
      </c>
      <c r="V109" s="25">
        <f>_xlfn.XLOOKUP(Dealps[[#This Row],[PAPER_CODE]],FNRP!D:D,FNRP!H:H,0,0)/100*Dealps[[#This Row],[AMOUNT]]</f>
        <v>297042631244.99994</v>
      </c>
      <c r="W109" s="57" t="str">
        <f>IF(Dealps[[#This Row],[TRANSACTION_STATUS]]&lt;&gt;"V","Ngoai BS",IF(Dealps[[#This Row],[POSTED_DT]]&gt;=Dealps[[#This Row],[VALUE_DATE]],"On BS","Off BS"))</f>
        <v>On BS</v>
      </c>
      <c r="X109" s="25">
        <f>SUMIFS(U:U,C:C,Dealps[[#This Row],[PAPER_CODE]])</f>
        <v>397610600000</v>
      </c>
      <c r="Y109" s="25">
        <f>_xlfn.XLOOKUP(Dealps[[#This Row],[DEAL_ID]],Ref!N:N,Ref!Q:Q,0,0)</f>
        <v>0</v>
      </c>
      <c r="Z109" s="25" t="str">
        <f>IF(Dealps[[#This Row],[CPTY_CODE]]=Dealps[[#This Row],[CPTY_CODE_ISSUER]],"Yes","No")</f>
        <v>No</v>
      </c>
      <c r="AA109" s="25"/>
      <c r="AC109" s="14"/>
      <c r="AG109" s="96"/>
      <c r="AH109" s="14"/>
      <c r="AI109"/>
      <c r="AN109" s="14"/>
      <c r="AV109" s="36"/>
      <c r="AW109" s="14"/>
      <c r="AX109" s="234"/>
      <c r="AY109" s="96"/>
      <c r="AZ109" s="14"/>
      <c r="BA109"/>
      <c r="BB109" s="93">
        <v>46262</v>
      </c>
      <c r="BC109">
        <v>3740</v>
      </c>
      <c r="BD109" s="56" t="s">
        <v>1236</v>
      </c>
      <c r="BE109" t="s">
        <v>1011</v>
      </c>
      <c r="BF109" t="s">
        <v>1015</v>
      </c>
      <c r="BG109" t="s">
        <v>364</v>
      </c>
      <c r="BH109" t="s">
        <v>1013</v>
      </c>
      <c r="BI109" t="s">
        <v>311</v>
      </c>
      <c r="BJ109" s="93">
        <v>46091</v>
      </c>
      <c r="BK109" s="93">
        <v>46091</v>
      </c>
      <c r="BL109" s="93">
        <v>46091</v>
      </c>
      <c r="BM109" s="93">
        <v>46821</v>
      </c>
      <c r="BN109" s="14">
        <v>1</v>
      </c>
      <c r="BO109" s="14">
        <v>10000000000</v>
      </c>
      <c r="BP109" s="56">
        <v>100</v>
      </c>
      <c r="BQ109" s="56">
        <v>0</v>
      </c>
      <c r="BR109" s="14">
        <v>10002054795</v>
      </c>
      <c r="BS109">
        <v>7.4992279999999996</v>
      </c>
      <c r="BT109" t="s">
        <v>1184</v>
      </c>
      <c r="BU109" s="25">
        <f>_xlfn.XLOOKUP(Dealps_MSB[[#This Row],[DEAL_ID]],Ref!V:V,Ref!X:X,0,0)</f>
        <v>0</v>
      </c>
      <c r="BV109"/>
    </row>
    <row r="110" spans="1:74" x14ac:dyDescent="0.3">
      <c r="A110" s="93">
        <v>46262</v>
      </c>
      <c r="B110">
        <v>2735</v>
      </c>
      <c r="C110" s="56" t="s">
        <v>961</v>
      </c>
      <c r="D110" t="s">
        <v>473</v>
      </c>
      <c r="E110" t="s">
        <v>347</v>
      </c>
      <c r="F110" t="s">
        <v>364</v>
      </c>
      <c r="G110" t="s">
        <v>310</v>
      </c>
      <c r="H110" t="s">
        <v>311</v>
      </c>
      <c r="I110" s="93">
        <v>45938</v>
      </c>
      <c r="J110" s="93">
        <v>45938</v>
      </c>
      <c r="K110" s="93">
        <v>45943</v>
      </c>
      <c r="L110" s="93">
        <v>46289</v>
      </c>
      <c r="M110" s="14">
        <v>1</v>
      </c>
      <c r="N110" s="14">
        <v>400000000000</v>
      </c>
      <c r="O110" s="56">
        <v>100.01546917</v>
      </c>
      <c r="P110" s="56">
        <v>0</v>
      </c>
      <c r="Q110" s="14">
        <v>400916671200</v>
      </c>
      <c r="R110">
        <v>5.97</v>
      </c>
      <c r="S110" t="s">
        <v>1184</v>
      </c>
      <c r="T110" s="57">
        <f>IF(Dealps[[#This Row],[MATURITY_DATE]]-Dealps[[#This Row],[POSTED_DT]]&lt;0,0,IF(Dealps[[#This Row],[VALUE_DATE]]-Dealps[[#This Row],[POSTED_DT]]&gt;0,Dealps[[#This Row],[MATURITY_DATE]]-Dealps[[#This Row],[VALUE_DATE]],Dealps[[#This Row],[MATURITY_DATE]]-Dealps[[#This Row],[POSTED_DT]]))</f>
        <v>27</v>
      </c>
      <c r="U110" s="25">
        <f>IF(Dealps[[#This Row],[TENOR]]=0,0,IF(Dealps[[#This Row],[DEAL_TYPE]]="B",Dealps[[#This Row],[FACE_AMOUNT]],-Dealps[[#This Row],[FACE_AMOUNT]]))</f>
        <v>-400000000000</v>
      </c>
      <c r="V110" s="25">
        <f>_xlfn.XLOOKUP(Dealps[[#This Row],[PAPER_CODE]],FNRP!D:D,FNRP!H:H,0,0)/100*Dealps[[#This Row],[AMOUNT]]</f>
        <v>0</v>
      </c>
      <c r="W110" s="57" t="str">
        <f>IF(Dealps[[#This Row],[TRANSACTION_STATUS]]&lt;&gt;"V","Ngoai BS",IF(Dealps[[#This Row],[POSTED_DT]]&gt;=Dealps[[#This Row],[VALUE_DATE]],"On BS","Off BS"))</f>
        <v>On BS</v>
      </c>
      <c r="X110" s="25">
        <f>SUMIFS(U:U,C:C,Dealps[[#This Row],[PAPER_CODE]])</f>
        <v>1000000000000</v>
      </c>
      <c r="Y110" s="25">
        <f>_xlfn.XLOOKUP(Dealps[[#This Row],[DEAL_ID]],Ref!N:N,Ref!Q:Q,0,0)</f>
        <v>0</v>
      </c>
      <c r="Z110" s="25" t="str">
        <f>IF(Dealps[[#This Row],[CPTY_CODE]]=Dealps[[#This Row],[CPTY_CODE_ISSUER]],"Yes","No")</f>
        <v>No</v>
      </c>
      <c r="AA110" s="25"/>
      <c r="AC110" s="14"/>
      <c r="AG110" s="96"/>
      <c r="AH110" s="14"/>
      <c r="AI110"/>
      <c r="AN110" s="14"/>
      <c r="AV110" s="36"/>
      <c r="AW110" s="14"/>
      <c r="AX110" s="234"/>
      <c r="AY110" s="96"/>
      <c r="AZ110" s="14"/>
      <c r="BA110"/>
      <c r="BB110" s="93">
        <v>46262</v>
      </c>
      <c r="BC110">
        <v>3741</v>
      </c>
      <c r="BD110" s="56" t="s">
        <v>1236</v>
      </c>
      <c r="BE110" t="s">
        <v>1011</v>
      </c>
      <c r="BF110" t="s">
        <v>1015</v>
      </c>
      <c r="BG110" t="s">
        <v>364</v>
      </c>
      <c r="BH110" t="s">
        <v>1013</v>
      </c>
      <c r="BI110" t="s">
        <v>311</v>
      </c>
      <c r="BJ110" s="93">
        <v>46091</v>
      </c>
      <c r="BK110" s="93">
        <v>46091</v>
      </c>
      <c r="BL110" s="93">
        <v>46091</v>
      </c>
      <c r="BM110" s="93">
        <v>46821</v>
      </c>
      <c r="BN110" s="14">
        <v>1</v>
      </c>
      <c r="BO110" s="14">
        <v>10000000000</v>
      </c>
      <c r="BP110" s="56">
        <v>100</v>
      </c>
      <c r="BQ110" s="56">
        <v>0</v>
      </c>
      <c r="BR110" s="14">
        <v>10002054795</v>
      </c>
      <c r="BS110">
        <v>7.4992279999999996</v>
      </c>
      <c r="BT110" t="s">
        <v>1184</v>
      </c>
      <c r="BU110" s="25">
        <f>_xlfn.XLOOKUP(Dealps_MSB[[#This Row],[DEAL_ID]],Ref!V:V,Ref!X:X,0,0)</f>
        <v>0</v>
      </c>
      <c r="BV110"/>
    </row>
    <row r="111" spans="1:74" x14ac:dyDescent="0.3">
      <c r="A111" s="93">
        <v>46262</v>
      </c>
      <c r="B111">
        <v>2807</v>
      </c>
      <c r="C111" s="56" t="s">
        <v>963</v>
      </c>
      <c r="D111" t="s">
        <v>308</v>
      </c>
      <c r="E111" t="s">
        <v>344</v>
      </c>
      <c r="F111" t="s">
        <v>364</v>
      </c>
      <c r="G111" t="s">
        <v>310</v>
      </c>
      <c r="H111" t="s">
        <v>311</v>
      </c>
      <c r="I111" s="93">
        <v>45953</v>
      </c>
      <c r="J111" s="93">
        <v>45952</v>
      </c>
      <c r="K111" s="93">
        <v>45953</v>
      </c>
      <c r="L111" s="93">
        <v>46295</v>
      </c>
      <c r="M111" s="14">
        <v>1</v>
      </c>
      <c r="N111" s="14">
        <v>300000000000</v>
      </c>
      <c r="O111" s="56">
        <v>100.516620467</v>
      </c>
      <c r="P111" s="56">
        <v>0</v>
      </c>
      <c r="Q111" s="14">
        <v>302652875100</v>
      </c>
      <c r="R111">
        <v>5.5</v>
      </c>
      <c r="S111" t="s">
        <v>1184</v>
      </c>
      <c r="T111" s="57">
        <f>IF(Dealps[[#This Row],[MATURITY_DATE]]-Dealps[[#This Row],[POSTED_DT]]&lt;0,0,IF(Dealps[[#This Row],[VALUE_DATE]]-Dealps[[#This Row],[POSTED_DT]]&gt;0,Dealps[[#This Row],[MATURITY_DATE]]-Dealps[[#This Row],[VALUE_DATE]],Dealps[[#This Row],[MATURITY_DATE]]-Dealps[[#This Row],[POSTED_DT]]))</f>
        <v>33</v>
      </c>
      <c r="U111" s="25">
        <f>IF(Dealps[[#This Row],[TENOR]]=0,0,IF(Dealps[[#This Row],[DEAL_TYPE]]="B",Dealps[[#This Row],[FACE_AMOUNT]],-Dealps[[#This Row],[FACE_AMOUNT]]))</f>
        <v>-300000000000</v>
      </c>
      <c r="V111" s="25">
        <f>_xlfn.XLOOKUP(Dealps[[#This Row],[PAPER_CODE]],FNRP!D:D,FNRP!H:H,0,0)/100*Dealps[[#This Row],[AMOUNT]]</f>
        <v>0</v>
      </c>
      <c r="W111" s="57" t="str">
        <f>IF(Dealps[[#This Row],[TRANSACTION_STATUS]]&lt;&gt;"V","Ngoai BS",IF(Dealps[[#This Row],[POSTED_DT]]&gt;=Dealps[[#This Row],[VALUE_DATE]],"On BS","Off BS"))</f>
        <v>On BS</v>
      </c>
      <c r="X111" s="25">
        <f>SUMIFS(U:U,C:C,Dealps[[#This Row],[PAPER_CODE]])</f>
        <v>400000000000</v>
      </c>
      <c r="Y111" s="25">
        <f>_xlfn.XLOOKUP(Dealps[[#This Row],[DEAL_ID]],Ref!N:N,Ref!Q:Q,0,0)</f>
        <v>0</v>
      </c>
      <c r="Z111" s="25" t="str">
        <f>IF(Dealps[[#This Row],[CPTY_CODE]]=Dealps[[#This Row],[CPTY_CODE_ISSUER]],"Yes","No")</f>
        <v>No</v>
      </c>
      <c r="AA111" s="25"/>
      <c r="AC111" s="14"/>
      <c r="AG111" s="96"/>
      <c r="AH111" s="14"/>
      <c r="AI111"/>
      <c r="AN111" s="14"/>
      <c r="AV111" s="36"/>
      <c r="AW111" s="14"/>
      <c r="AX111" s="234"/>
      <c r="AY111" s="96"/>
      <c r="AZ111" s="14"/>
      <c r="BA111"/>
      <c r="BB111" s="93">
        <v>46262</v>
      </c>
      <c r="BC111">
        <v>3742</v>
      </c>
      <c r="BD111" s="56" t="s">
        <v>1236</v>
      </c>
      <c r="BE111" t="s">
        <v>1011</v>
      </c>
      <c r="BF111" t="s">
        <v>1015</v>
      </c>
      <c r="BG111" t="s">
        <v>364</v>
      </c>
      <c r="BH111" t="s">
        <v>1013</v>
      </c>
      <c r="BI111" t="s">
        <v>311</v>
      </c>
      <c r="BJ111" s="93">
        <v>46091</v>
      </c>
      <c r="BK111" s="93">
        <v>46091</v>
      </c>
      <c r="BL111" s="93">
        <v>46091</v>
      </c>
      <c r="BM111" s="93">
        <v>46821</v>
      </c>
      <c r="BN111" s="14">
        <v>1</v>
      </c>
      <c r="BO111" s="14">
        <v>10000000000</v>
      </c>
      <c r="BP111" s="56">
        <v>100</v>
      </c>
      <c r="BQ111" s="56">
        <v>0</v>
      </c>
      <c r="BR111" s="14">
        <v>10002054795</v>
      </c>
      <c r="BS111">
        <v>7.4992279999999996</v>
      </c>
      <c r="BT111" t="s">
        <v>1184</v>
      </c>
      <c r="BU111" s="25">
        <f>_xlfn.XLOOKUP(Dealps_MSB[[#This Row],[DEAL_ID]],Ref!V:V,Ref!X:X,0,0)</f>
        <v>0</v>
      </c>
      <c r="BV111"/>
    </row>
    <row r="112" spans="1:74" x14ac:dyDescent="0.3">
      <c r="A112" s="93">
        <v>46262</v>
      </c>
      <c r="B112">
        <v>2829</v>
      </c>
      <c r="C112" s="56" t="s">
        <v>1004</v>
      </c>
      <c r="D112" t="s">
        <v>324</v>
      </c>
      <c r="E112" t="s">
        <v>324</v>
      </c>
      <c r="F112" t="s">
        <v>364</v>
      </c>
      <c r="G112" t="s">
        <v>310</v>
      </c>
      <c r="H112" t="s">
        <v>300</v>
      </c>
      <c r="I112" s="93">
        <v>45957</v>
      </c>
      <c r="J112" s="93">
        <v>45959</v>
      </c>
      <c r="K112" s="93">
        <v>45959</v>
      </c>
      <c r="L112" s="93">
        <v>46323</v>
      </c>
      <c r="M112" s="14">
        <v>1</v>
      </c>
      <c r="N112" s="14">
        <v>500000000000</v>
      </c>
      <c r="O112" s="56">
        <v>100</v>
      </c>
      <c r="P112" s="56">
        <v>0</v>
      </c>
      <c r="Q112" s="14">
        <v>500000000000</v>
      </c>
      <c r="R112">
        <v>6.3</v>
      </c>
      <c r="S112" t="s">
        <v>1184</v>
      </c>
      <c r="T112" s="57">
        <f>IF(Dealps[[#This Row],[MATURITY_DATE]]-Dealps[[#This Row],[POSTED_DT]]&lt;0,0,IF(Dealps[[#This Row],[VALUE_DATE]]-Dealps[[#This Row],[POSTED_DT]]&gt;0,Dealps[[#This Row],[MATURITY_DATE]]-Dealps[[#This Row],[VALUE_DATE]],Dealps[[#This Row],[MATURITY_DATE]]-Dealps[[#This Row],[POSTED_DT]]))</f>
        <v>61</v>
      </c>
      <c r="U112" s="25">
        <f>IF(Dealps[[#This Row],[TENOR]]=0,0,IF(Dealps[[#This Row],[DEAL_TYPE]]="B",Dealps[[#This Row],[FACE_AMOUNT]],-Dealps[[#This Row],[FACE_AMOUNT]]))</f>
        <v>500000000000</v>
      </c>
      <c r="V112" s="25">
        <f>_xlfn.XLOOKUP(Dealps[[#This Row],[PAPER_CODE]],FNRP!D:D,FNRP!H:H,0,0)/100*Dealps[[#This Row],[AMOUNT]]</f>
        <v>0</v>
      </c>
      <c r="W112" s="57" t="str">
        <f>IF(Dealps[[#This Row],[TRANSACTION_STATUS]]&lt;&gt;"V","Ngoai BS",IF(Dealps[[#This Row],[POSTED_DT]]&gt;=Dealps[[#This Row],[VALUE_DATE]],"On BS","Off BS"))</f>
        <v>On BS</v>
      </c>
      <c r="X112" s="25">
        <f>SUMIFS(U:U,C:C,Dealps[[#This Row],[PAPER_CODE]])</f>
        <v>500000000000</v>
      </c>
      <c r="Y112" s="25">
        <f>_xlfn.XLOOKUP(Dealps[[#This Row],[DEAL_ID]],Ref!N:N,Ref!Q:Q,0,0)</f>
        <v>0</v>
      </c>
      <c r="Z112" s="25" t="str">
        <f>IF(Dealps[[#This Row],[CPTY_CODE]]=Dealps[[#This Row],[CPTY_CODE_ISSUER]],"Yes","No")</f>
        <v>Yes</v>
      </c>
      <c r="AA112" s="25"/>
      <c r="AC112" s="14"/>
      <c r="AG112" s="96"/>
      <c r="AH112" s="14"/>
      <c r="AI112"/>
      <c r="AN112" s="14"/>
      <c r="AV112" s="36"/>
      <c r="AW112" s="14"/>
      <c r="AX112" s="234"/>
      <c r="AY112" s="96"/>
      <c r="AZ112" s="14"/>
      <c r="BA112"/>
      <c r="BB112" s="93">
        <v>46262</v>
      </c>
      <c r="BC112">
        <v>3758</v>
      </c>
      <c r="BD112" s="56" t="s">
        <v>1236</v>
      </c>
      <c r="BE112" t="s">
        <v>1011</v>
      </c>
      <c r="BF112" t="s">
        <v>1015</v>
      </c>
      <c r="BG112" t="s">
        <v>364</v>
      </c>
      <c r="BH112" t="s">
        <v>1013</v>
      </c>
      <c r="BI112" t="s">
        <v>311</v>
      </c>
      <c r="BJ112" s="93">
        <v>46091</v>
      </c>
      <c r="BK112" s="93">
        <v>46091</v>
      </c>
      <c r="BL112" s="93">
        <v>46091</v>
      </c>
      <c r="BM112" s="93">
        <v>46821</v>
      </c>
      <c r="BN112" s="14">
        <v>1</v>
      </c>
      <c r="BO112" s="14">
        <v>10000000000</v>
      </c>
      <c r="BP112" s="56">
        <v>100</v>
      </c>
      <c r="BQ112" s="56">
        <v>0</v>
      </c>
      <c r="BR112" s="14">
        <v>10002054795</v>
      </c>
      <c r="BS112">
        <v>7.4992279999999996</v>
      </c>
      <c r="BT112" t="s">
        <v>1184</v>
      </c>
      <c r="BU112" s="25">
        <f>_xlfn.XLOOKUP(Dealps_MSB[[#This Row],[DEAL_ID]],Ref!V:V,Ref!X:X,0,0)</f>
        <v>0</v>
      </c>
      <c r="BV112"/>
    </row>
    <row r="113" spans="1:74" x14ac:dyDescent="0.3">
      <c r="A113" s="93">
        <v>46262</v>
      </c>
      <c r="B113">
        <v>2840</v>
      </c>
      <c r="C113" s="56" t="s">
        <v>1006</v>
      </c>
      <c r="D113" t="s">
        <v>323</v>
      </c>
      <c r="E113" t="s">
        <v>315</v>
      </c>
      <c r="F113" t="s">
        <v>364</v>
      </c>
      <c r="G113" t="s">
        <v>310</v>
      </c>
      <c r="H113" t="s">
        <v>300</v>
      </c>
      <c r="I113" s="93">
        <v>45958</v>
      </c>
      <c r="J113" s="93">
        <v>45958</v>
      </c>
      <c r="K113" s="93">
        <v>45958</v>
      </c>
      <c r="L113" s="93">
        <v>46280</v>
      </c>
      <c r="M113" s="14">
        <v>1</v>
      </c>
      <c r="N113" s="14">
        <v>1000000000000</v>
      </c>
      <c r="O113" s="56">
        <v>100.311718537</v>
      </c>
      <c r="P113" s="56">
        <v>0</v>
      </c>
      <c r="Q113" s="14">
        <v>1009330884000</v>
      </c>
      <c r="R113">
        <v>5</v>
      </c>
      <c r="S113" t="s">
        <v>1184</v>
      </c>
      <c r="T113" s="57">
        <f>IF(Dealps[[#This Row],[MATURITY_DATE]]-Dealps[[#This Row],[POSTED_DT]]&lt;0,0,IF(Dealps[[#This Row],[VALUE_DATE]]-Dealps[[#This Row],[POSTED_DT]]&gt;0,Dealps[[#This Row],[MATURITY_DATE]]-Dealps[[#This Row],[VALUE_DATE]],Dealps[[#This Row],[MATURITY_DATE]]-Dealps[[#This Row],[POSTED_DT]]))</f>
        <v>18</v>
      </c>
      <c r="U113" s="25">
        <f>IF(Dealps[[#This Row],[TENOR]]=0,0,IF(Dealps[[#This Row],[DEAL_TYPE]]="B",Dealps[[#This Row],[FACE_AMOUNT]],-Dealps[[#This Row],[FACE_AMOUNT]]))</f>
        <v>1000000000000</v>
      </c>
      <c r="V113" s="25">
        <f>_xlfn.XLOOKUP(Dealps[[#This Row],[PAPER_CODE]],FNRP!D:D,FNRP!H:H,0,0)/100*Dealps[[#This Row],[AMOUNT]]</f>
        <v>0</v>
      </c>
      <c r="W113" s="57" t="str">
        <f>IF(Dealps[[#This Row],[TRANSACTION_STATUS]]&lt;&gt;"V","Ngoai BS",IF(Dealps[[#This Row],[POSTED_DT]]&gt;=Dealps[[#This Row],[VALUE_DATE]],"On BS","Off BS"))</f>
        <v>On BS</v>
      </c>
      <c r="X113" s="25">
        <f>SUMIFS(U:U,C:C,Dealps[[#This Row],[PAPER_CODE]])</f>
        <v>0</v>
      </c>
      <c r="Y113" s="25">
        <f>_xlfn.XLOOKUP(Dealps[[#This Row],[DEAL_ID]],Ref!N:N,Ref!Q:Q,0,0)</f>
        <v>0</v>
      </c>
      <c r="Z113" s="25" t="str">
        <f>IF(Dealps[[#This Row],[CPTY_CODE]]=Dealps[[#This Row],[CPTY_CODE_ISSUER]],"Yes","No")</f>
        <v>No</v>
      </c>
      <c r="AA113" s="25"/>
      <c r="AC113" s="14"/>
      <c r="AG113" s="96"/>
      <c r="AH113" s="14"/>
      <c r="AI113"/>
      <c r="AN113" s="14"/>
      <c r="AV113" s="36"/>
      <c r="AW113" s="14"/>
      <c r="AX113" s="234"/>
      <c r="AY113" s="96"/>
      <c r="AZ113" s="14"/>
      <c r="BA113"/>
      <c r="BB113" s="93">
        <v>46262</v>
      </c>
      <c r="BC113">
        <v>3759</v>
      </c>
      <c r="BD113" s="56" t="s">
        <v>1236</v>
      </c>
      <c r="BE113" t="s">
        <v>1011</v>
      </c>
      <c r="BF113" t="s">
        <v>1015</v>
      </c>
      <c r="BG113" t="s">
        <v>364</v>
      </c>
      <c r="BH113" t="s">
        <v>1013</v>
      </c>
      <c r="BI113" t="s">
        <v>311</v>
      </c>
      <c r="BJ113" s="93">
        <v>46091</v>
      </c>
      <c r="BK113" s="93">
        <v>46091</v>
      </c>
      <c r="BL113" s="93">
        <v>46091</v>
      </c>
      <c r="BM113" s="93">
        <v>46821</v>
      </c>
      <c r="BN113" s="14">
        <v>1</v>
      </c>
      <c r="BO113" s="14">
        <v>10000000000</v>
      </c>
      <c r="BP113" s="56">
        <v>100</v>
      </c>
      <c r="BQ113" s="56">
        <v>0</v>
      </c>
      <c r="BR113" s="14">
        <v>10002054795</v>
      </c>
      <c r="BS113">
        <v>7.4992279999999996</v>
      </c>
      <c r="BT113" t="s">
        <v>1184</v>
      </c>
      <c r="BU113" s="25">
        <f>_xlfn.XLOOKUP(Dealps_MSB[[#This Row],[DEAL_ID]],Ref!V:V,Ref!X:X,0,0)</f>
        <v>0</v>
      </c>
      <c r="BV113"/>
    </row>
    <row r="114" spans="1:74" x14ac:dyDescent="0.3">
      <c r="A114" s="93">
        <v>46262</v>
      </c>
      <c r="B114">
        <v>2848</v>
      </c>
      <c r="C114" s="56" t="s">
        <v>963</v>
      </c>
      <c r="D114" t="s">
        <v>308</v>
      </c>
      <c r="E114" t="s">
        <v>344</v>
      </c>
      <c r="F114" t="s">
        <v>364</v>
      </c>
      <c r="G114" t="s">
        <v>310</v>
      </c>
      <c r="H114" t="s">
        <v>300</v>
      </c>
      <c r="I114" s="93">
        <v>45959</v>
      </c>
      <c r="J114" s="93">
        <v>45958</v>
      </c>
      <c r="K114" s="93">
        <v>45960</v>
      </c>
      <c r="L114" s="93">
        <v>46295</v>
      </c>
      <c r="M114" s="14">
        <v>1</v>
      </c>
      <c r="N114" s="14">
        <v>300000000000</v>
      </c>
      <c r="O114" s="56">
        <v>100.520791166</v>
      </c>
      <c r="P114" s="56">
        <v>0</v>
      </c>
      <c r="Q114" s="14">
        <v>303016346100</v>
      </c>
      <c r="R114">
        <v>5.4774969999999996</v>
      </c>
      <c r="S114" t="s">
        <v>1184</v>
      </c>
      <c r="T114" s="57">
        <f>IF(Dealps[[#This Row],[MATURITY_DATE]]-Dealps[[#This Row],[POSTED_DT]]&lt;0,0,IF(Dealps[[#This Row],[VALUE_DATE]]-Dealps[[#This Row],[POSTED_DT]]&gt;0,Dealps[[#This Row],[MATURITY_DATE]]-Dealps[[#This Row],[VALUE_DATE]],Dealps[[#This Row],[MATURITY_DATE]]-Dealps[[#This Row],[POSTED_DT]]))</f>
        <v>33</v>
      </c>
      <c r="U114" s="25">
        <f>IF(Dealps[[#This Row],[TENOR]]=0,0,IF(Dealps[[#This Row],[DEAL_TYPE]]="B",Dealps[[#This Row],[FACE_AMOUNT]],-Dealps[[#This Row],[FACE_AMOUNT]]))</f>
        <v>300000000000</v>
      </c>
      <c r="V114" s="25">
        <f>_xlfn.XLOOKUP(Dealps[[#This Row],[PAPER_CODE]],FNRP!D:D,FNRP!H:H,0,0)/100*Dealps[[#This Row],[AMOUNT]]</f>
        <v>0</v>
      </c>
      <c r="W114" s="57" t="str">
        <f>IF(Dealps[[#This Row],[TRANSACTION_STATUS]]&lt;&gt;"V","Ngoai BS",IF(Dealps[[#This Row],[POSTED_DT]]&gt;=Dealps[[#This Row],[VALUE_DATE]],"On BS","Off BS"))</f>
        <v>On BS</v>
      </c>
      <c r="X114" s="25">
        <f>SUMIFS(U:U,C:C,Dealps[[#This Row],[PAPER_CODE]])</f>
        <v>400000000000</v>
      </c>
      <c r="Y114" s="25">
        <f>_xlfn.XLOOKUP(Dealps[[#This Row],[DEAL_ID]],Ref!N:N,Ref!Q:Q,0,0)</f>
        <v>0</v>
      </c>
      <c r="Z114" s="25" t="str">
        <f>IF(Dealps[[#This Row],[CPTY_CODE]]=Dealps[[#This Row],[CPTY_CODE_ISSUER]],"Yes","No")</f>
        <v>No</v>
      </c>
      <c r="AA114" s="25"/>
      <c r="AC114" s="14"/>
      <c r="AG114" s="96"/>
      <c r="AH114" s="14"/>
      <c r="AI114"/>
      <c r="AN114" s="14"/>
      <c r="AV114" s="36"/>
      <c r="AW114" s="14"/>
      <c r="AX114" s="234"/>
      <c r="AY114" s="96"/>
      <c r="AZ114" s="14"/>
      <c r="BA114"/>
      <c r="BB114" s="93">
        <v>46262</v>
      </c>
      <c r="BC114">
        <v>3775</v>
      </c>
      <c r="BD114" s="56" t="s">
        <v>1236</v>
      </c>
      <c r="BE114" t="s">
        <v>1011</v>
      </c>
      <c r="BF114" t="s">
        <v>1015</v>
      </c>
      <c r="BG114" t="s">
        <v>364</v>
      </c>
      <c r="BH114" t="s">
        <v>1013</v>
      </c>
      <c r="BI114" t="s">
        <v>311</v>
      </c>
      <c r="BJ114" s="93">
        <v>46092</v>
      </c>
      <c r="BK114" s="93">
        <v>46092</v>
      </c>
      <c r="BL114" s="93">
        <v>46092</v>
      </c>
      <c r="BM114" s="93">
        <v>46821</v>
      </c>
      <c r="BN114" s="14">
        <v>1</v>
      </c>
      <c r="BO114" s="14">
        <v>10000000000</v>
      </c>
      <c r="BP114" s="56">
        <v>100</v>
      </c>
      <c r="BQ114" s="56">
        <v>0</v>
      </c>
      <c r="BR114" s="14">
        <v>10004109589</v>
      </c>
      <c r="BS114">
        <v>7.4984590000000004</v>
      </c>
      <c r="BT114" t="s">
        <v>1184</v>
      </c>
      <c r="BU114" s="25">
        <f>_xlfn.XLOOKUP(Dealps_MSB[[#This Row],[DEAL_ID]],Ref!V:V,Ref!X:X,0,0)</f>
        <v>0</v>
      </c>
      <c r="BV114"/>
    </row>
    <row r="115" spans="1:74" x14ac:dyDescent="0.3">
      <c r="A115" s="93">
        <v>46262</v>
      </c>
      <c r="B115">
        <v>2857</v>
      </c>
      <c r="C115" s="56" t="s">
        <v>1008</v>
      </c>
      <c r="D115" t="s">
        <v>473</v>
      </c>
      <c r="E115" t="s">
        <v>473</v>
      </c>
      <c r="F115" t="s">
        <v>364</v>
      </c>
      <c r="G115" t="s">
        <v>310</v>
      </c>
      <c r="H115" t="s">
        <v>300</v>
      </c>
      <c r="I115" s="93">
        <v>45960</v>
      </c>
      <c r="J115" s="93">
        <v>45965</v>
      </c>
      <c r="K115" s="93">
        <v>45965</v>
      </c>
      <c r="L115" s="93">
        <v>46324</v>
      </c>
      <c r="M115" s="14">
        <v>1</v>
      </c>
      <c r="N115" s="14">
        <v>500000000000</v>
      </c>
      <c r="O115" s="56">
        <v>100</v>
      </c>
      <c r="P115" s="56">
        <v>0</v>
      </c>
      <c r="Q115" s="14">
        <v>500000000000</v>
      </c>
      <c r="R115">
        <v>6.3</v>
      </c>
      <c r="S115" t="s">
        <v>1184</v>
      </c>
      <c r="T115" s="57">
        <f>IF(Dealps[[#This Row],[MATURITY_DATE]]-Dealps[[#This Row],[POSTED_DT]]&lt;0,0,IF(Dealps[[#This Row],[VALUE_DATE]]-Dealps[[#This Row],[POSTED_DT]]&gt;0,Dealps[[#This Row],[MATURITY_DATE]]-Dealps[[#This Row],[VALUE_DATE]],Dealps[[#This Row],[MATURITY_DATE]]-Dealps[[#This Row],[POSTED_DT]]))</f>
        <v>62</v>
      </c>
      <c r="U115" s="25">
        <f>IF(Dealps[[#This Row],[TENOR]]=0,0,IF(Dealps[[#This Row],[DEAL_TYPE]]="B",Dealps[[#This Row],[FACE_AMOUNT]],-Dealps[[#This Row],[FACE_AMOUNT]]))</f>
        <v>500000000000</v>
      </c>
      <c r="V115" s="25">
        <f>_xlfn.XLOOKUP(Dealps[[#This Row],[PAPER_CODE]],FNRP!D:D,FNRP!H:H,0,0)/100*Dealps[[#This Row],[AMOUNT]]</f>
        <v>0</v>
      </c>
      <c r="W115" s="57" t="str">
        <f>IF(Dealps[[#This Row],[TRANSACTION_STATUS]]&lt;&gt;"V","Ngoai BS",IF(Dealps[[#This Row],[POSTED_DT]]&gt;=Dealps[[#This Row],[VALUE_DATE]],"On BS","Off BS"))</f>
        <v>On BS</v>
      </c>
      <c r="X115" s="25">
        <f>SUMIFS(U:U,C:C,Dealps[[#This Row],[PAPER_CODE]])</f>
        <v>500000000000</v>
      </c>
      <c r="Y115" s="25">
        <f>_xlfn.XLOOKUP(Dealps[[#This Row],[DEAL_ID]],Ref!N:N,Ref!Q:Q,0,0)</f>
        <v>0</v>
      </c>
      <c r="Z115" s="25" t="str">
        <f>IF(Dealps[[#This Row],[CPTY_CODE]]=Dealps[[#This Row],[CPTY_CODE_ISSUER]],"Yes","No")</f>
        <v>Yes</v>
      </c>
      <c r="AA115" s="25"/>
      <c r="AC115" s="14"/>
      <c r="AG115" s="96"/>
      <c r="AH115" s="14"/>
      <c r="AI115"/>
      <c r="AN115" s="14"/>
      <c r="AV115" s="36"/>
      <c r="AW115" s="14"/>
      <c r="AX115" s="234"/>
      <c r="AY115" s="96"/>
      <c r="AZ115" s="14"/>
      <c r="BA115"/>
      <c r="BB115" s="93">
        <v>46262</v>
      </c>
      <c r="BC115">
        <v>3776</v>
      </c>
      <c r="BD115" s="56" t="s">
        <v>1236</v>
      </c>
      <c r="BE115" t="s">
        <v>1011</v>
      </c>
      <c r="BF115" t="s">
        <v>1015</v>
      </c>
      <c r="BG115" t="s">
        <v>364</v>
      </c>
      <c r="BH115" t="s">
        <v>1013</v>
      </c>
      <c r="BI115" t="s">
        <v>311</v>
      </c>
      <c r="BJ115" s="93">
        <v>46092</v>
      </c>
      <c r="BK115" s="93">
        <v>46092</v>
      </c>
      <c r="BL115" s="93">
        <v>46092</v>
      </c>
      <c r="BM115" s="93">
        <v>46821</v>
      </c>
      <c r="BN115" s="14">
        <v>1</v>
      </c>
      <c r="BO115" s="14">
        <v>10000000000</v>
      </c>
      <c r="BP115" s="56">
        <v>100</v>
      </c>
      <c r="BQ115" s="56">
        <v>0</v>
      </c>
      <c r="BR115" s="14">
        <v>10004109589</v>
      </c>
      <c r="BS115">
        <v>7.4984590000000004</v>
      </c>
      <c r="BT115" t="s">
        <v>1184</v>
      </c>
      <c r="BU115" s="25">
        <f>_xlfn.XLOOKUP(Dealps_MSB[[#This Row],[DEAL_ID]],Ref!V:V,Ref!X:X,0,0)</f>
        <v>0</v>
      </c>
      <c r="BV115"/>
    </row>
    <row r="116" spans="1:74" x14ac:dyDescent="0.3">
      <c r="A116" s="93">
        <v>46262</v>
      </c>
      <c r="B116">
        <v>2861</v>
      </c>
      <c r="C116" s="56" t="s">
        <v>960</v>
      </c>
      <c r="D116" t="s">
        <v>347</v>
      </c>
      <c r="E116" t="s">
        <v>1009</v>
      </c>
      <c r="F116" t="s">
        <v>364</v>
      </c>
      <c r="G116" t="s">
        <v>310</v>
      </c>
      <c r="H116" t="s">
        <v>311</v>
      </c>
      <c r="I116" s="93">
        <v>45960</v>
      </c>
      <c r="J116" s="93">
        <v>45960</v>
      </c>
      <c r="K116" s="93">
        <v>45965</v>
      </c>
      <c r="L116" s="93">
        <v>46288</v>
      </c>
      <c r="M116" s="14">
        <v>1</v>
      </c>
      <c r="N116" s="14">
        <v>300000000000</v>
      </c>
      <c r="O116" s="56">
        <v>100.000000015</v>
      </c>
      <c r="P116" s="56">
        <v>0</v>
      </c>
      <c r="Q116" s="14">
        <v>301479452100</v>
      </c>
      <c r="R116">
        <v>4.9754630000000004</v>
      </c>
      <c r="S116" t="s">
        <v>1184</v>
      </c>
      <c r="T116" s="57">
        <f>IF(Dealps[[#This Row],[MATURITY_DATE]]-Dealps[[#This Row],[POSTED_DT]]&lt;0,0,IF(Dealps[[#This Row],[VALUE_DATE]]-Dealps[[#This Row],[POSTED_DT]]&gt;0,Dealps[[#This Row],[MATURITY_DATE]]-Dealps[[#This Row],[VALUE_DATE]],Dealps[[#This Row],[MATURITY_DATE]]-Dealps[[#This Row],[POSTED_DT]]))</f>
        <v>26</v>
      </c>
      <c r="U116" s="25">
        <f>IF(Dealps[[#This Row],[TENOR]]=0,0,IF(Dealps[[#This Row],[DEAL_TYPE]]="B",Dealps[[#This Row],[FACE_AMOUNT]],-Dealps[[#This Row],[FACE_AMOUNT]]))</f>
        <v>-300000000000</v>
      </c>
      <c r="V116" s="25">
        <f>_xlfn.XLOOKUP(Dealps[[#This Row],[PAPER_CODE]],FNRP!D:D,FNRP!H:H,0,0)/100*Dealps[[#This Row],[AMOUNT]]</f>
        <v>0</v>
      </c>
      <c r="W116" s="57" t="str">
        <f>IF(Dealps[[#This Row],[TRANSACTION_STATUS]]&lt;&gt;"V","Ngoai BS",IF(Dealps[[#This Row],[POSTED_DT]]&gt;=Dealps[[#This Row],[VALUE_DATE]],"On BS","Off BS"))</f>
        <v>On BS</v>
      </c>
      <c r="X116" s="25">
        <f>SUMIFS(U:U,C:C,Dealps[[#This Row],[PAPER_CODE]])</f>
        <v>1000000000000</v>
      </c>
      <c r="Y116" s="25">
        <f>_xlfn.XLOOKUP(Dealps[[#This Row],[DEAL_ID]],Ref!N:N,Ref!Q:Q,0,0)</f>
        <v>0</v>
      </c>
      <c r="Z116" s="25" t="str">
        <f>IF(Dealps[[#This Row],[CPTY_CODE]]=Dealps[[#This Row],[CPTY_CODE_ISSUER]],"Yes","No")</f>
        <v>No</v>
      </c>
      <c r="AA116" s="25"/>
      <c r="AC116" s="14"/>
      <c r="AG116" s="96"/>
      <c r="AH116" s="14"/>
      <c r="AI116"/>
      <c r="AN116" s="14"/>
      <c r="AV116" s="36"/>
      <c r="AW116" s="14"/>
      <c r="AX116" s="234"/>
      <c r="AY116" s="96"/>
      <c r="AZ116" s="14"/>
      <c r="BA116"/>
      <c r="BB116" s="93">
        <v>46262</v>
      </c>
      <c r="BC116">
        <v>3777</v>
      </c>
      <c r="BD116" s="56" t="s">
        <v>1236</v>
      </c>
      <c r="BE116" t="s">
        <v>1011</v>
      </c>
      <c r="BF116" t="s">
        <v>1015</v>
      </c>
      <c r="BG116" t="s">
        <v>364</v>
      </c>
      <c r="BH116" t="s">
        <v>1013</v>
      </c>
      <c r="BI116" t="s">
        <v>311</v>
      </c>
      <c r="BJ116" s="93">
        <v>46092</v>
      </c>
      <c r="BK116" s="93">
        <v>46092</v>
      </c>
      <c r="BL116" s="93">
        <v>46092</v>
      </c>
      <c r="BM116" s="93">
        <v>46821</v>
      </c>
      <c r="BN116" s="14">
        <v>1</v>
      </c>
      <c r="BO116" s="14">
        <v>10000000000</v>
      </c>
      <c r="BP116" s="56">
        <v>100</v>
      </c>
      <c r="BQ116" s="56">
        <v>0</v>
      </c>
      <c r="BR116" s="14">
        <v>10004109589</v>
      </c>
      <c r="BS116">
        <v>7.4984590000000004</v>
      </c>
      <c r="BT116" t="s">
        <v>1184</v>
      </c>
      <c r="BU116" s="25">
        <f>_xlfn.XLOOKUP(Dealps_MSB[[#This Row],[DEAL_ID]],Ref!V:V,Ref!X:X,0,0)</f>
        <v>0</v>
      </c>
      <c r="BV116"/>
    </row>
    <row r="117" spans="1:74" x14ac:dyDescent="0.3">
      <c r="A117" s="93">
        <v>46262</v>
      </c>
      <c r="B117">
        <v>2869</v>
      </c>
      <c r="C117" s="56" t="s">
        <v>1010</v>
      </c>
      <c r="D117" t="s">
        <v>328</v>
      </c>
      <c r="E117" t="s">
        <v>328</v>
      </c>
      <c r="F117" t="s">
        <v>364</v>
      </c>
      <c r="G117" t="s">
        <v>310</v>
      </c>
      <c r="H117" t="s">
        <v>300</v>
      </c>
      <c r="I117" s="93">
        <v>45964</v>
      </c>
      <c r="J117" s="93">
        <v>45965</v>
      </c>
      <c r="K117" s="93">
        <v>45965</v>
      </c>
      <c r="L117" s="93">
        <v>46329</v>
      </c>
      <c r="M117" s="14">
        <v>1</v>
      </c>
      <c r="N117" s="14">
        <v>1000000000000</v>
      </c>
      <c r="O117" s="56">
        <v>100</v>
      </c>
      <c r="P117" s="56">
        <v>0</v>
      </c>
      <c r="Q117" s="14">
        <v>1000000000000</v>
      </c>
      <c r="R117">
        <v>6.3</v>
      </c>
      <c r="S117" t="s">
        <v>1184</v>
      </c>
      <c r="T117" s="57">
        <f>IF(Dealps[[#This Row],[MATURITY_DATE]]-Dealps[[#This Row],[POSTED_DT]]&lt;0,0,IF(Dealps[[#This Row],[VALUE_DATE]]-Dealps[[#This Row],[POSTED_DT]]&gt;0,Dealps[[#This Row],[MATURITY_DATE]]-Dealps[[#This Row],[VALUE_DATE]],Dealps[[#This Row],[MATURITY_DATE]]-Dealps[[#This Row],[POSTED_DT]]))</f>
        <v>67</v>
      </c>
      <c r="U117" s="25">
        <f>IF(Dealps[[#This Row],[TENOR]]=0,0,IF(Dealps[[#This Row],[DEAL_TYPE]]="B",Dealps[[#This Row],[FACE_AMOUNT]],-Dealps[[#This Row],[FACE_AMOUNT]]))</f>
        <v>1000000000000</v>
      </c>
      <c r="V117" s="25">
        <f>_xlfn.XLOOKUP(Dealps[[#This Row],[PAPER_CODE]],FNRP!D:D,FNRP!H:H,0,0)/100*Dealps[[#This Row],[AMOUNT]]</f>
        <v>0</v>
      </c>
      <c r="W117" s="57" t="str">
        <f>IF(Dealps[[#This Row],[TRANSACTION_STATUS]]&lt;&gt;"V","Ngoai BS",IF(Dealps[[#This Row],[POSTED_DT]]&gt;=Dealps[[#This Row],[VALUE_DATE]],"On BS","Off BS"))</f>
        <v>On BS</v>
      </c>
      <c r="X117" s="25">
        <f>SUMIFS(U:U,C:C,Dealps[[#This Row],[PAPER_CODE]])</f>
        <v>2000000000000</v>
      </c>
      <c r="Y117" s="25">
        <f>_xlfn.XLOOKUP(Dealps[[#This Row],[DEAL_ID]],Ref!N:N,Ref!Q:Q,0,0)</f>
        <v>0</v>
      </c>
      <c r="Z117" s="25" t="str">
        <f>IF(Dealps[[#This Row],[CPTY_CODE]]=Dealps[[#This Row],[CPTY_CODE_ISSUER]],"Yes","No")</f>
        <v>Yes</v>
      </c>
      <c r="AA117" s="25"/>
      <c r="AC117" s="14"/>
      <c r="AG117" s="96"/>
      <c r="AH117" s="14"/>
      <c r="AI117"/>
      <c r="AN117" s="14"/>
      <c r="AV117" s="36"/>
      <c r="AW117" s="14"/>
      <c r="AX117" s="234"/>
      <c r="AY117" s="96"/>
      <c r="AZ117" s="14"/>
      <c r="BA117"/>
      <c r="BB117" s="93">
        <v>46262</v>
      </c>
      <c r="BC117">
        <v>3778</v>
      </c>
      <c r="BD117" s="56" t="s">
        <v>1236</v>
      </c>
      <c r="BE117" t="s">
        <v>1011</v>
      </c>
      <c r="BF117" t="s">
        <v>1015</v>
      </c>
      <c r="BG117" t="s">
        <v>364</v>
      </c>
      <c r="BH117" t="s">
        <v>1013</v>
      </c>
      <c r="BI117" t="s">
        <v>311</v>
      </c>
      <c r="BJ117" s="93">
        <v>46092</v>
      </c>
      <c r="BK117" s="93">
        <v>46092</v>
      </c>
      <c r="BL117" s="93">
        <v>46092</v>
      </c>
      <c r="BM117" s="93">
        <v>46821</v>
      </c>
      <c r="BN117" s="14">
        <v>1</v>
      </c>
      <c r="BO117" s="14">
        <v>10000000000</v>
      </c>
      <c r="BP117" s="56">
        <v>100</v>
      </c>
      <c r="BQ117" s="56">
        <v>0</v>
      </c>
      <c r="BR117" s="14">
        <v>10004109589</v>
      </c>
      <c r="BS117">
        <v>7.4984590000000004</v>
      </c>
      <c r="BT117" t="s">
        <v>1184</v>
      </c>
      <c r="BU117" s="25">
        <f>_xlfn.XLOOKUP(Dealps_MSB[[#This Row],[DEAL_ID]],Ref!V:V,Ref!X:X,0,0)</f>
        <v>0</v>
      </c>
      <c r="BV117"/>
    </row>
    <row r="118" spans="1:74" x14ac:dyDescent="0.3">
      <c r="A118" s="93">
        <v>46262</v>
      </c>
      <c r="B118">
        <v>2870</v>
      </c>
      <c r="C118" s="56" t="s">
        <v>1010</v>
      </c>
      <c r="D118" t="s">
        <v>328</v>
      </c>
      <c r="E118" t="s">
        <v>328</v>
      </c>
      <c r="F118" t="s">
        <v>364</v>
      </c>
      <c r="G118" t="s">
        <v>310</v>
      </c>
      <c r="H118" t="s">
        <v>300</v>
      </c>
      <c r="I118" s="93">
        <v>45964</v>
      </c>
      <c r="J118" s="93">
        <v>45965</v>
      </c>
      <c r="K118" s="93">
        <v>45965</v>
      </c>
      <c r="L118" s="93">
        <v>46329</v>
      </c>
      <c r="M118" s="14">
        <v>1</v>
      </c>
      <c r="N118" s="14">
        <v>1000000000000</v>
      </c>
      <c r="O118" s="56">
        <v>100</v>
      </c>
      <c r="P118" s="56">
        <v>0</v>
      </c>
      <c r="Q118" s="14">
        <v>1000000000000</v>
      </c>
      <c r="R118">
        <v>6.3</v>
      </c>
      <c r="S118" t="s">
        <v>1184</v>
      </c>
      <c r="T118" s="57">
        <f>IF(Dealps[[#This Row],[MATURITY_DATE]]-Dealps[[#This Row],[POSTED_DT]]&lt;0,0,IF(Dealps[[#This Row],[VALUE_DATE]]-Dealps[[#This Row],[POSTED_DT]]&gt;0,Dealps[[#This Row],[MATURITY_DATE]]-Dealps[[#This Row],[VALUE_DATE]],Dealps[[#This Row],[MATURITY_DATE]]-Dealps[[#This Row],[POSTED_DT]]))</f>
        <v>67</v>
      </c>
      <c r="U118" s="25">
        <f>IF(Dealps[[#This Row],[TENOR]]=0,0,IF(Dealps[[#This Row],[DEAL_TYPE]]="B",Dealps[[#This Row],[FACE_AMOUNT]],-Dealps[[#This Row],[FACE_AMOUNT]]))</f>
        <v>1000000000000</v>
      </c>
      <c r="V118" s="25">
        <f>_xlfn.XLOOKUP(Dealps[[#This Row],[PAPER_CODE]],FNRP!D:D,FNRP!H:H,0,0)/100*Dealps[[#This Row],[AMOUNT]]</f>
        <v>0</v>
      </c>
      <c r="W118" s="57" t="str">
        <f>IF(Dealps[[#This Row],[TRANSACTION_STATUS]]&lt;&gt;"V","Ngoai BS",IF(Dealps[[#This Row],[POSTED_DT]]&gt;=Dealps[[#This Row],[VALUE_DATE]],"On BS","Off BS"))</f>
        <v>On BS</v>
      </c>
      <c r="X118" s="25">
        <f>SUMIFS(U:U,C:C,Dealps[[#This Row],[PAPER_CODE]])</f>
        <v>2000000000000</v>
      </c>
      <c r="Y118" s="25">
        <f>_xlfn.XLOOKUP(Dealps[[#This Row],[DEAL_ID]],Ref!N:N,Ref!Q:Q,0,0)</f>
        <v>0</v>
      </c>
      <c r="Z118" s="25" t="str">
        <f>IF(Dealps[[#This Row],[CPTY_CODE]]=Dealps[[#This Row],[CPTY_CODE_ISSUER]],"Yes","No")</f>
        <v>Yes</v>
      </c>
      <c r="AA118" s="25"/>
      <c r="AC118" s="14"/>
      <c r="AG118" s="96"/>
      <c r="AH118" s="14"/>
      <c r="AI118"/>
      <c r="AN118" s="14"/>
      <c r="AV118" s="36"/>
      <c r="AW118" s="14"/>
      <c r="AX118" s="234"/>
      <c r="AY118" s="96"/>
      <c r="AZ118" s="14"/>
      <c r="BA118"/>
      <c r="BB118" s="93">
        <v>46262</v>
      </c>
      <c r="BC118">
        <v>3797</v>
      </c>
      <c r="BD118" s="56" t="s">
        <v>1236</v>
      </c>
      <c r="BE118" t="s">
        <v>1011</v>
      </c>
      <c r="BF118" t="s">
        <v>1015</v>
      </c>
      <c r="BG118" t="s">
        <v>364</v>
      </c>
      <c r="BH118" t="s">
        <v>1013</v>
      </c>
      <c r="BI118" t="s">
        <v>311</v>
      </c>
      <c r="BJ118" s="93">
        <v>46093</v>
      </c>
      <c r="BK118" s="93">
        <v>46093</v>
      </c>
      <c r="BL118" s="93">
        <v>46093</v>
      </c>
      <c r="BM118" s="93">
        <v>46821</v>
      </c>
      <c r="BN118" s="14">
        <v>1</v>
      </c>
      <c r="BO118" s="14">
        <v>10000000000</v>
      </c>
      <c r="BP118" s="56">
        <v>100</v>
      </c>
      <c r="BQ118" s="56">
        <v>0</v>
      </c>
      <c r="BR118" s="14">
        <v>10006164384</v>
      </c>
      <c r="BS118">
        <v>7.4976919999999998</v>
      </c>
      <c r="BT118" t="s">
        <v>1184</v>
      </c>
      <c r="BU118" s="25">
        <f>_xlfn.XLOOKUP(Dealps_MSB[[#This Row],[DEAL_ID]],Ref!V:V,Ref!X:X,0,0)</f>
        <v>0</v>
      </c>
      <c r="BV118"/>
    </row>
    <row r="119" spans="1:74" x14ac:dyDescent="0.3">
      <c r="A119" s="93">
        <v>46262</v>
      </c>
      <c r="B119">
        <v>2873</v>
      </c>
      <c r="C119" s="56" t="s">
        <v>953</v>
      </c>
      <c r="D119" t="s">
        <v>325</v>
      </c>
      <c r="E119" t="s">
        <v>1009</v>
      </c>
      <c r="F119" t="s">
        <v>364</v>
      </c>
      <c r="G119" t="s">
        <v>310</v>
      </c>
      <c r="H119" t="s">
        <v>311</v>
      </c>
      <c r="I119" s="93">
        <v>45965</v>
      </c>
      <c r="J119" s="93">
        <v>45965</v>
      </c>
      <c r="K119" s="93">
        <v>45967</v>
      </c>
      <c r="L119" s="93">
        <v>46274</v>
      </c>
      <c r="M119" s="14">
        <v>1</v>
      </c>
      <c r="N119" s="14">
        <v>300000000000</v>
      </c>
      <c r="O119" s="56">
        <v>99.999999998999996</v>
      </c>
      <c r="P119" s="56">
        <v>0</v>
      </c>
      <c r="Q119" s="14">
        <v>302810958900</v>
      </c>
      <c r="R119">
        <v>5.9443029999999997</v>
      </c>
      <c r="S119" t="s">
        <v>1184</v>
      </c>
      <c r="T119" s="57">
        <f>IF(Dealps[[#This Row],[MATURITY_DATE]]-Dealps[[#This Row],[POSTED_DT]]&lt;0,0,IF(Dealps[[#This Row],[VALUE_DATE]]-Dealps[[#This Row],[POSTED_DT]]&gt;0,Dealps[[#This Row],[MATURITY_DATE]]-Dealps[[#This Row],[VALUE_DATE]],Dealps[[#This Row],[MATURITY_DATE]]-Dealps[[#This Row],[POSTED_DT]]))</f>
        <v>12</v>
      </c>
      <c r="U119" s="25">
        <f>IF(Dealps[[#This Row],[TENOR]]=0,0,IF(Dealps[[#This Row],[DEAL_TYPE]]="B",Dealps[[#This Row],[FACE_AMOUNT]],-Dealps[[#This Row],[FACE_AMOUNT]]))</f>
        <v>-300000000000</v>
      </c>
      <c r="V119" s="25">
        <f>_xlfn.XLOOKUP(Dealps[[#This Row],[PAPER_CODE]],FNRP!D:D,FNRP!H:H,0,0)/100*Dealps[[#This Row],[AMOUNT]]</f>
        <v>0</v>
      </c>
      <c r="W119" s="57" t="str">
        <f>IF(Dealps[[#This Row],[TRANSACTION_STATUS]]&lt;&gt;"V","Ngoai BS",IF(Dealps[[#This Row],[POSTED_DT]]&gt;=Dealps[[#This Row],[VALUE_DATE]],"On BS","Off BS"))</f>
        <v>On BS</v>
      </c>
      <c r="X119" s="25">
        <f>SUMIFS(U:U,C:C,Dealps[[#This Row],[PAPER_CODE]])</f>
        <v>300000000000</v>
      </c>
      <c r="Y119" s="25">
        <f>_xlfn.XLOOKUP(Dealps[[#This Row],[DEAL_ID]],Ref!N:N,Ref!Q:Q,0,0)</f>
        <v>0</v>
      </c>
      <c r="Z119" s="25" t="str">
        <f>IF(Dealps[[#This Row],[CPTY_CODE]]=Dealps[[#This Row],[CPTY_CODE_ISSUER]],"Yes","No")</f>
        <v>No</v>
      </c>
      <c r="AA119" s="25"/>
      <c r="AC119" s="14"/>
      <c r="AG119" s="96"/>
      <c r="AH119" s="14"/>
      <c r="AI119"/>
      <c r="AN119" s="14"/>
      <c r="AV119" s="36"/>
      <c r="AW119" s="14"/>
      <c r="AX119" s="234"/>
      <c r="AY119" s="96"/>
      <c r="AZ119" s="14"/>
      <c r="BA119"/>
      <c r="BB119" s="93">
        <v>46262</v>
      </c>
      <c r="BC119">
        <v>3798</v>
      </c>
      <c r="BD119" s="56" t="s">
        <v>1236</v>
      </c>
      <c r="BE119" t="s">
        <v>1011</v>
      </c>
      <c r="BF119" t="s">
        <v>1015</v>
      </c>
      <c r="BG119" t="s">
        <v>364</v>
      </c>
      <c r="BH119" t="s">
        <v>1013</v>
      </c>
      <c r="BI119" t="s">
        <v>311</v>
      </c>
      <c r="BJ119" s="93">
        <v>46093</v>
      </c>
      <c r="BK119" s="93">
        <v>46093</v>
      </c>
      <c r="BL119" s="93">
        <v>46093</v>
      </c>
      <c r="BM119" s="93">
        <v>46821</v>
      </c>
      <c r="BN119" s="14">
        <v>1</v>
      </c>
      <c r="BO119" s="14">
        <v>10000000000</v>
      </c>
      <c r="BP119" s="56">
        <v>100</v>
      </c>
      <c r="BQ119" s="56">
        <v>0</v>
      </c>
      <c r="BR119" s="14">
        <v>10006164384</v>
      </c>
      <c r="BS119">
        <v>7.4976919999999998</v>
      </c>
      <c r="BT119" t="s">
        <v>1184</v>
      </c>
      <c r="BU119" s="25">
        <f>_xlfn.XLOOKUP(Dealps_MSB[[#This Row],[DEAL_ID]],Ref!V:V,Ref!X:X,0,0)</f>
        <v>0</v>
      </c>
      <c r="BV119"/>
    </row>
    <row r="120" spans="1:74" x14ac:dyDescent="0.3">
      <c r="A120" s="93">
        <v>46262</v>
      </c>
      <c r="B120">
        <v>2874</v>
      </c>
      <c r="C120" s="56" t="s">
        <v>963</v>
      </c>
      <c r="D120" t="s">
        <v>308</v>
      </c>
      <c r="E120" t="s">
        <v>344</v>
      </c>
      <c r="F120" t="s">
        <v>364</v>
      </c>
      <c r="G120" t="s">
        <v>310</v>
      </c>
      <c r="H120" t="s">
        <v>311</v>
      </c>
      <c r="I120" s="93">
        <v>45965</v>
      </c>
      <c r="J120" s="93">
        <v>45965</v>
      </c>
      <c r="K120" s="93">
        <v>45966</v>
      </c>
      <c r="L120" s="93">
        <v>46295</v>
      </c>
      <c r="M120" s="14">
        <v>1</v>
      </c>
      <c r="N120" s="14">
        <v>200000000000</v>
      </c>
      <c r="O120" s="56">
        <v>100.261089993</v>
      </c>
      <c r="P120" s="56">
        <v>0</v>
      </c>
      <c r="Q120" s="14">
        <v>201692043000</v>
      </c>
      <c r="R120">
        <v>5.7615970000000001</v>
      </c>
      <c r="S120" t="s">
        <v>1184</v>
      </c>
      <c r="T120" s="57">
        <f>IF(Dealps[[#This Row],[MATURITY_DATE]]-Dealps[[#This Row],[POSTED_DT]]&lt;0,0,IF(Dealps[[#This Row],[VALUE_DATE]]-Dealps[[#This Row],[POSTED_DT]]&gt;0,Dealps[[#This Row],[MATURITY_DATE]]-Dealps[[#This Row],[VALUE_DATE]],Dealps[[#This Row],[MATURITY_DATE]]-Dealps[[#This Row],[POSTED_DT]]))</f>
        <v>33</v>
      </c>
      <c r="U120" s="25">
        <f>IF(Dealps[[#This Row],[TENOR]]=0,0,IF(Dealps[[#This Row],[DEAL_TYPE]]="B",Dealps[[#This Row],[FACE_AMOUNT]],-Dealps[[#This Row],[FACE_AMOUNT]]))</f>
        <v>-200000000000</v>
      </c>
      <c r="V120" s="25">
        <f>_xlfn.XLOOKUP(Dealps[[#This Row],[PAPER_CODE]],FNRP!D:D,FNRP!H:H,0,0)/100*Dealps[[#This Row],[AMOUNT]]</f>
        <v>0</v>
      </c>
      <c r="W120" s="57" t="str">
        <f>IF(Dealps[[#This Row],[TRANSACTION_STATUS]]&lt;&gt;"V","Ngoai BS",IF(Dealps[[#This Row],[POSTED_DT]]&gt;=Dealps[[#This Row],[VALUE_DATE]],"On BS","Off BS"))</f>
        <v>On BS</v>
      </c>
      <c r="X120" s="25">
        <f>SUMIFS(U:U,C:C,Dealps[[#This Row],[PAPER_CODE]])</f>
        <v>400000000000</v>
      </c>
      <c r="Y120" s="25">
        <f>_xlfn.XLOOKUP(Dealps[[#This Row],[DEAL_ID]],Ref!N:N,Ref!Q:Q,0,0)</f>
        <v>0</v>
      </c>
      <c r="Z120" s="25" t="str">
        <f>IF(Dealps[[#This Row],[CPTY_CODE]]=Dealps[[#This Row],[CPTY_CODE_ISSUER]],"Yes","No")</f>
        <v>No</v>
      </c>
      <c r="AA120" s="25"/>
      <c r="AC120" s="14"/>
      <c r="AG120" s="96"/>
      <c r="AH120" s="14"/>
      <c r="AI120"/>
      <c r="AN120" s="14"/>
      <c r="AV120" s="36"/>
      <c r="AW120" s="14"/>
      <c r="AX120" s="234"/>
      <c r="AY120" s="96"/>
      <c r="AZ120" s="14"/>
      <c r="BA120"/>
      <c r="BB120" s="93">
        <v>46262</v>
      </c>
      <c r="BC120">
        <v>3799</v>
      </c>
      <c r="BD120" s="56" t="s">
        <v>1236</v>
      </c>
      <c r="BE120" t="s">
        <v>1011</v>
      </c>
      <c r="BF120" t="s">
        <v>1015</v>
      </c>
      <c r="BG120" t="s">
        <v>364</v>
      </c>
      <c r="BH120" t="s">
        <v>1013</v>
      </c>
      <c r="BI120" t="s">
        <v>311</v>
      </c>
      <c r="BJ120" s="93">
        <v>46093</v>
      </c>
      <c r="BK120" s="93">
        <v>46093</v>
      </c>
      <c r="BL120" s="93">
        <v>46093</v>
      </c>
      <c r="BM120" s="93">
        <v>46821</v>
      </c>
      <c r="BN120" s="14">
        <v>1</v>
      </c>
      <c r="BO120" s="14">
        <v>10000000000</v>
      </c>
      <c r="BP120" s="56">
        <v>100</v>
      </c>
      <c r="BQ120" s="56">
        <v>0</v>
      </c>
      <c r="BR120" s="14">
        <v>10006164384</v>
      </c>
      <c r="BS120">
        <v>7.4976919999999998</v>
      </c>
      <c r="BT120" t="s">
        <v>1184</v>
      </c>
      <c r="BU120" s="25">
        <f>_xlfn.XLOOKUP(Dealps_MSB[[#This Row],[DEAL_ID]],Ref!V:V,Ref!X:X,0,0)</f>
        <v>0</v>
      </c>
      <c r="BV120"/>
    </row>
    <row r="121" spans="1:74" x14ac:dyDescent="0.3">
      <c r="A121" s="93">
        <v>46262</v>
      </c>
      <c r="B121">
        <v>2893</v>
      </c>
      <c r="C121" s="56" t="s">
        <v>1041</v>
      </c>
      <c r="D121" t="s">
        <v>703</v>
      </c>
      <c r="E121" t="s">
        <v>703</v>
      </c>
      <c r="F121" t="s">
        <v>364</v>
      </c>
      <c r="G121" t="s">
        <v>310</v>
      </c>
      <c r="H121" t="s">
        <v>300</v>
      </c>
      <c r="I121" s="93">
        <v>45968</v>
      </c>
      <c r="J121" s="93">
        <v>45968</v>
      </c>
      <c r="K121" s="93">
        <v>45968</v>
      </c>
      <c r="L121" s="93">
        <v>46325</v>
      </c>
      <c r="M121" s="14">
        <v>1</v>
      </c>
      <c r="N121" s="14">
        <v>250000000000</v>
      </c>
      <c r="O121" s="56">
        <v>100</v>
      </c>
      <c r="P121" s="56">
        <v>0</v>
      </c>
      <c r="Q121" s="14">
        <v>250000000000</v>
      </c>
      <c r="R121">
        <v>6.6</v>
      </c>
      <c r="S121" t="s">
        <v>1184</v>
      </c>
      <c r="T121" s="57">
        <f>IF(Dealps[[#This Row],[MATURITY_DATE]]-Dealps[[#This Row],[POSTED_DT]]&lt;0,0,IF(Dealps[[#This Row],[VALUE_DATE]]-Dealps[[#This Row],[POSTED_DT]]&gt;0,Dealps[[#This Row],[MATURITY_DATE]]-Dealps[[#This Row],[VALUE_DATE]],Dealps[[#This Row],[MATURITY_DATE]]-Dealps[[#This Row],[POSTED_DT]]))</f>
        <v>63</v>
      </c>
      <c r="U121" s="25">
        <f>IF(Dealps[[#This Row],[TENOR]]=0,0,IF(Dealps[[#This Row],[DEAL_TYPE]]="B",Dealps[[#This Row],[FACE_AMOUNT]],-Dealps[[#This Row],[FACE_AMOUNT]]))</f>
        <v>250000000000</v>
      </c>
      <c r="V121" s="25">
        <f>_xlfn.XLOOKUP(Dealps[[#This Row],[PAPER_CODE]],FNRP!D:D,FNRP!H:H,0,0)/100*Dealps[[#This Row],[AMOUNT]]</f>
        <v>0</v>
      </c>
      <c r="W121" s="57" t="str">
        <f>IF(Dealps[[#This Row],[TRANSACTION_STATUS]]&lt;&gt;"V","Ngoai BS",IF(Dealps[[#This Row],[POSTED_DT]]&gt;=Dealps[[#This Row],[VALUE_DATE]],"On BS","Off BS"))</f>
        <v>On BS</v>
      </c>
      <c r="X121" s="25">
        <f>SUMIFS(U:U,C:C,Dealps[[#This Row],[PAPER_CODE]])</f>
        <v>250000000000</v>
      </c>
      <c r="Y121" s="25">
        <f>_xlfn.XLOOKUP(Dealps[[#This Row],[DEAL_ID]],Ref!N:N,Ref!Q:Q,0,0)</f>
        <v>0</v>
      </c>
      <c r="Z121" s="25" t="str">
        <f>IF(Dealps[[#This Row],[CPTY_CODE]]=Dealps[[#This Row],[CPTY_CODE_ISSUER]],"Yes","No")</f>
        <v>Yes</v>
      </c>
      <c r="AA121" s="25"/>
      <c r="AC121" s="14"/>
      <c r="AG121" s="96"/>
      <c r="AH121" s="14"/>
      <c r="AI121"/>
      <c r="AN121" s="14"/>
      <c r="AV121" s="36"/>
      <c r="AW121" s="14"/>
      <c r="AX121" s="234"/>
      <c r="AY121" s="96"/>
      <c r="AZ121" s="14"/>
      <c r="BA121"/>
      <c r="BB121" s="93">
        <v>46262</v>
      </c>
      <c r="BC121">
        <v>3800</v>
      </c>
      <c r="BD121" s="56" t="s">
        <v>1236</v>
      </c>
      <c r="BE121" t="s">
        <v>1011</v>
      </c>
      <c r="BF121" t="s">
        <v>1015</v>
      </c>
      <c r="BG121" t="s">
        <v>364</v>
      </c>
      <c r="BH121" t="s">
        <v>1013</v>
      </c>
      <c r="BI121" t="s">
        <v>311</v>
      </c>
      <c r="BJ121" s="93">
        <v>46093</v>
      </c>
      <c r="BK121" s="93">
        <v>46093</v>
      </c>
      <c r="BL121" s="93">
        <v>46093</v>
      </c>
      <c r="BM121" s="93">
        <v>46821</v>
      </c>
      <c r="BN121" s="14">
        <v>1</v>
      </c>
      <c r="BO121" s="14">
        <v>10000000000</v>
      </c>
      <c r="BP121" s="56">
        <v>100</v>
      </c>
      <c r="BQ121" s="56">
        <v>0</v>
      </c>
      <c r="BR121" s="14">
        <v>10006164384</v>
      </c>
      <c r="BS121">
        <v>7.4976919999999998</v>
      </c>
      <c r="BT121" t="s">
        <v>1184</v>
      </c>
      <c r="BU121" s="25">
        <f>_xlfn.XLOOKUP(Dealps_MSB[[#This Row],[DEAL_ID]],Ref!V:V,Ref!X:X,0,0)</f>
        <v>0</v>
      </c>
      <c r="BV121"/>
    </row>
    <row r="122" spans="1:74" x14ac:dyDescent="0.3">
      <c r="A122" s="93">
        <v>46262</v>
      </c>
      <c r="B122">
        <v>2898</v>
      </c>
      <c r="C122" s="56" t="s">
        <v>963</v>
      </c>
      <c r="D122" t="s">
        <v>308</v>
      </c>
      <c r="E122" t="s">
        <v>344</v>
      </c>
      <c r="F122" t="s">
        <v>364</v>
      </c>
      <c r="G122" t="s">
        <v>310</v>
      </c>
      <c r="H122" t="s">
        <v>300</v>
      </c>
      <c r="I122" s="93">
        <v>45971</v>
      </c>
      <c r="J122" s="93">
        <v>45971</v>
      </c>
      <c r="K122" s="93">
        <v>45973</v>
      </c>
      <c r="L122" s="93">
        <v>46295</v>
      </c>
      <c r="M122" s="14">
        <v>1</v>
      </c>
      <c r="N122" s="14">
        <v>200000000000</v>
      </c>
      <c r="O122" s="56">
        <v>100.503243592</v>
      </c>
      <c r="P122" s="56">
        <v>0</v>
      </c>
      <c r="Q122" s="14">
        <v>202410322800</v>
      </c>
      <c r="R122">
        <v>5.4637070000000003</v>
      </c>
      <c r="S122" t="s">
        <v>1184</v>
      </c>
      <c r="T122" s="57">
        <f>IF(Dealps[[#This Row],[MATURITY_DATE]]-Dealps[[#This Row],[POSTED_DT]]&lt;0,0,IF(Dealps[[#This Row],[VALUE_DATE]]-Dealps[[#This Row],[POSTED_DT]]&gt;0,Dealps[[#This Row],[MATURITY_DATE]]-Dealps[[#This Row],[VALUE_DATE]],Dealps[[#This Row],[MATURITY_DATE]]-Dealps[[#This Row],[POSTED_DT]]))</f>
        <v>33</v>
      </c>
      <c r="U122" s="25">
        <f>IF(Dealps[[#This Row],[TENOR]]=0,0,IF(Dealps[[#This Row],[DEAL_TYPE]]="B",Dealps[[#This Row],[FACE_AMOUNT]],-Dealps[[#This Row],[FACE_AMOUNT]]))</f>
        <v>200000000000</v>
      </c>
      <c r="V122" s="25">
        <f>_xlfn.XLOOKUP(Dealps[[#This Row],[PAPER_CODE]],FNRP!D:D,FNRP!H:H,0,0)/100*Dealps[[#This Row],[AMOUNT]]</f>
        <v>0</v>
      </c>
      <c r="W122" s="57" t="str">
        <f>IF(Dealps[[#This Row],[TRANSACTION_STATUS]]&lt;&gt;"V","Ngoai BS",IF(Dealps[[#This Row],[POSTED_DT]]&gt;=Dealps[[#This Row],[VALUE_DATE]],"On BS","Off BS"))</f>
        <v>On BS</v>
      </c>
      <c r="X122" s="25">
        <f>SUMIFS(U:U,C:C,Dealps[[#This Row],[PAPER_CODE]])</f>
        <v>400000000000</v>
      </c>
      <c r="Y122" s="25">
        <f>_xlfn.XLOOKUP(Dealps[[#This Row],[DEAL_ID]],Ref!N:N,Ref!Q:Q,0,0)</f>
        <v>0</v>
      </c>
      <c r="Z122" s="25" t="str">
        <f>IF(Dealps[[#This Row],[CPTY_CODE]]=Dealps[[#This Row],[CPTY_CODE_ISSUER]],"Yes","No")</f>
        <v>No</v>
      </c>
      <c r="AA122" s="25"/>
      <c r="AC122" s="14"/>
      <c r="AG122" s="96"/>
      <c r="AH122" s="14"/>
      <c r="AI122"/>
      <c r="AN122" s="14"/>
      <c r="AV122" s="36"/>
      <c r="AW122" s="14"/>
      <c r="AX122" s="234"/>
      <c r="AY122" s="96"/>
      <c r="AZ122" s="14"/>
      <c r="BA122"/>
      <c r="BB122" s="93">
        <v>46262</v>
      </c>
      <c r="BC122">
        <v>3801</v>
      </c>
      <c r="BD122" s="56" t="s">
        <v>1236</v>
      </c>
      <c r="BE122" t="s">
        <v>1011</v>
      </c>
      <c r="BF122" t="s">
        <v>1015</v>
      </c>
      <c r="BG122" t="s">
        <v>364</v>
      </c>
      <c r="BH122" t="s">
        <v>1013</v>
      </c>
      <c r="BI122" t="s">
        <v>311</v>
      </c>
      <c r="BJ122" s="93">
        <v>46093</v>
      </c>
      <c r="BK122" s="93">
        <v>46093</v>
      </c>
      <c r="BL122" s="93">
        <v>46093</v>
      </c>
      <c r="BM122" s="93">
        <v>46821</v>
      </c>
      <c r="BN122" s="14">
        <v>1</v>
      </c>
      <c r="BO122" s="14">
        <v>10000000000</v>
      </c>
      <c r="BP122" s="56">
        <v>100</v>
      </c>
      <c r="BQ122" s="56">
        <v>0</v>
      </c>
      <c r="BR122" s="14">
        <v>10006164384</v>
      </c>
      <c r="BS122">
        <v>7.4976919999999998</v>
      </c>
      <c r="BT122" t="s">
        <v>1184</v>
      </c>
      <c r="BU122" s="25">
        <f>_xlfn.XLOOKUP(Dealps_MSB[[#This Row],[DEAL_ID]],Ref!V:V,Ref!X:X,0,0)</f>
        <v>0</v>
      </c>
      <c r="BV122"/>
    </row>
    <row r="123" spans="1:74" x14ac:dyDescent="0.3">
      <c r="A123" s="93">
        <v>46262</v>
      </c>
      <c r="B123">
        <v>2903</v>
      </c>
      <c r="C123" s="56" t="s">
        <v>1004</v>
      </c>
      <c r="D123" t="s">
        <v>324</v>
      </c>
      <c r="E123" t="s">
        <v>939</v>
      </c>
      <c r="F123" t="s">
        <v>364</v>
      </c>
      <c r="G123" t="s">
        <v>310</v>
      </c>
      <c r="H123" t="s">
        <v>311</v>
      </c>
      <c r="I123" s="93">
        <v>45971</v>
      </c>
      <c r="J123" s="93">
        <v>45971</v>
      </c>
      <c r="K123" s="93">
        <v>45973</v>
      </c>
      <c r="L123" s="93">
        <v>46323</v>
      </c>
      <c r="M123" s="14">
        <v>1</v>
      </c>
      <c r="N123" s="14">
        <v>200000000000</v>
      </c>
      <c r="O123" s="56">
        <v>100.16782944000001</v>
      </c>
      <c r="P123" s="56">
        <v>0</v>
      </c>
      <c r="Q123" s="14">
        <v>200818946552</v>
      </c>
      <c r="R123">
        <v>6.1</v>
      </c>
      <c r="S123" t="s">
        <v>1184</v>
      </c>
      <c r="T123" s="57">
        <f>IF(Dealps[[#This Row],[MATURITY_DATE]]-Dealps[[#This Row],[POSTED_DT]]&lt;0,0,IF(Dealps[[#This Row],[VALUE_DATE]]-Dealps[[#This Row],[POSTED_DT]]&gt;0,Dealps[[#This Row],[MATURITY_DATE]]-Dealps[[#This Row],[VALUE_DATE]],Dealps[[#This Row],[MATURITY_DATE]]-Dealps[[#This Row],[POSTED_DT]]))</f>
        <v>61</v>
      </c>
      <c r="U123" s="25">
        <f>IF(Dealps[[#This Row],[TENOR]]=0,0,IF(Dealps[[#This Row],[DEAL_TYPE]]="B",Dealps[[#This Row],[FACE_AMOUNT]],-Dealps[[#This Row],[FACE_AMOUNT]]))</f>
        <v>-200000000000</v>
      </c>
      <c r="V123" s="25">
        <f>_xlfn.XLOOKUP(Dealps[[#This Row],[PAPER_CODE]],FNRP!D:D,FNRP!H:H,0,0)/100*Dealps[[#This Row],[AMOUNT]]</f>
        <v>0</v>
      </c>
      <c r="W123" s="57" t="str">
        <f>IF(Dealps[[#This Row],[TRANSACTION_STATUS]]&lt;&gt;"V","Ngoai BS",IF(Dealps[[#This Row],[POSTED_DT]]&gt;=Dealps[[#This Row],[VALUE_DATE]],"On BS","Off BS"))</f>
        <v>On BS</v>
      </c>
      <c r="X123" s="25">
        <f>SUMIFS(U:U,C:C,Dealps[[#This Row],[PAPER_CODE]])</f>
        <v>500000000000</v>
      </c>
      <c r="Y123" s="25">
        <f>_xlfn.XLOOKUP(Dealps[[#This Row],[DEAL_ID]],Ref!N:N,Ref!Q:Q,0,0)</f>
        <v>0</v>
      </c>
      <c r="Z123" s="25" t="str">
        <f>IF(Dealps[[#This Row],[CPTY_CODE]]=Dealps[[#This Row],[CPTY_CODE_ISSUER]],"Yes","No")</f>
        <v>No</v>
      </c>
      <c r="AA123" s="25"/>
      <c r="AC123" s="14"/>
      <c r="AG123" s="96"/>
      <c r="AH123" s="14"/>
      <c r="AI123"/>
      <c r="AN123" s="14"/>
      <c r="AV123" s="36"/>
      <c r="AW123" s="14"/>
      <c r="AX123" s="234"/>
      <c r="AY123" s="96"/>
      <c r="AZ123" s="14"/>
      <c r="BA123"/>
      <c r="BB123" s="93">
        <v>46262</v>
      </c>
      <c r="BC123">
        <v>3802</v>
      </c>
      <c r="BD123" s="56" t="s">
        <v>1236</v>
      </c>
      <c r="BE123" t="s">
        <v>1011</v>
      </c>
      <c r="BF123" t="s">
        <v>1015</v>
      </c>
      <c r="BG123" t="s">
        <v>364</v>
      </c>
      <c r="BH123" t="s">
        <v>1013</v>
      </c>
      <c r="BI123" t="s">
        <v>311</v>
      </c>
      <c r="BJ123" s="93">
        <v>46093</v>
      </c>
      <c r="BK123" s="93">
        <v>46093</v>
      </c>
      <c r="BL123" s="93">
        <v>46093</v>
      </c>
      <c r="BM123" s="93">
        <v>46821</v>
      </c>
      <c r="BN123" s="14">
        <v>1</v>
      </c>
      <c r="BO123" s="14">
        <v>10000000000</v>
      </c>
      <c r="BP123" s="56">
        <v>100</v>
      </c>
      <c r="BQ123" s="56">
        <v>0</v>
      </c>
      <c r="BR123" s="14">
        <v>10006164384</v>
      </c>
      <c r="BS123">
        <v>7.4976919999999998</v>
      </c>
      <c r="BT123" t="s">
        <v>1184</v>
      </c>
      <c r="BU123" s="25">
        <f>_xlfn.XLOOKUP(Dealps_MSB[[#This Row],[DEAL_ID]],Ref!V:V,Ref!X:X,0,0)</f>
        <v>0</v>
      </c>
      <c r="BV123"/>
    </row>
    <row r="124" spans="1:74" x14ac:dyDescent="0.3">
      <c r="A124" s="93">
        <v>46262</v>
      </c>
      <c r="B124">
        <v>2922</v>
      </c>
      <c r="C124" s="56" t="s">
        <v>1050</v>
      </c>
      <c r="D124" t="s">
        <v>347</v>
      </c>
      <c r="E124" t="s">
        <v>347</v>
      </c>
      <c r="F124" t="s">
        <v>364</v>
      </c>
      <c r="G124" t="s">
        <v>310</v>
      </c>
      <c r="H124" t="s">
        <v>300</v>
      </c>
      <c r="I124" s="93">
        <v>45973</v>
      </c>
      <c r="J124" s="93">
        <v>45973</v>
      </c>
      <c r="K124" s="93">
        <v>45973</v>
      </c>
      <c r="L124" s="93">
        <v>46332</v>
      </c>
      <c r="M124" s="14">
        <v>1</v>
      </c>
      <c r="N124" s="14">
        <v>1000000000000</v>
      </c>
      <c r="O124" s="56">
        <v>100</v>
      </c>
      <c r="P124" s="56">
        <v>0</v>
      </c>
      <c r="Q124" s="14">
        <v>1000000000000</v>
      </c>
      <c r="R124">
        <v>5</v>
      </c>
      <c r="S124" t="s">
        <v>1184</v>
      </c>
      <c r="T124" s="57">
        <f>IF(Dealps[[#This Row],[MATURITY_DATE]]-Dealps[[#This Row],[POSTED_DT]]&lt;0,0,IF(Dealps[[#This Row],[VALUE_DATE]]-Dealps[[#This Row],[POSTED_DT]]&gt;0,Dealps[[#This Row],[MATURITY_DATE]]-Dealps[[#This Row],[VALUE_DATE]],Dealps[[#This Row],[MATURITY_DATE]]-Dealps[[#This Row],[POSTED_DT]]))</f>
        <v>70</v>
      </c>
      <c r="U124" s="25">
        <f>IF(Dealps[[#This Row],[TENOR]]=0,0,IF(Dealps[[#This Row],[DEAL_TYPE]]="B",Dealps[[#This Row],[FACE_AMOUNT]],-Dealps[[#This Row],[FACE_AMOUNT]]))</f>
        <v>1000000000000</v>
      </c>
      <c r="V124" s="25">
        <f>_xlfn.XLOOKUP(Dealps[[#This Row],[PAPER_CODE]],FNRP!D:D,FNRP!H:H,0,0)/100*Dealps[[#This Row],[AMOUNT]]</f>
        <v>0</v>
      </c>
      <c r="W124" s="57" t="str">
        <f>IF(Dealps[[#This Row],[TRANSACTION_STATUS]]&lt;&gt;"V","Ngoai BS",IF(Dealps[[#This Row],[POSTED_DT]]&gt;=Dealps[[#This Row],[VALUE_DATE]],"On BS","Off BS"))</f>
        <v>On BS</v>
      </c>
      <c r="X124" s="25">
        <f>SUMIFS(U:U,C:C,Dealps[[#This Row],[PAPER_CODE]])</f>
        <v>1000000000000</v>
      </c>
      <c r="Y124" s="25">
        <f>_xlfn.XLOOKUP(Dealps[[#This Row],[DEAL_ID]],Ref!N:N,Ref!Q:Q,0,0)</f>
        <v>0</v>
      </c>
      <c r="Z124" s="25" t="str">
        <f>IF(Dealps[[#This Row],[CPTY_CODE]]=Dealps[[#This Row],[CPTY_CODE_ISSUER]],"Yes","No")</f>
        <v>Yes</v>
      </c>
      <c r="AA124" s="25"/>
      <c r="AC124" s="14"/>
      <c r="AG124" s="96"/>
      <c r="AH124" s="14"/>
      <c r="AI124"/>
      <c r="AN124" s="14"/>
      <c r="AV124" s="36"/>
      <c r="AW124" s="14"/>
      <c r="AX124" s="234"/>
      <c r="AY124" s="96"/>
      <c r="AZ124" s="14"/>
      <c r="BA124"/>
      <c r="BB124" s="93">
        <v>46262</v>
      </c>
      <c r="BC124">
        <v>3810</v>
      </c>
      <c r="BD124" s="56" t="s">
        <v>1236</v>
      </c>
      <c r="BE124" t="s">
        <v>1011</v>
      </c>
      <c r="BF124" t="s">
        <v>1015</v>
      </c>
      <c r="BG124" t="s">
        <v>364</v>
      </c>
      <c r="BH124" t="s">
        <v>1013</v>
      </c>
      <c r="BI124" t="s">
        <v>311</v>
      </c>
      <c r="BJ124" s="93">
        <v>46097</v>
      </c>
      <c r="BK124" s="93">
        <v>46097</v>
      </c>
      <c r="BL124" s="93">
        <v>46097</v>
      </c>
      <c r="BM124" s="93">
        <v>46821</v>
      </c>
      <c r="BN124" s="14">
        <v>1</v>
      </c>
      <c r="BO124" s="14">
        <v>10000000000</v>
      </c>
      <c r="BP124" s="56">
        <v>100</v>
      </c>
      <c r="BQ124" s="56">
        <v>0</v>
      </c>
      <c r="BR124" s="14">
        <v>10014383562</v>
      </c>
      <c r="BS124">
        <v>7.4946469999999996</v>
      </c>
      <c r="BT124" t="s">
        <v>1184</v>
      </c>
      <c r="BU124" s="25">
        <f>_xlfn.XLOOKUP(Dealps_MSB[[#This Row],[DEAL_ID]],Ref!V:V,Ref!X:X,0,0)</f>
        <v>0</v>
      </c>
      <c r="BV124"/>
    </row>
    <row r="125" spans="1:74" x14ac:dyDescent="0.3">
      <c r="A125" s="93">
        <v>46262</v>
      </c>
      <c r="B125">
        <v>2926</v>
      </c>
      <c r="C125" s="56" t="s">
        <v>961</v>
      </c>
      <c r="D125" t="s">
        <v>473</v>
      </c>
      <c r="E125" t="s">
        <v>347</v>
      </c>
      <c r="F125" t="s">
        <v>364</v>
      </c>
      <c r="G125" t="s">
        <v>310</v>
      </c>
      <c r="H125" t="s">
        <v>300</v>
      </c>
      <c r="I125" s="93">
        <v>45973</v>
      </c>
      <c r="J125" s="93">
        <v>45973</v>
      </c>
      <c r="K125" s="93">
        <v>45974</v>
      </c>
      <c r="L125" s="93">
        <v>46289</v>
      </c>
      <c r="M125" s="14">
        <v>1</v>
      </c>
      <c r="N125" s="14">
        <v>400000000000</v>
      </c>
      <c r="O125" s="56">
        <v>99.982586529000002</v>
      </c>
      <c r="P125" s="56">
        <v>0</v>
      </c>
      <c r="Q125" s="14">
        <v>402823496800</v>
      </c>
      <c r="R125">
        <v>5.9779799999999996</v>
      </c>
      <c r="S125" t="s">
        <v>1184</v>
      </c>
      <c r="T125" s="57">
        <f>IF(Dealps[[#This Row],[MATURITY_DATE]]-Dealps[[#This Row],[POSTED_DT]]&lt;0,0,IF(Dealps[[#This Row],[VALUE_DATE]]-Dealps[[#This Row],[POSTED_DT]]&gt;0,Dealps[[#This Row],[MATURITY_DATE]]-Dealps[[#This Row],[VALUE_DATE]],Dealps[[#This Row],[MATURITY_DATE]]-Dealps[[#This Row],[POSTED_DT]]))</f>
        <v>27</v>
      </c>
      <c r="U125" s="25">
        <f>IF(Dealps[[#This Row],[TENOR]]=0,0,IF(Dealps[[#This Row],[DEAL_TYPE]]="B",Dealps[[#This Row],[FACE_AMOUNT]],-Dealps[[#This Row],[FACE_AMOUNT]]))</f>
        <v>400000000000</v>
      </c>
      <c r="V125" s="25">
        <f>_xlfn.XLOOKUP(Dealps[[#This Row],[PAPER_CODE]],FNRP!D:D,FNRP!H:H,0,0)/100*Dealps[[#This Row],[AMOUNT]]</f>
        <v>0</v>
      </c>
      <c r="W125" s="57" t="str">
        <f>IF(Dealps[[#This Row],[TRANSACTION_STATUS]]&lt;&gt;"V","Ngoai BS",IF(Dealps[[#This Row],[POSTED_DT]]&gt;=Dealps[[#This Row],[VALUE_DATE]],"On BS","Off BS"))</f>
        <v>On BS</v>
      </c>
      <c r="X125" s="25">
        <f>SUMIFS(U:U,C:C,Dealps[[#This Row],[PAPER_CODE]])</f>
        <v>1000000000000</v>
      </c>
      <c r="Y125" s="25">
        <f>_xlfn.XLOOKUP(Dealps[[#This Row],[DEAL_ID]],Ref!N:N,Ref!Q:Q,0,0)</f>
        <v>0</v>
      </c>
      <c r="Z125" s="25" t="str">
        <f>IF(Dealps[[#This Row],[CPTY_CODE]]=Dealps[[#This Row],[CPTY_CODE_ISSUER]],"Yes","No")</f>
        <v>No</v>
      </c>
      <c r="AA125" s="25"/>
      <c r="AC125" s="14"/>
      <c r="AG125" s="96"/>
      <c r="AH125" s="14"/>
      <c r="AI125"/>
      <c r="AN125" s="14"/>
      <c r="AV125" s="36"/>
      <c r="AW125" s="14"/>
      <c r="AX125" s="234"/>
      <c r="AY125" s="96"/>
      <c r="AZ125" s="14"/>
      <c r="BA125"/>
      <c r="BB125" s="93">
        <v>46262</v>
      </c>
      <c r="BC125">
        <v>3811</v>
      </c>
      <c r="BD125" s="56" t="s">
        <v>1236</v>
      </c>
      <c r="BE125" t="s">
        <v>1011</v>
      </c>
      <c r="BF125" t="s">
        <v>1015</v>
      </c>
      <c r="BG125" t="s">
        <v>364</v>
      </c>
      <c r="BH125" t="s">
        <v>1013</v>
      </c>
      <c r="BI125" t="s">
        <v>311</v>
      </c>
      <c r="BJ125" s="93">
        <v>46097</v>
      </c>
      <c r="BK125" s="93">
        <v>46097</v>
      </c>
      <c r="BL125" s="93">
        <v>46097</v>
      </c>
      <c r="BM125" s="93">
        <v>46821</v>
      </c>
      <c r="BN125" s="14">
        <v>1</v>
      </c>
      <c r="BO125" s="14">
        <v>10000000000</v>
      </c>
      <c r="BP125" s="56">
        <v>100</v>
      </c>
      <c r="BQ125" s="56">
        <v>0</v>
      </c>
      <c r="BR125" s="14">
        <v>10014383562</v>
      </c>
      <c r="BS125">
        <v>7.4946469999999996</v>
      </c>
      <c r="BT125" t="s">
        <v>1184</v>
      </c>
      <c r="BU125" s="25">
        <f>_xlfn.XLOOKUP(Dealps_MSB[[#This Row],[DEAL_ID]],Ref!V:V,Ref!X:X,0,0)</f>
        <v>0</v>
      </c>
      <c r="BV125"/>
    </row>
    <row r="126" spans="1:74" x14ac:dyDescent="0.3">
      <c r="A126" s="93">
        <v>46262</v>
      </c>
      <c r="B126">
        <v>2950</v>
      </c>
      <c r="C126" s="56" t="s">
        <v>1004</v>
      </c>
      <c r="D126" t="s">
        <v>324</v>
      </c>
      <c r="E126" t="s">
        <v>318</v>
      </c>
      <c r="F126" t="s">
        <v>364</v>
      </c>
      <c r="G126" t="s">
        <v>310</v>
      </c>
      <c r="H126" t="s">
        <v>311</v>
      </c>
      <c r="I126" s="93">
        <v>45975</v>
      </c>
      <c r="J126" s="93">
        <v>45975</v>
      </c>
      <c r="K126" s="93">
        <v>45979</v>
      </c>
      <c r="L126" s="93">
        <v>46323</v>
      </c>
      <c r="M126" s="14">
        <v>1</v>
      </c>
      <c r="N126" s="14">
        <v>300000000000</v>
      </c>
      <c r="O126" s="56">
        <v>99.980652090999996</v>
      </c>
      <c r="P126" s="56">
        <v>0</v>
      </c>
      <c r="Q126" s="14">
        <v>300977572710</v>
      </c>
      <c r="R126">
        <v>6.3</v>
      </c>
      <c r="S126" t="s">
        <v>1184</v>
      </c>
      <c r="T126" s="57">
        <f>IF(Dealps[[#This Row],[MATURITY_DATE]]-Dealps[[#This Row],[POSTED_DT]]&lt;0,0,IF(Dealps[[#This Row],[VALUE_DATE]]-Dealps[[#This Row],[POSTED_DT]]&gt;0,Dealps[[#This Row],[MATURITY_DATE]]-Dealps[[#This Row],[VALUE_DATE]],Dealps[[#This Row],[MATURITY_DATE]]-Dealps[[#This Row],[POSTED_DT]]))</f>
        <v>61</v>
      </c>
      <c r="U126" s="25">
        <f>IF(Dealps[[#This Row],[TENOR]]=0,0,IF(Dealps[[#This Row],[DEAL_TYPE]]="B",Dealps[[#This Row],[FACE_AMOUNT]],-Dealps[[#This Row],[FACE_AMOUNT]]))</f>
        <v>-300000000000</v>
      </c>
      <c r="V126" s="25">
        <f>_xlfn.XLOOKUP(Dealps[[#This Row],[PAPER_CODE]],FNRP!D:D,FNRP!H:H,0,0)/100*Dealps[[#This Row],[AMOUNT]]</f>
        <v>0</v>
      </c>
      <c r="W126" s="57" t="str">
        <f>IF(Dealps[[#This Row],[TRANSACTION_STATUS]]&lt;&gt;"V","Ngoai BS",IF(Dealps[[#This Row],[POSTED_DT]]&gt;=Dealps[[#This Row],[VALUE_DATE]],"On BS","Off BS"))</f>
        <v>On BS</v>
      </c>
      <c r="X126" s="25">
        <f>SUMIFS(U:U,C:C,Dealps[[#This Row],[PAPER_CODE]])</f>
        <v>500000000000</v>
      </c>
      <c r="Y126" s="25">
        <f>_xlfn.XLOOKUP(Dealps[[#This Row],[DEAL_ID]],Ref!N:N,Ref!Q:Q,0,0)</f>
        <v>0</v>
      </c>
      <c r="Z126" s="25" t="str">
        <f>IF(Dealps[[#This Row],[CPTY_CODE]]=Dealps[[#This Row],[CPTY_CODE_ISSUER]],"Yes","No")</f>
        <v>No</v>
      </c>
      <c r="AA126" s="25"/>
      <c r="AC126" s="14"/>
      <c r="AG126" s="96"/>
      <c r="AH126" s="14"/>
      <c r="AI126"/>
      <c r="AN126" s="14"/>
      <c r="AV126" s="36"/>
      <c r="AW126" s="14"/>
      <c r="AX126" s="234"/>
      <c r="AY126" s="96"/>
      <c r="AZ126" s="14"/>
      <c r="BA126"/>
      <c r="BB126" s="93">
        <v>46262</v>
      </c>
      <c r="BC126">
        <v>3812</v>
      </c>
      <c r="BD126" s="56" t="s">
        <v>1236</v>
      </c>
      <c r="BE126" t="s">
        <v>1011</v>
      </c>
      <c r="BF126" t="s">
        <v>1015</v>
      </c>
      <c r="BG126" t="s">
        <v>364</v>
      </c>
      <c r="BH126" t="s">
        <v>1013</v>
      </c>
      <c r="BI126" t="s">
        <v>311</v>
      </c>
      <c r="BJ126" s="93">
        <v>46097</v>
      </c>
      <c r="BK126" s="93">
        <v>46097</v>
      </c>
      <c r="BL126" s="93">
        <v>46097</v>
      </c>
      <c r="BM126" s="93">
        <v>46821</v>
      </c>
      <c r="BN126" s="14">
        <v>1</v>
      </c>
      <c r="BO126" s="14">
        <v>10000000000</v>
      </c>
      <c r="BP126" s="56">
        <v>100</v>
      </c>
      <c r="BQ126" s="56">
        <v>0</v>
      </c>
      <c r="BR126" s="14">
        <v>10014383562</v>
      </c>
      <c r="BS126">
        <v>7.4946469999999996</v>
      </c>
      <c r="BT126" t="s">
        <v>1184</v>
      </c>
      <c r="BU126" s="25">
        <f>_xlfn.XLOOKUP(Dealps_MSB[[#This Row],[DEAL_ID]],Ref!V:V,Ref!X:X,0,0)</f>
        <v>0</v>
      </c>
      <c r="BV126"/>
    </row>
    <row r="127" spans="1:74" x14ac:dyDescent="0.3">
      <c r="A127" s="93">
        <v>46262</v>
      </c>
      <c r="B127">
        <v>2958</v>
      </c>
      <c r="C127" s="56" t="s">
        <v>963</v>
      </c>
      <c r="D127" t="s">
        <v>308</v>
      </c>
      <c r="E127" t="s">
        <v>954</v>
      </c>
      <c r="F127" t="s">
        <v>364</v>
      </c>
      <c r="G127" t="s">
        <v>310</v>
      </c>
      <c r="H127" t="s">
        <v>311</v>
      </c>
      <c r="I127" s="93">
        <v>45978</v>
      </c>
      <c r="J127" s="93">
        <v>45978</v>
      </c>
      <c r="K127" s="93">
        <v>45979</v>
      </c>
      <c r="L127" s="93">
        <v>46295</v>
      </c>
      <c r="M127" s="14">
        <v>1</v>
      </c>
      <c r="N127" s="14">
        <v>100000000000</v>
      </c>
      <c r="O127" s="56">
        <v>100.501239219</v>
      </c>
      <c r="P127" s="56">
        <v>0</v>
      </c>
      <c r="Q127" s="14">
        <v>101303431000</v>
      </c>
      <c r="R127">
        <v>5.45</v>
      </c>
      <c r="S127" t="s">
        <v>1184</v>
      </c>
      <c r="T127" s="57">
        <f>IF(Dealps[[#This Row],[MATURITY_DATE]]-Dealps[[#This Row],[POSTED_DT]]&lt;0,0,IF(Dealps[[#This Row],[VALUE_DATE]]-Dealps[[#This Row],[POSTED_DT]]&gt;0,Dealps[[#This Row],[MATURITY_DATE]]-Dealps[[#This Row],[VALUE_DATE]],Dealps[[#This Row],[MATURITY_DATE]]-Dealps[[#This Row],[POSTED_DT]]))</f>
        <v>33</v>
      </c>
      <c r="U127" s="25">
        <f>IF(Dealps[[#This Row],[TENOR]]=0,0,IF(Dealps[[#This Row],[DEAL_TYPE]]="B",Dealps[[#This Row],[FACE_AMOUNT]],-Dealps[[#This Row],[FACE_AMOUNT]]))</f>
        <v>-100000000000</v>
      </c>
      <c r="V127" s="25">
        <f>_xlfn.XLOOKUP(Dealps[[#This Row],[PAPER_CODE]],FNRP!D:D,FNRP!H:H,0,0)/100*Dealps[[#This Row],[AMOUNT]]</f>
        <v>0</v>
      </c>
      <c r="W127" s="57" t="str">
        <f>IF(Dealps[[#This Row],[TRANSACTION_STATUS]]&lt;&gt;"V","Ngoai BS",IF(Dealps[[#This Row],[POSTED_DT]]&gt;=Dealps[[#This Row],[VALUE_DATE]],"On BS","Off BS"))</f>
        <v>On BS</v>
      </c>
      <c r="X127" s="25">
        <f>SUMIFS(U:U,C:C,Dealps[[#This Row],[PAPER_CODE]])</f>
        <v>400000000000</v>
      </c>
      <c r="Y127" s="25">
        <f>_xlfn.XLOOKUP(Dealps[[#This Row],[DEAL_ID]],Ref!N:N,Ref!Q:Q,0,0)</f>
        <v>0</v>
      </c>
      <c r="Z127" s="25" t="str">
        <f>IF(Dealps[[#This Row],[CPTY_CODE]]=Dealps[[#This Row],[CPTY_CODE_ISSUER]],"Yes","No")</f>
        <v>No</v>
      </c>
      <c r="AA127" s="25"/>
      <c r="AC127" s="14"/>
      <c r="AG127" s="96"/>
      <c r="AH127" s="14"/>
      <c r="AI127"/>
      <c r="AN127" s="14"/>
      <c r="AV127" s="36"/>
      <c r="AW127" s="14"/>
      <c r="AX127" s="234"/>
      <c r="AY127" s="96"/>
      <c r="AZ127" s="14"/>
      <c r="BA127"/>
      <c r="BB127" s="93">
        <v>46262</v>
      </c>
      <c r="BC127">
        <v>3813</v>
      </c>
      <c r="BD127" s="56" t="s">
        <v>1236</v>
      </c>
      <c r="BE127" t="s">
        <v>1011</v>
      </c>
      <c r="BF127" t="s">
        <v>1015</v>
      </c>
      <c r="BG127" t="s">
        <v>364</v>
      </c>
      <c r="BH127" t="s">
        <v>1013</v>
      </c>
      <c r="BI127" t="s">
        <v>311</v>
      </c>
      <c r="BJ127" s="93">
        <v>46097</v>
      </c>
      <c r="BK127" s="93">
        <v>46097</v>
      </c>
      <c r="BL127" s="93">
        <v>46097</v>
      </c>
      <c r="BM127" s="93">
        <v>46821</v>
      </c>
      <c r="BN127" s="14">
        <v>1</v>
      </c>
      <c r="BO127" s="14">
        <v>10000000000</v>
      </c>
      <c r="BP127" s="56">
        <v>100</v>
      </c>
      <c r="BQ127" s="56">
        <v>0</v>
      </c>
      <c r="BR127" s="14">
        <v>10014383562</v>
      </c>
      <c r="BS127">
        <v>7.4946469999999996</v>
      </c>
      <c r="BT127" t="s">
        <v>1184</v>
      </c>
      <c r="BU127" s="25">
        <f>_xlfn.XLOOKUP(Dealps_MSB[[#This Row],[DEAL_ID]],Ref!V:V,Ref!X:X,0,0)</f>
        <v>0</v>
      </c>
      <c r="BV127"/>
    </row>
    <row r="128" spans="1:74" x14ac:dyDescent="0.3">
      <c r="A128" s="93">
        <v>46262</v>
      </c>
      <c r="B128">
        <v>2964</v>
      </c>
      <c r="C128" s="56" t="s">
        <v>1061</v>
      </c>
      <c r="D128" t="s">
        <v>312</v>
      </c>
      <c r="E128" t="s">
        <v>312</v>
      </c>
      <c r="F128" t="s">
        <v>364</v>
      </c>
      <c r="G128" t="s">
        <v>310</v>
      </c>
      <c r="H128" t="s">
        <v>300</v>
      </c>
      <c r="I128" s="93">
        <v>45979</v>
      </c>
      <c r="J128" s="93">
        <v>45979</v>
      </c>
      <c r="K128" s="93">
        <v>45979</v>
      </c>
      <c r="L128" s="93">
        <v>46343</v>
      </c>
      <c r="M128" s="14">
        <v>1</v>
      </c>
      <c r="N128" s="14">
        <v>1000000000000</v>
      </c>
      <c r="O128" s="56">
        <v>100</v>
      </c>
      <c r="P128" s="56">
        <v>0</v>
      </c>
      <c r="Q128" s="14">
        <v>1000000000000</v>
      </c>
      <c r="R128">
        <v>6.3</v>
      </c>
      <c r="S128" t="s">
        <v>1184</v>
      </c>
      <c r="T128" s="57">
        <f>IF(Dealps[[#This Row],[MATURITY_DATE]]-Dealps[[#This Row],[POSTED_DT]]&lt;0,0,IF(Dealps[[#This Row],[VALUE_DATE]]-Dealps[[#This Row],[POSTED_DT]]&gt;0,Dealps[[#This Row],[MATURITY_DATE]]-Dealps[[#This Row],[VALUE_DATE]],Dealps[[#This Row],[MATURITY_DATE]]-Dealps[[#This Row],[POSTED_DT]]))</f>
        <v>81</v>
      </c>
      <c r="U128" s="25">
        <f>IF(Dealps[[#This Row],[TENOR]]=0,0,IF(Dealps[[#This Row],[DEAL_TYPE]]="B",Dealps[[#This Row],[FACE_AMOUNT]],-Dealps[[#This Row],[FACE_AMOUNT]]))</f>
        <v>1000000000000</v>
      </c>
      <c r="V128" s="25">
        <f>_xlfn.XLOOKUP(Dealps[[#This Row],[PAPER_CODE]],FNRP!D:D,FNRP!H:H,0,0)/100*Dealps[[#This Row],[AMOUNT]]</f>
        <v>0</v>
      </c>
      <c r="W128" s="57" t="str">
        <f>IF(Dealps[[#This Row],[TRANSACTION_STATUS]]&lt;&gt;"V","Ngoai BS",IF(Dealps[[#This Row],[POSTED_DT]]&gt;=Dealps[[#This Row],[VALUE_DATE]],"On BS","Off BS"))</f>
        <v>On BS</v>
      </c>
      <c r="X128" s="25">
        <f>SUMIFS(U:U,C:C,Dealps[[#This Row],[PAPER_CODE]])</f>
        <v>1500000000000</v>
      </c>
      <c r="Y128" s="25">
        <f>_xlfn.XLOOKUP(Dealps[[#This Row],[DEAL_ID]],Ref!N:N,Ref!Q:Q,0,0)</f>
        <v>0</v>
      </c>
      <c r="Z128" s="25" t="str">
        <f>IF(Dealps[[#This Row],[CPTY_CODE]]=Dealps[[#This Row],[CPTY_CODE_ISSUER]],"Yes","No")</f>
        <v>Yes</v>
      </c>
      <c r="AA128" s="25"/>
      <c r="AC128" s="14"/>
      <c r="AG128" s="96"/>
      <c r="AH128" s="14"/>
      <c r="AI128"/>
      <c r="AN128" s="14"/>
      <c r="AV128" s="36"/>
      <c r="AW128" s="14"/>
      <c r="AX128" s="234"/>
      <c r="AY128" s="96"/>
      <c r="AZ128" s="14"/>
      <c r="BA128"/>
      <c r="BB128" s="93">
        <v>46262</v>
      </c>
      <c r="BC128">
        <v>3814</v>
      </c>
      <c r="BD128" s="56" t="s">
        <v>1236</v>
      </c>
      <c r="BE128" t="s">
        <v>1011</v>
      </c>
      <c r="BF128" t="s">
        <v>1015</v>
      </c>
      <c r="BG128" t="s">
        <v>364</v>
      </c>
      <c r="BH128" t="s">
        <v>1013</v>
      </c>
      <c r="BI128" t="s">
        <v>311</v>
      </c>
      <c r="BJ128" s="93">
        <v>46097</v>
      </c>
      <c r="BK128" s="93">
        <v>46097</v>
      </c>
      <c r="BL128" s="93">
        <v>46097</v>
      </c>
      <c r="BM128" s="93">
        <v>46821</v>
      </c>
      <c r="BN128" s="14">
        <v>1</v>
      </c>
      <c r="BO128" s="14">
        <v>10000000000</v>
      </c>
      <c r="BP128" s="56">
        <v>100</v>
      </c>
      <c r="BQ128" s="56">
        <v>0</v>
      </c>
      <c r="BR128" s="14">
        <v>10014383562</v>
      </c>
      <c r="BS128">
        <v>7.4946469999999996</v>
      </c>
      <c r="BT128" t="s">
        <v>1184</v>
      </c>
      <c r="BU128" s="25">
        <f>_xlfn.XLOOKUP(Dealps_MSB[[#This Row],[DEAL_ID]],Ref!V:V,Ref!X:X,0,0)</f>
        <v>0</v>
      </c>
      <c r="BV128"/>
    </row>
    <row r="129" spans="1:74" x14ac:dyDescent="0.3">
      <c r="A129" s="93">
        <v>46262</v>
      </c>
      <c r="B129">
        <v>2965</v>
      </c>
      <c r="C129" s="56" t="s">
        <v>1061</v>
      </c>
      <c r="D129" t="s">
        <v>312</v>
      </c>
      <c r="E129" t="s">
        <v>312</v>
      </c>
      <c r="F129" t="s">
        <v>364</v>
      </c>
      <c r="G129" t="s">
        <v>310</v>
      </c>
      <c r="H129" t="s">
        <v>300</v>
      </c>
      <c r="I129" s="93">
        <v>45979</v>
      </c>
      <c r="J129" s="93">
        <v>45979</v>
      </c>
      <c r="K129" s="93">
        <v>45979</v>
      </c>
      <c r="L129" s="93">
        <v>46343</v>
      </c>
      <c r="M129" s="14">
        <v>1</v>
      </c>
      <c r="N129" s="14">
        <v>500000000000</v>
      </c>
      <c r="O129" s="56">
        <v>100</v>
      </c>
      <c r="P129" s="56">
        <v>0</v>
      </c>
      <c r="Q129" s="14">
        <v>500000000000</v>
      </c>
      <c r="R129">
        <v>6.3</v>
      </c>
      <c r="S129" t="s">
        <v>1184</v>
      </c>
      <c r="T129" s="57">
        <f>IF(Dealps[[#This Row],[MATURITY_DATE]]-Dealps[[#This Row],[POSTED_DT]]&lt;0,0,IF(Dealps[[#This Row],[VALUE_DATE]]-Dealps[[#This Row],[POSTED_DT]]&gt;0,Dealps[[#This Row],[MATURITY_DATE]]-Dealps[[#This Row],[VALUE_DATE]],Dealps[[#This Row],[MATURITY_DATE]]-Dealps[[#This Row],[POSTED_DT]]))</f>
        <v>81</v>
      </c>
      <c r="U129" s="25">
        <f>IF(Dealps[[#This Row],[TENOR]]=0,0,IF(Dealps[[#This Row],[DEAL_TYPE]]="B",Dealps[[#This Row],[FACE_AMOUNT]],-Dealps[[#This Row],[FACE_AMOUNT]]))</f>
        <v>500000000000</v>
      </c>
      <c r="V129" s="25">
        <f>_xlfn.XLOOKUP(Dealps[[#This Row],[PAPER_CODE]],FNRP!D:D,FNRP!H:H,0,0)/100*Dealps[[#This Row],[AMOUNT]]</f>
        <v>0</v>
      </c>
      <c r="W129" s="57" t="str">
        <f>IF(Dealps[[#This Row],[TRANSACTION_STATUS]]&lt;&gt;"V","Ngoai BS",IF(Dealps[[#This Row],[POSTED_DT]]&gt;=Dealps[[#This Row],[VALUE_DATE]],"On BS","Off BS"))</f>
        <v>On BS</v>
      </c>
      <c r="X129" s="25">
        <f>SUMIFS(U:U,C:C,Dealps[[#This Row],[PAPER_CODE]])</f>
        <v>1500000000000</v>
      </c>
      <c r="Y129" s="25">
        <f>_xlfn.XLOOKUP(Dealps[[#This Row],[DEAL_ID]],Ref!N:N,Ref!Q:Q,0,0)</f>
        <v>0</v>
      </c>
      <c r="Z129" s="25" t="str">
        <f>IF(Dealps[[#This Row],[CPTY_CODE]]=Dealps[[#This Row],[CPTY_CODE_ISSUER]],"Yes","No")</f>
        <v>Yes</v>
      </c>
      <c r="AA129" s="25"/>
      <c r="AC129" s="14"/>
      <c r="AG129" s="96"/>
      <c r="AH129" s="14"/>
      <c r="AI129"/>
      <c r="AN129" s="14"/>
      <c r="AV129" s="36"/>
      <c r="AW129" s="14"/>
      <c r="AX129" s="234"/>
      <c r="AY129" s="96"/>
      <c r="AZ129" s="14"/>
      <c r="BA129"/>
      <c r="BB129" s="93">
        <v>46262</v>
      </c>
      <c r="BC129">
        <v>3815</v>
      </c>
      <c r="BD129" s="56" t="s">
        <v>1236</v>
      </c>
      <c r="BE129" t="s">
        <v>1011</v>
      </c>
      <c r="BF129" t="s">
        <v>1015</v>
      </c>
      <c r="BG129" t="s">
        <v>364</v>
      </c>
      <c r="BH129" t="s">
        <v>1013</v>
      </c>
      <c r="BI129" t="s">
        <v>311</v>
      </c>
      <c r="BJ129" s="93">
        <v>46097</v>
      </c>
      <c r="BK129" s="93">
        <v>46097</v>
      </c>
      <c r="BL129" s="93">
        <v>46097</v>
      </c>
      <c r="BM129" s="93">
        <v>46821</v>
      </c>
      <c r="BN129" s="14">
        <v>1</v>
      </c>
      <c r="BO129" s="14">
        <v>10000000000</v>
      </c>
      <c r="BP129" s="56">
        <v>100</v>
      </c>
      <c r="BQ129" s="56">
        <v>0</v>
      </c>
      <c r="BR129" s="14">
        <v>10014383562</v>
      </c>
      <c r="BS129">
        <v>7.4946469999999996</v>
      </c>
      <c r="BT129" t="s">
        <v>1184</v>
      </c>
      <c r="BU129" s="25">
        <f>_xlfn.XLOOKUP(Dealps_MSB[[#This Row],[DEAL_ID]],Ref!V:V,Ref!X:X,0,0)</f>
        <v>0</v>
      </c>
      <c r="BV129"/>
    </row>
    <row r="130" spans="1:74" x14ac:dyDescent="0.3">
      <c r="A130" s="93">
        <v>46262</v>
      </c>
      <c r="B130">
        <v>2968</v>
      </c>
      <c r="C130" s="56" t="s">
        <v>963</v>
      </c>
      <c r="D130" t="s">
        <v>308</v>
      </c>
      <c r="E130" t="s">
        <v>344</v>
      </c>
      <c r="F130" t="s">
        <v>364</v>
      </c>
      <c r="G130" t="s">
        <v>310</v>
      </c>
      <c r="H130" t="s">
        <v>311</v>
      </c>
      <c r="I130" s="93">
        <v>45979</v>
      </c>
      <c r="J130" s="93">
        <v>45979</v>
      </c>
      <c r="K130" s="93">
        <v>45980</v>
      </c>
      <c r="L130" s="93">
        <v>46295</v>
      </c>
      <c r="M130" s="14">
        <v>1</v>
      </c>
      <c r="N130" s="14">
        <v>150000000000</v>
      </c>
      <c r="O130" s="56">
        <v>100.23230689</v>
      </c>
      <c r="P130" s="56">
        <v>0</v>
      </c>
      <c r="Q130" s="14">
        <v>151576816500</v>
      </c>
      <c r="R130">
        <v>5.770162</v>
      </c>
      <c r="S130" t="s">
        <v>1184</v>
      </c>
      <c r="T130" s="57">
        <f>IF(Dealps[[#This Row],[MATURITY_DATE]]-Dealps[[#This Row],[POSTED_DT]]&lt;0,0,IF(Dealps[[#This Row],[VALUE_DATE]]-Dealps[[#This Row],[POSTED_DT]]&gt;0,Dealps[[#This Row],[MATURITY_DATE]]-Dealps[[#This Row],[VALUE_DATE]],Dealps[[#This Row],[MATURITY_DATE]]-Dealps[[#This Row],[POSTED_DT]]))</f>
        <v>33</v>
      </c>
      <c r="U130" s="25">
        <f>IF(Dealps[[#This Row],[TENOR]]=0,0,IF(Dealps[[#This Row],[DEAL_TYPE]]="B",Dealps[[#This Row],[FACE_AMOUNT]],-Dealps[[#This Row],[FACE_AMOUNT]]))</f>
        <v>-150000000000</v>
      </c>
      <c r="V130" s="25">
        <f>_xlfn.XLOOKUP(Dealps[[#This Row],[PAPER_CODE]],FNRP!D:D,FNRP!H:H,0,0)/100*Dealps[[#This Row],[AMOUNT]]</f>
        <v>0</v>
      </c>
      <c r="W130" s="57" t="str">
        <f>IF(Dealps[[#This Row],[TRANSACTION_STATUS]]&lt;&gt;"V","Ngoai BS",IF(Dealps[[#This Row],[POSTED_DT]]&gt;=Dealps[[#This Row],[VALUE_DATE]],"On BS","Off BS"))</f>
        <v>On BS</v>
      </c>
      <c r="X130" s="25">
        <f>SUMIFS(U:U,C:C,Dealps[[#This Row],[PAPER_CODE]])</f>
        <v>400000000000</v>
      </c>
      <c r="Y130" s="25">
        <f>_xlfn.XLOOKUP(Dealps[[#This Row],[DEAL_ID]],Ref!N:N,Ref!Q:Q,0,0)</f>
        <v>0</v>
      </c>
      <c r="Z130" s="25" t="str">
        <f>IF(Dealps[[#This Row],[CPTY_CODE]]=Dealps[[#This Row],[CPTY_CODE_ISSUER]],"Yes","No")</f>
        <v>No</v>
      </c>
      <c r="AA130" s="25"/>
      <c r="AC130" s="14"/>
      <c r="AG130" s="96"/>
      <c r="AH130" s="14"/>
      <c r="AI130"/>
      <c r="AN130" s="14"/>
      <c r="AV130" s="36"/>
      <c r="AW130" s="14"/>
      <c r="AX130" s="234"/>
      <c r="AY130" s="96"/>
      <c r="AZ130" s="14"/>
      <c r="BA130"/>
      <c r="BB130" s="93">
        <v>46262</v>
      </c>
      <c r="BC130">
        <v>3816</v>
      </c>
      <c r="BD130" s="56" t="s">
        <v>1236</v>
      </c>
      <c r="BE130" t="s">
        <v>1011</v>
      </c>
      <c r="BF130" t="s">
        <v>1015</v>
      </c>
      <c r="BG130" t="s">
        <v>364</v>
      </c>
      <c r="BH130" t="s">
        <v>1013</v>
      </c>
      <c r="BI130" t="s">
        <v>311</v>
      </c>
      <c r="BJ130" s="93">
        <v>46097</v>
      </c>
      <c r="BK130" s="93">
        <v>46097</v>
      </c>
      <c r="BL130" s="93">
        <v>46097</v>
      </c>
      <c r="BM130" s="93">
        <v>46821</v>
      </c>
      <c r="BN130" s="14">
        <v>1</v>
      </c>
      <c r="BO130" s="14">
        <v>10000000000</v>
      </c>
      <c r="BP130" s="56">
        <v>100</v>
      </c>
      <c r="BQ130" s="56">
        <v>0</v>
      </c>
      <c r="BR130" s="14">
        <v>10014383562</v>
      </c>
      <c r="BS130">
        <v>7.4946469999999996</v>
      </c>
      <c r="BT130" t="s">
        <v>1184</v>
      </c>
      <c r="BU130" s="25">
        <f>_xlfn.XLOOKUP(Dealps_MSB[[#This Row],[DEAL_ID]],Ref!V:V,Ref!X:X,0,0)</f>
        <v>0</v>
      </c>
      <c r="BV130"/>
    </row>
    <row r="131" spans="1:74" x14ac:dyDescent="0.3">
      <c r="A131" s="93">
        <v>46262</v>
      </c>
      <c r="B131">
        <v>2992</v>
      </c>
      <c r="C131" s="56" t="s">
        <v>1061</v>
      </c>
      <c r="D131" t="s">
        <v>312</v>
      </c>
      <c r="E131" t="s">
        <v>1063</v>
      </c>
      <c r="F131" t="s">
        <v>364</v>
      </c>
      <c r="G131" t="s">
        <v>310</v>
      </c>
      <c r="H131" t="s">
        <v>311</v>
      </c>
      <c r="I131" s="93">
        <v>45981</v>
      </c>
      <c r="J131" s="93">
        <v>45981</v>
      </c>
      <c r="K131" s="93">
        <v>45982</v>
      </c>
      <c r="L131" s="93">
        <v>46343</v>
      </c>
      <c r="M131" s="14">
        <v>1</v>
      </c>
      <c r="N131" s="14">
        <v>150000000000</v>
      </c>
      <c r="O131" s="56">
        <v>100.277190378</v>
      </c>
      <c r="P131" s="56">
        <v>0</v>
      </c>
      <c r="Q131" s="14">
        <v>150493456800</v>
      </c>
      <c r="R131">
        <v>6</v>
      </c>
      <c r="S131" t="s">
        <v>1184</v>
      </c>
      <c r="T131" s="57">
        <f>IF(Dealps[[#This Row],[MATURITY_DATE]]-Dealps[[#This Row],[POSTED_DT]]&lt;0,0,IF(Dealps[[#This Row],[VALUE_DATE]]-Dealps[[#This Row],[POSTED_DT]]&gt;0,Dealps[[#This Row],[MATURITY_DATE]]-Dealps[[#This Row],[VALUE_DATE]],Dealps[[#This Row],[MATURITY_DATE]]-Dealps[[#This Row],[POSTED_DT]]))</f>
        <v>81</v>
      </c>
      <c r="U131" s="25">
        <f>IF(Dealps[[#This Row],[TENOR]]=0,0,IF(Dealps[[#This Row],[DEAL_TYPE]]="B",Dealps[[#This Row],[FACE_AMOUNT]],-Dealps[[#This Row],[FACE_AMOUNT]]))</f>
        <v>-150000000000</v>
      </c>
      <c r="V131" s="25">
        <f>_xlfn.XLOOKUP(Dealps[[#This Row],[PAPER_CODE]],FNRP!D:D,FNRP!H:H,0,0)/100*Dealps[[#This Row],[AMOUNT]]</f>
        <v>0</v>
      </c>
      <c r="W131" s="57" t="str">
        <f>IF(Dealps[[#This Row],[TRANSACTION_STATUS]]&lt;&gt;"V","Ngoai BS",IF(Dealps[[#This Row],[POSTED_DT]]&gt;=Dealps[[#This Row],[VALUE_DATE]],"On BS","Off BS"))</f>
        <v>On BS</v>
      </c>
      <c r="X131" s="25">
        <f>SUMIFS(U:U,C:C,Dealps[[#This Row],[PAPER_CODE]])</f>
        <v>1500000000000</v>
      </c>
      <c r="Y131" s="25">
        <f>_xlfn.XLOOKUP(Dealps[[#This Row],[DEAL_ID]],Ref!N:N,Ref!Q:Q,0,0)</f>
        <v>0</v>
      </c>
      <c r="Z131" s="25" t="str">
        <f>IF(Dealps[[#This Row],[CPTY_CODE]]=Dealps[[#This Row],[CPTY_CODE_ISSUER]],"Yes","No")</f>
        <v>No</v>
      </c>
      <c r="AA131" s="25"/>
      <c r="AC131" s="14"/>
      <c r="AG131" s="96"/>
      <c r="AH131" s="14"/>
      <c r="AI131"/>
      <c r="AN131" s="14"/>
      <c r="AV131" s="36"/>
      <c r="AW131" s="14"/>
      <c r="AX131" s="234"/>
      <c r="AY131" s="96"/>
      <c r="AZ131" s="14"/>
      <c r="BA131"/>
      <c r="BB131" s="93">
        <v>46262</v>
      </c>
      <c r="BC131">
        <v>3817</v>
      </c>
      <c r="BD131" s="56" t="s">
        <v>1236</v>
      </c>
      <c r="BE131" t="s">
        <v>1011</v>
      </c>
      <c r="BF131" t="s">
        <v>1015</v>
      </c>
      <c r="BG131" t="s">
        <v>364</v>
      </c>
      <c r="BH131" t="s">
        <v>1013</v>
      </c>
      <c r="BI131" t="s">
        <v>311</v>
      </c>
      <c r="BJ131" s="93">
        <v>46097</v>
      </c>
      <c r="BK131" s="93">
        <v>46097</v>
      </c>
      <c r="BL131" s="93">
        <v>46097</v>
      </c>
      <c r="BM131" s="93">
        <v>46821</v>
      </c>
      <c r="BN131" s="14">
        <v>1</v>
      </c>
      <c r="BO131" s="14">
        <v>10000000000</v>
      </c>
      <c r="BP131" s="56">
        <v>100</v>
      </c>
      <c r="BQ131" s="56">
        <v>0</v>
      </c>
      <c r="BR131" s="14">
        <v>10014383562</v>
      </c>
      <c r="BS131">
        <v>7.4946469999999996</v>
      </c>
      <c r="BT131" t="s">
        <v>1184</v>
      </c>
      <c r="BU131" s="25">
        <f>_xlfn.XLOOKUP(Dealps_MSB[[#This Row],[DEAL_ID]],Ref!V:V,Ref!X:X,0,0)</f>
        <v>0</v>
      </c>
      <c r="BV131"/>
    </row>
    <row r="132" spans="1:74" x14ac:dyDescent="0.3">
      <c r="A132" s="93">
        <v>46262</v>
      </c>
      <c r="B132">
        <v>2993</v>
      </c>
      <c r="C132" s="56" t="s">
        <v>1061</v>
      </c>
      <c r="D132" t="s">
        <v>312</v>
      </c>
      <c r="E132" t="s">
        <v>1063</v>
      </c>
      <c r="F132" t="s">
        <v>364</v>
      </c>
      <c r="G132" t="s">
        <v>310</v>
      </c>
      <c r="H132" t="s">
        <v>311</v>
      </c>
      <c r="I132" s="93">
        <v>45981</v>
      </c>
      <c r="J132" s="93">
        <v>45981</v>
      </c>
      <c r="K132" s="93">
        <v>45982</v>
      </c>
      <c r="L132" s="93">
        <v>46343</v>
      </c>
      <c r="M132" s="14">
        <v>1</v>
      </c>
      <c r="N132" s="14">
        <v>100000000000</v>
      </c>
      <c r="O132" s="56">
        <v>100.277190378</v>
      </c>
      <c r="P132" s="56">
        <v>0</v>
      </c>
      <c r="Q132" s="14">
        <v>100328971200</v>
      </c>
      <c r="R132">
        <v>6</v>
      </c>
      <c r="S132" t="s">
        <v>1184</v>
      </c>
      <c r="T132" s="57">
        <f>IF(Dealps[[#This Row],[MATURITY_DATE]]-Dealps[[#This Row],[POSTED_DT]]&lt;0,0,IF(Dealps[[#This Row],[VALUE_DATE]]-Dealps[[#This Row],[POSTED_DT]]&gt;0,Dealps[[#This Row],[MATURITY_DATE]]-Dealps[[#This Row],[VALUE_DATE]],Dealps[[#This Row],[MATURITY_DATE]]-Dealps[[#This Row],[POSTED_DT]]))</f>
        <v>81</v>
      </c>
      <c r="U132" s="25">
        <f>IF(Dealps[[#This Row],[TENOR]]=0,0,IF(Dealps[[#This Row],[DEAL_TYPE]]="B",Dealps[[#This Row],[FACE_AMOUNT]],-Dealps[[#This Row],[FACE_AMOUNT]]))</f>
        <v>-100000000000</v>
      </c>
      <c r="V132" s="25">
        <f>_xlfn.XLOOKUP(Dealps[[#This Row],[PAPER_CODE]],FNRP!D:D,FNRP!H:H,0,0)/100*Dealps[[#This Row],[AMOUNT]]</f>
        <v>0</v>
      </c>
      <c r="W132" s="57" t="str">
        <f>IF(Dealps[[#This Row],[TRANSACTION_STATUS]]&lt;&gt;"V","Ngoai BS",IF(Dealps[[#This Row],[POSTED_DT]]&gt;=Dealps[[#This Row],[VALUE_DATE]],"On BS","Off BS"))</f>
        <v>On BS</v>
      </c>
      <c r="X132" s="25">
        <f>SUMIFS(U:U,C:C,Dealps[[#This Row],[PAPER_CODE]])</f>
        <v>1500000000000</v>
      </c>
      <c r="Y132" s="25">
        <f>_xlfn.XLOOKUP(Dealps[[#This Row],[DEAL_ID]],Ref!N:N,Ref!Q:Q,0,0)</f>
        <v>0</v>
      </c>
      <c r="Z132" s="25" t="str">
        <f>IF(Dealps[[#This Row],[CPTY_CODE]]=Dealps[[#This Row],[CPTY_CODE_ISSUER]],"Yes","No")</f>
        <v>No</v>
      </c>
      <c r="AA132" s="25"/>
      <c r="AC132" s="14"/>
      <c r="AG132" s="96"/>
      <c r="AH132" s="14"/>
      <c r="AI132"/>
      <c r="AN132" s="14"/>
      <c r="AV132" s="36"/>
      <c r="AW132" s="14"/>
      <c r="AX132" s="234"/>
      <c r="AY132" s="96"/>
      <c r="AZ132" s="14"/>
      <c r="BA132"/>
      <c r="BB132" s="93">
        <v>46262</v>
      </c>
      <c r="BC132">
        <v>4316</v>
      </c>
      <c r="BD132" s="56" t="s">
        <v>1014</v>
      </c>
      <c r="BE132" t="s">
        <v>1011</v>
      </c>
      <c r="BF132" t="s">
        <v>1015</v>
      </c>
      <c r="BG132" t="s">
        <v>364</v>
      </c>
      <c r="BH132" t="s">
        <v>1013</v>
      </c>
      <c r="BI132" t="s">
        <v>300</v>
      </c>
      <c r="BJ132" s="93">
        <v>46164</v>
      </c>
      <c r="BK132" s="93">
        <v>46164</v>
      </c>
      <c r="BL132" s="93">
        <v>46164</v>
      </c>
      <c r="BM132" s="93">
        <v>46443</v>
      </c>
      <c r="BN132" s="14">
        <v>1</v>
      </c>
      <c r="BO132" s="14">
        <v>10000000000</v>
      </c>
      <c r="BP132" s="56">
        <v>94.439726027000006</v>
      </c>
      <c r="BQ132" s="56">
        <v>0</v>
      </c>
      <c r="BR132" s="14">
        <v>10000000000</v>
      </c>
      <c r="BS132">
        <v>11.774194</v>
      </c>
      <c r="BT132" t="s">
        <v>1184</v>
      </c>
      <c r="BU132" s="25">
        <f>_xlfn.XLOOKUP(Dealps_MSB[[#This Row],[DEAL_ID]],Ref!V:V,Ref!X:X,0,0)</f>
        <v>0</v>
      </c>
      <c r="BV132"/>
    </row>
    <row r="133" spans="1:74" x14ac:dyDescent="0.3">
      <c r="A133" s="93">
        <v>46262</v>
      </c>
      <c r="B133">
        <v>2994</v>
      </c>
      <c r="C133" s="56" t="s">
        <v>1061</v>
      </c>
      <c r="D133" t="s">
        <v>312</v>
      </c>
      <c r="E133" t="s">
        <v>1063</v>
      </c>
      <c r="F133" t="s">
        <v>364</v>
      </c>
      <c r="G133" t="s">
        <v>310</v>
      </c>
      <c r="H133" t="s">
        <v>311</v>
      </c>
      <c r="I133" s="93">
        <v>45981</v>
      </c>
      <c r="J133" s="93">
        <v>45981</v>
      </c>
      <c r="K133" s="93">
        <v>45985</v>
      </c>
      <c r="L133" s="93">
        <v>46343</v>
      </c>
      <c r="M133" s="14">
        <v>1</v>
      </c>
      <c r="N133" s="14">
        <v>100000000000</v>
      </c>
      <c r="O133" s="56">
        <v>100.272136956</v>
      </c>
      <c r="P133" s="56">
        <v>0</v>
      </c>
      <c r="Q133" s="14">
        <v>100375698600</v>
      </c>
      <c r="R133">
        <v>6</v>
      </c>
      <c r="S133" t="s">
        <v>1184</v>
      </c>
      <c r="T133" s="57">
        <f>IF(Dealps[[#This Row],[MATURITY_DATE]]-Dealps[[#This Row],[POSTED_DT]]&lt;0,0,IF(Dealps[[#This Row],[VALUE_DATE]]-Dealps[[#This Row],[POSTED_DT]]&gt;0,Dealps[[#This Row],[MATURITY_DATE]]-Dealps[[#This Row],[VALUE_DATE]],Dealps[[#This Row],[MATURITY_DATE]]-Dealps[[#This Row],[POSTED_DT]]))</f>
        <v>81</v>
      </c>
      <c r="U133" s="25">
        <f>IF(Dealps[[#This Row],[TENOR]]=0,0,IF(Dealps[[#This Row],[DEAL_TYPE]]="B",Dealps[[#This Row],[FACE_AMOUNT]],-Dealps[[#This Row],[FACE_AMOUNT]]))</f>
        <v>-100000000000</v>
      </c>
      <c r="V133" s="25">
        <f>_xlfn.XLOOKUP(Dealps[[#This Row],[PAPER_CODE]],FNRP!D:D,FNRP!H:H,0,0)/100*Dealps[[#This Row],[AMOUNT]]</f>
        <v>0</v>
      </c>
      <c r="W133" s="57" t="str">
        <f>IF(Dealps[[#This Row],[TRANSACTION_STATUS]]&lt;&gt;"V","Ngoai BS",IF(Dealps[[#This Row],[POSTED_DT]]&gt;=Dealps[[#This Row],[VALUE_DATE]],"On BS","Off BS"))</f>
        <v>On BS</v>
      </c>
      <c r="X133" s="25">
        <f>SUMIFS(U:U,C:C,Dealps[[#This Row],[PAPER_CODE]])</f>
        <v>1500000000000</v>
      </c>
      <c r="Y133" s="25">
        <f>_xlfn.XLOOKUP(Dealps[[#This Row],[DEAL_ID]],Ref!N:N,Ref!Q:Q,0,0)</f>
        <v>0</v>
      </c>
      <c r="Z133" s="25" t="str">
        <f>IF(Dealps[[#This Row],[CPTY_CODE]]=Dealps[[#This Row],[CPTY_CODE_ISSUER]],"Yes","No")</f>
        <v>No</v>
      </c>
      <c r="AA133" s="25"/>
      <c r="AC133" s="14"/>
      <c r="AG133" s="96"/>
      <c r="AH133" s="14"/>
      <c r="AI133"/>
      <c r="AN133" s="14"/>
      <c r="AV133" s="36"/>
      <c r="AW133" s="14"/>
      <c r="AX133" s="234"/>
      <c r="AY133" s="96"/>
      <c r="AZ133" s="14"/>
      <c r="BA133"/>
      <c r="BB133" s="93">
        <v>46262</v>
      </c>
      <c r="BC133">
        <v>4317</v>
      </c>
      <c r="BD133" s="56" t="s">
        <v>1014</v>
      </c>
      <c r="BE133" t="s">
        <v>1011</v>
      </c>
      <c r="BF133" t="s">
        <v>1015</v>
      </c>
      <c r="BG133" t="s">
        <v>364</v>
      </c>
      <c r="BH133" t="s">
        <v>1013</v>
      </c>
      <c r="BI133" t="s">
        <v>300</v>
      </c>
      <c r="BJ133" s="93">
        <v>46164</v>
      </c>
      <c r="BK133" s="93">
        <v>46164</v>
      </c>
      <c r="BL133" s="93">
        <v>46164</v>
      </c>
      <c r="BM133" s="93">
        <v>46443</v>
      </c>
      <c r="BN133" s="14">
        <v>1</v>
      </c>
      <c r="BO133" s="14">
        <v>10000000000</v>
      </c>
      <c r="BP133" s="56">
        <v>94.439726027000006</v>
      </c>
      <c r="BQ133" s="56">
        <v>0</v>
      </c>
      <c r="BR133" s="14">
        <v>10000000000</v>
      </c>
      <c r="BS133">
        <v>11.774194</v>
      </c>
      <c r="BT133" t="s">
        <v>1184</v>
      </c>
      <c r="BU133" s="25">
        <f>_xlfn.XLOOKUP(Dealps_MSB[[#This Row],[DEAL_ID]],Ref!V:V,Ref!X:X,0,0)</f>
        <v>0</v>
      </c>
      <c r="BV133"/>
    </row>
    <row r="134" spans="1:74" x14ac:dyDescent="0.3">
      <c r="A134" s="93">
        <v>46262</v>
      </c>
      <c r="B134">
        <v>2995</v>
      </c>
      <c r="C134" s="56" t="s">
        <v>1061</v>
      </c>
      <c r="D134" t="s">
        <v>312</v>
      </c>
      <c r="E134" t="s">
        <v>1063</v>
      </c>
      <c r="F134" t="s">
        <v>364</v>
      </c>
      <c r="G134" t="s">
        <v>310</v>
      </c>
      <c r="H134" t="s">
        <v>311</v>
      </c>
      <c r="I134" s="93">
        <v>45981</v>
      </c>
      <c r="J134" s="93">
        <v>45981</v>
      </c>
      <c r="K134" s="93">
        <v>45985</v>
      </c>
      <c r="L134" s="93">
        <v>46343</v>
      </c>
      <c r="M134" s="14">
        <v>1</v>
      </c>
      <c r="N134" s="14">
        <v>150000000000</v>
      </c>
      <c r="O134" s="56">
        <v>100.272136956</v>
      </c>
      <c r="P134" s="56">
        <v>0</v>
      </c>
      <c r="Q134" s="14">
        <v>150563547900</v>
      </c>
      <c r="R134">
        <v>6</v>
      </c>
      <c r="S134" t="s">
        <v>1184</v>
      </c>
      <c r="T134" s="57">
        <f>IF(Dealps[[#This Row],[MATURITY_DATE]]-Dealps[[#This Row],[POSTED_DT]]&lt;0,0,IF(Dealps[[#This Row],[VALUE_DATE]]-Dealps[[#This Row],[POSTED_DT]]&gt;0,Dealps[[#This Row],[MATURITY_DATE]]-Dealps[[#This Row],[VALUE_DATE]],Dealps[[#This Row],[MATURITY_DATE]]-Dealps[[#This Row],[POSTED_DT]]))</f>
        <v>81</v>
      </c>
      <c r="U134" s="25">
        <f>IF(Dealps[[#This Row],[TENOR]]=0,0,IF(Dealps[[#This Row],[DEAL_TYPE]]="B",Dealps[[#This Row],[FACE_AMOUNT]],-Dealps[[#This Row],[FACE_AMOUNT]]))</f>
        <v>-150000000000</v>
      </c>
      <c r="V134" s="25">
        <f>_xlfn.XLOOKUP(Dealps[[#This Row],[PAPER_CODE]],FNRP!D:D,FNRP!H:H,0,0)/100*Dealps[[#This Row],[AMOUNT]]</f>
        <v>0</v>
      </c>
      <c r="W134" s="57" t="str">
        <f>IF(Dealps[[#This Row],[TRANSACTION_STATUS]]&lt;&gt;"V","Ngoai BS",IF(Dealps[[#This Row],[POSTED_DT]]&gt;=Dealps[[#This Row],[VALUE_DATE]],"On BS","Off BS"))</f>
        <v>On BS</v>
      </c>
      <c r="X134" s="25">
        <f>SUMIFS(U:U,C:C,Dealps[[#This Row],[PAPER_CODE]])</f>
        <v>1500000000000</v>
      </c>
      <c r="Y134" s="25">
        <f>_xlfn.XLOOKUP(Dealps[[#This Row],[DEAL_ID]],Ref!N:N,Ref!Q:Q,0,0)</f>
        <v>0</v>
      </c>
      <c r="Z134" s="25" t="str">
        <f>IF(Dealps[[#This Row],[CPTY_CODE]]=Dealps[[#This Row],[CPTY_CODE_ISSUER]],"Yes","No")</f>
        <v>No</v>
      </c>
      <c r="AA134" s="25"/>
      <c r="AC134" s="14"/>
      <c r="AG134" s="96"/>
      <c r="AH134" s="14"/>
      <c r="AI134"/>
      <c r="AN134" s="14"/>
      <c r="AV134" s="36"/>
      <c r="AW134" s="14"/>
      <c r="AX134" s="234"/>
      <c r="AY134" s="96"/>
      <c r="AZ134" s="14"/>
      <c r="BA134"/>
      <c r="BB134" s="93">
        <v>46262</v>
      </c>
      <c r="BC134">
        <v>4318</v>
      </c>
      <c r="BD134" s="56" t="s">
        <v>1014</v>
      </c>
      <c r="BE134" t="s">
        <v>1011</v>
      </c>
      <c r="BF134" t="s">
        <v>1015</v>
      </c>
      <c r="BG134" t="s">
        <v>364</v>
      </c>
      <c r="BH134" t="s">
        <v>1013</v>
      </c>
      <c r="BI134" t="s">
        <v>300</v>
      </c>
      <c r="BJ134" s="93">
        <v>46164</v>
      </c>
      <c r="BK134" s="93">
        <v>46164</v>
      </c>
      <c r="BL134" s="93">
        <v>46164</v>
      </c>
      <c r="BM134" s="93">
        <v>46443</v>
      </c>
      <c r="BN134" s="14">
        <v>1</v>
      </c>
      <c r="BO134" s="14">
        <v>10000000000</v>
      </c>
      <c r="BP134" s="56">
        <v>94.439726027000006</v>
      </c>
      <c r="BQ134" s="56">
        <v>0</v>
      </c>
      <c r="BR134" s="14">
        <v>10000000000</v>
      </c>
      <c r="BS134">
        <v>11.774194</v>
      </c>
      <c r="BT134" t="s">
        <v>1184</v>
      </c>
      <c r="BU134" s="25">
        <f>_xlfn.XLOOKUP(Dealps_MSB[[#This Row],[DEAL_ID]],Ref!V:V,Ref!X:X,0,0)</f>
        <v>0</v>
      </c>
      <c r="BV134"/>
    </row>
    <row r="135" spans="1:74" x14ac:dyDescent="0.3">
      <c r="A135" s="93">
        <v>46262</v>
      </c>
      <c r="B135">
        <v>3003</v>
      </c>
      <c r="C135" s="56" t="s">
        <v>1004</v>
      </c>
      <c r="D135" t="s">
        <v>324</v>
      </c>
      <c r="E135" t="s">
        <v>318</v>
      </c>
      <c r="F135" t="s">
        <v>364</v>
      </c>
      <c r="G135" t="s">
        <v>310</v>
      </c>
      <c r="H135" t="s">
        <v>300</v>
      </c>
      <c r="I135" s="93">
        <v>45982</v>
      </c>
      <c r="J135" s="93">
        <v>45982</v>
      </c>
      <c r="K135" s="93">
        <v>46000</v>
      </c>
      <c r="L135" s="93">
        <v>46323</v>
      </c>
      <c r="M135" s="14">
        <v>1</v>
      </c>
      <c r="N135" s="14">
        <v>300000000000</v>
      </c>
      <c r="O135" s="56">
        <v>99.958744526999993</v>
      </c>
      <c r="P135" s="56">
        <v>0</v>
      </c>
      <c r="Q135" s="14">
        <v>301999247280</v>
      </c>
      <c r="R135">
        <v>6.3046049999999996</v>
      </c>
      <c r="S135" t="s">
        <v>1184</v>
      </c>
      <c r="T135" s="57">
        <f>IF(Dealps[[#This Row],[MATURITY_DATE]]-Dealps[[#This Row],[POSTED_DT]]&lt;0,0,IF(Dealps[[#This Row],[VALUE_DATE]]-Dealps[[#This Row],[POSTED_DT]]&gt;0,Dealps[[#This Row],[MATURITY_DATE]]-Dealps[[#This Row],[VALUE_DATE]],Dealps[[#This Row],[MATURITY_DATE]]-Dealps[[#This Row],[POSTED_DT]]))</f>
        <v>61</v>
      </c>
      <c r="U135" s="25">
        <f>IF(Dealps[[#This Row],[TENOR]]=0,0,IF(Dealps[[#This Row],[DEAL_TYPE]]="B",Dealps[[#This Row],[FACE_AMOUNT]],-Dealps[[#This Row],[FACE_AMOUNT]]))</f>
        <v>300000000000</v>
      </c>
      <c r="V135" s="25">
        <f>_xlfn.XLOOKUP(Dealps[[#This Row],[PAPER_CODE]],FNRP!D:D,FNRP!H:H,0,0)/100*Dealps[[#This Row],[AMOUNT]]</f>
        <v>0</v>
      </c>
      <c r="W135" s="57" t="str">
        <f>IF(Dealps[[#This Row],[TRANSACTION_STATUS]]&lt;&gt;"V","Ngoai BS",IF(Dealps[[#This Row],[POSTED_DT]]&gt;=Dealps[[#This Row],[VALUE_DATE]],"On BS","Off BS"))</f>
        <v>On BS</v>
      </c>
      <c r="X135" s="25">
        <f>SUMIFS(U:U,C:C,Dealps[[#This Row],[PAPER_CODE]])</f>
        <v>500000000000</v>
      </c>
      <c r="Y135" s="25">
        <f>_xlfn.XLOOKUP(Dealps[[#This Row],[DEAL_ID]],Ref!N:N,Ref!Q:Q,0,0)</f>
        <v>0</v>
      </c>
      <c r="Z135" s="25" t="str">
        <f>IF(Dealps[[#This Row],[CPTY_CODE]]=Dealps[[#This Row],[CPTY_CODE_ISSUER]],"Yes","No")</f>
        <v>No</v>
      </c>
      <c r="AA135" s="25"/>
      <c r="AC135" s="14"/>
      <c r="AG135" s="96"/>
      <c r="AH135" s="14"/>
      <c r="AI135"/>
      <c r="AN135" s="14"/>
      <c r="AV135" s="36"/>
      <c r="AW135" s="14"/>
      <c r="AX135" s="234"/>
      <c r="AY135" s="96"/>
      <c r="AZ135" s="14"/>
      <c r="BA135"/>
      <c r="BB135" s="93">
        <v>46262</v>
      </c>
      <c r="BC135">
        <v>4319</v>
      </c>
      <c r="BD135" s="56" t="s">
        <v>1014</v>
      </c>
      <c r="BE135" t="s">
        <v>1011</v>
      </c>
      <c r="BF135" t="s">
        <v>1015</v>
      </c>
      <c r="BG135" t="s">
        <v>364</v>
      </c>
      <c r="BH135" t="s">
        <v>1013</v>
      </c>
      <c r="BI135" t="s">
        <v>300</v>
      </c>
      <c r="BJ135" s="93">
        <v>46164</v>
      </c>
      <c r="BK135" s="93">
        <v>46164</v>
      </c>
      <c r="BL135" s="93">
        <v>46164</v>
      </c>
      <c r="BM135" s="93">
        <v>46443</v>
      </c>
      <c r="BN135" s="14">
        <v>1</v>
      </c>
      <c r="BO135" s="14">
        <v>10000000000</v>
      </c>
      <c r="BP135" s="56">
        <v>94.439726027000006</v>
      </c>
      <c r="BQ135" s="56">
        <v>0</v>
      </c>
      <c r="BR135" s="14">
        <v>10000000000</v>
      </c>
      <c r="BS135">
        <v>11.774194</v>
      </c>
      <c r="BT135" t="s">
        <v>1184</v>
      </c>
      <c r="BU135" s="25">
        <f>_xlfn.XLOOKUP(Dealps_MSB[[#This Row],[DEAL_ID]],Ref!V:V,Ref!X:X,0,0)</f>
        <v>0</v>
      </c>
      <c r="BV135"/>
    </row>
    <row r="136" spans="1:74" x14ac:dyDescent="0.3">
      <c r="A136" s="93">
        <v>46262</v>
      </c>
      <c r="B136">
        <v>3004</v>
      </c>
      <c r="C136" s="56" t="s">
        <v>1064</v>
      </c>
      <c r="D136" t="s">
        <v>324</v>
      </c>
      <c r="E136" t="s">
        <v>324</v>
      </c>
      <c r="F136" t="s">
        <v>364</v>
      </c>
      <c r="G136" t="s">
        <v>310</v>
      </c>
      <c r="H136" t="s">
        <v>300</v>
      </c>
      <c r="I136" s="93">
        <v>45982</v>
      </c>
      <c r="J136" s="93">
        <v>45986</v>
      </c>
      <c r="K136" s="93">
        <v>45986</v>
      </c>
      <c r="L136" s="93">
        <v>46350</v>
      </c>
      <c r="M136" s="14">
        <v>1</v>
      </c>
      <c r="N136" s="14">
        <v>1000000000000</v>
      </c>
      <c r="O136" s="56">
        <v>100</v>
      </c>
      <c r="P136" s="56">
        <v>0</v>
      </c>
      <c r="Q136" s="14">
        <v>1000000000000</v>
      </c>
      <c r="R136">
        <v>6.3</v>
      </c>
      <c r="S136" t="s">
        <v>1184</v>
      </c>
      <c r="T136" s="57">
        <f>IF(Dealps[[#This Row],[MATURITY_DATE]]-Dealps[[#This Row],[POSTED_DT]]&lt;0,0,IF(Dealps[[#This Row],[VALUE_DATE]]-Dealps[[#This Row],[POSTED_DT]]&gt;0,Dealps[[#This Row],[MATURITY_DATE]]-Dealps[[#This Row],[VALUE_DATE]],Dealps[[#This Row],[MATURITY_DATE]]-Dealps[[#This Row],[POSTED_DT]]))</f>
        <v>88</v>
      </c>
      <c r="U136" s="25">
        <f>IF(Dealps[[#This Row],[TENOR]]=0,0,IF(Dealps[[#This Row],[DEAL_TYPE]]="B",Dealps[[#This Row],[FACE_AMOUNT]],-Dealps[[#This Row],[FACE_AMOUNT]]))</f>
        <v>1000000000000</v>
      </c>
      <c r="V136" s="25">
        <f>_xlfn.XLOOKUP(Dealps[[#This Row],[PAPER_CODE]],FNRP!D:D,FNRP!H:H,0,0)/100*Dealps[[#This Row],[AMOUNT]]</f>
        <v>0</v>
      </c>
      <c r="W136" s="57" t="str">
        <f>IF(Dealps[[#This Row],[TRANSACTION_STATUS]]&lt;&gt;"V","Ngoai BS",IF(Dealps[[#This Row],[POSTED_DT]]&gt;=Dealps[[#This Row],[VALUE_DATE]],"On BS","Off BS"))</f>
        <v>On BS</v>
      </c>
      <c r="X136" s="25">
        <f>SUMIFS(U:U,C:C,Dealps[[#This Row],[PAPER_CODE]])</f>
        <v>2000000000000</v>
      </c>
      <c r="Y136" s="25">
        <f>_xlfn.XLOOKUP(Dealps[[#This Row],[DEAL_ID]],Ref!N:N,Ref!Q:Q,0,0)</f>
        <v>1000000000000</v>
      </c>
      <c r="Z136" s="25" t="str">
        <f>IF(Dealps[[#This Row],[CPTY_CODE]]=Dealps[[#This Row],[CPTY_CODE_ISSUER]],"Yes","No")</f>
        <v>Yes</v>
      </c>
      <c r="AA136" s="25"/>
      <c r="AC136" s="14"/>
      <c r="AG136" s="96"/>
      <c r="AH136" s="14"/>
      <c r="AI136"/>
      <c r="AN136" s="14"/>
      <c r="AV136" s="36"/>
      <c r="AW136" s="14"/>
      <c r="AX136" s="234"/>
      <c r="AY136" s="96"/>
      <c r="AZ136" s="14"/>
      <c r="BA136"/>
      <c r="BB136" s="93">
        <v>46262</v>
      </c>
      <c r="BC136">
        <v>4320</v>
      </c>
      <c r="BD136" s="56" t="s">
        <v>1014</v>
      </c>
      <c r="BE136" t="s">
        <v>1011</v>
      </c>
      <c r="BF136" t="s">
        <v>1015</v>
      </c>
      <c r="BG136" t="s">
        <v>364</v>
      </c>
      <c r="BH136" t="s">
        <v>1013</v>
      </c>
      <c r="BI136" t="s">
        <v>300</v>
      </c>
      <c r="BJ136" s="93">
        <v>46164</v>
      </c>
      <c r="BK136" s="93">
        <v>46164</v>
      </c>
      <c r="BL136" s="93">
        <v>46164</v>
      </c>
      <c r="BM136" s="93">
        <v>46443</v>
      </c>
      <c r="BN136" s="14">
        <v>1</v>
      </c>
      <c r="BO136" s="14">
        <v>10000000000</v>
      </c>
      <c r="BP136" s="56">
        <v>94.439726027000006</v>
      </c>
      <c r="BQ136" s="56">
        <v>0</v>
      </c>
      <c r="BR136" s="14">
        <v>10000000000</v>
      </c>
      <c r="BS136">
        <v>11.774194</v>
      </c>
      <c r="BT136" t="s">
        <v>1184</v>
      </c>
      <c r="BU136" s="25">
        <f>_xlfn.XLOOKUP(Dealps_MSB[[#This Row],[DEAL_ID]],Ref!V:V,Ref!X:X,0,0)</f>
        <v>0</v>
      </c>
      <c r="BV136"/>
    </row>
    <row r="137" spans="1:74" x14ac:dyDescent="0.3">
      <c r="A137" s="93">
        <v>46262</v>
      </c>
      <c r="B137">
        <v>3005</v>
      </c>
      <c r="C137" s="56" t="s">
        <v>1064</v>
      </c>
      <c r="D137" t="s">
        <v>324</v>
      </c>
      <c r="E137" t="s">
        <v>324</v>
      </c>
      <c r="F137" t="s">
        <v>364</v>
      </c>
      <c r="G137" t="s">
        <v>310</v>
      </c>
      <c r="H137" t="s">
        <v>300</v>
      </c>
      <c r="I137" s="93">
        <v>45982</v>
      </c>
      <c r="J137" s="93">
        <v>45986</v>
      </c>
      <c r="K137" s="93">
        <v>45986</v>
      </c>
      <c r="L137" s="93">
        <v>46350</v>
      </c>
      <c r="M137" s="14">
        <v>1</v>
      </c>
      <c r="N137" s="14">
        <v>1000000000000</v>
      </c>
      <c r="O137" s="56">
        <v>100</v>
      </c>
      <c r="P137" s="56">
        <v>0</v>
      </c>
      <c r="Q137" s="14">
        <v>1000000000000</v>
      </c>
      <c r="R137">
        <v>6.3</v>
      </c>
      <c r="S137" t="s">
        <v>1184</v>
      </c>
      <c r="T137" s="57">
        <f>IF(Dealps[[#This Row],[MATURITY_DATE]]-Dealps[[#This Row],[POSTED_DT]]&lt;0,0,IF(Dealps[[#This Row],[VALUE_DATE]]-Dealps[[#This Row],[POSTED_DT]]&gt;0,Dealps[[#This Row],[MATURITY_DATE]]-Dealps[[#This Row],[VALUE_DATE]],Dealps[[#This Row],[MATURITY_DATE]]-Dealps[[#This Row],[POSTED_DT]]))</f>
        <v>88</v>
      </c>
      <c r="U137" s="25">
        <f>IF(Dealps[[#This Row],[TENOR]]=0,0,IF(Dealps[[#This Row],[DEAL_TYPE]]="B",Dealps[[#This Row],[FACE_AMOUNT]],-Dealps[[#This Row],[FACE_AMOUNT]]))</f>
        <v>1000000000000</v>
      </c>
      <c r="V137" s="25">
        <f>_xlfn.XLOOKUP(Dealps[[#This Row],[PAPER_CODE]],FNRP!D:D,FNRP!H:H,0,0)/100*Dealps[[#This Row],[AMOUNT]]</f>
        <v>0</v>
      </c>
      <c r="W137" s="57" t="str">
        <f>IF(Dealps[[#This Row],[TRANSACTION_STATUS]]&lt;&gt;"V","Ngoai BS",IF(Dealps[[#This Row],[POSTED_DT]]&gt;=Dealps[[#This Row],[VALUE_DATE]],"On BS","Off BS"))</f>
        <v>On BS</v>
      </c>
      <c r="X137" s="25">
        <f>SUMIFS(U:U,C:C,Dealps[[#This Row],[PAPER_CODE]])</f>
        <v>2000000000000</v>
      </c>
      <c r="Y137" s="25">
        <f>_xlfn.XLOOKUP(Dealps[[#This Row],[DEAL_ID]],Ref!N:N,Ref!Q:Q,0,0)</f>
        <v>1000000000000</v>
      </c>
      <c r="Z137" s="25" t="str">
        <f>IF(Dealps[[#This Row],[CPTY_CODE]]=Dealps[[#This Row],[CPTY_CODE_ISSUER]],"Yes","No")</f>
        <v>Yes</v>
      </c>
      <c r="AA137" s="25"/>
      <c r="AC137" s="14"/>
      <c r="AG137" s="96"/>
      <c r="AH137" s="14"/>
      <c r="AI137"/>
      <c r="AN137" s="14"/>
      <c r="AV137" s="36"/>
      <c r="AW137" s="14"/>
      <c r="AX137" s="234"/>
      <c r="AY137" s="96"/>
      <c r="AZ137" s="14"/>
      <c r="BA137"/>
      <c r="BB137" s="93">
        <v>46262</v>
      </c>
      <c r="BC137">
        <v>4328</v>
      </c>
      <c r="BD137" s="56" t="s">
        <v>1297</v>
      </c>
      <c r="BE137" t="s">
        <v>1011</v>
      </c>
      <c r="BF137" t="s">
        <v>1015</v>
      </c>
      <c r="BG137" t="s">
        <v>364</v>
      </c>
      <c r="BH137" t="s">
        <v>1013</v>
      </c>
      <c r="BI137" t="s">
        <v>311</v>
      </c>
      <c r="BJ137" s="93">
        <v>46167</v>
      </c>
      <c r="BK137" s="93">
        <v>46167</v>
      </c>
      <c r="BL137" s="93">
        <v>46167</v>
      </c>
      <c r="BM137" s="93">
        <v>46898</v>
      </c>
      <c r="BN137" s="14">
        <v>1</v>
      </c>
      <c r="BO137" s="14">
        <v>10000000000</v>
      </c>
      <c r="BP137" s="56">
        <v>100</v>
      </c>
      <c r="BQ137" s="56">
        <v>0</v>
      </c>
      <c r="BR137" s="14">
        <v>10000000000</v>
      </c>
      <c r="BS137">
        <v>8.5</v>
      </c>
      <c r="BT137" t="s">
        <v>1184</v>
      </c>
      <c r="BU137" s="25">
        <f>_xlfn.XLOOKUP(Dealps_MSB[[#This Row],[DEAL_ID]],Ref!V:V,Ref!X:X,0,0)</f>
        <v>0</v>
      </c>
      <c r="BV137"/>
    </row>
    <row r="138" spans="1:74" x14ac:dyDescent="0.3">
      <c r="A138" s="93">
        <v>46262</v>
      </c>
      <c r="B138">
        <v>3007</v>
      </c>
      <c r="C138" s="56" t="s">
        <v>963</v>
      </c>
      <c r="D138" t="s">
        <v>308</v>
      </c>
      <c r="E138" t="s">
        <v>954</v>
      </c>
      <c r="F138" t="s">
        <v>364</v>
      </c>
      <c r="G138" t="s">
        <v>310</v>
      </c>
      <c r="H138" t="s">
        <v>300</v>
      </c>
      <c r="I138" s="93">
        <v>45982</v>
      </c>
      <c r="J138" s="93">
        <v>45982</v>
      </c>
      <c r="K138" s="93">
        <v>45986</v>
      </c>
      <c r="L138" s="93">
        <v>46295</v>
      </c>
      <c r="M138" s="14">
        <v>1</v>
      </c>
      <c r="N138" s="14">
        <v>100000000000</v>
      </c>
      <c r="O138" s="56">
        <v>100.491107218</v>
      </c>
      <c r="P138" s="56">
        <v>0</v>
      </c>
      <c r="Q138" s="14">
        <v>101410285300</v>
      </c>
      <c r="R138">
        <v>5.4431260000000004</v>
      </c>
      <c r="S138" t="s">
        <v>1184</v>
      </c>
      <c r="T138" s="57">
        <f>IF(Dealps[[#This Row],[MATURITY_DATE]]-Dealps[[#This Row],[POSTED_DT]]&lt;0,0,IF(Dealps[[#This Row],[VALUE_DATE]]-Dealps[[#This Row],[POSTED_DT]]&gt;0,Dealps[[#This Row],[MATURITY_DATE]]-Dealps[[#This Row],[VALUE_DATE]],Dealps[[#This Row],[MATURITY_DATE]]-Dealps[[#This Row],[POSTED_DT]]))</f>
        <v>33</v>
      </c>
      <c r="U138" s="25">
        <f>IF(Dealps[[#This Row],[TENOR]]=0,0,IF(Dealps[[#This Row],[DEAL_TYPE]]="B",Dealps[[#This Row],[FACE_AMOUNT]],-Dealps[[#This Row],[FACE_AMOUNT]]))</f>
        <v>100000000000</v>
      </c>
      <c r="V138" s="25">
        <f>_xlfn.XLOOKUP(Dealps[[#This Row],[PAPER_CODE]],FNRP!D:D,FNRP!H:H,0,0)/100*Dealps[[#This Row],[AMOUNT]]</f>
        <v>0</v>
      </c>
      <c r="W138" s="57" t="str">
        <f>IF(Dealps[[#This Row],[TRANSACTION_STATUS]]&lt;&gt;"V","Ngoai BS",IF(Dealps[[#This Row],[POSTED_DT]]&gt;=Dealps[[#This Row],[VALUE_DATE]],"On BS","Off BS"))</f>
        <v>On BS</v>
      </c>
      <c r="X138" s="25">
        <f>SUMIFS(U:U,C:C,Dealps[[#This Row],[PAPER_CODE]])</f>
        <v>400000000000</v>
      </c>
      <c r="Y138" s="25">
        <f>_xlfn.XLOOKUP(Dealps[[#This Row],[DEAL_ID]],Ref!N:N,Ref!Q:Q,0,0)</f>
        <v>0</v>
      </c>
      <c r="Z138" s="25" t="str">
        <f>IF(Dealps[[#This Row],[CPTY_CODE]]=Dealps[[#This Row],[CPTY_CODE_ISSUER]],"Yes","No")</f>
        <v>No</v>
      </c>
      <c r="AA138" s="25"/>
      <c r="AC138" s="14"/>
      <c r="AG138" s="96"/>
      <c r="AH138" s="14"/>
      <c r="AI138"/>
      <c r="AN138" s="14"/>
      <c r="AV138" s="36"/>
      <c r="AW138" s="14"/>
      <c r="AX138" s="234"/>
      <c r="AY138" s="96"/>
      <c r="AZ138" s="14"/>
      <c r="BA138"/>
      <c r="BB138" s="93">
        <v>46262</v>
      </c>
      <c r="BC138">
        <v>4329</v>
      </c>
      <c r="BD138" s="56" t="s">
        <v>1297</v>
      </c>
      <c r="BE138" t="s">
        <v>1011</v>
      </c>
      <c r="BF138" t="s">
        <v>1015</v>
      </c>
      <c r="BG138" t="s">
        <v>364</v>
      </c>
      <c r="BH138" t="s">
        <v>1013</v>
      </c>
      <c r="BI138" t="s">
        <v>311</v>
      </c>
      <c r="BJ138" s="93">
        <v>46167</v>
      </c>
      <c r="BK138" s="93">
        <v>46167</v>
      </c>
      <c r="BL138" s="93">
        <v>46167</v>
      </c>
      <c r="BM138" s="93">
        <v>46898</v>
      </c>
      <c r="BN138" s="14">
        <v>1</v>
      </c>
      <c r="BO138" s="14">
        <v>10000000000</v>
      </c>
      <c r="BP138" s="56">
        <v>100</v>
      </c>
      <c r="BQ138" s="56">
        <v>0</v>
      </c>
      <c r="BR138" s="14">
        <v>10000000000</v>
      </c>
      <c r="BS138">
        <v>8.5</v>
      </c>
      <c r="BT138" t="s">
        <v>1184</v>
      </c>
      <c r="BU138" s="25">
        <f>_xlfn.XLOOKUP(Dealps_MSB[[#This Row],[DEAL_ID]],Ref!V:V,Ref!X:X,0,0)</f>
        <v>0</v>
      </c>
      <c r="BV138"/>
    </row>
    <row r="139" spans="1:74" x14ac:dyDescent="0.3">
      <c r="A139" s="93">
        <v>46262</v>
      </c>
      <c r="B139">
        <v>3015</v>
      </c>
      <c r="C139" s="56" t="s">
        <v>1061</v>
      </c>
      <c r="D139" t="s">
        <v>312</v>
      </c>
      <c r="E139" t="s">
        <v>957</v>
      </c>
      <c r="F139" t="s">
        <v>364</v>
      </c>
      <c r="G139" t="s">
        <v>310</v>
      </c>
      <c r="H139" t="s">
        <v>311</v>
      </c>
      <c r="I139" s="93">
        <v>45985</v>
      </c>
      <c r="J139" s="93">
        <v>45985</v>
      </c>
      <c r="K139" s="93">
        <v>45986</v>
      </c>
      <c r="L139" s="93">
        <v>46343</v>
      </c>
      <c r="M139" s="14">
        <v>1</v>
      </c>
      <c r="N139" s="14">
        <v>500000000000</v>
      </c>
      <c r="O139" s="56">
        <v>100.039126482</v>
      </c>
      <c r="P139" s="56">
        <v>0</v>
      </c>
      <c r="Q139" s="14">
        <v>500799742000.00006</v>
      </c>
      <c r="R139">
        <v>6.25</v>
      </c>
      <c r="S139" t="s">
        <v>1184</v>
      </c>
      <c r="T139" s="57">
        <f>IF(Dealps[[#This Row],[MATURITY_DATE]]-Dealps[[#This Row],[POSTED_DT]]&lt;0,0,IF(Dealps[[#This Row],[VALUE_DATE]]-Dealps[[#This Row],[POSTED_DT]]&gt;0,Dealps[[#This Row],[MATURITY_DATE]]-Dealps[[#This Row],[VALUE_DATE]],Dealps[[#This Row],[MATURITY_DATE]]-Dealps[[#This Row],[POSTED_DT]]))</f>
        <v>81</v>
      </c>
      <c r="U139" s="25">
        <f>IF(Dealps[[#This Row],[TENOR]]=0,0,IF(Dealps[[#This Row],[DEAL_TYPE]]="B",Dealps[[#This Row],[FACE_AMOUNT]],-Dealps[[#This Row],[FACE_AMOUNT]]))</f>
        <v>-500000000000</v>
      </c>
      <c r="V139" s="25">
        <f>_xlfn.XLOOKUP(Dealps[[#This Row],[PAPER_CODE]],FNRP!D:D,FNRP!H:H,0,0)/100*Dealps[[#This Row],[AMOUNT]]</f>
        <v>0</v>
      </c>
      <c r="W139" s="57" t="str">
        <f>IF(Dealps[[#This Row],[TRANSACTION_STATUS]]&lt;&gt;"V","Ngoai BS",IF(Dealps[[#This Row],[POSTED_DT]]&gt;=Dealps[[#This Row],[VALUE_DATE]],"On BS","Off BS"))</f>
        <v>On BS</v>
      </c>
      <c r="X139" s="25">
        <f>SUMIFS(U:U,C:C,Dealps[[#This Row],[PAPER_CODE]])</f>
        <v>1500000000000</v>
      </c>
      <c r="Y139" s="25">
        <f>_xlfn.XLOOKUP(Dealps[[#This Row],[DEAL_ID]],Ref!N:N,Ref!Q:Q,0,0)</f>
        <v>0</v>
      </c>
      <c r="Z139" s="25" t="str">
        <f>IF(Dealps[[#This Row],[CPTY_CODE]]=Dealps[[#This Row],[CPTY_CODE_ISSUER]],"Yes","No")</f>
        <v>No</v>
      </c>
      <c r="AA139" s="25"/>
      <c r="AC139" s="14"/>
      <c r="AG139" s="96"/>
      <c r="AH139" s="14"/>
      <c r="AI139"/>
      <c r="AN139" s="14"/>
      <c r="AV139" s="36"/>
      <c r="AW139" s="14"/>
      <c r="AX139" s="234"/>
      <c r="AY139" s="96"/>
      <c r="AZ139" s="14"/>
      <c r="BA139"/>
      <c r="BB139" s="93">
        <v>46262</v>
      </c>
      <c r="BC139">
        <v>4335</v>
      </c>
      <c r="BD139" s="56" t="s">
        <v>1297</v>
      </c>
      <c r="BE139" t="s">
        <v>1011</v>
      </c>
      <c r="BF139" t="s">
        <v>1015</v>
      </c>
      <c r="BG139" t="s">
        <v>364</v>
      </c>
      <c r="BH139" t="s">
        <v>1013</v>
      </c>
      <c r="BI139" t="s">
        <v>311</v>
      </c>
      <c r="BJ139" s="93">
        <v>46168</v>
      </c>
      <c r="BK139" s="93">
        <v>46168</v>
      </c>
      <c r="BL139" s="93">
        <v>46168</v>
      </c>
      <c r="BM139" s="93">
        <v>46898</v>
      </c>
      <c r="BN139" s="14">
        <v>1</v>
      </c>
      <c r="BO139" s="14">
        <v>10000000000</v>
      </c>
      <c r="BP139" s="56">
        <v>100</v>
      </c>
      <c r="BQ139" s="56">
        <v>0</v>
      </c>
      <c r="BR139" s="14">
        <v>10002328767</v>
      </c>
      <c r="BS139">
        <v>8.4992070000000002</v>
      </c>
      <c r="BT139" t="s">
        <v>1184</v>
      </c>
      <c r="BU139" s="25">
        <f>_xlfn.XLOOKUP(Dealps_MSB[[#This Row],[DEAL_ID]],Ref!V:V,Ref!X:X,0,0)</f>
        <v>0</v>
      </c>
      <c r="BV139"/>
    </row>
    <row r="140" spans="1:74" x14ac:dyDescent="0.3">
      <c r="A140" s="93">
        <v>46262</v>
      </c>
      <c r="B140">
        <v>3016</v>
      </c>
      <c r="C140" s="56" t="s">
        <v>1061</v>
      </c>
      <c r="D140" t="s">
        <v>312</v>
      </c>
      <c r="E140" t="s">
        <v>957</v>
      </c>
      <c r="F140" t="s">
        <v>364</v>
      </c>
      <c r="G140" t="s">
        <v>310</v>
      </c>
      <c r="H140" t="s">
        <v>311</v>
      </c>
      <c r="I140" s="93">
        <v>45985</v>
      </c>
      <c r="J140" s="93">
        <v>45985</v>
      </c>
      <c r="K140" s="93">
        <v>45986</v>
      </c>
      <c r="L140" s="93">
        <v>46343</v>
      </c>
      <c r="M140" s="14">
        <v>1</v>
      </c>
      <c r="N140" s="14">
        <v>500000000000</v>
      </c>
      <c r="O140" s="56">
        <v>100.039126482</v>
      </c>
      <c r="P140" s="56">
        <v>0</v>
      </c>
      <c r="Q140" s="14">
        <v>500799742000.00006</v>
      </c>
      <c r="R140">
        <v>6.25</v>
      </c>
      <c r="S140" t="s">
        <v>1184</v>
      </c>
      <c r="T140" s="57">
        <f>IF(Dealps[[#This Row],[MATURITY_DATE]]-Dealps[[#This Row],[POSTED_DT]]&lt;0,0,IF(Dealps[[#This Row],[VALUE_DATE]]-Dealps[[#This Row],[POSTED_DT]]&gt;0,Dealps[[#This Row],[MATURITY_DATE]]-Dealps[[#This Row],[VALUE_DATE]],Dealps[[#This Row],[MATURITY_DATE]]-Dealps[[#This Row],[POSTED_DT]]))</f>
        <v>81</v>
      </c>
      <c r="U140" s="25">
        <f>IF(Dealps[[#This Row],[TENOR]]=0,0,IF(Dealps[[#This Row],[DEAL_TYPE]]="B",Dealps[[#This Row],[FACE_AMOUNT]],-Dealps[[#This Row],[FACE_AMOUNT]]))</f>
        <v>-500000000000</v>
      </c>
      <c r="V140" s="25">
        <f>_xlfn.XLOOKUP(Dealps[[#This Row],[PAPER_CODE]],FNRP!D:D,FNRP!H:H,0,0)/100*Dealps[[#This Row],[AMOUNT]]</f>
        <v>0</v>
      </c>
      <c r="W140" s="57" t="str">
        <f>IF(Dealps[[#This Row],[TRANSACTION_STATUS]]&lt;&gt;"V","Ngoai BS",IF(Dealps[[#This Row],[POSTED_DT]]&gt;=Dealps[[#This Row],[VALUE_DATE]],"On BS","Off BS"))</f>
        <v>On BS</v>
      </c>
      <c r="X140" s="25">
        <f>SUMIFS(U:U,C:C,Dealps[[#This Row],[PAPER_CODE]])</f>
        <v>1500000000000</v>
      </c>
      <c r="Y140" s="25">
        <f>_xlfn.XLOOKUP(Dealps[[#This Row],[DEAL_ID]],Ref!N:N,Ref!Q:Q,0,0)</f>
        <v>0</v>
      </c>
      <c r="Z140" s="25" t="str">
        <f>IF(Dealps[[#This Row],[CPTY_CODE]]=Dealps[[#This Row],[CPTY_CODE_ISSUER]],"Yes","No")</f>
        <v>No</v>
      </c>
      <c r="AA140" s="25"/>
      <c r="AC140" s="14"/>
      <c r="AG140" s="96"/>
      <c r="AH140" s="14"/>
      <c r="AI140"/>
      <c r="AN140" s="14"/>
      <c r="AV140" s="36"/>
      <c r="AW140" s="14"/>
      <c r="AX140" s="234"/>
      <c r="AY140" s="96"/>
      <c r="AZ140" s="14"/>
      <c r="BA140"/>
      <c r="BB140" s="93">
        <v>46262</v>
      </c>
      <c r="BC140">
        <v>4336</v>
      </c>
      <c r="BD140" s="56" t="s">
        <v>1297</v>
      </c>
      <c r="BE140" t="s">
        <v>1011</v>
      </c>
      <c r="BF140" t="s">
        <v>1015</v>
      </c>
      <c r="BG140" t="s">
        <v>364</v>
      </c>
      <c r="BH140" t="s">
        <v>1013</v>
      </c>
      <c r="BI140" t="s">
        <v>311</v>
      </c>
      <c r="BJ140" s="93">
        <v>46168</v>
      </c>
      <c r="BK140" s="93">
        <v>46168</v>
      </c>
      <c r="BL140" s="93">
        <v>46168</v>
      </c>
      <c r="BM140" s="93">
        <v>46898</v>
      </c>
      <c r="BN140" s="14">
        <v>1</v>
      </c>
      <c r="BO140" s="14">
        <v>10000000000</v>
      </c>
      <c r="BP140" s="56">
        <v>100</v>
      </c>
      <c r="BQ140" s="56">
        <v>0</v>
      </c>
      <c r="BR140" s="14">
        <v>10002328767</v>
      </c>
      <c r="BS140">
        <v>8.4992070000000002</v>
      </c>
      <c r="BT140" t="s">
        <v>1184</v>
      </c>
      <c r="BU140" s="25">
        <f>_xlfn.XLOOKUP(Dealps_MSB[[#This Row],[DEAL_ID]],Ref!V:V,Ref!X:X,0,0)</f>
        <v>0</v>
      </c>
      <c r="BV140"/>
    </row>
    <row r="141" spans="1:74" x14ac:dyDescent="0.3">
      <c r="A141" s="93">
        <v>46262</v>
      </c>
      <c r="B141">
        <v>3027</v>
      </c>
      <c r="C141" s="56" t="s">
        <v>1071</v>
      </c>
      <c r="D141" t="s">
        <v>328</v>
      </c>
      <c r="E141" t="s">
        <v>328</v>
      </c>
      <c r="F141" t="s">
        <v>364</v>
      </c>
      <c r="G141" t="s">
        <v>310</v>
      </c>
      <c r="H141" t="s">
        <v>300</v>
      </c>
      <c r="I141" s="93">
        <v>45987</v>
      </c>
      <c r="J141" s="93">
        <v>45988</v>
      </c>
      <c r="K141" s="93">
        <v>45988</v>
      </c>
      <c r="L141" s="93">
        <v>46352</v>
      </c>
      <c r="M141" s="14">
        <v>1</v>
      </c>
      <c r="N141" s="14">
        <v>1000000000000</v>
      </c>
      <c r="O141" s="56">
        <v>100</v>
      </c>
      <c r="P141" s="56">
        <v>0</v>
      </c>
      <c r="Q141" s="14">
        <v>1000000000000</v>
      </c>
      <c r="R141">
        <v>6.6</v>
      </c>
      <c r="S141" t="s">
        <v>1184</v>
      </c>
      <c r="T141" s="57">
        <f>IF(Dealps[[#This Row],[MATURITY_DATE]]-Dealps[[#This Row],[POSTED_DT]]&lt;0,0,IF(Dealps[[#This Row],[VALUE_DATE]]-Dealps[[#This Row],[POSTED_DT]]&gt;0,Dealps[[#This Row],[MATURITY_DATE]]-Dealps[[#This Row],[VALUE_DATE]],Dealps[[#This Row],[MATURITY_DATE]]-Dealps[[#This Row],[POSTED_DT]]))</f>
        <v>90</v>
      </c>
      <c r="U141" s="25">
        <f>IF(Dealps[[#This Row],[TENOR]]=0,0,IF(Dealps[[#This Row],[DEAL_TYPE]]="B",Dealps[[#This Row],[FACE_AMOUNT]],-Dealps[[#This Row],[FACE_AMOUNT]]))</f>
        <v>1000000000000</v>
      </c>
      <c r="V141" s="25">
        <f>_xlfn.XLOOKUP(Dealps[[#This Row],[PAPER_CODE]],FNRP!D:D,FNRP!H:H,0,0)/100*Dealps[[#This Row],[AMOUNT]]</f>
        <v>0</v>
      </c>
      <c r="W141" s="57" t="str">
        <f>IF(Dealps[[#This Row],[TRANSACTION_STATUS]]&lt;&gt;"V","Ngoai BS",IF(Dealps[[#This Row],[POSTED_DT]]&gt;=Dealps[[#This Row],[VALUE_DATE]],"On BS","Off BS"))</f>
        <v>On BS</v>
      </c>
      <c r="X141" s="25">
        <f>SUMIFS(U:U,C:C,Dealps[[#This Row],[PAPER_CODE]])</f>
        <v>1500000000000</v>
      </c>
      <c r="Y141" s="25">
        <f>_xlfn.XLOOKUP(Dealps[[#This Row],[DEAL_ID]],Ref!N:N,Ref!Q:Q,0,0)</f>
        <v>0</v>
      </c>
      <c r="Z141" s="25" t="str">
        <f>IF(Dealps[[#This Row],[CPTY_CODE]]=Dealps[[#This Row],[CPTY_CODE_ISSUER]],"Yes","No")</f>
        <v>Yes</v>
      </c>
      <c r="AA141" s="25"/>
      <c r="AC141" s="14"/>
      <c r="AG141" s="96"/>
      <c r="AH141" s="14"/>
      <c r="AI141"/>
      <c r="AN141" s="14"/>
      <c r="AV141" s="36"/>
      <c r="AW141" s="14"/>
      <c r="AX141" s="234"/>
      <c r="AY141" s="96"/>
      <c r="AZ141" s="14"/>
      <c r="BA141"/>
      <c r="BB141" s="93">
        <v>46262</v>
      </c>
      <c r="BC141">
        <v>4344</v>
      </c>
      <c r="BD141" s="56" t="s">
        <v>1297</v>
      </c>
      <c r="BE141" t="s">
        <v>1011</v>
      </c>
      <c r="BF141" t="s">
        <v>1015</v>
      </c>
      <c r="BG141" t="s">
        <v>364</v>
      </c>
      <c r="BH141" t="s">
        <v>1013</v>
      </c>
      <c r="BI141" t="s">
        <v>311</v>
      </c>
      <c r="BJ141" s="93">
        <v>46169</v>
      </c>
      <c r="BK141" s="93">
        <v>46169</v>
      </c>
      <c r="BL141" s="93">
        <v>46169</v>
      </c>
      <c r="BM141" s="93">
        <v>46898</v>
      </c>
      <c r="BN141" s="14">
        <v>1</v>
      </c>
      <c r="BO141" s="14">
        <v>10000000000</v>
      </c>
      <c r="BP141" s="56">
        <v>100</v>
      </c>
      <c r="BQ141" s="56">
        <v>0</v>
      </c>
      <c r="BR141" s="14">
        <v>10004657534</v>
      </c>
      <c r="BS141">
        <v>8.4984179999999991</v>
      </c>
      <c r="BT141" t="s">
        <v>1184</v>
      </c>
      <c r="BU141" s="25">
        <f>_xlfn.XLOOKUP(Dealps_MSB[[#This Row],[DEAL_ID]],Ref!V:V,Ref!X:X,0,0)</f>
        <v>0</v>
      </c>
      <c r="BV141"/>
    </row>
    <row r="142" spans="1:74" x14ac:dyDescent="0.3">
      <c r="A142" s="93">
        <v>46262</v>
      </c>
      <c r="B142">
        <v>3028</v>
      </c>
      <c r="C142" s="56" t="s">
        <v>1071</v>
      </c>
      <c r="D142" t="s">
        <v>328</v>
      </c>
      <c r="E142" t="s">
        <v>328</v>
      </c>
      <c r="F142" t="s">
        <v>364</v>
      </c>
      <c r="G142" t="s">
        <v>310</v>
      </c>
      <c r="H142" t="s">
        <v>300</v>
      </c>
      <c r="I142" s="93">
        <v>45987</v>
      </c>
      <c r="J142" s="93">
        <v>45988</v>
      </c>
      <c r="K142" s="93">
        <v>45988</v>
      </c>
      <c r="L142" s="93">
        <v>46352</v>
      </c>
      <c r="M142" s="14">
        <v>1</v>
      </c>
      <c r="N142" s="14">
        <v>500000000000</v>
      </c>
      <c r="O142" s="56">
        <v>100</v>
      </c>
      <c r="P142" s="56">
        <v>0</v>
      </c>
      <c r="Q142" s="14">
        <v>500000000000</v>
      </c>
      <c r="R142">
        <v>6.6</v>
      </c>
      <c r="S142" t="s">
        <v>1184</v>
      </c>
      <c r="T142" s="57">
        <f>IF(Dealps[[#This Row],[MATURITY_DATE]]-Dealps[[#This Row],[POSTED_DT]]&lt;0,0,IF(Dealps[[#This Row],[VALUE_DATE]]-Dealps[[#This Row],[POSTED_DT]]&gt;0,Dealps[[#This Row],[MATURITY_DATE]]-Dealps[[#This Row],[VALUE_DATE]],Dealps[[#This Row],[MATURITY_DATE]]-Dealps[[#This Row],[POSTED_DT]]))</f>
        <v>90</v>
      </c>
      <c r="U142" s="25">
        <f>IF(Dealps[[#This Row],[TENOR]]=0,0,IF(Dealps[[#This Row],[DEAL_TYPE]]="B",Dealps[[#This Row],[FACE_AMOUNT]],-Dealps[[#This Row],[FACE_AMOUNT]]))</f>
        <v>500000000000</v>
      </c>
      <c r="V142" s="25">
        <f>_xlfn.XLOOKUP(Dealps[[#This Row],[PAPER_CODE]],FNRP!D:D,FNRP!H:H,0,0)/100*Dealps[[#This Row],[AMOUNT]]</f>
        <v>0</v>
      </c>
      <c r="W142" s="57" t="str">
        <f>IF(Dealps[[#This Row],[TRANSACTION_STATUS]]&lt;&gt;"V","Ngoai BS",IF(Dealps[[#This Row],[POSTED_DT]]&gt;=Dealps[[#This Row],[VALUE_DATE]],"On BS","Off BS"))</f>
        <v>On BS</v>
      </c>
      <c r="X142" s="25">
        <f>SUMIFS(U:U,C:C,Dealps[[#This Row],[PAPER_CODE]])</f>
        <v>1500000000000</v>
      </c>
      <c r="Y142" s="25">
        <f>_xlfn.XLOOKUP(Dealps[[#This Row],[DEAL_ID]],Ref!N:N,Ref!Q:Q,0,0)</f>
        <v>0</v>
      </c>
      <c r="Z142" s="25" t="str">
        <f>IF(Dealps[[#This Row],[CPTY_CODE]]=Dealps[[#This Row],[CPTY_CODE_ISSUER]],"Yes","No")</f>
        <v>Yes</v>
      </c>
      <c r="AA142" s="25"/>
      <c r="AC142" s="14"/>
      <c r="AG142" s="96"/>
      <c r="AH142" s="14"/>
      <c r="AI142"/>
      <c r="AN142" s="14"/>
      <c r="AV142" s="36"/>
      <c r="AW142" s="14"/>
      <c r="AX142" s="234"/>
      <c r="AY142" s="96"/>
      <c r="AZ142" s="14"/>
      <c r="BA142"/>
      <c r="BB142" s="93">
        <v>46262</v>
      </c>
      <c r="BC142">
        <v>4390</v>
      </c>
      <c r="BD142" s="56" t="s">
        <v>1297</v>
      </c>
      <c r="BE142" t="s">
        <v>1011</v>
      </c>
      <c r="BF142" t="s">
        <v>1015</v>
      </c>
      <c r="BG142" t="s">
        <v>364</v>
      </c>
      <c r="BH142" t="s">
        <v>1013</v>
      </c>
      <c r="BI142" t="s">
        <v>311</v>
      </c>
      <c r="BJ142" s="93">
        <v>46176</v>
      </c>
      <c r="BK142" s="93">
        <v>46176</v>
      </c>
      <c r="BL142" s="93">
        <v>46176</v>
      </c>
      <c r="BM142" s="93">
        <v>46898</v>
      </c>
      <c r="BN142" s="14">
        <v>1</v>
      </c>
      <c r="BO142" s="14">
        <v>10000000000</v>
      </c>
      <c r="BP142" s="56">
        <v>100</v>
      </c>
      <c r="BQ142" s="56">
        <v>0</v>
      </c>
      <c r="BR142" s="14">
        <v>10020958904</v>
      </c>
      <c r="BS142">
        <v>8.4929950000000005</v>
      </c>
      <c r="BT142" t="s">
        <v>1184</v>
      </c>
      <c r="BU142" s="25">
        <f>_xlfn.XLOOKUP(Dealps_MSB[[#This Row],[DEAL_ID]],Ref!V:V,Ref!X:X,0,0)</f>
        <v>0</v>
      </c>
      <c r="BV142"/>
    </row>
    <row r="143" spans="1:74" x14ac:dyDescent="0.3">
      <c r="A143" s="93">
        <v>46262</v>
      </c>
      <c r="B143">
        <v>3037</v>
      </c>
      <c r="C143" s="56" t="s">
        <v>1073</v>
      </c>
      <c r="D143" t="s">
        <v>325</v>
      </c>
      <c r="E143" t="s">
        <v>325</v>
      </c>
      <c r="F143" t="s">
        <v>364</v>
      </c>
      <c r="G143" t="s">
        <v>310</v>
      </c>
      <c r="H143" t="s">
        <v>300</v>
      </c>
      <c r="I143" s="93">
        <v>45988</v>
      </c>
      <c r="J143" s="93">
        <v>45992</v>
      </c>
      <c r="K143" s="93">
        <v>45992</v>
      </c>
      <c r="L143" s="93">
        <v>46356</v>
      </c>
      <c r="M143" s="14">
        <v>1</v>
      </c>
      <c r="N143" s="14">
        <v>400000000000</v>
      </c>
      <c r="O143" s="56">
        <v>100</v>
      </c>
      <c r="P143" s="56">
        <v>0</v>
      </c>
      <c r="Q143" s="14">
        <v>400000000000</v>
      </c>
      <c r="R143">
        <v>6.6</v>
      </c>
      <c r="S143" t="s">
        <v>1184</v>
      </c>
      <c r="T143" s="57">
        <f>IF(Dealps[[#This Row],[MATURITY_DATE]]-Dealps[[#This Row],[POSTED_DT]]&lt;0,0,IF(Dealps[[#This Row],[VALUE_DATE]]-Dealps[[#This Row],[POSTED_DT]]&gt;0,Dealps[[#This Row],[MATURITY_DATE]]-Dealps[[#This Row],[VALUE_DATE]],Dealps[[#This Row],[MATURITY_DATE]]-Dealps[[#This Row],[POSTED_DT]]))</f>
        <v>94</v>
      </c>
      <c r="U143" s="25">
        <f>IF(Dealps[[#This Row],[TENOR]]=0,0,IF(Dealps[[#This Row],[DEAL_TYPE]]="B",Dealps[[#This Row],[FACE_AMOUNT]],-Dealps[[#This Row],[FACE_AMOUNT]]))</f>
        <v>400000000000</v>
      </c>
      <c r="V143" s="25">
        <f>_xlfn.XLOOKUP(Dealps[[#This Row],[PAPER_CODE]],FNRP!D:D,FNRP!H:H,0,0)/100*Dealps[[#This Row],[AMOUNT]]</f>
        <v>0</v>
      </c>
      <c r="W143" s="57" t="str">
        <f>IF(Dealps[[#This Row],[TRANSACTION_STATUS]]&lt;&gt;"V","Ngoai BS",IF(Dealps[[#This Row],[POSTED_DT]]&gt;=Dealps[[#This Row],[VALUE_DATE]],"On BS","Off BS"))</f>
        <v>On BS</v>
      </c>
      <c r="X143" s="25">
        <f>SUMIFS(U:U,C:C,Dealps[[#This Row],[PAPER_CODE]])</f>
        <v>400000000000</v>
      </c>
      <c r="Y143" s="25">
        <f>_xlfn.XLOOKUP(Dealps[[#This Row],[DEAL_ID]],Ref!N:N,Ref!Q:Q,0,0)</f>
        <v>0</v>
      </c>
      <c r="Z143" s="25" t="str">
        <f>IF(Dealps[[#This Row],[CPTY_CODE]]=Dealps[[#This Row],[CPTY_CODE_ISSUER]],"Yes","No")</f>
        <v>Yes</v>
      </c>
      <c r="AA143" s="25"/>
      <c r="AC143" s="14"/>
      <c r="AG143" s="96"/>
      <c r="AH143" s="14"/>
      <c r="AI143"/>
      <c r="AN143" s="14"/>
      <c r="AV143" s="36"/>
      <c r="AW143" s="14"/>
      <c r="AX143" s="234"/>
      <c r="AY143" s="96"/>
      <c r="AZ143" s="14"/>
      <c r="BA143"/>
      <c r="BB143" s="93">
        <v>46262</v>
      </c>
      <c r="BC143">
        <v>4391</v>
      </c>
      <c r="BD143" s="56" t="s">
        <v>1297</v>
      </c>
      <c r="BE143" t="s">
        <v>1011</v>
      </c>
      <c r="BF143" t="s">
        <v>1015</v>
      </c>
      <c r="BG143" t="s">
        <v>364</v>
      </c>
      <c r="BH143" t="s">
        <v>1013</v>
      </c>
      <c r="BI143" t="s">
        <v>311</v>
      </c>
      <c r="BJ143" s="93">
        <v>46176</v>
      </c>
      <c r="BK143" s="93">
        <v>46176</v>
      </c>
      <c r="BL143" s="93">
        <v>46176</v>
      </c>
      <c r="BM143" s="93">
        <v>46898</v>
      </c>
      <c r="BN143" s="14">
        <v>1</v>
      </c>
      <c r="BO143" s="14">
        <v>10000000000</v>
      </c>
      <c r="BP143" s="56">
        <v>100</v>
      </c>
      <c r="BQ143" s="56">
        <v>0</v>
      </c>
      <c r="BR143" s="14">
        <v>10020958904</v>
      </c>
      <c r="BS143">
        <v>8.4929950000000005</v>
      </c>
      <c r="BT143" t="s">
        <v>1184</v>
      </c>
      <c r="BU143" s="25">
        <f>_xlfn.XLOOKUP(Dealps_MSB[[#This Row],[DEAL_ID]],Ref!V:V,Ref!X:X,0,0)</f>
        <v>0</v>
      </c>
      <c r="BV143"/>
    </row>
    <row r="144" spans="1:74" x14ac:dyDescent="0.3">
      <c r="A144" s="93">
        <v>46262</v>
      </c>
      <c r="B144">
        <v>3049</v>
      </c>
      <c r="C144" s="56" t="s">
        <v>1006</v>
      </c>
      <c r="D144" t="s">
        <v>323</v>
      </c>
      <c r="E144" t="s">
        <v>313</v>
      </c>
      <c r="F144" t="s">
        <v>364</v>
      </c>
      <c r="G144" t="s">
        <v>310</v>
      </c>
      <c r="H144" t="s">
        <v>311</v>
      </c>
      <c r="I144" s="93">
        <v>45989</v>
      </c>
      <c r="J144" s="93">
        <v>45989</v>
      </c>
      <c r="K144" s="93">
        <v>45989</v>
      </c>
      <c r="L144" s="93">
        <v>46280</v>
      </c>
      <c r="M144" s="14">
        <v>1</v>
      </c>
      <c r="N144" s="14">
        <v>500000000000</v>
      </c>
      <c r="O144" s="56">
        <v>100.2817084</v>
      </c>
      <c r="P144" s="56">
        <v>0</v>
      </c>
      <c r="Q144" s="14">
        <v>506808541999.99994</v>
      </c>
      <c r="R144">
        <v>4.9788569999999996</v>
      </c>
      <c r="S144" t="s">
        <v>1184</v>
      </c>
      <c r="T144" s="57">
        <f>IF(Dealps[[#This Row],[MATURITY_DATE]]-Dealps[[#This Row],[POSTED_DT]]&lt;0,0,IF(Dealps[[#This Row],[VALUE_DATE]]-Dealps[[#This Row],[POSTED_DT]]&gt;0,Dealps[[#This Row],[MATURITY_DATE]]-Dealps[[#This Row],[VALUE_DATE]],Dealps[[#This Row],[MATURITY_DATE]]-Dealps[[#This Row],[POSTED_DT]]))</f>
        <v>18</v>
      </c>
      <c r="U144" s="25">
        <f>IF(Dealps[[#This Row],[TENOR]]=0,0,IF(Dealps[[#This Row],[DEAL_TYPE]]="B",Dealps[[#This Row],[FACE_AMOUNT]],-Dealps[[#This Row],[FACE_AMOUNT]]))</f>
        <v>-500000000000</v>
      </c>
      <c r="V144" s="25">
        <f>_xlfn.XLOOKUP(Dealps[[#This Row],[PAPER_CODE]],FNRP!D:D,FNRP!H:H,0,0)/100*Dealps[[#This Row],[AMOUNT]]</f>
        <v>0</v>
      </c>
      <c r="W144" s="57" t="str">
        <f>IF(Dealps[[#This Row],[TRANSACTION_STATUS]]&lt;&gt;"V","Ngoai BS",IF(Dealps[[#This Row],[POSTED_DT]]&gt;=Dealps[[#This Row],[VALUE_DATE]],"On BS","Off BS"))</f>
        <v>On BS</v>
      </c>
      <c r="X144" s="25">
        <f>SUMIFS(U:U,C:C,Dealps[[#This Row],[PAPER_CODE]])</f>
        <v>0</v>
      </c>
      <c r="Y144" s="25">
        <f>_xlfn.XLOOKUP(Dealps[[#This Row],[DEAL_ID]],Ref!N:N,Ref!Q:Q,0,0)</f>
        <v>0</v>
      </c>
      <c r="Z144" s="25" t="str">
        <f>IF(Dealps[[#This Row],[CPTY_CODE]]=Dealps[[#This Row],[CPTY_CODE_ISSUER]],"Yes","No")</f>
        <v>No</v>
      </c>
      <c r="AA144" s="25"/>
      <c r="AC144" s="14"/>
      <c r="AG144" s="96"/>
      <c r="AH144" s="14"/>
      <c r="AI144"/>
      <c r="AN144" s="14"/>
      <c r="AV144" s="36"/>
      <c r="AW144" s="14"/>
      <c r="AX144" s="234"/>
      <c r="AY144" s="96"/>
      <c r="AZ144" s="14"/>
      <c r="BA144"/>
      <c r="BB144" s="93">
        <v>46262</v>
      </c>
      <c r="BC144">
        <v>4392</v>
      </c>
      <c r="BD144" s="56" t="s">
        <v>1297</v>
      </c>
      <c r="BE144" t="s">
        <v>1011</v>
      </c>
      <c r="BF144" t="s">
        <v>1015</v>
      </c>
      <c r="BG144" t="s">
        <v>364</v>
      </c>
      <c r="BH144" t="s">
        <v>1013</v>
      </c>
      <c r="BI144" t="s">
        <v>311</v>
      </c>
      <c r="BJ144" s="93">
        <v>46176</v>
      </c>
      <c r="BK144" s="93">
        <v>46176</v>
      </c>
      <c r="BL144" s="93">
        <v>46176</v>
      </c>
      <c r="BM144" s="93">
        <v>46898</v>
      </c>
      <c r="BN144" s="14">
        <v>1</v>
      </c>
      <c r="BO144" s="14">
        <v>10000000000</v>
      </c>
      <c r="BP144" s="56">
        <v>100</v>
      </c>
      <c r="BQ144" s="56">
        <v>0</v>
      </c>
      <c r="BR144" s="14">
        <v>10020958904</v>
      </c>
      <c r="BS144">
        <v>8.4929950000000005</v>
      </c>
      <c r="BT144" t="s">
        <v>1184</v>
      </c>
      <c r="BU144" s="25">
        <f>_xlfn.XLOOKUP(Dealps_MSB[[#This Row],[DEAL_ID]],Ref!V:V,Ref!X:X,0,0)</f>
        <v>0</v>
      </c>
      <c r="BV144"/>
    </row>
    <row r="145" spans="1:74" x14ac:dyDescent="0.3">
      <c r="A145" s="93">
        <v>46262</v>
      </c>
      <c r="B145">
        <v>3056</v>
      </c>
      <c r="C145" s="56" t="s">
        <v>1006</v>
      </c>
      <c r="D145" t="s">
        <v>323</v>
      </c>
      <c r="E145" t="s">
        <v>313</v>
      </c>
      <c r="F145" t="s">
        <v>364</v>
      </c>
      <c r="G145" t="s">
        <v>310</v>
      </c>
      <c r="H145" t="s">
        <v>311</v>
      </c>
      <c r="I145" s="93">
        <v>45989</v>
      </c>
      <c r="J145" s="93">
        <v>45989</v>
      </c>
      <c r="K145" s="93">
        <v>45989</v>
      </c>
      <c r="L145" s="93">
        <v>46280</v>
      </c>
      <c r="M145" s="14">
        <v>1</v>
      </c>
      <c r="N145" s="14">
        <v>500000000000</v>
      </c>
      <c r="O145" s="56">
        <v>100.2817084</v>
      </c>
      <c r="P145" s="56">
        <v>0</v>
      </c>
      <c r="Q145" s="14">
        <v>506808541999.99994</v>
      </c>
      <c r="R145">
        <v>4.9788569999999996</v>
      </c>
      <c r="S145" t="s">
        <v>1184</v>
      </c>
      <c r="T145" s="57">
        <f>IF(Dealps[[#This Row],[MATURITY_DATE]]-Dealps[[#This Row],[POSTED_DT]]&lt;0,0,IF(Dealps[[#This Row],[VALUE_DATE]]-Dealps[[#This Row],[POSTED_DT]]&gt;0,Dealps[[#This Row],[MATURITY_DATE]]-Dealps[[#This Row],[VALUE_DATE]],Dealps[[#This Row],[MATURITY_DATE]]-Dealps[[#This Row],[POSTED_DT]]))</f>
        <v>18</v>
      </c>
      <c r="U145" s="25">
        <f>IF(Dealps[[#This Row],[TENOR]]=0,0,IF(Dealps[[#This Row],[DEAL_TYPE]]="B",Dealps[[#This Row],[FACE_AMOUNT]],-Dealps[[#This Row],[FACE_AMOUNT]]))</f>
        <v>-500000000000</v>
      </c>
      <c r="V145" s="25">
        <f>_xlfn.XLOOKUP(Dealps[[#This Row],[PAPER_CODE]],FNRP!D:D,FNRP!H:H,0,0)/100*Dealps[[#This Row],[AMOUNT]]</f>
        <v>0</v>
      </c>
      <c r="W145" s="57" t="str">
        <f>IF(Dealps[[#This Row],[TRANSACTION_STATUS]]&lt;&gt;"V","Ngoai BS",IF(Dealps[[#This Row],[POSTED_DT]]&gt;=Dealps[[#This Row],[VALUE_DATE]],"On BS","Off BS"))</f>
        <v>On BS</v>
      </c>
      <c r="X145" s="25">
        <f>SUMIFS(U:U,C:C,Dealps[[#This Row],[PAPER_CODE]])</f>
        <v>0</v>
      </c>
      <c r="Y145" s="25">
        <f>_xlfn.XLOOKUP(Dealps[[#This Row],[DEAL_ID]],Ref!N:N,Ref!Q:Q,0,0)</f>
        <v>0</v>
      </c>
      <c r="Z145" s="25" t="str">
        <f>IF(Dealps[[#This Row],[CPTY_CODE]]=Dealps[[#This Row],[CPTY_CODE_ISSUER]],"Yes","No")</f>
        <v>No</v>
      </c>
      <c r="AA145" s="25"/>
      <c r="AC145" s="14"/>
      <c r="AG145" s="96"/>
      <c r="AH145" s="14"/>
      <c r="AI145"/>
      <c r="AN145" s="14"/>
      <c r="AV145" s="36"/>
      <c r="AW145" s="14"/>
      <c r="AX145" s="234"/>
      <c r="AY145" s="96"/>
      <c r="AZ145" s="14"/>
      <c r="BA145"/>
      <c r="BB145" s="93">
        <v>46262</v>
      </c>
      <c r="BC145">
        <v>4393</v>
      </c>
      <c r="BD145" s="56" t="s">
        <v>1297</v>
      </c>
      <c r="BE145" t="s">
        <v>1011</v>
      </c>
      <c r="BF145" t="s">
        <v>1015</v>
      </c>
      <c r="BG145" t="s">
        <v>364</v>
      </c>
      <c r="BH145" t="s">
        <v>1013</v>
      </c>
      <c r="BI145" t="s">
        <v>311</v>
      </c>
      <c r="BJ145" s="93">
        <v>46176</v>
      </c>
      <c r="BK145" s="93">
        <v>46176</v>
      </c>
      <c r="BL145" s="93">
        <v>46176</v>
      </c>
      <c r="BM145" s="93">
        <v>46898</v>
      </c>
      <c r="BN145" s="14">
        <v>1</v>
      </c>
      <c r="BO145" s="14">
        <v>10000000000</v>
      </c>
      <c r="BP145" s="56">
        <v>100</v>
      </c>
      <c r="BQ145" s="56">
        <v>0</v>
      </c>
      <c r="BR145" s="14">
        <v>10020958904</v>
      </c>
      <c r="BS145">
        <v>8.4929950000000005</v>
      </c>
      <c r="BT145" t="s">
        <v>1184</v>
      </c>
      <c r="BU145" s="25">
        <f>_xlfn.XLOOKUP(Dealps_MSB[[#This Row],[DEAL_ID]],Ref!V:V,Ref!X:X,0,0)</f>
        <v>0</v>
      </c>
      <c r="BV145"/>
    </row>
    <row r="146" spans="1:74" x14ac:dyDescent="0.3">
      <c r="A146" s="93">
        <v>46262</v>
      </c>
      <c r="B146">
        <v>3063</v>
      </c>
      <c r="C146" s="56" t="s">
        <v>960</v>
      </c>
      <c r="D146" t="s">
        <v>347</v>
      </c>
      <c r="E146" t="s">
        <v>1009</v>
      </c>
      <c r="F146" t="s">
        <v>364</v>
      </c>
      <c r="G146" t="s">
        <v>310</v>
      </c>
      <c r="H146" t="s">
        <v>300</v>
      </c>
      <c r="I146" s="93">
        <v>45993</v>
      </c>
      <c r="J146" s="93">
        <v>45993</v>
      </c>
      <c r="K146" s="93">
        <v>45995</v>
      </c>
      <c r="L146" s="93">
        <v>46288</v>
      </c>
      <c r="M146" s="14">
        <v>1</v>
      </c>
      <c r="N146" s="14">
        <v>300000000000</v>
      </c>
      <c r="O146" s="56">
        <v>100.068104311</v>
      </c>
      <c r="P146" s="56">
        <v>0</v>
      </c>
      <c r="Q146" s="14">
        <v>302916641700</v>
      </c>
      <c r="R146">
        <v>4.8678340000000002</v>
      </c>
      <c r="S146" t="s">
        <v>1184</v>
      </c>
      <c r="T146" s="57">
        <f>IF(Dealps[[#This Row],[MATURITY_DATE]]-Dealps[[#This Row],[POSTED_DT]]&lt;0,0,IF(Dealps[[#This Row],[VALUE_DATE]]-Dealps[[#This Row],[POSTED_DT]]&gt;0,Dealps[[#This Row],[MATURITY_DATE]]-Dealps[[#This Row],[VALUE_DATE]],Dealps[[#This Row],[MATURITY_DATE]]-Dealps[[#This Row],[POSTED_DT]]))</f>
        <v>26</v>
      </c>
      <c r="U146" s="25">
        <f>IF(Dealps[[#This Row],[TENOR]]=0,0,IF(Dealps[[#This Row],[DEAL_TYPE]]="B",Dealps[[#This Row],[FACE_AMOUNT]],-Dealps[[#This Row],[FACE_AMOUNT]]))</f>
        <v>300000000000</v>
      </c>
      <c r="V146" s="25">
        <f>_xlfn.XLOOKUP(Dealps[[#This Row],[PAPER_CODE]],FNRP!D:D,FNRP!H:H,0,0)/100*Dealps[[#This Row],[AMOUNT]]</f>
        <v>0</v>
      </c>
      <c r="W146" s="57" t="str">
        <f>IF(Dealps[[#This Row],[TRANSACTION_STATUS]]&lt;&gt;"V","Ngoai BS",IF(Dealps[[#This Row],[POSTED_DT]]&gt;=Dealps[[#This Row],[VALUE_DATE]],"On BS","Off BS"))</f>
        <v>On BS</v>
      </c>
      <c r="X146" s="25">
        <f>SUMIFS(U:U,C:C,Dealps[[#This Row],[PAPER_CODE]])</f>
        <v>1000000000000</v>
      </c>
      <c r="Y146" s="25">
        <f>_xlfn.XLOOKUP(Dealps[[#This Row],[DEAL_ID]],Ref!N:N,Ref!Q:Q,0,0)</f>
        <v>0</v>
      </c>
      <c r="Z146" s="25" t="str">
        <f>IF(Dealps[[#This Row],[CPTY_CODE]]=Dealps[[#This Row],[CPTY_CODE_ISSUER]],"Yes","No")</f>
        <v>No</v>
      </c>
      <c r="AA146" s="25"/>
      <c r="AC146" s="14"/>
      <c r="AG146" s="96"/>
      <c r="AH146" s="14"/>
      <c r="AI146"/>
      <c r="AN146" s="14"/>
      <c r="AV146" s="36"/>
      <c r="AW146" s="14"/>
      <c r="AX146" s="234"/>
      <c r="AY146" s="96"/>
      <c r="AZ146" s="14"/>
      <c r="BA146"/>
      <c r="BB146" s="93">
        <v>46262</v>
      </c>
      <c r="BC146">
        <v>4394</v>
      </c>
      <c r="BD146" s="56" t="s">
        <v>1297</v>
      </c>
      <c r="BE146" t="s">
        <v>1011</v>
      </c>
      <c r="BF146" t="s">
        <v>1015</v>
      </c>
      <c r="BG146" t="s">
        <v>364</v>
      </c>
      <c r="BH146" t="s">
        <v>1013</v>
      </c>
      <c r="BI146" t="s">
        <v>311</v>
      </c>
      <c r="BJ146" s="93">
        <v>46176</v>
      </c>
      <c r="BK146" s="93">
        <v>46176</v>
      </c>
      <c r="BL146" s="93">
        <v>46176</v>
      </c>
      <c r="BM146" s="93">
        <v>46898</v>
      </c>
      <c r="BN146" s="14">
        <v>1</v>
      </c>
      <c r="BO146" s="14">
        <v>10000000000</v>
      </c>
      <c r="BP146" s="56">
        <v>100</v>
      </c>
      <c r="BQ146" s="56">
        <v>0</v>
      </c>
      <c r="BR146" s="14">
        <v>10020958904</v>
      </c>
      <c r="BS146">
        <v>8.4929950000000005</v>
      </c>
      <c r="BT146" t="s">
        <v>1184</v>
      </c>
      <c r="BU146" s="25">
        <f>_xlfn.XLOOKUP(Dealps_MSB[[#This Row],[DEAL_ID]],Ref!V:V,Ref!X:X,0,0)</f>
        <v>0</v>
      </c>
      <c r="BV146"/>
    </row>
    <row r="147" spans="1:74" x14ac:dyDescent="0.3">
      <c r="A147" s="93">
        <v>46262</v>
      </c>
      <c r="B147">
        <v>48251</v>
      </c>
      <c r="C147" s="56" t="s">
        <v>638</v>
      </c>
      <c r="D147" t="s">
        <v>328</v>
      </c>
      <c r="E147" t="s">
        <v>320</v>
      </c>
      <c r="F147" t="s">
        <v>39</v>
      </c>
      <c r="G147" t="s">
        <v>310</v>
      </c>
      <c r="H147" t="s">
        <v>311</v>
      </c>
      <c r="I147" s="93">
        <v>45994</v>
      </c>
      <c r="J147" s="93">
        <v>45995</v>
      </c>
      <c r="K147" s="93">
        <v>45996</v>
      </c>
      <c r="L147" s="93">
        <v>48297</v>
      </c>
      <c r="M147" s="14">
        <v>3976106</v>
      </c>
      <c r="N147" s="14">
        <v>397610600000</v>
      </c>
      <c r="O147" s="56">
        <v>97.12839726</v>
      </c>
      <c r="P147" s="56">
        <v>5</v>
      </c>
      <c r="Q147" s="14">
        <v>406759619906</v>
      </c>
      <c r="R147">
        <v>8.580335668</v>
      </c>
      <c r="S147" t="s">
        <v>1184</v>
      </c>
      <c r="T147" s="57">
        <f>IF(Dealps[[#This Row],[MATURITY_DATE]]-Dealps[[#This Row],[POSTED_DT]]&lt;0,0,IF(Dealps[[#This Row],[VALUE_DATE]]-Dealps[[#This Row],[POSTED_DT]]&gt;0,Dealps[[#This Row],[MATURITY_DATE]]-Dealps[[#This Row],[VALUE_DATE]],Dealps[[#This Row],[MATURITY_DATE]]-Dealps[[#This Row],[POSTED_DT]]))</f>
        <v>2035</v>
      </c>
      <c r="U147" s="25">
        <f>IF(Dealps[[#This Row],[TENOR]]=0,0,IF(Dealps[[#This Row],[DEAL_TYPE]]="B",Dealps[[#This Row],[FACE_AMOUNT]],-Dealps[[#This Row],[FACE_AMOUNT]]))</f>
        <v>-397610600000</v>
      </c>
      <c r="V147" s="25">
        <f>_xlfn.XLOOKUP(Dealps[[#This Row],[PAPER_CODE]],FNRP!D:D,FNRP!H:H,0,0)/100*Dealps[[#This Row],[AMOUNT]]</f>
        <v>-472429195339.61273</v>
      </c>
      <c r="W147" s="57" t="str">
        <f>IF(Dealps[[#This Row],[TRANSACTION_STATUS]]&lt;&gt;"V","Ngoai BS",IF(Dealps[[#This Row],[POSTED_DT]]&gt;=Dealps[[#This Row],[VALUE_DATE]],"On BS","Off BS"))</f>
        <v>On BS</v>
      </c>
      <c r="X147" s="25">
        <f>SUMIFS(U:U,C:C,Dealps[[#This Row],[PAPER_CODE]])</f>
        <v>397610600000</v>
      </c>
      <c r="Y147" s="25">
        <f>_xlfn.XLOOKUP(Dealps[[#This Row],[DEAL_ID]],Ref!N:N,Ref!Q:Q,0,0)</f>
        <v>0</v>
      </c>
      <c r="Z147" s="25" t="str">
        <f>IF(Dealps[[#This Row],[CPTY_CODE]]=Dealps[[#This Row],[CPTY_CODE_ISSUER]],"Yes","No")</f>
        <v>No</v>
      </c>
      <c r="AA147" s="25"/>
      <c r="AC147" s="14"/>
      <c r="AG147" s="96"/>
      <c r="AH147" s="14"/>
      <c r="AI147"/>
      <c r="AN147" s="14"/>
      <c r="AV147" s="36"/>
      <c r="AW147" s="14"/>
      <c r="AX147" s="234"/>
      <c r="AY147" s="96"/>
      <c r="AZ147" s="14"/>
      <c r="BA147"/>
      <c r="BB147" s="93">
        <v>46262</v>
      </c>
      <c r="BC147">
        <v>4395</v>
      </c>
      <c r="BD147" s="56" t="s">
        <v>1297</v>
      </c>
      <c r="BE147" t="s">
        <v>1011</v>
      </c>
      <c r="BF147" t="s">
        <v>1015</v>
      </c>
      <c r="BG147" t="s">
        <v>364</v>
      </c>
      <c r="BH147" t="s">
        <v>1013</v>
      </c>
      <c r="BI147" t="s">
        <v>311</v>
      </c>
      <c r="BJ147" s="93">
        <v>46176</v>
      </c>
      <c r="BK147" s="93">
        <v>46176</v>
      </c>
      <c r="BL147" s="93">
        <v>46176</v>
      </c>
      <c r="BM147" s="93">
        <v>46898</v>
      </c>
      <c r="BN147" s="14">
        <v>1</v>
      </c>
      <c r="BO147" s="14">
        <v>10000000000</v>
      </c>
      <c r="BP147" s="56">
        <v>100</v>
      </c>
      <c r="BQ147" s="56">
        <v>0</v>
      </c>
      <c r="BR147" s="14">
        <v>10020958904</v>
      </c>
      <c r="BS147">
        <v>8.4929950000000005</v>
      </c>
      <c r="BT147" t="s">
        <v>1184</v>
      </c>
      <c r="BU147" s="25">
        <f>_xlfn.XLOOKUP(Dealps_MSB[[#This Row],[DEAL_ID]],Ref!V:V,Ref!X:X,0,0)</f>
        <v>0</v>
      </c>
      <c r="BV147"/>
    </row>
    <row r="148" spans="1:74" x14ac:dyDescent="0.3">
      <c r="A148" s="93">
        <v>46262</v>
      </c>
      <c r="B148">
        <v>3080</v>
      </c>
      <c r="C148" s="56" t="s">
        <v>953</v>
      </c>
      <c r="D148" t="s">
        <v>325</v>
      </c>
      <c r="E148" t="s">
        <v>1009</v>
      </c>
      <c r="F148" t="s">
        <v>364</v>
      </c>
      <c r="G148" t="s">
        <v>310</v>
      </c>
      <c r="H148" t="s">
        <v>300</v>
      </c>
      <c r="I148" s="93">
        <v>45995</v>
      </c>
      <c r="J148" s="93">
        <v>45995</v>
      </c>
      <c r="K148" s="93">
        <v>45999</v>
      </c>
      <c r="L148" s="93">
        <v>46274</v>
      </c>
      <c r="M148" s="14">
        <v>1</v>
      </c>
      <c r="N148" s="14">
        <v>300000000000</v>
      </c>
      <c r="O148" s="56">
        <v>100.013778101</v>
      </c>
      <c r="P148" s="56">
        <v>0</v>
      </c>
      <c r="Q148" s="14">
        <v>304430375400</v>
      </c>
      <c r="R148">
        <v>5.8946610000000002</v>
      </c>
      <c r="S148" t="s">
        <v>1184</v>
      </c>
      <c r="T148" s="57">
        <f>IF(Dealps[[#This Row],[MATURITY_DATE]]-Dealps[[#This Row],[POSTED_DT]]&lt;0,0,IF(Dealps[[#This Row],[VALUE_DATE]]-Dealps[[#This Row],[POSTED_DT]]&gt;0,Dealps[[#This Row],[MATURITY_DATE]]-Dealps[[#This Row],[VALUE_DATE]],Dealps[[#This Row],[MATURITY_DATE]]-Dealps[[#This Row],[POSTED_DT]]))</f>
        <v>12</v>
      </c>
      <c r="U148" s="25">
        <f>IF(Dealps[[#This Row],[TENOR]]=0,0,IF(Dealps[[#This Row],[DEAL_TYPE]]="B",Dealps[[#This Row],[FACE_AMOUNT]],-Dealps[[#This Row],[FACE_AMOUNT]]))</f>
        <v>300000000000</v>
      </c>
      <c r="V148" s="25">
        <f>_xlfn.XLOOKUP(Dealps[[#This Row],[PAPER_CODE]],FNRP!D:D,FNRP!H:H,0,0)/100*Dealps[[#This Row],[AMOUNT]]</f>
        <v>0</v>
      </c>
      <c r="W148" s="57" t="str">
        <f>IF(Dealps[[#This Row],[TRANSACTION_STATUS]]&lt;&gt;"V","Ngoai BS",IF(Dealps[[#This Row],[POSTED_DT]]&gt;=Dealps[[#This Row],[VALUE_DATE]],"On BS","Off BS"))</f>
        <v>On BS</v>
      </c>
      <c r="X148" s="25">
        <f>SUMIFS(U:U,C:C,Dealps[[#This Row],[PAPER_CODE]])</f>
        <v>300000000000</v>
      </c>
      <c r="Y148" s="25">
        <f>_xlfn.XLOOKUP(Dealps[[#This Row],[DEAL_ID]],Ref!N:N,Ref!Q:Q,0,0)</f>
        <v>0</v>
      </c>
      <c r="Z148" s="25" t="str">
        <f>IF(Dealps[[#This Row],[CPTY_CODE]]=Dealps[[#This Row],[CPTY_CODE_ISSUER]],"Yes","No")</f>
        <v>No</v>
      </c>
      <c r="AA148" s="25"/>
      <c r="AC148" s="14"/>
      <c r="AG148" s="96"/>
      <c r="AH148" s="14"/>
      <c r="AI148"/>
      <c r="AN148" s="14"/>
      <c r="AV148" s="36"/>
      <c r="AW148" s="14"/>
      <c r="AX148" s="234"/>
      <c r="AY148" s="96"/>
      <c r="AZ148" s="14"/>
      <c r="BA148"/>
      <c r="BB148" s="93">
        <v>46262</v>
      </c>
      <c r="BC148">
        <v>4396</v>
      </c>
      <c r="BD148" s="56" t="s">
        <v>1297</v>
      </c>
      <c r="BE148" t="s">
        <v>1011</v>
      </c>
      <c r="BF148" t="s">
        <v>1015</v>
      </c>
      <c r="BG148" t="s">
        <v>364</v>
      </c>
      <c r="BH148" t="s">
        <v>1013</v>
      </c>
      <c r="BI148" t="s">
        <v>311</v>
      </c>
      <c r="BJ148" s="93">
        <v>46176</v>
      </c>
      <c r="BK148" s="93">
        <v>46176</v>
      </c>
      <c r="BL148" s="93">
        <v>46176</v>
      </c>
      <c r="BM148" s="93">
        <v>46898</v>
      </c>
      <c r="BN148" s="14">
        <v>1</v>
      </c>
      <c r="BO148" s="14">
        <v>10000000000</v>
      </c>
      <c r="BP148" s="56">
        <v>100</v>
      </c>
      <c r="BQ148" s="56">
        <v>0</v>
      </c>
      <c r="BR148" s="14">
        <v>10020958904</v>
      </c>
      <c r="BS148">
        <v>8.4929950000000005</v>
      </c>
      <c r="BT148" t="s">
        <v>1184</v>
      </c>
      <c r="BU148" s="25">
        <f>_xlfn.XLOOKUP(Dealps_MSB[[#This Row],[DEAL_ID]],Ref!V:V,Ref!X:X,0,0)</f>
        <v>0</v>
      </c>
      <c r="BV148"/>
    </row>
    <row r="149" spans="1:74" x14ac:dyDescent="0.3">
      <c r="A149" s="93">
        <v>46262</v>
      </c>
      <c r="B149">
        <v>3088</v>
      </c>
      <c r="C149" s="56" t="s">
        <v>1104</v>
      </c>
      <c r="D149" t="s">
        <v>334</v>
      </c>
      <c r="E149" t="s">
        <v>334</v>
      </c>
      <c r="F149" t="s">
        <v>364</v>
      </c>
      <c r="G149" t="s">
        <v>310</v>
      </c>
      <c r="H149" t="s">
        <v>300</v>
      </c>
      <c r="I149" s="93">
        <v>45996</v>
      </c>
      <c r="J149" s="93">
        <v>45996</v>
      </c>
      <c r="K149" s="93">
        <v>45996</v>
      </c>
      <c r="L149" s="93">
        <v>46360</v>
      </c>
      <c r="M149" s="14">
        <v>1</v>
      </c>
      <c r="N149" s="14">
        <v>1000000000000</v>
      </c>
      <c r="O149" s="56">
        <v>100</v>
      </c>
      <c r="P149" s="56">
        <v>0</v>
      </c>
      <c r="Q149" s="14">
        <v>1000000000000</v>
      </c>
      <c r="R149">
        <v>6.9</v>
      </c>
      <c r="S149" t="s">
        <v>1184</v>
      </c>
      <c r="T149" s="57">
        <f>IF(Dealps[[#This Row],[MATURITY_DATE]]-Dealps[[#This Row],[POSTED_DT]]&lt;0,0,IF(Dealps[[#This Row],[VALUE_DATE]]-Dealps[[#This Row],[POSTED_DT]]&gt;0,Dealps[[#This Row],[MATURITY_DATE]]-Dealps[[#This Row],[VALUE_DATE]],Dealps[[#This Row],[MATURITY_DATE]]-Dealps[[#This Row],[POSTED_DT]]))</f>
        <v>98</v>
      </c>
      <c r="U149" s="25">
        <f>IF(Dealps[[#This Row],[TENOR]]=0,0,IF(Dealps[[#This Row],[DEAL_TYPE]]="B",Dealps[[#This Row],[FACE_AMOUNT]],-Dealps[[#This Row],[FACE_AMOUNT]]))</f>
        <v>1000000000000</v>
      </c>
      <c r="V149" s="25">
        <f>_xlfn.XLOOKUP(Dealps[[#This Row],[PAPER_CODE]],FNRP!D:D,FNRP!H:H,0,0)/100*Dealps[[#This Row],[AMOUNT]]</f>
        <v>0</v>
      </c>
      <c r="W149" s="57" t="str">
        <f>IF(Dealps[[#This Row],[TRANSACTION_STATUS]]&lt;&gt;"V","Ngoai BS",IF(Dealps[[#This Row],[POSTED_DT]]&gt;=Dealps[[#This Row],[VALUE_DATE]],"On BS","Off BS"))</f>
        <v>On BS</v>
      </c>
      <c r="X149" s="25">
        <f>SUMIFS(U:U,C:C,Dealps[[#This Row],[PAPER_CODE]])</f>
        <v>1000000000000</v>
      </c>
      <c r="Y149" s="25">
        <f>_xlfn.XLOOKUP(Dealps[[#This Row],[DEAL_ID]],Ref!N:N,Ref!Q:Q,0,0)</f>
        <v>0</v>
      </c>
      <c r="Z149" s="25" t="str">
        <f>IF(Dealps[[#This Row],[CPTY_CODE]]=Dealps[[#This Row],[CPTY_CODE_ISSUER]],"Yes","No")</f>
        <v>Yes</v>
      </c>
      <c r="AA149" s="25"/>
      <c r="AC149" s="14"/>
      <c r="AG149" s="96"/>
      <c r="AH149" s="14"/>
      <c r="AI149"/>
      <c r="AN149" s="14"/>
      <c r="AV149" s="36"/>
      <c r="AW149" s="14"/>
      <c r="AX149" s="234"/>
      <c r="AY149" s="96"/>
      <c r="AZ149" s="14"/>
      <c r="BA149"/>
      <c r="BB149" s="93">
        <v>46262</v>
      </c>
      <c r="BC149">
        <v>4397</v>
      </c>
      <c r="BD149" s="56" t="s">
        <v>1297</v>
      </c>
      <c r="BE149" t="s">
        <v>1011</v>
      </c>
      <c r="BF149" t="s">
        <v>1015</v>
      </c>
      <c r="BG149" t="s">
        <v>364</v>
      </c>
      <c r="BH149" t="s">
        <v>1013</v>
      </c>
      <c r="BI149" t="s">
        <v>311</v>
      </c>
      <c r="BJ149" s="93">
        <v>46176</v>
      </c>
      <c r="BK149" s="93">
        <v>46176</v>
      </c>
      <c r="BL149" s="93">
        <v>46176</v>
      </c>
      <c r="BM149" s="93">
        <v>46898</v>
      </c>
      <c r="BN149" s="14">
        <v>1</v>
      </c>
      <c r="BO149" s="14">
        <v>10000000000</v>
      </c>
      <c r="BP149" s="56">
        <v>100</v>
      </c>
      <c r="BQ149" s="56">
        <v>0</v>
      </c>
      <c r="BR149" s="14">
        <v>10020958904</v>
      </c>
      <c r="BS149">
        <v>8.4929950000000005</v>
      </c>
      <c r="BT149" t="s">
        <v>1184</v>
      </c>
      <c r="BU149" s="25">
        <f>_xlfn.XLOOKUP(Dealps_MSB[[#This Row],[DEAL_ID]],Ref!V:V,Ref!X:X,0,0)</f>
        <v>0</v>
      </c>
      <c r="BV149"/>
    </row>
    <row r="150" spans="1:74" x14ac:dyDescent="0.3">
      <c r="A150" s="93">
        <v>46262</v>
      </c>
      <c r="B150">
        <v>3105</v>
      </c>
      <c r="C150" s="56" t="s">
        <v>1061</v>
      </c>
      <c r="D150" t="s">
        <v>312</v>
      </c>
      <c r="E150" t="s">
        <v>957</v>
      </c>
      <c r="F150" t="s">
        <v>364</v>
      </c>
      <c r="G150" t="s">
        <v>310</v>
      </c>
      <c r="H150" t="s">
        <v>300</v>
      </c>
      <c r="I150" s="93">
        <v>45999</v>
      </c>
      <c r="J150" s="93">
        <v>45999</v>
      </c>
      <c r="K150" s="93">
        <v>45999</v>
      </c>
      <c r="L150" s="93">
        <v>46343</v>
      </c>
      <c r="M150" s="14">
        <v>1</v>
      </c>
      <c r="N150" s="14">
        <v>500000000000</v>
      </c>
      <c r="O150" s="56">
        <v>100.02521602100001</v>
      </c>
      <c r="P150" s="56">
        <v>0</v>
      </c>
      <c r="Q150" s="14">
        <v>501852107500</v>
      </c>
      <c r="R150">
        <v>6.2500929999999997</v>
      </c>
      <c r="S150" t="s">
        <v>1184</v>
      </c>
      <c r="T150" s="57">
        <f>IF(Dealps[[#This Row],[MATURITY_DATE]]-Dealps[[#This Row],[POSTED_DT]]&lt;0,0,IF(Dealps[[#This Row],[VALUE_DATE]]-Dealps[[#This Row],[POSTED_DT]]&gt;0,Dealps[[#This Row],[MATURITY_DATE]]-Dealps[[#This Row],[VALUE_DATE]],Dealps[[#This Row],[MATURITY_DATE]]-Dealps[[#This Row],[POSTED_DT]]))</f>
        <v>81</v>
      </c>
      <c r="U150" s="25">
        <f>IF(Dealps[[#This Row],[TENOR]]=0,0,IF(Dealps[[#This Row],[DEAL_TYPE]]="B",Dealps[[#This Row],[FACE_AMOUNT]],-Dealps[[#This Row],[FACE_AMOUNT]]))</f>
        <v>500000000000</v>
      </c>
      <c r="V150" s="25">
        <f>_xlfn.XLOOKUP(Dealps[[#This Row],[PAPER_CODE]],FNRP!D:D,FNRP!H:H,0,0)/100*Dealps[[#This Row],[AMOUNT]]</f>
        <v>0</v>
      </c>
      <c r="W150" s="57" t="str">
        <f>IF(Dealps[[#This Row],[TRANSACTION_STATUS]]&lt;&gt;"V","Ngoai BS",IF(Dealps[[#This Row],[POSTED_DT]]&gt;=Dealps[[#This Row],[VALUE_DATE]],"On BS","Off BS"))</f>
        <v>On BS</v>
      </c>
      <c r="X150" s="25">
        <f>SUMIFS(U:U,C:C,Dealps[[#This Row],[PAPER_CODE]])</f>
        <v>1500000000000</v>
      </c>
      <c r="Y150" s="25">
        <f>_xlfn.XLOOKUP(Dealps[[#This Row],[DEAL_ID]],Ref!N:N,Ref!Q:Q,0,0)</f>
        <v>0</v>
      </c>
      <c r="Z150" s="25" t="str">
        <f>IF(Dealps[[#This Row],[CPTY_CODE]]=Dealps[[#This Row],[CPTY_CODE_ISSUER]],"Yes","No")</f>
        <v>No</v>
      </c>
      <c r="AA150" s="25"/>
      <c r="AC150" s="14"/>
      <c r="AG150" s="96"/>
      <c r="AH150" s="14"/>
      <c r="AI150"/>
      <c r="AN150" s="14"/>
      <c r="AV150" s="36"/>
      <c r="AW150" s="14"/>
      <c r="AX150" s="234"/>
      <c r="AY150" s="96"/>
      <c r="AZ150" s="14"/>
      <c r="BA150"/>
      <c r="BB150" s="93">
        <v>46262</v>
      </c>
      <c r="BC150">
        <v>4398</v>
      </c>
      <c r="BD150" s="56" t="s">
        <v>1297</v>
      </c>
      <c r="BE150" t="s">
        <v>1011</v>
      </c>
      <c r="BF150" t="s">
        <v>1015</v>
      </c>
      <c r="BG150" t="s">
        <v>364</v>
      </c>
      <c r="BH150" t="s">
        <v>1013</v>
      </c>
      <c r="BI150" t="s">
        <v>311</v>
      </c>
      <c r="BJ150" s="93">
        <v>46176</v>
      </c>
      <c r="BK150" s="93">
        <v>46176</v>
      </c>
      <c r="BL150" s="93">
        <v>46176</v>
      </c>
      <c r="BM150" s="93">
        <v>46898</v>
      </c>
      <c r="BN150" s="14">
        <v>1</v>
      </c>
      <c r="BO150" s="14">
        <v>10000000000</v>
      </c>
      <c r="BP150" s="56">
        <v>100</v>
      </c>
      <c r="BQ150" s="56">
        <v>0</v>
      </c>
      <c r="BR150" s="14">
        <v>10020958904</v>
      </c>
      <c r="BS150">
        <v>8.4929950000000005</v>
      </c>
      <c r="BT150" t="s">
        <v>1184</v>
      </c>
      <c r="BU150" s="25">
        <f>_xlfn.XLOOKUP(Dealps_MSB[[#This Row],[DEAL_ID]],Ref!V:V,Ref!X:X,0,0)</f>
        <v>0</v>
      </c>
      <c r="BV150"/>
    </row>
    <row r="151" spans="1:74" x14ac:dyDescent="0.3">
      <c r="A151" s="93">
        <v>46262</v>
      </c>
      <c r="B151">
        <v>3106</v>
      </c>
      <c r="C151" s="56" t="s">
        <v>1061</v>
      </c>
      <c r="D151" t="s">
        <v>312</v>
      </c>
      <c r="E151" t="s">
        <v>957</v>
      </c>
      <c r="F151" t="s">
        <v>364</v>
      </c>
      <c r="G151" t="s">
        <v>310</v>
      </c>
      <c r="H151" t="s">
        <v>300</v>
      </c>
      <c r="I151" s="93">
        <v>45999</v>
      </c>
      <c r="J151" s="93">
        <v>45999</v>
      </c>
      <c r="K151" s="93">
        <v>45999</v>
      </c>
      <c r="L151" s="93">
        <v>46343</v>
      </c>
      <c r="M151" s="14">
        <v>1</v>
      </c>
      <c r="N151" s="14">
        <v>500000000000</v>
      </c>
      <c r="O151" s="56">
        <v>100.02521602100001</v>
      </c>
      <c r="P151" s="56">
        <v>0</v>
      </c>
      <c r="Q151" s="14">
        <v>501852107500</v>
      </c>
      <c r="R151">
        <v>6.2500929999999997</v>
      </c>
      <c r="S151" t="s">
        <v>1184</v>
      </c>
      <c r="T151" s="57">
        <f>IF(Dealps[[#This Row],[MATURITY_DATE]]-Dealps[[#This Row],[POSTED_DT]]&lt;0,0,IF(Dealps[[#This Row],[VALUE_DATE]]-Dealps[[#This Row],[POSTED_DT]]&gt;0,Dealps[[#This Row],[MATURITY_DATE]]-Dealps[[#This Row],[VALUE_DATE]],Dealps[[#This Row],[MATURITY_DATE]]-Dealps[[#This Row],[POSTED_DT]]))</f>
        <v>81</v>
      </c>
      <c r="U151" s="25">
        <f>IF(Dealps[[#This Row],[TENOR]]=0,0,IF(Dealps[[#This Row],[DEAL_TYPE]]="B",Dealps[[#This Row],[FACE_AMOUNT]],-Dealps[[#This Row],[FACE_AMOUNT]]))</f>
        <v>500000000000</v>
      </c>
      <c r="V151" s="25">
        <f>_xlfn.XLOOKUP(Dealps[[#This Row],[PAPER_CODE]],FNRP!D:D,FNRP!H:H,0,0)/100*Dealps[[#This Row],[AMOUNT]]</f>
        <v>0</v>
      </c>
      <c r="W151" s="57" t="str">
        <f>IF(Dealps[[#This Row],[TRANSACTION_STATUS]]&lt;&gt;"V","Ngoai BS",IF(Dealps[[#This Row],[POSTED_DT]]&gt;=Dealps[[#This Row],[VALUE_DATE]],"On BS","Off BS"))</f>
        <v>On BS</v>
      </c>
      <c r="X151" s="25">
        <f>SUMIFS(U:U,C:C,Dealps[[#This Row],[PAPER_CODE]])</f>
        <v>1500000000000</v>
      </c>
      <c r="Y151" s="25">
        <f>_xlfn.XLOOKUP(Dealps[[#This Row],[DEAL_ID]],Ref!N:N,Ref!Q:Q,0,0)</f>
        <v>0</v>
      </c>
      <c r="Z151" s="25" t="str">
        <f>IF(Dealps[[#This Row],[CPTY_CODE]]=Dealps[[#This Row],[CPTY_CODE_ISSUER]],"Yes","No")</f>
        <v>No</v>
      </c>
      <c r="AA151" s="25"/>
      <c r="AC151" s="14"/>
      <c r="AG151" s="96"/>
      <c r="AH151" s="14"/>
      <c r="AI151"/>
      <c r="AN151" s="14"/>
      <c r="AV151" s="36"/>
      <c r="AW151" s="14"/>
      <c r="AX151" s="234"/>
      <c r="AY151" s="96"/>
      <c r="AZ151" s="14"/>
      <c r="BA151"/>
      <c r="BB151" s="93">
        <v>46262</v>
      </c>
      <c r="BC151">
        <v>4399</v>
      </c>
      <c r="BD151" s="56" t="s">
        <v>1297</v>
      </c>
      <c r="BE151" t="s">
        <v>1011</v>
      </c>
      <c r="BF151" t="s">
        <v>1015</v>
      </c>
      <c r="BG151" t="s">
        <v>364</v>
      </c>
      <c r="BH151" t="s">
        <v>1013</v>
      </c>
      <c r="BI151" t="s">
        <v>311</v>
      </c>
      <c r="BJ151" s="93">
        <v>46176</v>
      </c>
      <c r="BK151" s="93">
        <v>46176</v>
      </c>
      <c r="BL151" s="93">
        <v>46176</v>
      </c>
      <c r="BM151" s="93">
        <v>46898</v>
      </c>
      <c r="BN151" s="14">
        <v>1</v>
      </c>
      <c r="BO151" s="14">
        <v>10000000000</v>
      </c>
      <c r="BP151" s="56">
        <v>100</v>
      </c>
      <c r="BQ151" s="56">
        <v>0</v>
      </c>
      <c r="BR151" s="14">
        <v>10020958904</v>
      </c>
      <c r="BS151">
        <v>8.4929950000000005</v>
      </c>
      <c r="BT151" t="s">
        <v>1184</v>
      </c>
      <c r="BU151" s="25">
        <f>_xlfn.XLOOKUP(Dealps_MSB[[#This Row],[DEAL_ID]],Ref!V:V,Ref!X:X,0,0)</f>
        <v>0</v>
      </c>
      <c r="BV151"/>
    </row>
    <row r="152" spans="1:74" x14ac:dyDescent="0.3">
      <c r="A152" s="93">
        <v>46262</v>
      </c>
      <c r="B152">
        <v>3137</v>
      </c>
      <c r="C152" s="56" t="s">
        <v>1114</v>
      </c>
      <c r="D152" t="s">
        <v>473</v>
      </c>
      <c r="E152" t="s">
        <v>308</v>
      </c>
      <c r="F152" t="s">
        <v>364</v>
      </c>
      <c r="G152" t="s">
        <v>310</v>
      </c>
      <c r="H152" t="s">
        <v>300</v>
      </c>
      <c r="I152" s="93">
        <v>46001</v>
      </c>
      <c r="J152" s="93">
        <v>46015</v>
      </c>
      <c r="K152" s="93">
        <v>46015</v>
      </c>
      <c r="L152" s="93">
        <v>46295</v>
      </c>
      <c r="M152" s="14">
        <v>1</v>
      </c>
      <c r="N152" s="14">
        <v>500000000000</v>
      </c>
      <c r="O152" s="56">
        <v>99.942857563000004</v>
      </c>
      <c r="P152" s="56">
        <v>0</v>
      </c>
      <c r="Q152" s="14">
        <v>506207438499.99994</v>
      </c>
      <c r="R152">
        <v>6</v>
      </c>
      <c r="S152" t="s">
        <v>1184</v>
      </c>
      <c r="T152" s="57">
        <f>IF(Dealps[[#This Row],[MATURITY_DATE]]-Dealps[[#This Row],[POSTED_DT]]&lt;0,0,IF(Dealps[[#This Row],[VALUE_DATE]]-Dealps[[#This Row],[POSTED_DT]]&gt;0,Dealps[[#This Row],[MATURITY_DATE]]-Dealps[[#This Row],[VALUE_DATE]],Dealps[[#This Row],[MATURITY_DATE]]-Dealps[[#This Row],[POSTED_DT]]))</f>
        <v>33</v>
      </c>
      <c r="U152" s="25">
        <f>IF(Dealps[[#This Row],[TENOR]]=0,0,IF(Dealps[[#This Row],[DEAL_TYPE]]="B",Dealps[[#This Row],[FACE_AMOUNT]],-Dealps[[#This Row],[FACE_AMOUNT]]))</f>
        <v>500000000000</v>
      </c>
      <c r="V152" s="25">
        <f>_xlfn.XLOOKUP(Dealps[[#This Row],[PAPER_CODE]],FNRP!D:D,FNRP!H:H,0,0)/100*Dealps[[#This Row],[AMOUNT]]</f>
        <v>0</v>
      </c>
      <c r="W152" s="57" t="str">
        <f>IF(Dealps[[#This Row],[TRANSACTION_STATUS]]&lt;&gt;"V","Ngoai BS",IF(Dealps[[#This Row],[POSTED_DT]]&gt;=Dealps[[#This Row],[VALUE_DATE]],"On BS","Off BS"))</f>
        <v>On BS</v>
      </c>
      <c r="X152" s="25">
        <f>SUMIFS(U:U,C:C,Dealps[[#This Row],[PAPER_CODE]])</f>
        <v>0</v>
      </c>
      <c r="Y152" s="25">
        <f>_xlfn.XLOOKUP(Dealps[[#This Row],[DEAL_ID]],Ref!N:N,Ref!Q:Q,0,0)</f>
        <v>0</v>
      </c>
      <c r="Z152" s="25" t="str">
        <f>IF(Dealps[[#This Row],[CPTY_CODE]]=Dealps[[#This Row],[CPTY_CODE_ISSUER]],"Yes","No")</f>
        <v>No</v>
      </c>
      <c r="AA152" s="25"/>
      <c r="AC152" s="14"/>
      <c r="AG152" s="96"/>
      <c r="AH152" s="14"/>
      <c r="AI152"/>
      <c r="AN152" s="14"/>
      <c r="AV152" s="36"/>
      <c r="AW152" s="14"/>
      <c r="AX152" s="234"/>
      <c r="AY152" s="96"/>
      <c r="AZ152" s="14"/>
      <c r="BA152"/>
      <c r="BB152" s="93">
        <v>46262</v>
      </c>
      <c r="BC152">
        <v>4427</v>
      </c>
      <c r="BD152" s="56" t="s">
        <v>1297</v>
      </c>
      <c r="BE152" t="s">
        <v>1011</v>
      </c>
      <c r="BF152" t="s">
        <v>1015</v>
      </c>
      <c r="BG152" t="s">
        <v>364</v>
      </c>
      <c r="BH152" t="s">
        <v>1013</v>
      </c>
      <c r="BI152" t="s">
        <v>311</v>
      </c>
      <c r="BJ152" s="93">
        <v>46181</v>
      </c>
      <c r="BK152" s="93">
        <v>46181</v>
      </c>
      <c r="BL152" s="93">
        <v>46181</v>
      </c>
      <c r="BM152" s="93">
        <v>46898</v>
      </c>
      <c r="BN152" s="14">
        <v>1</v>
      </c>
      <c r="BO152" s="14">
        <v>10000000000</v>
      </c>
      <c r="BP152" s="56">
        <v>100</v>
      </c>
      <c r="BQ152" s="56">
        <v>0</v>
      </c>
      <c r="BR152" s="14">
        <v>10032602740</v>
      </c>
      <c r="BS152">
        <v>8.4892330000000005</v>
      </c>
      <c r="BT152" t="s">
        <v>1184</v>
      </c>
      <c r="BU152" s="25">
        <f>_xlfn.XLOOKUP(Dealps_MSB[[#This Row],[DEAL_ID]],Ref!V:V,Ref!X:X,0,0)</f>
        <v>0</v>
      </c>
      <c r="BV152"/>
    </row>
    <row r="153" spans="1:74" x14ac:dyDescent="0.3">
      <c r="A153" s="93">
        <v>46262</v>
      </c>
      <c r="B153">
        <v>3138</v>
      </c>
      <c r="C153" s="56" t="s">
        <v>1114</v>
      </c>
      <c r="D153" t="s">
        <v>473</v>
      </c>
      <c r="E153" t="s">
        <v>308</v>
      </c>
      <c r="F153" t="s">
        <v>364</v>
      </c>
      <c r="G153" t="s">
        <v>310</v>
      </c>
      <c r="H153" t="s">
        <v>311</v>
      </c>
      <c r="I153" s="93">
        <v>46001</v>
      </c>
      <c r="J153" s="93">
        <v>46028</v>
      </c>
      <c r="K153" s="93">
        <v>46029</v>
      </c>
      <c r="L153" s="93">
        <v>46295</v>
      </c>
      <c r="M153" s="14">
        <v>1</v>
      </c>
      <c r="N153" s="14">
        <v>500000000000</v>
      </c>
      <c r="O153" s="56">
        <v>100.003963177</v>
      </c>
      <c r="P153" s="56">
        <v>0</v>
      </c>
      <c r="Q153" s="14">
        <v>507663651499.99994</v>
      </c>
      <c r="R153">
        <v>5.9040679999999996</v>
      </c>
      <c r="S153" t="s">
        <v>1184</v>
      </c>
      <c r="T153" s="57">
        <f>IF(Dealps[[#This Row],[MATURITY_DATE]]-Dealps[[#This Row],[POSTED_DT]]&lt;0,0,IF(Dealps[[#This Row],[VALUE_DATE]]-Dealps[[#This Row],[POSTED_DT]]&gt;0,Dealps[[#This Row],[MATURITY_DATE]]-Dealps[[#This Row],[VALUE_DATE]],Dealps[[#This Row],[MATURITY_DATE]]-Dealps[[#This Row],[POSTED_DT]]))</f>
        <v>33</v>
      </c>
      <c r="U153" s="25">
        <f>IF(Dealps[[#This Row],[TENOR]]=0,0,IF(Dealps[[#This Row],[DEAL_TYPE]]="B",Dealps[[#This Row],[FACE_AMOUNT]],-Dealps[[#This Row],[FACE_AMOUNT]]))</f>
        <v>-500000000000</v>
      </c>
      <c r="V153" s="25">
        <f>_xlfn.XLOOKUP(Dealps[[#This Row],[PAPER_CODE]],FNRP!D:D,FNRP!H:H,0,0)/100*Dealps[[#This Row],[AMOUNT]]</f>
        <v>0</v>
      </c>
      <c r="W153" s="57" t="str">
        <f>IF(Dealps[[#This Row],[TRANSACTION_STATUS]]&lt;&gt;"V","Ngoai BS",IF(Dealps[[#This Row],[POSTED_DT]]&gt;=Dealps[[#This Row],[VALUE_DATE]],"On BS","Off BS"))</f>
        <v>On BS</v>
      </c>
      <c r="X153" s="25">
        <f>SUMIFS(U:U,C:C,Dealps[[#This Row],[PAPER_CODE]])</f>
        <v>0</v>
      </c>
      <c r="Y153" s="25">
        <f>_xlfn.XLOOKUP(Dealps[[#This Row],[DEAL_ID]],Ref!N:N,Ref!Q:Q,0,0)</f>
        <v>0</v>
      </c>
      <c r="Z153" s="25" t="str">
        <f>IF(Dealps[[#This Row],[CPTY_CODE]]=Dealps[[#This Row],[CPTY_CODE_ISSUER]],"Yes","No")</f>
        <v>No</v>
      </c>
      <c r="AA153" s="25"/>
      <c r="AC153" s="14"/>
      <c r="AG153" s="96"/>
      <c r="AH153" s="14"/>
      <c r="AI153"/>
      <c r="AN153" s="14"/>
      <c r="AV153" s="36"/>
      <c r="AW153" s="14"/>
      <c r="AX153" s="234"/>
      <c r="AY153" s="96"/>
      <c r="AZ153" s="14"/>
      <c r="BA153"/>
      <c r="BB153" s="93">
        <v>46262</v>
      </c>
      <c r="BC153">
        <v>4428</v>
      </c>
      <c r="BD153" s="56" t="s">
        <v>1297</v>
      </c>
      <c r="BE153" t="s">
        <v>1011</v>
      </c>
      <c r="BF153" t="s">
        <v>1015</v>
      </c>
      <c r="BG153" t="s">
        <v>364</v>
      </c>
      <c r="BH153" t="s">
        <v>1013</v>
      </c>
      <c r="BI153" t="s">
        <v>311</v>
      </c>
      <c r="BJ153" s="93">
        <v>46181</v>
      </c>
      <c r="BK153" s="93">
        <v>46181</v>
      </c>
      <c r="BL153" s="93">
        <v>46181</v>
      </c>
      <c r="BM153" s="93">
        <v>46898</v>
      </c>
      <c r="BN153" s="14">
        <v>1</v>
      </c>
      <c r="BO153" s="14">
        <v>10000000000</v>
      </c>
      <c r="BP153" s="56">
        <v>100</v>
      </c>
      <c r="BQ153" s="56">
        <v>0</v>
      </c>
      <c r="BR153" s="14">
        <v>10032602740</v>
      </c>
      <c r="BS153">
        <v>8.4892330000000005</v>
      </c>
      <c r="BT153" t="s">
        <v>1184</v>
      </c>
      <c r="BU153" s="25">
        <f>_xlfn.XLOOKUP(Dealps_MSB[[#This Row],[DEAL_ID]],Ref!V:V,Ref!X:X,0,0)</f>
        <v>0</v>
      </c>
      <c r="BV153"/>
    </row>
    <row r="154" spans="1:74" x14ac:dyDescent="0.3">
      <c r="A154" s="93">
        <v>46262</v>
      </c>
      <c r="B154">
        <v>48319</v>
      </c>
      <c r="C154" s="56" t="s">
        <v>392</v>
      </c>
      <c r="D154" t="s">
        <v>313</v>
      </c>
      <c r="E154" t="s">
        <v>342</v>
      </c>
      <c r="F154" t="s">
        <v>35</v>
      </c>
      <c r="G154" t="s">
        <v>310</v>
      </c>
      <c r="H154" t="s">
        <v>311</v>
      </c>
      <c r="I154" s="93">
        <v>46001</v>
      </c>
      <c r="J154" s="93">
        <v>46001</v>
      </c>
      <c r="K154" s="93">
        <v>46003</v>
      </c>
      <c r="L154" s="93">
        <v>46369</v>
      </c>
      <c r="M154" s="14">
        <v>400</v>
      </c>
      <c r="N154" s="14">
        <v>400000000000</v>
      </c>
      <c r="O154" s="56">
        <v>99.999848400000005</v>
      </c>
      <c r="P154" s="56">
        <v>0</v>
      </c>
      <c r="Q154" s="14">
        <v>399999393600</v>
      </c>
      <c r="R154">
        <v>7.0241211899999998</v>
      </c>
      <c r="S154" t="s">
        <v>1184</v>
      </c>
      <c r="T154" s="57">
        <f>IF(Dealps[[#This Row],[MATURITY_DATE]]-Dealps[[#This Row],[POSTED_DT]]&lt;0,0,IF(Dealps[[#This Row],[VALUE_DATE]]-Dealps[[#This Row],[POSTED_DT]]&gt;0,Dealps[[#This Row],[MATURITY_DATE]]-Dealps[[#This Row],[VALUE_DATE]],Dealps[[#This Row],[MATURITY_DATE]]-Dealps[[#This Row],[POSTED_DT]]))</f>
        <v>107</v>
      </c>
      <c r="U154" s="25">
        <f>IF(Dealps[[#This Row],[TENOR]]=0,0,IF(Dealps[[#This Row],[DEAL_TYPE]]="B",Dealps[[#This Row],[FACE_AMOUNT]],-Dealps[[#This Row],[FACE_AMOUNT]]))</f>
        <v>-400000000000</v>
      </c>
      <c r="V154" s="25">
        <f>_xlfn.XLOOKUP(Dealps[[#This Row],[PAPER_CODE]],FNRP!D:D,FNRP!H:H,0,0)/100*Dealps[[#This Row],[AMOUNT]]</f>
        <v>-404036967091.99994</v>
      </c>
      <c r="W154" s="57" t="str">
        <f>IF(Dealps[[#This Row],[TRANSACTION_STATUS]]&lt;&gt;"V","Ngoai BS",IF(Dealps[[#This Row],[POSTED_DT]]&gt;=Dealps[[#This Row],[VALUE_DATE]],"On BS","Off BS"))</f>
        <v>On BS</v>
      </c>
      <c r="X154" s="25">
        <f>SUMIFS(U:U,C:C,Dealps[[#This Row],[PAPER_CODE]])</f>
        <v>400000000000</v>
      </c>
      <c r="Y154" s="25">
        <f>_xlfn.XLOOKUP(Dealps[[#This Row],[DEAL_ID]],Ref!N:N,Ref!Q:Q,0,0)</f>
        <v>0</v>
      </c>
      <c r="Z154" s="25" t="str">
        <f>IF(Dealps[[#This Row],[CPTY_CODE]]=Dealps[[#This Row],[CPTY_CODE_ISSUER]],"Yes","No")</f>
        <v>No</v>
      </c>
      <c r="AA154" s="25"/>
      <c r="AC154" s="14"/>
      <c r="AG154" s="96"/>
      <c r="AH154" s="14"/>
      <c r="AI154"/>
      <c r="AN154" s="14"/>
      <c r="AV154" s="36"/>
      <c r="AW154" s="14"/>
      <c r="AX154" s="234"/>
      <c r="AY154" s="96"/>
      <c r="AZ154" s="14"/>
      <c r="BA154"/>
      <c r="BB154" s="93">
        <v>46262</v>
      </c>
      <c r="BC154">
        <v>4429</v>
      </c>
      <c r="BD154" s="56" t="s">
        <v>1297</v>
      </c>
      <c r="BE154" t="s">
        <v>1011</v>
      </c>
      <c r="BF154" t="s">
        <v>1015</v>
      </c>
      <c r="BG154" t="s">
        <v>364</v>
      </c>
      <c r="BH154" t="s">
        <v>1013</v>
      </c>
      <c r="BI154" t="s">
        <v>311</v>
      </c>
      <c r="BJ154" s="93">
        <v>46181</v>
      </c>
      <c r="BK154" s="93">
        <v>46181</v>
      </c>
      <c r="BL154" s="93">
        <v>46181</v>
      </c>
      <c r="BM154" s="93">
        <v>46898</v>
      </c>
      <c r="BN154" s="14">
        <v>1</v>
      </c>
      <c r="BO154" s="14">
        <v>10000000000</v>
      </c>
      <c r="BP154" s="56">
        <v>100</v>
      </c>
      <c r="BQ154" s="56">
        <v>0</v>
      </c>
      <c r="BR154" s="14">
        <v>10032602740</v>
      </c>
      <c r="BS154">
        <v>8.4892330000000005</v>
      </c>
      <c r="BT154" t="s">
        <v>1184</v>
      </c>
      <c r="BU154" s="25">
        <f>_xlfn.XLOOKUP(Dealps_MSB[[#This Row],[DEAL_ID]],Ref!V:V,Ref!X:X,0,0)</f>
        <v>0</v>
      </c>
      <c r="BV154"/>
    </row>
    <row r="155" spans="1:74" x14ac:dyDescent="0.3">
      <c r="A155" s="93">
        <v>46262</v>
      </c>
      <c r="B155">
        <v>3153</v>
      </c>
      <c r="C155" s="56" t="s">
        <v>1061</v>
      </c>
      <c r="D155" t="s">
        <v>312</v>
      </c>
      <c r="E155" t="s">
        <v>636</v>
      </c>
      <c r="F155" t="s">
        <v>364</v>
      </c>
      <c r="G155" t="s">
        <v>310</v>
      </c>
      <c r="H155" t="s">
        <v>311</v>
      </c>
      <c r="I155" s="93">
        <v>46003</v>
      </c>
      <c r="J155" s="93">
        <v>46006</v>
      </c>
      <c r="K155" s="93">
        <v>46006</v>
      </c>
      <c r="L155" s="93">
        <v>46343</v>
      </c>
      <c r="M155" s="14">
        <v>1</v>
      </c>
      <c r="N155" s="14">
        <v>250000000000</v>
      </c>
      <c r="O155" s="56">
        <v>100.026992803</v>
      </c>
      <c r="P155" s="56">
        <v>0</v>
      </c>
      <c r="Q155" s="14">
        <v>251232550500.00003</v>
      </c>
      <c r="R155">
        <v>6.24</v>
      </c>
      <c r="S155" t="s">
        <v>1184</v>
      </c>
      <c r="T155" s="57">
        <f>IF(Dealps[[#This Row],[MATURITY_DATE]]-Dealps[[#This Row],[POSTED_DT]]&lt;0,0,IF(Dealps[[#This Row],[VALUE_DATE]]-Dealps[[#This Row],[POSTED_DT]]&gt;0,Dealps[[#This Row],[MATURITY_DATE]]-Dealps[[#This Row],[VALUE_DATE]],Dealps[[#This Row],[MATURITY_DATE]]-Dealps[[#This Row],[POSTED_DT]]))</f>
        <v>81</v>
      </c>
      <c r="U155" s="25">
        <f>IF(Dealps[[#This Row],[TENOR]]=0,0,IF(Dealps[[#This Row],[DEAL_TYPE]]="B",Dealps[[#This Row],[FACE_AMOUNT]],-Dealps[[#This Row],[FACE_AMOUNT]]))</f>
        <v>-250000000000</v>
      </c>
      <c r="V155" s="25">
        <f>_xlfn.XLOOKUP(Dealps[[#This Row],[PAPER_CODE]],FNRP!D:D,FNRP!H:H,0,0)/100*Dealps[[#This Row],[AMOUNT]]</f>
        <v>0</v>
      </c>
      <c r="W155" s="57" t="str">
        <f>IF(Dealps[[#This Row],[TRANSACTION_STATUS]]&lt;&gt;"V","Ngoai BS",IF(Dealps[[#This Row],[POSTED_DT]]&gt;=Dealps[[#This Row],[VALUE_DATE]],"On BS","Off BS"))</f>
        <v>On BS</v>
      </c>
      <c r="X155" s="25">
        <f>SUMIFS(U:U,C:C,Dealps[[#This Row],[PAPER_CODE]])</f>
        <v>1500000000000</v>
      </c>
      <c r="Y155" s="25">
        <f>_xlfn.XLOOKUP(Dealps[[#This Row],[DEAL_ID]],Ref!N:N,Ref!Q:Q,0,0)</f>
        <v>0</v>
      </c>
      <c r="Z155" s="25" t="str">
        <f>IF(Dealps[[#This Row],[CPTY_CODE]]=Dealps[[#This Row],[CPTY_CODE_ISSUER]],"Yes","No")</f>
        <v>No</v>
      </c>
      <c r="AA155" s="25"/>
      <c r="AC155" s="14"/>
      <c r="AG155" s="96"/>
      <c r="AH155" s="14"/>
      <c r="AI155"/>
      <c r="AN155" s="14"/>
      <c r="AV155" s="36"/>
      <c r="AW155" s="14"/>
      <c r="AX155" s="234"/>
      <c r="AY155" s="96"/>
      <c r="AZ155" s="14"/>
      <c r="BA155"/>
      <c r="BB155" s="93">
        <v>46262</v>
      </c>
      <c r="BC155">
        <v>4430</v>
      </c>
      <c r="BD155" s="56" t="s">
        <v>1297</v>
      </c>
      <c r="BE155" t="s">
        <v>1011</v>
      </c>
      <c r="BF155" t="s">
        <v>1015</v>
      </c>
      <c r="BG155" t="s">
        <v>364</v>
      </c>
      <c r="BH155" t="s">
        <v>1013</v>
      </c>
      <c r="BI155" t="s">
        <v>311</v>
      </c>
      <c r="BJ155" s="93">
        <v>46181</v>
      </c>
      <c r="BK155" s="93">
        <v>46181</v>
      </c>
      <c r="BL155" s="93">
        <v>46181</v>
      </c>
      <c r="BM155" s="93">
        <v>46898</v>
      </c>
      <c r="BN155" s="14">
        <v>1</v>
      </c>
      <c r="BO155" s="14">
        <v>10000000000</v>
      </c>
      <c r="BP155" s="56">
        <v>100</v>
      </c>
      <c r="BQ155" s="56">
        <v>0</v>
      </c>
      <c r="BR155" s="14">
        <v>10032602740</v>
      </c>
      <c r="BS155">
        <v>8.4892330000000005</v>
      </c>
      <c r="BT155" t="s">
        <v>1184</v>
      </c>
      <c r="BU155" s="25">
        <f>_xlfn.XLOOKUP(Dealps_MSB[[#This Row],[DEAL_ID]],Ref!V:V,Ref!X:X,0,0)</f>
        <v>0</v>
      </c>
      <c r="BV155"/>
    </row>
    <row r="156" spans="1:74" x14ac:dyDescent="0.3">
      <c r="A156" s="93">
        <v>46262</v>
      </c>
      <c r="B156">
        <v>3154</v>
      </c>
      <c r="C156" s="56" t="s">
        <v>1004</v>
      </c>
      <c r="D156" t="s">
        <v>324</v>
      </c>
      <c r="E156" t="s">
        <v>939</v>
      </c>
      <c r="F156" t="s">
        <v>364</v>
      </c>
      <c r="G156" t="s">
        <v>310</v>
      </c>
      <c r="H156" t="s">
        <v>300</v>
      </c>
      <c r="I156" s="93">
        <v>46003</v>
      </c>
      <c r="J156" s="93">
        <v>46001</v>
      </c>
      <c r="K156" s="93">
        <v>46003</v>
      </c>
      <c r="L156" s="93">
        <v>46323</v>
      </c>
      <c r="M156" s="14">
        <v>1</v>
      </c>
      <c r="N156" s="14">
        <v>200000000000</v>
      </c>
      <c r="O156" s="56">
        <v>100.186455393</v>
      </c>
      <c r="P156" s="56">
        <v>0</v>
      </c>
      <c r="Q156" s="14">
        <v>201891814896</v>
      </c>
      <c r="R156">
        <v>6.0302829999999998</v>
      </c>
      <c r="S156" t="s">
        <v>1184</v>
      </c>
      <c r="T156" s="57">
        <f>IF(Dealps[[#This Row],[MATURITY_DATE]]-Dealps[[#This Row],[POSTED_DT]]&lt;0,0,IF(Dealps[[#This Row],[VALUE_DATE]]-Dealps[[#This Row],[POSTED_DT]]&gt;0,Dealps[[#This Row],[MATURITY_DATE]]-Dealps[[#This Row],[VALUE_DATE]],Dealps[[#This Row],[MATURITY_DATE]]-Dealps[[#This Row],[POSTED_DT]]))</f>
        <v>61</v>
      </c>
      <c r="U156" s="25">
        <f>IF(Dealps[[#This Row],[TENOR]]=0,0,IF(Dealps[[#This Row],[DEAL_TYPE]]="B",Dealps[[#This Row],[FACE_AMOUNT]],-Dealps[[#This Row],[FACE_AMOUNT]]))</f>
        <v>200000000000</v>
      </c>
      <c r="V156" s="25">
        <f>_xlfn.XLOOKUP(Dealps[[#This Row],[PAPER_CODE]],FNRP!D:D,FNRP!H:H,0,0)/100*Dealps[[#This Row],[AMOUNT]]</f>
        <v>0</v>
      </c>
      <c r="W156" s="57" t="str">
        <f>IF(Dealps[[#This Row],[TRANSACTION_STATUS]]&lt;&gt;"V","Ngoai BS",IF(Dealps[[#This Row],[POSTED_DT]]&gt;=Dealps[[#This Row],[VALUE_DATE]],"On BS","Off BS"))</f>
        <v>On BS</v>
      </c>
      <c r="X156" s="25">
        <f>SUMIFS(U:U,C:C,Dealps[[#This Row],[PAPER_CODE]])</f>
        <v>500000000000</v>
      </c>
      <c r="Y156" s="25">
        <f>_xlfn.XLOOKUP(Dealps[[#This Row],[DEAL_ID]],Ref!N:N,Ref!Q:Q,0,0)</f>
        <v>0</v>
      </c>
      <c r="Z156" s="25" t="str">
        <f>IF(Dealps[[#This Row],[CPTY_CODE]]=Dealps[[#This Row],[CPTY_CODE_ISSUER]],"Yes","No")</f>
        <v>No</v>
      </c>
      <c r="AA156" s="25"/>
      <c r="AC156" s="14"/>
      <c r="AG156" s="96"/>
      <c r="AH156" s="14"/>
      <c r="AI156"/>
      <c r="AN156" s="14"/>
      <c r="AV156" s="36"/>
      <c r="AW156" s="14"/>
      <c r="AX156" s="234"/>
      <c r="AY156" s="96"/>
      <c r="AZ156" s="14"/>
      <c r="BA156"/>
      <c r="BB156" s="93">
        <v>46262</v>
      </c>
      <c r="BC156">
        <v>4431</v>
      </c>
      <c r="BD156" s="56" t="s">
        <v>1297</v>
      </c>
      <c r="BE156" t="s">
        <v>1011</v>
      </c>
      <c r="BF156" t="s">
        <v>1015</v>
      </c>
      <c r="BG156" t="s">
        <v>364</v>
      </c>
      <c r="BH156" t="s">
        <v>1013</v>
      </c>
      <c r="BI156" t="s">
        <v>311</v>
      </c>
      <c r="BJ156" s="93">
        <v>46181</v>
      </c>
      <c r="BK156" s="93">
        <v>46181</v>
      </c>
      <c r="BL156" s="93">
        <v>46181</v>
      </c>
      <c r="BM156" s="93">
        <v>46898</v>
      </c>
      <c r="BN156" s="14">
        <v>1</v>
      </c>
      <c r="BO156" s="14">
        <v>10000000000</v>
      </c>
      <c r="BP156" s="56">
        <v>100</v>
      </c>
      <c r="BQ156" s="56">
        <v>0</v>
      </c>
      <c r="BR156" s="14">
        <v>10032602740</v>
      </c>
      <c r="BS156">
        <v>8.4892330000000005</v>
      </c>
      <c r="BT156" t="s">
        <v>1184</v>
      </c>
      <c r="BU156" s="25">
        <f>_xlfn.XLOOKUP(Dealps_MSB[[#This Row],[DEAL_ID]],Ref!V:V,Ref!X:X,0,0)</f>
        <v>0</v>
      </c>
      <c r="BV156"/>
    </row>
    <row r="157" spans="1:74" x14ac:dyDescent="0.3">
      <c r="A157" s="93">
        <v>46262</v>
      </c>
      <c r="B157">
        <v>3160</v>
      </c>
      <c r="C157" s="56" t="s">
        <v>1116</v>
      </c>
      <c r="D157" t="s">
        <v>384</v>
      </c>
      <c r="E157" t="s">
        <v>325</v>
      </c>
      <c r="F157" t="s">
        <v>364</v>
      </c>
      <c r="G157" t="s">
        <v>310</v>
      </c>
      <c r="H157" t="s">
        <v>300</v>
      </c>
      <c r="I157" s="93">
        <v>46006</v>
      </c>
      <c r="J157" s="93">
        <v>46007</v>
      </c>
      <c r="K157" s="93">
        <v>46007</v>
      </c>
      <c r="L157" s="93">
        <v>46346</v>
      </c>
      <c r="M157" s="14">
        <v>1</v>
      </c>
      <c r="N157" s="14">
        <v>200000000000</v>
      </c>
      <c r="O157" s="56">
        <v>101.11727310000001</v>
      </c>
      <c r="P157" s="56">
        <v>0</v>
      </c>
      <c r="Q157" s="14">
        <v>203234546200</v>
      </c>
      <c r="R157">
        <v>6</v>
      </c>
      <c r="S157" t="s">
        <v>1184</v>
      </c>
      <c r="T157" s="57">
        <f>IF(Dealps[[#This Row],[MATURITY_DATE]]-Dealps[[#This Row],[POSTED_DT]]&lt;0,0,IF(Dealps[[#This Row],[VALUE_DATE]]-Dealps[[#This Row],[POSTED_DT]]&gt;0,Dealps[[#This Row],[MATURITY_DATE]]-Dealps[[#This Row],[VALUE_DATE]],Dealps[[#This Row],[MATURITY_DATE]]-Dealps[[#This Row],[POSTED_DT]]))</f>
        <v>84</v>
      </c>
      <c r="U157" s="25">
        <f>IF(Dealps[[#This Row],[TENOR]]=0,0,IF(Dealps[[#This Row],[DEAL_TYPE]]="B",Dealps[[#This Row],[FACE_AMOUNT]],-Dealps[[#This Row],[FACE_AMOUNT]]))</f>
        <v>200000000000</v>
      </c>
      <c r="V157" s="25">
        <f>_xlfn.XLOOKUP(Dealps[[#This Row],[PAPER_CODE]],FNRP!D:D,FNRP!H:H,0,0)/100*Dealps[[#This Row],[AMOUNT]]</f>
        <v>0</v>
      </c>
      <c r="W157" s="57" t="str">
        <f>IF(Dealps[[#This Row],[TRANSACTION_STATUS]]&lt;&gt;"V","Ngoai BS",IF(Dealps[[#This Row],[POSTED_DT]]&gt;=Dealps[[#This Row],[VALUE_DATE]],"On BS","Off BS"))</f>
        <v>On BS</v>
      </c>
      <c r="X157" s="25">
        <f>SUMIFS(U:U,C:C,Dealps[[#This Row],[PAPER_CODE]])</f>
        <v>0</v>
      </c>
      <c r="Y157" s="25">
        <f>_xlfn.XLOOKUP(Dealps[[#This Row],[DEAL_ID]],Ref!N:N,Ref!Q:Q,0,0)</f>
        <v>0</v>
      </c>
      <c r="Z157" s="25" t="str">
        <f>IF(Dealps[[#This Row],[CPTY_CODE]]=Dealps[[#This Row],[CPTY_CODE_ISSUER]],"Yes","No")</f>
        <v>No</v>
      </c>
      <c r="AA157" s="25"/>
      <c r="AC157" s="14"/>
      <c r="AG157" s="96"/>
      <c r="AH157" s="14"/>
      <c r="AI157"/>
      <c r="AN157" s="14"/>
      <c r="AV157" s="36"/>
      <c r="AW157" s="14"/>
      <c r="AX157" s="234"/>
      <c r="AY157" s="96"/>
      <c r="AZ157" s="14"/>
      <c r="BA157"/>
      <c r="BB157" s="93">
        <v>46262</v>
      </c>
      <c r="BC157">
        <v>4460</v>
      </c>
      <c r="BD157" s="56" t="s">
        <v>1297</v>
      </c>
      <c r="BE157" t="s">
        <v>1011</v>
      </c>
      <c r="BF157" t="s">
        <v>1015</v>
      </c>
      <c r="BG157" t="s">
        <v>364</v>
      </c>
      <c r="BH157" t="s">
        <v>1013</v>
      </c>
      <c r="BI157" t="s">
        <v>311</v>
      </c>
      <c r="BJ157" s="93">
        <v>46183</v>
      </c>
      <c r="BK157" s="93">
        <v>46183</v>
      </c>
      <c r="BL157" s="93">
        <v>46183</v>
      </c>
      <c r="BM157" s="93">
        <v>46898</v>
      </c>
      <c r="BN157" s="14">
        <v>1</v>
      </c>
      <c r="BO157" s="14">
        <v>10000000000</v>
      </c>
      <c r="BP157" s="56">
        <v>100</v>
      </c>
      <c r="BQ157" s="56">
        <v>0</v>
      </c>
      <c r="BR157" s="14">
        <v>10037260274</v>
      </c>
      <c r="BS157">
        <v>8.4877540000000007</v>
      </c>
      <c r="BT157" t="s">
        <v>1184</v>
      </c>
      <c r="BU157" s="25">
        <f>_xlfn.XLOOKUP(Dealps_MSB[[#This Row],[DEAL_ID]],Ref!V:V,Ref!X:X,0,0)</f>
        <v>0</v>
      </c>
      <c r="BV157"/>
    </row>
    <row r="158" spans="1:74" x14ac:dyDescent="0.3">
      <c r="A158" s="93">
        <v>46262</v>
      </c>
      <c r="B158">
        <v>3161</v>
      </c>
      <c r="C158" s="56" t="s">
        <v>1116</v>
      </c>
      <c r="D158" t="s">
        <v>384</v>
      </c>
      <c r="E158" t="s">
        <v>325</v>
      </c>
      <c r="F158" t="s">
        <v>364</v>
      </c>
      <c r="G158" t="s">
        <v>310</v>
      </c>
      <c r="H158" t="s">
        <v>311</v>
      </c>
      <c r="I158" s="93">
        <v>46006</v>
      </c>
      <c r="J158" s="93">
        <v>46010</v>
      </c>
      <c r="K158" s="93">
        <v>46010</v>
      </c>
      <c r="L158" s="93">
        <v>46346</v>
      </c>
      <c r="M158" s="14">
        <v>1</v>
      </c>
      <c r="N158" s="14">
        <v>200000000000</v>
      </c>
      <c r="O158" s="56">
        <v>101.13770390000001</v>
      </c>
      <c r="P158" s="56">
        <v>0</v>
      </c>
      <c r="Q158" s="14">
        <v>203395407800</v>
      </c>
      <c r="R158">
        <v>5.9628699999999997</v>
      </c>
      <c r="S158" t="s">
        <v>1184</v>
      </c>
      <c r="T158" s="57">
        <f>IF(Dealps[[#This Row],[MATURITY_DATE]]-Dealps[[#This Row],[POSTED_DT]]&lt;0,0,IF(Dealps[[#This Row],[VALUE_DATE]]-Dealps[[#This Row],[POSTED_DT]]&gt;0,Dealps[[#This Row],[MATURITY_DATE]]-Dealps[[#This Row],[VALUE_DATE]],Dealps[[#This Row],[MATURITY_DATE]]-Dealps[[#This Row],[POSTED_DT]]))</f>
        <v>84</v>
      </c>
      <c r="U158" s="25">
        <f>IF(Dealps[[#This Row],[TENOR]]=0,0,IF(Dealps[[#This Row],[DEAL_TYPE]]="B",Dealps[[#This Row],[FACE_AMOUNT]],-Dealps[[#This Row],[FACE_AMOUNT]]))</f>
        <v>-200000000000</v>
      </c>
      <c r="V158" s="25">
        <f>_xlfn.XLOOKUP(Dealps[[#This Row],[PAPER_CODE]],FNRP!D:D,FNRP!H:H,0,0)/100*Dealps[[#This Row],[AMOUNT]]</f>
        <v>0</v>
      </c>
      <c r="W158" s="57" t="str">
        <f>IF(Dealps[[#This Row],[TRANSACTION_STATUS]]&lt;&gt;"V","Ngoai BS",IF(Dealps[[#This Row],[POSTED_DT]]&gt;=Dealps[[#This Row],[VALUE_DATE]],"On BS","Off BS"))</f>
        <v>On BS</v>
      </c>
      <c r="X158" s="25">
        <f>SUMIFS(U:U,C:C,Dealps[[#This Row],[PAPER_CODE]])</f>
        <v>0</v>
      </c>
      <c r="Y158" s="25">
        <f>_xlfn.XLOOKUP(Dealps[[#This Row],[DEAL_ID]],Ref!N:N,Ref!Q:Q,0,0)</f>
        <v>0</v>
      </c>
      <c r="Z158" s="25" t="str">
        <f>IF(Dealps[[#This Row],[CPTY_CODE]]=Dealps[[#This Row],[CPTY_CODE_ISSUER]],"Yes","No")</f>
        <v>No</v>
      </c>
      <c r="AA158" s="25"/>
      <c r="AC158" s="14"/>
      <c r="AG158" s="96"/>
      <c r="AH158" s="14"/>
      <c r="AI158"/>
      <c r="AN158" s="14"/>
      <c r="AV158" s="36"/>
      <c r="AW158" s="14"/>
      <c r="AX158" s="234"/>
      <c r="AY158" s="96"/>
      <c r="AZ158" s="14"/>
      <c r="BA158"/>
      <c r="BB158" s="93">
        <v>46262</v>
      </c>
      <c r="BC158">
        <v>4461</v>
      </c>
      <c r="BD158" s="56" t="s">
        <v>1297</v>
      </c>
      <c r="BE158" t="s">
        <v>1011</v>
      </c>
      <c r="BF158" t="s">
        <v>1015</v>
      </c>
      <c r="BG158" t="s">
        <v>364</v>
      </c>
      <c r="BH158" t="s">
        <v>1013</v>
      </c>
      <c r="BI158" t="s">
        <v>311</v>
      </c>
      <c r="BJ158" s="93">
        <v>46183</v>
      </c>
      <c r="BK158" s="93">
        <v>46183</v>
      </c>
      <c r="BL158" s="93">
        <v>46183</v>
      </c>
      <c r="BM158" s="93">
        <v>46898</v>
      </c>
      <c r="BN158" s="14">
        <v>1</v>
      </c>
      <c r="BO158" s="14">
        <v>10000000000</v>
      </c>
      <c r="BP158" s="56">
        <v>100</v>
      </c>
      <c r="BQ158" s="56">
        <v>0</v>
      </c>
      <c r="BR158" s="14">
        <v>10037260274</v>
      </c>
      <c r="BS158">
        <v>8.4877540000000007</v>
      </c>
      <c r="BT158" t="s">
        <v>1184</v>
      </c>
      <c r="BU158" s="25">
        <f>_xlfn.XLOOKUP(Dealps_MSB[[#This Row],[DEAL_ID]],Ref!V:V,Ref!X:X,0,0)</f>
        <v>0</v>
      </c>
      <c r="BV158"/>
    </row>
    <row r="159" spans="1:74" x14ac:dyDescent="0.3">
      <c r="A159" s="93">
        <v>46262</v>
      </c>
      <c r="B159">
        <v>3162</v>
      </c>
      <c r="C159" s="56" t="s">
        <v>1116</v>
      </c>
      <c r="D159" t="s">
        <v>384</v>
      </c>
      <c r="E159" t="s">
        <v>325</v>
      </c>
      <c r="F159" t="s">
        <v>364</v>
      </c>
      <c r="G159" t="s">
        <v>310</v>
      </c>
      <c r="H159" t="s">
        <v>300</v>
      </c>
      <c r="I159" s="93">
        <v>46006</v>
      </c>
      <c r="J159" s="93">
        <v>46013</v>
      </c>
      <c r="K159" s="93">
        <v>46013</v>
      </c>
      <c r="L159" s="93">
        <v>46346</v>
      </c>
      <c r="M159" s="14">
        <v>1</v>
      </c>
      <c r="N159" s="14">
        <v>200000000000</v>
      </c>
      <c r="O159" s="56">
        <v>101.09229670000001</v>
      </c>
      <c r="P159" s="56">
        <v>0</v>
      </c>
      <c r="Q159" s="14">
        <v>203424593400</v>
      </c>
      <c r="R159">
        <v>6</v>
      </c>
      <c r="S159" t="s">
        <v>1184</v>
      </c>
      <c r="T159" s="57">
        <f>IF(Dealps[[#This Row],[MATURITY_DATE]]-Dealps[[#This Row],[POSTED_DT]]&lt;0,0,IF(Dealps[[#This Row],[VALUE_DATE]]-Dealps[[#This Row],[POSTED_DT]]&gt;0,Dealps[[#This Row],[MATURITY_DATE]]-Dealps[[#This Row],[VALUE_DATE]],Dealps[[#This Row],[MATURITY_DATE]]-Dealps[[#This Row],[POSTED_DT]]))</f>
        <v>84</v>
      </c>
      <c r="U159" s="25">
        <f>IF(Dealps[[#This Row],[TENOR]]=0,0,IF(Dealps[[#This Row],[DEAL_TYPE]]="B",Dealps[[#This Row],[FACE_AMOUNT]],-Dealps[[#This Row],[FACE_AMOUNT]]))</f>
        <v>200000000000</v>
      </c>
      <c r="V159" s="25">
        <f>_xlfn.XLOOKUP(Dealps[[#This Row],[PAPER_CODE]],FNRP!D:D,FNRP!H:H,0,0)/100*Dealps[[#This Row],[AMOUNT]]</f>
        <v>0</v>
      </c>
      <c r="W159" s="57" t="str">
        <f>IF(Dealps[[#This Row],[TRANSACTION_STATUS]]&lt;&gt;"V","Ngoai BS",IF(Dealps[[#This Row],[POSTED_DT]]&gt;=Dealps[[#This Row],[VALUE_DATE]],"On BS","Off BS"))</f>
        <v>On BS</v>
      </c>
      <c r="X159" s="25">
        <f>SUMIFS(U:U,C:C,Dealps[[#This Row],[PAPER_CODE]])</f>
        <v>0</v>
      </c>
      <c r="Y159" s="25">
        <f>_xlfn.XLOOKUP(Dealps[[#This Row],[DEAL_ID]],Ref!N:N,Ref!Q:Q,0,0)</f>
        <v>0</v>
      </c>
      <c r="Z159" s="25" t="str">
        <f>IF(Dealps[[#This Row],[CPTY_CODE]]=Dealps[[#This Row],[CPTY_CODE_ISSUER]],"Yes","No")</f>
        <v>No</v>
      </c>
      <c r="AA159" s="25"/>
      <c r="AC159" s="14"/>
      <c r="AG159" s="96"/>
      <c r="AH159" s="14"/>
      <c r="AI159"/>
      <c r="AN159" s="14"/>
      <c r="AV159" s="36"/>
      <c r="AW159" s="14"/>
      <c r="AX159" s="234"/>
      <c r="AY159" s="96"/>
      <c r="AZ159" s="14"/>
      <c r="BA159"/>
      <c r="BB159" s="93">
        <v>46262</v>
      </c>
      <c r="BC159">
        <v>4462</v>
      </c>
      <c r="BD159" s="56" t="s">
        <v>1297</v>
      </c>
      <c r="BE159" t="s">
        <v>1011</v>
      </c>
      <c r="BF159" t="s">
        <v>1015</v>
      </c>
      <c r="BG159" t="s">
        <v>364</v>
      </c>
      <c r="BH159" t="s">
        <v>1013</v>
      </c>
      <c r="BI159" t="s">
        <v>311</v>
      </c>
      <c r="BJ159" s="93">
        <v>46183</v>
      </c>
      <c r="BK159" s="93">
        <v>46183</v>
      </c>
      <c r="BL159" s="93">
        <v>46183</v>
      </c>
      <c r="BM159" s="93">
        <v>46898</v>
      </c>
      <c r="BN159" s="14">
        <v>1</v>
      </c>
      <c r="BO159" s="14">
        <v>10000000000</v>
      </c>
      <c r="BP159" s="56">
        <v>100</v>
      </c>
      <c r="BQ159" s="56">
        <v>0</v>
      </c>
      <c r="BR159" s="14">
        <v>10037260274</v>
      </c>
      <c r="BS159">
        <v>8.4877540000000007</v>
      </c>
      <c r="BT159" t="s">
        <v>1184</v>
      </c>
      <c r="BU159" s="25">
        <f>_xlfn.XLOOKUP(Dealps_MSB[[#This Row],[DEAL_ID]],Ref!V:V,Ref!X:X,0,0)</f>
        <v>0</v>
      </c>
      <c r="BV159"/>
    </row>
    <row r="160" spans="1:74" x14ac:dyDescent="0.3">
      <c r="A160" s="93">
        <v>46262</v>
      </c>
      <c r="B160">
        <v>3163</v>
      </c>
      <c r="C160" s="56" t="s">
        <v>1116</v>
      </c>
      <c r="D160" t="s">
        <v>384</v>
      </c>
      <c r="E160" t="s">
        <v>325</v>
      </c>
      <c r="F160" t="s">
        <v>364</v>
      </c>
      <c r="G160" t="s">
        <v>310</v>
      </c>
      <c r="H160" t="s">
        <v>311</v>
      </c>
      <c r="I160" s="93">
        <v>46006</v>
      </c>
      <c r="J160" s="93">
        <v>46016</v>
      </c>
      <c r="K160" s="93">
        <v>46016</v>
      </c>
      <c r="L160" s="93">
        <v>46346</v>
      </c>
      <c r="M160" s="14">
        <v>1</v>
      </c>
      <c r="N160" s="14">
        <v>200000000000</v>
      </c>
      <c r="O160" s="56">
        <v>101.1128027</v>
      </c>
      <c r="P160" s="56">
        <v>0</v>
      </c>
      <c r="Q160" s="14">
        <v>203585605400</v>
      </c>
      <c r="R160">
        <v>5.9622809999999999</v>
      </c>
      <c r="S160" t="s">
        <v>1184</v>
      </c>
      <c r="T160" s="57">
        <f>IF(Dealps[[#This Row],[MATURITY_DATE]]-Dealps[[#This Row],[POSTED_DT]]&lt;0,0,IF(Dealps[[#This Row],[VALUE_DATE]]-Dealps[[#This Row],[POSTED_DT]]&gt;0,Dealps[[#This Row],[MATURITY_DATE]]-Dealps[[#This Row],[VALUE_DATE]],Dealps[[#This Row],[MATURITY_DATE]]-Dealps[[#This Row],[POSTED_DT]]))</f>
        <v>84</v>
      </c>
      <c r="U160" s="25">
        <f>IF(Dealps[[#This Row],[TENOR]]=0,0,IF(Dealps[[#This Row],[DEAL_TYPE]]="B",Dealps[[#This Row],[FACE_AMOUNT]],-Dealps[[#This Row],[FACE_AMOUNT]]))</f>
        <v>-200000000000</v>
      </c>
      <c r="V160" s="25">
        <f>_xlfn.XLOOKUP(Dealps[[#This Row],[PAPER_CODE]],FNRP!D:D,FNRP!H:H,0,0)/100*Dealps[[#This Row],[AMOUNT]]</f>
        <v>0</v>
      </c>
      <c r="W160" s="57" t="str">
        <f>IF(Dealps[[#This Row],[TRANSACTION_STATUS]]&lt;&gt;"V","Ngoai BS",IF(Dealps[[#This Row],[POSTED_DT]]&gt;=Dealps[[#This Row],[VALUE_DATE]],"On BS","Off BS"))</f>
        <v>On BS</v>
      </c>
      <c r="X160" s="25">
        <f>SUMIFS(U:U,C:C,Dealps[[#This Row],[PAPER_CODE]])</f>
        <v>0</v>
      </c>
      <c r="Y160" s="25">
        <f>_xlfn.XLOOKUP(Dealps[[#This Row],[DEAL_ID]],Ref!N:N,Ref!Q:Q,0,0)</f>
        <v>0</v>
      </c>
      <c r="Z160" s="25" t="str">
        <f>IF(Dealps[[#This Row],[CPTY_CODE]]=Dealps[[#This Row],[CPTY_CODE_ISSUER]],"Yes","No")</f>
        <v>No</v>
      </c>
      <c r="AA160" s="25"/>
      <c r="AC160" s="14"/>
      <c r="AG160" s="96"/>
      <c r="AH160" s="14"/>
      <c r="AI160"/>
      <c r="AN160" s="14"/>
      <c r="AV160" s="36"/>
      <c r="AW160" s="14"/>
      <c r="AX160" s="234"/>
      <c r="AY160" s="96"/>
      <c r="AZ160" s="14"/>
      <c r="BA160"/>
      <c r="BB160" s="93">
        <v>46262</v>
      </c>
      <c r="BC160">
        <v>4463</v>
      </c>
      <c r="BD160" s="56" t="s">
        <v>1297</v>
      </c>
      <c r="BE160" t="s">
        <v>1011</v>
      </c>
      <c r="BF160" t="s">
        <v>1015</v>
      </c>
      <c r="BG160" t="s">
        <v>364</v>
      </c>
      <c r="BH160" t="s">
        <v>1013</v>
      </c>
      <c r="BI160" t="s">
        <v>311</v>
      </c>
      <c r="BJ160" s="93">
        <v>46183</v>
      </c>
      <c r="BK160" s="93">
        <v>46183</v>
      </c>
      <c r="BL160" s="93">
        <v>46183</v>
      </c>
      <c r="BM160" s="93">
        <v>46898</v>
      </c>
      <c r="BN160" s="14">
        <v>1</v>
      </c>
      <c r="BO160" s="14">
        <v>10000000000</v>
      </c>
      <c r="BP160" s="56">
        <v>100</v>
      </c>
      <c r="BQ160" s="56">
        <v>0</v>
      </c>
      <c r="BR160" s="14">
        <v>10037260274</v>
      </c>
      <c r="BS160">
        <v>8.4877540000000007</v>
      </c>
      <c r="BT160" t="s">
        <v>1184</v>
      </c>
      <c r="BU160" s="25">
        <f>_xlfn.XLOOKUP(Dealps_MSB[[#This Row],[DEAL_ID]],Ref!V:V,Ref!X:X,0,0)</f>
        <v>0</v>
      </c>
      <c r="BV160"/>
    </row>
    <row r="161" spans="1:74" x14ac:dyDescent="0.3">
      <c r="A161" s="93">
        <v>46262</v>
      </c>
      <c r="B161">
        <v>48345</v>
      </c>
      <c r="C161" s="56" t="s">
        <v>392</v>
      </c>
      <c r="D161" t="s">
        <v>313</v>
      </c>
      <c r="E161" t="s">
        <v>342</v>
      </c>
      <c r="F161" t="s">
        <v>35</v>
      </c>
      <c r="G161" t="s">
        <v>310</v>
      </c>
      <c r="H161" t="s">
        <v>300</v>
      </c>
      <c r="I161" s="93">
        <v>46006</v>
      </c>
      <c r="J161" s="93">
        <v>46006</v>
      </c>
      <c r="K161" s="93">
        <v>46006</v>
      </c>
      <c r="L161" s="93">
        <v>46369</v>
      </c>
      <c r="M161" s="14">
        <v>400</v>
      </c>
      <c r="N161" s="14">
        <v>400000000000</v>
      </c>
      <c r="O161" s="56">
        <v>100.0897183</v>
      </c>
      <c r="P161" s="56">
        <v>0</v>
      </c>
      <c r="Q161" s="14">
        <v>400358873200</v>
      </c>
      <c r="R161">
        <v>6.7175322599999996</v>
      </c>
      <c r="S161" t="s">
        <v>1184</v>
      </c>
      <c r="T161" s="57">
        <f>IF(Dealps[[#This Row],[MATURITY_DATE]]-Dealps[[#This Row],[POSTED_DT]]&lt;0,0,IF(Dealps[[#This Row],[VALUE_DATE]]-Dealps[[#This Row],[POSTED_DT]]&gt;0,Dealps[[#This Row],[MATURITY_DATE]]-Dealps[[#This Row],[VALUE_DATE]],Dealps[[#This Row],[MATURITY_DATE]]-Dealps[[#This Row],[POSTED_DT]]))</f>
        <v>107</v>
      </c>
      <c r="U161" s="25">
        <f>IF(Dealps[[#This Row],[TENOR]]=0,0,IF(Dealps[[#This Row],[DEAL_TYPE]]="B",Dealps[[#This Row],[FACE_AMOUNT]],-Dealps[[#This Row],[FACE_AMOUNT]]))</f>
        <v>400000000000</v>
      </c>
      <c r="V161" s="25">
        <f>_xlfn.XLOOKUP(Dealps[[#This Row],[PAPER_CODE]],FNRP!D:D,FNRP!H:H,0,0)/100*Dealps[[#This Row],[AMOUNT]]</f>
        <v>404036967091.99994</v>
      </c>
      <c r="W161" s="57" t="str">
        <f>IF(Dealps[[#This Row],[TRANSACTION_STATUS]]&lt;&gt;"V","Ngoai BS",IF(Dealps[[#This Row],[POSTED_DT]]&gt;=Dealps[[#This Row],[VALUE_DATE]],"On BS","Off BS"))</f>
        <v>On BS</v>
      </c>
      <c r="X161" s="25">
        <f>SUMIFS(U:U,C:C,Dealps[[#This Row],[PAPER_CODE]])</f>
        <v>400000000000</v>
      </c>
      <c r="Y161" s="25">
        <f>_xlfn.XLOOKUP(Dealps[[#This Row],[DEAL_ID]],Ref!N:N,Ref!Q:Q,0,0)</f>
        <v>0</v>
      </c>
      <c r="Z161" s="25" t="str">
        <f>IF(Dealps[[#This Row],[CPTY_CODE]]=Dealps[[#This Row],[CPTY_CODE_ISSUER]],"Yes","No")</f>
        <v>No</v>
      </c>
      <c r="AA161" s="25"/>
      <c r="AC161" s="14"/>
      <c r="AG161" s="96"/>
      <c r="AH161" s="14"/>
      <c r="AI161"/>
      <c r="AN161" s="14"/>
      <c r="AV161" s="36"/>
      <c r="AW161" s="14"/>
      <c r="AX161" s="234"/>
      <c r="AY161" s="96"/>
      <c r="AZ161" s="14"/>
      <c r="BA161"/>
      <c r="BB161" s="93">
        <v>46262</v>
      </c>
      <c r="BC161">
        <v>4464</v>
      </c>
      <c r="BD161" s="56" t="s">
        <v>1297</v>
      </c>
      <c r="BE161" t="s">
        <v>1011</v>
      </c>
      <c r="BF161" t="s">
        <v>1015</v>
      </c>
      <c r="BG161" t="s">
        <v>364</v>
      </c>
      <c r="BH161" t="s">
        <v>1013</v>
      </c>
      <c r="BI161" t="s">
        <v>311</v>
      </c>
      <c r="BJ161" s="93">
        <v>46183</v>
      </c>
      <c r="BK161" s="93">
        <v>46183</v>
      </c>
      <c r="BL161" s="93">
        <v>46183</v>
      </c>
      <c r="BM161" s="93">
        <v>46898</v>
      </c>
      <c r="BN161" s="14">
        <v>1</v>
      </c>
      <c r="BO161" s="14">
        <v>10000000000</v>
      </c>
      <c r="BP161" s="56">
        <v>100</v>
      </c>
      <c r="BQ161" s="56">
        <v>0</v>
      </c>
      <c r="BR161" s="14">
        <v>10037260274</v>
      </c>
      <c r="BS161">
        <v>8.4877540000000007</v>
      </c>
      <c r="BT161" t="s">
        <v>1184</v>
      </c>
      <c r="BU161" s="25">
        <f>_xlfn.XLOOKUP(Dealps_MSB[[#This Row],[DEAL_ID]],Ref!V:V,Ref!X:X,0,0)</f>
        <v>0</v>
      </c>
      <c r="BV161"/>
    </row>
    <row r="162" spans="1:74" x14ac:dyDescent="0.3">
      <c r="A162" s="93">
        <v>46262</v>
      </c>
      <c r="B162">
        <v>3201</v>
      </c>
      <c r="C162" s="56" t="s">
        <v>1061</v>
      </c>
      <c r="D162" t="s">
        <v>312</v>
      </c>
      <c r="E162" t="s">
        <v>384</v>
      </c>
      <c r="F162" t="s">
        <v>364</v>
      </c>
      <c r="G162" t="s">
        <v>310</v>
      </c>
      <c r="H162" t="s">
        <v>300</v>
      </c>
      <c r="I162" s="93">
        <v>46013</v>
      </c>
      <c r="J162" s="93">
        <v>46009</v>
      </c>
      <c r="K162" s="93">
        <v>46013</v>
      </c>
      <c r="L162" s="93">
        <v>46343</v>
      </c>
      <c r="M162" s="14">
        <v>1</v>
      </c>
      <c r="N162" s="14">
        <v>250000000000</v>
      </c>
      <c r="O162" s="56">
        <v>100.219302985</v>
      </c>
      <c r="P162" s="56">
        <v>0</v>
      </c>
      <c r="Q162" s="14">
        <v>252015380749.99997</v>
      </c>
      <c r="R162">
        <v>6.0089959999999998</v>
      </c>
      <c r="S162" t="s">
        <v>1184</v>
      </c>
      <c r="T162" s="57">
        <f>IF(Dealps[[#This Row],[MATURITY_DATE]]-Dealps[[#This Row],[POSTED_DT]]&lt;0,0,IF(Dealps[[#This Row],[VALUE_DATE]]-Dealps[[#This Row],[POSTED_DT]]&gt;0,Dealps[[#This Row],[MATURITY_DATE]]-Dealps[[#This Row],[VALUE_DATE]],Dealps[[#This Row],[MATURITY_DATE]]-Dealps[[#This Row],[POSTED_DT]]))</f>
        <v>81</v>
      </c>
      <c r="U162" s="25">
        <f>IF(Dealps[[#This Row],[TENOR]]=0,0,IF(Dealps[[#This Row],[DEAL_TYPE]]="B",Dealps[[#This Row],[FACE_AMOUNT]],-Dealps[[#This Row],[FACE_AMOUNT]]))</f>
        <v>250000000000</v>
      </c>
      <c r="V162" s="25">
        <f>_xlfn.XLOOKUP(Dealps[[#This Row],[PAPER_CODE]],FNRP!D:D,FNRP!H:H,0,0)/100*Dealps[[#This Row],[AMOUNT]]</f>
        <v>0</v>
      </c>
      <c r="W162" s="57" t="str">
        <f>IF(Dealps[[#This Row],[TRANSACTION_STATUS]]&lt;&gt;"V","Ngoai BS",IF(Dealps[[#This Row],[POSTED_DT]]&gt;=Dealps[[#This Row],[VALUE_DATE]],"On BS","Off BS"))</f>
        <v>On BS</v>
      </c>
      <c r="X162" s="25">
        <f>SUMIFS(U:U,C:C,Dealps[[#This Row],[PAPER_CODE]])</f>
        <v>1500000000000</v>
      </c>
      <c r="Y162" s="25">
        <f>_xlfn.XLOOKUP(Dealps[[#This Row],[DEAL_ID]],Ref!N:N,Ref!Q:Q,0,0)</f>
        <v>0</v>
      </c>
      <c r="Z162" s="25" t="str">
        <f>IF(Dealps[[#This Row],[CPTY_CODE]]=Dealps[[#This Row],[CPTY_CODE_ISSUER]],"Yes","No")</f>
        <v>No</v>
      </c>
      <c r="AA162" s="25"/>
      <c r="AC162" s="14"/>
      <c r="AG162" s="96"/>
      <c r="AH162" s="14"/>
      <c r="AI162"/>
      <c r="AN162" s="14"/>
      <c r="AV162" s="36"/>
      <c r="AW162" s="14"/>
      <c r="AX162" s="234"/>
      <c r="AY162" s="96"/>
      <c r="AZ162" s="14"/>
      <c r="BA162"/>
      <c r="BB162" s="93">
        <v>46262</v>
      </c>
      <c r="BC162">
        <v>4492</v>
      </c>
      <c r="BD162" s="56" t="s">
        <v>1297</v>
      </c>
      <c r="BE162" t="s">
        <v>1011</v>
      </c>
      <c r="BF162" t="s">
        <v>1015</v>
      </c>
      <c r="BG162" t="s">
        <v>364</v>
      </c>
      <c r="BH162" t="s">
        <v>1013</v>
      </c>
      <c r="BI162" t="s">
        <v>311</v>
      </c>
      <c r="BJ162" s="93">
        <v>46188</v>
      </c>
      <c r="BK162" s="93">
        <v>46188</v>
      </c>
      <c r="BL162" s="93">
        <v>46188</v>
      </c>
      <c r="BM162" s="93">
        <v>46898</v>
      </c>
      <c r="BN162" s="14">
        <v>1</v>
      </c>
      <c r="BO162" s="14">
        <v>10000000000</v>
      </c>
      <c r="BP162" s="56">
        <v>100</v>
      </c>
      <c r="BQ162" s="56">
        <v>0</v>
      </c>
      <c r="BR162" s="14">
        <v>10048904110</v>
      </c>
      <c r="BS162">
        <v>8.4841250000000006</v>
      </c>
      <c r="BT162" t="s">
        <v>1184</v>
      </c>
      <c r="BU162" s="25">
        <f>_xlfn.XLOOKUP(Dealps_MSB[[#This Row],[DEAL_ID]],Ref!V:V,Ref!X:X,0,0)</f>
        <v>0</v>
      </c>
      <c r="BV162"/>
    </row>
    <row r="163" spans="1:74" x14ac:dyDescent="0.3">
      <c r="A163" s="93">
        <v>46262</v>
      </c>
      <c r="B163">
        <v>3203</v>
      </c>
      <c r="C163" s="56" t="s">
        <v>1061</v>
      </c>
      <c r="D163" t="s">
        <v>312</v>
      </c>
      <c r="E163" t="s">
        <v>315</v>
      </c>
      <c r="F163" t="s">
        <v>364</v>
      </c>
      <c r="G163" t="s">
        <v>310</v>
      </c>
      <c r="H163" t="s">
        <v>311</v>
      </c>
      <c r="I163" s="93">
        <v>46013</v>
      </c>
      <c r="J163" s="93">
        <v>46013</v>
      </c>
      <c r="K163" s="93">
        <v>46015</v>
      </c>
      <c r="L163" s="93">
        <v>46343</v>
      </c>
      <c r="M163" s="14">
        <v>1</v>
      </c>
      <c r="N163" s="14">
        <v>1000000000000</v>
      </c>
      <c r="O163" s="56">
        <v>100.069469637</v>
      </c>
      <c r="P163" s="56">
        <v>0</v>
      </c>
      <c r="Q163" s="14">
        <v>1006908395000</v>
      </c>
      <c r="R163">
        <v>6.18</v>
      </c>
      <c r="S163" t="s">
        <v>1184</v>
      </c>
      <c r="T163" s="57">
        <f>IF(Dealps[[#This Row],[MATURITY_DATE]]-Dealps[[#This Row],[POSTED_DT]]&lt;0,0,IF(Dealps[[#This Row],[VALUE_DATE]]-Dealps[[#This Row],[POSTED_DT]]&gt;0,Dealps[[#This Row],[MATURITY_DATE]]-Dealps[[#This Row],[VALUE_DATE]],Dealps[[#This Row],[MATURITY_DATE]]-Dealps[[#This Row],[POSTED_DT]]))</f>
        <v>81</v>
      </c>
      <c r="U163" s="25">
        <f>IF(Dealps[[#This Row],[TENOR]]=0,0,IF(Dealps[[#This Row],[DEAL_TYPE]]="B",Dealps[[#This Row],[FACE_AMOUNT]],-Dealps[[#This Row],[FACE_AMOUNT]]))</f>
        <v>-1000000000000</v>
      </c>
      <c r="V163" s="25">
        <f>_xlfn.XLOOKUP(Dealps[[#This Row],[PAPER_CODE]],FNRP!D:D,FNRP!H:H,0,0)/100*Dealps[[#This Row],[AMOUNT]]</f>
        <v>0</v>
      </c>
      <c r="W163" s="57" t="str">
        <f>IF(Dealps[[#This Row],[TRANSACTION_STATUS]]&lt;&gt;"V","Ngoai BS",IF(Dealps[[#This Row],[POSTED_DT]]&gt;=Dealps[[#This Row],[VALUE_DATE]],"On BS","Off BS"))</f>
        <v>On BS</v>
      </c>
      <c r="X163" s="25">
        <f>SUMIFS(U:U,C:C,Dealps[[#This Row],[PAPER_CODE]])</f>
        <v>1500000000000</v>
      </c>
      <c r="Y163" s="25">
        <f>_xlfn.XLOOKUP(Dealps[[#This Row],[DEAL_ID]],Ref!N:N,Ref!Q:Q,0,0)</f>
        <v>0</v>
      </c>
      <c r="Z163" s="25" t="str">
        <f>IF(Dealps[[#This Row],[CPTY_CODE]]=Dealps[[#This Row],[CPTY_CODE_ISSUER]],"Yes","No")</f>
        <v>No</v>
      </c>
      <c r="AA163" s="25"/>
      <c r="AC163" s="14"/>
      <c r="AG163" s="96"/>
      <c r="AH163" s="14"/>
      <c r="AI163"/>
      <c r="AN163" s="14"/>
      <c r="AV163" s="36"/>
      <c r="AW163" s="14"/>
      <c r="AX163" s="234"/>
      <c r="AY163" s="96"/>
      <c r="AZ163" s="14"/>
      <c r="BA163"/>
      <c r="BB163" s="93">
        <v>46262</v>
      </c>
      <c r="BC163">
        <v>4493</v>
      </c>
      <c r="BD163" s="56" t="s">
        <v>1297</v>
      </c>
      <c r="BE163" t="s">
        <v>1011</v>
      </c>
      <c r="BF163" t="s">
        <v>1015</v>
      </c>
      <c r="BG163" t="s">
        <v>364</v>
      </c>
      <c r="BH163" t="s">
        <v>1013</v>
      </c>
      <c r="BI163" t="s">
        <v>311</v>
      </c>
      <c r="BJ163" s="93">
        <v>46188</v>
      </c>
      <c r="BK163" s="93">
        <v>46188</v>
      </c>
      <c r="BL163" s="93">
        <v>46188</v>
      </c>
      <c r="BM163" s="93">
        <v>46898</v>
      </c>
      <c r="BN163" s="14">
        <v>1</v>
      </c>
      <c r="BO163" s="14">
        <v>10000000000</v>
      </c>
      <c r="BP163" s="56">
        <v>100</v>
      </c>
      <c r="BQ163" s="56">
        <v>0</v>
      </c>
      <c r="BR163" s="14">
        <v>10048904110</v>
      </c>
      <c r="BS163">
        <v>8.4841250000000006</v>
      </c>
      <c r="BT163" t="s">
        <v>1184</v>
      </c>
      <c r="BU163" s="25">
        <f>_xlfn.XLOOKUP(Dealps_MSB[[#This Row],[DEAL_ID]],Ref!V:V,Ref!X:X,0,0)</f>
        <v>0</v>
      </c>
      <c r="BV163"/>
    </row>
    <row r="164" spans="1:74" x14ac:dyDescent="0.3">
      <c r="A164" s="93">
        <v>46262</v>
      </c>
      <c r="B164">
        <v>48396</v>
      </c>
      <c r="C164" s="56" t="s">
        <v>638</v>
      </c>
      <c r="D164" t="s">
        <v>328</v>
      </c>
      <c r="E164" t="s">
        <v>320</v>
      </c>
      <c r="F164" t="s">
        <v>39</v>
      </c>
      <c r="G164" t="s">
        <v>310</v>
      </c>
      <c r="H164" t="s">
        <v>300</v>
      </c>
      <c r="I164" s="93">
        <v>46013</v>
      </c>
      <c r="J164" s="93">
        <v>46013</v>
      </c>
      <c r="K164" s="93">
        <v>46014</v>
      </c>
      <c r="L164" s="93">
        <v>48297</v>
      </c>
      <c r="M164" s="14">
        <v>3976106</v>
      </c>
      <c r="N164" s="14">
        <v>397610600000</v>
      </c>
      <c r="O164" s="56">
        <v>100.15169863</v>
      </c>
      <c r="P164" s="56">
        <v>6</v>
      </c>
      <c r="Q164" s="14">
        <v>420226690928</v>
      </c>
      <c r="R164">
        <v>7.9507060029999996</v>
      </c>
      <c r="S164" t="s">
        <v>1184</v>
      </c>
      <c r="T164" s="57">
        <f>IF(Dealps[[#This Row],[MATURITY_DATE]]-Dealps[[#This Row],[POSTED_DT]]&lt;0,0,IF(Dealps[[#This Row],[VALUE_DATE]]-Dealps[[#This Row],[POSTED_DT]]&gt;0,Dealps[[#This Row],[MATURITY_DATE]]-Dealps[[#This Row],[VALUE_DATE]],Dealps[[#This Row],[MATURITY_DATE]]-Dealps[[#This Row],[POSTED_DT]]))</f>
        <v>2035</v>
      </c>
      <c r="U164" s="25">
        <f>IF(Dealps[[#This Row],[TENOR]]=0,0,IF(Dealps[[#This Row],[DEAL_TYPE]]="B",Dealps[[#This Row],[FACE_AMOUNT]],-Dealps[[#This Row],[FACE_AMOUNT]]))</f>
        <v>397610600000</v>
      </c>
      <c r="V164" s="25">
        <f>_xlfn.XLOOKUP(Dealps[[#This Row],[PAPER_CODE]],FNRP!D:D,FNRP!H:H,0,0)/100*Dealps[[#This Row],[AMOUNT]]</f>
        <v>472429195339.61273</v>
      </c>
      <c r="W164" s="57" t="str">
        <f>IF(Dealps[[#This Row],[TRANSACTION_STATUS]]&lt;&gt;"V","Ngoai BS",IF(Dealps[[#This Row],[POSTED_DT]]&gt;=Dealps[[#This Row],[VALUE_DATE]],"On BS","Off BS"))</f>
        <v>On BS</v>
      </c>
      <c r="X164" s="25">
        <f>SUMIFS(U:U,C:C,Dealps[[#This Row],[PAPER_CODE]])</f>
        <v>397610600000</v>
      </c>
      <c r="Y164" s="25">
        <f>_xlfn.XLOOKUP(Dealps[[#This Row],[DEAL_ID]],Ref!N:N,Ref!Q:Q,0,0)</f>
        <v>0</v>
      </c>
      <c r="Z164" s="25" t="str">
        <f>IF(Dealps[[#This Row],[CPTY_CODE]]=Dealps[[#This Row],[CPTY_CODE_ISSUER]],"Yes","No")</f>
        <v>No</v>
      </c>
      <c r="AA164" s="25"/>
      <c r="AC164" s="14"/>
      <c r="AG164" s="96"/>
      <c r="AH164" s="14"/>
      <c r="AI164"/>
      <c r="AN164" s="14"/>
      <c r="AV164" s="36"/>
      <c r="AW164" s="14"/>
      <c r="AX164" s="234"/>
      <c r="AY164" s="96"/>
      <c r="AZ164" s="14"/>
      <c r="BA164"/>
      <c r="BB164" s="93">
        <v>46262</v>
      </c>
      <c r="BC164">
        <v>4494</v>
      </c>
      <c r="BD164" s="56" t="s">
        <v>1297</v>
      </c>
      <c r="BE164" t="s">
        <v>1011</v>
      </c>
      <c r="BF164" t="s">
        <v>1015</v>
      </c>
      <c r="BG164" t="s">
        <v>364</v>
      </c>
      <c r="BH164" t="s">
        <v>1013</v>
      </c>
      <c r="BI164" t="s">
        <v>311</v>
      </c>
      <c r="BJ164" s="93">
        <v>46188</v>
      </c>
      <c r="BK164" s="93">
        <v>46188</v>
      </c>
      <c r="BL164" s="93">
        <v>46188</v>
      </c>
      <c r="BM164" s="93">
        <v>46898</v>
      </c>
      <c r="BN164" s="14">
        <v>1</v>
      </c>
      <c r="BO164" s="14">
        <v>10000000000</v>
      </c>
      <c r="BP164" s="56">
        <v>100</v>
      </c>
      <c r="BQ164" s="56">
        <v>0</v>
      </c>
      <c r="BR164" s="14">
        <v>10048904110</v>
      </c>
      <c r="BS164">
        <v>8.4841250000000006</v>
      </c>
      <c r="BT164" t="s">
        <v>1184</v>
      </c>
      <c r="BU164" s="25">
        <f>_xlfn.XLOOKUP(Dealps_MSB[[#This Row],[DEAL_ID]],Ref!V:V,Ref!X:X,0,0)</f>
        <v>0</v>
      </c>
      <c r="BV164"/>
    </row>
    <row r="165" spans="1:74" x14ac:dyDescent="0.3">
      <c r="A165" s="93">
        <v>46262</v>
      </c>
      <c r="B165">
        <v>3213</v>
      </c>
      <c r="C165" s="56" t="s">
        <v>1061</v>
      </c>
      <c r="D165" t="s">
        <v>312</v>
      </c>
      <c r="E165" t="s">
        <v>384</v>
      </c>
      <c r="F165" t="s">
        <v>364</v>
      </c>
      <c r="G165" t="s">
        <v>310</v>
      </c>
      <c r="H165" t="s">
        <v>300</v>
      </c>
      <c r="I165" s="93">
        <v>46014</v>
      </c>
      <c r="J165" s="93">
        <v>46010</v>
      </c>
      <c r="K165" s="93">
        <v>46014</v>
      </c>
      <c r="L165" s="93">
        <v>46343</v>
      </c>
      <c r="M165" s="14">
        <v>1</v>
      </c>
      <c r="N165" s="14">
        <v>250000000000</v>
      </c>
      <c r="O165" s="56">
        <v>100.21819211099999</v>
      </c>
      <c r="P165" s="56">
        <v>0</v>
      </c>
      <c r="Q165" s="14">
        <v>252055754250</v>
      </c>
      <c r="R165">
        <v>6.0085249999999997</v>
      </c>
      <c r="S165" t="s">
        <v>1184</v>
      </c>
      <c r="T165" s="57">
        <f>IF(Dealps[[#This Row],[MATURITY_DATE]]-Dealps[[#This Row],[POSTED_DT]]&lt;0,0,IF(Dealps[[#This Row],[VALUE_DATE]]-Dealps[[#This Row],[POSTED_DT]]&gt;0,Dealps[[#This Row],[MATURITY_DATE]]-Dealps[[#This Row],[VALUE_DATE]],Dealps[[#This Row],[MATURITY_DATE]]-Dealps[[#This Row],[POSTED_DT]]))</f>
        <v>81</v>
      </c>
      <c r="U165" s="25">
        <f>IF(Dealps[[#This Row],[TENOR]]=0,0,IF(Dealps[[#This Row],[DEAL_TYPE]]="B",Dealps[[#This Row],[FACE_AMOUNT]],-Dealps[[#This Row],[FACE_AMOUNT]]))</f>
        <v>250000000000</v>
      </c>
      <c r="V165" s="25">
        <f>_xlfn.XLOOKUP(Dealps[[#This Row],[PAPER_CODE]],FNRP!D:D,FNRP!H:H,0,0)/100*Dealps[[#This Row],[AMOUNT]]</f>
        <v>0</v>
      </c>
      <c r="W165" s="57" t="str">
        <f>IF(Dealps[[#This Row],[TRANSACTION_STATUS]]&lt;&gt;"V","Ngoai BS",IF(Dealps[[#This Row],[POSTED_DT]]&gt;=Dealps[[#This Row],[VALUE_DATE]],"On BS","Off BS"))</f>
        <v>On BS</v>
      </c>
      <c r="X165" s="25">
        <f>SUMIFS(U:U,C:C,Dealps[[#This Row],[PAPER_CODE]])</f>
        <v>1500000000000</v>
      </c>
      <c r="Y165" s="25">
        <f>_xlfn.XLOOKUP(Dealps[[#This Row],[DEAL_ID]],Ref!N:N,Ref!Q:Q,0,0)</f>
        <v>0</v>
      </c>
      <c r="Z165" s="25" t="str">
        <f>IF(Dealps[[#This Row],[CPTY_CODE]]=Dealps[[#This Row],[CPTY_CODE_ISSUER]],"Yes","No")</f>
        <v>No</v>
      </c>
      <c r="AA165" s="25"/>
      <c r="AC165" s="14"/>
      <c r="AG165" s="96"/>
      <c r="AH165" s="14"/>
      <c r="AI165"/>
      <c r="AN165" s="14"/>
      <c r="AV165" s="36"/>
      <c r="AW165" s="14"/>
      <c r="AX165" s="234"/>
      <c r="AY165" s="96"/>
      <c r="AZ165" s="14"/>
      <c r="BA165"/>
      <c r="BB165" s="93">
        <v>46262</v>
      </c>
      <c r="BC165">
        <v>4495</v>
      </c>
      <c r="BD165" s="56" t="s">
        <v>1297</v>
      </c>
      <c r="BE165" t="s">
        <v>1011</v>
      </c>
      <c r="BF165" t="s">
        <v>1015</v>
      </c>
      <c r="BG165" t="s">
        <v>364</v>
      </c>
      <c r="BH165" t="s">
        <v>1013</v>
      </c>
      <c r="BI165" t="s">
        <v>311</v>
      </c>
      <c r="BJ165" s="93">
        <v>46188</v>
      </c>
      <c r="BK165" s="93">
        <v>46188</v>
      </c>
      <c r="BL165" s="93">
        <v>46188</v>
      </c>
      <c r="BM165" s="93">
        <v>46898</v>
      </c>
      <c r="BN165" s="14">
        <v>1</v>
      </c>
      <c r="BO165" s="14">
        <v>10000000000</v>
      </c>
      <c r="BP165" s="56">
        <v>100</v>
      </c>
      <c r="BQ165" s="56">
        <v>0</v>
      </c>
      <c r="BR165" s="14">
        <v>10048904110</v>
      </c>
      <c r="BS165">
        <v>8.4841250000000006</v>
      </c>
      <c r="BT165" t="s">
        <v>1184</v>
      </c>
      <c r="BU165" s="25">
        <f>_xlfn.XLOOKUP(Dealps_MSB[[#This Row],[DEAL_ID]],Ref!V:V,Ref!X:X,0,0)</f>
        <v>0</v>
      </c>
      <c r="BV165"/>
    </row>
    <row r="166" spans="1:74" x14ac:dyDescent="0.3">
      <c r="A166" s="93">
        <v>46262</v>
      </c>
      <c r="B166">
        <v>48400</v>
      </c>
      <c r="C166" s="56" t="s">
        <v>43</v>
      </c>
      <c r="D166" t="s">
        <v>315</v>
      </c>
      <c r="E166" t="s">
        <v>320</v>
      </c>
      <c r="F166" t="s">
        <v>35</v>
      </c>
      <c r="G166" t="s">
        <v>310</v>
      </c>
      <c r="H166" t="s">
        <v>311</v>
      </c>
      <c r="I166" s="93">
        <v>46014</v>
      </c>
      <c r="J166" s="93">
        <v>46014</v>
      </c>
      <c r="K166" s="93">
        <v>46016</v>
      </c>
      <c r="L166" s="93">
        <v>46637</v>
      </c>
      <c r="M166" s="14">
        <v>5000</v>
      </c>
      <c r="N166" s="14">
        <v>500000000000</v>
      </c>
      <c r="O166" s="56">
        <v>99.117999822000002</v>
      </c>
      <c r="P166" s="56">
        <v>3</v>
      </c>
      <c r="Q166" s="14">
        <v>508431095000</v>
      </c>
      <c r="R166">
        <v>9.1</v>
      </c>
      <c r="S166" t="s">
        <v>1184</v>
      </c>
      <c r="T166" s="57">
        <f>IF(Dealps[[#This Row],[MATURITY_DATE]]-Dealps[[#This Row],[POSTED_DT]]&lt;0,0,IF(Dealps[[#This Row],[VALUE_DATE]]-Dealps[[#This Row],[POSTED_DT]]&gt;0,Dealps[[#This Row],[MATURITY_DATE]]-Dealps[[#This Row],[VALUE_DATE]],Dealps[[#This Row],[MATURITY_DATE]]-Dealps[[#This Row],[POSTED_DT]]))</f>
        <v>375</v>
      </c>
      <c r="U166" s="25">
        <f>IF(Dealps[[#This Row],[TENOR]]=0,0,IF(Dealps[[#This Row],[DEAL_TYPE]]="B",Dealps[[#This Row],[FACE_AMOUNT]],-Dealps[[#This Row],[FACE_AMOUNT]]))</f>
        <v>-500000000000</v>
      </c>
      <c r="V166" s="25">
        <f>_xlfn.XLOOKUP(Dealps[[#This Row],[PAPER_CODE]],FNRP!D:D,FNRP!H:H,0,0)/100*Dealps[[#This Row],[AMOUNT]]</f>
        <v>-522552858345</v>
      </c>
      <c r="W166" s="57" t="str">
        <f>IF(Dealps[[#This Row],[TRANSACTION_STATUS]]&lt;&gt;"V","Ngoai BS",IF(Dealps[[#This Row],[POSTED_DT]]&gt;=Dealps[[#This Row],[VALUE_DATE]],"On BS","Off BS"))</f>
        <v>On BS</v>
      </c>
      <c r="X166" s="25">
        <f>SUMIFS(U:U,C:C,Dealps[[#This Row],[PAPER_CODE]])</f>
        <v>500000000000</v>
      </c>
      <c r="Y166" s="25">
        <f>_xlfn.XLOOKUP(Dealps[[#This Row],[DEAL_ID]],Ref!N:N,Ref!Q:Q,0,0)</f>
        <v>0</v>
      </c>
      <c r="Z166" s="25" t="str">
        <f>IF(Dealps[[#This Row],[CPTY_CODE]]=Dealps[[#This Row],[CPTY_CODE_ISSUER]],"Yes","No")</f>
        <v>No</v>
      </c>
      <c r="AA166" s="25"/>
      <c r="AC166" s="14"/>
      <c r="AG166" s="96"/>
      <c r="AH166" s="14"/>
      <c r="AI166"/>
      <c r="AN166" s="14"/>
      <c r="AV166" s="36"/>
      <c r="AW166" s="14"/>
      <c r="AX166" s="234"/>
      <c r="AY166" s="96"/>
      <c r="AZ166" s="14"/>
      <c r="BA166"/>
      <c r="BB166" s="93">
        <v>46262</v>
      </c>
      <c r="BC166">
        <v>4496</v>
      </c>
      <c r="BD166" s="56" t="s">
        <v>1297</v>
      </c>
      <c r="BE166" t="s">
        <v>1011</v>
      </c>
      <c r="BF166" t="s">
        <v>1015</v>
      </c>
      <c r="BG166" t="s">
        <v>364</v>
      </c>
      <c r="BH166" t="s">
        <v>1013</v>
      </c>
      <c r="BI166" t="s">
        <v>311</v>
      </c>
      <c r="BJ166" s="93">
        <v>46188</v>
      </c>
      <c r="BK166" s="93">
        <v>46188</v>
      </c>
      <c r="BL166" s="93">
        <v>46188</v>
      </c>
      <c r="BM166" s="93">
        <v>46898</v>
      </c>
      <c r="BN166" s="14">
        <v>1</v>
      </c>
      <c r="BO166" s="14">
        <v>10000000000</v>
      </c>
      <c r="BP166" s="56">
        <v>100</v>
      </c>
      <c r="BQ166" s="56">
        <v>0</v>
      </c>
      <c r="BR166" s="14">
        <v>10048904110</v>
      </c>
      <c r="BS166">
        <v>8.4841250000000006</v>
      </c>
      <c r="BT166" t="s">
        <v>1184</v>
      </c>
      <c r="BU166" s="25">
        <f>_xlfn.XLOOKUP(Dealps_MSB[[#This Row],[DEAL_ID]],Ref!V:V,Ref!X:X,0,0)</f>
        <v>0</v>
      </c>
      <c r="BV166"/>
    </row>
    <row r="167" spans="1:74" x14ac:dyDescent="0.3">
      <c r="A167" s="93">
        <v>46262</v>
      </c>
      <c r="B167">
        <v>3221</v>
      </c>
      <c r="C167" s="56" t="s">
        <v>1132</v>
      </c>
      <c r="D167" t="s">
        <v>329</v>
      </c>
      <c r="E167" t="s">
        <v>313</v>
      </c>
      <c r="F167" t="s">
        <v>364</v>
      </c>
      <c r="G167" t="s">
        <v>310</v>
      </c>
      <c r="H167" t="s">
        <v>300</v>
      </c>
      <c r="I167" s="93">
        <v>46015</v>
      </c>
      <c r="J167" s="93">
        <v>46016</v>
      </c>
      <c r="K167" s="93">
        <v>46016</v>
      </c>
      <c r="L167" s="93">
        <v>46353</v>
      </c>
      <c r="M167" s="14">
        <v>1</v>
      </c>
      <c r="N167" s="14">
        <v>500000000000</v>
      </c>
      <c r="O167" s="56">
        <v>100.895221101</v>
      </c>
      <c r="P167" s="56">
        <v>0</v>
      </c>
      <c r="Q167" s="14">
        <v>506991173999.99994</v>
      </c>
      <c r="R167">
        <v>5.75</v>
      </c>
      <c r="S167" t="s">
        <v>1184</v>
      </c>
      <c r="T167" s="57">
        <f>IF(Dealps[[#This Row],[MATURITY_DATE]]-Dealps[[#This Row],[POSTED_DT]]&lt;0,0,IF(Dealps[[#This Row],[VALUE_DATE]]-Dealps[[#This Row],[POSTED_DT]]&gt;0,Dealps[[#This Row],[MATURITY_DATE]]-Dealps[[#This Row],[VALUE_DATE]],Dealps[[#This Row],[MATURITY_DATE]]-Dealps[[#This Row],[POSTED_DT]]))</f>
        <v>91</v>
      </c>
      <c r="U167" s="25">
        <f>IF(Dealps[[#This Row],[TENOR]]=0,0,IF(Dealps[[#This Row],[DEAL_TYPE]]="B",Dealps[[#This Row],[FACE_AMOUNT]],-Dealps[[#This Row],[FACE_AMOUNT]]))</f>
        <v>500000000000</v>
      </c>
      <c r="V167" s="25">
        <f>_xlfn.XLOOKUP(Dealps[[#This Row],[PAPER_CODE]],FNRP!D:D,FNRP!H:H,0,0)/100*Dealps[[#This Row],[AMOUNT]]</f>
        <v>0</v>
      </c>
      <c r="W167" s="57" t="str">
        <f>IF(Dealps[[#This Row],[TRANSACTION_STATUS]]&lt;&gt;"V","Ngoai BS",IF(Dealps[[#This Row],[POSTED_DT]]&gt;=Dealps[[#This Row],[VALUE_DATE]],"On BS","Off BS"))</f>
        <v>On BS</v>
      </c>
      <c r="X167" s="25">
        <f>SUMIFS(U:U,C:C,Dealps[[#This Row],[PAPER_CODE]])</f>
        <v>0</v>
      </c>
      <c r="Y167" s="25">
        <f>_xlfn.XLOOKUP(Dealps[[#This Row],[DEAL_ID]],Ref!N:N,Ref!Q:Q,0,0)</f>
        <v>0</v>
      </c>
      <c r="Z167" s="25" t="str">
        <f>IF(Dealps[[#This Row],[CPTY_CODE]]=Dealps[[#This Row],[CPTY_CODE_ISSUER]],"Yes","No")</f>
        <v>No</v>
      </c>
      <c r="AA167" s="25"/>
      <c r="AC167" s="14"/>
      <c r="AG167" s="96"/>
      <c r="AH167" s="14"/>
      <c r="AI167"/>
      <c r="AN167" s="14"/>
      <c r="AV167" s="36"/>
      <c r="AW167" s="14"/>
      <c r="AX167" s="234"/>
      <c r="AY167" s="96"/>
      <c r="AZ167" s="14"/>
      <c r="BA167"/>
      <c r="BB167" s="93">
        <v>46262</v>
      </c>
      <c r="BC167">
        <v>4730</v>
      </c>
      <c r="BD167" s="56" t="s">
        <v>1014</v>
      </c>
      <c r="BE167" t="s">
        <v>1011</v>
      </c>
      <c r="BF167" t="s">
        <v>1015</v>
      </c>
      <c r="BG167" t="s">
        <v>364</v>
      </c>
      <c r="BH167" t="s">
        <v>1013</v>
      </c>
      <c r="BI167" t="s">
        <v>300</v>
      </c>
      <c r="BJ167" s="93">
        <v>46224</v>
      </c>
      <c r="BK167" s="93">
        <v>46224</v>
      </c>
      <c r="BL167" s="93">
        <v>46224</v>
      </c>
      <c r="BM167" s="93">
        <v>46443</v>
      </c>
      <c r="BN167" s="14">
        <v>1</v>
      </c>
      <c r="BO167" s="14">
        <v>10000000000</v>
      </c>
      <c r="BP167" s="56">
        <v>93.7</v>
      </c>
      <c r="BQ167" s="56">
        <v>0</v>
      </c>
      <c r="BR167" s="14">
        <v>10000000000</v>
      </c>
      <c r="BS167">
        <v>15</v>
      </c>
      <c r="BT167" t="s">
        <v>1184</v>
      </c>
      <c r="BU167" s="25">
        <f>_xlfn.XLOOKUP(Dealps_MSB[[#This Row],[DEAL_ID]],Ref!V:V,Ref!X:X,0,0)</f>
        <v>0</v>
      </c>
      <c r="BV167"/>
    </row>
    <row r="168" spans="1:74" x14ac:dyDescent="0.3">
      <c r="A168" s="93">
        <v>46262</v>
      </c>
      <c r="B168">
        <v>3222</v>
      </c>
      <c r="C168" s="56" t="s">
        <v>1132</v>
      </c>
      <c r="D168" t="s">
        <v>329</v>
      </c>
      <c r="E168" t="s">
        <v>313</v>
      </c>
      <c r="F168" t="s">
        <v>364</v>
      </c>
      <c r="G168" t="s">
        <v>310</v>
      </c>
      <c r="H168" t="s">
        <v>311</v>
      </c>
      <c r="I168" s="93">
        <v>46015</v>
      </c>
      <c r="J168" s="93">
        <v>46030</v>
      </c>
      <c r="K168" s="93">
        <v>46030</v>
      </c>
      <c r="L168" s="93">
        <v>46353</v>
      </c>
      <c r="M168" s="14">
        <v>1</v>
      </c>
      <c r="N168" s="14">
        <v>500000000000</v>
      </c>
      <c r="O168" s="56">
        <v>100.887200284</v>
      </c>
      <c r="P168" s="56">
        <v>0</v>
      </c>
      <c r="Q168" s="14">
        <v>508255179500</v>
      </c>
      <c r="R168">
        <v>5.7032730000000003</v>
      </c>
      <c r="S168" t="s">
        <v>1184</v>
      </c>
      <c r="T168" s="57">
        <f>IF(Dealps[[#This Row],[MATURITY_DATE]]-Dealps[[#This Row],[POSTED_DT]]&lt;0,0,IF(Dealps[[#This Row],[VALUE_DATE]]-Dealps[[#This Row],[POSTED_DT]]&gt;0,Dealps[[#This Row],[MATURITY_DATE]]-Dealps[[#This Row],[VALUE_DATE]],Dealps[[#This Row],[MATURITY_DATE]]-Dealps[[#This Row],[POSTED_DT]]))</f>
        <v>91</v>
      </c>
      <c r="U168" s="25">
        <f>IF(Dealps[[#This Row],[TENOR]]=0,0,IF(Dealps[[#This Row],[DEAL_TYPE]]="B",Dealps[[#This Row],[FACE_AMOUNT]],-Dealps[[#This Row],[FACE_AMOUNT]]))</f>
        <v>-500000000000</v>
      </c>
      <c r="V168" s="25">
        <f>_xlfn.XLOOKUP(Dealps[[#This Row],[PAPER_CODE]],FNRP!D:D,FNRP!H:H,0,0)/100*Dealps[[#This Row],[AMOUNT]]</f>
        <v>0</v>
      </c>
      <c r="W168" s="57" t="str">
        <f>IF(Dealps[[#This Row],[TRANSACTION_STATUS]]&lt;&gt;"V","Ngoai BS",IF(Dealps[[#This Row],[POSTED_DT]]&gt;=Dealps[[#This Row],[VALUE_DATE]],"On BS","Off BS"))</f>
        <v>On BS</v>
      </c>
      <c r="X168" s="25">
        <f>SUMIFS(U:U,C:C,Dealps[[#This Row],[PAPER_CODE]])</f>
        <v>0</v>
      </c>
      <c r="Y168" s="25">
        <f>_xlfn.XLOOKUP(Dealps[[#This Row],[DEAL_ID]],Ref!N:N,Ref!Q:Q,0,0)</f>
        <v>0</v>
      </c>
      <c r="Z168" s="25" t="str">
        <f>IF(Dealps[[#This Row],[CPTY_CODE]]=Dealps[[#This Row],[CPTY_CODE_ISSUER]],"Yes","No")</f>
        <v>No</v>
      </c>
      <c r="AA168" s="25"/>
      <c r="AC168" s="14"/>
      <c r="AG168" s="96"/>
      <c r="AH168" s="14"/>
      <c r="AI168"/>
      <c r="AN168" s="14"/>
      <c r="AV168" s="36"/>
      <c r="AW168" s="14"/>
      <c r="AX168" s="234"/>
      <c r="AY168" s="96"/>
      <c r="AZ168" s="14"/>
      <c r="BA168"/>
      <c r="BB168" s="93">
        <v>46262</v>
      </c>
      <c r="BC168">
        <v>4731</v>
      </c>
      <c r="BD168" s="56" t="s">
        <v>1014</v>
      </c>
      <c r="BE168" t="s">
        <v>1011</v>
      </c>
      <c r="BF168" t="s">
        <v>1015</v>
      </c>
      <c r="BG168" t="s">
        <v>364</v>
      </c>
      <c r="BH168" t="s">
        <v>1013</v>
      </c>
      <c r="BI168" t="s">
        <v>300</v>
      </c>
      <c r="BJ168" s="93">
        <v>46224</v>
      </c>
      <c r="BK168" s="93">
        <v>46224</v>
      </c>
      <c r="BL168" s="93">
        <v>46224</v>
      </c>
      <c r="BM168" s="93">
        <v>46443</v>
      </c>
      <c r="BN168" s="14">
        <v>1</v>
      </c>
      <c r="BO168" s="14">
        <v>10000000000</v>
      </c>
      <c r="BP168" s="56">
        <v>93.7</v>
      </c>
      <c r="BQ168" s="56">
        <v>0</v>
      </c>
      <c r="BR168" s="14">
        <v>10000000000</v>
      </c>
      <c r="BS168">
        <v>15</v>
      </c>
      <c r="BT168" t="s">
        <v>1184</v>
      </c>
      <c r="BU168" s="25">
        <f>_xlfn.XLOOKUP(Dealps_MSB[[#This Row],[DEAL_ID]],Ref!V:V,Ref!X:X,0,0)</f>
        <v>0</v>
      </c>
      <c r="BV168"/>
    </row>
    <row r="169" spans="1:74" x14ac:dyDescent="0.3">
      <c r="A169" s="93">
        <v>46262</v>
      </c>
      <c r="B169">
        <v>48401</v>
      </c>
      <c r="C169" s="56" t="s">
        <v>638</v>
      </c>
      <c r="D169" t="s">
        <v>328</v>
      </c>
      <c r="E169" t="s">
        <v>320</v>
      </c>
      <c r="F169" t="s">
        <v>39</v>
      </c>
      <c r="G169" t="s">
        <v>310</v>
      </c>
      <c r="H169" t="s">
        <v>311</v>
      </c>
      <c r="I169" s="93">
        <v>46015</v>
      </c>
      <c r="J169" s="93">
        <v>46015</v>
      </c>
      <c r="K169" s="93">
        <v>46016</v>
      </c>
      <c r="L169" s="93">
        <v>48297</v>
      </c>
      <c r="M169" s="14">
        <v>3976106</v>
      </c>
      <c r="N169" s="14">
        <v>397610600000</v>
      </c>
      <c r="O169" s="56">
        <v>100.152287671</v>
      </c>
      <c r="P169" s="56">
        <v>6</v>
      </c>
      <c r="Q169" s="14">
        <v>420389711274</v>
      </c>
      <c r="R169">
        <v>7.9513952129999996</v>
      </c>
      <c r="S169" t="s">
        <v>1184</v>
      </c>
      <c r="T169" s="57">
        <f>IF(Dealps[[#This Row],[MATURITY_DATE]]-Dealps[[#This Row],[POSTED_DT]]&lt;0,0,IF(Dealps[[#This Row],[VALUE_DATE]]-Dealps[[#This Row],[POSTED_DT]]&gt;0,Dealps[[#This Row],[MATURITY_DATE]]-Dealps[[#This Row],[VALUE_DATE]],Dealps[[#This Row],[MATURITY_DATE]]-Dealps[[#This Row],[POSTED_DT]]))</f>
        <v>2035</v>
      </c>
      <c r="U169" s="25">
        <f>IF(Dealps[[#This Row],[TENOR]]=0,0,IF(Dealps[[#This Row],[DEAL_TYPE]]="B",Dealps[[#This Row],[FACE_AMOUNT]],-Dealps[[#This Row],[FACE_AMOUNT]]))</f>
        <v>-397610600000</v>
      </c>
      <c r="V169" s="25">
        <f>_xlfn.XLOOKUP(Dealps[[#This Row],[PAPER_CODE]],FNRP!D:D,FNRP!H:H,0,0)/100*Dealps[[#This Row],[AMOUNT]]</f>
        <v>-472429195339.61273</v>
      </c>
      <c r="W169" s="57" t="str">
        <f>IF(Dealps[[#This Row],[TRANSACTION_STATUS]]&lt;&gt;"V","Ngoai BS",IF(Dealps[[#This Row],[POSTED_DT]]&gt;=Dealps[[#This Row],[VALUE_DATE]],"On BS","Off BS"))</f>
        <v>On BS</v>
      </c>
      <c r="X169" s="25">
        <f>SUMIFS(U:U,C:C,Dealps[[#This Row],[PAPER_CODE]])</f>
        <v>397610600000</v>
      </c>
      <c r="Y169" s="25">
        <f>_xlfn.XLOOKUP(Dealps[[#This Row],[DEAL_ID]],Ref!N:N,Ref!Q:Q,0,0)</f>
        <v>0</v>
      </c>
      <c r="Z169" s="25" t="str">
        <f>IF(Dealps[[#This Row],[CPTY_CODE]]=Dealps[[#This Row],[CPTY_CODE_ISSUER]],"Yes","No")</f>
        <v>No</v>
      </c>
      <c r="AA169" s="25"/>
      <c r="AC169" s="14"/>
      <c r="AG169" s="96"/>
      <c r="AH169" s="14"/>
      <c r="AI169"/>
      <c r="AN169" s="14"/>
      <c r="AV169" s="36"/>
      <c r="AW169" s="14"/>
      <c r="AX169" s="234"/>
      <c r="AY169" s="96"/>
      <c r="AZ169" s="14"/>
      <c r="BA169"/>
      <c r="BB169" s="93">
        <v>46262</v>
      </c>
      <c r="BC169">
        <v>4736</v>
      </c>
      <c r="BD169" s="56" t="s">
        <v>1014</v>
      </c>
      <c r="BE169" t="s">
        <v>1011</v>
      </c>
      <c r="BF169" t="s">
        <v>1015</v>
      </c>
      <c r="BG169" t="s">
        <v>364</v>
      </c>
      <c r="BH169" t="s">
        <v>1013</v>
      </c>
      <c r="BI169" t="s">
        <v>300</v>
      </c>
      <c r="BJ169" s="93">
        <v>46226</v>
      </c>
      <c r="BK169" s="93">
        <v>46226</v>
      </c>
      <c r="BL169" s="93">
        <v>46226</v>
      </c>
      <c r="BM169" s="93">
        <v>46443</v>
      </c>
      <c r="BN169" s="14">
        <v>1</v>
      </c>
      <c r="BO169" s="14">
        <v>10000000000</v>
      </c>
      <c r="BP169" s="56">
        <v>93.675342466000004</v>
      </c>
      <c r="BQ169" s="56">
        <v>0</v>
      </c>
      <c r="BR169" s="14">
        <v>10000000000</v>
      </c>
      <c r="BS169">
        <v>15.138249</v>
      </c>
      <c r="BT169" t="s">
        <v>1184</v>
      </c>
      <c r="BU169" s="25">
        <f>_xlfn.XLOOKUP(Dealps_MSB[[#This Row],[DEAL_ID]],Ref!V:V,Ref!X:X,0,0)</f>
        <v>0</v>
      </c>
      <c r="BV169"/>
    </row>
    <row r="170" spans="1:74" x14ac:dyDescent="0.3">
      <c r="A170" s="93">
        <v>46262</v>
      </c>
      <c r="B170">
        <v>3227</v>
      </c>
      <c r="C170" s="56" t="s">
        <v>1104</v>
      </c>
      <c r="D170" t="s">
        <v>334</v>
      </c>
      <c r="E170" t="s">
        <v>345</v>
      </c>
      <c r="F170" t="s">
        <v>364</v>
      </c>
      <c r="G170" t="s">
        <v>310</v>
      </c>
      <c r="H170" t="s">
        <v>311</v>
      </c>
      <c r="I170" s="93">
        <v>46016</v>
      </c>
      <c r="J170" s="93">
        <v>46016</v>
      </c>
      <c r="K170" s="93">
        <v>46020</v>
      </c>
      <c r="L170" s="93">
        <v>46360</v>
      </c>
      <c r="M170" s="14">
        <v>1</v>
      </c>
      <c r="N170" s="14">
        <v>600000000000</v>
      </c>
      <c r="O170" s="56">
        <v>99.972600069999999</v>
      </c>
      <c r="P170" s="56">
        <v>0</v>
      </c>
      <c r="Q170" s="14">
        <v>602557792200</v>
      </c>
      <c r="R170">
        <v>6.9</v>
      </c>
      <c r="S170" t="s">
        <v>1184</v>
      </c>
      <c r="T170" s="57">
        <f>IF(Dealps[[#This Row],[MATURITY_DATE]]-Dealps[[#This Row],[POSTED_DT]]&lt;0,0,IF(Dealps[[#This Row],[VALUE_DATE]]-Dealps[[#This Row],[POSTED_DT]]&gt;0,Dealps[[#This Row],[MATURITY_DATE]]-Dealps[[#This Row],[VALUE_DATE]],Dealps[[#This Row],[MATURITY_DATE]]-Dealps[[#This Row],[POSTED_DT]]))</f>
        <v>98</v>
      </c>
      <c r="U170" s="25">
        <f>IF(Dealps[[#This Row],[TENOR]]=0,0,IF(Dealps[[#This Row],[DEAL_TYPE]]="B",Dealps[[#This Row],[FACE_AMOUNT]],-Dealps[[#This Row],[FACE_AMOUNT]]))</f>
        <v>-600000000000</v>
      </c>
      <c r="V170" s="25">
        <f>_xlfn.XLOOKUP(Dealps[[#This Row],[PAPER_CODE]],FNRP!D:D,FNRP!H:H,0,0)/100*Dealps[[#This Row],[AMOUNT]]</f>
        <v>0</v>
      </c>
      <c r="W170" s="57" t="str">
        <f>IF(Dealps[[#This Row],[TRANSACTION_STATUS]]&lt;&gt;"V","Ngoai BS",IF(Dealps[[#This Row],[POSTED_DT]]&gt;=Dealps[[#This Row],[VALUE_DATE]],"On BS","Off BS"))</f>
        <v>On BS</v>
      </c>
      <c r="X170" s="25">
        <f>SUMIFS(U:U,C:C,Dealps[[#This Row],[PAPER_CODE]])</f>
        <v>1000000000000</v>
      </c>
      <c r="Y170" s="25">
        <f>_xlfn.XLOOKUP(Dealps[[#This Row],[DEAL_ID]],Ref!N:N,Ref!Q:Q,0,0)</f>
        <v>0</v>
      </c>
      <c r="Z170" s="25" t="str">
        <f>IF(Dealps[[#This Row],[CPTY_CODE]]=Dealps[[#This Row],[CPTY_CODE_ISSUER]],"Yes","No")</f>
        <v>No</v>
      </c>
      <c r="AA170" s="25"/>
      <c r="AC170" s="14"/>
      <c r="AG170" s="96"/>
      <c r="AH170" s="14"/>
      <c r="AI170"/>
      <c r="AN170" s="14"/>
      <c r="AV170" s="36"/>
      <c r="AW170" s="14"/>
      <c r="AX170" s="234"/>
      <c r="AY170" s="96"/>
      <c r="AZ170" s="14"/>
      <c r="BA170"/>
      <c r="BB170" s="93">
        <v>46262</v>
      </c>
      <c r="BC170">
        <v>4737</v>
      </c>
      <c r="BD170" s="56" t="s">
        <v>1014</v>
      </c>
      <c r="BE170" t="s">
        <v>1011</v>
      </c>
      <c r="BF170" t="s">
        <v>1015</v>
      </c>
      <c r="BG170" t="s">
        <v>364</v>
      </c>
      <c r="BH170" t="s">
        <v>1013</v>
      </c>
      <c r="BI170" t="s">
        <v>300</v>
      </c>
      <c r="BJ170" s="93">
        <v>46226</v>
      </c>
      <c r="BK170" s="93">
        <v>46226</v>
      </c>
      <c r="BL170" s="93">
        <v>46226</v>
      </c>
      <c r="BM170" s="93">
        <v>46443</v>
      </c>
      <c r="BN170" s="14">
        <v>1</v>
      </c>
      <c r="BO170" s="14">
        <v>10000000000</v>
      </c>
      <c r="BP170" s="56">
        <v>93.675342466000004</v>
      </c>
      <c r="BQ170" s="56">
        <v>0</v>
      </c>
      <c r="BR170" s="14">
        <v>10000000000</v>
      </c>
      <c r="BS170">
        <v>15.138249</v>
      </c>
      <c r="BT170" t="s">
        <v>1184</v>
      </c>
      <c r="BU170" s="25">
        <f>_xlfn.XLOOKUP(Dealps_MSB[[#This Row],[DEAL_ID]],Ref!V:V,Ref!X:X,0,0)</f>
        <v>0</v>
      </c>
      <c r="BV170"/>
    </row>
    <row r="171" spans="1:74" x14ac:dyDescent="0.3">
      <c r="A171" s="93">
        <v>46262</v>
      </c>
      <c r="B171">
        <v>3229</v>
      </c>
      <c r="C171" s="56" t="s">
        <v>1004</v>
      </c>
      <c r="D171" t="s">
        <v>324</v>
      </c>
      <c r="E171" t="s">
        <v>320</v>
      </c>
      <c r="F171" t="s">
        <v>364</v>
      </c>
      <c r="G171" t="s">
        <v>310</v>
      </c>
      <c r="H171" t="s">
        <v>311</v>
      </c>
      <c r="I171" s="93">
        <v>46016</v>
      </c>
      <c r="J171" s="93">
        <v>46016</v>
      </c>
      <c r="K171" s="93">
        <v>46017</v>
      </c>
      <c r="L171" s="93">
        <v>46323</v>
      </c>
      <c r="M171" s="14">
        <v>1</v>
      </c>
      <c r="N171" s="14">
        <v>300000000000</v>
      </c>
      <c r="O171" s="56">
        <v>100</v>
      </c>
      <c r="P171" s="56">
        <v>0</v>
      </c>
      <c r="Q171" s="14">
        <v>303003287670</v>
      </c>
      <c r="R171">
        <v>6.2375559999999997</v>
      </c>
      <c r="S171" t="s">
        <v>1184</v>
      </c>
      <c r="T171" s="57">
        <f>IF(Dealps[[#This Row],[MATURITY_DATE]]-Dealps[[#This Row],[POSTED_DT]]&lt;0,0,IF(Dealps[[#This Row],[VALUE_DATE]]-Dealps[[#This Row],[POSTED_DT]]&gt;0,Dealps[[#This Row],[MATURITY_DATE]]-Dealps[[#This Row],[VALUE_DATE]],Dealps[[#This Row],[MATURITY_DATE]]-Dealps[[#This Row],[POSTED_DT]]))</f>
        <v>61</v>
      </c>
      <c r="U171" s="25">
        <f>IF(Dealps[[#This Row],[TENOR]]=0,0,IF(Dealps[[#This Row],[DEAL_TYPE]]="B",Dealps[[#This Row],[FACE_AMOUNT]],-Dealps[[#This Row],[FACE_AMOUNT]]))</f>
        <v>-300000000000</v>
      </c>
      <c r="V171" s="25">
        <f>_xlfn.XLOOKUP(Dealps[[#This Row],[PAPER_CODE]],FNRP!D:D,FNRP!H:H,0,0)/100*Dealps[[#This Row],[AMOUNT]]</f>
        <v>0</v>
      </c>
      <c r="W171" s="57" t="str">
        <f>IF(Dealps[[#This Row],[TRANSACTION_STATUS]]&lt;&gt;"V","Ngoai BS",IF(Dealps[[#This Row],[POSTED_DT]]&gt;=Dealps[[#This Row],[VALUE_DATE]],"On BS","Off BS"))</f>
        <v>On BS</v>
      </c>
      <c r="X171" s="25">
        <f>SUMIFS(U:U,C:C,Dealps[[#This Row],[PAPER_CODE]])</f>
        <v>500000000000</v>
      </c>
      <c r="Y171" s="25">
        <f>_xlfn.XLOOKUP(Dealps[[#This Row],[DEAL_ID]],Ref!N:N,Ref!Q:Q,0,0)</f>
        <v>0</v>
      </c>
      <c r="Z171" s="25" t="str">
        <f>IF(Dealps[[#This Row],[CPTY_CODE]]=Dealps[[#This Row],[CPTY_CODE_ISSUER]],"Yes","No")</f>
        <v>No</v>
      </c>
      <c r="AA171" s="25"/>
      <c r="AC171" s="14"/>
      <c r="AG171" s="96"/>
      <c r="AH171" s="14"/>
      <c r="AI171"/>
      <c r="AN171" s="14"/>
      <c r="AV171" s="36"/>
      <c r="AW171" s="14"/>
      <c r="AX171" s="234"/>
      <c r="AY171" s="96"/>
      <c r="AZ171" s="14"/>
      <c r="BA171"/>
      <c r="BB171" s="93">
        <v>46262</v>
      </c>
      <c r="BC171">
        <v>4775</v>
      </c>
      <c r="BD171" s="56" t="s">
        <v>1014</v>
      </c>
      <c r="BE171" t="s">
        <v>1011</v>
      </c>
      <c r="BF171" t="s">
        <v>1015</v>
      </c>
      <c r="BG171" t="s">
        <v>364</v>
      </c>
      <c r="BH171" t="s">
        <v>1013</v>
      </c>
      <c r="BI171" t="s">
        <v>300</v>
      </c>
      <c r="BJ171" s="93">
        <v>46233</v>
      </c>
      <c r="BK171" s="93">
        <v>46233</v>
      </c>
      <c r="BL171" s="93">
        <v>46233</v>
      </c>
      <c r="BM171" s="93">
        <v>46443</v>
      </c>
      <c r="BN171" s="14">
        <v>1</v>
      </c>
      <c r="BO171" s="14">
        <v>10000000000</v>
      </c>
      <c r="BP171" s="56">
        <v>93.589041096000003</v>
      </c>
      <c r="BQ171" s="56">
        <v>0</v>
      </c>
      <c r="BR171" s="14">
        <v>10000000000</v>
      </c>
      <c r="BS171">
        <v>15.642856999999999</v>
      </c>
      <c r="BT171" t="s">
        <v>1184</v>
      </c>
      <c r="BU171" s="25">
        <f>_xlfn.XLOOKUP(Dealps_MSB[[#This Row],[DEAL_ID]],Ref!V:V,Ref!X:X,0,0)</f>
        <v>0</v>
      </c>
      <c r="BV171"/>
    </row>
    <row r="172" spans="1:74" x14ac:dyDescent="0.3">
      <c r="A172" s="93">
        <v>46262</v>
      </c>
      <c r="B172">
        <v>3254</v>
      </c>
      <c r="C172" s="56" t="s">
        <v>1061</v>
      </c>
      <c r="D172" t="s">
        <v>312</v>
      </c>
      <c r="E172" t="s">
        <v>636</v>
      </c>
      <c r="F172" t="s">
        <v>364</v>
      </c>
      <c r="G172" t="s">
        <v>310</v>
      </c>
      <c r="H172" t="s">
        <v>300</v>
      </c>
      <c r="I172" s="93">
        <v>46020</v>
      </c>
      <c r="J172" s="93">
        <v>46016</v>
      </c>
      <c r="K172" s="93">
        <v>46020</v>
      </c>
      <c r="L172" s="93">
        <v>46343</v>
      </c>
      <c r="M172" s="14">
        <v>1</v>
      </c>
      <c r="N172" s="14">
        <v>250000000000</v>
      </c>
      <c r="O172" s="56">
        <v>100.089856567</v>
      </c>
      <c r="P172" s="56">
        <v>0</v>
      </c>
      <c r="Q172" s="14">
        <v>251993819500</v>
      </c>
      <c r="R172">
        <v>6.1494160000000004</v>
      </c>
      <c r="S172" t="s">
        <v>1184</v>
      </c>
      <c r="T172" s="57">
        <f>IF(Dealps[[#This Row],[MATURITY_DATE]]-Dealps[[#This Row],[POSTED_DT]]&lt;0,0,IF(Dealps[[#This Row],[VALUE_DATE]]-Dealps[[#This Row],[POSTED_DT]]&gt;0,Dealps[[#This Row],[MATURITY_DATE]]-Dealps[[#This Row],[VALUE_DATE]],Dealps[[#This Row],[MATURITY_DATE]]-Dealps[[#This Row],[POSTED_DT]]))</f>
        <v>81</v>
      </c>
      <c r="U172" s="25">
        <f>IF(Dealps[[#This Row],[TENOR]]=0,0,IF(Dealps[[#This Row],[DEAL_TYPE]]="B",Dealps[[#This Row],[FACE_AMOUNT]],-Dealps[[#This Row],[FACE_AMOUNT]]))</f>
        <v>250000000000</v>
      </c>
      <c r="V172" s="25">
        <f>_xlfn.XLOOKUP(Dealps[[#This Row],[PAPER_CODE]],FNRP!D:D,FNRP!H:H,0,0)/100*Dealps[[#This Row],[AMOUNT]]</f>
        <v>0</v>
      </c>
      <c r="W172" s="57" t="str">
        <f>IF(Dealps[[#This Row],[TRANSACTION_STATUS]]&lt;&gt;"V","Ngoai BS",IF(Dealps[[#This Row],[POSTED_DT]]&gt;=Dealps[[#This Row],[VALUE_DATE]],"On BS","Off BS"))</f>
        <v>On BS</v>
      </c>
      <c r="X172" s="25">
        <f>SUMIFS(U:U,C:C,Dealps[[#This Row],[PAPER_CODE]])</f>
        <v>1500000000000</v>
      </c>
      <c r="Y172" s="25">
        <f>_xlfn.XLOOKUP(Dealps[[#This Row],[DEAL_ID]],Ref!N:N,Ref!Q:Q,0,0)</f>
        <v>0</v>
      </c>
      <c r="Z172" s="25" t="str">
        <f>IF(Dealps[[#This Row],[CPTY_CODE]]=Dealps[[#This Row],[CPTY_CODE_ISSUER]],"Yes","No")</f>
        <v>No</v>
      </c>
      <c r="AA172" s="25"/>
      <c r="AC172" s="14"/>
      <c r="AG172" s="96"/>
      <c r="AH172" s="14"/>
      <c r="AI172"/>
      <c r="AN172" s="14"/>
      <c r="AV172" s="36"/>
      <c r="AW172" s="14"/>
      <c r="AX172" s="234"/>
      <c r="AY172" s="96"/>
      <c r="AZ172" s="14"/>
      <c r="BA172"/>
      <c r="BB172" s="93">
        <v>46262</v>
      </c>
      <c r="BC172">
        <v>2649</v>
      </c>
      <c r="BD172" s="56" t="s">
        <v>1021</v>
      </c>
      <c r="BE172" t="s">
        <v>1011</v>
      </c>
      <c r="BF172" t="s">
        <v>1022</v>
      </c>
      <c r="BG172" t="s">
        <v>364</v>
      </c>
      <c r="BH172" t="s">
        <v>1013</v>
      </c>
      <c r="BI172" t="s">
        <v>311</v>
      </c>
      <c r="BJ172" s="93">
        <v>45924</v>
      </c>
      <c r="BK172" s="93">
        <v>45924</v>
      </c>
      <c r="BL172" s="93">
        <v>45924</v>
      </c>
      <c r="BM172" s="93">
        <v>46654</v>
      </c>
      <c r="BN172" s="14">
        <v>1</v>
      </c>
      <c r="BO172" s="14">
        <v>20000000000</v>
      </c>
      <c r="BP172" s="56">
        <v>100</v>
      </c>
      <c r="BQ172" s="56">
        <v>0</v>
      </c>
      <c r="BR172" s="14">
        <v>20000000000</v>
      </c>
      <c r="BS172">
        <v>5</v>
      </c>
      <c r="BT172" t="s">
        <v>1184</v>
      </c>
      <c r="BU172" s="25">
        <f>_xlfn.XLOOKUP(Dealps_MSB[[#This Row],[DEAL_ID]],Ref!V:V,Ref!X:X,0,0)</f>
        <v>0</v>
      </c>
      <c r="BV172"/>
    </row>
    <row r="173" spans="1:74" x14ac:dyDescent="0.3">
      <c r="A173" s="93">
        <v>46262</v>
      </c>
      <c r="B173">
        <v>3255</v>
      </c>
      <c r="C173" s="56" t="s">
        <v>1104</v>
      </c>
      <c r="D173" t="s">
        <v>334</v>
      </c>
      <c r="E173" t="s">
        <v>345</v>
      </c>
      <c r="F173" t="s">
        <v>364</v>
      </c>
      <c r="G173" t="s">
        <v>310</v>
      </c>
      <c r="H173" t="s">
        <v>311</v>
      </c>
      <c r="I173" s="93">
        <v>46020</v>
      </c>
      <c r="J173" s="93">
        <v>46020</v>
      </c>
      <c r="K173" s="93">
        <v>46021</v>
      </c>
      <c r="L173" s="93">
        <v>46360</v>
      </c>
      <c r="M173" s="14">
        <v>1</v>
      </c>
      <c r="N173" s="14">
        <v>400000000000</v>
      </c>
      <c r="O173" s="56">
        <v>99.971537359999999</v>
      </c>
      <c r="P173" s="56">
        <v>0</v>
      </c>
      <c r="Q173" s="14">
        <v>401776560400</v>
      </c>
      <c r="R173">
        <v>6.9</v>
      </c>
      <c r="S173" t="s">
        <v>1184</v>
      </c>
      <c r="T173" s="57">
        <f>IF(Dealps[[#This Row],[MATURITY_DATE]]-Dealps[[#This Row],[POSTED_DT]]&lt;0,0,IF(Dealps[[#This Row],[VALUE_DATE]]-Dealps[[#This Row],[POSTED_DT]]&gt;0,Dealps[[#This Row],[MATURITY_DATE]]-Dealps[[#This Row],[VALUE_DATE]],Dealps[[#This Row],[MATURITY_DATE]]-Dealps[[#This Row],[POSTED_DT]]))</f>
        <v>98</v>
      </c>
      <c r="U173" s="25">
        <f>IF(Dealps[[#This Row],[TENOR]]=0,0,IF(Dealps[[#This Row],[DEAL_TYPE]]="B",Dealps[[#This Row],[FACE_AMOUNT]],-Dealps[[#This Row],[FACE_AMOUNT]]))</f>
        <v>-400000000000</v>
      </c>
      <c r="V173" s="25">
        <f>_xlfn.XLOOKUP(Dealps[[#This Row],[PAPER_CODE]],FNRP!D:D,FNRP!H:H,0,0)/100*Dealps[[#This Row],[AMOUNT]]</f>
        <v>0</v>
      </c>
      <c r="W173" s="57" t="str">
        <f>IF(Dealps[[#This Row],[TRANSACTION_STATUS]]&lt;&gt;"V","Ngoai BS",IF(Dealps[[#This Row],[POSTED_DT]]&gt;=Dealps[[#This Row],[VALUE_DATE]],"On BS","Off BS"))</f>
        <v>On BS</v>
      </c>
      <c r="X173" s="25">
        <f>SUMIFS(U:U,C:C,Dealps[[#This Row],[PAPER_CODE]])</f>
        <v>1000000000000</v>
      </c>
      <c r="Y173" s="25">
        <f>_xlfn.XLOOKUP(Dealps[[#This Row],[DEAL_ID]],Ref!N:N,Ref!Q:Q,0,0)</f>
        <v>0</v>
      </c>
      <c r="Z173" s="25" t="str">
        <f>IF(Dealps[[#This Row],[CPTY_CODE]]=Dealps[[#This Row],[CPTY_CODE_ISSUER]],"Yes","No")</f>
        <v>No</v>
      </c>
      <c r="AA173" s="25"/>
      <c r="AC173" s="14"/>
      <c r="AG173" s="96"/>
      <c r="AH173" s="14"/>
      <c r="AI173"/>
      <c r="AN173" s="14"/>
      <c r="AV173" s="36"/>
      <c r="AW173" s="14"/>
      <c r="AX173" s="234"/>
      <c r="AY173" s="96"/>
      <c r="AZ173" s="14"/>
      <c r="BA173"/>
      <c r="BB173" s="93">
        <v>46262</v>
      </c>
      <c r="BC173">
        <v>2659</v>
      </c>
      <c r="BD173" s="56" t="s">
        <v>1021</v>
      </c>
      <c r="BE173" t="s">
        <v>1011</v>
      </c>
      <c r="BF173" t="s">
        <v>1022</v>
      </c>
      <c r="BG173" t="s">
        <v>364</v>
      </c>
      <c r="BH173" t="s">
        <v>1013</v>
      </c>
      <c r="BI173" t="s">
        <v>311</v>
      </c>
      <c r="BJ173" s="93">
        <v>45925</v>
      </c>
      <c r="BK173" s="93">
        <v>45925</v>
      </c>
      <c r="BL173" s="93">
        <v>45925</v>
      </c>
      <c r="BM173" s="93">
        <v>46654</v>
      </c>
      <c r="BN173" s="14">
        <v>1</v>
      </c>
      <c r="BO173" s="14">
        <v>20000000000</v>
      </c>
      <c r="BP173" s="56">
        <v>100</v>
      </c>
      <c r="BQ173" s="56">
        <v>0</v>
      </c>
      <c r="BR173" s="14">
        <v>20002739726</v>
      </c>
      <c r="BS173">
        <v>4.9993150000000002</v>
      </c>
      <c r="BT173" t="s">
        <v>1184</v>
      </c>
      <c r="BU173" s="25">
        <f>_xlfn.XLOOKUP(Dealps_MSB[[#This Row],[DEAL_ID]],Ref!V:V,Ref!X:X,0,0)</f>
        <v>0</v>
      </c>
      <c r="BV173"/>
    </row>
    <row r="174" spans="1:74" x14ac:dyDescent="0.3">
      <c r="A174" s="93">
        <v>46262</v>
      </c>
      <c r="B174">
        <v>3287</v>
      </c>
      <c r="C174" s="56" t="s">
        <v>963</v>
      </c>
      <c r="D174" t="s">
        <v>308</v>
      </c>
      <c r="E174" t="s">
        <v>344</v>
      </c>
      <c r="F174" t="s">
        <v>364</v>
      </c>
      <c r="G174" t="s">
        <v>310</v>
      </c>
      <c r="H174" t="s">
        <v>300</v>
      </c>
      <c r="I174" s="93">
        <v>46027</v>
      </c>
      <c r="J174" s="93">
        <v>46022</v>
      </c>
      <c r="K174" s="93">
        <v>46027</v>
      </c>
      <c r="L174" s="93">
        <v>46295</v>
      </c>
      <c r="M174" s="14">
        <v>1</v>
      </c>
      <c r="N174" s="14">
        <v>150000000000</v>
      </c>
      <c r="O174" s="56">
        <v>100.596184638</v>
      </c>
      <c r="P174" s="56">
        <v>0</v>
      </c>
      <c r="Q174" s="14">
        <v>153300852300</v>
      </c>
      <c r="R174">
        <v>5.1741710000000003</v>
      </c>
      <c r="S174" t="s">
        <v>1184</v>
      </c>
      <c r="T174" s="57">
        <f>IF(Dealps[[#This Row],[MATURITY_DATE]]-Dealps[[#This Row],[POSTED_DT]]&lt;0,0,IF(Dealps[[#This Row],[VALUE_DATE]]-Dealps[[#This Row],[POSTED_DT]]&gt;0,Dealps[[#This Row],[MATURITY_DATE]]-Dealps[[#This Row],[VALUE_DATE]],Dealps[[#This Row],[MATURITY_DATE]]-Dealps[[#This Row],[POSTED_DT]]))</f>
        <v>33</v>
      </c>
      <c r="U174" s="25">
        <f>IF(Dealps[[#This Row],[TENOR]]=0,0,IF(Dealps[[#This Row],[DEAL_TYPE]]="B",Dealps[[#This Row],[FACE_AMOUNT]],-Dealps[[#This Row],[FACE_AMOUNT]]))</f>
        <v>150000000000</v>
      </c>
      <c r="V174" s="25">
        <f>_xlfn.XLOOKUP(Dealps[[#This Row],[PAPER_CODE]],FNRP!D:D,FNRP!H:H,0,0)/100*Dealps[[#This Row],[AMOUNT]]</f>
        <v>0</v>
      </c>
      <c r="W174" s="57" t="str">
        <f>IF(Dealps[[#This Row],[TRANSACTION_STATUS]]&lt;&gt;"V","Ngoai BS",IF(Dealps[[#This Row],[POSTED_DT]]&gt;=Dealps[[#This Row],[VALUE_DATE]],"On BS","Off BS"))</f>
        <v>On BS</v>
      </c>
      <c r="X174" s="25">
        <f>SUMIFS(U:U,C:C,Dealps[[#This Row],[PAPER_CODE]])</f>
        <v>400000000000</v>
      </c>
      <c r="Y174" s="25">
        <f>_xlfn.XLOOKUP(Dealps[[#This Row],[DEAL_ID]],Ref!N:N,Ref!Q:Q,0,0)</f>
        <v>0</v>
      </c>
      <c r="Z174" s="25" t="str">
        <f>IF(Dealps[[#This Row],[CPTY_CODE]]=Dealps[[#This Row],[CPTY_CODE_ISSUER]],"Yes","No")</f>
        <v>No</v>
      </c>
      <c r="AA174" s="25"/>
      <c r="AC174" s="14"/>
      <c r="AG174" s="96"/>
      <c r="AH174" s="14"/>
      <c r="AI174"/>
      <c r="AN174" s="14"/>
      <c r="AV174" s="36"/>
      <c r="AW174" s="14"/>
      <c r="AX174" s="234"/>
      <c r="AY174" s="96"/>
      <c r="AZ174" s="14"/>
      <c r="BA174"/>
      <c r="BB174" s="93">
        <v>46262</v>
      </c>
      <c r="BC174">
        <v>2660</v>
      </c>
      <c r="BD174" s="56" t="s">
        <v>1021</v>
      </c>
      <c r="BE174" t="s">
        <v>1011</v>
      </c>
      <c r="BF174" t="s">
        <v>1022</v>
      </c>
      <c r="BG174" t="s">
        <v>364</v>
      </c>
      <c r="BH174" t="s">
        <v>1013</v>
      </c>
      <c r="BI174" t="s">
        <v>311</v>
      </c>
      <c r="BJ174" s="93">
        <v>45925</v>
      </c>
      <c r="BK174" s="93">
        <v>45925</v>
      </c>
      <c r="BL174" s="93">
        <v>45925</v>
      </c>
      <c r="BM174" s="93">
        <v>46654</v>
      </c>
      <c r="BN174" s="14">
        <v>1</v>
      </c>
      <c r="BO174" s="14">
        <v>30000000000</v>
      </c>
      <c r="BP174" s="56">
        <v>100</v>
      </c>
      <c r="BQ174" s="56">
        <v>0</v>
      </c>
      <c r="BR174" s="14">
        <v>30004109589.000004</v>
      </c>
      <c r="BS174">
        <v>4.9993150000000002</v>
      </c>
      <c r="BT174" t="s">
        <v>1184</v>
      </c>
      <c r="BU174" s="25">
        <f>_xlfn.XLOOKUP(Dealps_MSB[[#This Row],[DEAL_ID]],Ref!V:V,Ref!X:X,0,0)</f>
        <v>0</v>
      </c>
      <c r="BV174"/>
    </row>
    <row r="175" spans="1:74" x14ac:dyDescent="0.3">
      <c r="A175" s="93">
        <v>46262</v>
      </c>
      <c r="B175">
        <v>3290</v>
      </c>
      <c r="C175" s="56" t="s">
        <v>1140</v>
      </c>
      <c r="D175" t="s">
        <v>343</v>
      </c>
      <c r="E175" t="s">
        <v>939</v>
      </c>
      <c r="F175" t="s">
        <v>364</v>
      </c>
      <c r="G175" t="s">
        <v>310</v>
      </c>
      <c r="H175" t="s">
        <v>300</v>
      </c>
      <c r="I175" s="93">
        <v>46027</v>
      </c>
      <c r="J175" s="93">
        <v>46027</v>
      </c>
      <c r="K175" s="93">
        <v>46027</v>
      </c>
      <c r="L175" s="93">
        <v>46283</v>
      </c>
      <c r="M175" s="14">
        <v>1</v>
      </c>
      <c r="N175" s="14">
        <v>50000000000</v>
      </c>
      <c r="O175" s="56">
        <v>99.120916731999998</v>
      </c>
      <c r="P175" s="56">
        <v>0</v>
      </c>
      <c r="Q175" s="14">
        <v>49735115900</v>
      </c>
      <c r="R175">
        <v>8.8000000000000007</v>
      </c>
      <c r="S175" t="s">
        <v>1184</v>
      </c>
      <c r="T175" s="57">
        <f>IF(Dealps[[#This Row],[MATURITY_DATE]]-Dealps[[#This Row],[POSTED_DT]]&lt;0,0,IF(Dealps[[#This Row],[VALUE_DATE]]-Dealps[[#This Row],[POSTED_DT]]&gt;0,Dealps[[#This Row],[MATURITY_DATE]]-Dealps[[#This Row],[VALUE_DATE]],Dealps[[#This Row],[MATURITY_DATE]]-Dealps[[#This Row],[POSTED_DT]]))</f>
        <v>21</v>
      </c>
      <c r="U175" s="25">
        <f>IF(Dealps[[#This Row],[TENOR]]=0,0,IF(Dealps[[#This Row],[DEAL_TYPE]]="B",Dealps[[#This Row],[FACE_AMOUNT]],-Dealps[[#This Row],[FACE_AMOUNT]]))</f>
        <v>50000000000</v>
      </c>
      <c r="V175" s="25">
        <f>_xlfn.XLOOKUP(Dealps[[#This Row],[PAPER_CODE]],FNRP!D:D,FNRP!H:H,0,0)/100*Dealps[[#This Row],[AMOUNT]]</f>
        <v>0</v>
      </c>
      <c r="W175" s="57" t="str">
        <f>IF(Dealps[[#This Row],[TRANSACTION_STATUS]]&lt;&gt;"V","Ngoai BS",IF(Dealps[[#This Row],[POSTED_DT]]&gt;=Dealps[[#This Row],[VALUE_DATE]],"On BS","Off BS"))</f>
        <v>On BS</v>
      </c>
      <c r="X175" s="25">
        <f>SUMIFS(U:U,C:C,Dealps[[#This Row],[PAPER_CODE]])</f>
        <v>50000000000</v>
      </c>
      <c r="Y175" s="25">
        <f>_xlfn.XLOOKUP(Dealps[[#This Row],[DEAL_ID]],Ref!N:N,Ref!Q:Q,0,0)</f>
        <v>0</v>
      </c>
      <c r="Z175" s="25" t="str">
        <f>IF(Dealps[[#This Row],[CPTY_CODE]]=Dealps[[#This Row],[CPTY_CODE_ISSUER]],"Yes","No")</f>
        <v>No</v>
      </c>
      <c r="AA175" s="25"/>
      <c r="AC175" s="14"/>
      <c r="AG175" s="96"/>
      <c r="AH175" s="14"/>
      <c r="AI175"/>
      <c r="AN175" s="14"/>
      <c r="AV175" s="36"/>
      <c r="AW175" s="14"/>
      <c r="AX175" s="234"/>
      <c r="AY175" s="96"/>
      <c r="AZ175" s="14"/>
      <c r="BA175"/>
      <c r="BB175" s="93">
        <v>46262</v>
      </c>
      <c r="BC175">
        <v>2661</v>
      </c>
      <c r="BD175" s="56" t="s">
        <v>1021</v>
      </c>
      <c r="BE175" t="s">
        <v>1011</v>
      </c>
      <c r="BF175" t="s">
        <v>1022</v>
      </c>
      <c r="BG175" t="s">
        <v>364</v>
      </c>
      <c r="BH175" t="s">
        <v>1013</v>
      </c>
      <c r="BI175" t="s">
        <v>311</v>
      </c>
      <c r="BJ175" s="93">
        <v>45925</v>
      </c>
      <c r="BK175" s="93">
        <v>45925</v>
      </c>
      <c r="BL175" s="93">
        <v>45925</v>
      </c>
      <c r="BM175" s="93">
        <v>46654</v>
      </c>
      <c r="BN175" s="14">
        <v>1</v>
      </c>
      <c r="BO175" s="14">
        <v>50000000000</v>
      </c>
      <c r="BP175" s="56">
        <v>100</v>
      </c>
      <c r="BQ175" s="56">
        <v>0</v>
      </c>
      <c r="BR175" s="14">
        <v>50006849315</v>
      </c>
      <c r="BS175">
        <v>4.9993150000000002</v>
      </c>
      <c r="BT175" t="s">
        <v>1184</v>
      </c>
      <c r="BU175" s="25">
        <f>_xlfn.XLOOKUP(Dealps_MSB[[#This Row],[DEAL_ID]],Ref!V:V,Ref!X:X,0,0)</f>
        <v>0</v>
      </c>
      <c r="BV175"/>
    </row>
    <row r="176" spans="1:74" x14ac:dyDescent="0.3">
      <c r="A176" s="93">
        <v>46262</v>
      </c>
      <c r="B176">
        <v>3293</v>
      </c>
      <c r="C176" s="56" t="s">
        <v>963</v>
      </c>
      <c r="D176" t="s">
        <v>308</v>
      </c>
      <c r="E176" t="s">
        <v>344</v>
      </c>
      <c r="F176" t="s">
        <v>364</v>
      </c>
      <c r="G176" t="s">
        <v>310</v>
      </c>
      <c r="H176" t="s">
        <v>311</v>
      </c>
      <c r="I176" s="93">
        <v>46027</v>
      </c>
      <c r="J176" s="93">
        <v>46027</v>
      </c>
      <c r="K176" s="93">
        <v>46028</v>
      </c>
      <c r="L176" s="93">
        <v>46295</v>
      </c>
      <c r="M176" s="14">
        <v>1</v>
      </c>
      <c r="N176" s="14">
        <v>400000000000</v>
      </c>
      <c r="O176" s="56">
        <v>100.48847881</v>
      </c>
      <c r="P176" s="56">
        <v>0</v>
      </c>
      <c r="Q176" s="14">
        <v>408438298800</v>
      </c>
      <c r="R176">
        <v>5.32</v>
      </c>
      <c r="S176" t="s">
        <v>1184</v>
      </c>
      <c r="T176" s="57">
        <f>IF(Dealps[[#This Row],[MATURITY_DATE]]-Dealps[[#This Row],[POSTED_DT]]&lt;0,0,IF(Dealps[[#This Row],[VALUE_DATE]]-Dealps[[#This Row],[POSTED_DT]]&gt;0,Dealps[[#This Row],[MATURITY_DATE]]-Dealps[[#This Row],[VALUE_DATE]],Dealps[[#This Row],[MATURITY_DATE]]-Dealps[[#This Row],[POSTED_DT]]))</f>
        <v>33</v>
      </c>
      <c r="U176" s="25">
        <f>IF(Dealps[[#This Row],[TENOR]]=0,0,IF(Dealps[[#This Row],[DEAL_TYPE]]="B",Dealps[[#This Row],[FACE_AMOUNT]],-Dealps[[#This Row],[FACE_AMOUNT]]))</f>
        <v>-400000000000</v>
      </c>
      <c r="V176" s="25">
        <f>_xlfn.XLOOKUP(Dealps[[#This Row],[PAPER_CODE]],FNRP!D:D,FNRP!H:H,0,0)/100*Dealps[[#This Row],[AMOUNT]]</f>
        <v>0</v>
      </c>
      <c r="W176" s="57" t="str">
        <f>IF(Dealps[[#This Row],[TRANSACTION_STATUS]]&lt;&gt;"V","Ngoai BS",IF(Dealps[[#This Row],[POSTED_DT]]&gt;=Dealps[[#This Row],[VALUE_DATE]],"On BS","Off BS"))</f>
        <v>On BS</v>
      </c>
      <c r="X176" s="25">
        <f>SUMIFS(U:U,C:C,Dealps[[#This Row],[PAPER_CODE]])</f>
        <v>400000000000</v>
      </c>
      <c r="Y176" s="25">
        <f>_xlfn.XLOOKUP(Dealps[[#This Row],[DEAL_ID]],Ref!N:N,Ref!Q:Q,0,0)</f>
        <v>0</v>
      </c>
      <c r="Z176" s="25" t="str">
        <f>IF(Dealps[[#This Row],[CPTY_CODE]]=Dealps[[#This Row],[CPTY_CODE_ISSUER]],"Yes","No")</f>
        <v>No</v>
      </c>
      <c r="AA176" s="25"/>
      <c r="AC176" s="14"/>
      <c r="AG176" s="96"/>
      <c r="AH176" s="14"/>
      <c r="AI176"/>
      <c r="AN176" s="14"/>
      <c r="AV176" s="36"/>
      <c r="AW176" s="14"/>
      <c r="AX176" s="234"/>
      <c r="AY176" s="96"/>
      <c r="AZ176" s="14"/>
      <c r="BA176"/>
      <c r="BB176" s="93">
        <v>46262</v>
      </c>
      <c r="BC176">
        <v>2670</v>
      </c>
      <c r="BD176" s="56" t="s">
        <v>1021</v>
      </c>
      <c r="BE176" t="s">
        <v>1011</v>
      </c>
      <c r="BF176" t="s">
        <v>1022</v>
      </c>
      <c r="BG176" t="s">
        <v>364</v>
      </c>
      <c r="BH176" t="s">
        <v>1013</v>
      </c>
      <c r="BI176" t="s">
        <v>311</v>
      </c>
      <c r="BJ176" s="93">
        <v>45926</v>
      </c>
      <c r="BK176" s="93">
        <v>45926</v>
      </c>
      <c r="BL176" s="93">
        <v>45926</v>
      </c>
      <c r="BM176" s="93">
        <v>46654</v>
      </c>
      <c r="BN176" s="14">
        <v>1</v>
      </c>
      <c r="BO176" s="14">
        <v>50000000000</v>
      </c>
      <c r="BP176" s="56">
        <v>100</v>
      </c>
      <c r="BQ176" s="56">
        <v>0</v>
      </c>
      <c r="BR176" s="14">
        <v>50013698630</v>
      </c>
      <c r="BS176">
        <v>4.9986309999999996</v>
      </c>
      <c r="BT176" t="s">
        <v>1184</v>
      </c>
      <c r="BU176" s="25">
        <f>_xlfn.XLOOKUP(Dealps_MSB[[#This Row],[DEAL_ID]],Ref!V:V,Ref!X:X,0,0)</f>
        <v>0</v>
      </c>
      <c r="BV176"/>
    </row>
    <row r="177" spans="1:74" x14ac:dyDescent="0.3">
      <c r="A177" s="93">
        <v>46262</v>
      </c>
      <c r="B177">
        <v>48468</v>
      </c>
      <c r="C177" s="56" t="s">
        <v>638</v>
      </c>
      <c r="D177" t="s">
        <v>328</v>
      </c>
      <c r="E177" t="s">
        <v>320</v>
      </c>
      <c r="F177" t="s">
        <v>39</v>
      </c>
      <c r="G177" t="s">
        <v>310</v>
      </c>
      <c r="H177" t="s">
        <v>300</v>
      </c>
      <c r="I177" s="93">
        <v>46027</v>
      </c>
      <c r="J177" s="93">
        <v>46027</v>
      </c>
      <c r="K177" s="93">
        <v>46028</v>
      </c>
      <c r="L177" s="93">
        <v>48297</v>
      </c>
      <c r="M177" s="14">
        <v>3976106</v>
      </c>
      <c r="N177" s="14">
        <v>397610600000</v>
      </c>
      <c r="O177" s="56">
        <v>100.14482191800001</v>
      </c>
      <c r="P177" s="56">
        <v>6</v>
      </c>
      <c r="Q177" s="14">
        <v>421324096184</v>
      </c>
      <c r="R177">
        <v>7.957931125</v>
      </c>
      <c r="S177" t="s">
        <v>1184</v>
      </c>
      <c r="T177" s="57">
        <f>IF(Dealps[[#This Row],[MATURITY_DATE]]-Dealps[[#This Row],[POSTED_DT]]&lt;0,0,IF(Dealps[[#This Row],[VALUE_DATE]]-Dealps[[#This Row],[POSTED_DT]]&gt;0,Dealps[[#This Row],[MATURITY_DATE]]-Dealps[[#This Row],[VALUE_DATE]],Dealps[[#This Row],[MATURITY_DATE]]-Dealps[[#This Row],[POSTED_DT]]))</f>
        <v>2035</v>
      </c>
      <c r="U177" s="25">
        <f>IF(Dealps[[#This Row],[TENOR]]=0,0,IF(Dealps[[#This Row],[DEAL_TYPE]]="B",Dealps[[#This Row],[FACE_AMOUNT]],-Dealps[[#This Row],[FACE_AMOUNT]]))</f>
        <v>397610600000</v>
      </c>
      <c r="V177" s="25">
        <f>_xlfn.XLOOKUP(Dealps[[#This Row],[PAPER_CODE]],FNRP!D:D,FNRP!H:H,0,0)/100*Dealps[[#This Row],[AMOUNT]]</f>
        <v>472429195339.61273</v>
      </c>
      <c r="W177" s="57" t="str">
        <f>IF(Dealps[[#This Row],[TRANSACTION_STATUS]]&lt;&gt;"V","Ngoai BS",IF(Dealps[[#This Row],[POSTED_DT]]&gt;=Dealps[[#This Row],[VALUE_DATE]],"On BS","Off BS"))</f>
        <v>On BS</v>
      </c>
      <c r="X177" s="25">
        <f>SUMIFS(U:U,C:C,Dealps[[#This Row],[PAPER_CODE]])</f>
        <v>397610600000</v>
      </c>
      <c r="Y177" s="25">
        <f>_xlfn.XLOOKUP(Dealps[[#This Row],[DEAL_ID]],Ref!N:N,Ref!Q:Q,0,0)</f>
        <v>0</v>
      </c>
      <c r="Z177" s="25" t="str">
        <f>IF(Dealps[[#This Row],[CPTY_CODE]]=Dealps[[#This Row],[CPTY_CODE_ISSUER]],"Yes","No")</f>
        <v>No</v>
      </c>
      <c r="AA177" s="25"/>
      <c r="AC177" s="14"/>
      <c r="AG177" s="96"/>
      <c r="AH177" s="14"/>
      <c r="AI177"/>
      <c r="AN177" s="14"/>
      <c r="AV177" s="36"/>
      <c r="AW177" s="14"/>
      <c r="AX177" s="234"/>
      <c r="AY177" s="96"/>
      <c r="AZ177" s="14"/>
      <c r="BA177"/>
      <c r="BB177" s="93">
        <v>46262</v>
      </c>
      <c r="BC177">
        <v>2681</v>
      </c>
      <c r="BD177" s="56" t="s">
        <v>1021</v>
      </c>
      <c r="BE177" t="s">
        <v>1011</v>
      </c>
      <c r="BF177" t="s">
        <v>1022</v>
      </c>
      <c r="BG177" t="s">
        <v>364</v>
      </c>
      <c r="BH177" t="s">
        <v>1013</v>
      </c>
      <c r="BI177" t="s">
        <v>311</v>
      </c>
      <c r="BJ177" s="93">
        <v>45929</v>
      </c>
      <c r="BK177" s="93">
        <v>45929</v>
      </c>
      <c r="BL177" s="93">
        <v>45929</v>
      </c>
      <c r="BM177" s="93">
        <v>46654</v>
      </c>
      <c r="BN177" s="14">
        <v>1</v>
      </c>
      <c r="BO177" s="14">
        <v>100000000000</v>
      </c>
      <c r="BP177" s="56">
        <v>100</v>
      </c>
      <c r="BQ177" s="56">
        <v>0</v>
      </c>
      <c r="BR177" s="14">
        <v>100068493151</v>
      </c>
      <c r="BS177">
        <v>4.9965780000000004</v>
      </c>
      <c r="BT177" t="s">
        <v>1184</v>
      </c>
      <c r="BU177" s="25">
        <f>_xlfn.XLOOKUP(Dealps_MSB[[#This Row],[DEAL_ID]],Ref!V:V,Ref!X:X,0,0)</f>
        <v>0</v>
      </c>
      <c r="BV177"/>
    </row>
    <row r="178" spans="1:74" x14ac:dyDescent="0.3">
      <c r="A178" s="93">
        <v>46262</v>
      </c>
      <c r="B178">
        <v>3298</v>
      </c>
      <c r="C178" s="56" t="s">
        <v>965</v>
      </c>
      <c r="D178" t="s">
        <v>325</v>
      </c>
      <c r="E178" t="s">
        <v>1009</v>
      </c>
      <c r="F178" t="s">
        <v>364</v>
      </c>
      <c r="G178" t="s">
        <v>310</v>
      </c>
      <c r="H178" t="s">
        <v>311</v>
      </c>
      <c r="I178" s="93">
        <v>46028</v>
      </c>
      <c r="J178" s="93">
        <v>46028</v>
      </c>
      <c r="K178" s="93">
        <v>46030</v>
      </c>
      <c r="L178" s="93">
        <v>46301</v>
      </c>
      <c r="M178" s="14">
        <v>1</v>
      </c>
      <c r="N178" s="14">
        <v>500000000000</v>
      </c>
      <c r="O178" s="56">
        <v>99.999999967999997</v>
      </c>
      <c r="P178" s="56">
        <v>0</v>
      </c>
      <c r="Q178" s="14">
        <v>508153424500.00006</v>
      </c>
      <c r="R178">
        <v>6.2973109999999997</v>
      </c>
      <c r="S178" t="s">
        <v>1184</v>
      </c>
      <c r="T178" s="57">
        <f>IF(Dealps[[#This Row],[MATURITY_DATE]]-Dealps[[#This Row],[POSTED_DT]]&lt;0,0,IF(Dealps[[#This Row],[VALUE_DATE]]-Dealps[[#This Row],[POSTED_DT]]&gt;0,Dealps[[#This Row],[MATURITY_DATE]]-Dealps[[#This Row],[VALUE_DATE]],Dealps[[#This Row],[MATURITY_DATE]]-Dealps[[#This Row],[POSTED_DT]]))</f>
        <v>39</v>
      </c>
      <c r="U178" s="25">
        <f>IF(Dealps[[#This Row],[TENOR]]=0,0,IF(Dealps[[#This Row],[DEAL_TYPE]]="B",Dealps[[#This Row],[FACE_AMOUNT]],-Dealps[[#This Row],[FACE_AMOUNT]]))</f>
        <v>-500000000000</v>
      </c>
      <c r="V178" s="25">
        <f>_xlfn.XLOOKUP(Dealps[[#This Row],[PAPER_CODE]],FNRP!D:D,FNRP!H:H,0,0)/100*Dealps[[#This Row],[AMOUNT]]</f>
        <v>0</v>
      </c>
      <c r="W178" s="57" t="str">
        <f>IF(Dealps[[#This Row],[TRANSACTION_STATUS]]&lt;&gt;"V","Ngoai BS",IF(Dealps[[#This Row],[POSTED_DT]]&gt;=Dealps[[#This Row],[VALUE_DATE]],"On BS","Off BS"))</f>
        <v>On BS</v>
      </c>
      <c r="X178" s="25">
        <f>SUMIFS(U:U,C:C,Dealps[[#This Row],[PAPER_CODE]])</f>
        <v>500000000000</v>
      </c>
      <c r="Y178" s="25">
        <f>_xlfn.XLOOKUP(Dealps[[#This Row],[DEAL_ID]],Ref!N:N,Ref!Q:Q,0,0)</f>
        <v>0</v>
      </c>
      <c r="Z178" s="25" t="str">
        <f>IF(Dealps[[#This Row],[CPTY_CODE]]=Dealps[[#This Row],[CPTY_CODE_ISSUER]],"Yes","No")</f>
        <v>No</v>
      </c>
      <c r="AA178" s="25"/>
      <c r="AC178" s="14"/>
      <c r="AG178" s="96"/>
      <c r="AH178" s="14"/>
      <c r="AI178"/>
      <c r="AN178" s="14"/>
      <c r="AV178" s="36"/>
      <c r="AW178" s="14"/>
      <c r="AX178" s="234"/>
      <c r="AY178" s="96"/>
      <c r="AZ178" s="14"/>
      <c r="BA178"/>
      <c r="BB178" s="93">
        <v>46262</v>
      </c>
      <c r="BC178">
        <v>2685</v>
      </c>
      <c r="BD178" s="56" t="s">
        <v>1021</v>
      </c>
      <c r="BE178" t="s">
        <v>1011</v>
      </c>
      <c r="BF178" t="s">
        <v>1022</v>
      </c>
      <c r="BG178" t="s">
        <v>364</v>
      </c>
      <c r="BH178" t="s">
        <v>1013</v>
      </c>
      <c r="BI178" t="s">
        <v>311</v>
      </c>
      <c r="BJ178" s="93">
        <v>45930</v>
      </c>
      <c r="BK178" s="93">
        <v>45930</v>
      </c>
      <c r="BL178" s="93">
        <v>45930</v>
      </c>
      <c r="BM178" s="93">
        <v>46654</v>
      </c>
      <c r="BN178" s="14">
        <v>1</v>
      </c>
      <c r="BO178" s="14">
        <v>50000000000</v>
      </c>
      <c r="BP178" s="56">
        <v>100</v>
      </c>
      <c r="BQ178" s="56">
        <v>0</v>
      </c>
      <c r="BR178" s="14">
        <v>50041095891</v>
      </c>
      <c r="BS178">
        <v>4.9958939999999998</v>
      </c>
      <c r="BT178" t="s">
        <v>1184</v>
      </c>
      <c r="BU178" s="25">
        <f>_xlfn.XLOOKUP(Dealps_MSB[[#This Row],[DEAL_ID]],Ref!V:V,Ref!X:X,0,0)</f>
        <v>0</v>
      </c>
      <c r="BV178"/>
    </row>
    <row r="179" spans="1:74" x14ac:dyDescent="0.3">
      <c r="A179" s="93">
        <v>46262</v>
      </c>
      <c r="B179">
        <v>3299</v>
      </c>
      <c r="C179" s="56" t="s">
        <v>953</v>
      </c>
      <c r="D179" t="s">
        <v>325</v>
      </c>
      <c r="E179" t="s">
        <v>1009</v>
      </c>
      <c r="F179" t="s">
        <v>364</v>
      </c>
      <c r="G179" t="s">
        <v>310</v>
      </c>
      <c r="H179" t="s">
        <v>311</v>
      </c>
      <c r="I179" s="93">
        <v>46028</v>
      </c>
      <c r="J179" s="93">
        <v>46028</v>
      </c>
      <c r="K179" s="93">
        <v>46030</v>
      </c>
      <c r="L179" s="93">
        <v>46274</v>
      </c>
      <c r="M179" s="14">
        <v>1</v>
      </c>
      <c r="N179" s="14">
        <v>300000000000</v>
      </c>
      <c r="O179" s="56">
        <v>99.999999959999997</v>
      </c>
      <c r="P179" s="56">
        <v>0</v>
      </c>
      <c r="Q179" s="14">
        <v>305917808100</v>
      </c>
      <c r="R179">
        <v>5.8839329999999999</v>
      </c>
      <c r="S179" t="s">
        <v>1184</v>
      </c>
      <c r="T179" s="57">
        <f>IF(Dealps[[#This Row],[MATURITY_DATE]]-Dealps[[#This Row],[POSTED_DT]]&lt;0,0,IF(Dealps[[#This Row],[VALUE_DATE]]-Dealps[[#This Row],[POSTED_DT]]&gt;0,Dealps[[#This Row],[MATURITY_DATE]]-Dealps[[#This Row],[VALUE_DATE]],Dealps[[#This Row],[MATURITY_DATE]]-Dealps[[#This Row],[POSTED_DT]]))</f>
        <v>12</v>
      </c>
      <c r="U179" s="25">
        <f>IF(Dealps[[#This Row],[TENOR]]=0,0,IF(Dealps[[#This Row],[DEAL_TYPE]]="B",Dealps[[#This Row],[FACE_AMOUNT]],-Dealps[[#This Row],[FACE_AMOUNT]]))</f>
        <v>-300000000000</v>
      </c>
      <c r="V179" s="25">
        <f>_xlfn.XLOOKUP(Dealps[[#This Row],[PAPER_CODE]],FNRP!D:D,FNRP!H:H,0,0)/100*Dealps[[#This Row],[AMOUNT]]</f>
        <v>0</v>
      </c>
      <c r="W179" s="57" t="str">
        <f>IF(Dealps[[#This Row],[TRANSACTION_STATUS]]&lt;&gt;"V","Ngoai BS",IF(Dealps[[#This Row],[POSTED_DT]]&gt;=Dealps[[#This Row],[VALUE_DATE]],"On BS","Off BS"))</f>
        <v>On BS</v>
      </c>
      <c r="X179" s="25">
        <f>SUMIFS(U:U,C:C,Dealps[[#This Row],[PAPER_CODE]])</f>
        <v>300000000000</v>
      </c>
      <c r="Y179" s="25">
        <f>_xlfn.XLOOKUP(Dealps[[#This Row],[DEAL_ID]],Ref!N:N,Ref!Q:Q,0,0)</f>
        <v>0</v>
      </c>
      <c r="Z179" s="25" t="str">
        <f>IF(Dealps[[#This Row],[CPTY_CODE]]=Dealps[[#This Row],[CPTY_CODE_ISSUER]],"Yes","No")</f>
        <v>No</v>
      </c>
      <c r="AA179" s="25"/>
      <c r="AC179" s="14"/>
      <c r="AG179" s="96"/>
      <c r="AH179" s="14"/>
      <c r="AI179"/>
      <c r="AN179" s="14"/>
      <c r="AV179" s="36"/>
      <c r="AW179" s="14"/>
      <c r="AX179" s="234"/>
      <c r="AY179" s="96"/>
      <c r="AZ179" s="14"/>
      <c r="BA179"/>
      <c r="BB179" s="93">
        <v>46262</v>
      </c>
      <c r="BC179">
        <v>2686</v>
      </c>
      <c r="BD179" s="56" t="s">
        <v>1021</v>
      </c>
      <c r="BE179" t="s">
        <v>1011</v>
      </c>
      <c r="BF179" t="s">
        <v>1022</v>
      </c>
      <c r="BG179" t="s">
        <v>364</v>
      </c>
      <c r="BH179" t="s">
        <v>1013</v>
      </c>
      <c r="BI179" t="s">
        <v>311</v>
      </c>
      <c r="BJ179" s="93">
        <v>45930</v>
      </c>
      <c r="BK179" s="93">
        <v>45930</v>
      </c>
      <c r="BL179" s="93">
        <v>45930</v>
      </c>
      <c r="BM179" s="93">
        <v>46654</v>
      </c>
      <c r="BN179" s="14">
        <v>1</v>
      </c>
      <c r="BO179" s="14">
        <v>50000000000</v>
      </c>
      <c r="BP179" s="56">
        <v>100</v>
      </c>
      <c r="BQ179" s="56">
        <v>0</v>
      </c>
      <c r="BR179" s="14">
        <v>50041095891</v>
      </c>
      <c r="BS179">
        <v>4.9958939999999998</v>
      </c>
      <c r="BT179" t="s">
        <v>1184</v>
      </c>
      <c r="BU179" s="25">
        <f>_xlfn.XLOOKUP(Dealps_MSB[[#This Row],[DEAL_ID]],Ref!V:V,Ref!X:X,0,0)</f>
        <v>0</v>
      </c>
      <c r="BV179"/>
    </row>
    <row r="180" spans="1:74" x14ac:dyDescent="0.3">
      <c r="A180" s="93">
        <v>46262</v>
      </c>
      <c r="B180">
        <v>3303</v>
      </c>
      <c r="C180" s="56" t="s">
        <v>1061</v>
      </c>
      <c r="D180" t="s">
        <v>312</v>
      </c>
      <c r="E180" t="s">
        <v>315</v>
      </c>
      <c r="F180" t="s">
        <v>364</v>
      </c>
      <c r="G180" t="s">
        <v>310</v>
      </c>
      <c r="H180" t="s">
        <v>300</v>
      </c>
      <c r="I180" s="93">
        <v>46029</v>
      </c>
      <c r="J180" s="93">
        <v>46016</v>
      </c>
      <c r="K180" s="93">
        <v>46029</v>
      </c>
      <c r="L180" s="93">
        <v>46343</v>
      </c>
      <c r="M180" s="14">
        <v>1</v>
      </c>
      <c r="N180" s="14">
        <v>1000000000000</v>
      </c>
      <c r="O180" s="56">
        <v>100.132932801</v>
      </c>
      <c r="P180" s="56">
        <v>0</v>
      </c>
      <c r="Q180" s="14">
        <v>1009959465000</v>
      </c>
      <c r="R180">
        <v>6.0848740000000001</v>
      </c>
      <c r="S180" t="s">
        <v>1184</v>
      </c>
      <c r="T180" s="57">
        <f>IF(Dealps[[#This Row],[MATURITY_DATE]]-Dealps[[#This Row],[POSTED_DT]]&lt;0,0,IF(Dealps[[#This Row],[VALUE_DATE]]-Dealps[[#This Row],[POSTED_DT]]&gt;0,Dealps[[#This Row],[MATURITY_DATE]]-Dealps[[#This Row],[VALUE_DATE]],Dealps[[#This Row],[MATURITY_DATE]]-Dealps[[#This Row],[POSTED_DT]]))</f>
        <v>81</v>
      </c>
      <c r="U180" s="25">
        <f>IF(Dealps[[#This Row],[TENOR]]=0,0,IF(Dealps[[#This Row],[DEAL_TYPE]]="B",Dealps[[#This Row],[FACE_AMOUNT]],-Dealps[[#This Row],[FACE_AMOUNT]]))</f>
        <v>1000000000000</v>
      </c>
      <c r="V180" s="25">
        <f>_xlfn.XLOOKUP(Dealps[[#This Row],[PAPER_CODE]],FNRP!D:D,FNRP!H:H,0,0)/100*Dealps[[#This Row],[AMOUNT]]</f>
        <v>0</v>
      </c>
      <c r="W180" s="57" t="str">
        <f>IF(Dealps[[#This Row],[TRANSACTION_STATUS]]&lt;&gt;"V","Ngoai BS",IF(Dealps[[#This Row],[POSTED_DT]]&gt;=Dealps[[#This Row],[VALUE_DATE]],"On BS","Off BS"))</f>
        <v>On BS</v>
      </c>
      <c r="X180" s="25">
        <f>SUMIFS(U:U,C:C,Dealps[[#This Row],[PAPER_CODE]])</f>
        <v>1500000000000</v>
      </c>
      <c r="Y180" s="25">
        <f>_xlfn.XLOOKUP(Dealps[[#This Row],[DEAL_ID]],Ref!N:N,Ref!Q:Q,0,0)</f>
        <v>0</v>
      </c>
      <c r="Z180" s="25" t="str">
        <f>IF(Dealps[[#This Row],[CPTY_CODE]]=Dealps[[#This Row],[CPTY_CODE_ISSUER]],"Yes","No")</f>
        <v>No</v>
      </c>
      <c r="AA180" s="25"/>
      <c r="AC180" s="14"/>
      <c r="AG180" s="96"/>
      <c r="AH180" s="14"/>
      <c r="AI180"/>
      <c r="AN180" s="14"/>
      <c r="AV180" s="36"/>
      <c r="AW180" s="14"/>
      <c r="AX180" s="234"/>
      <c r="AY180" s="96"/>
      <c r="AZ180" s="14"/>
      <c r="BA180"/>
      <c r="BB180" s="93">
        <v>46262</v>
      </c>
      <c r="BC180">
        <v>2789</v>
      </c>
      <c r="BD180" s="56" t="s">
        <v>1021</v>
      </c>
      <c r="BE180" t="s">
        <v>1011</v>
      </c>
      <c r="BF180" t="s">
        <v>1022</v>
      </c>
      <c r="BG180" t="s">
        <v>364</v>
      </c>
      <c r="BH180" t="s">
        <v>1013</v>
      </c>
      <c r="BI180" t="s">
        <v>311</v>
      </c>
      <c r="BJ180" s="93">
        <v>45950</v>
      </c>
      <c r="BK180" s="93">
        <v>45950</v>
      </c>
      <c r="BL180" s="93">
        <v>45950</v>
      </c>
      <c r="BM180" s="93">
        <v>46654</v>
      </c>
      <c r="BN180" s="14">
        <v>1</v>
      </c>
      <c r="BO180" s="14">
        <v>30000000000</v>
      </c>
      <c r="BP180" s="56">
        <v>100</v>
      </c>
      <c r="BQ180" s="56">
        <v>0</v>
      </c>
      <c r="BR180" s="14">
        <v>30106849315</v>
      </c>
      <c r="BS180">
        <v>4.9822550000000003</v>
      </c>
      <c r="BT180" t="s">
        <v>1184</v>
      </c>
      <c r="BU180" s="25">
        <f>_xlfn.XLOOKUP(Dealps_MSB[[#This Row],[DEAL_ID]],Ref!V:V,Ref!X:X,0,0)</f>
        <v>0</v>
      </c>
      <c r="BV180"/>
    </row>
    <row r="181" spans="1:74" x14ac:dyDescent="0.3">
      <c r="A181" s="93">
        <v>46262</v>
      </c>
      <c r="B181">
        <v>48502</v>
      </c>
      <c r="C181" s="56" t="s">
        <v>43</v>
      </c>
      <c r="D181" t="s">
        <v>315</v>
      </c>
      <c r="E181" t="s">
        <v>320</v>
      </c>
      <c r="F181" t="s">
        <v>35</v>
      </c>
      <c r="G181" t="s">
        <v>310</v>
      </c>
      <c r="H181" t="s">
        <v>300</v>
      </c>
      <c r="I181" s="93">
        <v>46031</v>
      </c>
      <c r="J181" s="93">
        <v>46031</v>
      </c>
      <c r="K181" s="93">
        <v>46031</v>
      </c>
      <c r="L181" s="93">
        <v>46637</v>
      </c>
      <c r="M181" s="14">
        <v>5000</v>
      </c>
      <c r="N181" s="14">
        <v>500000000000</v>
      </c>
      <c r="O181" s="56">
        <v>99.980886163999998</v>
      </c>
      <c r="P181" s="56">
        <v>3</v>
      </c>
      <c r="Q181" s="14">
        <v>514512650000</v>
      </c>
      <c r="R181">
        <v>8.6</v>
      </c>
      <c r="S181" t="s">
        <v>1184</v>
      </c>
      <c r="T181" s="57">
        <f>IF(Dealps[[#This Row],[MATURITY_DATE]]-Dealps[[#This Row],[POSTED_DT]]&lt;0,0,IF(Dealps[[#This Row],[VALUE_DATE]]-Dealps[[#This Row],[POSTED_DT]]&gt;0,Dealps[[#This Row],[MATURITY_DATE]]-Dealps[[#This Row],[VALUE_DATE]],Dealps[[#This Row],[MATURITY_DATE]]-Dealps[[#This Row],[POSTED_DT]]))</f>
        <v>375</v>
      </c>
      <c r="U181" s="25">
        <f>IF(Dealps[[#This Row],[TENOR]]=0,0,IF(Dealps[[#This Row],[DEAL_TYPE]]="B",Dealps[[#This Row],[FACE_AMOUNT]],-Dealps[[#This Row],[FACE_AMOUNT]]))</f>
        <v>500000000000</v>
      </c>
      <c r="V181" s="25">
        <f>_xlfn.XLOOKUP(Dealps[[#This Row],[PAPER_CODE]],FNRP!D:D,FNRP!H:H,0,0)/100*Dealps[[#This Row],[AMOUNT]]</f>
        <v>522552858345</v>
      </c>
      <c r="W181" s="57" t="str">
        <f>IF(Dealps[[#This Row],[TRANSACTION_STATUS]]&lt;&gt;"V","Ngoai BS",IF(Dealps[[#This Row],[POSTED_DT]]&gt;=Dealps[[#This Row],[VALUE_DATE]],"On BS","Off BS"))</f>
        <v>On BS</v>
      </c>
      <c r="X181" s="25">
        <f>SUMIFS(U:U,C:C,Dealps[[#This Row],[PAPER_CODE]])</f>
        <v>500000000000</v>
      </c>
      <c r="Y181" s="25">
        <f>_xlfn.XLOOKUP(Dealps[[#This Row],[DEAL_ID]],Ref!N:N,Ref!Q:Q,0,0)</f>
        <v>0</v>
      </c>
      <c r="Z181" s="25" t="str">
        <f>IF(Dealps[[#This Row],[CPTY_CODE]]=Dealps[[#This Row],[CPTY_CODE_ISSUER]],"Yes","No")</f>
        <v>No</v>
      </c>
      <c r="AA181" s="25"/>
      <c r="AC181" s="14"/>
      <c r="AG181" s="96"/>
      <c r="AH181" s="14"/>
      <c r="AI181"/>
      <c r="AN181" s="14"/>
      <c r="AV181" s="36"/>
      <c r="AW181" s="14"/>
      <c r="AX181" s="234"/>
      <c r="AY181" s="96"/>
      <c r="AZ181" s="14"/>
      <c r="BA181"/>
      <c r="BB181" s="93">
        <v>46262</v>
      </c>
      <c r="BC181">
        <v>2790</v>
      </c>
      <c r="BD181" s="56" t="s">
        <v>1021</v>
      </c>
      <c r="BE181" t="s">
        <v>1011</v>
      </c>
      <c r="BF181" t="s">
        <v>1022</v>
      </c>
      <c r="BG181" t="s">
        <v>364</v>
      </c>
      <c r="BH181" t="s">
        <v>1013</v>
      </c>
      <c r="BI181" t="s">
        <v>311</v>
      </c>
      <c r="BJ181" s="93">
        <v>45950</v>
      </c>
      <c r="BK181" s="93">
        <v>45950</v>
      </c>
      <c r="BL181" s="93">
        <v>45950</v>
      </c>
      <c r="BM181" s="93">
        <v>46654</v>
      </c>
      <c r="BN181" s="14">
        <v>1</v>
      </c>
      <c r="BO181" s="14">
        <v>20000000000</v>
      </c>
      <c r="BP181" s="56">
        <v>100</v>
      </c>
      <c r="BQ181" s="56">
        <v>0</v>
      </c>
      <c r="BR181" s="14">
        <v>20071232877</v>
      </c>
      <c r="BS181">
        <v>4.9822550000000003</v>
      </c>
      <c r="BT181" t="s">
        <v>1184</v>
      </c>
      <c r="BU181" s="25">
        <f>_xlfn.XLOOKUP(Dealps_MSB[[#This Row],[DEAL_ID]],Ref!V:V,Ref!X:X,0,0)</f>
        <v>0</v>
      </c>
      <c r="BV181"/>
    </row>
    <row r="182" spans="1:74" x14ac:dyDescent="0.3">
      <c r="A182" s="93">
        <v>46262</v>
      </c>
      <c r="B182">
        <v>3330</v>
      </c>
      <c r="C182" s="56" t="s">
        <v>963</v>
      </c>
      <c r="D182" t="s">
        <v>308</v>
      </c>
      <c r="E182" t="s">
        <v>344</v>
      </c>
      <c r="F182" t="s">
        <v>364</v>
      </c>
      <c r="G182" t="s">
        <v>310</v>
      </c>
      <c r="H182" t="s">
        <v>300</v>
      </c>
      <c r="I182" s="93">
        <v>46035</v>
      </c>
      <c r="J182" s="93">
        <v>46035</v>
      </c>
      <c r="K182" s="93">
        <v>46035</v>
      </c>
      <c r="L182" s="93">
        <v>46295</v>
      </c>
      <c r="M182" s="14">
        <v>1</v>
      </c>
      <c r="N182" s="14">
        <v>400000000000</v>
      </c>
      <c r="O182" s="56">
        <v>100.517812408</v>
      </c>
      <c r="P182" s="56">
        <v>0</v>
      </c>
      <c r="Q182" s="14">
        <v>409023578400</v>
      </c>
      <c r="R182">
        <v>5.2545339999999996</v>
      </c>
      <c r="S182" t="s">
        <v>1184</v>
      </c>
      <c r="T182" s="57">
        <f>IF(Dealps[[#This Row],[MATURITY_DATE]]-Dealps[[#This Row],[POSTED_DT]]&lt;0,0,IF(Dealps[[#This Row],[VALUE_DATE]]-Dealps[[#This Row],[POSTED_DT]]&gt;0,Dealps[[#This Row],[MATURITY_DATE]]-Dealps[[#This Row],[VALUE_DATE]],Dealps[[#This Row],[MATURITY_DATE]]-Dealps[[#This Row],[POSTED_DT]]))</f>
        <v>33</v>
      </c>
      <c r="U182" s="25">
        <f>IF(Dealps[[#This Row],[TENOR]]=0,0,IF(Dealps[[#This Row],[DEAL_TYPE]]="B",Dealps[[#This Row],[FACE_AMOUNT]],-Dealps[[#This Row],[FACE_AMOUNT]]))</f>
        <v>400000000000</v>
      </c>
      <c r="V182" s="25">
        <f>_xlfn.XLOOKUP(Dealps[[#This Row],[PAPER_CODE]],FNRP!D:D,FNRP!H:H,0,0)/100*Dealps[[#This Row],[AMOUNT]]</f>
        <v>0</v>
      </c>
      <c r="W182" s="57" t="str">
        <f>IF(Dealps[[#This Row],[TRANSACTION_STATUS]]&lt;&gt;"V","Ngoai BS",IF(Dealps[[#This Row],[POSTED_DT]]&gt;=Dealps[[#This Row],[VALUE_DATE]],"On BS","Off BS"))</f>
        <v>On BS</v>
      </c>
      <c r="X182" s="25">
        <f>SUMIFS(U:U,C:C,Dealps[[#This Row],[PAPER_CODE]])</f>
        <v>400000000000</v>
      </c>
      <c r="Y182" s="25">
        <f>_xlfn.XLOOKUP(Dealps[[#This Row],[DEAL_ID]],Ref!N:N,Ref!Q:Q,0,0)</f>
        <v>0</v>
      </c>
      <c r="Z182" s="25" t="str">
        <f>IF(Dealps[[#This Row],[CPTY_CODE]]=Dealps[[#This Row],[CPTY_CODE_ISSUER]],"Yes","No")</f>
        <v>No</v>
      </c>
      <c r="AA182" s="25"/>
      <c r="AC182" s="14"/>
      <c r="AG182" s="96"/>
      <c r="AH182" s="14"/>
      <c r="AI182"/>
      <c r="AN182" s="14"/>
      <c r="AV182" s="36"/>
      <c r="AW182" s="14"/>
      <c r="AX182" s="234"/>
      <c r="AY182" s="96"/>
      <c r="AZ182" s="14"/>
      <c r="BA182"/>
      <c r="BB182" s="93">
        <v>46262</v>
      </c>
      <c r="BC182">
        <v>2796</v>
      </c>
      <c r="BD182" s="56" t="s">
        <v>1021</v>
      </c>
      <c r="BE182" t="s">
        <v>1011</v>
      </c>
      <c r="BF182" t="s">
        <v>1022</v>
      </c>
      <c r="BG182" t="s">
        <v>364</v>
      </c>
      <c r="BH182" t="s">
        <v>1013</v>
      </c>
      <c r="BI182" t="s">
        <v>311</v>
      </c>
      <c r="BJ182" s="93">
        <v>45951</v>
      </c>
      <c r="BK182" s="93">
        <v>45951</v>
      </c>
      <c r="BL182" s="93">
        <v>45951</v>
      </c>
      <c r="BM182" s="93">
        <v>46654</v>
      </c>
      <c r="BN182" s="14">
        <v>1</v>
      </c>
      <c r="BO182" s="14">
        <v>20000000000</v>
      </c>
      <c r="BP182" s="56">
        <v>100</v>
      </c>
      <c r="BQ182" s="56">
        <v>0</v>
      </c>
      <c r="BR182" s="14">
        <v>20073972603</v>
      </c>
      <c r="BS182">
        <v>4.9815750000000003</v>
      </c>
      <c r="BT182" t="s">
        <v>1184</v>
      </c>
      <c r="BU182" s="25">
        <f>_xlfn.XLOOKUP(Dealps_MSB[[#This Row],[DEAL_ID]],Ref!V:V,Ref!X:X,0,0)</f>
        <v>0</v>
      </c>
      <c r="BV182"/>
    </row>
    <row r="183" spans="1:74" x14ac:dyDescent="0.3">
      <c r="A183" s="93">
        <v>46262</v>
      </c>
      <c r="B183">
        <v>3335</v>
      </c>
      <c r="C183" s="56" t="s">
        <v>1061</v>
      </c>
      <c r="D183" t="s">
        <v>312</v>
      </c>
      <c r="E183" t="s">
        <v>315</v>
      </c>
      <c r="F183" t="s">
        <v>364</v>
      </c>
      <c r="G183" t="s">
        <v>310</v>
      </c>
      <c r="H183" t="s">
        <v>311</v>
      </c>
      <c r="I183" s="93">
        <v>46035</v>
      </c>
      <c r="J183" s="93">
        <v>46035</v>
      </c>
      <c r="K183" s="93">
        <v>46036</v>
      </c>
      <c r="L183" s="93">
        <v>46343</v>
      </c>
      <c r="M183" s="14">
        <v>1</v>
      </c>
      <c r="N183" s="14">
        <v>1500000000000</v>
      </c>
      <c r="O183" s="56">
        <v>100.192941784</v>
      </c>
      <c r="P183" s="56">
        <v>0</v>
      </c>
      <c r="Q183" s="14">
        <v>1517651661000</v>
      </c>
      <c r="R183">
        <v>6</v>
      </c>
      <c r="S183" t="s">
        <v>1184</v>
      </c>
      <c r="T183" s="57">
        <f>IF(Dealps[[#This Row],[MATURITY_DATE]]-Dealps[[#This Row],[POSTED_DT]]&lt;0,0,IF(Dealps[[#This Row],[VALUE_DATE]]-Dealps[[#This Row],[POSTED_DT]]&gt;0,Dealps[[#This Row],[MATURITY_DATE]]-Dealps[[#This Row],[VALUE_DATE]],Dealps[[#This Row],[MATURITY_DATE]]-Dealps[[#This Row],[POSTED_DT]]))</f>
        <v>81</v>
      </c>
      <c r="U183" s="25">
        <f>IF(Dealps[[#This Row],[TENOR]]=0,0,IF(Dealps[[#This Row],[DEAL_TYPE]]="B",Dealps[[#This Row],[FACE_AMOUNT]],-Dealps[[#This Row],[FACE_AMOUNT]]))</f>
        <v>-1500000000000</v>
      </c>
      <c r="V183" s="25">
        <f>_xlfn.XLOOKUP(Dealps[[#This Row],[PAPER_CODE]],FNRP!D:D,FNRP!H:H,0,0)/100*Dealps[[#This Row],[AMOUNT]]</f>
        <v>0</v>
      </c>
      <c r="W183" s="57" t="str">
        <f>IF(Dealps[[#This Row],[TRANSACTION_STATUS]]&lt;&gt;"V","Ngoai BS",IF(Dealps[[#This Row],[POSTED_DT]]&gt;=Dealps[[#This Row],[VALUE_DATE]],"On BS","Off BS"))</f>
        <v>On BS</v>
      </c>
      <c r="X183" s="25">
        <f>SUMIFS(U:U,C:C,Dealps[[#This Row],[PAPER_CODE]])</f>
        <v>1500000000000</v>
      </c>
      <c r="Y183" s="25">
        <f>_xlfn.XLOOKUP(Dealps[[#This Row],[DEAL_ID]],Ref!N:N,Ref!Q:Q,0,0)</f>
        <v>0</v>
      </c>
      <c r="Z183" s="25" t="str">
        <f>IF(Dealps[[#This Row],[CPTY_CODE]]=Dealps[[#This Row],[CPTY_CODE_ISSUER]],"Yes","No")</f>
        <v>No</v>
      </c>
      <c r="AA183" s="25"/>
      <c r="AC183" s="14"/>
      <c r="AG183" s="96"/>
      <c r="AH183" s="14"/>
      <c r="AI183"/>
      <c r="AN183" s="14"/>
      <c r="AV183" s="36"/>
      <c r="AW183" s="14"/>
      <c r="AX183" s="234"/>
      <c r="AY183" s="96"/>
      <c r="AZ183" s="14"/>
      <c r="BA183"/>
      <c r="BB183" s="93">
        <v>46262</v>
      </c>
      <c r="BC183">
        <v>2797</v>
      </c>
      <c r="BD183" s="56" t="s">
        <v>1021</v>
      </c>
      <c r="BE183" t="s">
        <v>1011</v>
      </c>
      <c r="BF183" t="s">
        <v>1022</v>
      </c>
      <c r="BG183" t="s">
        <v>364</v>
      </c>
      <c r="BH183" t="s">
        <v>1013</v>
      </c>
      <c r="BI183" t="s">
        <v>311</v>
      </c>
      <c r="BJ183" s="93">
        <v>45951</v>
      </c>
      <c r="BK183" s="93">
        <v>45951</v>
      </c>
      <c r="BL183" s="93">
        <v>45951</v>
      </c>
      <c r="BM183" s="93">
        <v>46654</v>
      </c>
      <c r="BN183" s="14">
        <v>1</v>
      </c>
      <c r="BO183" s="14">
        <v>20000000000</v>
      </c>
      <c r="BP183" s="56">
        <v>100</v>
      </c>
      <c r="BQ183" s="56">
        <v>0</v>
      </c>
      <c r="BR183" s="14">
        <v>20073972603</v>
      </c>
      <c r="BS183">
        <v>4.9815750000000003</v>
      </c>
      <c r="BT183" t="s">
        <v>1184</v>
      </c>
      <c r="BU183" s="25">
        <f>_xlfn.XLOOKUP(Dealps_MSB[[#This Row],[DEAL_ID]],Ref!V:V,Ref!X:X,0,0)</f>
        <v>0</v>
      </c>
      <c r="BV183"/>
    </row>
    <row r="184" spans="1:74" x14ac:dyDescent="0.3">
      <c r="A184" s="93">
        <v>46262</v>
      </c>
      <c r="B184">
        <v>3374</v>
      </c>
      <c r="C184" s="56" t="s">
        <v>963</v>
      </c>
      <c r="D184" t="s">
        <v>308</v>
      </c>
      <c r="E184" t="s">
        <v>320</v>
      </c>
      <c r="F184" t="s">
        <v>364</v>
      </c>
      <c r="G184" t="s">
        <v>310</v>
      </c>
      <c r="H184" t="s">
        <v>311</v>
      </c>
      <c r="I184" s="93">
        <v>46042</v>
      </c>
      <c r="J184" s="93">
        <v>46042</v>
      </c>
      <c r="K184" s="93">
        <v>46044</v>
      </c>
      <c r="L184" s="93">
        <v>46295</v>
      </c>
      <c r="M184" s="14">
        <v>1</v>
      </c>
      <c r="N184" s="14">
        <v>400000000000</v>
      </c>
      <c r="O184" s="56">
        <v>100.579244649</v>
      </c>
      <c r="P184" s="56">
        <v>0</v>
      </c>
      <c r="Q184" s="14">
        <v>409870951200</v>
      </c>
      <c r="R184">
        <v>5.1310510000000003</v>
      </c>
      <c r="S184" t="s">
        <v>1184</v>
      </c>
      <c r="T184" s="57">
        <f>IF(Dealps[[#This Row],[MATURITY_DATE]]-Dealps[[#This Row],[POSTED_DT]]&lt;0,0,IF(Dealps[[#This Row],[VALUE_DATE]]-Dealps[[#This Row],[POSTED_DT]]&gt;0,Dealps[[#This Row],[MATURITY_DATE]]-Dealps[[#This Row],[VALUE_DATE]],Dealps[[#This Row],[MATURITY_DATE]]-Dealps[[#This Row],[POSTED_DT]]))</f>
        <v>33</v>
      </c>
      <c r="U184" s="25">
        <f>IF(Dealps[[#This Row],[TENOR]]=0,0,IF(Dealps[[#This Row],[DEAL_TYPE]]="B",Dealps[[#This Row],[FACE_AMOUNT]],-Dealps[[#This Row],[FACE_AMOUNT]]))</f>
        <v>-400000000000</v>
      </c>
      <c r="V184" s="25">
        <f>_xlfn.XLOOKUP(Dealps[[#This Row],[PAPER_CODE]],FNRP!D:D,FNRP!H:H,0,0)/100*Dealps[[#This Row],[AMOUNT]]</f>
        <v>0</v>
      </c>
      <c r="W184" s="57" t="str">
        <f>IF(Dealps[[#This Row],[TRANSACTION_STATUS]]&lt;&gt;"V","Ngoai BS",IF(Dealps[[#This Row],[POSTED_DT]]&gt;=Dealps[[#This Row],[VALUE_DATE]],"On BS","Off BS"))</f>
        <v>On BS</v>
      </c>
      <c r="X184" s="25">
        <f>SUMIFS(U:U,C:C,Dealps[[#This Row],[PAPER_CODE]])</f>
        <v>400000000000</v>
      </c>
      <c r="Y184" s="25">
        <f>_xlfn.XLOOKUP(Dealps[[#This Row],[DEAL_ID]],Ref!N:N,Ref!Q:Q,0,0)</f>
        <v>0</v>
      </c>
      <c r="Z184" s="25" t="str">
        <f>IF(Dealps[[#This Row],[CPTY_CODE]]=Dealps[[#This Row],[CPTY_CODE_ISSUER]],"Yes","No")</f>
        <v>No</v>
      </c>
      <c r="AA184" s="25"/>
      <c r="AC184" s="14"/>
      <c r="AG184" s="96"/>
      <c r="AH184" s="14"/>
      <c r="AI184"/>
      <c r="AN184" s="14"/>
      <c r="AV184" s="36"/>
      <c r="AW184" s="14"/>
      <c r="AX184" s="234"/>
      <c r="AY184" s="96"/>
      <c r="AZ184" s="14"/>
      <c r="BA184"/>
      <c r="BB184" s="93">
        <v>46262</v>
      </c>
      <c r="BC184">
        <v>2798</v>
      </c>
      <c r="BD184" s="56" t="s">
        <v>1021</v>
      </c>
      <c r="BE184" t="s">
        <v>1011</v>
      </c>
      <c r="BF184" t="s">
        <v>1022</v>
      </c>
      <c r="BG184" t="s">
        <v>364</v>
      </c>
      <c r="BH184" t="s">
        <v>1013</v>
      </c>
      <c r="BI184" t="s">
        <v>311</v>
      </c>
      <c r="BJ184" s="93">
        <v>45951</v>
      </c>
      <c r="BK184" s="93">
        <v>45951</v>
      </c>
      <c r="BL184" s="93">
        <v>45951</v>
      </c>
      <c r="BM184" s="93">
        <v>46654</v>
      </c>
      <c r="BN184" s="14">
        <v>1</v>
      </c>
      <c r="BO184" s="14">
        <v>30000000000</v>
      </c>
      <c r="BP184" s="56">
        <v>100</v>
      </c>
      <c r="BQ184" s="56">
        <v>0</v>
      </c>
      <c r="BR184" s="14">
        <v>30110958904</v>
      </c>
      <c r="BS184">
        <v>4.9815750000000003</v>
      </c>
      <c r="BT184" t="s">
        <v>1184</v>
      </c>
      <c r="BU184" s="25">
        <f>_xlfn.XLOOKUP(Dealps_MSB[[#This Row],[DEAL_ID]],Ref!V:V,Ref!X:X,0,0)</f>
        <v>0</v>
      </c>
      <c r="BV184"/>
    </row>
    <row r="185" spans="1:74" x14ac:dyDescent="0.3">
      <c r="A185" s="93">
        <v>46262</v>
      </c>
      <c r="B185">
        <v>3381</v>
      </c>
      <c r="C185" s="56" t="s">
        <v>1151</v>
      </c>
      <c r="D185" t="s">
        <v>316</v>
      </c>
      <c r="E185" t="s">
        <v>1152</v>
      </c>
      <c r="F185" t="s">
        <v>364</v>
      </c>
      <c r="G185" t="s">
        <v>310</v>
      </c>
      <c r="H185" t="s">
        <v>300</v>
      </c>
      <c r="I185" s="93">
        <v>46043</v>
      </c>
      <c r="J185" s="93">
        <v>46043</v>
      </c>
      <c r="K185" s="93">
        <v>46048</v>
      </c>
      <c r="L185" s="93">
        <v>46344</v>
      </c>
      <c r="M185" s="14">
        <v>1</v>
      </c>
      <c r="N185" s="14">
        <v>200000000000</v>
      </c>
      <c r="O185" s="56">
        <v>100.482562458</v>
      </c>
      <c r="P185" s="56">
        <v>0</v>
      </c>
      <c r="Q185" s="14">
        <v>203498275600</v>
      </c>
      <c r="R185">
        <v>6</v>
      </c>
      <c r="S185" t="s">
        <v>1184</v>
      </c>
      <c r="T185" s="57">
        <f>IF(Dealps[[#This Row],[MATURITY_DATE]]-Dealps[[#This Row],[POSTED_DT]]&lt;0,0,IF(Dealps[[#This Row],[VALUE_DATE]]-Dealps[[#This Row],[POSTED_DT]]&gt;0,Dealps[[#This Row],[MATURITY_DATE]]-Dealps[[#This Row],[VALUE_DATE]],Dealps[[#This Row],[MATURITY_DATE]]-Dealps[[#This Row],[POSTED_DT]]))</f>
        <v>82</v>
      </c>
      <c r="U185" s="25">
        <f>IF(Dealps[[#This Row],[TENOR]]=0,0,IF(Dealps[[#This Row],[DEAL_TYPE]]="B",Dealps[[#This Row],[FACE_AMOUNT]],-Dealps[[#This Row],[FACE_AMOUNT]]))</f>
        <v>200000000000</v>
      </c>
      <c r="V185" s="25">
        <f>_xlfn.XLOOKUP(Dealps[[#This Row],[PAPER_CODE]],FNRP!D:D,FNRP!H:H,0,0)/100*Dealps[[#This Row],[AMOUNT]]</f>
        <v>0</v>
      </c>
      <c r="W185" s="57" t="str">
        <f>IF(Dealps[[#This Row],[TRANSACTION_STATUS]]&lt;&gt;"V","Ngoai BS",IF(Dealps[[#This Row],[POSTED_DT]]&gt;=Dealps[[#This Row],[VALUE_DATE]],"On BS","Off BS"))</f>
        <v>On BS</v>
      </c>
      <c r="X185" s="25">
        <f>SUMIFS(U:U,C:C,Dealps[[#This Row],[PAPER_CODE]])</f>
        <v>0</v>
      </c>
      <c r="Y185" s="25">
        <f>_xlfn.XLOOKUP(Dealps[[#This Row],[DEAL_ID]],Ref!N:N,Ref!Q:Q,0,0)</f>
        <v>0</v>
      </c>
      <c r="Z185" s="25" t="str">
        <f>IF(Dealps[[#This Row],[CPTY_CODE]]=Dealps[[#This Row],[CPTY_CODE_ISSUER]],"Yes","No")</f>
        <v>No</v>
      </c>
      <c r="AA185" s="25"/>
      <c r="AC185" s="14"/>
      <c r="AG185" s="96"/>
      <c r="AH185" s="14"/>
      <c r="AI185"/>
      <c r="AN185" s="14"/>
      <c r="AV185" s="36"/>
      <c r="AW185" s="14"/>
      <c r="AX185" s="234"/>
      <c r="AY185" s="96"/>
      <c r="AZ185" s="14"/>
      <c r="BA185"/>
      <c r="BB185" s="93">
        <v>46262</v>
      </c>
      <c r="BC185">
        <v>2800</v>
      </c>
      <c r="BD185" s="56" t="s">
        <v>1021</v>
      </c>
      <c r="BE185" t="s">
        <v>1011</v>
      </c>
      <c r="BF185" t="s">
        <v>1022</v>
      </c>
      <c r="BG185" t="s">
        <v>364</v>
      </c>
      <c r="BH185" t="s">
        <v>1013</v>
      </c>
      <c r="BI185" t="s">
        <v>311</v>
      </c>
      <c r="BJ185" s="93">
        <v>45952</v>
      </c>
      <c r="BK185" s="93">
        <v>45952</v>
      </c>
      <c r="BL185" s="93">
        <v>45952</v>
      </c>
      <c r="BM185" s="93">
        <v>46654</v>
      </c>
      <c r="BN185" s="14">
        <v>1</v>
      </c>
      <c r="BO185" s="14">
        <v>10000000000</v>
      </c>
      <c r="BP185" s="56">
        <v>100</v>
      </c>
      <c r="BQ185" s="56">
        <v>0</v>
      </c>
      <c r="BR185" s="14">
        <v>10038356164</v>
      </c>
      <c r="BS185">
        <v>4.9808950000000003</v>
      </c>
      <c r="BT185" t="s">
        <v>1184</v>
      </c>
      <c r="BU185" s="25">
        <f>_xlfn.XLOOKUP(Dealps_MSB[[#This Row],[DEAL_ID]],Ref!V:V,Ref!X:X,0,0)</f>
        <v>0</v>
      </c>
      <c r="BV185"/>
    </row>
    <row r="186" spans="1:74" x14ac:dyDescent="0.3">
      <c r="A186" s="93">
        <v>46262</v>
      </c>
      <c r="B186">
        <v>3383</v>
      </c>
      <c r="C186" s="56" t="s">
        <v>1153</v>
      </c>
      <c r="D186" t="s">
        <v>312</v>
      </c>
      <c r="E186" t="s">
        <v>1152</v>
      </c>
      <c r="F186" t="s">
        <v>364</v>
      </c>
      <c r="G186" t="s">
        <v>310</v>
      </c>
      <c r="H186" t="s">
        <v>300</v>
      </c>
      <c r="I186" s="93">
        <v>46043</v>
      </c>
      <c r="J186" s="93">
        <v>46043</v>
      </c>
      <c r="K186" s="93">
        <v>46045</v>
      </c>
      <c r="L186" s="93">
        <v>46372</v>
      </c>
      <c r="M186" s="14">
        <v>1</v>
      </c>
      <c r="N186" s="14">
        <v>200000000000</v>
      </c>
      <c r="O186" s="56">
        <v>100.89166979300001</v>
      </c>
      <c r="P186" s="56">
        <v>0</v>
      </c>
      <c r="Q186" s="14">
        <v>203324161504</v>
      </c>
      <c r="R186">
        <v>6.3</v>
      </c>
      <c r="S186" t="s">
        <v>1184</v>
      </c>
      <c r="T186" s="57">
        <f>IF(Dealps[[#This Row],[MATURITY_DATE]]-Dealps[[#This Row],[POSTED_DT]]&lt;0,0,IF(Dealps[[#This Row],[VALUE_DATE]]-Dealps[[#This Row],[POSTED_DT]]&gt;0,Dealps[[#This Row],[MATURITY_DATE]]-Dealps[[#This Row],[VALUE_DATE]],Dealps[[#This Row],[MATURITY_DATE]]-Dealps[[#This Row],[POSTED_DT]]))</f>
        <v>110</v>
      </c>
      <c r="U186" s="25">
        <f>IF(Dealps[[#This Row],[TENOR]]=0,0,IF(Dealps[[#This Row],[DEAL_TYPE]]="B",Dealps[[#This Row],[FACE_AMOUNT]],-Dealps[[#This Row],[FACE_AMOUNT]]))</f>
        <v>200000000000</v>
      </c>
      <c r="V186" s="25">
        <f>_xlfn.XLOOKUP(Dealps[[#This Row],[PAPER_CODE]],FNRP!D:D,FNRP!H:H,0,0)/100*Dealps[[#This Row],[AMOUNT]]</f>
        <v>0</v>
      </c>
      <c r="W186" s="57" t="str">
        <f>IF(Dealps[[#This Row],[TRANSACTION_STATUS]]&lt;&gt;"V","Ngoai BS",IF(Dealps[[#This Row],[POSTED_DT]]&gt;=Dealps[[#This Row],[VALUE_DATE]],"On BS","Off BS"))</f>
        <v>On BS</v>
      </c>
      <c r="X186" s="25">
        <f>SUMIFS(U:U,C:C,Dealps[[#This Row],[PAPER_CODE]])</f>
        <v>0</v>
      </c>
      <c r="Y186" s="25">
        <f>_xlfn.XLOOKUP(Dealps[[#This Row],[DEAL_ID]],Ref!N:N,Ref!Q:Q,0,0)</f>
        <v>0</v>
      </c>
      <c r="Z186" s="25" t="str">
        <f>IF(Dealps[[#This Row],[CPTY_CODE]]=Dealps[[#This Row],[CPTY_CODE_ISSUER]],"Yes","No")</f>
        <v>No</v>
      </c>
      <c r="AA186" s="25"/>
      <c r="AC186" s="14"/>
      <c r="AG186" s="96"/>
      <c r="AH186" s="14"/>
      <c r="AI186"/>
      <c r="AN186" s="14"/>
      <c r="AV186" s="36"/>
      <c r="AW186" s="14"/>
      <c r="AX186" s="234"/>
      <c r="AY186" s="96"/>
      <c r="AZ186" s="14"/>
      <c r="BA186"/>
      <c r="BB186" s="93">
        <v>46262</v>
      </c>
      <c r="BC186">
        <v>2812</v>
      </c>
      <c r="BD186" s="56" t="s">
        <v>1024</v>
      </c>
      <c r="BE186" t="s">
        <v>1011</v>
      </c>
      <c r="BF186" t="s">
        <v>1022</v>
      </c>
      <c r="BG186" t="s">
        <v>364</v>
      </c>
      <c r="BH186" t="s">
        <v>1013</v>
      </c>
      <c r="BI186" t="s">
        <v>311</v>
      </c>
      <c r="BJ186" s="93">
        <v>45953</v>
      </c>
      <c r="BK186" s="93">
        <v>45953</v>
      </c>
      <c r="BL186" s="93">
        <v>45953</v>
      </c>
      <c r="BM186" s="93">
        <v>46683</v>
      </c>
      <c r="BN186" s="14">
        <v>1</v>
      </c>
      <c r="BO186" s="14">
        <v>20000000000</v>
      </c>
      <c r="BP186" s="56">
        <v>100</v>
      </c>
      <c r="BQ186" s="56">
        <v>0</v>
      </c>
      <c r="BR186" s="14">
        <v>20000000000</v>
      </c>
      <c r="BS186">
        <v>5.1857920000000002</v>
      </c>
      <c r="BT186" t="s">
        <v>1184</v>
      </c>
      <c r="BU186" s="25">
        <f>_xlfn.XLOOKUP(Dealps_MSB[[#This Row],[DEAL_ID]],Ref!V:V,Ref!X:X,0,0)</f>
        <v>0</v>
      </c>
      <c r="BV186"/>
    </row>
    <row r="187" spans="1:74" x14ac:dyDescent="0.3">
      <c r="A187" s="93">
        <v>46262</v>
      </c>
      <c r="B187">
        <v>3385</v>
      </c>
      <c r="C187" s="56" t="s">
        <v>1154</v>
      </c>
      <c r="D187" t="s">
        <v>324</v>
      </c>
      <c r="E187" t="s">
        <v>1152</v>
      </c>
      <c r="F187" t="s">
        <v>364</v>
      </c>
      <c r="G187" t="s">
        <v>310</v>
      </c>
      <c r="H187" t="s">
        <v>300</v>
      </c>
      <c r="I187" s="93">
        <v>46043</v>
      </c>
      <c r="J187" s="93">
        <v>46043</v>
      </c>
      <c r="K187" s="93">
        <v>46048</v>
      </c>
      <c r="L187" s="93">
        <v>46289</v>
      </c>
      <c r="M187" s="14">
        <v>1</v>
      </c>
      <c r="N187" s="14">
        <v>200000000000</v>
      </c>
      <c r="O187" s="56">
        <v>99.604356981999999</v>
      </c>
      <c r="P187" s="56">
        <v>0</v>
      </c>
      <c r="Q187" s="14">
        <v>203149535882</v>
      </c>
      <c r="R187">
        <v>6.3</v>
      </c>
      <c r="S187" t="s">
        <v>1184</v>
      </c>
      <c r="T187" s="57">
        <f>IF(Dealps[[#This Row],[MATURITY_DATE]]-Dealps[[#This Row],[POSTED_DT]]&lt;0,0,IF(Dealps[[#This Row],[VALUE_DATE]]-Dealps[[#This Row],[POSTED_DT]]&gt;0,Dealps[[#This Row],[MATURITY_DATE]]-Dealps[[#This Row],[VALUE_DATE]],Dealps[[#This Row],[MATURITY_DATE]]-Dealps[[#This Row],[POSTED_DT]]))</f>
        <v>27</v>
      </c>
      <c r="U187" s="25">
        <f>IF(Dealps[[#This Row],[TENOR]]=0,0,IF(Dealps[[#This Row],[DEAL_TYPE]]="B",Dealps[[#This Row],[FACE_AMOUNT]],-Dealps[[#This Row],[FACE_AMOUNT]]))</f>
        <v>200000000000</v>
      </c>
      <c r="V187" s="25">
        <f>_xlfn.XLOOKUP(Dealps[[#This Row],[PAPER_CODE]],FNRP!D:D,FNRP!H:H,0,0)/100*Dealps[[#This Row],[AMOUNT]]</f>
        <v>0</v>
      </c>
      <c r="W187" s="57" t="str">
        <f>IF(Dealps[[#This Row],[TRANSACTION_STATUS]]&lt;&gt;"V","Ngoai BS",IF(Dealps[[#This Row],[POSTED_DT]]&gt;=Dealps[[#This Row],[VALUE_DATE]],"On BS","Off BS"))</f>
        <v>On BS</v>
      </c>
      <c r="X187" s="25">
        <f>SUMIFS(U:U,C:C,Dealps[[#This Row],[PAPER_CODE]])</f>
        <v>0</v>
      </c>
      <c r="Y187" s="25">
        <f>_xlfn.XLOOKUP(Dealps[[#This Row],[DEAL_ID]],Ref!N:N,Ref!Q:Q,0,0)</f>
        <v>0</v>
      </c>
      <c r="Z187" s="25" t="str">
        <f>IF(Dealps[[#This Row],[CPTY_CODE]]=Dealps[[#This Row],[CPTY_CODE_ISSUER]],"Yes","No")</f>
        <v>No</v>
      </c>
      <c r="AA187" s="25"/>
      <c r="AC187" s="14"/>
      <c r="AG187" s="96"/>
      <c r="AH187" s="14"/>
      <c r="AI187"/>
      <c r="AN187" s="14"/>
      <c r="AV187" s="36"/>
      <c r="AW187" s="14"/>
      <c r="AX187" s="234"/>
      <c r="AY187" s="96"/>
      <c r="AZ187" s="14"/>
      <c r="BA187"/>
      <c r="BB187" s="93">
        <v>46262</v>
      </c>
      <c r="BC187">
        <v>2834</v>
      </c>
      <c r="BD187" s="56" t="s">
        <v>1024</v>
      </c>
      <c r="BE187" t="s">
        <v>1011</v>
      </c>
      <c r="BF187" t="s">
        <v>1022</v>
      </c>
      <c r="BG187" t="s">
        <v>364</v>
      </c>
      <c r="BH187" t="s">
        <v>1013</v>
      </c>
      <c r="BI187" t="s">
        <v>311</v>
      </c>
      <c r="BJ187" s="93">
        <v>45957</v>
      </c>
      <c r="BK187" s="93">
        <v>45957</v>
      </c>
      <c r="BL187" s="93">
        <v>45957</v>
      </c>
      <c r="BM187" s="93">
        <v>46683</v>
      </c>
      <c r="BN187" s="14">
        <v>1</v>
      </c>
      <c r="BO187" s="14">
        <v>20000000000</v>
      </c>
      <c r="BP187" s="56">
        <v>100</v>
      </c>
      <c r="BQ187" s="56">
        <v>0</v>
      </c>
      <c r="BR187" s="14">
        <v>20011397260</v>
      </c>
      <c r="BS187">
        <v>5.1827610000000002</v>
      </c>
      <c r="BT187" t="s">
        <v>1184</v>
      </c>
      <c r="BU187" s="25">
        <f>_xlfn.XLOOKUP(Dealps_MSB[[#This Row],[DEAL_ID]],Ref!V:V,Ref!X:X,0,0)</f>
        <v>0</v>
      </c>
      <c r="BV187"/>
    </row>
    <row r="188" spans="1:74" x14ac:dyDescent="0.3">
      <c r="A188" s="93">
        <v>46262</v>
      </c>
      <c r="B188">
        <v>3387</v>
      </c>
      <c r="C188" s="56" t="s">
        <v>1155</v>
      </c>
      <c r="D188" t="s">
        <v>316</v>
      </c>
      <c r="E188" t="s">
        <v>1152</v>
      </c>
      <c r="F188" t="s">
        <v>364</v>
      </c>
      <c r="G188" t="s">
        <v>310</v>
      </c>
      <c r="H188" t="s">
        <v>300</v>
      </c>
      <c r="I188" s="93">
        <v>46043</v>
      </c>
      <c r="J188" s="93">
        <v>46043</v>
      </c>
      <c r="K188" s="93">
        <v>46048</v>
      </c>
      <c r="L188" s="93">
        <v>46386</v>
      </c>
      <c r="M188" s="14">
        <v>1</v>
      </c>
      <c r="N188" s="14">
        <v>200000000000</v>
      </c>
      <c r="O188" s="56">
        <v>100.841954579</v>
      </c>
      <c r="P188" s="56">
        <v>0</v>
      </c>
      <c r="Q188" s="14">
        <v>202793498200.00003</v>
      </c>
      <c r="R188">
        <v>6.5</v>
      </c>
      <c r="S188" t="s">
        <v>1184</v>
      </c>
      <c r="T188" s="57">
        <f>IF(Dealps[[#This Row],[MATURITY_DATE]]-Dealps[[#This Row],[POSTED_DT]]&lt;0,0,IF(Dealps[[#This Row],[VALUE_DATE]]-Dealps[[#This Row],[POSTED_DT]]&gt;0,Dealps[[#This Row],[MATURITY_DATE]]-Dealps[[#This Row],[VALUE_DATE]],Dealps[[#This Row],[MATURITY_DATE]]-Dealps[[#This Row],[POSTED_DT]]))</f>
        <v>124</v>
      </c>
      <c r="U188" s="25">
        <f>IF(Dealps[[#This Row],[TENOR]]=0,0,IF(Dealps[[#This Row],[DEAL_TYPE]]="B",Dealps[[#This Row],[FACE_AMOUNT]],-Dealps[[#This Row],[FACE_AMOUNT]]))</f>
        <v>200000000000</v>
      </c>
      <c r="V188" s="25">
        <f>_xlfn.XLOOKUP(Dealps[[#This Row],[PAPER_CODE]],FNRP!D:D,FNRP!H:H,0,0)/100*Dealps[[#This Row],[AMOUNT]]</f>
        <v>0</v>
      </c>
      <c r="W188" s="57" t="str">
        <f>IF(Dealps[[#This Row],[TRANSACTION_STATUS]]&lt;&gt;"V","Ngoai BS",IF(Dealps[[#This Row],[POSTED_DT]]&gt;=Dealps[[#This Row],[VALUE_DATE]],"On BS","Off BS"))</f>
        <v>On BS</v>
      </c>
      <c r="X188" s="25">
        <f>SUMIFS(U:U,C:C,Dealps[[#This Row],[PAPER_CODE]])</f>
        <v>0</v>
      </c>
      <c r="Y188" s="25">
        <f>_xlfn.XLOOKUP(Dealps[[#This Row],[DEAL_ID]],Ref!N:N,Ref!Q:Q,0,0)</f>
        <v>0</v>
      </c>
      <c r="Z188" s="25" t="str">
        <f>IF(Dealps[[#This Row],[CPTY_CODE]]=Dealps[[#This Row],[CPTY_CODE_ISSUER]],"Yes","No")</f>
        <v>No</v>
      </c>
      <c r="AA188" s="25"/>
      <c r="AC188" s="14"/>
      <c r="AG188" s="96"/>
      <c r="AH188" s="14"/>
      <c r="AI188"/>
      <c r="AN188" s="14"/>
      <c r="AV188" s="36"/>
      <c r="AW188" s="14"/>
      <c r="AX188" s="234"/>
      <c r="AY188" s="96"/>
      <c r="AZ188" s="14"/>
      <c r="BA188"/>
      <c r="BB188" s="93">
        <v>46262</v>
      </c>
      <c r="BC188">
        <v>2835</v>
      </c>
      <c r="BD188" s="56" t="s">
        <v>1024</v>
      </c>
      <c r="BE188" t="s">
        <v>1011</v>
      </c>
      <c r="BF188" t="s">
        <v>1022</v>
      </c>
      <c r="BG188" t="s">
        <v>364</v>
      </c>
      <c r="BH188" t="s">
        <v>1013</v>
      </c>
      <c r="BI188" t="s">
        <v>311</v>
      </c>
      <c r="BJ188" s="93">
        <v>45957</v>
      </c>
      <c r="BK188" s="93">
        <v>45957</v>
      </c>
      <c r="BL188" s="93">
        <v>45957</v>
      </c>
      <c r="BM188" s="93">
        <v>46683</v>
      </c>
      <c r="BN188" s="14">
        <v>1</v>
      </c>
      <c r="BO188" s="14">
        <v>30000000000</v>
      </c>
      <c r="BP188" s="56">
        <v>100</v>
      </c>
      <c r="BQ188" s="56">
        <v>0</v>
      </c>
      <c r="BR188" s="14">
        <v>30017095890</v>
      </c>
      <c r="BS188">
        <v>5.1827610000000002</v>
      </c>
      <c r="BT188" t="s">
        <v>1184</v>
      </c>
      <c r="BU188" s="25">
        <f>_xlfn.XLOOKUP(Dealps_MSB[[#This Row],[DEAL_ID]],Ref!V:V,Ref!X:X,0,0)</f>
        <v>0</v>
      </c>
      <c r="BV188"/>
    </row>
    <row r="189" spans="1:74" x14ac:dyDescent="0.3">
      <c r="A189" s="93">
        <v>46262</v>
      </c>
      <c r="B189">
        <v>3389</v>
      </c>
      <c r="C189" s="56" t="s">
        <v>1156</v>
      </c>
      <c r="D189" t="s">
        <v>328</v>
      </c>
      <c r="E189" t="s">
        <v>346</v>
      </c>
      <c r="F189" t="s">
        <v>364</v>
      </c>
      <c r="G189" t="s">
        <v>310</v>
      </c>
      <c r="H189" t="s">
        <v>300</v>
      </c>
      <c r="I189" s="93">
        <v>46043</v>
      </c>
      <c r="J189" s="93">
        <v>46043</v>
      </c>
      <c r="K189" s="93">
        <v>46048</v>
      </c>
      <c r="L189" s="93">
        <v>46352</v>
      </c>
      <c r="M189" s="14">
        <v>1</v>
      </c>
      <c r="N189" s="14">
        <v>250000000000</v>
      </c>
      <c r="O189" s="56">
        <v>100.030233581</v>
      </c>
      <c r="P189" s="56">
        <v>0</v>
      </c>
      <c r="Q189" s="14">
        <v>252870104500</v>
      </c>
      <c r="R189">
        <v>6.6869310000000004</v>
      </c>
      <c r="S189" t="s">
        <v>1184</v>
      </c>
      <c r="T189" s="57">
        <f>IF(Dealps[[#This Row],[MATURITY_DATE]]-Dealps[[#This Row],[POSTED_DT]]&lt;0,0,IF(Dealps[[#This Row],[VALUE_DATE]]-Dealps[[#This Row],[POSTED_DT]]&gt;0,Dealps[[#This Row],[MATURITY_DATE]]-Dealps[[#This Row],[VALUE_DATE]],Dealps[[#This Row],[MATURITY_DATE]]-Dealps[[#This Row],[POSTED_DT]]))</f>
        <v>90</v>
      </c>
      <c r="U189" s="25">
        <f>IF(Dealps[[#This Row],[TENOR]]=0,0,IF(Dealps[[#This Row],[DEAL_TYPE]]="B",Dealps[[#This Row],[FACE_AMOUNT]],-Dealps[[#This Row],[FACE_AMOUNT]]))</f>
        <v>250000000000</v>
      </c>
      <c r="V189" s="25">
        <f>_xlfn.XLOOKUP(Dealps[[#This Row],[PAPER_CODE]],FNRP!D:D,FNRP!H:H,0,0)/100*Dealps[[#This Row],[AMOUNT]]</f>
        <v>0</v>
      </c>
      <c r="W189" s="57" t="str">
        <f>IF(Dealps[[#This Row],[TRANSACTION_STATUS]]&lt;&gt;"V","Ngoai BS",IF(Dealps[[#This Row],[POSTED_DT]]&gt;=Dealps[[#This Row],[VALUE_DATE]],"On BS","Off BS"))</f>
        <v>On BS</v>
      </c>
      <c r="X189" s="25">
        <f>SUMIFS(U:U,C:C,Dealps[[#This Row],[PAPER_CODE]])</f>
        <v>0</v>
      </c>
      <c r="Y189" s="25">
        <f>_xlfn.XLOOKUP(Dealps[[#This Row],[DEAL_ID]],Ref!N:N,Ref!Q:Q,0,0)</f>
        <v>0</v>
      </c>
      <c r="Z189" s="25" t="str">
        <f>IF(Dealps[[#This Row],[CPTY_CODE]]=Dealps[[#This Row],[CPTY_CODE_ISSUER]],"Yes","No")</f>
        <v>No</v>
      </c>
      <c r="AA189" s="25"/>
      <c r="AC189" s="14"/>
      <c r="AG189" s="96"/>
      <c r="AH189" s="14"/>
      <c r="AI189"/>
      <c r="AN189" s="14"/>
      <c r="AV189" s="36"/>
      <c r="AW189" s="14"/>
      <c r="AX189" s="234"/>
      <c r="AY189" s="96"/>
      <c r="AZ189" s="14"/>
      <c r="BA189"/>
      <c r="BB189" s="93">
        <v>46262</v>
      </c>
      <c r="BC189">
        <v>2836</v>
      </c>
      <c r="BD189" s="56" t="s">
        <v>1024</v>
      </c>
      <c r="BE189" t="s">
        <v>1011</v>
      </c>
      <c r="BF189" t="s">
        <v>1022</v>
      </c>
      <c r="BG189" t="s">
        <v>364</v>
      </c>
      <c r="BH189" t="s">
        <v>1013</v>
      </c>
      <c r="BI189" t="s">
        <v>311</v>
      </c>
      <c r="BJ189" s="93">
        <v>45958</v>
      </c>
      <c r="BK189" s="93">
        <v>45958</v>
      </c>
      <c r="BL189" s="93">
        <v>45958</v>
      </c>
      <c r="BM189" s="93">
        <v>46683</v>
      </c>
      <c r="BN189" s="14">
        <v>1</v>
      </c>
      <c r="BO189" s="14">
        <v>20000000000</v>
      </c>
      <c r="BP189" s="56">
        <v>100</v>
      </c>
      <c r="BQ189" s="56">
        <v>0</v>
      </c>
      <c r="BR189" s="14">
        <v>20014246575</v>
      </c>
      <c r="BS189">
        <v>5.1820029999999999</v>
      </c>
      <c r="BT189" t="s">
        <v>1184</v>
      </c>
      <c r="BU189" s="25">
        <f>_xlfn.XLOOKUP(Dealps_MSB[[#This Row],[DEAL_ID]],Ref!V:V,Ref!X:X,0,0)</f>
        <v>0</v>
      </c>
      <c r="BV189"/>
    </row>
    <row r="190" spans="1:74" x14ac:dyDescent="0.3">
      <c r="A190" s="93">
        <v>46262</v>
      </c>
      <c r="B190">
        <v>3390</v>
      </c>
      <c r="C190" s="56" t="s">
        <v>1156</v>
      </c>
      <c r="D190" t="s">
        <v>328</v>
      </c>
      <c r="E190" t="s">
        <v>346</v>
      </c>
      <c r="F190" t="s">
        <v>364</v>
      </c>
      <c r="G190" t="s">
        <v>310</v>
      </c>
      <c r="H190" t="s">
        <v>300</v>
      </c>
      <c r="I190" s="93">
        <v>46043</v>
      </c>
      <c r="J190" s="93">
        <v>46043</v>
      </c>
      <c r="K190" s="93">
        <v>46048</v>
      </c>
      <c r="L190" s="93">
        <v>46352</v>
      </c>
      <c r="M190" s="14">
        <v>1</v>
      </c>
      <c r="N190" s="14">
        <v>250000000000</v>
      </c>
      <c r="O190" s="56">
        <v>100.022425881</v>
      </c>
      <c r="P190" s="56">
        <v>0</v>
      </c>
      <c r="Q190" s="14">
        <v>252850585250</v>
      </c>
      <c r="R190">
        <v>6.6967160000000003</v>
      </c>
      <c r="S190" t="s">
        <v>1184</v>
      </c>
      <c r="T190" s="57">
        <f>IF(Dealps[[#This Row],[MATURITY_DATE]]-Dealps[[#This Row],[POSTED_DT]]&lt;0,0,IF(Dealps[[#This Row],[VALUE_DATE]]-Dealps[[#This Row],[POSTED_DT]]&gt;0,Dealps[[#This Row],[MATURITY_DATE]]-Dealps[[#This Row],[VALUE_DATE]],Dealps[[#This Row],[MATURITY_DATE]]-Dealps[[#This Row],[POSTED_DT]]))</f>
        <v>90</v>
      </c>
      <c r="U190" s="25">
        <f>IF(Dealps[[#This Row],[TENOR]]=0,0,IF(Dealps[[#This Row],[DEAL_TYPE]]="B",Dealps[[#This Row],[FACE_AMOUNT]],-Dealps[[#This Row],[FACE_AMOUNT]]))</f>
        <v>250000000000</v>
      </c>
      <c r="V190" s="25">
        <f>_xlfn.XLOOKUP(Dealps[[#This Row],[PAPER_CODE]],FNRP!D:D,FNRP!H:H,0,0)/100*Dealps[[#This Row],[AMOUNT]]</f>
        <v>0</v>
      </c>
      <c r="W190" s="57" t="str">
        <f>IF(Dealps[[#This Row],[TRANSACTION_STATUS]]&lt;&gt;"V","Ngoai BS",IF(Dealps[[#This Row],[POSTED_DT]]&gt;=Dealps[[#This Row],[VALUE_DATE]],"On BS","Off BS"))</f>
        <v>On BS</v>
      </c>
      <c r="X190" s="25">
        <f>SUMIFS(U:U,C:C,Dealps[[#This Row],[PAPER_CODE]])</f>
        <v>0</v>
      </c>
      <c r="Y190" s="25">
        <f>_xlfn.XLOOKUP(Dealps[[#This Row],[DEAL_ID]],Ref!N:N,Ref!Q:Q,0,0)</f>
        <v>0</v>
      </c>
      <c r="Z190" s="25" t="str">
        <f>IF(Dealps[[#This Row],[CPTY_CODE]]=Dealps[[#This Row],[CPTY_CODE_ISSUER]],"Yes","No")</f>
        <v>No</v>
      </c>
      <c r="AA190" s="25"/>
      <c r="AC190" s="14"/>
      <c r="AG190" s="96"/>
      <c r="AH190" s="14"/>
      <c r="AI190"/>
      <c r="AN190" s="14"/>
      <c r="AV190" s="36"/>
      <c r="AW190" s="14"/>
      <c r="AX190" s="234"/>
      <c r="AY190" s="96"/>
      <c r="AZ190" s="14"/>
      <c r="BA190"/>
      <c r="BB190" s="93">
        <v>46262</v>
      </c>
      <c r="BC190">
        <v>2837</v>
      </c>
      <c r="BD190" s="56" t="s">
        <v>1024</v>
      </c>
      <c r="BE190" t="s">
        <v>1011</v>
      </c>
      <c r="BF190" t="s">
        <v>1022</v>
      </c>
      <c r="BG190" t="s">
        <v>364</v>
      </c>
      <c r="BH190" t="s">
        <v>1013</v>
      </c>
      <c r="BI190" t="s">
        <v>311</v>
      </c>
      <c r="BJ190" s="93">
        <v>45958</v>
      </c>
      <c r="BK190" s="93">
        <v>45958</v>
      </c>
      <c r="BL190" s="93">
        <v>45958</v>
      </c>
      <c r="BM190" s="93">
        <v>46683</v>
      </c>
      <c r="BN190" s="14">
        <v>1</v>
      </c>
      <c r="BO190" s="14">
        <v>30000000000</v>
      </c>
      <c r="BP190" s="56">
        <v>100</v>
      </c>
      <c r="BQ190" s="56">
        <v>0</v>
      </c>
      <c r="BR190" s="14">
        <v>30021369863</v>
      </c>
      <c r="BS190">
        <v>5.1820029999999999</v>
      </c>
      <c r="BT190" t="s">
        <v>1184</v>
      </c>
      <c r="BU190" s="25">
        <f>_xlfn.XLOOKUP(Dealps_MSB[[#This Row],[DEAL_ID]],Ref!V:V,Ref!X:X,0,0)</f>
        <v>0</v>
      </c>
      <c r="BV190"/>
    </row>
    <row r="191" spans="1:74" x14ac:dyDescent="0.3">
      <c r="A191" s="93">
        <v>46262</v>
      </c>
      <c r="B191">
        <v>3397</v>
      </c>
      <c r="C191" s="56" t="s">
        <v>1158</v>
      </c>
      <c r="D191" t="s">
        <v>327</v>
      </c>
      <c r="E191" t="s">
        <v>327</v>
      </c>
      <c r="F191" t="s">
        <v>364</v>
      </c>
      <c r="G191" t="s">
        <v>310</v>
      </c>
      <c r="H191" t="s">
        <v>300</v>
      </c>
      <c r="I191" s="93">
        <v>46045</v>
      </c>
      <c r="J191" s="93">
        <v>46045</v>
      </c>
      <c r="K191" s="93">
        <v>46045</v>
      </c>
      <c r="L191" s="93">
        <v>46409</v>
      </c>
      <c r="M191" s="14">
        <v>1</v>
      </c>
      <c r="N191" s="14">
        <v>1000000000000</v>
      </c>
      <c r="O191" s="56">
        <v>100</v>
      </c>
      <c r="P191" s="56">
        <v>0</v>
      </c>
      <c r="Q191" s="14">
        <v>1000000000000</v>
      </c>
      <c r="R191">
        <v>7.2</v>
      </c>
      <c r="S191" t="s">
        <v>1184</v>
      </c>
      <c r="T191" s="57">
        <f>IF(Dealps[[#This Row],[MATURITY_DATE]]-Dealps[[#This Row],[POSTED_DT]]&lt;0,0,IF(Dealps[[#This Row],[VALUE_DATE]]-Dealps[[#This Row],[POSTED_DT]]&gt;0,Dealps[[#This Row],[MATURITY_DATE]]-Dealps[[#This Row],[VALUE_DATE]],Dealps[[#This Row],[MATURITY_DATE]]-Dealps[[#This Row],[POSTED_DT]]))</f>
        <v>147</v>
      </c>
      <c r="U191" s="25">
        <f>IF(Dealps[[#This Row],[TENOR]]=0,0,IF(Dealps[[#This Row],[DEAL_TYPE]]="B",Dealps[[#This Row],[FACE_AMOUNT]],-Dealps[[#This Row],[FACE_AMOUNT]]))</f>
        <v>1000000000000</v>
      </c>
      <c r="V191" s="25">
        <f>_xlfn.XLOOKUP(Dealps[[#This Row],[PAPER_CODE]],FNRP!D:D,FNRP!H:H,0,0)/100*Dealps[[#This Row],[AMOUNT]]</f>
        <v>0</v>
      </c>
      <c r="W191" s="57" t="str">
        <f>IF(Dealps[[#This Row],[TRANSACTION_STATUS]]&lt;&gt;"V","Ngoai BS",IF(Dealps[[#This Row],[POSTED_DT]]&gt;=Dealps[[#This Row],[VALUE_DATE]],"On BS","Off BS"))</f>
        <v>On BS</v>
      </c>
      <c r="X191" s="25">
        <f>SUMIFS(U:U,C:C,Dealps[[#This Row],[PAPER_CODE]])</f>
        <v>2000000000000</v>
      </c>
      <c r="Y191" s="25">
        <f>_xlfn.XLOOKUP(Dealps[[#This Row],[DEAL_ID]],Ref!N:N,Ref!Q:Q,0,0)</f>
        <v>0</v>
      </c>
      <c r="Z191" s="25" t="str">
        <f>IF(Dealps[[#This Row],[CPTY_CODE]]=Dealps[[#This Row],[CPTY_CODE_ISSUER]],"Yes","No")</f>
        <v>Yes</v>
      </c>
      <c r="AA191" s="25"/>
      <c r="AC191" s="14"/>
      <c r="AG191" s="96"/>
      <c r="AH191" s="14"/>
      <c r="AI191"/>
      <c r="AN191" s="14"/>
      <c r="AV191" s="36"/>
      <c r="AW191" s="14"/>
      <c r="AX191" s="234"/>
      <c r="AY191" s="96"/>
      <c r="AZ191" s="14"/>
      <c r="BA191"/>
      <c r="BB191" s="93">
        <v>46262</v>
      </c>
      <c r="BC191">
        <v>2843</v>
      </c>
      <c r="BD191" s="56" t="s">
        <v>1024</v>
      </c>
      <c r="BE191" t="s">
        <v>1011</v>
      </c>
      <c r="BF191" t="s">
        <v>1022</v>
      </c>
      <c r="BG191" t="s">
        <v>364</v>
      </c>
      <c r="BH191" t="s">
        <v>1013</v>
      </c>
      <c r="BI191" t="s">
        <v>311</v>
      </c>
      <c r="BJ191" s="93">
        <v>45959</v>
      </c>
      <c r="BK191" s="93">
        <v>45959</v>
      </c>
      <c r="BL191" s="93">
        <v>45959</v>
      </c>
      <c r="BM191" s="93">
        <v>46683</v>
      </c>
      <c r="BN191" s="14">
        <v>1</v>
      </c>
      <c r="BO191" s="14">
        <v>30000000000</v>
      </c>
      <c r="BP191" s="56">
        <v>100</v>
      </c>
      <c r="BQ191" s="56">
        <v>0</v>
      </c>
      <c r="BR191" s="14">
        <v>30025643835.999996</v>
      </c>
      <c r="BS191">
        <v>5.1812459999999998</v>
      </c>
      <c r="BT191" t="s">
        <v>1184</v>
      </c>
      <c r="BU191" s="25">
        <f>_xlfn.XLOOKUP(Dealps_MSB[[#This Row],[DEAL_ID]],Ref!V:V,Ref!X:X,0,0)</f>
        <v>0</v>
      </c>
      <c r="BV191"/>
    </row>
    <row r="192" spans="1:74" x14ac:dyDescent="0.3">
      <c r="A192" s="93">
        <v>46262</v>
      </c>
      <c r="B192">
        <v>3398</v>
      </c>
      <c r="C192" s="56" t="s">
        <v>1158</v>
      </c>
      <c r="D192" t="s">
        <v>327</v>
      </c>
      <c r="E192" t="s">
        <v>327</v>
      </c>
      <c r="F192" t="s">
        <v>364</v>
      </c>
      <c r="G192" t="s">
        <v>310</v>
      </c>
      <c r="H192" t="s">
        <v>300</v>
      </c>
      <c r="I192" s="93">
        <v>46045</v>
      </c>
      <c r="J192" s="93">
        <v>46045</v>
      </c>
      <c r="K192" s="93">
        <v>46045</v>
      </c>
      <c r="L192" s="93">
        <v>46409</v>
      </c>
      <c r="M192" s="14">
        <v>1</v>
      </c>
      <c r="N192" s="14">
        <v>1000000000000</v>
      </c>
      <c r="O192" s="56">
        <v>100</v>
      </c>
      <c r="P192" s="56">
        <v>0</v>
      </c>
      <c r="Q192" s="14">
        <v>1000000000000</v>
      </c>
      <c r="R192">
        <v>7.2</v>
      </c>
      <c r="S192" t="s">
        <v>1184</v>
      </c>
      <c r="T192" s="57">
        <f>IF(Dealps[[#This Row],[MATURITY_DATE]]-Dealps[[#This Row],[POSTED_DT]]&lt;0,0,IF(Dealps[[#This Row],[VALUE_DATE]]-Dealps[[#This Row],[POSTED_DT]]&gt;0,Dealps[[#This Row],[MATURITY_DATE]]-Dealps[[#This Row],[VALUE_DATE]],Dealps[[#This Row],[MATURITY_DATE]]-Dealps[[#This Row],[POSTED_DT]]))</f>
        <v>147</v>
      </c>
      <c r="U192" s="25">
        <f>IF(Dealps[[#This Row],[TENOR]]=0,0,IF(Dealps[[#This Row],[DEAL_TYPE]]="B",Dealps[[#This Row],[FACE_AMOUNT]],-Dealps[[#This Row],[FACE_AMOUNT]]))</f>
        <v>1000000000000</v>
      </c>
      <c r="V192" s="25">
        <f>_xlfn.XLOOKUP(Dealps[[#This Row],[PAPER_CODE]],FNRP!D:D,FNRP!H:H,0,0)/100*Dealps[[#This Row],[AMOUNT]]</f>
        <v>0</v>
      </c>
      <c r="W192" s="57" t="str">
        <f>IF(Dealps[[#This Row],[TRANSACTION_STATUS]]&lt;&gt;"V","Ngoai BS",IF(Dealps[[#This Row],[POSTED_DT]]&gt;=Dealps[[#This Row],[VALUE_DATE]],"On BS","Off BS"))</f>
        <v>On BS</v>
      </c>
      <c r="X192" s="25">
        <f>SUMIFS(U:U,C:C,Dealps[[#This Row],[PAPER_CODE]])</f>
        <v>2000000000000</v>
      </c>
      <c r="Y192" s="25">
        <f>_xlfn.XLOOKUP(Dealps[[#This Row],[DEAL_ID]],Ref!N:N,Ref!Q:Q,0,0)</f>
        <v>0</v>
      </c>
      <c r="Z192" s="25" t="str">
        <f>IF(Dealps[[#This Row],[CPTY_CODE]]=Dealps[[#This Row],[CPTY_CODE_ISSUER]],"Yes","No")</f>
        <v>Yes</v>
      </c>
      <c r="AA192" s="25"/>
      <c r="AC192" s="14"/>
      <c r="AG192" s="96"/>
      <c r="AH192" s="14"/>
      <c r="AI192"/>
      <c r="AN192" s="14"/>
      <c r="AV192" s="36"/>
      <c r="AW192" s="14"/>
      <c r="AX192" s="234"/>
      <c r="AY192" s="96"/>
      <c r="AZ192" s="14"/>
      <c r="BA192"/>
      <c r="BB192" s="93">
        <v>46262</v>
      </c>
      <c r="BC192">
        <v>2844</v>
      </c>
      <c r="BD192" s="56" t="s">
        <v>1024</v>
      </c>
      <c r="BE192" t="s">
        <v>1011</v>
      </c>
      <c r="BF192" t="s">
        <v>1022</v>
      </c>
      <c r="BG192" t="s">
        <v>364</v>
      </c>
      <c r="BH192" t="s">
        <v>1013</v>
      </c>
      <c r="BI192" t="s">
        <v>311</v>
      </c>
      <c r="BJ192" s="93">
        <v>45959</v>
      </c>
      <c r="BK192" s="93">
        <v>45959</v>
      </c>
      <c r="BL192" s="93">
        <v>45959</v>
      </c>
      <c r="BM192" s="93">
        <v>46683</v>
      </c>
      <c r="BN192" s="14">
        <v>1</v>
      </c>
      <c r="BO192" s="14">
        <v>20000000000</v>
      </c>
      <c r="BP192" s="56">
        <v>100</v>
      </c>
      <c r="BQ192" s="56">
        <v>0</v>
      </c>
      <c r="BR192" s="14">
        <v>20017095890</v>
      </c>
      <c r="BS192">
        <v>5.1812459999999998</v>
      </c>
      <c r="BT192" t="s">
        <v>1184</v>
      </c>
      <c r="BU192" s="25">
        <f>_xlfn.XLOOKUP(Dealps_MSB[[#This Row],[DEAL_ID]],Ref!V:V,Ref!X:X,0,0)</f>
        <v>0</v>
      </c>
      <c r="BV192"/>
    </row>
    <row r="193" spans="1:74" x14ac:dyDescent="0.3">
      <c r="A193" s="93">
        <v>46262</v>
      </c>
      <c r="B193">
        <v>3401</v>
      </c>
      <c r="C193" s="56" t="s">
        <v>1158</v>
      </c>
      <c r="D193" t="s">
        <v>327</v>
      </c>
      <c r="E193" t="s">
        <v>322</v>
      </c>
      <c r="F193" t="s">
        <v>364</v>
      </c>
      <c r="G193" t="s">
        <v>310</v>
      </c>
      <c r="H193" t="s">
        <v>311</v>
      </c>
      <c r="I193" s="93">
        <v>46045</v>
      </c>
      <c r="J193" s="93">
        <v>46048</v>
      </c>
      <c r="K193" s="93">
        <v>46048</v>
      </c>
      <c r="L193" s="93">
        <v>46409</v>
      </c>
      <c r="M193" s="14">
        <v>1</v>
      </c>
      <c r="N193" s="14">
        <v>1000000000000</v>
      </c>
      <c r="O193" s="56">
        <v>100.181168345</v>
      </c>
      <c r="P193" s="56">
        <v>0</v>
      </c>
      <c r="Q193" s="14">
        <v>1002403464268</v>
      </c>
      <c r="R193">
        <v>7</v>
      </c>
      <c r="S193" t="s">
        <v>1184</v>
      </c>
      <c r="T193" s="57">
        <f>IF(Dealps[[#This Row],[MATURITY_DATE]]-Dealps[[#This Row],[POSTED_DT]]&lt;0,0,IF(Dealps[[#This Row],[VALUE_DATE]]-Dealps[[#This Row],[POSTED_DT]]&gt;0,Dealps[[#This Row],[MATURITY_DATE]]-Dealps[[#This Row],[VALUE_DATE]],Dealps[[#This Row],[MATURITY_DATE]]-Dealps[[#This Row],[POSTED_DT]]))</f>
        <v>147</v>
      </c>
      <c r="U193" s="25">
        <f>IF(Dealps[[#This Row],[TENOR]]=0,0,IF(Dealps[[#This Row],[DEAL_TYPE]]="B",Dealps[[#This Row],[FACE_AMOUNT]],-Dealps[[#This Row],[FACE_AMOUNT]]))</f>
        <v>-1000000000000</v>
      </c>
      <c r="V193" s="25">
        <f>_xlfn.XLOOKUP(Dealps[[#This Row],[PAPER_CODE]],FNRP!D:D,FNRP!H:H,0,0)/100*Dealps[[#This Row],[AMOUNT]]</f>
        <v>0</v>
      </c>
      <c r="W193" s="57" t="str">
        <f>IF(Dealps[[#This Row],[TRANSACTION_STATUS]]&lt;&gt;"V","Ngoai BS",IF(Dealps[[#This Row],[POSTED_DT]]&gt;=Dealps[[#This Row],[VALUE_DATE]],"On BS","Off BS"))</f>
        <v>On BS</v>
      </c>
      <c r="X193" s="25">
        <f>SUMIFS(U:U,C:C,Dealps[[#This Row],[PAPER_CODE]])</f>
        <v>2000000000000</v>
      </c>
      <c r="Y193" s="25">
        <f>_xlfn.XLOOKUP(Dealps[[#This Row],[DEAL_ID]],Ref!N:N,Ref!Q:Q,0,0)</f>
        <v>0</v>
      </c>
      <c r="Z193" s="25" t="str">
        <f>IF(Dealps[[#This Row],[CPTY_CODE]]=Dealps[[#This Row],[CPTY_CODE_ISSUER]],"Yes","No")</f>
        <v>No</v>
      </c>
      <c r="AA193" s="25"/>
      <c r="AC193" s="14"/>
      <c r="AG193" s="96"/>
      <c r="AH193" s="14"/>
      <c r="AI193"/>
      <c r="AN193" s="14"/>
      <c r="AV193" s="36"/>
      <c r="AW193" s="14"/>
      <c r="AX193" s="234"/>
      <c r="AY193" s="96"/>
      <c r="AZ193" s="14"/>
      <c r="BA193"/>
      <c r="BB193" s="93">
        <v>46262</v>
      </c>
      <c r="BC193">
        <v>2845</v>
      </c>
      <c r="BD193" s="56" t="s">
        <v>1024</v>
      </c>
      <c r="BE193" t="s">
        <v>1011</v>
      </c>
      <c r="BF193" t="s">
        <v>1022</v>
      </c>
      <c r="BG193" t="s">
        <v>364</v>
      </c>
      <c r="BH193" t="s">
        <v>1013</v>
      </c>
      <c r="BI193" t="s">
        <v>311</v>
      </c>
      <c r="BJ193" s="93">
        <v>45959</v>
      </c>
      <c r="BK193" s="93">
        <v>45959</v>
      </c>
      <c r="BL193" s="93">
        <v>45959</v>
      </c>
      <c r="BM193" s="93">
        <v>46683</v>
      </c>
      <c r="BN193" s="14">
        <v>1</v>
      </c>
      <c r="BO193" s="14">
        <v>20000000000</v>
      </c>
      <c r="BP193" s="56">
        <v>100</v>
      </c>
      <c r="BQ193" s="56">
        <v>0</v>
      </c>
      <c r="BR193" s="14">
        <v>20017095890</v>
      </c>
      <c r="BS193">
        <v>5.1812459999999998</v>
      </c>
      <c r="BT193" t="s">
        <v>1184</v>
      </c>
      <c r="BU193" s="25">
        <f>_xlfn.XLOOKUP(Dealps_MSB[[#This Row],[DEAL_ID]],Ref!V:V,Ref!X:X,0,0)</f>
        <v>0</v>
      </c>
      <c r="BV193"/>
    </row>
    <row r="194" spans="1:74" x14ac:dyDescent="0.3">
      <c r="A194" s="93">
        <v>46262</v>
      </c>
      <c r="B194">
        <v>3402</v>
      </c>
      <c r="C194" s="56" t="s">
        <v>1158</v>
      </c>
      <c r="D194" t="s">
        <v>327</v>
      </c>
      <c r="E194" t="s">
        <v>322</v>
      </c>
      <c r="F194" t="s">
        <v>364</v>
      </c>
      <c r="G194" t="s">
        <v>310</v>
      </c>
      <c r="H194" t="s">
        <v>311</v>
      </c>
      <c r="I194" s="93">
        <v>46045</v>
      </c>
      <c r="J194" s="93">
        <v>46049</v>
      </c>
      <c r="K194" s="93">
        <v>46049</v>
      </c>
      <c r="L194" s="93">
        <v>46409</v>
      </c>
      <c r="M194" s="14">
        <v>1</v>
      </c>
      <c r="N194" s="14">
        <v>1000000000000</v>
      </c>
      <c r="O194" s="56">
        <v>100.17942495200001</v>
      </c>
      <c r="P194" s="56">
        <v>0</v>
      </c>
      <c r="Q194" s="14">
        <v>1002583290620</v>
      </c>
      <c r="R194">
        <v>7</v>
      </c>
      <c r="S194" t="s">
        <v>1184</v>
      </c>
      <c r="T194" s="57">
        <f>IF(Dealps[[#This Row],[MATURITY_DATE]]-Dealps[[#This Row],[POSTED_DT]]&lt;0,0,IF(Dealps[[#This Row],[VALUE_DATE]]-Dealps[[#This Row],[POSTED_DT]]&gt;0,Dealps[[#This Row],[MATURITY_DATE]]-Dealps[[#This Row],[VALUE_DATE]],Dealps[[#This Row],[MATURITY_DATE]]-Dealps[[#This Row],[POSTED_DT]]))</f>
        <v>147</v>
      </c>
      <c r="U194" s="25">
        <f>IF(Dealps[[#This Row],[TENOR]]=0,0,IF(Dealps[[#This Row],[DEAL_TYPE]]="B",Dealps[[#This Row],[FACE_AMOUNT]],-Dealps[[#This Row],[FACE_AMOUNT]]))</f>
        <v>-1000000000000</v>
      </c>
      <c r="V194" s="25">
        <f>_xlfn.XLOOKUP(Dealps[[#This Row],[PAPER_CODE]],FNRP!D:D,FNRP!H:H,0,0)/100*Dealps[[#This Row],[AMOUNT]]</f>
        <v>0</v>
      </c>
      <c r="W194" s="57" t="str">
        <f>IF(Dealps[[#This Row],[TRANSACTION_STATUS]]&lt;&gt;"V","Ngoai BS",IF(Dealps[[#This Row],[POSTED_DT]]&gt;=Dealps[[#This Row],[VALUE_DATE]],"On BS","Off BS"))</f>
        <v>On BS</v>
      </c>
      <c r="X194" s="25">
        <f>SUMIFS(U:U,C:C,Dealps[[#This Row],[PAPER_CODE]])</f>
        <v>2000000000000</v>
      </c>
      <c r="Y194" s="25">
        <f>_xlfn.XLOOKUP(Dealps[[#This Row],[DEAL_ID]],Ref!N:N,Ref!Q:Q,0,0)</f>
        <v>0</v>
      </c>
      <c r="Z194" s="25" t="str">
        <f>IF(Dealps[[#This Row],[CPTY_CODE]]=Dealps[[#This Row],[CPTY_CODE_ISSUER]],"Yes","No")</f>
        <v>No</v>
      </c>
      <c r="AA194" s="25"/>
      <c r="AC194" s="14"/>
      <c r="AG194" s="96"/>
      <c r="AH194" s="14"/>
      <c r="AI194"/>
      <c r="AN194" s="14"/>
      <c r="AV194" s="36"/>
      <c r="AW194" s="14"/>
      <c r="AX194" s="234"/>
      <c r="AY194" s="96"/>
      <c r="AZ194" s="14"/>
      <c r="BA194"/>
      <c r="BB194" s="93">
        <v>46262</v>
      </c>
      <c r="BC194">
        <v>2849</v>
      </c>
      <c r="BD194" s="56" t="s">
        <v>1024</v>
      </c>
      <c r="BE194" t="s">
        <v>1011</v>
      </c>
      <c r="BF194" t="s">
        <v>1022</v>
      </c>
      <c r="BG194" t="s">
        <v>364</v>
      </c>
      <c r="BH194" t="s">
        <v>1013</v>
      </c>
      <c r="BI194" t="s">
        <v>311</v>
      </c>
      <c r="BJ194" s="93">
        <v>45959</v>
      </c>
      <c r="BK194" s="93">
        <v>45959</v>
      </c>
      <c r="BL194" s="93">
        <v>45959</v>
      </c>
      <c r="BM194" s="93">
        <v>46683</v>
      </c>
      <c r="BN194" s="14">
        <v>1</v>
      </c>
      <c r="BO194" s="14">
        <v>20000000000</v>
      </c>
      <c r="BP194" s="56">
        <v>100</v>
      </c>
      <c r="BQ194" s="56">
        <v>0</v>
      </c>
      <c r="BR194" s="14">
        <v>20017095890</v>
      </c>
      <c r="BS194">
        <v>5.1812459999999998</v>
      </c>
      <c r="BT194" t="s">
        <v>1184</v>
      </c>
      <c r="BU194" s="25">
        <f>_xlfn.XLOOKUP(Dealps_MSB[[#This Row],[DEAL_ID]],Ref!V:V,Ref!X:X,0,0)</f>
        <v>0</v>
      </c>
      <c r="BV194"/>
    </row>
    <row r="195" spans="1:74" x14ac:dyDescent="0.3">
      <c r="A195" s="93">
        <v>46262</v>
      </c>
      <c r="B195">
        <v>3404</v>
      </c>
      <c r="C195" s="56" t="s">
        <v>1159</v>
      </c>
      <c r="D195" t="s">
        <v>334</v>
      </c>
      <c r="E195" t="s">
        <v>334</v>
      </c>
      <c r="F195" t="s">
        <v>364</v>
      </c>
      <c r="G195" t="s">
        <v>310</v>
      </c>
      <c r="H195" t="s">
        <v>300</v>
      </c>
      <c r="I195" s="93">
        <v>46048</v>
      </c>
      <c r="J195" s="93">
        <v>46048</v>
      </c>
      <c r="K195" s="93">
        <v>46048</v>
      </c>
      <c r="L195" s="93">
        <v>46412</v>
      </c>
      <c r="M195" s="14">
        <v>1</v>
      </c>
      <c r="N195" s="14">
        <v>1000000000000</v>
      </c>
      <c r="O195" s="56">
        <v>100</v>
      </c>
      <c r="P195" s="56">
        <v>0</v>
      </c>
      <c r="Q195" s="14">
        <v>1000000000000</v>
      </c>
      <c r="R195">
        <v>7.5</v>
      </c>
      <c r="S195" t="s">
        <v>1184</v>
      </c>
      <c r="T195" s="57">
        <f>IF(Dealps[[#This Row],[MATURITY_DATE]]-Dealps[[#This Row],[POSTED_DT]]&lt;0,0,IF(Dealps[[#This Row],[VALUE_DATE]]-Dealps[[#This Row],[POSTED_DT]]&gt;0,Dealps[[#This Row],[MATURITY_DATE]]-Dealps[[#This Row],[VALUE_DATE]],Dealps[[#This Row],[MATURITY_DATE]]-Dealps[[#This Row],[POSTED_DT]]))</f>
        <v>150</v>
      </c>
      <c r="U195" s="25">
        <f>IF(Dealps[[#This Row],[TENOR]]=0,0,IF(Dealps[[#This Row],[DEAL_TYPE]]="B",Dealps[[#This Row],[FACE_AMOUNT]],-Dealps[[#This Row],[FACE_AMOUNT]]))</f>
        <v>1000000000000</v>
      </c>
      <c r="V195" s="25">
        <f>_xlfn.XLOOKUP(Dealps[[#This Row],[PAPER_CODE]],FNRP!D:D,FNRP!H:H,0,0)/100*Dealps[[#This Row],[AMOUNT]]</f>
        <v>0</v>
      </c>
      <c r="W195" s="57" t="str">
        <f>IF(Dealps[[#This Row],[TRANSACTION_STATUS]]&lt;&gt;"V","Ngoai BS",IF(Dealps[[#This Row],[POSTED_DT]]&gt;=Dealps[[#This Row],[VALUE_DATE]],"On BS","Off BS"))</f>
        <v>On BS</v>
      </c>
      <c r="X195" s="25">
        <f>SUMIFS(U:U,C:C,Dealps[[#This Row],[PAPER_CODE]])</f>
        <v>1000000000000</v>
      </c>
      <c r="Y195" s="25">
        <f>_xlfn.XLOOKUP(Dealps[[#This Row],[DEAL_ID]],Ref!N:N,Ref!Q:Q,0,0)</f>
        <v>0</v>
      </c>
      <c r="Z195" s="25" t="str">
        <f>IF(Dealps[[#This Row],[CPTY_CODE]]=Dealps[[#This Row],[CPTY_CODE_ISSUER]],"Yes","No")</f>
        <v>Yes</v>
      </c>
      <c r="AA195" s="25"/>
      <c r="AC195" s="14"/>
      <c r="AG195" s="96"/>
      <c r="AH195" s="14"/>
      <c r="AI195"/>
      <c r="AN195" s="14"/>
      <c r="AV195" s="36"/>
      <c r="AW195" s="14"/>
      <c r="AX195" s="234"/>
      <c r="AY195" s="96"/>
      <c r="AZ195" s="14"/>
      <c r="BA195"/>
      <c r="BB195" s="93">
        <v>46262</v>
      </c>
      <c r="BC195">
        <v>2850</v>
      </c>
      <c r="BD195" s="56" t="s">
        <v>1024</v>
      </c>
      <c r="BE195" t="s">
        <v>1011</v>
      </c>
      <c r="BF195" t="s">
        <v>1022</v>
      </c>
      <c r="BG195" t="s">
        <v>364</v>
      </c>
      <c r="BH195" t="s">
        <v>1013</v>
      </c>
      <c r="BI195" t="s">
        <v>311</v>
      </c>
      <c r="BJ195" s="93">
        <v>45959</v>
      </c>
      <c r="BK195" s="93">
        <v>45959</v>
      </c>
      <c r="BL195" s="93">
        <v>45959</v>
      </c>
      <c r="BM195" s="93">
        <v>46683</v>
      </c>
      <c r="BN195" s="14">
        <v>1</v>
      </c>
      <c r="BO195" s="14">
        <v>30000000000</v>
      </c>
      <c r="BP195" s="56">
        <v>100</v>
      </c>
      <c r="BQ195" s="56">
        <v>0</v>
      </c>
      <c r="BR195" s="14">
        <v>30025643835.999996</v>
      </c>
      <c r="BS195">
        <v>5.1812459999999998</v>
      </c>
      <c r="BT195" t="s">
        <v>1184</v>
      </c>
      <c r="BU195" s="25">
        <f>_xlfn.XLOOKUP(Dealps_MSB[[#This Row],[DEAL_ID]],Ref!V:V,Ref!X:X,0,0)</f>
        <v>0</v>
      </c>
      <c r="BV195"/>
    </row>
    <row r="196" spans="1:74" x14ac:dyDescent="0.3">
      <c r="A196" s="93">
        <v>46262</v>
      </c>
      <c r="B196">
        <v>3405</v>
      </c>
      <c r="C196" s="56" t="s">
        <v>1008</v>
      </c>
      <c r="D196" t="s">
        <v>473</v>
      </c>
      <c r="E196" t="s">
        <v>322</v>
      </c>
      <c r="F196" t="s">
        <v>364</v>
      </c>
      <c r="G196" t="s">
        <v>310</v>
      </c>
      <c r="H196" t="s">
        <v>311</v>
      </c>
      <c r="I196" s="93">
        <v>46048</v>
      </c>
      <c r="J196" s="93">
        <v>46048</v>
      </c>
      <c r="K196" s="93">
        <v>46051</v>
      </c>
      <c r="L196" s="93">
        <v>46324</v>
      </c>
      <c r="M196" s="14">
        <v>1</v>
      </c>
      <c r="N196" s="14">
        <v>500000000000</v>
      </c>
      <c r="O196" s="56">
        <v>99.788526637999993</v>
      </c>
      <c r="P196" s="56">
        <v>0</v>
      </c>
      <c r="Q196" s="14">
        <v>506364551000</v>
      </c>
      <c r="R196">
        <v>6.5</v>
      </c>
      <c r="S196" t="s">
        <v>1184</v>
      </c>
      <c r="T196" s="57">
        <f>IF(Dealps[[#This Row],[MATURITY_DATE]]-Dealps[[#This Row],[POSTED_DT]]&lt;0,0,IF(Dealps[[#This Row],[VALUE_DATE]]-Dealps[[#This Row],[POSTED_DT]]&gt;0,Dealps[[#This Row],[MATURITY_DATE]]-Dealps[[#This Row],[VALUE_DATE]],Dealps[[#This Row],[MATURITY_DATE]]-Dealps[[#This Row],[POSTED_DT]]))</f>
        <v>62</v>
      </c>
      <c r="U196" s="25">
        <f>IF(Dealps[[#This Row],[TENOR]]=0,0,IF(Dealps[[#This Row],[DEAL_TYPE]]="B",Dealps[[#This Row],[FACE_AMOUNT]],-Dealps[[#This Row],[FACE_AMOUNT]]))</f>
        <v>-500000000000</v>
      </c>
      <c r="V196" s="25">
        <f>_xlfn.XLOOKUP(Dealps[[#This Row],[PAPER_CODE]],FNRP!D:D,FNRP!H:H,0,0)/100*Dealps[[#This Row],[AMOUNT]]</f>
        <v>0</v>
      </c>
      <c r="W196" s="57" t="str">
        <f>IF(Dealps[[#This Row],[TRANSACTION_STATUS]]&lt;&gt;"V","Ngoai BS",IF(Dealps[[#This Row],[POSTED_DT]]&gt;=Dealps[[#This Row],[VALUE_DATE]],"On BS","Off BS"))</f>
        <v>On BS</v>
      </c>
      <c r="X196" s="25">
        <f>SUMIFS(U:U,C:C,Dealps[[#This Row],[PAPER_CODE]])</f>
        <v>500000000000</v>
      </c>
      <c r="Y196" s="25">
        <f>_xlfn.XLOOKUP(Dealps[[#This Row],[DEAL_ID]],Ref!N:N,Ref!Q:Q,0,0)</f>
        <v>0</v>
      </c>
      <c r="Z196" s="25" t="str">
        <f>IF(Dealps[[#This Row],[CPTY_CODE]]=Dealps[[#This Row],[CPTY_CODE_ISSUER]],"Yes","No")</f>
        <v>No</v>
      </c>
      <c r="AA196" s="25"/>
      <c r="AC196" s="14"/>
      <c r="AG196" s="96"/>
      <c r="AH196" s="14"/>
      <c r="AI196"/>
      <c r="AN196" s="14"/>
      <c r="AV196" s="36"/>
      <c r="AW196" s="14"/>
      <c r="AX196" s="234"/>
      <c r="AY196" s="96"/>
      <c r="AZ196" s="14"/>
      <c r="BA196"/>
      <c r="BB196" s="93">
        <v>46262</v>
      </c>
      <c r="BC196">
        <v>2851</v>
      </c>
      <c r="BD196" s="56" t="s">
        <v>1024</v>
      </c>
      <c r="BE196" t="s">
        <v>1011</v>
      </c>
      <c r="BF196" t="s">
        <v>1022</v>
      </c>
      <c r="BG196" t="s">
        <v>364</v>
      </c>
      <c r="BH196" t="s">
        <v>1013</v>
      </c>
      <c r="BI196" t="s">
        <v>311</v>
      </c>
      <c r="BJ196" s="93">
        <v>45960</v>
      </c>
      <c r="BK196" s="93">
        <v>45960</v>
      </c>
      <c r="BL196" s="93">
        <v>45960</v>
      </c>
      <c r="BM196" s="93">
        <v>46683</v>
      </c>
      <c r="BN196" s="14">
        <v>1</v>
      </c>
      <c r="BO196" s="14">
        <v>20000000000</v>
      </c>
      <c r="BP196" s="56">
        <v>100</v>
      </c>
      <c r="BQ196" s="56">
        <v>0</v>
      </c>
      <c r="BR196" s="14">
        <v>20019945205</v>
      </c>
      <c r="BS196">
        <v>5.1804889999999997</v>
      </c>
      <c r="BT196" t="s">
        <v>1184</v>
      </c>
      <c r="BU196" s="25">
        <f>_xlfn.XLOOKUP(Dealps_MSB[[#This Row],[DEAL_ID]],Ref!V:V,Ref!X:X,0,0)</f>
        <v>0</v>
      </c>
      <c r="BV196"/>
    </row>
    <row r="197" spans="1:74" x14ac:dyDescent="0.3">
      <c r="A197" s="93">
        <v>46262</v>
      </c>
      <c r="B197">
        <v>3407</v>
      </c>
      <c r="C197" s="56" t="s">
        <v>1156</v>
      </c>
      <c r="D197" t="s">
        <v>328</v>
      </c>
      <c r="E197" t="s">
        <v>320</v>
      </c>
      <c r="F197" t="s">
        <v>364</v>
      </c>
      <c r="G197" t="s">
        <v>310</v>
      </c>
      <c r="H197" t="s">
        <v>311</v>
      </c>
      <c r="I197" s="93">
        <v>46049</v>
      </c>
      <c r="J197" s="93">
        <v>46049</v>
      </c>
      <c r="K197" s="93">
        <v>46049</v>
      </c>
      <c r="L197" s="93">
        <v>46352</v>
      </c>
      <c r="M197" s="14">
        <v>1</v>
      </c>
      <c r="N197" s="14">
        <v>250000000000</v>
      </c>
      <c r="O197" s="56">
        <v>100.024513744</v>
      </c>
      <c r="P197" s="56">
        <v>0</v>
      </c>
      <c r="Q197" s="14">
        <v>252902380250</v>
      </c>
      <c r="R197">
        <v>6.6927700000000003</v>
      </c>
      <c r="S197" t="s">
        <v>1184</v>
      </c>
      <c r="T197" s="57">
        <f>IF(Dealps[[#This Row],[MATURITY_DATE]]-Dealps[[#This Row],[POSTED_DT]]&lt;0,0,IF(Dealps[[#This Row],[VALUE_DATE]]-Dealps[[#This Row],[POSTED_DT]]&gt;0,Dealps[[#This Row],[MATURITY_DATE]]-Dealps[[#This Row],[VALUE_DATE]],Dealps[[#This Row],[MATURITY_DATE]]-Dealps[[#This Row],[POSTED_DT]]))</f>
        <v>90</v>
      </c>
      <c r="U197" s="25">
        <f>IF(Dealps[[#This Row],[TENOR]]=0,0,IF(Dealps[[#This Row],[DEAL_TYPE]]="B",Dealps[[#This Row],[FACE_AMOUNT]],-Dealps[[#This Row],[FACE_AMOUNT]]))</f>
        <v>-250000000000</v>
      </c>
      <c r="V197" s="25">
        <f>_xlfn.XLOOKUP(Dealps[[#This Row],[PAPER_CODE]],FNRP!D:D,FNRP!H:H,0,0)/100*Dealps[[#This Row],[AMOUNT]]</f>
        <v>0</v>
      </c>
      <c r="W197" s="57" t="str">
        <f>IF(Dealps[[#This Row],[TRANSACTION_STATUS]]&lt;&gt;"V","Ngoai BS",IF(Dealps[[#This Row],[POSTED_DT]]&gt;=Dealps[[#This Row],[VALUE_DATE]],"On BS","Off BS"))</f>
        <v>On BS</v>
      </c>
      <c r="X197" s="25">
        <f>SUMIFS(U:U,C:C,Dealps[[#This Row],[PAPER_CODE]])</f>
        <v>0</v>
      </c>
      <c r="Y197" s="25">
        <f>_xlfn.XLOOKUP(Dealps[[#This Row],[DEAL_ID]],Ref!N:N,Ref!Q:Q,0,0)</f>
        <v>0</v>
      </c>
      <c r="Z197" s="25" t="str">
        <f>IF(Dealps[[#This Row],[CPTY_CODE]]=Dealps[[#This Row],[CPTY_CODE_ISSUER]],"Yes","No")</f>
        <v>No</v>
      </c>
      <c r="AA197" s="25"/>
      <c r="AC197" s="14"/>
      <c r="AG197" s="96"/>
      <c r="AH197" s="14"/>
      <c r="AI197"/>
      <c r="AN197" s="14"/>
      <c r="AV197" s="36"/>
      <c r="AW197" s="14"/>
      <c r="AX197" s="234"/>
      <c r="AY197" s="96"/>
      <c r="AZ197" s="14"/>
      <c r="BA197"/>
      <c r="BB197" s="93">
        <v>46262</v>
      </c>
      <c r="BC197">
        <v>2852</v>
      </c>
      <c r="BD197" s="56" t="s">
        <v>1024</v>
      </c>
      <c r="BE197" t="s">
        <v>1011</v>
      </c>
      <c r="BF197" t="s">
        <v>1022</v>
      </c>
      <c r="BG197" t="s">
        <v>364</v>
      </c>
      <c r="BH197" t="s">
        <v>1013</v>
      </c>
      <c r="BI197" t="s">
        <v>311</v>
      </c>
      <c r="BJ197" s="93">
        <v>45960</v>
      </c>
      <c r="BK197" s="93">
        <v>45960</v>
      </c>
      <c r="BL197" s="93">
        <v>45960</v>
      </c>
      <c r="BM197" s="93">
        <v>46683</v>
      </c>
      <c r="BN197" s="14">
        <v>1</v>
      </c>
      <c r="BO197" s="14">
        <v>20000000000</v>
      </c>
      <c r="BP197" s="56">
        <v>100</v>
      </c>
      <c r="BQ197" s="56">
        <v>0</v>
      </c>
      <c r="BR197" s="14">
        <v>20019945205</v>
      </c>
      <c r="BS197">
        <v>5.1804889999999997</v>
      </c>
      <c r="BT197" t="s">
        <v>1184</v>
      </c>
      <c r="BU197" s="25">
        <f>_xlfn.XLOOKUP(Dealps_MSB[[#This Row],[DEAL_ID]],Ref!V:V,Ref!X:X,0,0)</f>
        <v>0</v>
      </c>
      <c r="BV197"/>
    </row>
    <row r="198" spans="1:74" x14ac:dyDescent="0.3">
      <c r="A198" s="93">
        <v>46262</v>
      </c>
      <c r="B198">
        <v>3408</v>
      </c>
      <c r="C198" s="56" t="s">
        <v>1156</v>
      </c>
      <c r="D198" t="s">
        <v>328</v>
      </c>
      <c r="E198" t="s">
        <v>320</v>
      </c>
      <c r="F198" t="s">
        <v>364</v>
      </c>
      <c r="G198" t="s">
        <v>310</v>
      </c>
      <c r="H198" t="s">
        <v>311</v>
      </c>
      <c r="I198" s="93">
        <v>46049</v>
      </c>
      <c r="J198" s="93">
        <v>46049</v>
      </c>
      <c r="K198" s="93">
        <v>46049</v>
      </c>
      <c r="L198" s="93">
        <v>46352</v>
      </c>
      <c r="M198" s="14">
        <v>1</v>
      </c>
      <c r="N198" s="14">
        <v>250000000000</v>
      </c>
      <c r="O198" s="56">
        <v>100.01670504400001</v>
      </c>
      <c r="P198" s="56">
        <v>0</v>
      </c>
      <c r="Q198" s="14">
        <v>252882858500</v>
      </c>
      <c r="R198">
        <v>6.7025860000000002</v>
      </c>
      <c r="S198" t="s">
        <v>1184</v>
      </c>
      <c r="T198" s="57">
        <f>IF(Dealps[[#This Row],[MATURITY_DATE]]-Dealps[[#This Row],[POSTED_DT]]&lt;0,0,IF(Dealps[[#This Row],[VALUE_DATE]]-Dealps[[#This Row],[POSTED_DT]]&gt;0,Dealps[[#This Row],[MATURITY_DATE]]-Dealps[[#This Row],[VALUE_DATE]],Dealps[[#This Row],[MATURITY_DATE]]-Dealps[[#This Row],[POSTED_DT]]))</f>
        <v>90</v>
      </c>
      <c r="U198" s="25">
        <f>IF(Dealps[[#This Row],[TENOR]]=0,0,IF(Dealps[[#This Row],[DEAL_TYPE]]="B",Dealps[[#This Row],[FACE_AMOUNT]],-Dealps[[#This Row],[FACE_AMOUNT]]))</f>
        <v>-250000000000</v>
      </c>
      <c r="V198" s="25">
        <f>_xlfn.XLOOKUP(Dealps[[#This Row],[PAPER_CODE]],FNRP!D:D,FNRP!H:H,0,0)/100*Dealps[[#This Row],[AMOUNT]]</f>
        <v>0</v>
      </c>
      <c r="W198" s="57" t="str">
        <f>IF(Dealps[[#This Row],[TRANSACTION_STATUS]]&lt;&gt;"V","Ngoai BS",IF(Dealps[[#This Row],[POSTED_DT]]&gt;=Dealps[[#This Row],[VALUE_DATE]],"On BS","Off BS"))</f>
        <v>On BS</v>
      </c>
      <c r="X198" s="25">
        <f>SUMIFS(U:U,C:C,Dealps[[#This Row],[PAPER_CODE]])</f>
        <v>0</v>
      </c>
      <c r="Y198" s="25">
        <f>_xlfn.XLOOKUP(Dealps[[#This Row],[DEAL_ID]],Ref!N:N,Ref!Q:Q,0,0)</f>
        <v>0</v>
      </c>
      <c r="Z198" s="25" t="str">
        <f>IF(Dealps[[#This Row],[CPTY_CODE]]=Dealps[[#This Row],[CPTY_CODE_ISSUER]],"Yes","No")</f>
        <v>No</v>
      </c>
      <c r="AA198" s="25"/>
      <c r="AC198" s="14"/>
      <c r="AG198" s="96"/>
      <c r="AH198" s="14"/>
      <c r="AI198"/>
      <c r="AN198" s="14"/>
      <c r="AV198" s="36"/>
      <c r="AW198" s="14"/>
      <c r="AX198" s="234"/>
      <c r="AY198" s="96"/>
      <c r="AZ198" s="14"/>
      <c r="BA198"/>
      <c r="BB198" s="93">
        <v>46262</v>
      </c>
      <c r="BC198">
        <v>2853</v>
      </c>
      <c r="BD198" s="56" t="s">
        <v>1024</v>
      </c>
      <c r="BE198" t="s">
        <v>1011</v>
      </c>
      <c r="BF198" t="s">
        <v>1022</v>
      </c>
      <c r="BG198" t="s">
        <v>364</v>
      </c>
      <c r="BH198" t="s">
        <v>1013</v>
      </c>
      <c r="BI198" t="s">
        <v>311</v>
      </c>
      <c r="BJ198" s="93">
        <v>45960</v>
      </c>
      <c r="BK198" s="93">
        <v>45960</v>
      </c>
      <c r="BL198" s="93">
        <v>45960</v>
      </c>
      <c r="BM198" s="93">
        <v>46683</v>
      </c>
      <c r="BN198" s="14">
        <v>1</v>
      </c>
      <c r="BO198" s="14">
        <v>20000000000</v>
      </c>
      <c r="BP198" s="56">
        <v>100</v>
      </c>
      <c r="BQ198" s="56">
        <v>0</v>
      </c>
      <c r="BR198" s="14">
        <v>20019945205</v>
      </c>
      <c r="BS198">
        <v>5.1804889999999997</v>
      </c>
      <c r="BT198" t="s">
        <v>1184</v>
      </c>
      <c r="BU198" s="25">
        <f>_xlfn.XLOOKUP(Dealps_MSB[[#This Row],[DEAL_ID]],Ref!V:V,Ref!X:X,0,0)</f>
        <v>0</v>
      </c>
      <c r="BV198"/>
    </row>
    <row r="199" spans="1:74" x14ac:dyDescent="0.3">
      <c r="A199" s="93">
        <v>46262</v>
      </c>
      <c r="B199">
        <v>48794</v>
      </c>
      <c r="C199" s="56" t="s">
        <v>640</v>
      </c>
      <c r="D199" t="s">
        <v>339</v>
      </c>
      <c r="E199" t="s">
        <v>1160</v>
      </c>
      <c r="F199" t="s">
        <v>35</v>
      </c>
      <c r="G199" t="s">
        <v>1161</v>
      </c>
      <c r="H199" t="s">
        <v>311</v>
      </c>
      <c r="I199" s="93">
        <v>46050</v>
      </c>
      <c r="J199" s="93">
        <v>46050</v>
      </c>
      <c r="K199" s="93">
        <v>46050</v>
      </c>
      <c r="L199" s="93">
        <v>46582</v>
      </c>
      <c r="M199" s="14">
        <v>30000</v>
      </c>
      <c r="N199" s="14">
        <v>3000000000000</v>
      </c>
      <c r="O199" s="56">
        <v>102.293420689</v>
      </c>
      <c r="P199" s="56">
        <v>3</v>
      </c>
      <c r="Q199" s="14">
        <v>3153427278210</v>
      </c>
      <c r="R199">
        <v>3.5417569379999998</v>
      </c>
      <c r="S199" t="s">
        <v>1184</v>
      </c>
      <c r="T199" s="57">
        <f>IF(Dealps[[#This Row],[MATURITY_DATE]]-Dealps[[#This Row],[POSTED_DT]]&lt;0,0,IF(Dealps[[#This Row],[VALUE_DATE]]-Dealps[[#This Row],[POSTED_DT]]&gt;0,Dealps[[#This Row],[MATURITY_DATE]]-Dealps[[#This Row],[VALUE_DATE]],Dealps[[#This Row],[MATURITY_DATE]]-Dealps[[#This Row],[POSTED_DT]]))</f>
        <v>320</v>
      </c>
      <c r="U199" s="25">
        <f>IF(Dealps[[#This Row],[TENOR]]=0,0,IF(Dealps[[#This Row],[DEAL_TYPE]]="B",Dealps[[#This Row],[FACE_AMOUNT]],-Dealps[[#This Row],[FACE_AMOUNT]]))</f>
        <v>-3000000000000</v>
      </c>
      <c r="V199" s="25">
        <f>_xlfn.XLOOKUP(Dealps[[#This Row],[PAPER_CODE]],FNRP!D:D,FNRP!H:H,0,0)/100*Dealps[[#This Row],[AMOUNT]]</f>
        <v>-3025458453269.9995</v>
      </c>
      <c r="W199" s="57" t="str">
        <f>IF(Dealps[[#This Row],[TRANSACTION_STATUS]]&lt;&gt;"V","Ngoai BS",IF(Dealps[[#This Row],[POSTED_DT]]&gt;=Dealps[[#This Row],[VALUE_DATE]],"On BS","Off BS"))</f>
        <v>On BS</v>
      </c>
      <c r="X199" s="25">
        <f>SUMIFS(U:U,C:C,Dealps[[#This Row],[PAPER_CODE]])</f>
        <v>3000000000000</v>
      </c>
      <c r="Y199" s="25">
        <f>_xlfn.XLOOKUP(Dealps[[#This Row],[DEAL_ID]],Ref!N:N,Ref!Q:Q,0,0)</f>
        <v>0</v>
      </c>
      <c r="Z199" s="25" t="str">
        <f>IF(Dealps[[#This Row],[CPTY_CODE]]=Dealps[[#This Row],[CPTY_CODE_ISSUER]],"Yes","No")</f>
        <v>No</v>
      </c>
      <c r="AA199" s="25"/>
      <c r="AC199" s="14"/>
      <c r="AG199" s="96"/>
      <c r="AH199" s="14"/>
      <c r="AI199"/>
      <c r="AN199" s="14"/>
      <c r="AV199" s="36"/>
      <c r="AW199" s="14"/>
      <c r="AX199" s="234"/>
      <c r="AY199" s="96"/>
      <c r="AZ199" s="14"/>
      <c r="BA199"/>
      <c r="BB199" s="93">
        <v>46262</v>
      </c>
      <c r="BC199">
        <v>2854</v>
      </c>
      <c r="BD199" s="56" t="s">
        <v>1024</v>
      </c>
      <c r="BE199" t="s">
        <v>1011</v>
      </c>
      <c r="BF199" t="s">
        <v>1022</v>
      </c>
      <c r="BG199" t="s">
        <v>364</v>
      </c>
      <c r="BH199" t="s">
        <v>1013</v>
      </c>
      <c r="BI199" t="s">
        <v>311</v>
      </c>
      <c r="BJ199" s="93">
        <v>45960</v>
      </c>
      <c r="BK199" s="93">
        <v>45960</v>
      </c>
      <c r="BL199" s="93">
        <v>45960</v>
      </c>
      <c r="BM199" s="93">
        <v>46683</v>
      </c>
      <c r="BN199" s="14">
        <v>1</v>
      </c>
      <c r="BO199" s="14">
        <v>30000000000</v>
      </c>
      <c r="BP199" s="56">
        <v>100</v>
      </c>
      <c r="BQ199" s="56">
        <v>0</v>
      </c>
      <c r="BR199" s="14">
        <v>30029917808</v>
      </c>
      <c r="BS199">
        <v>5.1804889999999997</v>
      </c>
      <c r="BT199" t="s">
        <v>1184</v>
      </c>
      <c r="BU199" s="25">
        <f>_xlfn.XLOOKUP(Dealps_MSB[[#This Row],[DEAL_ID]],Ref!V:V,Ref!X:X,0,0)</f>
        <v>0</v>
      </c>
      <c r="BV199"/>
    </row>
    <row r="200" spans="1:74" x14ac:dyDescent="0.3">
      <c r="A200" s="93">
        <v>46262</v>
      </c>
      <c r="B200">
        <v>3419</v>
      </c>
      <c r="C200" s="56" t="s">
        <v>965</v>
      </c>
      <c r="D200" t="s">
        <v>325</v>
      </c>
      <c r="E200" t="s">
        <v>1009</v>
      </c>
      <c r="F200" t="s">
        <v>364</v>
      </c>
      <c r="G200" t="s">
        <v>310</v>
      </c>
      <c r="H200" t="s">
        <v>300</v>
      </c>
      <c r="I200" s="93">
        <v>46051</v>
      </c>
      <c r="J200" s="93">
        <v>46051</v>
      </c>
      <c r="K200" s="93">
        <v>46051</v>
      </c>
      <c r="L200" s="93">
        <v>46301</v>
      </c>
      <c r="M200" s="14">
        <v>1</v>
      </c>
      <c r="N200" s="14">
        <v>500000000000</v>
      </c>
      <c r="O200" s="56">
        <v>100.04108789</v>
      </c>
      <c r="P200" s="56">
        <v>0</v>
      </c>
      <c r="Q200" s="14">
        <v>510199960000</v>
      </c>
      <c r="R200">
        <v>6.2132620000000003</v>
      </c>
      <c r="S200" t="s">
        <v>1184</v>
      </c>
      <c r="T200" s="57">
        <f>IF(Dealps[[#This Row],[MATURITY_DATE]]-Dealps[[#This Row],[POSTED_DT]]&lt;0,0,IF(Dealps[[#This Row],[VALUE_DATE]]-Dealps[[#This Row],[POSTED_DT]]&gt;0,Dealps[[#This Row],[MATURITY_DATE]]-Dealps[[#This Row],[VALUE_DATE]],Dealps[[#This Row],[MATURITY_DATE]]-Dealps[[#This Row],[POSTED_DT]]))</f>
        <v>39</v>
      </c>
      <c r="U200" s="25">
        <f>IF(Dealps[[#This Row],[TENOR]]=0,0,IF(Dealps[[#This Row],[DEAL_TYPE]]="B",Dealps[[#This Row],[FACE_AMOUNT]],-Dealps[[#This Row],[FACE_AMOUNT]]))</f>
        <v>500000000000</v>
      </c>
      <c r="V200" s="25">
        <f>_xlfn.XLOOKUP(Dealps[[#This Row],[PAPER_CODE]],FNRP!D:D,FNRP!H:H,0,0)/100*Dealps[[#This Row],[AMOUNT]]</f>
        <v>0</v>
      </c>
      <c r="W200" s="57" t="str">
        <f>IF(Dealps[[#This Row],[TRANSACTION_STATUS]]&lt;&gt;"V","Ngoai BS",IF(Dealps[[#This Row],[POSTED_DT]]&gt;=Dealps[[#This Row],[VALUE_DATE]],"On BS","Off BS"))</f>
        <v>On BS</v>
      </c>
      <c r="X200" s="25">
        <f>SUMIFS(U:U,C:C,Dealps[[#This Row],[PAPER_CODE]])</f>
        <v>500000000000</v>
      </c>
      <c r="Y200" s="25">
        <f>_xlfn.XLOOKUP(Dealps[[#This Row],[DEAL_ID]],Ref!N:N,Ref!Q:Q,0,0)</f>
        <v>0</v>
      </c>
      <c r="Z200" s="25" t="str">
        <f>IF(Dealps[[#This Row],[CPTY_CODE]]=Dealps[[#This Row],[CPTY_CODE_ISSUER]],"Yes","No")</f>
        <v>No</v>
      </c>
      <c r="AA200" s="25"/>
      <c r="AC200" s="14"/>
      <c r="AG200" s="96"/>
      <c r="AH200" s="14"/>
      <c r="AI200"/>
      <c r="AN200" s="14"/>
      <c r="AV200" s="36"/>
      <c r="AW200" s="14"/>
      <c r="AX200" s="234"/>
      <c r="AY200" s="96"/>
      <c r="AZ200" s="14"/>
      <c r="BA200"/>
      <c r="BB200" s="93">
        <v>46262</v>
      </c>
      <c r="BC200">
        <v>2855</v>
      </c>
      <c r="BD200" s="56" t="s">
        <v>1024</v>
      </c>
      <c r="BE200" t="s">
        <v>1011</v>
      </c>
      <c r="BF200" t="s">
        <v>1022</v>
      </c>
      <c r="BG200" t="s">
        <v>364</v>
      </c>
      <c r="BH200" t="s">
        <v>1013</v>
      </c>
      <c r="BI200" t="s">
        <v>311</v>
      </c>
      <c r="BJ200" s="93">
        <v>45960</v>
      </c>
      <c r="BK200" s="93">
        <v>45960</v>
      </c>
      <c r="BL200" s="93">
        <v>45960</v>
      </c>
      <c r="BM200" s="93">
        <v>46683</v>
      </c>
      <c r="BN200" s="14">
        <v>1</v>
      </c>
      <c r="BO200" s="14">
        <v>30000000000</v>
      </c>
      <c r="BP200" s="56">
        <v>100</v>
      </c>
      <c r="BQ200" s="56">
        <v>0</v>
      </c>
      <c r="BR200" s="14">
        <v>30029917808</v>
      </c>
      <c r="BS200">
        <v>5.1804889999999997</v>
      </c>
      <c r="BT200" t="s">
        <v>1184</v>
      </c>
      <c r="BU200" s="25">
        <f>_xlfn.XLOOKUP(Dealps_MSB[[#This Row],[DEAL_ID]],Ref!V:V,Ref!X:X,0,0)</f>
        <v>0</v>
      </c>
      <c r="BV200"/>
    </row>
    <row r="201" spans="1:74" x14ac:dyDescent="0.3">
      <c r="A201" s="93">
        <v>46262</v>
      </c>
      <c r="B201">
        <v>3420</v>
      </c>
      <c r="C201" s="56" t="s">
        <v>953</v>
      </c>
      <c r="D201" t="s">
        <v>325</v>
      </c>
      <c r="E201" t="s">
        <v>1009</v>
      </c>
      <c r="F201" t="s">
        <v>364</v>
      </c>
      <c r="G201" t="s">
        <v>310</v>
      </c>
      <c r="H201" t="s">
        <v>300</v>
      </c>
      <c r="I201" s="93">
        <v>46051</v>
      </c>
      <c r="J201" s="93">
        <v>46051</v>
      </c>
      <c r="K201" s="93">
        <v>46051</v>
      </c>
      <c r="L201" s="93">
        <v>46274</v>
      </c>
      <c r="M201" s="14">
        <v>1</v>
      </c>
      <c r="N201" s="14">
        <v>300000000000</v>
      </c>
      <c r="O201" s="56">
        <v>100.065478681</v>
      </c>
      <c r="P201" s="56">
        <v>0</v>
      </c>
      <c r="Q201" s="14">
        <v>307149860700</v>
      </c>
      <c r="R201">
        <v>5.7556529999999997</v>
      </c>
      <c r="S201" t="s">
        <v>1184</v>
      </c>
      <c r="T201" s="57">
        <f>IF(Dealps[[#This Row],[MATURITY_DATE]]-Dealps[[#This Row],[POSTED_DT]]&lt;0,0,IF(Dealps[[#This Row],[VALUE_DATE]]-Dealps[[#This Row],[POSTED_DT]]&gt;0,Dealps[[#This Row],[MATURITY_DATE]]-Dealps[[#This Row],[VALUE_DATE]],Dealps[[#This Row],[MATURITY_DATE]]-Dealps[[#This Row],[POSTED_DT]]))</f>
        <v>12</v>
      </c>
      <c r="U201" s="25">
        <f>IF(Dealps[[#This Row],[TENOR]]=0,0,IF(Dealps[[#This Row],[DEAL_TYPE]]="B",Dealps[[#This Row],[FACE_AMOUNT]],-Dealps[[#This Row],[FACE_AMOUNT]]))</f>
        <v>300000000000</v>
      </c>
      <c r="V201" s="25">
        <f>_xlfn.XLOOKUP(Dealps[[#This Row],[PAPER_CODE]],FNRP!D:D,FNRP!H:H,0,0)/100*Dealps[[#This Row],[AMOUNT]]</f>
        <v>0</v>
      </c>
      <c r="W201" s="57" t="str">
        <f>IF(Dealps[[#This Row],[TRANSACTION_STATUS]]&lt;&gt;"V","Ngoai BS",IF(Dealps[[#This Row],[POSTED_DT]]&gt;=Dealps[[#This Row],[VALUE_DATE]],"On BS","Off BS"))</f>
        <v>On BS</v>
      </c>
      <c r="X201" s="25">
        <f>SUMIFS(U:U,C:C,Dealps[[#This Row],[PAPER_CODE]])</f>
        <v>300000000000</v>
      </c>
      <c r="Y201" s="25">
        <f>_xlfn.XLOOKUP(Dealps[[#This Row],[DEAL_ID]],Ref!N:N,Ref!Q:Q,0,0)</f>
        <v>0</v>
      </c>
      <c r="Z201" s="25" t="str">
        <f>IF(Dealps[[#This Row],[CPTY_CODE]]=Dealps[[#This Row],[CPTY_CODE_ISSUER]],"Yes","No")</f>
        <v>No</v>
      </c>
      <c r="AA201" s="25"/>
      <c r="AC201" s="14"/>
      <c r="AG201" s="96"/>
      <c r="AH201" s="14"/>
      <c r="AI201"/>
      <c r="AN201" s="14"/>
      <c r="AV201" s="36"/>
      <c r="AW201" s="14"/>
      <c r="AX201" s="234"/>
      <c r="AY201" s="96"/>
      <c r="AZ201" s="14"/>
      <c r="BA201"/>
      <c r="BB201" s="93">
        <v>46262</v>
      </c>
      <c r="BC201">
        <v>2930</v>
      </c>
      <c r="BD201" s="56" t="s">
        <v>1024</v>
      </c>
      <c r="BE201" t="s">
        <v>1011</v>
      </c>
      <c r="BF201" t="s">
        <v>1022</v>
      </c>
      <c r="BG201" t="s">
        <v>364</v>
      </c>
      <c r="BH201" t="s">
        <v>1013</v>
      </c>
      <c r="BI201" t="s">
        <v>311</v>
      </c>
      <c r="BJ201" s="93">
        <v>45973</v>
      </c>
      <c r="BK201" s="93">
        <v>45973</v>
      </c>
      <c r="BL201" s="93">
        <v>45973</v>
      </c>
      <c r="BM201" s="93">
        <v>46683</v>
      </c>
      <c r="BN201" s="14">
        <v>1</v>
      </c>
      <c r="BO201" s="14">
        <v>50000000000</v>
      </c>
      <c r="BP201" s="56">
        <v>100</v>
      </c>
      <c r="BQ201" s="56">
        <v>0</v>
      </c>
      <c r="BR201" s="14">
        <v>50142465754</v>
      </c>
      <c r="BS201">
        <v>5.1706599999999998</v>
      </c>
      <c r="BT201" t="s">
        <v>1184</v>
      </c>
      <c r="BU201" s="25">
        <f>_xlfn.XLOOKUP(Dealps_MSB[[#This Row],[DEAL_ID]],Ref!V:V,Ref!X:X,0,0)</f>
        <v>0</v>
      </c>
      <c r="BV201"/>
    </row>
    <row r="202" spans="1:74" x14ac:dyDescent="0.3">
      <c r="A202" s="93">
        <v>46262</v>
      </c>
      <c r="B202">
        <v>3429</v>
      </c>
      <c r="C202" s="56" t="s">
        <v>1104</v>
      </c>
      <c r="D202" t="s">
        <v>334</v>
      </c>
      <c r="E202" t="s">
        <v>345</v>
      </c>
      <c r="F202" t="s">
        <v>364</v>
      </c>
      <c r="G202" t="s">
        <v>310</v>
      </c>
      <c r="H202" t="s">
        <v>300</v>
      </c>
      <c r="I202" s="93">
        <v>46051</v>
      </c>
      <c r="J202" s="93">
        <v>46051</v>
      </c>
      <c r="K202" s="93">
        <v>46051</v>
      </c>
      <c r="L202" s="93">
        <v>46360</v>
      </c>
      <c r="M202" s="14">
        <v>1</v>
      </c>
      <c r="N202" s="14">
        <v>600000000000</v>
      </c>
      <c r="O202" s="56">
        <v>100.15421477300001</v>
      </c>
      <c r="P202" s="56">
        <v>0</v>
      </c>
      <c r="Q202" s="14">
        <v>607163644800</v>
      </c>
      <c r="R202">
        <v>6.6385759999999996</v>
      </c>
      <c r="S202" t="s">
        <v>1184</v>
      </c>
      <c r="T202" s="57">
        <f>IF(Dealps[[#This Row],[MATURITY_DATE]]-Dealps[[#This Row],[POSTED_DT]]&lt;0,0,IF(Dealps[[#This Row],[VALUE_DATE]]-Dealps[[#This Row],[POSTED_DT]]&gt;0,Dealps[[#This Row],[MATURITY_DATE]]-Dealps[[#This Row],[VALUE_DATE]],Dealps[[#This Row],[MATURITY_DATE]]-Dealps[[#This Row],[POSTED_DT]]))</f>
        <v>98</v>
      </c>
      <c r="U202" s="25">
        <f>IF(Dealps[[#This Row],[TENOR]]=0,0,IF(Dealps[[#This Row],[DEAL_TYPE]]="B",Dealps[[#This Row],[FACE_AMOUNT]],-Dealps[[#This Row],[FACE_AMOUNT]]))</f>
        <v>600000000000</v>
      </c>
      <c r="V202" s="25">
        <f>_xlfn.XLOOKUP(Dealps[[#This Row],[PAPER_CODE]],FNRP!D:D,FNRP!H:H,0,0)/100*Dealps[[#This Row],[AMOUNT]]</f>
        <v>0</v>
      </c>
      <c r="W202" s="57" t="str">
        <f>IF(Dealps[[#This Row],[TRANSACTION_STATUS]]&lt;&gt;"V","Ngoai BS",IF(Dealps[[#This Row],[POSTED_DT]]&gt;=Dealps[[#This Row],[VALUE_DATE]],"On BS","Off BS"))</f>
        <v>On BS</v>
      </c>
      <c r="X202" s="25">
        <f>SUMIFS(U:U,C:C,Dealps[[#This Row],[PAPER_CODE]])</f>
        <v>1000000000000</v>
      </c>
      <c r="Y202" s="25">
        <f>_xlfn.XLOOKUP(Dealps[[#This Row],[DEAL_ID]],Ref!N:N,Ref!Q:Q,0,0)</f>
        <v>0</v>
      </c>
      <c r="Z202" s="25" t="str">
        <f>IF(Dealps[[#This Row],[CPTY_CODE]]=Dealps[[#This Row],[CPTY_CODE_ISSUER]],"Yes","No")</f>
        <v>No</v>
      </c>
      <c r="AA202" s="25"/>
      <c r="AC202" s="14"/>
      <c r="AG202" s="96"/>
      <c r="AH202" s="14"/>
      <c r="AI202"/>
      <c r="AN202" s="14"/>
      <c r="AV202" s="36"/>
      <c r="AW202" s="14"/>
      <c r="AX202" s="234"/>
      <c r="AY202" s="96"/>
      <c r="AZ202" s="14"/>
      <c r="BA202"/>
      <c r="BB202" s="93">
        <v>46262</v>
      </c>
      <c r="BC202">
        <v>2931</v>
      </c>
      <c r="BD202" s="56" t="s">
        <v>1024</v>
      </c>
      <c r="BE202" t="s">
        <v>1011</v>
      </c>
      <c r="BF202" t="s">
        <v>1022</v>
      </c>
      <c r="BG202" t="s">
        <v>364</v>
      </c>
      <c r="BH202" t="s">
        <v>1013</v>
      </c>
      <c r="BI202" t="s">
        <v>311</v>
      </c>
      <c r="BJ202" s="93">
        <v>45973</v>
      </c>
      <c r="BK202" s="93">
        <v>45973</v>
      </c>
      <c r="BL202" s="93">
        <v>45973</v>
      </c>
      <c r="BM202" s="93">
        <v>46683</v>
      </c>
      <c r="BN202" s="14">
        <v>1</v>
      </c>
      <c r="BO202" s="14">
        <v>50000000000</v>
      </c>
      <c r="BP202" s="56">
        <v>100</v>
      </c>
      <c r="BQ202" s="56">
        <v>0</v>
      </c>
      <c r="BR202" s="14">
        <v>50142465754</v>
      </c>
      <c r="BS202">
        <v>5.1706599999999998</v>
      </c>
      <c r="BT202" t="s">
        <v>1184</v>
      </c>
      <c r="BU202" s="25">
        <f>_xlfn.XLOOKUP(Dealps_MSB[[#This Row],[DEAL_ID]],Ref!V:V,Ref!X:X,0,0)</f>
        <v>0</v>
      </c>
      <c r="BV202"/>
    </row>
    <row r="203" spans="1:74" x14ac:dyDescent="0.3">
      <c r="A203" s="93">
        <v>46262</v>
      </c>
      <c r="B203">
        <v>48805</v>
      </c>
      <c r="C203" s="56" t="s">
        <v>640</v>
      </c>
      <c r="D203" t="s">
        <v>339</v>
      </c>
      <c r="E203" t="s">
        <v>1161</v>
      </c>
      <c r="F203" t="s">
        <v>35</v>
      </c>
      <c r="G203" t="s">
        <v>1160</v>
      </c>
      <c r="H203" t="s">
        <v>300</v>
      </c>
      <c r="I203" s="93">
        <v>46051</v>
      </c>
      <c r="J203" s="93">
        <v>46050</v>
      </c>
      <c r="K203" s="93">
        <v>46050</v>
      </c>
      <c r="L203" s="93">
        <v>46582</v>
      </c>
      <c r="M203" s="14">
        <v>30000</v>
      </c>
      <c r="N203" s="14">
        <v>3000000000000</v>
      </c>
      <c r="O203" s="56">
        <v>102.293420689</v>
      </c>
      <c r="P203" s="56">
        <v>3</v>
      </c>
      <c r="Q203" s="14">
        <v>3153427278210</v>
      </c>
      <c r="R203">
        <v>3.5417569379999998</v>
      </c>
      <c r="S203" t="s">
        <v>1184</v>
      </c>
      <c r="T203" s="57">
        <f>IF(Dealps[[#This Row],[MATURITY_DATE]]-Dealps[[#This Row],[POSTED_DT]]&lt;0,0,IF(Dealps[[#This Row],[VALUE_DATE]]-Dealps[[#This Row],[POSTED_DT]]&gt;0,Dealps[[#This Row],[MATURITY_DATE]]-Dealps[[#This Row],[VALUE_DATE]],Dealps[[#This Row],[MATURITY_DATE]]-Dealps[[#This Row],[POSTED_DT]]))</f>
        <v>320</v>
      </c>
      <c r="U203" s="25">
        <f>IF(Dealps[[#This Row],[TENOR]]=0,0,IF(Dealps[[#This Row],[DEAL_TYPE]]="B",Dealps[[#This Row],[FACE_AMOUNT]],-Dealps[[#This Row],[FACE_AMOUNT]]))</f>
        <v>3000000000000</v>
      </c>
      <c r="V203" s="25">
        <f>_xlfn.XLOOKUP(Dealps[[#This Row],[PAPER_CODE]],FNRP!D:D,FNRP!H:H,0,0)/100*Dealps[[#This Row],[AMOUNT]]</f>
        <v>3025458453269.9995</v>
      </c>
      <c r="W203" s="57" t="str">
        <f>IF(Dealps[[#This Row],[TRANSACTION_STATUS]]&lt;&gt;"V","Ngoai BS",IF(Dealps[[#This Row],[POSTED_DT]]&gt;=Dealps[[#This Row],[VALUE_DATE]],"On BS","Off BS"))</f>
        <v>On BS</v>
      </c>
      <c r="X203" s="25">
        <f>SUMIFS(U:U,C:C,Dealps[[#This Row],[PAPER_CODE]])</f>
        <v>3000000000000</v>
      </c>
      <c r="Y203" s="25">
        <f>_xlfn.XLOOKUP(Dealps[[#This Row],[DEAL_ID]],Ref!N:N,Ref!Q:Q,0,0)</f>
        <v>0</v>
      </c>
      <c r="Z203" s="25" t="str">
        <f>IF(Dealps[[#This Row],[CPTY_CODE]]=Dealps[[#This Row],[CPTY_CODE_ISSUER]],"Yes","No")</f>
        <v>No</v>
      </c>
      <c r="AA203" s="25"/>
      <c r="AC203" s="14"/>
      <c r="AG203" s="96"/>
      <c r="AH203" s="14"/>
      <c r="AI203"/>
      <c r="AN203" s="14"/>
      <c r="AV203" s="36"/>
      <c r="AW203" s="14"/>
      <c r="AX203" s="234"/>
      <c r="AY203" s="96"/>
      <c r="AZ203" s="14"/>
      <c r="BA203"/>
      <c r="BB203" s="93">
        <v>46262</v>
      </c>
      <c r="BC203">
        <v>2932</v>
      </c>
      <c r="BD203" s="56" t="s">
        <v>1024</v>
      </c>
      <c r="BE203" t="s">
        <v>1011</v>
      </c>
      <c r="BF203" t="s">
        <v>1022</v>
      </c>
      <c r="BG203" t="s">
        <v>364</v>
      </c>
      <c r="BH203" t="s">
        <v>1013</v>
      </c>
      <c r="BI203" t="s">
        <v>311</v>
      </c>
      <c r="BJ203" s="93">
        <v>45973</v>
      </c>
      <c r="BK203" s="93">
        <v>45973</v>
      </c>
      <c r="BL203" s="93">
        <v>45973</v>
      </c>
      <c r="BM203" s="93">
        <v>46683</v>
      </c>
      <c r="BN203" s="14">
        <v>1</v>
      </c>
      <c r="BO203" s="14">
        <v>30000000000</v>
      </c>
      <c r="BP203" s="56">
        <v>100</v>
      </c>
      <c r="BQ203" s="56">
        <v>0</v>
      </c>
      <c r="BR203" s="14">
        <v>30085479452</v>
      </c>
      <c r="BS203">
        <v>5.1706599999999998</v>
      </c>
      <c r="BT203" t="s">
        <v>1184</v>
      </c>
      <c r="BU203" s="25">
        <f>_xlfn.XLOOKUP(Dealps_MSB[[#This Row],[DEAL_ID]],Ref!V:V,Ref!X:X,0,0)</f>
        <v>0</v>
      </c>
      <c r="BV203"/>
    </row>
    <row r="204" spans="1:74" x14ac:dyDescent="0.3">
      <c r="A204" s="93">
        <v>46262</v>
      </c>
      <c r="B204">
        <v>3443</v>
      </c>
      <c r="C204" s="56" t="s">
        <v>1104</v>
      </c>
      <c r="D204" t="s">
        <v>334</v>
      </c>
      <c r="E204" t="s">
        <v>345</v>
      </c>
      <c r="F204" t="s">
        <v>364</v>
      </c>
      <c r="G204" t="s">
        <v>310</v>
      </c>
      <c r="H204" t="s">
        <v>300</v>
      </c>
      <c r="I204" s="93">
        <v>46052</v>
      </c>
      <c r="J204" s="93">
        <v>46052</v>
      </c>
      <c r="K204" s="93">
        <v>46052</v>
      </c>
      <c r="L204" s="93">
        <v>46360</v>
      </c>
      <c r="M204" s="14">
        <v>1</v>
      </c>
      <c r="N204" s="14">
        <v>400000000000</v>
      </c>
      <c r="O204" s="56">
        <v>100.16181936300001</v>
      </c>
      <c r="P204" s="56">
        <v>0</v>
      </c>
      <c r="Q204" s="14">
        <v>404881798000</v>
      </c>
      <c r="R204">
        <v>6.6273499999999999</v>
      </c>
      <c r="S204" t="s">
        <v>1184</v>
      </c>
      <c r="T204" s="57">
        <f>IF(Dealps[[#This Row],[MATURITY_DATE]]-Dealps[[#This Row],[POSTED_DT]]&lt;0,0,IF(Dealps[[#This Row],[VALUE_DATE]]-Dealps[[#This Row],[POSTED_DT]]&gt;0,Dealps[[#This Row],[MATURITY_DATE]]-Dealps[[#This Row],[VALUE_DATE]],Dealps[[#This Row],[MATURITY_DATE]]-Dealps[[#This Row],[POSTED_DT]]))</f>
        <v>98</v>
      </c>
      <c r="U204" s="25">
        <f>IF(Dealps[[#This Row],[TENOR]]=0,0,IF(Dealps[[#This Row],[DEAL_TYPE]]="B",Dealps[[#This Row],[FACE_AMOUNT]],-Dealps[[#This Row],[FACE_AMOUNT]]))</f>
        <v>400000000000</v>
      </c>
      <c r="V204" s="25">
        <f>_xlfn.XLOOKUP(Dealps[[#This Row],[PAPER_CODE]],FNRP!D:D,FNRP!H:H,0,0)/100*Dealps[[#This Row],[AMOUNT]]</f>
        <v>0</v>
      </c>
      <c r="W204" s="57" t="str">
        <f>IF(Dealps[[#This Row],[TRANSACTION_STATUS]]&lt;&gt;"V","Ngoai BS",IF(Dealps[[#This Row],[POSTED_DT]]&gt;=Dealps[[#This Row],[VALUE_DATE]],"On BS","Off BS"))</f>
        <v>On BS</v>
      </c>
      <c r="X204" s="25">
        <f>SUMIFS(U:U,C:C,Dealps[[#This Row],[PAPER_CODE]])</f>
        <v>1000000000000</v>
      </c>
      <c r="Y204" s="25">
        <f>_xlfn.XLOOKUP(Dealps[[#This Row],[DEAL_ID]],Ref!N:N,Ref!Q:Q,0,0)</f>
        <v>0</v>
      </c>
      <c r="Z204" s="25" t="str">
        <f>IF(Dealps[[#This Row],[CPTY_CODE]]=Dealps[[#This Row],[CPTY_CODE_ISSUER]],"Yes","No")</f>
        <v>No</v>
      </c>
      <c r="AA204" s="25"/>
      <c r="AC204" s="14"/>
      <c r="AG204" s="96"/>
      <c r="AH204" s="14"/>
      <c r="AI204"/>
      <c r="AN204" s="14"/>
      <c r="AV204" s="36"/>
      <c r="AW204" s="14"/>
      <c r="AX204" s="234"/>
      <c r="AY204" s="96"/>
      <c r="AZ204" s="14"/>
      <c r="BA204"/>
      <c r="BB204" s="93">
        <v>46262</v>
      </c>
      <c r="BC204">
        <v>3023</v>
      </c>
      <c r="BD204" s="56" t="s">
        <v>1067</v>
      </c>
      <c r="BE204" t="s">
        <v>1011</v>
      </c>
      <c r="BF204" t="s">
        <v>1022</v>
      </c>
      <c r="BG204" t="s">
        <v>364</v>
      </c>
      <c r="BH204" t="s">
        <v>1013</v>
      </c>
      <c r="BI204" t="s">
        <v>311</v>
      </c>
      <c r="BJ204" s="93">
        <v>45986</v>
      </c>
      <c r="BK204" s="93">
        <v>45986</v>
      </c>
      <c r="BL204" s="93">
        <v>45986</v>
      </c>
      <c r="BM204" s="93">
        <v>46716</v>
      </c>
      <c r="BN204" s="14">
        <v>1</v>
      </c>
      <c r="BO204" s="14">
        <v>20000000000</v>
      </c>
      <c r="BP204" s="56">
        <v>100</v>
      </c>
      <c r="BQ204" s="56">
        <v>0</v>
      </c>
      <c r="BR204" s="14">
        <v>20000000000</v>
      </c>
      <c r="BS204">
        <v>5.5</v>
      </c>
      <c r="BT204" t="s">
        <v>1184</v>
      </c>
      <c r="BU204" s="25">
        <f>_xlfn.XLOOKUP(Dealps_MSB[[#This Row],[DEAL_ID]],Ref!V:V,Ref!X:X,0,0)</f>
        <v>0</v>
      </c>
      <c r="BV204"/>
    </row>
    <row r="205" spans="1:74" x14ac:dyDescent="0.3">
      <c r="A205" s="93">
        <v>46262</v>
      </c>
      <c r="B205">
        <v>3450</v>
      </c>
      <c r="C205" s="56" t="s">
        <v>1204</v>
      </c>
      <c r="D205" t="s">
        <v>315</v>
      </c>
      <c r="E205" t="s">
        <v>320</v>
      </c>
      <c r="F205" t="s">
        <v>364</v>
      </c>
      <c r="G205" t="s">
        <v>310</v>
      </c>
      <c r="H205" t="s">
        <v>300</v>
      </c>
      <c r="I205" s="93">
        <v>46055</v>
      </c>
      <c r="J205" s="93">
        <v>46057</v>
      </c>
      <c r="K205" s="93">
        <v>46058</v>
      </c>
      <c r="L205" s="93">
        <v>46422</v>
      </c>
      <c r="M205" s="14">
        <v>1</v>
      </c>
      <c r="N205" s="14">
        <v>1000000000000</v>
      </c>
      <c r="O205" s="56">
        <v>100.039890384</v>
      </c>
      <c r="P205" s="56">
        <v>0</v>
      </c>
      <c r="Q205" s="14">
        <v>1000597260000</v>
      </c>
      <c r="R205">
        <v>7.1957019999999998</v>
      </c>
      <c r="S205" t="s">
        <v>1184</v>
      </c>
      <c r="T205" s="57">
        <f>IF(Dealps[[#This Row],[MATURITY_DATE]]-Dealps[[#This Row],[POSTED_DT]]&lt;0,0,IF(Dealps[[#This Row],[VALUE_DATE]]-Dealps[[#This Row],[POSTED_DT]]&gt;0,Dealps[[#This Row],[MATURITY_DATE]]-Dealps[[#This Row],[VALUE_DATE]],Dealps[[#This Row],[MATURITY_DATE]]-Dealps[[#This Row],[POSTED_DT]]))</f>
        <v>160</v>
      </c>
      <c r="U205" s="25">
        <f>IF(Dealps[[#This Row],[TENOR]]=0,0,IF(Dealps[[#This Row],[DEAL_TYPE]]="B",Dealps[[#This Row],[FACE_AMOUNT]],-Dealps[[#This Row],[FACE_AMOUNT]]))</f>
        <v>1000000000000</v>
      </c>
      <c r="V205" s="25">
        <f>_xlfn.XLOOKUP(Dealps[[#This Row],[PAPER_CODE]],FNRP!D:D,FNRP!H:H,0,0)/100*Dealps[[#This Row],[AMOUNT]]</f>
        <v>0</v>
      </c>
      <c r="W205" s="57" t="str">
        <f>IF(Dealps[[#This Row],[TRANSACTION_STATUS]]&lt;&gt;"V","Ngoai BS",IF(Dealps[[#This Row],[POSTED_DT]]&gt;=Dealps[[#This Row],[VALUE_DATE]],"On BS","Off BS"))</f>
        <v>On BS</v>
      </c>
      <c r="X205" s="25">
        <f>SUMIFS(U:U,C:C,Dealps[[#This Row],[PAPER_CODE]])</f>
        <v>1000000000000</v>
      </c>
      <c r="Y205" s="25">
        <f>_xlfn.XLOOKUP(Dealps[[#This Row],[DEAL_ID]],Ref!N:N,Ref!Q:Q,0,0)</f>
        <v>0</v>
      </c>
      <c r="Z205" s="25" t="str">
        <f>IF(Dealps[[#This Row],[CPTY_CODE]]=Dealps[[#This Row],[CPTY_CODE_ISSUER]],"Yes","No")</f>
        <v>No</v>
      </c>
      <c r="AA205" s="25"/>
      <c r="AC205" s="14"/>
      <c r="AG205" s="96"/>
      <c r="AH205" s="14"/>
      <c r="AI205"/>
      <c r="AN205" s="14"/>
      <c r="AV205" s="36"/>
      <c r="AW205" s="14"/>
      <c r="AX205" s="234"/>
      <c r="AY205" s="96"/>
      <c r="AZ205" s="14"/>
      <c r="BA205"/>
      <c r="BB205" s="93">
        <v>46262</v>
      </c>
      <c r="BC205">
        <v>3024</v>
      </c>
      <c r="BD205" s="56" t="s">
        <v>1067</v>
      </c>
      <c r="BE205" t="s">
        <v>1011</v>
      </c>
      <c r="BF205" t="s">
        <v>1022</v>
      </c>
      <c r="BG205" t="s">
        <v>364</v>
      </c>
      <c r="BH205" t="s">
        <v>1013</v>
      </c>
      <c r="BI205" t="s">
        <v>311</v>
      </c>
      <c r="BJ205" s="93">
        <v>45986</v>
      </c>
      <c r="BK205" s="93">
        <v>45986</v>
      </c>
      <c r="BL205" s="93">
        <v>45986</v>
      </c>
      <c r="BM205" s="93">
        <v>46716</v>
      </c>
      <c r="BN205" s="14">
        <v>1</v>
      </c>
      <c r="BO205" s="14">
        <v>30000000000</v>
      </c>
      <c r="BP205" s="56">
        <v>100</v>
      </c>
      <c r="BQ205" s="56">
        <v>0</v>
      </c>
      <c r="BR205" s="14">
        <v>30000000000</v>
      </c>
      <c r="BS205">
        <v>5.5</v>
      </c>
      <c r="BT205" t="s">
        <v>1184</v>
      </c>
      <c r="BU205" s="25">
        <f>_xlfn.XLOOKUP(Dealps_MSB[[#This Row],[DEAL_ID]],Ref!V:V,Ref!X:X,0,0)</f>
        <v>0</v>
      </c>
      <c r="BV205"/>
    </row>
    <row r="206" spans="1:74" x14ac:dyDescent="0.3">
      <c r="A206" s="93">
        <v>46262</v>
      </c>
      <c r="B206">
        <v>3461</v>
      </c>
      <c r="C206" s="56" t="s">
        <v>1061</v>
      </c>
      <c r="D206" t="s">
        <v>312</v>
      </c>
      <c r="E206" t="s">
        <v>315</v>
      </c>
      <c r="F206" t="s">
        <v>364</v>
      </c>
      <c r="G206" t="s">
        <v>310</v>
      </c>
      <c r="H206" t="s">
        <v>300</v>
      </c>
      <c r="I206" s="93">
        <v>46057</v>
      </c>
      <c r="J206" s="93">
        <v>46052</v>
      </c>
      <c r="K206" s="93">
        <v>46057</v>
      </c>
      <c r="L206" s="93">
        <v>46343</v>
      </c>
      <c r="M206" s="14">
        <v>1</v>
      </c>
      <c r="N206" s="14">
        <v>1500000000000</v>
      </c>
      <c r="O206" s="56">
        <v>100.16228043</v>
      </c>
      <c r="P206" s="56">
        <v>0</v>
      </c>
      <c r="Q206" s="14">
        <v>1522628727000</v>
      </c>
      <c r="R206">
        <v>6.0023439999999999</v>
      </c>
      <c r="S206" t="s">
        <v>1184</v>
      </c>
      <c r="T206" s="57">
        <f>IF(Dealps[[#This Row],[MATURITY_DATE]]-Dealps[[#This Row],[POSTED_DT]]&lt;0,0,IF(Dealps[[#This Row],[VALUE_DATE]]-Dealps[[#This Row],[POSTED_DT]]&gt;0,Dealps[[#This Row],[MATURITY_DATE]]-Dealps[[#This Row],[VALUE_DATE]],Dealps[[#This Row],[MATURITY_DATE]]-Dealps[[#This Row],[POSTED_DT]]))</f>
        <v>81</v>
      </c>
      <c r="U206" s="25">
        <f>IF(Dealps[[#This Row],[TENOR]]=0,0,IF(Dealps[[#This Row],[DEAL_TYPE]]="B",Dealps[[#This Row],[FACE_AMOUNT]],-Dealps[[#This Row],[FACE_AMOUNT]]))</f>
        <v>1500000000000</v>
      </c>
      <c r="V206" s="25">
        <f>_xlfn.XLOOKUP(Dealps[[#This Row],[PAPER_CODE]],FNRP!D:D,FNRP!H:H,0,0)/100*Dealps[[#This Row],[AMOUNT]]</f>
        <v>0</v>
      </c>
      <c r="W206" s="57" t="str">
        <f>IF(Dealps[[#This Row],[TRANSACTION_STATUS]]&lt;&gt;"V","Ngoai BS",IF(Dealps[[#This Row],[POSTED_DT]]&gt;=Dealps[[#This Row],[VALUE_DATE]],"On BS","Off BS"))</f>
        <v>On BS</v>
      </c>
      <c r="X206" s="25">
        <f>SUMIFS(U:U,C:C,Dealps[[#This Row],[PAPER_CODE]])</f>
        <v>1500000000000</v>
      </c>
      <c r="Y206" s="25">
        <f>_xlfn.XLOOKUP(Dealps[[#This Row],[DEAL_ID]],Ref!N:N,Ref!Q:Q,0,0)</f>
        <v>0</v>
      </c>
      <c r="Z206" s="25" t="str">
        <f>IF(Dealps[[#This Row],[CPTY_CODE]]=Dealps[[#This Row],[CPTY_CODE_ISSUER]],"Yes","No")</f>
        <v>No</v>
      </c>
      <c r="AA206" s="25"/>
      <c r="AC206" s="14"/>
      <c r="AG206" s="96"/>
      <c r="AH206" s="14"/>
      <c r="AI206"/>
      <c r="AN206" s="14"/>
      <c r="AV206" s="36"/>
      <c r="AW206" s="14"/>
      <c r="AX206" s="234"/>
      <c r="AY206" s="96"/>
      <c r="AZ206" s="14"/>
      <c r="BA206"/>
      <c r="BB206" s="93">
        <v>46262</v>
      </c>
      <c r="BC206">
        <v>3039</v>
      </c>
      <c r="BD206" s="56" t="s">
        <v>1024</v>
      </c>
      <c r="BE206" t="s">
        <v>1011</v>
      </c>
      <c r="BF206" t="s">
        <v>1022</v>
      </c>
      <c r="BG206" t="s">
        <v>364</v>
      </c>
      <c r="BH206" t="s">
        <v>1013</v>
      </c>
      <c r="BI206" t="s">
        <v>311</v>
      </c>
      <c r="BJ206" s="93">
        <v>45988</v>
      </c>
      <c r="BK206" s="93">
        <v>45988</v>
      </c>
      <c r="BL206" s="93">
        <v>45988</v>
      </c>
      <c r="BM206" s="93">
        <v>46683</v>
      </c>
      <c r="BN206" s="14">
        <v>1</v>
      </c>
      <c r="BO206" s="14">
        <v>10000000000</v>
      </c>
      <c r="BP206" s="56">
        <v>100</v>
      </c>
      <c r="BQ206" s="56">
        <v>0</v>
      </c>
      <c r="BR206" s="14">
        <v>10049863014</v>
      </c>
      <c r="BS206">
        <v>5.1593530000000003</v>
      </c>
      <c r="BT206" t="s">
        <v>1184</v>
      </c>
      <c r="BU206" s="25">
        <f>_xlfn.XLOOKUP(Dealps_MSB[[#This Row],[DEAL_ID]],Ref!V:V,Ref!X:X,0,0)</f>
        <v>0</v>
      </c>
      <c r="BV206"/>
    </row>
    <row r="207" spans="1:74" x14ac:dyDescent="0.3">
      <c r="A207" s="93">
        <v>46262</v>
      </c>
      <c r="B207">
        <v>3463</v>
      </c>
      <c r="C207" s="56" t="s">
        <v>1061</v>
      </c>
      <c r="D207" t="s">
        <v>312</v>
      </c>
      <c r="E207" t="s">
        <v>315</v>
      </c>
      <c r="F207" t="s">
        <v>364</v>
      </c>
      <c r="G207" t="s">
        <v>310</v>
      </c>
      <c r="H207" t="s">
        <v>311</v>
      </c>
      <c r="I207" s="93">
        <v>46057</v>
      </c>
      <c r="J207" s="93">
        <v>46057</v>
      </c>
      <c r="K207" s="93">
        <v>46058</v>
      </c>
      <c r="L207" s="93">
        <v>46343</v>
      </c>
      <c r="M207" s="14">
        <v>1</v>
      </c>
      <c r="N207" s="14">
        <v>600000000000</v>
      </c>
      <c r="O207" s="56">
        <v>100.162740356</v>
      </c>
      <c r="P207" s="56">
        <v>0</v>
      </c>
      <c r="Q207" s="14">
        <v>609157812000</v>
      </c>
      <c r="R207">
        <v>6</v>
      </c>
      <c r="S207" t="s">
        <v>1184</v>
      </c>
      <c r="T207" s="57">
        <f>IF(Dealps[[#This Row],[MATURITY_DATE]]-Dealps[[#This Row],[POSTED_DT]]&lt;0,0,IF(Dealps[[#This Row],[VALUE_DATE]]-Dealps[[#This Row],[POSTED_DT]]&gt;0,Dealps[[#This Row],[MATURITY_DATE]]-Dealps[[#This Row],[VALUE_DATE]],Dealps[[#This Row],[MATURITY_DATE]]-Dealps[[#This Row],[POSTED_DT]]))</f>
        <v>81</v>
      </c>
      <c r="U207" s="25">
        <f>IF(Dealps[[#This Row],[TENOR]]=0,0,IF(Dealps[[#This Row],[DEAL_TYPE]]="B",Dealps[[#This Row],[FACE_AMOUNT]],-Dealps[[#This Row],[FACE_AMOUNT]]))</f>
        <v>-600000000000</v>
      </c>
      <c r="V207" s="25">
        <f>_xlfn.XLOOKUP(Dealps[[#This Row],[PAPER_CODE]],FNRP!D:D,FNRP!H:H,0,0)/100*Dealps[[#This Row],[AMOUNT]]</f>
        <v>0</v>
      </c>
      <c r="W207" s="57" t="str">
        <f>IF(Dealps[[#This Row],[TRANSACTION_STATUS]]&lt;&gt;"V","Ngoai BS",IF(Dealps[[#This Row],[POSTED_DT]]&gt;=Dealps[[#This Row],[VALUE_DATE]],"On BS","Off BS"))</f>
        <v>On BS</v>
      </c>
      <c r="X207" s="25">
        <f>SUMIFS(U:U,C:C,Dealps[[#This Row],[PAPER_CODE]])</f>
        <v>1500000000000</v>
      </c>
      <c r="Y207" s="25">
        <f>_xlfn.XLOOKUP(Dealps[[#This Row],[DEAL_ID]],Ref!N:N,Ref!Q:Q,0,0)</f>
        <v>0</v>
      </c>
      <c r="Z207" s="25" t="str">
        <f>IF(Dealps[[#This Row],[CPTY_CODE]]=Dealps[[#This Row],[CPTY_CODE_ISSUER]],"Yes","No")</f>
        <v>No</v>
      </c>
      <c r="AA207" s="25"/>
      <c r="AC207" s="14"/>
      <c r="AG207" s="96"/>
      <c r="AH207" s="14"/>
      <c r="AI207"/>
      <c r="AN207" s="14"/>
      <c r="AV207" s="36"/>
      <c r="AW207" s="14"/>
      <c r="AX207" s="234"/>
      <c r="AY207" s="96"/>
      <c r="AZ207" s="14"/>
      <c r="BA207"/>
      <c r="BB207" s="93">
        <v>46262</v>
      </c>
      <c r="BC207">
        <v>3040</v>
      </c>
      <c r="BD207" s="56" t="s">
        <v>1067</v>
      </c>
      <c r="BE207" t="s">
        <v>1011</v>
      </c>
      <c r="BF207" t="s">
        <v>1022</v>
      </c>
      <c r="BG207" t="s">
        <v>364</v>
      </c>
      <c r="BH207" t="s">
        <v>1013</v>
      </c>
      <c r="BI207" t="s">
        <v>311</v>
      </c>
      <c r="BJ207" s="93">
        <v>45988</v>
      </c>
      <c r="BK207" s="93">
        <v>45988</v>
      </c>
      <c r="BL207" s="93">
        <v>45988</v>
      </c>
      <c r="BM207" s="93">
        <v>46716</v>
      </c>
      <c r="BN207" s="14">
        <v>1</v>
      </c>
      <c r="BO207" s="14">
        <v>20000000000</v>
      </c>
      <c r="BP207" s="56">
        <v>100</v>
      </c>
      <c r="BQ207" s="56">
        <v>0</v>
      </c>
      <c r="BR207" s="14">
        <v>20006027397</v>
      </c>
      <c r="BS207">
        <v>5.4983430000000002</v>
      </c>
      <c r="BT207" t="s">
        <v>1184</v>
      </c>
      <c r="BU207" s="25">
        <f>_xlfn.XLOOKUP(Dealps_MSB[[#This Row],[DEAL_ID]],Ref!V:V,Ref!X:X,0,0)</f>
        <v>0</v>
      </c>
      <c r="BV207"/>
    </row>
    <row r="208" spans="1:74" x14ac:dyDescent="0.3">
      <c r="A208" s="93">
        <v>46262</v>
      </c>
      <c r="B208">
        <v>3465</v>
      </c>
      <c r="C208" s="56" t="s">
        <v>1204</v>
      </c>
      <c r="D208" t="s">
        <v>315</v>
      </c>
      <c r="E208" t="s">
        <v>1205</v>
      </c>
      <c r="F208" t="s">
        <v>364</v>
      </c>
      <c r="G208" t="s">
        <v>310</v>
      </c>
      <c r="H208" t="s">
        <v>311</v>
      </c>
      <c r="I208" s="93">
        <v>46058</v>
      </c>
      <c r="J208" s="93">
        <v>46058</v>
      </c>
      <c r="K208" s="93">
        <v>46063</v>
      </c>
      <c r="L208" s="93">
        <v>46422</v>
      </c>
      <c r="M208" s="14">
        <v>1</v>
      </c>
      <c r="N208" s="14">
        <v>50000000000</v>
      </c>
      <c r="O208" s="56">
        <v>99.992088401000004</v>
      </c>
      <c r="P208" s="56">
        <v>0</v>
      </c>
      <c r="Q208" s="14">
        <v>50055551050</v>
      </c>
      <c r="R208">
        <v>7.24</v>
      </c>
      <c r="S208" t="s">
        <v>1184</v>
      </c>
      <c r="T208" s="57">
        <f>IF(Dealps[[#This Row],[MATURITY_DATE]]-Dealps[[#This Row],[POSTED_DT]]&lt;0,0,IF(Dealps[[#This Row],[VALUE_DATE]]-Dealps[[#This Row],[POSTED_DT]]&gt;0,Dealps[[#This Row],[MATURITY_DATE]]-Dealps[[#This Row],[VALUE_DATE]],Dealps[[#This Row],[MATURITY_DATE]]-Dealps[[#This Row],[POSTED_DT]]))</f>
        <v>160</v>
      </c>
      <c r="U208" s="25">
        <f>IF(Dealps[[#This Row],[TENOR]]=0,0,IF(Dealps[[#This Row],[DEAL_TYPE]]="B",Dealps[[#This Row],[FACE_AMOUNT]],-Dealps[[#This Row],[FACE_AMOUNT]]))</f>
        <v>-50000000000</v>
      </c>
      <c r="V208" s="25">
        <f>_xlfn.XLOOKUP(Dealps[[#This Row],[PAPER_CODE]],FNRP!D:D,FNRP!H:H,0,0)/100*Dealps[[#This Row],[AMOUNT]]</f>
        <v>0</v>
      </c>
      <c r="W208" s="57" t="str">
        <f>IF(Dealps[[#This Row],[TRANSACTION_STATUS]]&lt;&gt;"V","Ngoai BS",IF(Dealps[[#This Row],[POSTED_DT]]&gt;=Dealps[[#This Row],[VALUE_DATE]],"On BS","Off BS"))</f>
        <v>On BS</v>
      </c>
      <c r="X208" s="25">
        <f>SUMIFS(U:U,C:C,Dealps[[#This Row],[PAPER_CODE]])</f>
        <v>1000000000000</v>
      </c>
      <c r="Y208" s="25">
        <f>_xlfn.XLOOKUP(Dealps[[#This Row],[DEAL_ID]],Ref!N:N,Ref!Q:Q,0,0)</f>
        <v>0</v>
      </c>
      <c r="Z208" s="25" t="str">
        <f>IF(Dealps[[#This Row],[CPTY_CODE]]=Dealps[[#This Row],[CPTY_CODE_ISSUER]],"Yes","No")</f>
        <v>No</v>
      </c>
      <c r="AA208" s="25"/>
      <c r="AC208" s="14"/>
      <c r="AG208" s="96"/>
      <c r="AH208" s="14"/>
      <c r="AI208"/>
      <c r="AN208" s="14"/>
      <c r="AV208" s="36"/>
      <c r="AW208" s="14"/>
      <c r="AX208" s="234"/>
      <c r="AY208" s="96"/>
      <c r="AZ208" s="14"/>
      <c r="BA208"/>
      <c r="BB208" s="93">
        <v>46262</v>
      </c>
      <c r="BC208">
        <v>3059</v>
      </c>
      <c r="BD208" s="56" t="s">
        <v>1067</v>
      </c>
      <c r="BE208" t="s">
        <v>1011</v>
      </c>
      <c r="BF208" t="s">
        <v>1022</v>
      </c>
      <c r="BG208" t="s">
        <v>364</v>
      </c>
      <c r="BH208" t="s">
        <v>1013</v>
      </c>
      <c r="BI208" t="s">
        <v>311</v>
      </c>
      <c r="BJ208" s="93">
        <v>45992</v>
      </c>
      <c r="BK208" s="93">
        <v>45992</v>
      </c>
      <c r="BL208" s="93">
        <v>45992</v>
      </c>
      <c r="BM208" s="93">
        <v>46716</v>
      </c>
      <c r="BN208" s="14">
        <v>1</v>
      </c>
      <c r="BO208" s="14">
        <v>20000000000</v>
      </c>
      <c r="BP208" s="56">
        <v>100</v>
      </c>
      <c r="BQ208" s="56">
        <v>0</v>
      </c>
      <c r="BR208" s="14">
        <v>20018082192</v>
      </c>
      <c r="BS208">
        <v>5.4950320000000001</v>
      </c>
      <c r="BT208" t="s">
        <v>1184</v>
      </c>
      <c r="BU208" s="25">
        <f>_xlfn.XLOOKUP(Dealps_MSB[[#This Row],[DEAL_ID]],Ref!V:V,Ref!X:X,0,0)</f>
        <v>0</v>
      </c>
      <c r="BV208"/>
    </row>
    <row r="209" spans="1:74" x14ac:dyDescent="0.3">
      <c r="A209" s="93">
        <v>46262</v>
      </c>
      <c r="B209">
        <v>3467</v>
      </c>
      <c r="C209" s="56" t="s">
        <v>1204</v>
      </c>
      <c r="D209" t="s">
        <v>315</v>
      </c>
      <c r="E209" t="s">
        <v>1206</v>
      </c>
      <c r="F209" t="s">
        <v>364</v>
      </c>
      <c r="G209" t="s">
        <v>310</v>
      </c>
      <c r="H209" t="s">
        <v>311</v>
      </c>
      <c r="I209" s="93">
        <v>46058</v>
      </c>
      <c r="J209" s="93">
        <v>46058</v>
      </c>
      <c r="K209" s="93">
        <v>46059</v>
      </c>
      <c r="L209" s="93">
        <v>46422</v>
      </c>
      <c r="M209" s="14">
        <v>1</v>
      </c>
      <c r="N209" s="14">
        <v>200000000000</v>
      </c>
      <c r="O209" s="56">
        <v>99.997335367000005</v>
      </c>
      <c r="P209" s="56">
        <v>0</v>
      </c>
      <c r="Q209" s="14">
        <v>200074013200</v>
      </c>
      <c r="R209">
        <v>7.24</v>
      </c>
      <c r="S209" t="s">
        <v>1184</v>
      </c>
      <c r="T209" s="57">
        <f>IF(Dealps[[#This Row],[MATURITY_DATE]]-Dealps[[#This Row],[POSTED_DT]]&lt;0,0,IF(Dealps[[#This Row],[VALUE_DATE]]-Dealps[[#This Row],[POSTED_DT]]&gt;0,Dealps[[#This Row],[MATURITY_DATE]]-Dealps[[#This Row],[VALUE_DATE]],Dealps[[#This Row],[MATURITY_DATE]]-Dealps[[#This Row],[POSTED_DT]]))</f>
        <v>160</v>
      </c>
      <c r="U209" s="25">
        <f>IF(Dealps[[#This Row],[TENOR]]=0,0,IF(Dealps[[#This Row],[DEAL_TYPE]]="B",Dealps[[#This Row],[FACE_AMOUNT]],-Dealps[[#This Row],[FACE_AMOUNT]]))</f>
        <v>-200000000000</v>
      </c>
      <c r="V209" s="25">
        <f>_xlfn.XLOOKUP(Dealps[[#This Row],[PAPER_CODE]],FNRP!D:D,FNRP!H:H,0,0)/100*Dealps[[#This Row],[AMOUNT]]</f>
        <v>0</v>
      </c>
      <c r="W209" s="57" t="str">
        <f>IF(Dealps[[#This Row],[TRANSACTION_STATUS]]&lt;&gt;"V","Ngoai BS",IF(Dealps[[#This Row],[POSTED_DT]]&gt;=Dealps[[#This Row],[VALUE_DATE]],"On BS","Off BS"))</f>
        <v>On BS</v>
      </c>
      <c r="X209" s="25">
        <f>SUMIFS(U:U,C:C,Dealps[[#This Row],[PAPER_CODE]])</f>
        <v>1000000000000</v>
      </c>
      <c r="Y209" s="25">
        <f>_xlfn.XLOOKUP(Dealps[[#This Row],[DEAL_ID]],Ref!N:N,Ref!Q:Q,0,0)</f>
        <v>0</v>
      </c>
      <c r="Z209" s="25" t="str">
        <f>IF(Dealps[[#This Row],[CPTY_CODE]]=Dealps[[#This Row],[CPTY_CODE_ISSUER]],"Yes","No")</f>
        <v>No</v>
      </c>
      <c r="AA209" s="25"/>
      <c r="AC209" s="14"/>
      <c r="AG209" s="96"/>
      <c r="AH209" s="14"/>
      <c r="AI209"/>
      <c r="AN209" s="14"/>
      <c r="AV209" s="36"/>
      <c r="AW209" s="14"/>
      <c r="AX209" s="234"/>
      <c r="AY209" s="96"/>
      <c r="AZ209" s="14"/>
      <c r="BA209"/>
      <c r="BB209" s="93">
        <v>46262</v>
      </c>
      <c r="BC209">
        <v>3060</v>
      </c>
      <c r="BD209" s="56" t="s">
        <v>1067</v>
      </c>
      <c r="BE209" t="s">
        <v>1011</v>
      </c>
      <c r="BF209" t="s">
        <v>1022</v>
      </c>
      <c r="BG209" t="s">
        <v>364</v>
      </c>
      <c r="BH209" t="s">
        <v>1013</v>
      </c>
      <c r="BI209" t="s">
        <v>311</v>
      </c>
      <c r="BJ209" s="93">
        <v>45992</v>
      </c>
      <c r="BK209" s="93">
        <v>45992</v>
      </c>
      <c r="BL209" s="93">
        <v>45992</v>
      </c>
      <c r="BM209" s="93">
        <v>46716</v>
      </c>
      <c r="BN209" s="14">
        <v>1</v>
      </c>
      <c r="BO209" s="14">
        <v>30000000000</v>
      </c>
      <c r="BP209" s="56">
        <v>100</v>
      </c>
      <c r="BQ209" s="56">
        <v>0</v>
      </c>
      <c r="BR209" s="14">
        <v>30027123287.999996</v>
      </c>
      <c r="BS209">
        <v>5.4950320000000001</v>
      </c>
      <c r="BT209" t="s">
        <v>1184</v>
      </c>
      <c r="BU209" s="25">
        <f>_xlfn.XLOOKUP(Dealps_MSB[[#This Row],[DEAL_ID]],Ref!V:V,Ref!X:X,0,0)</f>
        <v>0</v>
      </c>
      <c r="BV209"/>
    </row>
    <row r="210" spans="1:74" x14ac:dyDescent="0.3">
      <c r="A210" s="93">
        <v>46262</v>
      </c>
      <c r="B210">
        <v>3474</v>
      </c>
      <c r="C210" s="56" t="s">
        <v>1207</v>
      </c>
      <c r="D210" t="s">
        <v>384</v>
      </c>
      <c r="E210" t="s">
        <v>384</v>
      </c>
      <c r="F210" t="s">
        <v>364</v>
      </c>
      <c r="G210" t="s">
        <v>310</v>
      </c>
      <c r="H210" t="s">
        <v>300</v>
      </c>
      <c r="I210" s="93">
        <v>46062</v>
      </c>
      <c r="J210" s="93">
        <v>46062</v>
      </c>
      <c r="K210" s="93">
        <v>46063</v>
      </c>
      <c r="L210" s="93">
        <v>46419</v>
      </c>
      <c r="M210" s="14">
        <v>1</v>
      </c>
      <c r="N210" s="14">
        <v>200000000000</v>
      </c>
      <c r="O210" s="56">
        <v>100</v>
      </c>
      <c r="P210" s="56">
        <v>0</v>
      </c>
      <c r="Q210" s="14">
        <v>200000000000</v>
      </c>
      <c r="R210">
        <v>8</v>
      </c>
      <c r="S210" t="s">
        <v>1184</v>
      </c>
      <c r="T210" s="57">
        <f>IF(Dealps[[#This Row],[MATURITY_DATE]]-Dealps[[#This Row],[POSTED_DT]]&lt;0,0,IF(Dealps[[#This Row],[VALUE_DATE]]-Dealps[[#This Row],[POSTED_DT]]&gt;0,Dealps[[#This Row],[MATURITY_DATE]]-Dealps[[#This Row],[VALUE_DATE]],Dealps[[#This Row],[MATURITY_DATE]]-Dealps[[#This Row],[POSTED_DT]]))</f>
        <v>157</v>
      </c>
      <c r="U210" s="25">
        <f>IF(Dealps[[#This Row],[TENOR]]=0,0,IF(Dealps[[#This Row],[DEAL_TYPE]]="B",Dealps[[#This Row],[FACE_AMOUNT]],-Dealps[[#This Row],[FACE_AMOUNT]]))</f>
        <v>200000000000</v>
      </c>
      <c r="V210" s="25">
        <f>_xlfn.XLOOKUP(Dealps[[#This Row],[PAPER_CODE]],FNRP!D:D,FNRP!H:H,0,0)/100*Dealps[[#This Row],[AMOUNT]]</f>
        <v>0</v>
      </c>
      <c r="W210" s="57" t="str">
        <f>IF(Dealps[[#This Row],[TRANSACTION_STATUS]]&lt;&gt;"V","Ngoai BS",IF(Dealps[[#This Row],[POSTED_DT]]&gt;=Dealps[[#This Row],[VALUE_DATE]],"On BS","Off BS"))</f>
        <v>On BS</v>
      </c>
      <c r="X210" s="25">
        <f>SUMIFS(U:U,C:C,Dealps[[#This Row],[PAPER_CODE]])</f>
        <v>200000000000</v>
      </c>
      <c r="Y210" s="25">
        <f>_xlfn.XLOOKUP(Dealps[[#This Row],[DEAL_ID]],Ref!N:N,Ref!Q:Q,0,0)</f>
        <v>0</v>
      </c>
      <c r="Z210" s="25" t="str">
        <f>IF(Dealps[[#This Row],[CPTY_CODE]]=Dealps[[#This Row],[CPTY_CODE_ISSUER]],"Yes","No")</f>
        <v>Yes</v>
      </c>
      <c r="AA210" s="25"/>
      <c r="AC210" s="14"/>
      <c r="AG210" s="96"/>
      <c r="AH210" s="14"/>
      <c r="AI210"/>
      <c r="AN210" s="14"/>
      <c r="AV210" s="36"/>
      <c r="AW210" s="14"/>
      <c r="AX210" s="234"/>
      <c r="AY210" s="96"/>
      <c r="AZ210" s="14"/>
      <c r="BA210"/>
      <c r="BB210" s="93">
        <v>46262</v>
      </c>
      <c r="BC210">
        <v>3115</v>
      </c>
      <c r="BD210" s="56" t="s">
        <v>1067</v>
      </c>
      <c r="BE210" t="s">
        <v>1011</v>
      </c>
      <c r="BF210" t="s">
        <v>1022</v>
      </c>
      <c r="BG210" t="s">
        <v>364</v>
      </c>
      <c r="BH210" t="s">
        <v>1013</v>
      </c>
      <c r="BI210" t="s">
        <v>311</v>
      </c>
      <c r="BJ210" s="93">
        <v>45999</v>
      </c>
      <c r="BK210" s="93">
        <v>45999</v>
      </c>
      <c r="BL210" s="93">
        <v>45999</v>
      </c>
      <c r="BM210" s="93">
        <v>46716</v>
      </c>
      <c r="BN210" s="14">
        <v>1</v>
      </c>
      <c r="BO210" s="14">
        <v>20000000000</v>
      </c>
      <c r="BP210" s="56">
        <v>100</v>
      </c>
      <c r="BQ210" s="56">
        <v>0</v>
      </c>
      <c r="BR210" s="14">
        <v>20039178082</v>
      </c>
      <c r="BS210">
        <v>5.4892469999999998</v>
      </c>
      <c r="BT210" t="s">
        <v>1184</v>
      </c>
      <c r="BU210" s="25">
        <f>_xlfn.XLOOKUP(Dealps_MSB[[#This Row],[DEAL_ID]],Ref!V:V,Ref!X:X,0,0)</f>
        <v>0</v>
      </c>
      <c r="BV210"/>
    </row>
    <row r="211" spans="1:74" x14ac:dyDescent="0.3">
      <c r="A211" s="93">
        <v>46262</v>
      </c>
      <c r="B211">
        <v>3484</v>
      </c>
      <c r="C211" s="56" t="s">
        <v>1204</v>
      </c>
      <c r="D211" t="s">
        <v>315</v>
      </c>
      <c r="E211" t="s">
        <v>1205</v>
      </c>
      <c r="F211" t="s">
        <v>364</v>
      </c>
      <c r="G211" t="s">
        <v>310</v>
      </c>
      <c r="H211" t="s">
        <v>311</v>
      </c>
      <c r="I211" s="93">
        <v>46062</v>
      </c>
      <c r="J211" s="93">
        <v>46058</v>
      </c>
      <c r="K211" s="93">
        <v>46064</v>
      </c>
      <c r="L211" s="93">
        <v>46422</v>
      </c>
      <c r="M211" s="14">
        <v>1</v>
      </c>
      <c r="N211" s="14">
        <v>50000000000</v>
      </c>
      <c r="O211" s="56">
        <v>99.990793885000002</v>
      </c>
      <c r="P211" s="56">
        <v>0</v>
      </c>
      <c r="Q211" s="14">
        <v>50064821600</v>
      </c>
      <c r="R211">
        <v>7.24</v>
      </c>
      <c r="S211" t="s">
        <v>1184</v>
      </c>
      <c r="T211" s="57">
        <f>IF(Dealps[[#This Row],[MATURITY_DATE]]-Dealps[[#This Row],[POSTED_DT]]&lt;0,0,IF(Dealps[[#This Row],[VALUE_DATE]]-Dealps[[#This Row],[POSTED_DT]]&gt;0,Dealps[[#This Row],[MATURITY_DATE]]-Dealps[[#This Row],[VALUE_DATE]],Dealps[[#This Row],[MATURITY_DATE]]-Dealps[[#This Row],[POSTED_DT]]))</f>
        <v>160</v>
      </c>
      <c r="U211" s="25">
        <f>IF(Dealps[[#This Row],[TENOR]]=0,0,IF(Dealps[[#This Row],[DEAL_TYPE]]="B",Dealps[[#This Row],[FACE_AMOUNT]],-Dealps[[#This Row],[FACE_AMOUNT]]))</f>
        <v>-50000000000</v>
      </c>
      <c r="V211" s="25">
        <f>_xlfn.XLOOKUP(Dealps[[#This Row],[PAPER_CODE]],FNRP!D:D,FNRP!H:H,0,0)/100*Dealps[[#This Row],[AMOUNT]]</f>
        <v>0</v>
      </c>
      <c r="W211" s="57" t="str">
        <f>IF(Dealps[[#This Row],[TRANSACTION_STATUS]]&lt;&gt;"V","Ngoai BS",IF(Dealps[[#This Row],[POSTED_DT]]&gt;=Dealps[[#This Row],[VALUE_DATE]],"On BS","Off BS"))</f>
        <v>On BS</v>
      </c>
      <c r="X211" s="25">
        <f>SUMIFS(U:U,C:C,Dealps[[#This Row],[PAPER_CODE]])</f>
        <v>1000000000000</v>
      </c>
      <c r="Y211" s="25">
        <f>_xlfn.XLOOKUP(Dealps[[#This Row],[DEAL_ID]],Ref!N:N,Ref!Q:Q,0,0)</f>
        <v>0</v>
      </c>
      <c r="Z211" s="25" t="str">
        <f>IF(Dealps[[#This Row],[CPTY_CODE]]=Dealps[[#This Row],[CPTY_CODE_ISSUER]],"Yes","No")</f>
        <v>No</v>
      </c>
      <c r="AA211" s="25"/>
      <c r="AC211" s="14"/>
      <c r="AG211" s="96"/>
      <c r="AH211" s="14"/>
      <c r="AI211"/>
      <c r="AN211" s="14"/>
      <c r="AV211" s="36"/>
      <c r="AW211" s="14"/>
      <c r="AX211" s="234"/>
      <c r="AY211" s="96"/>
      <c r="AZ211" s="14"/>
      <c r="BA211"/>
      <c r="BB211" s="93">
        <v>46262</v>
      </c>
      <c r="BC211">
        <v>3116</v>
      </c>
      <c r="BD211" s="56" t="s">
        <v>1067</v>
      </c>
      <c r="BE211" t="s">
        <v>1011</v>
      </c>
      <c r="BF211" t="s">
        <v>1022</v>
      </c>
      <c r="BG211" t="s">
        <v>364</v>
      </c>
      <c r="BH211" t="s">
        <v>1013</v>
      </c>
      <c r="BI211" t="s">
        <v>311</v>
      </c>
      <c r="BJ211" s="93">
        <v>45999</v>
      </c>
      <c r="BK211" s="93">
        <v>45999</v>
      </c>
      <c r="BL211" s="93">
        <v>45999</v>
      </c>
      <c r="BM211" s="93">
        <v>46716</v>
      </c>
      <c r="BN211" s="14">
        <v>1</v>
      </c>
      <c r="BO211" s="14">
        <v>30000000000</v>
      </c>
      <c r="BP211" s="56">
        <v>100</v>
      </c>
      <c r="BQ211" s="56">
        <v>0</v>
      </c>
      <c r="BR211" s="14">
        <v>30058767123</v>
      </c>
      <c r="BS211">
        <v>5.4892469999999998</v>
      </c>
      <c r="BT211" t="s">
        <v>1184</v>
      </c>
      <c r="BU211" s="25">
        <f>_xlfn.XLOOKUP(Dealps_MSB[[#This Row],[DEAL_ID]],Ref!V:V,Ref!X:X,0,0)</f>
        <v>0</v>
      </c>
      <c r="BV211"/>
    </row>
    <row r="212" spans="1:74" x14ac:dyDescent="0.3">
      <c r="A212" s="93">
        <v>46262</v>
      </c>
      <c r="B212">
        <v>3490</v>
      </c>
      <c r="C212" s="56" t="s">
        <v>1158</v>
      </c>
      <c r="D212" t="s">
        <v>327</v>
      </c>
      <c r="E212" t="s">
        <v>322</v>
      </c>
      <c r="F212" t="s">
        <v>364</v>
      </c>
      <c r="G212" t="s">
        <v>310</v>
      </c>
      <c r="H212" t="s">
        <v>300</v>
      </c>
      <c r="I212" s="93">
        <v>46063</v>
      </c>
      <c r="J212" s="93">
        <v>46050</v>
      </c>
      <c r="K212" s="93">
        <v>46063</v>
      </c>
      <c r="L212" s="93">
        <v>46409</v>
      </c>
      <c r="M212" s="14">
        <v>1</v>
      </c>
      <c r="N212" s="14">
        <v>1000000000000</v>
      </c>
      <c r="O212" s="56">
        <v>100.095536817</v>
      </c>
      <c r="P212" s="56">
        <v>0</v>
      </c>
      <c r="Q212" s="14">
        <v>1004506053095.9999</v>
      </c>
      <c r="R212">
        <v>7.0673709999999996</v>
      </c>
      <c r="S212" t="s">
        <v>1184</v>
      </c>
      <c r="T212" s="57">
        <f>IF(Dealps[[#This Row],[MATURITY_DATE]]-Dealps[[#This Row],[POSTED_DT]]&lt;0,0,IF(Dealps[[#This Row],[VALUE_DATE]]-Dealps[[#This Row],[POSTED_DT]]&gt;0,Dealps[[#This Row],[MATURITY_DATE]]-Dealps[[#This Row],[VALUE_DATE]],Dealps[[#This Row],[MATURITY_DATE]]-Dealps[[#This Row],[POSTED_DT]]))</f>
        <v>147</v>
      </c>
      <c r="U212" s="25">
        <f>IF(Dealps[[#This Row],[TENOR]]=0,0,IF(Dealps[[#This Row],[DEAL_TYPE]]="B",Dealps[[#This Row],[FACE_AMOUNT]],-Dealps[[#This Row],[FACE_AMOUNT]]))</f>
        <v>1000000000000</v>
      </c>
      <c r="V212" s="25">
        <f>_xlfn.XLOOKUP(Dealps[[#This Row],[PAPER_CODE]],FNRP!D:D,FNRP!H:H,0,0)/100*Dealps[[#This Row],[AMOUNT]]</f>
        <v>0</v>
      </c>
      <c r="W212" s="57" t="str">
        <f>IF(Dealps[[#This Row],[TRANSACTION_STATUS]]&lt;&gt;"V","Ngoai BS",IF(Dealps[[#This Row],[POSTED_DT]]&gt;=Dealps[[#This Row],[VALUE_DATE]],"On BS","Off BS"))</f>
        <v>On BS</v>
      </c>
      <c r="X212" s="25">
        <f>SUMIFS(U:U,C:C,Dealps[[#This Row],[PAPER_CODE]])</f>
        <v>2000000000000</v>
      </c>
      <c r="Y212" s="25">
        <f>_xlfn.XLOOKUP(Dealps[[#This Row],[DEAL_ID]],Ref!N:N,Ref!Q:Q,0,0)</f>
        <v>0</v>
      </c>
      <c r="Z212" s="25" t="str">
        <f>IF(Dealps[[#This Row],[CPTY_CODE]]=Dealps[[#This Row],[CPTY_CODE_ISSUER]],"Yes","No")</f>
        <v>No</v>
      </c>
      <c r="AA212" s="25"/>
      <c r="AC212" s="14"/>
      <c r="AG212" s="96"/>
      <c r="AH212" s="14"/>
      <c r="AI212"/>
      <c r="AN212" s="14"/>
      <c r="AV212" s="36"/>
      <c r="AW212" s="14"/>
      <c r="AX212" s="234"/>
      <c r="AY212" s="96"/>
      <c r="AZ212" s="14"/>
      <c r="BA212"/>
      <c r="BB212" s="93">
        <v>46262</v>
      </c>
      <c r="BC212">
        <v>3147</v>
      </c>
      <c r="BD212" s="56" t="s">
        <v>1067</v>
      </c>
      <c r="BE212" t="s">
        <v>1011</v>
      </c>
      <c r="BF212" t="s">
        <v>1022</v>
      </c>
      <c r="BG212" t="s">
        <v>364</v>
      </c>
      <c r="BH212" t="s">
        <v>1013</v>
      </c>
      <c r="BI212" t="s">
        <v>311</v>
      </c>
      <c r="BJ212" s="93">
        <v>46002</v>
      </c>
      <c r="BK212" s="93">
        <v>46002</v>
      </c>
      <c r="BL212" s="93">
        <v>46002</v>
      </c>
      <c r="BM212" s="93">
        <v>46716</v>
      </c>
      <c r="BN212" s="14">
        <v>1</v>
      </c>
      <c r="BO212" s="14">
        <v>20000000000</v>
      </c>
      <c r="BP212" s="56">
        <v>100</v>
      </c>
      <c r="BQ212" s="56">
        <v>0</v>
      </c>
      <c r="BR212" s="14">
        <v>20048219178</v>
      </c>
      <c r="BS212">
        <v>5.4867720000000002</v>
      </c>
      <c r="BT212" t="s">
        <v>1184</v>
      </c>
      <c r="BU212" s="25">
        <f>_xlfn.XLOOKUP(Dealps_MSB[[#This Row],[DEAL_ID]],Ref!V:V,Ref!X:X,0,0)</f>
        <v>0</v>
      </c>
      <c r="BV212"/>
    </row>
    <row r="213" spans="1:74" x14ac:dyDescent="0.3">
      <c r="A213" s="93">
        <v>46262</v>
      </c>
      <c r="B213">
        <v>3496</v>
      </c>
      <c r="C213" s="56" t="s">
        <v>1210</v>
      </c>
      <c r="D213" t="s">
        <v>316</v>
      </c>
      <c r="E213" t="s">
        <v>1152</v>
      </c>
      <c r="F213" t="s">
        <v>364</v>
      </c>
      <c r="G213" t="s">
        <v>310</v>
      </c>
      <c r="H213" t="s">
        <v>300</v>
      </c>
      <c r="I213" s="93">
        <v>46063</v>
      </c>
      <c r="J213" s="93">
        <v>46063</v>
      </c>
      <c r="K213" s="93">
        <v>46064</v>
      </c>
      <c r="L213" s="93">
        <v>46406</v>
      </c>
      <c r="M213" s="14">
        <v>1</v>
      </c>
      <c r="N213" s="14">
        <v>400000000000</v>
      </c>
      <c r="O213" s="56">
        <v>100.58829516</v>
      </c>
      <c r="P213" s="56">
        <v>0</v>
      </c>
      <c r="Q213" s="14">
        <v>404243591600</v>
      </c>
      <c r="R213">
        <v>6.8</v>
      </c>
      <c r="S213" t="s">
        <v>1184</v>
      </c>
      <c r="T213" s="57">
        <f>IF(Dealps[[#This Row],[MATURITY_DATE]]-Dealps[[#This Row],[POSTED_DT]]&lt;0,0,IF(Dealps[[#This Row],[VALUE_DATE]]-Dealps[[#This Row],[POSTED_DT]]&gt;0,Dealps[[#This Row],[MATURITY_DATE]]-Dealps[[#This Row],[VALUE_DATE]],Dealps[[#This Row],[MATURITY_DATE]]-Dealps[[#This Row],[POSTED_DT]]))</f>
        <v>144</v>
      </c>
      <c r="U213" s="25">
        <f>IF(Dealps[[#This Row],[TENOR]]=0,0,IF(Dealps[[#This Row],[DEAL_TYPE]]="B",Dealps[[#This Row],[FACE_AMOUNT]],-Dealps[[#This Row],[FACE_AMOUNT]]))</f>
        <v>400000000000</v>
      </c>
      <c r="V213" s="25">
        <f>_xlfn.XLOOKUP(Dealps[[#This Row],[PAPER_CODE]],FNRP!D:D,FNRP!H:H,0,0)/100*Dealps[[#This Row],[AMOUNT]]</f>
        <v>0</v>
      </c>
      <c r="W213" s="57" t="str">
        <f>IF(Dealps[[#This Row],[TRANSACTION_STATUS]]&lt;&gt;"V","Ngoai BS",IF(Dealps[[#This Row],[POSTED_DT]]&gt;=Dealps[[#This Row],[VALUE_DATE]],"On BS","Off BS"))</f>
        <v>On BS</v>
      </c>
      <c r="X213" s="25">
        <f>SUMIFS(U:U,C:C,Dealps[[#This Row],[PAPER_CODE]])</f>
        <v>0</v>
      </c>
      <c r="Y213" s="25">
        <f>_xlfn.XLOOKUP(Dealps[[#This Row],[DEAL_ID]],Ref!N:N,Ref!Q:Q,0,0)</f>
        <v>0</v>
      </c>
      <c r="Z213" s="25" t="str">
        <f>IF(Dealps[[#This Row],[CPTY_CODE]]=Dealps[[#This Row],[CPTY_CODE_ISSUER]],"Yes","No")</f>
        <v>No</v>
      </c>
      <c r="AA213" s="25"/>
      <c r="AC213" s="14"/>
      <c r="AG213" s="96"/>
      <c r="AH213" s="14"/>
      <c r="AI213"/>
      <c r="AN213" s="14"/>
      <c r="AV213" s="36"/>
      <c r="AW213" s="14"/>
      <c r="AX213" s="234"/>
      <c r="AY213" s="96"/>
      <c r="AZ213" s="14"/>
      <c r="BA213"/>
      <c r="BB213" s="93">
        <v>46262</v>
      </c>
      <c r="BC213">
        <v>3186</v>
      </c>
      <c r="BD213" s="56" t="s">
        <v>1067</v>
      </c>
      <c r="BE213" t="s">
        <v>1011</v>
      </c>
      <c r="BF213" t="s">
        <v>1022</v>
      </c>
      <c r="BG213" t="s">
        <v>364</v>
      </c>
      <c r="BH213" t="s">
        <v>1013</v>
      </c>
      <c r="BI213" t="s">
        <v>311</v>
      </c>
      <c r="BJ213" s="93">
        <v>46009</v>
      </c>
      <c r="BK213" s="93">
        <v>46009</v>
      </c>
      <c r="BL213" s="93">
        <v>46009</v>
      </c>
      <c r="BM213" s="93">
        <v>46716</v>
      </c>
      <c r="BN213" s="14">
        <v>1</v>
      </c>
      <c r="BO213" s="14">
        <v>40000000000</v>
      </c>
      <c r="BP213" s="56">
        <v>100</v>
      </c>
      <c r="BQ213" s="56">
        <v>0</v>
      </c>
      <c r="BR213" s="14">
        <v>40138630137</v>
      </c>
      <c r="BS213">
        <v>5.4810040000000004</v>
      </c>
      <c r="BT213" t="s">
        <v>1184</v>
      </c>
      <c r="BU213" s="25">
        <f>_xlfn.XLOOKUP(Dealps_MSB[[#This Row],[DEAL_ID]],Ref!V:V,Ref!X:X,0,0)</f>
        <v>0</v>
      </c>
      <c r="BV213"/>
    </row>
    <row r="214" spans="1:74" x14ac:dyDescent="0.3">
      <c r="A214" s="93">
        <v>46262</v>
      </c>
      <c r="B214">
        <v>3497</v>
      </c>
      <c r="C214" s="56" t="s">
        <v>1204</v>
      </c>
      <c r="D214" t="s">
        <v>315</v>
      </c>
      <c r="E214" t="s">
        <v>326</v>
      </c>
      <c r="F214" t="s">
        <v>364</v>
      </c>
      <c r="G214" t="s">
        <v>310</v>
      </c>
      <c r="H214" t="s">
        <v>311</v>
      </c>
      <c r="I214" s="93">
        <v>46063</v>
      </c>
      <c r="J214" s="93">
        <v>46065</v>
      </c>
      <c r="K214" s="93">
        <v>46065</v>
      </c>
      <c r="L214" s="93">
        <v>46422</v>
      </c>
      <c r="M214" s="14">
        <v>1</v>
      </c>
      <c r="N214" s="14">
        <v>450000000000</v>
      </c>
      <c r="O214" s="56">
        <v>100.044421468</v>
      </c>
      <c r="P214" s="56">
        <v>0</v>
      </c>
      <c r="Q214" s="14">
        <v>450913978800</v>
      </c>
      <c r="R214">
        <v>7.18</v>
      </c>
      <c r="S214" t="s">
        <v>1184</v>
      </c>
      <c r="T214" s="57">
        <f>IF(Dealps[[#This Row],[MATURITY_DATE]]-Dealps[[#This Row],[POSTED_DT]]&lt;0,0,IF(Dealps[[#This Row],[VALUE_DATE]]-Dealps[[#This Row],[POSTED_DT]]&gt;0,Dealps[[#This Row],[MATURITY_DATE]]-Dealps[[#This Row],[VALUE_DATE]],Dealps[[#This Row],[MATURITY_DATE]]-Dealps[[#This Row],[POSTED_DT]]))</f>
        <v>160</v>
      </c>
      <c r="U214" s="25">
        <f>IF(Dealps[[#This Row],[TENOR]]=0,0,IF(Dealps[[#This Row],[DEAL_TYPE]]="B",Dealps[[#This Row],[FACE_AMOUNT]],-Dealps[[#This Row],[FACE_AMOUNT]]))</f>
        <v>-450000000000</v>
      </c>
      <c r="V214" s="25">
        <f>_xlfn.XLOOKUP(Dealps[[#This Row],[PAPER_CODE]],FNRP!D:D,FNRP!H:H,0,0)/100*Dealps[[#This Row],[AMOUNT]]</f>
        <v>0</v>
      </c>
      <c r="W214" s="57" t="str">
        <f>IF(Dealps[[#This Row],[TRANSACTION_STATUS]]&lt;&gt;"V","Ngoai BS",IF(Dealps[[#This Row],[POSTED_DT]]&gt;=Dealps[[#This Row],[VALUE_DATE]],"On BS","Off BS"))</f>
        <v>On BS</v>
      </c>
      <c r="X214" s="25">
        <f>SUMIFS(U:U,C:C,Dealps[[#This Row],[PAPER_CODE]])</f>
        <v>1000000000000</v>
      </c>
      <c r="Y214" s="25">
        <f>_xlfn.XLOOKUP(Dealps[[#This Row],[DEAL_ID]],Ref!N:N,Ref!Q:Q,0,0)</f>
        <v>0</v>
      </c>
      <c r="Z214" s="25" t="str">
        <f>IF(Dealps[[#This Row],[CPTY_CODE]]=Dealps[[#This Row],[CPTY_CODE_ISSUER]],"Yes","No")</f>
        <v>No</v>
      </c>
      <c r="AA214" s="25"/>
      <c r="AC214" s="14"/>
      <c r="AG214" s="96"/>
      <c r="AH214" s="14"/>
      <c r="AI214"/>
      <c r="AN214" s="14"/>
      <c r="AV214" s="36"/>
      <c r="AW214" s="14"/>
      <c r="AX214" s="234"/>
      <c r="AY214" s="96"/>
      <c r="AZ214" s="14"/>
      <c r="BA214"/>
      <c r="BB214" s="93">
        <v>46262</v>
      </c>
      <c r="BC214">
        <v>3187</v>
      </c>
      <c r="BD214" s="56" t="s">
        <v>1067</v>
      </c>
      <c r="BE214" t="s">
        <v>1011</v>
      </c>
      <c r="BF214" t="s">
        <v>1022</v>
      </c>
      <c r="BG214" t="s">
        <v>364</v>
      </c>
      <c r="BH214" t="s">
        <v>1013</v>
      </c>
      <c r="BI214" t="s">
        <v>311</v>
      </c>
      <c r="BJ214" s="93">
        <v>46009</v>
      </c>
      <c r="BK214" s="93">
        <v>46009</v>
      </c>
      <c r="BL214" s="93">
        <v>46009</v>
      </c>
      <c r="BM214" s="93">
        <v>46716</v>
      </c>
      <c r="BN214" s="14">
        <v>1</v>
      </c>
      <c r="BO214" s="14">
        <v>30000000000</v>
      </c>
      <c r="BP214" s="56">
        <v>100</v>
      </c>
      <c r="BQ214" s="56">
        <v>0</v>
      </c>
      <c r="BR214" s="14">
        <v>30103972603.000004</v>
      </c>
      <c r="BS214">
        <v>5.4810040000000004</v>
      </c>
      <c r="BT214" t="s">
        <v>1184</v>
      </c>
      <c r="BU214" s="25">
        <f>_xlfn.XLOOKUP(Dealps_MSB[[#This Row],[DEAL_ID]],Ref!V:V,Ref!X:X,0,0)</f>
        <v>0</v>
      </c>
      <c r="BV214"/>
    </row>
    <row r="215" spans="1:74" x14ac:dyDescent="0.3">
      <c r="A215" s="93">
        <v>46262</v>
      </c>
      <c r="B215">
        <v>3498</v>
      </c>
      <c r="C215" s="56" t="s">
        <v>1208</v>
      </c>
      <c r="D215" t="s">
        <v>316</v>
      </c>
      <c r="E215" t="s">
        <v>1152</v>
      </c>
      <c r="F215" t="s">
        <v>364</v>
      </c>
      <c r="G215" t="s">
        <v>310</v>
      </c>
      <c r="H215" t="s">
        <v>300</v>
      </c>
      <c r="I215" s="93">
        <v>46063</v>
      </c>
      <c r="J215" s="93">
        <v>46063</v>
      </c>
      <c r="K215" s="93">
        <v>46065</v>
      </c>
      <c r="L215" s="93">
        <v>46395</v>
      </c>
      <c r="M215" s="14">
        <v>1</v>
      </c>
      <c r="N215" s="14">
        <v>200000000000</v>
      </c>
      <c r="O215" s="56">
        <v>100.554567518</v>
      </c>
      <c r="P215" s="56">
        <v>0</v>
      </c>
      <c r="Q215" s="14">
        <v>202547491200</v>
      </c>
      <c r="R215">
        <v>6.8</v>
      </c>
      <c r="S215" t="s">
        <v>1184</v>
      </c>
      <c r="T215" s="57">
        <f>IF(Dealps[[#This Row],[MATURITY_DATE]]-Dealps[[#This Row],[POSTED_DT]]&lt;0,0,IF(Dealps[[#This Row],[VALUE_DATE]]-Dealps[[#This Row],[POSTED_DT]]&gt;0,Dealps[[#This Row],[MATURITY_DATE]]-Dealps[[#This Row],[VALUE_DATE]],Dealps[[#This Row],[MATURITY_DATE]]-Dealps[[#This Row],[POSTED_DT]]))</f>
        <v>133</v>
      </c>
      <c r="U215" s="25">
        <f>IF(Dealps[[#This Row],[TENOR]]=0,0,IF(Dealps[[#This Row],[DEAL_TYPE]]="B",Dealps[[#This Row],[FACE_AMOUNT]],-Dealps[[#This Row],[FACE_AMOUNT]]))</f>
        <v>200000000000</v>
      </c>
      <c r="V215" s="25">
        <f>_xlfn.XLOOKUP(Dealps[[#This Row],[PAPER_CODE]],FNRP!D:D,FNRP!H:H,0,0)/100*Dealps[[#This Row],[AMOUNT]]</f>
        <v>0</v>
      </c>
      <c r="W215" s="57" t="str">
        <f>IF(Dealps[[#This Row],[TRANSACTION_STATUS]]&lt;&gt;"V","Ngoai BS",IF(Dealps[[#This Row],[POSTED_DT]]&gt;=Dealps[[#This Row],[VALUE_DATE]],"On BS","Off BS"))</f>
        <v>On BS</v>
      </c>
      <c r="X215" s="25">
        <f>SUMIFS(U:U,C:C,Dealps[[#This Row],[PAPER_CODE]])</f>
        <v>0</v>
      </c>
      <c r="Y215" s="25">
        <f>_xlfn.XLOOKUP(Dealps[[#This Row],[DEAL_ID]],Ref!N:N,Ref!Q:Q,0,0)</f>
        <v>0</v>
      </c>
      <c r="Z215" s="25" t="str">
        <f>IF(Dealps[[#This Row],[CPTY_CODE]]=Dealps[[#This Row],[CPTY_CODE_ISSUER]],"Yes","No")</f>
        <v>No</v>
      </c>
      <c r="AA215" s="25"/>
      <c r="AC215" s="14"/>
      <c r="AG215" s="96"/>
      <c r="AH215" s="14"/>
      <c r="AI215"/>
      <c r="AN215" s="14"/>
      <c r="AV215" s="36"/>
      <c r="AW215" s="14"/>
      <c r="AX215" s="234"/>
      <c r="AY215" s="96"/>
      <c r="AZ215" s="14"/>
      <c r="BA215"/>
      <c r="BB215" s="93">
        <v>46262</v>
      </c>
      <c r="BC215">
        <v>3193</v>
      </c>
      <c r="BD215" s="56" t="s">
        <v>1067</v>
      </c>
      <c r="BE215" t="s">
        <v>1011</v>
      </c>
      <c r="BF215" t="s">
        <v>1022</v>
      </c>
      <c r="BG215" t="s">
        <v>364</v>
      </c>
      <c r="BH215" t="s">
        <v>1013</v>
      </c>
      <c r="BI215" t="s">
        <v>311</v>
      </c>
      <c r="BJ215" s="93">
        <v>46010</v>
      </c>
      <c r="BK215" s="93">
        <v>46010</v>
      </c>
      <c r="BL215" s="93">
        <v>46010</v>
      </c>
      <c r="BM215" s="93">
        <v>46716</v>
      </c>
      <c r="BN215" s="14">
        <v>1</v>
      </c>
      <c r="BO215" s="14">
        <v>20000000000</v>
      </c>
      <c r="BP215" s="56">
        <v>100</v>
      </c>
      <c r="BQ215" s="56">
        <v>0</v>
      </c>
      <c r="BR215" s="14">
        <v>20072328767</v>
      </c>
      <c r="BS215">
        <v>5.480181</v>
      </c>
      <c r="BT215" t="s">
        <v>1184</v>
      </c>
      <c r="BU215" s="25">
        <f>_xlfn.XLOOKUP(Dealps_MSB[[#This Row],[DEAL_ID]],Ref!V:V,Ref!X:X,0,0)</f>
        <v>0</v>
      </c>
      <c r="BV215"/>
    </row>
    <row r="216" spans="1:74" x14ac:dyDescent="0.3">
      <c r="A216" s="93">
        <v>46262</v>
      </c>
      <c r="B216">
        <v>3499</v>
      </c>
      <c r="C216" s="56" t="s">
        <v>1209</v>
      </c>
      <c r="D216" t="s">
        <v>316</v>
      </c>
      <c r="E216" t="s">
        <v>1152</v>
      </c>
      <c r="F216" t="s">
        <v>364</v>
      </c>
      <c r="G216" t="s">
        <v>310</v>
      </c>
      <c r="H216" t="s">
        <v>300</v>
      </c>
      <c r="I216" s="93">
        <v>46063</v>
      </c>
      <c r="J216" s="93">
        <v>46063</v>
      </c>
      <c r="K216" s="93">
        <v>46065</v>
      </c>
      <c r="L216" s="93">
        <v>46401</v>
      </c>
      <c r="M216" s="14">
        <v>1</v>
      </c>
      <c r="N216" s="14">
        <v>100000000000</v>
      </c>
      <c r="O216" s="56">
        <v>100.571319389</v>
      </c>
      <c r="P216" s="56">
        <v>0</v>
      </c>
      <c r="Q216" s="14">
        <v>101167209800</v>
      </c>
      <c r="R216">
        <v>6.8</v>
      </c>
      <c r="S216" t="s">
        <v>1184</v>
      </c>
      <c r="T216" s="57">
        <f>IF(Dealps[[#This Row],[MATURITY_DATE]]-Dealps[[#This Row],[POSTED_DT]]&lt;0,0,IF(Dealps[[#This Row],[VALUE_DATE]]-Dealps[[#This Row],[POSTED_DT]]&gt;0,Dealps[[#This Row],[MATURITY_DATE]]-Dealps[[#This Row],[VALUE_DATE]],Dealps[[#This Row],[MATURITY_DATE]]-Dealps[[#This Row],[POSTED_DT]]))</f>
        <v>139</v>
      </c>
      <c r="U216" s="25">
        <f>IF(Dealps[[#This Row],[TENOR]]=0,0,IF(Dealps[[#This Row],[DEAL_TYPE]]="B",Dealps[[#This Row],[FACE_AMOUNT]],-Dealps[[#This Row],[FACE_AMOUNT]]))</f>
        <v>100000000000</v>
      </c>
      <c r="V216" s="25">
        <f>_xlfn.XLOOKUP(Dealps[[#This Row],[PAPER_CODE]],FNRP!D:D,FNRP!H:H,0,0)/100*Dealps[[#This Row],[AMOUNT]]</f>
        <v>0</v>
      </c>
      <c r="W216" s="57" t="str">
        <f>IF(Dealps[[#This Row],[TRANSACTION_STATUS]]&lt;&gt;"V","Ngoai BS",IF(Dealps[[#This Row],[POSTED_DT]]&gt;=Dealps[[#This Row],[VALUE_DATE]],"On BS","Off BS"))</f>
        <v>On BS</v>
      </c>
      <c r="X216" s="25">
        <f>SUMIFS(U:U,C:C,Dealps[[#This Row],[PAPER_CODE]])</f>
        <v>0</v>
      </c>
      <c r="Y216" s="25">
        <f>_xlfn.XLOOKUP(Dealps[[#This Row],[DEAL_ID]],Ref!N:N,Ref!Q:Q,0,0)</f>
        <v>0</v>
      </c>
      <c r="Z216" s="25" t="str">
        <f>IF(Dealps[[#This Row],[CPTY_CODE]]=Dealps[[#This Row],[CPTY_CODE_ISSUER]],"Yes","No")</f>
        <v>No</v>
      </c>
      <c r="AA216" s="25"/>
      <c r="AC216" s="14"/>
      <c r="AG216" s="96"/>
      <c r="AH216" s="14"/>
      <c r="AI216"/>
      <c r="AN216" s="14"/>
      <c r="AV216" s="36"/>
      <c r="AW216" s="14"/>
      <c r="AX216" s="234"/>
      <c r="AY216" s="96"/>
      <c r="AZ216" s="14"/>
      <c r="BA216"/>
      <c r="BB216" s="93">
        <v>46262</v>
      </c>
      <c r="BC216">
        <v>3194</v>
      </c>
      <c r="BD216" s="56" t="s">
        <v>1067</v>
      </c>
      <c r="BE216" t="s">
        <v>1011</v>
      </c>
      <c r="BF216" t="s">
        <v>1022</v>
      </c>
      <c r="BG216" t="s">
        <v>364</v>
      </c>
      <c r="BH216" t="s">
        <v>1013</v>
      </c>
      <c r="BI216" t="s">
        <v>311</v>
      </c>
      <c r="BJ216" s="93">
        <v>46010</v>
      </c>
      <c r="BK216" s="93">
        <v>46010</v>
      </c>
      <c r="BL216" s="93">
        <v>46010</v>
      </c>
      <c r="BM216" s="93">
        <v>46716</v>
      </c>
      <c r="BN216" s="14">
        <v>1</v>
      </c>
      <c r="BO216" s="14">
        <v>20000000000</v>
      </c>
      <c r="BP216" s="56">
        <v>100</v>
      </c>
      <c r="BQ216" s="56">
        <v>0</v>
      </c>
      <c r="BR216" s="14">
        <v>20072328767</v>
      </c>
      <c r="BS216">
        <v>5.480181</v>
      </c>
      <c r="BT216" t="s">
        <v>1184</v>
      </c>
      <c r="BU216" s="25">
        <f>_xlfn.XLOOKUP(Dealps_MSB[[#This Row],[DEAL_ID]],Ref!V:V,Ref!X:X,0,0)</f>
        <v>0</v>
      </c>
      <c r="BV216"/>
    </row>
    <row r="217" spans="1:74" x14ac:dyDescent="0.3">
      <c r="A217" s="93">
        <v>46262</v>
      </c>
      <c r="B217">
        <v>3500</v>
      </c>
      <c r="C217" s="56" t="s">
        <v>1061</v>
      </c>
      <c r="D217" t="s">
        <v>312</v>
      </c>
      <c r="E217" t="s">
        <v>957</v>
      </c>
      <c r="F217" t="s">
        <v>364</v>
      </c>
      <c r="G217" t="s">
        <v>310</v>
      </c>
      <c r="H217" t="s">
        <v>311</v>
      </c>
      <c r="I217" s="93">
        <v>46063</v>
      </c>
      <c r="J217" s="93">
        <v>46063</v>
      </c>
      <c r="K217" s="93">
        <v>46065</v>
      </c>
      <c r="L217" s="93">
        <v>46343</v>
      </c>
      <c r="M217" s="14">
        <v>1</v>
      </c>
      <c r="N217" s="14">
        <v>500000000000</v>
      </c>
      <c r="O217" s="56">
        <v>100.227720738</v>
      </c>
      <c r="P217" s="56">
        <v>0</v>
      </c>
      <c r="Q217" s="14">
        <v>508560521500</v>
      </c>
      <c r="R217">
        <v>5.9</v>
      </c>
      <c r="S217" t="s">
        <v>1184</v>
      </c>
      <c r="T217" s="57">
        <f>IF(Dealps[[#This Row],[MATURITY_DATE]]-Dealps[[#This Row],[POSTED_DT]]&lt;0,0,IF(Dealps[[#This Row],[VALUE_DATE]]-Dealps[[#This Row],[POSTED_DT]]&gt;0,Dealps[[#This Row],[MATURITY_DATE]]-Dealps[[#This Row],[VALUE_DATE]],Dealps[[#This Row],[MATURITY_DATE]]-Dealps[[#This Row],[POSTED_DT]]))</f>
        <v>81</v>
      </c>
      <c r="U217" s="25">
        <f>IF(Dealps[[#This Row],[TENOR]]=0,0,IF(Dealps[[#This Row],[DEAL_TYPE]]="B",Dealps[[#This Row],[FACE_AMOUNT]],-Dealps[[#This Row],[FACE_AMOUNT]]))</f>
        <v>-500000000000</v>
      </c>
      <c r="V217" s="25">
        <f>_xlfn.XLOOKUP(Dealps[[#This Row],[PAPER_CODE]],FNRP!D:D,FNRP!H:H,0,0)/100*Dealps[[#This Row],[AMOUNT]]</f>
        <v>0</v>
      </c>
      <c r="W217" s="57" t="str">
        <f>IF(Dealps[[#This Row],[TRANSACTION_STATUS]]&lt;&gt;"V","Ngoai BS",IF(Dealps[[#This Row],[POSTED_DT]]&gt;=Dealps[[#This Row],[VALUE_DATE]],"On BS","Off BS"))</f>
        <v>On BS</v>
      </c>
      <c r="X217" s="25">
        <f>SUMIFS(U:U,C:C,Dealps[[#This Row],[PAPER_CODE]])</f>
        <v>1500000000000</v>
      </c>
      <c r="Y217" s="25">
        <f>_xlfn.XLOOKUP(Dealps[[#This Row],[DEAL_ID]],Ref!N:N,Ref!Q:Q,0,0)</f>
        <v>0</v>
      </c>
      <c r="Z217" s="25" t="str">
        <f>IF(Dealps[[#This Row],[CPTY_CODE]]=Dealps[[#This Row],[CPTY_CODE_ISSUER]],"Yes","No")</f>
        <v>No</v>
      </c>
      <c r="AA217" s="25"/>
      <c r="AC217" s="14"/>
      <c r="AG217" s="96"/>
      <c r="AH217" s="14"/>
      <c r="AI217"/>
      <c r="AN217" s="14"/>
      <c r="AV217" s="36"/>
      <c r="AW217" s="14"/>
      <c r="AX217" s="234"/>
      <c r="AY217" s="96"/>
      <c r="AZ217" s="14"/>
      <c r="BA217"/>
      <c r="BB217" s="93">
        <v>46262</v>
      </c>
      <c r="BC217">
        <v>3195</v>
      </c>
      <c r="BD217" s="56" t="s">
        <v>1067</v>
      </c>
      <c r="BE217" t="s">
        <v>1011</v>
      </c>
      <c r="BF217" t="s">
        <v>1022</v>
      </c>
      <c r="BG217" t="s">
        <v>364</v>
      </c>
      <c r="BH217" t="s">
        <v>1013</v>
      </c>
      <c r="BI217" t="s">
        <v>311</v>
      </c>
      <c r="BJ217" s="93">
        <v>46010</v>
      </c>
      <c r="BK217" s="93">
        <v>46010</v>
      </c>
      <c r="BL217" s="93">
        <v>46010</v>
      </c>
      <c r="BM217" s="93">
        <v>46716</v>
      </c>
      <c r="BN217" s="14">
        <v>1</v>
      </c>
      <c r="BO217" s="14">
        <v>30000000000</v>
      </c>
      <c r="BP217" s="56">
        <v>100</v>
      </c>
      <c r="BQ217" s="56">
        <v>0</v>
      </c>
      <c r="BR217" s="14">
        <v>30108493151.000004</v>
      </c>
      <c r="BS217">
        <v>5.480181</v>
      </c>
      <c r="BT217" t="s">
        <v>1184</v>
      </c>
      <c r="BU217" s="25">
        <f>_xlfn.XLOOKUP(Dealps_MSB[[#This Row],[DEAL_ID]],Ref!V:V,Ref!X:X,0,0)</f>
        <v>0</v>
      </c>
      <c r="BV217"/>
    </row>
    <row r="218" spans="1:74" x14ac:dyDescent="0.3">
      <c r="A218" s="93">
        <v>46262</v>
      </c>
      <c r="B218">
        <v>3501</v>
      </c>
      <c r="C218" s="56" t="s">
        <v>1061</v>
      </c>
      <c r="D218" t="s">
        <v>312</v>
      </c>
      <c r="E218" t="s">
        <v>957</v>
      </c>
      <c r="F218" t="s">
        <v>364</v>
      </c>
      <c r="G218" t="s">
        <v>310</v>
      </c>
      <c r="H218" t="s">
        <v>311</v>
      </c>
      <c r="I218" s="93">
        <v>46063</v>
      </c>
      <c r="J218" s="93">
        <v>46063</v>
      </c>
      <c r="K218" s="93">
        <v>46065</v>
      </c>
      <c r="L218" s="93">
        <v>46343</v>
      </c>
      <c r="M218" s="14">
        <v>1</v>
      </c>
      <c r="N218" s="14">
        <v>400000000000</v>
      </c>
      <c r="O218" s="56">
        <v>100.227720738</v>
      </c>
      <c r="P218" s="56">
        <v>0</v>
      </c>
      <c r="Q218" s="14">
        <v>406848417200</v>
      </c>
      <c r="R218">
        <v>5.9</v>
      </c>
      <c r="S218" t="s">
        <v>1184</v>
      </c>
      <c r="T218" s="57">
        <f>IF(Dealps[[#This Row],[MATURITY_DATE]]-Dealps[[#This Row],[POSTED_DT]]&lt;0,0,IF(Dealps[[#This Row],[VALUE_DATE]]-Dealps[[#This Row],[POSTED_DT]]&gt;0,Dealps[[#This Row],[MATURITY_DATE]]-Dealps[[#This Row],[VALUE_DATE]],Dealps[[#This Row],[MATURITY_DATE]]-Dealps[[#This Row],[POSTED_DT]]))</f>
        <v>81</v>
      </c>
      <c r="U218" s="25">
        <f>IF(Dealps[[#This Row],[TENOR]]=0,0,IF(Dealps[[#This Row],[DEAL_TYPE]]="B",Dealps[[#This Row],[FACE_AMOUNT]],-Dealps[[#This Row],[FACE_AMOUNT]]))</f>
        <v>-400000000000</v>
      </c>
      <c r="V218" s="25">
        <f>_xlfn.XLOOKUP(Dealps[[#This Row],[PAPER_CODE]],FNRP!D:D,FNRP!H:H,0,0)/100*Dealps[[#This Row],[AMOUNT]]</f>
        <v>0</v>
      </c>
      <c r="W218" s="57" t="str">
        <f>IF(Dealps[[#This Row],[TRANSACTION_STATUS]]&lt;&gt;"V","Ngoai BS",IF(Dealps[[#This Row],[POSTED_DT]]&gt;=Dealps[[#This Row],[VALUE_DATE]],"On BS","Off BS"))</f>
        <v>On BS</v>
      </c>
      <c r="X218" s="25">
        <f>SUMIFS(U:U,C:C,Dealps[[#This Row],[PAPER_CODE]])</f>
        <v>1500000000000</v>
      </c>
      <c r="Y218" s="25">
        <f>_xlfn.XLOOKUP(Dealps[[#This Row],[DEAL_ID]],Ref!N:N,Ref!Q:Q,0,0)</f>
        <v>0</v>
      </c>
      <c r="Z218" s="25" t="str">
        <f>IF(Dealps[[#This Row],[CPTY_CODE]]=Dealps[[#This Row],[CPTY_CODE_ISSUER]],"Yes","No")</f>
        <v>No</v>
      </c>
      <c r="AA218" s="25"/>
      <c r="AC218" s="14"/>
      <c r="AG218" s="96"/>
      <c r="AH218" s="14"/>
      <c r="AI218"/>
      <c r="AN218" s="14"/>
      <c r="AV218" s="36"/>
      <c r="AW218" s="14"/>
      <c r="AX218" s="234"/>
      <c r="AY218" s="96"/>
      <c r="AZ218" s="14"/>
      <c r="BA218"/>
      <c r="BB218" s="93">
        <v>46262</v>
      </c>
      <c r="BC218">
        <v>3196</v>
      </c>
      <c r="BD218" s="56" t="s">
        <v>1067</v>
      </c>
      <c r="BE218" t="s">
        <v>1011</v>
      </c>
      <c r="BF218" t="s">
        <v>1022</v>
      </c>
      <c r="BG218" t="s">
        <v>364</v>
      </c>
      <c r="BH218" t="s">
        <v>1013</v>
      </c>
      <c r="BI218" t="s">
        <v>311</v>
      </c>
      <c r="BJ218" s="93">
        <v>46010</v>
      </c>
      <c r="BK218" s="93">
        <v>46010</v>
      </c>
      <c r="BL218" s="93">
        <v>46010</v>
      </c>
      <c r="BM218" s="93">
        <v>46716</v>
      </c>
      <c r="BN218" s="14">
        <v>1</v>
      </c>
      <c r="BO218" s="14">
        <v>30000000000</v>
      </c>
      <c r="BP218" s="56">
        <v>100</v>
      </c>
      <c r="BQ218" s="56">
        <v>0</v>
      </c>
      <c r="BR218" s="14">
        <v>30108493151.000004</v>
      </c>
      <c r="BS218">
        <v>5.480181</v>
      </c>
      <c r="BT218" t="s">
        <v>1184</v>
      </c>
      <c r="BU218" s="25">
        <f>_xlfn.XLOOKUP(Dealps_MSB[[#This Row],[DEAL_ID]],Ref!V:V,Ref!X:X,0,0)</f>
        <v>0</v>
      </c>
      <c r="BV218"/>
    </row>
    <row r="219" spans="1:74" x14ac:dyDescent="0.3">
      <c r="A219" s="93">
        <v>46262</v>
      </c>
      <c r="B219">
        <v>3503</v>
      </c>
      <c r="C219" s="56" t="s">
        <v>1158</v>
      </c>
      <c r="D219" t="s">
        <v>327</v>
      </c>
      <c r="E219" t="s">
        <v>322</v>
      </c>
      <c r="F219" t="s">
        <v>364</v>
      </c>
      <c r="G219" t="s">
        <v>310</v>
      </c>
      <c r="H219" t="s">
        <v>311</v>
      </c>
      <c r="I219" s="93">
        <v>46063</v>
      </c>
      <c r="J219" s="93">
        <v>46063</v>
      </c>
      <c r="K219" s="93">
        <v>46066</v>
      </c>
      <c r="L219" s="93">
        <v>46409</v>
      </c>
      <c r="M219" s="14">
        <v>1</v>
      </c>
      <c r="N219" s="14">
        <v>1000000000000</v>
      </c>
      <c r="O219" s="56">
        <v>100.06218483799999</v>
      </c>
      <c r="P219" s="56">
        <v>0</v>
      </c>
      <c r="Q219" s="14">
        <v>1004764314132.0001</v>
      </c>
      <c r="R219">
        <v>7.1</v>
      </c>
      <c r="S219" t="s">
        <v>1184</v>
      </c>
      <c r="T219" s="57">
        <f>IF(Dealps[[#This Row],[MATURITY_DATE]]-Dealps[[#This Row],[POSTED_DT]]&lt;0,0,IF(Dealps[[#This Row],[VALUE_DATE]]-Dealps[[#This Row],[POSTED_DT]]&gt;0,Dealps[[#This Row],[MATURITY_DATE]]-Dealps[[#This Row],[VALUE_DATE]],Dealps[[#This Row],[MATURITY_DATE]]-Dealps[[#This Row],[POSTED_DT]]))</f>
        <v>147</v>
      </c>
      <c r="U219" s="25">
        <f>IF(Dealps[[#This Row],[TENOR]]=0,0,IF(Dealps[[#This Row],[DEAL_TYPE]]="B",Dealps[[#This Row],[FACE_AMOUNT]],-Dealps[[#This Row],[FACE_AMOUNT]]))</f>
        <v>-1000000000000</v>
      </c>
      <c r="V219" s="25">
        <f>_xlfn.XLOOKUP(Dealps[[#This Row],[PAPER_CODE]],FNRP!D:D,FNRP!H:H,0,0)/100*Dealps[[#This Row],[AMOUNT]]</f>
        <v>0</v>
      </c>
      <c r="W219" s="57" t="str">
        <f>IF(Dealps[[#This Row],[TRANSACTION_STATUS]]&lt;&gt;"V","Ngoai BS",IF(Dealps[[#This Row],[POSTED_DT]]&gt;=Dealps[[#This Row],[VALUE_DATE]],"On BS","Off BS"))</f>
        <v>On BS</v>
      </c>
      <c r="X219" s="25">
        <f>SUMIFS(U:U,C:C,Dealps[[#This Row],[PAPER_CODE]])</f>
        <v>2000000000000</v>
      </c>
      <c r="Y219" s="25">
        <f>_xlfn.XLOOKUP(Dealps[[#This Row],[DEAL_ID]],Ref!N:N,Ref!Q:Q,0,0)</f>
        <v>0</v>
      </c>
      <c r="Z219" s="25" t="str">
        <f>IF(Dealps[[#This Row],[CPTY_CODE]]=Dealps[[#This Row],[CPTY_CODE_ISSUER]],"Yes","No")</f>
        <v>No</v>
      </c>
      <c r="AA219" s="25"/>
      <c r="AC219" s="14"/>
      <c r="AG219" s="96"/>
      <c r="AH219" s="14"/>
      <c r="AI219"/>
      <c r="AN219" s="14"/>
      <c r="AV219" s="36"/>
      <c r="AW219" s="14"/>
      <c r="AX219" s="234"/>
      <c r="AY219" s="96"/>
      <c r="AZ219" s="14"/>
      <c r="BA219"/>
      <c r="BB219" s="93">
        <v>46262</v>
      </c>
      <c r="BC219">
        <v>3197</v>
      </c>
      <c r="BD219" s="56" t="s">
        <v>1067</v>
      </c>
      <c r="BE219" t="s">
        <v>1011</v>
      </c>
      <c r="BF219" t="s">
        <v>1022</v>
      </c>
      <c r="BG219" t="s">
        <v>364</v>
      </c>
      <c r="BH219" t="s">
        <v>1013</v>
      </c>
      <c r="BI219" t="s">
        <v>311</v>
      </c>
      <c r="BJ219" s="93">
        <v>46010</v>
      </c>
      <c r="BK219" s="93">
        <v>46010</v>
      </c>
      <c r="BL219" s="93">
        <v>46010</v>
      </c>
      <c r="BM219" s="93">
        <v>46716</v>
      </c>
      <c r="BN219" s="14">
        <v>1</v>
      </c>
      <c r="BO219" s="14">
        <v>20000000000</v>
      </c>
      <c r="BP219" s="56">
        <v>100</v>
      </c>
      <c r="BQ219" s="56">
        <v>0</v>
      </c>
      <c r="BR219" s="14">
        <v>20072328767</v>
      </c>
      <c r="BS219">
        <v>5.480181</v>
      </c>
      <c r="BT219" t="s">
        <v>1184</v>
      </c>
      <c r="BU219" s="25">
        <f>_xlfn.XLOOKUP(Dealps_MSB[[#This Row],[DEAL_ID]],Ref!V:V,Ref!X:X,0,0)</f>
        <v>0</v>
      </c>
      <c r="BV219"/>
    </row>
    <row r="220" spans="1:74" x14ac:dyDescent="0.3">
      <c r="A220" s="93">
        <v>46262</v>
      </c>
      <c r="B220">
        <v>3536</v>
      </c>
      <c r="C220" s="56" t="s">
        <v>1214</v>
      </c>
      <c r="D220" t="s">
        <v>322</v>
      </c>
      <c r="E220" t="s">
        <v>317</v>
      </c>
      <c r="F220" t="s">
        <v>364</v>
      </c>
      <c r="G220" t="s">
        <v>310</v>
      </c>
      <c r="H220" t="s">
        <v>300</v>
      </c>
      <c r="I220" s="93">
        <v>46064</v>
      </c>
      <c r="J220" s="93">
        <v>46064</v>
      </c>
      <c r="K220" s="93">
        <v>46066</v>
      </c>
      <c r="L220" s="93">
        <v>46381</v>
      </c>
      <c r="M220" s="14">
        <v>1</v>
      </c>
      <c r="N220" s="14">
        <v>300000000000</v>
      </c>
      <c r="O220" s="56">
        <v>100</v>
      </c>
      <c r="P220" s="56">
        <v>0</v>
      </c>
      <c r="Q220" s="14">
        <v>303000000000</v>
      </c>
      <c r="R220">
        <v>7.2277230000000001</v>
      </c>
      <c r="S220" t="s">
        <v>1184</v>
      </c>
      <c r="T220" s="57">
        <f>IF(Dealps[[#This Row],[MATURITY_DATE]]-Dealps[[#This Row],[POSTED_DT]]&lt;0,0,IF(Dealps[[#This Row],[VALUE_DATE]]-Dealps[[#This Row],[POSTED_DT]]&gt;0,Dealps[[#This Row],[MATURITY_DATE]]-Dealps[[#This Row],[VALUE_DATE]],Dealps[[#This Row],[MATURITY_DATE]]-Dealps[[#This Row],[POSTED_DT]]))</f>
        <v>119</v>
      </c>
      <c r="U220" s="25">
        <f>IF(Dealps[[#This Row],[TENOR]]=0,0,IF(Dealps[[#This Row],[DEAL_TYPE]]="B",Dealps[[#This Row],[FACE_AMOUNT]],-Dealps[[#This Row],[FACE_AMOUNT]]))</f>
        <v>300000000000</v>
      </c>
      <c r="V220" s="25">
        <f>_xlfn.XLOOKUP(Dealps[[#This Row],[PAPER_CODE]],FNRP!D:D,FNRP!H:H,0,0)/100*Dealps[[#This Row],[AMOUNT]]</f>
        <v>0</v>
      </c>
      <c r="W220" s="57" t="str">
        <f>IF(Dealps[[#This Row],[TRANSACTION_STATUS]]&lt;&gt;"V","Ngoai BS",IF(Dealps[[#This Row],[POSTED_DT]]&gt;=Dealps[[#This Row],[VALUE_DATE]],"On BS","Off BS"))</f>
        <v>On BS</v>
      </c>
      <c r="X220" s="25">
        <f>SUMIFS(U:U,C:C,Dealps[[#This Row],[PAPER_CODE]])</f>
        <v>0</v>
      </c>
      <c r="Y220" s="25">
        <f>_xlfn.XLOOKUP(Dealps[[#This Row],[DEAL_ID]],Ref!N:N,Ref!Q:Q,0,0)</f>
        <v>0</v>
      </c>
      <c r="Z220" s="25" t="str">
        <f>IF(Dealps[[#This Row],[CPTY_CODE]]=Dealps[[#This Row],[CPTY_CODE_ISSUER]],"Yes","No")</f>
        <v>No</v>
      </c>
      <c r="AA220" s="25"/>
      <c r="AC220" s="14"/>
      <c r="AG220" s="96"/>
      <c r="AH220" s="14"/>
      <c r="AI220"/>
      <c r="AN220" s="14"/>
      <c r="AV220" s="36"/>
      <c r="AW220" s="14"/>
      <c r="AX220" s="234"/>
      <c r="AY220" s="96"/>
      <c r="AZ220" s="14"/>
      <c r="BA220"/>
      <c r="BB220" s="93">
        <v>46262</v>
      </c>
      <c r="BC220">
        <v>3204</v>
      </c>
      <c r="BD220" s="56" t="s">
        <v>1067</v>
      </c>
      <c r="BE220" t="s">
        <v>1011</v>
      </c>
      <c r="BF220" t="s">
        <v>1022</v>
      </c>
      <c r="BG220" t="s">
        <v>364</v>
      </c>
      <c r="BH220" t="s">
        <v>1013</v>
      </c>
      <c r="BI220" t="s">
        <v>311</v>
      </c>
      <c r="BJ220" s="93">
        <v>46013</v>
      </c>
      <c r="BK220" s="93">
        <v>46013</v>
      </c>
      <c r="BL220" s="93">
        <v>46013</v>
      </c>
      <c r="BM220" s="93">
        <v>46716</v>
      </c>
      <c r="BN220" s="14">
        <v>1</v>
      </c>
      <c r="BO220" s="14">
        <v>20000000000</v>
      </c>
      <c r="BP220" s="56">
        <v>100</v>
      </c>
      <c r="BQ220" s="56">
        <v>0</v>
      </c>
      <c r="BR220" s="14">
        <v>20081369863</v>
      </c>
      <c r="BS220">
        <v>5.4777139999999997</v>
      </c>
      <c r="BT220" t="s">
        <v>1184</v>
      </c>
      <c r="BU220" s="25">
        <f>_xlfn.XLOOKUP(Dealps_MSB[[#This Row],[DEAL_ID]],Ref!V:V,Ref!X:X,0,0)</f>
        <v>0</v>
      </c>
      <c r="BV220"/>
    </row>
    <row r="221" spans="1:74" x14ac:dyDescent="0.3">
      <c r="A221" s="93">
        <v>46262</v>
      </c>
      <c r="B221">
        <v>3538</v>
      </c>
      <c r="C221" s="56" t="s">
        <v>1158</v>
      </c>
      <c r="D221" t="s">
        <v>327</v>
      </c>
      <c r="E221" t="s">
        <v>347</v>
      </c>
      <c r="F221" t="s">
        <v>364</v>
      </c>
      <c r="G221" t="s">
        <v>310</v>
      </c>
      <c r="H221" t="s">
        <v>311</v>
      </c>
      <c r="I221" s="93">
        <v>46064</v>
      </c>
      <c r="J221" s="93">
        <v>46065</v>
      </c>
      <c r="K221" s="93">
        <v>46065</v>
      </c>
      <c r="L221" s="93">
        <v>46409</v>
      </c>
      <c r="M221" s="14">
        <v>1</v>
      </c>
      <c r="N221" s="14">
        <v>1000000000000</v>
      </c>
      <c r="O221" s="56">
        <v>100.152410674</v>
      </c>
      <c r="P221" s="56">
        <v>0</v>
      </c>
      <c r="Q221" s="14">
        <v>1005469312224</v>
      </c>
      <c r="R221">
        <v>7</v>
      </c>
      <c r="S221" t="s">
        <v>1184</v>
      </c>
      <c r="T221" s="57">
        <f>IF(Dealps[[#This Row],[MATURITY_DATE]]-Dealps[[#This Row],[POSTED_DT]]&lt;0,0,IF(Dealps[[#This Row],[VALUE_DATE]]-Dealps[[#This Row],[POSTED_DT]]&gt;0,Dealps[[#This Row],[MATURITY_DATE]]-Dealps[[#This Row],[VALUE_DATE]],Dealps[[#This Row],[MATURITY_DATE]]-Dealps[[#This Row],[POSTED_DT]]))</f>
        <v>147</v>
      </c>
      <c r="U221" s="25">
        <f>IF(Dealps[[#This Row],[TENOR]]=0,0,IF(Dealps[[#This Row],[DEAL_TYPE]]="B",Dealps[[#This Row],[FACE_AMOUNT]],-Dealps[[#This Row],[FACE_AMOUNT]]))</f>
        <v>-1000000000000</v>
      </c>
      <c r="V221" s="25">
        <f>_xlfn.XLOOKUP(Dealps[[#This Row],[PAPER_CODE]],FNRP!D:D,FNRP!H:H,0,0)/100*Dealps[[#This Row],[AMOUNT]]</f>
        <v>0</v>
      </c>
      <c r="W221" s="57" t="str">
        <f>IF(Dealps[[#This Row],[TRANSACTION_STATUS]]&lt;&gt;"V","Ngoai BS",IF(Dealps[[#This Row],[POSTED_DT]]&gt;=Dealps[[#This Row],[VALUE_DATE]],"On BS","Off BS"))</f>
        <v>On BS</v>
      </c>
      <c r="X221" s="25">
        <f>SUMIFS(U:U,C:C,Dealps[[#This Row],[PAPER_CODE]])</f>
        <v>2000000000000</v>
      </c>
      <c r="Y221" s="25">
        <f>_xlfn.XLOOKUP(Dealps[[#This Row],[DEAL_ID]],Ref!N:N,Ref!Q:Q,0,0)</f>
        <v>0</v>
      </c>
      <c r="Z221" s="25" t="str">
        <f>IF(Dealps[[#This Row],[CPTY_CODE]]=Dealps[[#This Row],[CPTY_CODE_ISSUER]],"Yes","No")</f>
        <v>No</v>
      </c>
      <c r="AA221" s="25"/>
      <c r="AC221" s="14"/>
      <c r="AG221" s="96"/>
      <c r="AH221" s="14"/>
      <c r="AI221"/>
      <c r="AN221" s="14"/>
      <c r="AV221" s="36"/>
      <c r="AW221" s="14"/>
      <c r="AX221" s="234"/>
      <c r="AY221" s="96"/>
      <c r="AZ221" s="14"/>
      <c r="BA221"/>
      <c r="BB221" s="93">
        <v>46262</v>
      </c>
      <c r="BC221">
        <v>3205</v>
      </c>
      <c r="BD221" s="56" t="s">
        <v>1067</v>
      </c>
      <c r="BE221" t="s">
        <v>1011</v>
      </c>
      <c r="BF221" t="s">
        <v>1022</v>
      </c>
      <c r="BG221" t="s">
        <v>364</v>
      </c>
      <c r="BH221" t="s">
        <v>1013</v>
      </c>
      <c r="BI221" t="s">
        <v>311</v>
      </c>
      <c r="BJ221" s="93">
        <v>46013</v>
      </c>
      <c r="BK221" s="93">
        <v>46013</v>
      </c>
      <c r="BL221" s="93">
        <v>46013</v>
      </c>
      <c r="BM221" s="93">
        <v>46716</v>
      </c>
      <c r="BN221" s="14">
        <v>1</v>
      </c>
      <c r="BO221" s="14">
        <v>30000000000</v>
      </c>
      <c r="BP221" s="56">
        <v>100</v>
      </c>
      <c r="BQ221" s="56">
        <v>0</v>
      </c>
      <c r="BR221" s="14">
        <v>30122054795</v>
      </c>
      <c r="BS221">
        <v>5.4777139999999997</v>
      </c>
      <c r="BT221" t="s">
        <v>1184</v>
      </c>
      <c r="BU221" s="25">
        <f>_xlfn.XLOOKUP(Dealps_MSB[[#This Row],[DEAL_ID]],Ref!V:V,Ref!X:X,0,0)</f>
        <v>0</v>
      </c>
      <c r="BV221"/>
    </row>
    <row r="222" spans="1:74" x14ac:dyDescent="0.3">
      <c r="A222" s="93">
        <v>46262</v>
      </c>
      <c r="B222">
        <v>3540</v>
      </c>
      <c r="C222" s="56" t="s">
        <v>1158</v>
      </c>
      <c r="D222" t="s">
        <v>327</v>
      </c>
      <c r="E222" t="s">
        <v>322</v>
      </c>
      <c r="F222" t="s">
        <v>364</v>
      </c>
      <c r="G222" t="s">
        <v>310</v>
      </c>
      <c r="H222" t="s">
        <v>300</v>
      </c>
      <c r="I222" s="93">
        <v>46065</v>
      </c>
      <c r="J222" s="93">
        <v>46049</v>
      </c>
      <c r="K222" s="93">
        <v>46065</v>
      </c>
      <c r="L222" s="93">
        <v>46409</v>
      </c>
      <c r="M222" s="14">
        <v>1</v>
      </c>
      <c r="N222" s="14">
        <v>1000000000000</v>
      </c>
      <c r="O222" s="56">
        <v>100.102605944</v>
      </c>
      <c r="P222" s="56">
        <v>0</v>
      </c>
      <c r="Q222" s="14">
        <v>1004971264923.9999</v>
      </c>
      <c r="R222">
        <v>7.0560530000000004</v>
      </c>
      <c r="S222" t="s">
        <v>1184</v>
      </c>
      <c r="T222" s="57">
        <f>IF(Dealps[[#This Row],[MATURITY_DATE]]-Dealps[[#This Row],[POSTED_DT]]&lt;0,0,IF(Dealps[[#This Row],[VALUE_DATE]]-Dealps[[#This Row],[POSTED_DT]]&gt;0,Dealps[[#This Row],[MATURITY_DATE]]-Dealps[[#This Row],[VALUE_DATE]],Dealps[[#This Row],[MATURITY_DATE]]-Dealps[[#This Row],[POSTED_DT]]))</f>
        <v>147</v>
      </c>
      <c r="U222" s="25">
        <f>IF(Dealps[[#This Row],[TENOR]]=0,0,IF(Dealps[[#This Row],[DEAL_TYPE]]="B",Dealps[[#This Row],[FACE_AMOUNT]],-Dealps[[#This Row],[FACE_AMOUNT]]))</f>
        <v>1000000000000</v>
      </c>
      <c r="V222" s="25">
        <f>_xlfn.XLOOKUP(Dealps[[#This Row],[PAPER_CODE]],FNRP!D:D,FNRP!H:H,0,0)/100*Dealps[[#This Row],[AMOUNT]]</f>
        <v>0</v>
      </c>
      <c r="W222" s="57" t="str">
        <f>IF(Dealps[[#This Row],[TRANSACTION_STATUS]]&lt;&gt;"V","Ngoai BS",IF(Dealps[[#This Row],[POSTED_DT]]&gt;=Dealps[[#This Row],[VALUE_DATE]],"On BS","Off BS"))</f>
        <v>On BS</v>
      </c>
      <c r="X222" s="25">
        <f>SUMIFS(U:U,C:C,Dealps[[#This Row],[PAPER_CODE]])</f>
        <v>2000000000000</v>
      </c>
      <c r="Y222" s="25">
        <f>_xlfn.XLOOKUP(Dealps[[#This Row],[DEAL_ID]],Ref!N:N,Ref!Q:Q,0,0)</f>
        <v>0</v>
      </c>
      <c r="Z222" s="25" t="str">
        <f>IF(Dealps[[#This Row],[CPTY_CODE]]=Dealps[[#This Row],[CPTY_CODE_ISSUER]],"Yes","No")</f>
        <v>No</v>
      </c>
      <c r="AA222" s="25"/>
      <c r="AC222" s="14"/>
      <c r="AG222" s="96"/>
      <c r="AH222" s="14"/>
      <c r="AI222"/>
      <c r="AN222" s="14"/>
      <c r="AV222" s="36"/>
      <c r="AW222" s="14"/>
      <c r="AX222" s="234"/>
      <c r="AY222" s="96"/>
      <c r="AZ222" s="14"/>
      <c r="BA222"/>
      <c r="BB222" s="93">
        <v>46262</v>
      </c>
      <c r="BC222">
        <v>3206</v>
      </c>
      <c r="BD222" s="56" t="s">
        <v>1067</v>
      </c>
      <c r="BE222" t="s">
        <v>1011</v>
      </c>
      <c r="BF222" t="s">
        <v>1022</v>
      </c>
      <c r="BG222" t="s">
        <v>364</v>
      </c>
      <c r="BH222" t="s">
        <v>1013</v>
      </c>
      <c r="BI222" t="s">
        <v>311</v>
      </c>
      <c r="BJ222" s="93">
        <v>46013</v>
      </c>
      <c r="BK222" s="93">
        <v>46013</v>
      </c>
      <c r="BL222" s="93">
        <v>46013</v>
      </c>
      <c r="BM222" s="93">
        <v>46716</v>
      </c>
      <c r="BN222" s="14">
        <v>1</v>
      </c>
      <c r="BO222" s="14">
        <v>30000000000</v>
      </c>
      <c r="BP222" s="56">
        <v>100</v>
      </c>
      <c r="BQ222" s="56">
        <v>0</v>
      </c>
      <c r="BR222" s="14">
        <v>30122054795</v>
      </c>
      <c r="BS222">
        <v>5.4777139999999997</v>
      </c>
      <c r="BT222" t="s">
        <v>1184</v>
      </c>
      <c r="BU222" s="25">
        <f>_xlfn.XLOOKUP(Dealps_MSB[[#This Row],[DEAL_ID]],Ref!V:V,Ref!X:X,0,0)</f>
        <v>0</v>
      </c>
      <c r="BV222"/>
    </row>
    <row r="223" spans="1:74" x14ac:dyDescent="0.3">
      <c r="A223" s="93">
        <v>46262</v>
      </c>
      <c r="B223">
        <v>3541</v>
      </c>
      <c r="C223" s="56" t="s">
        <v>963</v>
      </c>
      <c r="D223" t="s">
        <v>308</v>
      </c>
      <c r="E223" t="s">
        <v>320</v>
      </c>
      <c r="F223" t="s">
        <v>364</v>
      </c>
      <c r="G223" t="s">
        <v>310</v>
      </c>
      <c r="H223" t="s">
        <v>300</v>
      </c>
      <c r="I223" s="93">
        <v>46065</v>
      </c>
      <c r="J223" s="93">
        <v>46065</v>
      </c>
      <c r="K223" s="93">
        <v>46065</v>
      </c>
      <c r="L223" s="93">
        <v>46295</v>
      </c>
      <c r="M223" s="14">
        <v>1</v>
      </c>
      <c r="N223" s="14">
        <v>400000000000</v>
      </c>
      <c r="O223" s="56">
        <v>101.088139445</v>
      </c>
      <c r="P223" s="56">
        <v>0</v>
      </c>
      <c r="Q223" s="14">
        <v>413310366000</v>
      </c>
      <c r="R223">
        <v>4.232335</v>
      </c>
      <c r="S223" t="s">
        <v>1184</v>
      </c>
      <c r="T223" s="57">
        <f>IF(Dealps[[#This Row],[MATURITY_DATE]]-Dealps[[#This Row],[POSTED_DT]]&lt;0,0,IF(Dealps[[#This Row],[VALUE_DATE]]-Dealps[[#This Row],[POSTED_DT]]&gt;0,Dealps[[#This Row],[MATURITY_DATE]]-Dealps[[#This Row],[VALUE_DATE]],Dealps[[#This Row],[MATURITY_DATE]]-Dealps[[#This Row],[POSTED_DT]]))</f>
        <v>33</v>
      </c>
      <c r="U223" s="25">
        <f>IF(Dealps[[#This Row],[TENOR]]=0,0,IF(Dealps[[#This Row],[DEAL_TYPE]]="B",Dealps[[#This Row],[FACE_AMOUNT]],-Dealps[[#This Row],[FACE_AMOUNT]]))</f>
        <v>400000000000</v>
      </c>
      <c r="V223" s="25">
        <f>_xlfn.XLOOKUP(Dealps[[#This Row],[PAPER_CODE]],FNRP!D:D,FNRP!H:H,0,0)/100*Dealps[[#This Row],[AMOUNT]]</f>
        <v>0</v>
      </c>
      <c r="W223" s="57" t="str">
        <f>IF(Dealps[[#This Row],[TRANSACTION_STATUS]]&lt;&gt;"V","Ngoai BS",IF(Dealps[[#This Row],[POSTED_DT]]&gt;=Dealps[[#This Row],[VALUE_DATE]],"On BS","Off BS"))</f>
        <v>On BS</v>
      </c>
      <c r="X223" s="25">
        <f>SUMIFS(U:U,C:C,Dealps[[#This Row],[PAPER_CODE]])</f>
        <v>400000000000</v>
      </c>
      <c r="Y223" s="25">
        <f>_xlfn.XLOOKUP(Dealps[[#This Row],[DEAL_ID]],Ref!N:N,Ref!Q:Q,0,0)</f>
        <v>0</v>
      </c>
      <c r="Z223" s="25" t="str">
        <f>IF(Dealps[[#This Row],[CPTY_CODE]]=Dealps[[#This Row],[CPTY_CODE_ISSUER]],"Yes","No")</f>
        <v>No</v>
      </c>
      <c r="AA223" s="25"/>
      <c r="AC223" s="14"/>
      <c r="AG223" s="96"/>
      <c r="AH223" s="14"/>
      <c r="AI223"/>
      <c r="AN223" s="14"/>
      <c r="AV223" s="36"/>
      <c r="AW223" s="14"/>
      <c r="AX223" s="234"/>
      <c r="AY223" s="96"/>
      <c r="AZ223" s="14"/>
      <c r="BA223"/>
      <c r="BB223" s="93">
        <v>46262</v>
      </c>
      <c r="BC223">
        <v>3207</v>
      </c>
      <c r="BD223" s="56" t="s">
        <v>1067</v>
      </c>
      <c r="BE223" t="s">
        <v>1011</v>
      </c>
      <c r="BF223" t="s">
        <v>1022</v>
      </c>
      <c r="BG223" t="s">
        <v>364</v>
      </c>
      <c r="BH223" t="s">
        <v>1013</v>
      </c>
      <c r="BI223" t="s">
        <v>311</v>
      </c>
      <c r="BJ223" s="93">
        <v>46013</v>
      </c>
      <c r="BK223" s="93">
        <v>46013</v>
      </c>
      <c r="BL223" s="93">
        <v>46013</v>
      </c>
      <c r="BM223" s="93">
        <v>46716</v>
      </c>
      <c r="BN223" s="14">
        <v>1</v>
      </c>
      <c r="BO223" s="14">
        <v>40000000000</v>
      </c>
      <c r="BP223" s="56">
        <v>100</v>
      </c>
      <c r="BQ223" s="56">
        <v>0</v>
      </c>
      <c r="BR223" s="14">
        <v>40162739726</v>
      </c>
      <c r="BS223">
        <v>5.4777139999999997</v>
      </c>
      <c r="BT223" t="s">
        <v>1184</v>
      </c>
      <c r="BU223" s="25">
        <f>_xlfn.XLOOKUP(Dealps_MSB[[#This Row],[DEAL_ID]],Ref!V:V,Ref!X:X,0,0)</f>
        <v>0</v>
      </c>
      <c r="BV223"/>
    </row>
    <row r="224" spans="1:74" x14ac:dyDescent="0.3">
      <c r="A224" s="93">
        <v>46262</v>
      </c>
      <c r="B224">
        <v>3544</v>
      </c>
      <c r="C224" s="56" t="s">
        <v>1008</v>
      </c>
      <c r="D224" t="s">
        <v>473</v>
      </c>
      <c r="E224" t="s">
        <v>322</v>
      </c>
      <c r="F224" t="s">
        <v>364</v>
      </c>
      <c r="G224" t="s">
        <v>310</v>
      </c>
      <c r="H224" t="s">
        <v>300</v>
      </c>
      <c r="I224" s="93">
        <v>46065</v>
      </c>
      <c r="J224" s="93">
        <v>46065</v>
      </c>
      <c r="K224" s="93">
        <v>46065</v>
      </c>
      <c r="L224" s="93">
        <v>46324</v>
      </c>
      <c r="M224" s="14">
        <v>1</v>
      </c>
      <c r="N224" s="14">
        <v>500000000000</v>
      </c>
      <c r="O224" s="56">
        <v>99.791602502999993</v>
      </c>
      <c r="P224" s="56">
        <v>0</v>
      </c>
      <c r="Q224" s="14">
        <v>507588149500</v>
      </c>
      <c r="R224">
        <v>6.4951160000000003</v>
      </c>
      <c r="S224" t="s">
        <v>1184</v>
      </c>
      <c r="T224" s="57">
        <f>IF(Dealps[[#This Row],[MATURITY_DATE]]-Dealps[[#This Row],[POSTED_DT]]&lt;0,0,IF(Dealps[[#This Row],[VALUE_DATE]]-Dealps[[#This Row],[POSTED_DT]]&gt;0,Dealps[[#This Row],[MATURITY_DATE]]-Dealps[[#This Row],[VALUE_DATE]],Dealps[[#This Row],[MATURITY_DATE]]-Dealps[[#This Row],[POSTED_DT]]))</f>
        <v>62</v>
      </c>
      <c r="U224" s="25">
        <f>IF(Dealps[[#This Row],[TENOR]]=0,0,IF(Dealps[[#This Row],[DEAL_TYPE]]="B",Dealps[[#This Row],[FACE_AMOUNT]],-Dealps[[#This Row],[FACE_AMOUNT]]))</f>
        <v>500000000000</v>
      </c>
      <c r="V224" s="25">
        <f>_xlfn.XLOOKUP(Dealps[[#This Row],[PAPER_CODE]],FNRP!D:D,FNRP!H:H,0,0)/100*Dealps[[#This Row],[AMOUNT]]</f>
        <v>0</v>
      </c>
      <c r="W224" s="57" t="str">
        <f>IF(Dealps[[#This Row],[TRANSACTION_STATUS]]&lt;&gt;"V","Ngoai BS",IF(Dealps[[#This Row],[POSTED_DT]]&gt;=Dealps[[#This Row],[VALUE_DATE]],"On BS","Off BS"))</f>
        <v>On BS</v>
      </c>
      <c r="X224" s="25">
        <f>SUMIFS(U:U,C:C,Dealps[[#This Row],[PAPER_CODE]])</f>
        <v>500000000000</v>
      </c>
      <c r="Y224" s="25">
        <f>_xlfn.XLOOKUP(Dealps[[#This Row],[DEAL_ID]],Ref!N:N,Ref!Q:Q,0,0)</f>
        <v>0</v>
      </c>
      <c r="Z224" s="25" t="str">
        <f>IF(Dealps[[#This Row],[CPTY_CODE]]=Dealps[[#This Row],[CPTY_CODE_ISSUER]],"Yes","No")</f>
        <v>No</v>
      </c>
      <c r="AA224" s="25"/>
      <c r="AC224" s="14"/>
      <c r="AG224" s="96"/>
      <c r="AH224" s="14"/>
      <c r="AI224"/>
      <c r="AN224" s="14"/>
      <c r="AV224" s="36"/>
      <c r="AW224" s="14"/>
      <c r="AX224" s="234"/>
      <c r="AY224" s="96"/>
      <c r="AZ224" s="14"/>
      <c r="BA224"/>
      <c r="BB224" s="93">
        <v>46262</v>
      </c>
      <c r="BC224">
        <v>3218</v>
      </c>
      <c r="BD224" s="56" t="s">
        <v>1067</v>
      </c>
      <c r="BE224" t="s">
        <v>1011</v>
      </c>
      <c r="BF224" t="s">
        <v>1022</v>
      </c>
      <c r="BG224" t="s">
        <v>364</v>
      </c>
      <c r="BH224" t="s">
        <v>1013</v>
      </c>
      <c r="BI224" t="s">
        <v>311</v>
      </c>
      <c r="BJ224" s="93">
        <v>46014</v>
      </c>
      <c r="BK224" s="93">
        <v>46014</v>
      </c>
      <c r="BL224" s="93">
        <v>46014</v>
      </c>
      <c r="BM224" s="93">
        <v>46716</v>
      </c>
      <c r="BN224" s="14">
        <v>1</v>
      </c>
      <c r="BO224" s="14">
        <v>20000000000</v>
      </c>
      <c r="BP224" s="56">
        <v>100</v>
      </c>
      <c r="BQ224" s="56">
        <v>0</v>
      </c>
      <c r="BR224" s="14">
        <v>20084383562</v>
      </c>
      <c r="BS224">
        <v>5.4768920000000003</v>
      </c>
      <c r="BT224" t="s">
        <v>1184</v>
      </c>
      <c r="BU224" s="25">
        <f>_xlfn.XLOOKUP(Dealps_MSB[[#This Row],[DEAL_ID]],Ref!V:V,Ref!X:X,0,0)</f>
        <v>0</v>
      </c>
      <c r="BV224"/>
    </row>
    <row r="225" spans="1:74" x14ac:dyDescent="0.3">
      <c r="A225" s="93">
        <v>46262</v>
      </c>
      <c r="B225">
        <v>3578</v>
      </c>
      <c r="C225" s="56" t="s">
        <v>1204</v>
      </c>
      <c r="D225" t="s">
        <v>315</v>
      </c>
      <c r="E225" t="s">
        <v>1206</v>
      </c>
      <c r="F225" t="s">
        <v>364</v>
      </c>
      <c r="G225" t="s">
        <v>310</v>
      </c>
      <c r="H225" t="s">
        <v>300</v>
      </c>
      <c r="I225" s="93">
        <v>46076</v>
      </c>
      <c r="J225" s="93">
        <v>46076</v>
      </c>
      <c r="K225" s="93">
        <v>46076</v>
      </c>
      <c r="L225" s="93">
        <v>46422</v>
      </c>
      <c r="M225" s="14">
        <v>1</v>
      </c>
      <c r="N225" s="14">
        <v>200000000000</v>
      </c>
      <c r="O225" s="56">
        <v>99.962981687999999</v>
      </c>
      <c r="P225" s="56">
        <v>0</v>
      </c>
      <c r="Q225" s="14">
        <v>200679716800</v>
      </c>
      <c r="R225">
        <v>7.2543959999999998</v>
      </c>
      <c r="S225" t="s">
        <v>1184</v>
      </c>
      <c r="T225" s="57">
        <f>IF(Dealps[[#This Row],[MATURITY_DATE]]-Dealps[[#This Row],[POSTED_DT]]&lt;0,0,IF(Dealps[[#This Row],[VALUE_DATE]]-Dealps[[#This Row],[POSTED_DT]]&gt;0,Dealps[[#This Row],[MATURITY_DATE]]-Dealps[[#This Row],[VALUE_DATE]],Dealps[[#This Row],[MATURITY_DATE]]-Dealps[[#This Row],[POSTED_DT]]))</f>
        <v>160</v>
      </c>
      <c r="U225" s="25">
        <f>IF(Dealps[[#This Row],[TENOR]]=0,0,IF(Dealps[[#This Row],[DEAL_TYPE]]="B",Dealps[[#This Row],[FACE_AMOUNT]],-Dealps[[#This Row],[FACE_AMOUNT]]))</f>
        <v>200000000000</v>
      </c>
      <c r="V225" s="25">
        <f>_xlfn.XLOOKUP(Dealps[[#This Row],[PAPER_CODE]],FNRP!D:D,FNRP!H:H,0,0)/100*Dealps[[#This Row],[AMOUNT]]</f>
        <v>0</v>
      </c>
      <c r="W225" s="57" t="str">
        <f>IF(Dealps[[#This Row],[TRANSACTION_STATUS]]&lt;&gt;"V","Ngoai BS",IF(Dealps[[#This Row],[POSTED_DT]]&gt;=Dealps[[#This Row],[VALUE_DATE]],"On BS","Off BS"))</f>
        <v>On BS</v>
      </c>
      <c r="X225" s="25">
        <f>SUMIFS(U:U,C:C,Dealps[[#This Row],[PAPER_CODE]])</f>
        <v>1000000000000</v>
      </c>
      <c r="Y225" s="25">
        <f>_xlfn.XLOOKUP(Dealps[[#This Row],[DEAL_ID]],Ref!N:N,Ref!Q:Q,0,0)</f>
        <v>0</v>
      </c>
      <c r="Z225" s="25" t="str">
        <f>IF(Dealps[[#This Row],[CPTY_CODE]]=Dealps[[#This Row],[CPTY_CODE_ISSUER]],"Yes","No")</f>
        <v>No</v>
      </c>
      <c r="AA225" s="25"/>
      <c r="AC225" s="14"/>
      <c r="AG225" s="96"/>
      <c r="AH225" s="14"/>
      <c r="AI225"/>
      <c r="AN225" s="14"/>
      <c r="AV225" s="36"/>
      <c r="AW225" s="14"/>
      <c r="AX225" s="234"/>
      <c r="AY225" s="96"/>
      <c r="AZ225" s="14"/>
      <c r="BA225"/>
      <c r="BB225" s="93">
        <v>46262</v>
      </c>
      <c r="BC225">
        <v>3242</v>
      </c>
      <c r="BD225" s="56" t="s">
        <v>1067</v>
      </c>
      <c r="BE225" t="s">
        <v>1011</v>
      </c>
      <c r="BF225" t="s">
        <v>1022</v>
      </c>
      <c r="BG225" t="s">
        <v>364</v>
      </c>
      <c r="BH225" t="s">
        <v>1013</v>
      </c>
      <c r="BI225" t="s">
        <v>311</v>
      </c>
      <c r="BJ225" s="93">
        <v>46017</v>
      </c>
      <c r="BK225" s="93">
        <v>46017</v>
      </c>
      <c r="BL225" s="93">
        <v>46017</v>
      </c>
      <c r="BM225" s="93">
        <v>46716</v>
      </c>
      <c r="BN225" s="14">
        <v>1</v>
      </c>
      <c r="BO225" s="14">
        <v>50000000000</v>
      </c>
      <c r="BP225" s="56">
        <v>100</v>
      </c>
      <c r="BQ225" s="56">
        <v>0</v>
      </c>
      <c r="BR225" s="14">
        <v>50233561644</v>
      </c>
      <c r="BS225">
        <v>5.4744279999999996</v>
      </c>
      <c r="BT225" t="s">
        <v>1184</v>
      </c>
      <c r="BU225" s="25">
        <f>_xlfn.XLOOKUP(Dealps_MSB[[#This Row],[DEAL_ID]],Ref!V:V,Ref!X:X,0,0)</f>
        <v>0</v>
      </c>
      <c r="BV225"/>
    </row>
    <row r="226" spans="1:74" x14ac:dyDescent="0.3">
      <c r="A226" s="93">
        <v>46262</v>
      </c>
      <c r="B226">
        <v>3590</v>
      </c>
      <c r="C226" s="56" t="s">
        <v>1204</v>
      </c>
      <c r="D226" t="s">
        <v>315</v>
      </c>
      <c r="E226" t="s">
        <v>939</v>
      </c>
      <c r="F226" t="s">
        <v>364</v>
      </c>
      <c r="G226" t="s">
        <v>310</v>
      </c>
      <c r="H226" t="s">
        <v>311</v>
      </c>
      <c r="I226" s="93">
        <v>46077</v>
      </c>
      <c r="J226" s="93">
        <v>46077</v>
      </c>
      <c r="K226" s="93">
        <v>46078</v>
      </c>
      <c r="L226" s="93">
        <v>46422</v>
      </c>
      <c r="M226" s="14">
        <v>1</v>
      </c>
      <c r="N226" s="14">
        <v>50000000000</v>
      </c>
      <c r="O226" s="56">
        <v>100.044299055</v>
      </c>
      <c r="P226" s="56">
        <v>0</v>
      </c>
      <c r="Q226" s="14">
        <v>50230423500</v>
      </c>
      <c r="R226">
        <v>7.16</v>
      </c>
      <c r="S226" t="s">
        <v>1184</v>
      </c>
      <c r="T226" s="57">
        <f>IF(Dealps[[#This Row],[MATURITY_DATE]]-Dealps[[#This Row],[POSTED_DT]]&lt;0,0,IF(Dealps[[#This Row],[VALUE_DATE]]-Dealps[[#This Row],[POSTED_DT]]&gt;0,Dealps[[#This Row],[MATURITY_DATE]]-Dealps[[#This Row],[VALUE_DATE]],Dealps[[#This Row],[MATURITY_DATE]]-Dealps[[#This Row],[POSTED_DT]]))</f>
        <v>160</v>
      </c>
      <c r="U226" s="25">
        <f>IF(Dealps[[#This Row],[TENOR]]=0,0,IF(Dealps[[#This Row],[DEAL_TYPE]]="B",Dealps[[#This Row],[FACE_AMOUNT]],-Dealps[[#This Row],[FACE_AMOUNT]]))</f>
        <v>-50000000000</v>
      </c>
      <c r="V226" s="25">
        <f>_xlfn.XLOOKUP(Dealps[[#This Row],[PAPER_CODE]],FNRP!D:D,FNRP!H:H,0,0)/100*Dealps[[#This Row],[AMOUNT]]</f>
        <v>0</v>
      </c>
      <c r="W226" s="57" t="str">
        <f>IF(Dealps[[#This Row],[TRANSACTION_STATUS]]&lt;&gt;"V","Ngoai BS",IF(Dealps[[#This Row],[POSTED_DT]]&gt;=Dealps[[#This Row],[VALUE_DATE]],"On BS","Off BS"))</f>
        <v>On BS</v>
      </c>
      <c r="X226" s="25">
        <f>SUMIFS(U:U,C:C,Dealps[[#This Row],[PAPER_CODE]])</f>
        <v>1000000000000</v>
      </c>
      <c r="Y226" s="25">
        <f>_xlfn.XLOOKUP(Dealps[[#This Row],[DEAL_ID]],Ref!N:N,Ref!Q:Q,0,0)</f>
        <v>0</v>
      </c>
      <c r="Z226" s="25" t="str">
        <f>IF(Dealps[[#This Row],[CPTY_CODE]]=Dealps[[#This Row],[CPTY_CODE_ISSUER]],"Yes","No")</f>
        <v>No</v>
      </c>
      <c r="AA226" s="25"/>
      <c r="AC226" s="14"/>
      <c r="AG226" s="96"/>
      <c r="AH226" s="14"/>
      <c r="AI226"/>
      <c r="AN226" s="14"/>
      <c r="AV226" s="36"/>
      <c r="AW226" s="14"/>
      <c r="AX226" s="234"/>
      <c r="AY226" s="96"/>
      <c r="AZ226" s="14"/>
      <c r="BA226"/>
      <c r="BB226" s="93">
        <v>46262</v>
      </c>
      <c r="BC226">
        <v>3243</v>
      </c>
      <c r="BD226" s="56" t="s">
        <v>1067</v>
      </c>
      <c r="BE226" t="s">
        <v>1011</v>
      </c>
      <c r="BF226" t="s">
        <v>1022</v>
      </c>
      <c r="BG226" t="s">
        <v>364</v>
      </c>
      <c r="BH226" t="s">
        <v>1013</v>
      </c>
      <c r="BI226" t="s">
        <v>311</v>
      </c>
      <c r="BJ226" s="93">
        <v>46017</v>
      </c>
      <c r="BK226" s="93">
        <v>46017</v>
      </c>
      <c r="BL226" s="93">
        <v>46017</v>
      </c>
      <c r="BM226" s="93">
        <v>46716</v>
      </c>
      <c r="BN226" s="14">
        <v>1</v>
      </c>
      <c r="BO226" s="14">
        <v>50000000000</v>
      </c>
      <c r="BP226" s="56">
        <v>100</v>
      </c>
      <c r="BQ226" s="56">
        <v>0</v>
      </c>
      <c r="BR226" s="14">
        <v>50233561644</v>
      </c>
      <c r="BS226">
        <v>5.4744279999999996</v>
      </c>
      <c r="BT226" t="s">
        <v>1184</v>
      </c>
      <c r="BU226" s="25">
        <f>_xlfn.XLOOKUP(Dealps_MSB[[#This Row],[DEAL_ID]],Ref!V:V,Ref!X:X,0,0)</f>
        <v>0</v>
      </c>
      <c r="BV226"/>
    </row>
    <row r="227" spans="1:74" x14ac:dyDescent="0.3">
      <c r="A227" s="93">
        <v>46262</v>
      </c>
      <c r="B227">
        <v>3591</v>
      </c>
      <c r="C227" s="56" t="s">
        <v>1222</v>
      </c>
      <c r="D227" t="s">
        <v>315</v>
      </c>
      <c r="E227" t="s">
        <v>317</v>
      </c>
      <c r="F227" t="s">
        <v>364</v>
      </c>
      <c r="G227" t="s">
        <v>310</v>
      </c>
      <c r="H227" t="s">
        <v>300</v>
      </c>
      <c r="I227" s="93">
        <v>46077</v>
      </c>
      <c r="J227" s="93">
        <v>46077</v>
      </c>
      <c r="K227" s="93">
        <v>46078</v>
      </c>
      <c r="L227" s="93">
        <v>46442</v>
      </c>
      <c r="M227" s="14">
        <v>1</v>
      </c>
      <c r="N227" s="14">
        <v>400000000000</v>
      </c>
      <c r="O227" s="56">
        <v>100</v>
      </c>
      <c r="P227" s="56">
        <v>0</v>
      </c>
      <c r="Q227" s="14">
        <v>400080000000</v>
      </c>
      <c r="R227">
        <v>7.2986199999999997</v>
      </c>
      <c r="S227" t="s">
        <v>1184</v>
      </c>
      <c r="T227" s="57">
        <f>IF(Dealps[[#This Row],[MATURITY_DATE]]-Dealps[[#This Row],[POSTED_DT]]&lt;0,0,IF(Dealps[[#This Row],[VALUE_DATE]]-Dealps[[#This Row],[POSTED_DT]]&gt;0,Dealps[[#This Row],[MATURITY_DATE]]-Dealps[[#This Row],[VALUE_DATE]],Dealps[[#This Row],[MATURITY_DATE]]-Dealps[[#This Row],[POSTED_DT]]))</f>
        <v>180</v>
      </c>
      <c r="U227" s="25">
        <f>IF(Dealps[[#This Row],[TENOR]]=0,0,IF(Dealps[[#This Row],[DEAL_TYPE]]="B",Dealps[[#This Row],[FACE_AMOUNT]],-Dealps[[#This Row],[FACE_AMOUNT]]))</f>
        <v>400000000000</v>
      </c>
      <c r="V227" s="25">
        <f>_xlfn.XLOOKUP(Dealps[[#This Row],[PAPER_CODE]],FNRP!D:D,FNRP!H:H,0,0)/100*Dealps[[#This Row],[AMOUNT]]</f>
        <v>0</v>
      </c>
      <c r="W227" s="57" t="str">
        <f>IF(Dealps[[#This Row],[TRANSACTION_STATUS]]&lt;&gt;"V","Ngoai BS",IF(Dealps[[#This Row],[POSTED_DT]]&gt;=Dealps[[#This Row],[VALUE_DATE]],"On BS","Off BS"))</f>
        <v>On BS</v>
      </c>
      <c r="X227" s="25">
        <f>SUMIFS(U:U,C:C,Dealps[[#This Row],[PAPER_CODE]])</f>
        <v>0</v>
      </c>
      <c r="Y227" s="25">
        <f>_xlfn.XLOOKUP(Dealps[[#This Row],[DEAL_ID]],Ref!N:N,Ref!Q:Q,0,0)</f>
        <v>0</v>
      </c>
      <c r="Z227" s="25" t="str">
        <f>IF(Dealps[[#This Row],[CPTY_CODE]]=Dealps[[#This Row],[CPTY_CODE_ISSUER]],"Yes","No")</f>
        <v>No</v>
      </c>
      <c r="AA227" s="25"/>
      <c r="AC227" s="14"/>
      <c r="AG227" s="96"/>
      <c r="AH227" s="14"/>
      <c r="AI227"/>
      <c r="AN227" s="14"/>
      <c r="AV227" s="36"/>
      <c r="AW227" s="14"/>
      <c r="AX227" s="234"/>
      <c r="AY227" s="96"/>
      <c r="AZ227" s="14"/>
      <c r="BA227"/>
      <c r="BB227" s="93">
        <v>46262</v>
      </c>
      <c r="BC227">
        <v>3244</v>
      </c>
      <c r="BD227" s="56" t="s">
        <v>1067</v>
      </c>
      <c r="BE227" t="s">
        <v>1011</v>
      </c>
      <c r="BF227" t="s">
        <v>1022</v>
      </c>
      <c r="BG227" t="s">
        <v>364</v>
      </c>
      <c r="BH227" t="s">
        <v>1013</v>
      </c>
      <c r="BI227" t="s">
        <v>311</v>
      </c>
      <c r="BJ227" s="93">
        <v>46017</v>
      </c>
      <c r="BK227" s="93">
        <v>46017</v>
      </c>
      <c r="BL227" s="93">
        <v>46017</v>
      </c>
      <c r="BM227" s="93">
        <v>46716</v>
      </c>
      <c r="BN227" s="14">
        <v>1</v>
      </c>
      <c r="BO227" s="14">
        <v>30000000000</v>
      </c>
      <c r="BP227" s="56">
        <v>100</v>
      </c>
      <c r="BQ227" s="56">
        <v>0</v>
      </c>
      <c r="BR227" s="14">
        <v>30140136986</v>
      </c>
      <c r="BS227">
        <v>5.4744279999999996</v>
      </c>
      <c r="BT227" t="s">
        <v>1184</v>
      </c>
      <c r="BU227" s="25">
        <f>_xlfn.XLOOKUP(Dealps_MSB[[#This Row],[DEAL_ID]],Ref!V:V,Ref!X:X,0,0)</f>
        <v>0</v>
      </c>
      <c r="BV227"/>
    </row>
    <row r="228" spans="1:74" x14ac:dyDescent="0.3">
      <c r="A228" s="93">
        <v>46262</v>
      </c>
      <c r="B228">
        <v>3592</v>
      </c>
      <c r="C228" s="56" t="s">
        <v>1222</v>
      </c>
      <c r="D228" t="s">
        <v>315</v>
      </c>
      <c r="E228" t="s">
        <v>317</v>
      </c>
      <c r="F228" t="s">
        <v>364</v>
      </c>
      <c r="G228" t="s">
        <v>310</v>
      </c>
      <c r="H228" t="s">
        <v>311</v>
      </c>
      <c r="I228" s="93">
        <v>46077</v>
      </c>
      <c r="J228" s="93">
        <v>46094</v>
      </c>
      <c r="K228" s="93">
        <v>46094</v>
      </c>
      <c r="L228" s="93">
        <v>46442</v>
      </c>
      <c r="M228" s="14">
        <v>1</v>
      </c>
      <c r="N228" s="14">
        <v>400000000000</v>
      </c>
      <c r="O228" s="56">
        <v>100.01760175</v>
      </c>
      <c r="P228" s="56">
        <v>0</v>
      </c>
      <c r="Q228" s="14">
        <v>401430407000</v>
      </c>
      <c r="R228">
        <v>7.2570690000000004</v>
      </c>
      <c r="S228" t="s">
        <v>1184</v>
      </c>
      <c r="T228" s="57">
        <f>IF(Dealps[[#This Row],[MATURITY_DATE]]-Dealps[[#This Row],[POSTED_DT]]&lt;0,0,IF(Dealps[[#This Row],[VALUE_DATE]]-Dealps[[#This Row],[POSTED_DT]]&gt;0,Dealps[[#This Row],[MATURITY_DATE]]-Dealps[[#This Row],[VALUE_DATE]],Dealps[[#This Row],[MATURITY_DATE]]-Dealps[[#This Row],[POSTED_DT]]))</f>
        <v>180</v>
      </c>
      <c r="U228" s="25">
        <f>IF(Dealps[[#This Row],[TENOR]]=0,0,IF(Dealps[[#This Row],[DEAL_TYPE]]="B",Dealps[[#This Row],[FACE_AMOUNT]],-Dealps[[#This Row],[FACE_AMOUNT]]))</f>
        <v>-400000000000</v>
      </c>
      <c r="V228" s="25">
        <f>_xlfn.XLOOKUP(Dealps[[#This Row],[PAPER_CODE]],FNRP!D:D,FNRP!H:H,0,0)/100*Dealps[[#This Row],[AMOUNT]]</f>
        <v>0</v>
      </c>
      <c r="W228" s="57" t="str">
        <f>IF(Dealps[[#This Row],[TRANSACTION_STATUS]]&lt;&gt;"V","Ngoai BS",IF(Dealps[[#This Row],[POSTED_DT]]&gt;=Dealps[[#This Row],[VALUE_DATE]],"On BS","Off BS"))</f>
        <v>On BS</v>
      </c>
      <c r="X228" s="25">
        <f>SUMIFS(U:U,C:C,Dealps[[#This Row],[PAPER_CODE]])</f>
        <v>0</v>
      </c>
      <c r="Y228" s="25">
        <f>_xlfn.XLOOKUP(Dealps[[#This Row],[DEAL_ID]],Ref!N:N,Ref!Q:Q,0,0)</f>
        <v>0</v>
      </c>
      <c r="Z228" s="25" t="str">
        <f>IF(Dealps[[#This Row],[CPTY_CODE]]=Dealps[[#This Row],[CPTY_CODE_ISSUER]],"Yes","No")</f>
        <v>No</v>
      </c>
      <c r="AA228" s="25"/>
      <c r="AC228" s="14"/>
      <c r="AG228" s="96"/>
      <c r="AH228" s="14"/>
      <c r="AI228"/>
      <c r="AN228" s="14"/>
      <c r="AV228" s="36"/>
      <c r="AW228" s="14"/>
      <c r="AX228" s="234"/>
      <c r="AY228" s="96"/>
      <c r="AZ228" s="14"/>
      <c r="BA228"/>
      <c r="BB228" s="93">
        <v>46262</v>
      </c>
      <c r="BC228">
        <v>3263</v>
      </c>
      <c r="BD228" s="56" t="s">
        <v>1067</v>
      </c>
      <c r="BE228" t="s">
        <v>1011</v>
      </c>
      <c r="BF228" t="s">
        <v>1022</v>
      </c>
      <c r="BG228" t="s">
        <v>364</v>
      </c>
      <c r="BH228" t="s">
        <v>1013</v>
      </c>
      <c r="BI228" t="s">
        <v>300</v>
      </c>
      <c r="BJ228" s="93">
        <v>46020</v>
      </c>
      <c r="BK228" s="93">
        <v>46020</v>
      </c>
      <c r="BL228" s="93">
        <v>46020</v>
      </c>
      <c r="BM228" s="93">
        <v>46716</v>
      </c>
      <c r="BN228" s="14">
        <v>1</v>
      </c>
      <c r="BO228" s="14">
        <v>68906700000</v>
      </c>
      <c r="BP228" s="56">
        <v>99.487671233</v>
      </c>
      <c r="BQ228" s="56">
        <v>0</v>
      </c>
      <c r="BR228" s="14">
        <v>68906700000</v>
      </c>
      <c r="BS228">
        <v>5.7686780000000004</v>
      </c>
      <c r="BT228" t="s">
        <v>1184</v>
      </c>
      <c r="BU228" s="25">
        <f>_xlfn.XLOOKUP(Dealps_MSB[[#This Row],[DEAL_ID]],Ref!V:V,Ref!X:X,0,0)</f>
        <v>0</v>
      </c>
      <c r="BV228"/>
    </row>
    <row r="229" spans="1:74" x14ac:dyDescent="0.3">
      <c r="A229" s="93">
        <v>46262</v>
      </c>
      <c r="B229">
        <v>3616</v>
      </c>
      <c r="C229" s="56" t="s">
        <v>1158</v>
      </c>
      <c r="D229" t="s">
        <v>327</v>
      </c>
      <c r="E229" t="s">
        <v>345</v>
      </c>
      <c r="F229" t="s">
        <v>364</v>
      </c>
      <c r="G229" t="s">
        <v>310</v>
      </c>
      <c r="H229" t="s">
        <v>311</v>
      </c>
      <c r="I229" s="93">
        <v>46078</v>
      </c>
      <c r="J229" s="93">
        <v>46079</v>
      </c>
      <c r="K229" s="93">
        <v>46080</v>
      </c>
      <c r="L229" s="93">
        <v>46409</v>
      </c>
      <c r="M229" s="14">
        <v>1</v>
      </c>
      <c r="N229" s="14">
        <v>500000000000</v>
      </c>
      <c r="O229" s="56">
        <v>100.55782590299999</v>
      </c>
      <c r="P229" s="56">
        <v>0</v>
      </c>
      <c r="Q229" s="14">
        <v>506241184310.99994</v>
      </c>
      <c r="R229">
        <v>6.5</v>
      </c>
      <c r="S229" t="s">
        <v>1184</v>
      </c>
      <c r="T229" s="57">
        <f>IF(Dealps[[#This Row],[MATURITY_DATE]]-Dealps[[#This Row],[POSTED_DT]]&lt;0,0,IF(Dealps[[#This Row],[VALUE_DATE]]-Dealps[[#This Row],[POSTED_DT]]&gt;0,Dealps[[#This Row],[MATURITY_DATE]]-Dealps[[#This Row],[VALUE_DATE]],Dealps[[#This Row],[MATURITY_DATE]]-Dealps[[#This Row],[POSTED_DT]]))</f>
        <v>147</v>
      </c>
      <c r="U229" s="25">
        <f>IF(Dealps[[#This Row],[TENOR]]=0,0,IF(Dealps[[#This Row],[DEAL_TYPE]]="B",Dealps[[#This Row],[FACE_AMOUNT]],-Dealps[[#This Row],[FACE_AMOUNT]]))</f>
        <v>-500000000000</v>
      </c>
      <c r="V229" s="25">
        <f>_xlfn.XLOOKUP(Dealps[[#This Row],[PAPER_CODE]],FNRP!D:D,FNRP!H:H,0,0)/100*Dealps[[#This Row],[AMOUNT]]</f>
        <v>0</v>
      </c>
      <c r="W229" s="57" t="str">
        <f>IF(Dealps[[#This Row],[TRANSACTION_STATUS]]&lt;&gt;"V","Ngoai BS",IF(Dealps[[#This Row],[POSTED_DT]]&gt;=Dealps[[#This Row],[VALUE_DATE]],"On BS","Off BS"))</f>
        <v>On BS</v>
      </c>
      <c r="X229" s="25">
        <f>SUMIFS(U:U,C:C,Dealps[[#This Row],[PAPER_CODE]])</f>
        <v>2000000000000</v>
      </c>
      <c r="Y229" s="25">
        <f>_xlfn.XLOOKUP(Dealps[[#This Row],[DEAL_ID]],Ref!N:N,Ref!Q:Q,0,0)</f>
        <v>0</v>
      </c>
      <c r="Z229" s="25" t="str">
        <f>IF(Dealps[[#This Row],[CPTY_CODE]]=Dealps[[#This Row],[CPTY_CODE_ISSUER]],"Yes","No")</f>
        <v>No</v>
      </c>
      <c r="AA229" s="25"/>
      <c r="AC229" s="14"/>
      <c r="AG229" s="96"/>
      <c r="AH229" s="14"/>
      <c r="AI229"/>
      <c r="AN229" s="14"/>
      <c r="AV229" s="36"/>
      <c r="AW229" s="14"/>
      <c r="AX229" s="234"/>
      <c r="AY229" s="96"/>
      <c r="AZ229" s="14"/>
      <c r="BA229"/>
      <c r="BB229" s="93">
        <v>46262</v>
      </c>
      <c r="BC229">
        <v>3264</v>
      </c>
      <c r="BD229" s="56" t="s">
        <v>1067</v>
      </c>
      <c r="BE229" t="s">
        <v>1011</v>
      </c>
      <c r="BF229" t="s">
        <v>1022</v>
      </c>
      <c r="BG229" t="s">
        <v>364</v>
      </c>
      <c r="BH229" t="s">
        <v>1013</v>
      </c>
      <c r="BI229" t="s">
        <v>300</v>
      </c>
      <c r="BJ229" s="93">
        <v>46020</v>
      </c>
      <c r="BK229" s="93">
        <v>46020</v>
      </c>
      <c r="BL229" s="93">
        <v>46020</v>
      </c>
      <c r="BM229" s="93">
        <v>46716</v>
      </c>
      <c r="BN229" s="14">
        <v>1</v>
      </c>
      <c r="BO229" s="14">
        <v>29900499999.999996</v>
      </c>
      <c r="BP229" s="56">
        <v>99.487671233</v>
      </c>
      <c r="BQ229" s="56">
        <v>0</v>
      </c>
      <c r="BR229" s="14">
        <v>29900499999.999996</v>
      </c>
      <c r="BS229">
        <v>5.7686780000000004</v>
      </c>
      <c r="BT229" t="s">
        <v>1184</v>
      </c>
      <c r="BU229" s="25">
        <f>_xlfn.XLOOKUP(Dealps_MSB[[#This Row],[DEAL_ID]],Ref!V:V,Ref!X:X,0,0)</f>
        <v>0</v>
      </c>
      <c r="BV229"/>
    </row>
    <row r="230" spans="1:74" x14ac:dyDescent="0.3">
      <c r="A230" s="93">
        <v>46262</v>
      </c>
      <c r="B230">
        <v>3620</v>
      </c>
      <c r="C230" s="56" t="s">
        <v>1004</v>
      </c>
      <c r="D230" t="s">
        <v>324</v>
      </c>
      <c r="E230" t="s">
        <v>320</v>
      </c>
      <c r="F230" t="s">
        <v>364</v>
      </c>
      <c r="G230" t="s">
        <v>310</v>
      </c>
      <c r="H230" t="s">
        <v>300</v>
      </c>
      <c r="I230" s="93">
        <v>46079</v>
      </c>
      <c r="J230" s="93">
        <v>46079</v>
      </c>
      <c r="K230" s="93">
        <v>46079</v>
      </c>
      <c r="L230" s="93">
        <v>46323</v>
      </c>
      <c r="M230" s="14">
        <v>1</v>
      </c>
      <c r="N230" s="14">
        <v>300000000000</v>
      </c>
      <c r="O230" s="56">
        <v>100.47393456099999</v>
      </c>
      <c r="P230" s="56">
        <v>0</v>
      </c>
      <c r="Q230" s="14">
        <v>307635502314</v>
      </c>
      <c r="R230">
        <v>5.4522709999999996</v>
      </c>
      <c r="S230" t="s">
        <v>1184</v>
      </c>
      <c r="T230" s="57">
        <f>IF(Dealps[[#This Row],[MATURITY_DATE]]-Dealps[[#This Row],[POSTED_DT]]&lt;0,0,IF(Dealps[[#This Row],[VALUE_DATE]]-Dealps[[#This Row],[POSTED_DT]]&gt;0,Dealps[[#This Row],[MATURITY_DATE]]-Dealps[[#This Row],[VALUE_DATE]],Dealps[[#This Row],[MATURITY_DATE]]-Dealps[[#This Row],[POSTED_DT]]))</f>
        <v>61</v>
      </c>
      <c r="U230" s="25">
        <f>IF(Dealps[[#This Row],[TENOR]]=0,0,IF(Dealps[[#This Row],[DEAL_TYPE]]="B",Dealps[[#This Row],[FACE_AMOUNT]],-Dealps[[#This Row],[FACE_AMOUNT]]))</f>
        <v>300000000000</v>
      </c>
      <c r="V230" s="25">
        <f>_xlfn.XLOOKUP(Dealps[[#This Row],[PAPER_CODE]],FNRP!D:D,FNRP!H:H,0,0)/100*Dealps[[#This Row],[AMOUNT]]</f>
        <v>0</v>
      </c>
      <c r="W230" s="57" t="str">
        <f>IF(Dealps[[#This Row],[TRANSACTION_STATUS]]&lt;&gt;"V","Ngoai BS",IF(Dealps[[#This Row],[POSTED_DT]]&gt;=Dealps[[#This Row],[VALUE_DATE]],"On BS","Off BS"))</f>
        <v>On BS</v>
      </c>
      <c r="X230" s="25">
        <f>SUMIFS(U:U,C:C,Dealps[[#This Row],[PAPER_CODE]])</f>
        <v>500000000000</v>
      </c>
      <c r="Y230" s="25">
        <f>_xlfn.XLOOKUP(Dealps[[#This Row],[DEAL_ID]],Ref!N:N,Ref!Q:Q,0,0)</f>
        <v>0</v>
      </c>
      <c r="Z230" s="25" t="str">
        <f>IF(Dealps[[#This Row],[CPTY_CODE]]=Dealps[[#This Row],[CPTY_CODE_ISSUER]],"Yes","No")</f>
        <v>No</v>
      </c>
      <c r="AA230" s="25"/>
      <c r="AC230" s="14"/>
      <c r="AG230" s="96"/>
      <c r="AH230" s="14"/>
      <c r="AI230"/>
      <c r="AN230" s="14"/>
      <c r="AV230" s="36"/>
      <c r="AW230" s="14"/>
      <c r="AX230" s="234"/>
      <c r="AY230" s="96"/>
      <c r="AZ230" s="14"/>
      <c r="BA230"/>
      <c r="BB230" s="93">
        <v>46262</v>
      </c>
      <c r="BC230">
        <v>3265</v>
      </c>
      <c r="BD230" s="56" t="s">
        <v>1067</v>
      </c>
      <c r="BE230" t="s">
        <v>1011</v>
      </c>
      <c r="BF230" t="s">
        <v>1022</v>
      </c>
      <c r="BG230" t="s">
        <v>364</v>
      </c>
      <c r="BH230" t="s">
        <v>1013</v>
      </c>
      <c r="BI230" t="s">
        <v>300</v>
      </c>
      <c r="BJ230" s="93">
        <v>46020</v>
      </c>
      <c r="BK230" s="93">
        <v>46020</v>
      </c>
      <c r="BL230" s="93">
        <v>46020</v>
      </c>
      <c r="BM230" s="93">
        <v>46716</v>
      </c>
      <c r="BN230" s="14">
        <v>1</v>
      </c>
      <c r="BO230" s="14">
        <v>39839700000</v>
      </c>
      <c r="BP230" s="56">
        <v>99.487671233</v>
      </c>
      <c r="BQ230" s="56">
        <v>0</v>
      </c>
      <c r="BR230" s="14">
        <v>39839700000</v>
      </c>
      <c r="BS230">
        <v>5.7686780000000004</v>
      </c>
      <c r="BT230" t="s">
        <v>1184</v>
      </c>
      <c r="BU230" s="25">
        <f>_xlfn.XLOOKUP(Dealps_MSB[[#This Row],[DEAL_ID]],Ref!V:V,Ref!X:X,0,0)</f>
        <v>0</v>
      </c>
      <c r="BV230"/>
    </row>
    <row r="231" spans="1:74" x14ac:dyDescent="0.3">
      <c r="A231" s="93">
        <v>46262</v>
      </c>
      <c r="B231">
        <v>3623</v>
      </c>
      <c r="C231" s="56" t="s">
        <v>1061</v>
      </c>
      <c r="D231" t="s">
        <v>312</v>
      </c>
      <c r="E231" t="s">
        <v>957</v>
      </c>
      <c r="F231" t="s">
        <v>364</v>
      </c>
      <c r="G231" t="s">
        <v>310</v>
      </c>
      <c r="H231" t="s">
        <v>300</v>
      </c>
      <c r="I231" s="93">
        <v>46079</v>
      </c>
      <c r="J231" s="93">
        <v>46079</v>
      </c>
      <c r="K231" s="93">
        <v>46079</v>
      </c>
      <c r="L231" s="93">
        <v>46343</v>
      </c>
      <c r="M231" s="14">
        <v>1</v>
      </c>
      <c r="N231" s="14">
        <v>400000000000</v>
      </c>
      <c r="O231" s="56">
        <v>100.305982403</v>
      </c>
      <c r="P231" s="56">
        <v>0</v>
      </c>
      <c r="Q231" s="14">
        <v>408128039200</v>
      </c>
      <c r="R231">
        <v>5.7599140000000002</v>
      </c>
      <c r="S231" t="s">
        <v>1184</v>
      </c>
      <c r="T231" s="57">
        <f>IF(Dealps[[#This Row],[MATURITY_DATE]]-Dealps[[#This Row],[POSTED_DT]]&lt;0,0,IF(Dealps[[#This Row],[VALUE_DATE]]-Dealps[[#This Row],[POSTED_DT]]&gt;0,Dealps[[#This Row],[MATURITY_DATE]]-Dealps[[#This Row],[VALUE_DATE]],Dealps[[#This Row],[MATURITY_DATE]]-Dealps[[#This Row],[POSTED_DT]]))</f>
        <v>81</v>
      </c>
      <c r="U231" s="25">
        <f>IF(Dealps[[#This Row],[TENOR]]=0,0,IF(Dealps[[#This Row],[DEAL_TYPE]]="B",Dealps[[#This Row],[FACE_AMOUNT]],-Dealps[[#This Row],[FACE_AMOUNT]]))</f>
        <v>400000000000</v>
      </c>
      <c r="V231" s="25">
        <f>_xlfn.XLOOKUP(Dealps[[#This Row],[PAPER_CODE]],FNRP!D:D,FNRP!H:H,0,0)/100*Dealps[[#This Row],[AMOUNT]]</f>
        <v>0</v>
      </c>
      <c r="W231" s="57" t="str">
        <f>IF(Dealps[[#This Row],[TRANSACTION_STATUS]]&lt;&gt;"V","Ngoai BS",IF(Dealps[[#This Row],[POSTED_DT]]&gt;=Dealps[[#This Row],[VALUE_DATE]],"On BS","Off BS"))</f>
        <v>On BS</v>
      </c>
      <c r="X231" s="25">
        <f>SUMIFS(U:U,C:C,Dealps[[#This Row],[PAPER_CODE]])</f>
        <v>1500000000000</v>
      </c>
      <c r="Y231" s="25">
        <f>_xlfn.XLOOKUP(Dealps[[#This Row],[DEAL_ID]],Ref!N:N,Ref!Q:Q,0,0)</f>
        <v>0</v>
      </c>
      <c r="Z231" s="25" t="str">
        <f>IF(Dealps[[#This Row],[CPTY_CODE]]=Dealps[[#This Row],[CPTY_CODE_ISSUER]],"Yes","No")</f>
        <v>No</v>
      </c>
      <c r="AA231" s="25"/>
      <c r="AC231" s="14"/>
      <c r="AG231" s="96"/>
      <c r="AH231" s="14"/>
      <c r="AI231"/>
      <c r="AN231" s="14"/>
      <c r="AV231" s="36"/>
      <c r="AW231" s="14"/>
      <c r="AX231" s="234"/>
      <c r="AY231" s="96"/>
      <c r="AZ231" s="14"/>
      <c r="BA231"/>
      <c r="BB231" s="93">
        <v>46262</v>
      </c>
      <c r="BC231">
        <v>3329</v>
      </c>
      <c r="BD231" s="56" t="s">
        <v>1067</v>
      </c>
      <c r="BE231" t="s">
        <v>1011</v>
      </c>
      <c r="BF231" t="s">
        <v>1022</v>
      </c>
      <c r="BG231" t="s">
        <v>364</v>
      </c>
      <c r="BH231" t="s">
        <v>1013</v>
      </c>
      <c r="BI231" t="s">
        <v>311</v>
      </c>
      <c r="BJ231" s="93">
        <v>46034</v>
      </c>
      <c r="BK231" s="93">
        <v>46034</v>
      </c>
      <c r="BL231" s="93">
        <v>46034</v>
      </c>
      <c r="BM231" s="93">
        <v>46716</v>
      </c>
      <c r="BN231" s="14">
        <v>1</v>
      </c>
      <c r="BO231" s="14">
        <v>30000000000</v>
      </c>
      <c r="BP231" s="56">
        <v>100</v>
      </c>
      <c r="BQ231" s="56">
        <v>0</v>
      </c>
      <c r="BR231" s="14">
        <v>30216986300.999996</v>
      </c>
      <c r="BS231">
        <v>5.4605050000000004</v>
      </c>
      <c r="BT231" t="s">
        <v>1184</v>
      </c>
      <c r="BU231" s="25">
        <f>_xlfn.XLOOKUP(Dealps_MSB[[#This Row],[DEAL_ID]],Ref!V:V,Ref!X:X,0,0)</f>
        <v>0</v>
      </c>
      <c r="BV231"/>
    </row>
    <row r="232" spans="1:74" x14ac:dyDescent="0.3">
      <c r="A232" s="93">
        <v>46262</v>
      </c>
      <c r="B232">
        <v>3624</v>
      </c>
      <c r="C232" s="56" t="s">
        <v>1061</v>
      </c>
      <c r="D232" t="s">
        <v>312</v>
      </c>
      <c r="E232" t="s">
        <v>957</v>
      </c>
      <c r="F232" t="s">
        <v>364</v>
      </c>
      <c r="G232" t="s">
        <v>310</v>
      </c>
      <c r="H232" t="s">
        <v>300</v>
      </c>
      <c r="I232" s="93">
        <v>46079</v>
      </c>
      <c r="J232" s="93">
        <v>46079</v>
      </c>
      <c r="K232" s="93">
        <v>46079</v>
      </c>
      <c r="L232" s="93">
        <v>46343</v>
      </c>
      <c r="M232" s="14">
        <v>1</v>
      </c>
      <c r="N232" s="14">
        <v>500000000000</v>
      </c>
      <c r="O232" s="56">
        <v>100.305982403</v>
      </c>
      <c r="P232" s="56">
        <v>0</v>
      </c>
      <c r="Q232" s="14">
        <v>510160049000</v>
      </c>
      <c r="R232">
        <v>5.7599140000000002</v>
      </c>
      <c r="S232" t="s">
        <v>1184</v>
      </c>
      <c r="T232" s="57">
        <f>IF(Dealps[[#This Row],[MATURITY_DATE]]-Dealps[[#This Row],[POSTED_DT]]&lt;0,0,IF(Dealps[[#This Row],[VALUE_DATE]]-Dealps[[#This Row],[POSTED_DT]]&gt;0,Dealps[[#This Row],[MATURITY_DATE]]-Dealps[[#This Row],[VALUE_DATE]],Dealps[[#This Row],[MATURITY_DATE]]-Dealps[[#This Row],[POSTED_DT]]))</f>
        <v>81</v>
      </c>
      <c r="U232" s="25">
        <f>IF(Dealps[[#This Row],[TENOR]]=0,0,IF(Dealps[[#This Row],[DEAL_TYPE]]="B",Dealps[[#This Row],[FACE_AMOUNT]],-Dealps[[#This Row],[FACE_AMOUNT]]))</f>
        <v>500000000000</v>
      </c>
      <c r="V232" s="25">
        <f>_xlfn.XLOOKUP(Dealps[[#This Row],[PAPER_CODE]],FNRP!D:D,FNRP!H:H,0,0)/100*Dealps[[#This Row],[AMOUNT]]</f>
        <v>0</v>
      </c>
      <c r="W232" s="57" t="str">
        <f>IF(Dealps[[#This Row],[TRANSACTION_STATUS]]&lt;&gt;"V","Ngoai BS",IF(Dealps[[#This Row],[POSTED_DT]]&gt;=Dealps[[#This Row],[VALUE_DATE]],"On BS","Off BS"))</f>
        <v>On BS</v>
      </c>
      <c r="X232" s="25">
        <f>SUMIFS(U:U,C:C,Dealps[[#This Row],[PAPER_CODE]])</f>
        <v>1500000000000</v>
      </c>
      <c r="Y232" s="25">
        <f>_xlfn.XLOOKUP(Dealps[[#This Row],[DEAL_ID]],Ref!N:N,Ref!Q:Q,0,0)</f>
        <v>0</v>
      </c>
      <c r="Z232" s="25" t="str">
        <f>IF(Dealps[[#This Row],[CPTY_CODE]]=Dealps[[#This Row],[CPTY_CODE_ISSUER]],"Yes","No")</f>
        <v>No</v>
      </c>
      <c r="AA232" s="25"/>
      <c r="AC232" s="14"/>
      <c r="AG232" s="96"/>
      <c r="AH232" s="14"/>
      <c r="AI232"/>
      <c r="AN232" s="14"/>
      <c r="AV232" s="36"/>
      <c r="AW232" s="14"/>
      <c r="AX232" s="234"/>
      <c r="AY232" s="96"/>
      <c r="AZ232" s="14"/>
      <c r="BA232"/>
      <c r="BB232" s="93">
        <v>46262</v>
      </c>
      <c r="BC232">
        <v>3486</v>
      </c>
      <c r="BD232" s="56" t="s">
        <v>1018</v>
      </c>
      <c r="BE232" t="s">
        <v>1011</v>
      </c>
      <c r="BF232" t="s">
        <v>1022</v>
      </c>
      <c r="BG232" t="s">
        <v>364</v>
      </c>
      <c r="BH232" t="s">
        <v>1013</v>
      </c>
      <c r="BI232" t="s">
        <v>300</v>
      </c>
      <c r="BJ232" s="93">
        <v>46062</v>
      </c>
      <c r="BK232" s="93">
        <v>46062</v>
      </c>
      <c r="BL232" s="93">
        <v>46062</v>
      </c>
      <c r="BM232" s="93">
        <v>46606</v>
      </c>
      <c r="BN232" s="14">
        <v>1</v>
      </c>
      <c r="BO232" s="14">
        <v>50000000000</v>
      </c>
      <c r="BP232" s="56">
        <v>97.452054794999995</v>
      </c>
      <c r="BQ232" s="56">
        <v>0</v>
      </c>
      <c r="BR232" s="14">
        <v>50000000000</v>
      </c>
      <c r="BS232">
        <v>6.6849819999999998</v>
      </c>
      <c r="BT232" t="s">
        <v>1184</v>
      </c>
      <c r="BU232" s="25">
        <f>_xlfn.XLOOKUP(Dealps_MSB[[#This Row],[DEAL_ID]],Ref!V:V,Ref!X:X,0,0)</f>
        <v>0</v>
      </c>
      <c r="BV232"/>
    </row>
    <row r="233" spans="1:74" x14ac:dyDescent="0.3">
      <c r="A233" s="93">
        <v>46262</v>
      </c>
      <c r="B233">
        <v>3625</v>
      </c>
      <c r="C233" s="56" t="s">
        <v>1158</v>
      </c>
      <c r="D233" t="s">
        <v>327</v>
      </c>
      <c r="E233" t="s">
        <v>347</v>
      </c>
      <c r="F233" t="s">
        <v>364</v>
      </c>
      <c r="G233" t="s">
        <v>310</v>
      </c>
      <c r="H233" t="s">
        <v>300</v>
      </c>
      <c r="I233" s="93">
        <v>46079</v>
      </c>
      <c r="J233" s="93">
        <v>46079</v>
      </c>
      <c r="K233" s="93">
        <v>46079</v>
      </c>
      <c r="L233" s="93">
        <v>46409</v>
      </c>
      <c r="M233" s="14">
        <v>1</v>
      </c>
      <c r="N233" s="14">
        <v>1000000000000</v>
      </c>
      <c r="O233" s="56">
        <v>100.24262278</v>
      </c>
      <c r="P233" s="56">
        <v>0</v>
      </c>
      <c r="Q233" s="14">
        <v>1009133077115.9999</v>
      </c>
      <c r="R233">
        <v>6.8689099999999996</v>
      </c>
      <c r="S233" t="s">
        <v>1184</v>
      </c>
      <c r="T233" s="57">
        <f>IF(Dealps[[#This Row],[MATURITY_DATE]]-Dealps[[#This Row],[POSTED_DT]]&lt;0,0,IF(Dealps[[#This Row],[VALUE_DATE]]-Dealps[[#This Row],[POSTED_DT]]&gt;0,Dealps[[#This Row],[MATURITY_DATE]]-Dealps[[#This Row],[VALUE_DATE]],Dealps[[#This Row],[MATURITY_DATE]]-Dealps[[#This Row],[POSTED_DT]]))</f>
        <v>147</v>
      </c>
      <c r="U233" s="25">
        <f>IF(Dealps[[#This Row],[TENOR]]=0,0,IF(Dealps[[#This Row],[DEAL_TYPE]]="B",Dealps[[#This Row],[FACE_AMOUNT]],-Dealps[[#This Row],[FACE_AMOUNT]]))</f>
        <v>1000000000000</v>
      </c>
      <c r="V233" s="25">
        <f>_xlfn.XLOOKUP(Dealps[[#This Row],[PAPER_CODE]],FNRP!D:D,FNRP!H:H,0,0)/100*Dealps[[#This Row],[AMOUNT]]</f>
        <v>0</v>
      </c>
      <c r="W233" s="57" t="str">
        <f>IF(Dealps[[#This Row],[TRANSACTION_STATUS]]&lt;&gt;"V","Ngoai BS",IF(Dealps[[#This Row],[POSTED_DT]]&gt;=Dealps[[#This Row],[VALUE_DATE]],"On BS","Off BS"))</f>
        <v>On BS</v>
      </c>
      <c r="X233" s="25">
        <f>SUMIFS(U:U,C:C,Dealps[[#This Row],[PAPER_CODE]])</f>
        <v>2000000000000</v>
      </c>
      <c r="Y233" s="25">
        <f>_xlfn.XLOOKUP(Dealps[[#This Row],[DEAL_ID]],Ref!N:N,Ref!Q:Q,0,0)</f>
        <v>0</v>
      </c>
      <c r="Z233" s="25" t="str">
        <f>IF(Dealps[[#This Row],[CPTY_CODE]]=Dealps[[#This Row],[CPTY_CODE_ISSUER]],"Yes","No")</f>
        <v>No</v>
      </c>
      <c r="AA233" s="25"/>
      <c r="AC233" s="14"/>
      <c r="AG233" s="96"/>
      <c r="AH233" s="14"/>
      <c r="AI233"/>
      <c r="AN233" s="14"/>
      <c r="AV233" s="36"/>
      <c r="AW233" s="14"/>
      <c r="AX233" s="234"/>
      <c r="AY233" s="96"/>
      <c r="AZ233" s="14"/>
      <c r="BA233"/>
      <c r="BB233" s="93">
        <v>46262</v>
      </c>
      <c r="BC233">
        <v>3569</v>
      </c>
      <c r="BD233" s="56" t="s">
        <v>1218</v>
      </c>
      <c r="BE233" t="s">
        <v>1011</v>
      </c>
      <c r="BF233" t="s">
        <v>1022</v>
      </c>
      <c r="BG233" t="s">
        <v>364</v>
      </c>
      <c r="BH233" t="s">
        <v>1013</v>
      </c>
      <c r="BI233" t="s">
        <v>311</v>
      </c>
      <c r="BJ233" s="93">
        <v>46066</v>
      </c>
      <c r="BK233" s="93">
        <v>46066</v>
      </c>
      <c r="BL233" s="93">
        <v>46066</v>
      </c>
      <c r="BM233" s="93">
        <v>46796</v>
      </c>
      <c r="BN233" s="14">
        <v>1</v>
      </c>
      <c r="BO233" s="14">
        <v>50000000000</v>
      </c>
      <c r="BP233" s="56">
        <v>100</v>
      </c>
      <c r="BQ233" s="56">
        <v>0</v>
      </c>
      <c r="BR233" s="14">
        <v>50000000000</v>
      </c>
      <c r="BS233">
        <v>7.4897400000000003</v>
      </c>
      <c r="BT233" t="s">
        <v>1184</v>
      </c>
      <c r="BU233" s="25">
        <f>_xlfn.XLOOKUP(Dealps_MSB[[#This Row],[DEAL_ID]],Ref!V:V,Ref!X:X,0,0)</f>
        <v>0</v>
      </c>
      <c r="BV233"/>
    </row>
    <row r="234" spans="1:74" x14ac:dyDescent="0.3">
      <c r="A234" s="93">
        <v>46262</v>
      </c>
      <c r="B234">
        <v>3626</v>
      </c>
      <c r="C234" s="56" t="s">
        <v>1204</v>
      </c>
      <c r="D234" t="s">
        <v>315</v>
      </c>
      <c r="E234" t="s">
        <v>326</v>
      </c>
      <c r="F234" t="s">
        <v>364</v>
      </c>
      <c r="G234" t="s">
        <v>310</v>
      </c>
      <c r="H234" t="s">
        <v>300</v>
      </c>
      <c r="I234" s="93">
        <v>46079</v>
      </c>
      <c r="J234" s="93">
        <v>46079</v>
      </c>
      <c r="K234" s="93">
        <v>46079</v>
      </c>
      <c r="L234" s="93">
        <v>46422</v>
      </c>
      <c r="M234" s="14">
        <v>1</v>
      </c>
      <c r="N234" s="14">
        <v>450000000000</v>
      </c>
      <c r="O234" s="56">
        <v>100.135689938</v>
      </c>
      <c r="P234" s="56">
        <v>0</v>
      </c>
      <c r="Q234" s="14">
        <v>452574330750</v>
      </c>
      <c r="R234">
        <v>7.0552460000000004</v>
      </c>
      <c r="S234" t="s">
        <v>1184</v>
      </c>
      <c r="T234" s="57">
        <f>IF(Dealps[[#This Row],[MATURITY_DATE]]-Dealps[[#This Row],[POSTED_DT]]&lt;0,0,IF(Dealps[[#This Row],[VALUE_DATE]]-Dealps[[#This Row],[POSTED_DT]]&gt;0,Dealps[[#This Row],[MATURITY_DATE]]-Dealps[[#This Row],[VALUE_DATE]],Dealps[[#This Row],[MATURITY_DATE]]-Dealps[[#This Row],[POSTED_DT]]))</f>
        <v>160</v>
      </c>
      <c r="U234" s="25">
        <f>IF(Dealps[[#This Row],[TENOR]]=0,0,IF(Dealps[[#This Row],[DEAL_TYPE]]="B",Dealps[[#This Row],[FACE_AMOUNT]],-Dealps[[#This Row],[FACE_AMOUNT]]))</f>
        <v>450000000000</v>
      </c>
      <c r="V234" s="25">
        <f>_xlfn.XLOOKUP(Dealps[[#This Row],[PAPER_CODE]],FNRP!D:D,FNRP!H:H,0,0)/100*Dealps[[#This Row],[AMOUNT]]</f>
        <v>0</v>
      </c>
      <c r="W234" s="57" t="str">
        <f>IF(Dealps[[#This Row],[TRANSACTION_STATUS]]&lt;&gt;"V","Ngoai BS",IF(Dealps[[#This Row],[POSTED_DT]]&gt;=Dealps[[#This Row],[VALUE_DATE]],"On BS","Off BS"))</f>
        <v>On BS</v>
      </c>
      <c r="X234" s="25">
        <f>SUMIFS(U:U,C:C,Dealps[[#This Row],[PAPER_CODE]])</f>
        <v>1000000000000</v>
      </c>
      <c r="Y234" s="25">
        <f>_xlfn.XLOOKUP(Dealps[[#This Row],[DEAL_ID]],Ref!N:N,Ref!Q:Q,0,0)</f>
        <v>0</v>
      </c>
      <c r="Z234" s="25" t="str">
        <f>IF(Dealps[[#This Row],[CPTY_CODE]]=Dealps[[#This Row],[CPTY_CODE_ISSUER]],"Yes","No")</f>
        <v>No</v>
      </c>
      <c r="AA234" s="25"/>
      <c r="AC234" s="14"/>
      <c r="AG234" s="96"/>
      <c r="AH234" s="14"/>
      <c r="AI234"/>
      <c r="AN234" s="14"/>
      <c r="AV234" s="36"/>
      <c r="AW234" s="14"/>
      <c r="AX234" s="234"/>
      <c r="AY234" s="96"/>
      <c r="AZ234" s="14"/>
      <c r="BA234"/>
      <c r="BB234" s="93">
        <v>46262</v>
      </c>
      <c r="BC234">
        <v>3570</v>
      </c>
      <c r="BD234" s="56" t="s">
        <v>1218</v>
      </c>
      <c r="BE234" t="s">
        <v>1011</v>
      </c>
      <c r="BF234" t="s">
        <v>1022</v>
      </c>
      <c r="BG234" t="s">
        <v>364</v>
      </c>
      <c r="BH234" t="s">
        <v>1013</v>
      </c>
      <c r="BI234" t="s">
        <v>311</v>
      </c>
      <c r="BJ234" s="93">
        <v>46066</v>
      </c>
      <c r="BK234" s="93">
        <v>46066</v>
      </c>
      <c r="BL234" s="93">
        <v>46066</v>
      </c>
      <c r="BM234" s="93">
        <v>46796</v>
      </c>
      <c r="BN234" s="14">
        <v>1</v>
      </c>
      <c r="BO234" s="14">
        <v>50000000000</v>
      </c>
      <c r="BP234" s="56">
        <v>100</v>
      </c>
      <c r="BQ234" s="56">
        <v>0</v>
      </c>
      <c r="BR234" s="14">
        <v>50000000000</v>
      </c>
      <c r="BS234">
        <v>7.4897400000000003</v>
      </c>
      <c r="BT234" t="s">
        <v>1184</v>
      </c>
      <c r="BU234" s="25">
        <f>_xlfn.XLOOKUP(Dealps_MSB[[#This Row],[DEAL_ID]],Ref!V:V,Ref!X:X,0,0)</f>
        <v>0</v>
      </c>
      <c r="BV234"/>
    </row>
    <row r="235" spans="1:74" x14ac:dyDescent="0.3">
      <c r="A235" s="93">
        <v>46262</v>
      </c>
      <c r="B235">
        <v>3627</v>
      </c>
      <c r="C235" s="56" t="s">
        <v>1158</v>
      </c>
      <c r="D235" t="s">
        <v>327</v>
      </c>
      <c r="E235" t="s">
        <v>345</v>
      </c>
      <c r="F235" t="s">
        <v>364</v>
      </c>
      <c r="G235" t="s">
        <v>310</v>
      </c>
      <c r="H235" t="s">
        <v>311</v>
      </c>
      <c r="I235" s="93">
        <v>46079</v>
      </c>
      <c r="J235" s="93">
        <v>46079</v>
      </c>
      <c r="K235" s="93">
        <v>46080</v>
      </c>
      <c r="L235" s="93">
        <v>46409</v>
      </c>
      <c r="M235" s="14">
        <v>1</v>
      </c>
      <c r="N235" s="14">
        <v>500000000000</v>
      </c>
      <c r="O235" s="56">
        <v>100.55782590299999</v>
      </c>
      <c r="P235" s="56">
        <v>0</v>
      </c>
      <c r="Q235" s="14">
        <v>506241184310.99994</v>
      </c>
      <c r="R235">
        <v>6.5</v>
      </c>
      <c r="S235" t="s">
        <v>1184</v>
      </c>
      <c r="T235" s="57">
        <f>IF(Dealps[[#This Row],[MATURITY_DATE]]-Dealps[[#This Row],[POSTED_DT]]&lt;0,0,IF(Dealps[[#This Row],[VALUE_DATE]]-Dealps[[#This Row],[POSTED_DT]]&gt;0,Dealps[[#This Row],[MATURITY_DATE]]-Dealps[[#This Row],[VALUE_DATE]],Dealps[[#This Row],[MATURITY_DATE]]-Dealps[[#This Row],[POSTED_DT]]))</f>
        <v>147</v>
      </c>
      <c r="U235" s="25">
        <f>IF(Dealps[[#This Row],[TENOR]]=0,0,IF(Dealps[[#This Row],[DEAL_TYPE]]="B",Dealps[[#This Row],[FACE_AMOUNT]],-Dealps[[#This Row],[FACE_AMOUNT]]))</f>
        <v>-500000000000</v>
      </c>
      <c r="V235" s="25">
        <f>_xlfn.XLOOKUP(Dealps[[#This Row],[PAPER_CODE]],FNRP!D:D,FNRP!H:H,0,0)/100*Dealps[[#This Row],[AMOUNT]]</f>
        <v>0</v>
      </c>
      <c r="W235" s="57" t="str">
        <f>IF(Dealps[[#This Row],[TRANSACTION_STATUS]]&lt;&gt;"V","Ngoai BS",IF(Dealps[[#This Row],[POSTED_DT]]&gt;=Dealps[[#This Row],[VALUE_DATE]],"On BS","Off BS"))</f>
        <v>On BS</v>
      </c>
      <c r="X235" s="25">
        <f>SUMIFS(U:U,C:C,Dealps[[#This Row],[PAPER_CODE]])</f>
        <v>2000000000000</v>
      </c>
      <c r="Y235" s="25">
        <f>_xlfn.XLOOKUP(Dealps[[#This Row],[DEAL_ID]],Ref!N:N,Ref!Q:Q,0,0)</f>
        <v>0</v>
      </c>
      <c r="Z235" s="25" t="str">
        <f>IF(Dealps[[#This Row],[CPTY_CODE]]=Dealps[[#This Row],[CPTY_CODE_ISSUER]],"Yes","No")</f>
        <v>No</v>
      </c>
      <c r="AA235" s="25"/>
      <c r="AC235" s="14"/>
      <c r="AG235" s="96"/>
      <c r="AH235" s="14"/>
      <c r="AI235"/>
      <c r="AN235" s="14"/>
      <c r="AV235" s="36"/>
      <c r="AW235" s="14"/>
      <c r="AX235" s="234"/>
      <c r="AY235" s="96"/>
      <c r="AZ235" s="14"/>
      <c r="BA235"/>
      <c r="BB235" s="93">
        <v>46262</v>
      </c>
      <c r="BC235">
        <v>3571</v>
      </c>
      <c r="BD235" s="56" t="s">
        <v>1218</v>
      </c>
      <c r="BE235" t="s">
        <v>1011</v>
      </c>
      <c r="BF235" t="s">
        <v>1022</v>
      </c>
      <c r="BG235" t="s">
        <v>364</v>
      </c>
      <c r="BH235" t="s">
        <v>1013</v>
      </c>
      <c r="BI235" t="s">
        <v>311</v>
      </c>
      <c r="BJ235" s="93">
        <v>46066</v>
      </c>
      <c r="BK235" s="93">
        <v>46066</v>
      </c>
      <c r="BL235" s="93">
        <v>46066</v>
      </c>
      <c r="BM235" s="93">
        <v>46796</v>
      </c>
      <c r="BN235" s="14">
        <v>1</v>
      </c>
      <c r="BO235" s="14">
        <v>50000000000</v>
      </c>
      <c r="BP235" s="56">
        <v>100</v>
      </c>
      <c r="BQ235" s="56">
        <v>0</v>
      </c>
      <c r="BR235" s="14">
        <v>50000000000</v>
      </c>
      <c r="BS235">
        <v>7.4897400000000003</v>
      </c>
      <c r="BT235" t="s">
        <v>1184</v>
      </c>
      <c r="BU235" s="25">
        <f>_xlfn.XLOOKUP(Dealps_MSB[[#This Row],[DEAL_ID]],Ref!V:V,Ref!X:X,0,0)</f>
        <v>0</v>
      </c>
      <c r="BV235"/>
    </row>
    <row r="236" spans="1:74" x14ac:dyDescent="0.3">
      <c r="A236" s="93">
        <v>46262</v>
      </c>
      <c r="B236">
        <v>3631</v>
      </c>
      <c r="C236" s="56" t="s">
        <v>1223</v>
      </c>
      <c r="D236" t="s">
        <v>312</v>
      </c>
      <c r="E236" t="s">
        <v>1152</v>
      </c>
      <c r="F236" t="s">
        <v>364</v>
      </c>
      <c r="G236" t="s">
        <v>310</v>
      </c>
      <c r="H236" t="s">
        <v>300</v>
      </c>
      <c r="I236" s="93">
        <v>46079</v>
      </c>
      <c r="J236" s="93">
        <v>46079</v>
      </c>
      <c r="K236" s="93">
        <v>46084</v>
      </c>
      <c r="L236" s="93">
        <v>46380</v>
      </c>
      <c r="M236" s="14">
        <v>1</v>
      </c>
      <c r="N236" s="14">
        <v>200000000000</v>
      </c>
      <c r="O236" s="56">
        <v>100.89774893000001</v>
      </c>
      <c r="P236" s="56">
        <v>0</v>
      </c>
      <c r="Q236" s="14">
        <v>204612210188</v>
      </c>
      <c r="R236">
        <v>6.2</v>
      </c>
      <c r="S236" t="s">
        <v>1184</v>
      </c>
      <c r="T236" s="57">
        <f>IF(Dealps[[#This Row],[MATURITY_DATE]]-Dealps[[#This Row],[POSTED_DT]]&lt;0,0,IF(Dealps[[#This Row],[VALUE_DATE]]-Dealps[[#This Row],[POSTED_DT]]&gt;0,Dealps[[#This Row],[MATURITY_DATE]]-Dealps[[#This Row],[VALUE_DATE]],Dealps[[#This Row],[MATURITY_DATE]]-Dealps[[#This Row],[POSTED_DT]]))</f>
        <v>118</v>
      </c>
      <c r="U236" s="25">
        <f>IF(Dealps[[#This Row],[TENOR]]=0,0,IF(Dealps[[#This Row],[DEAL_TYPE]]="B",Dealps[[#This Row],[FACE_AMOUNT]],-Dealps[[#This Row],[FACE_AMOUNT]]))</f>
        <v>200000000000</v>
      </c>
      <c r="V236" s="25">
        <f>_xlfn.XLOOKUP(Dealps[[#This Row],[PAPER_CODE]],FNRP!D:D,FNRP!H:H,0,0)/100*Dealps[[#This Row],[AMOUNT]]</f>
        <v>0</v>
      </c>
      <c r="W236" s="57" t="str">
        <f>IF(Dealps[[#This Row],[TRANSACTION_STATUS]]&lt;&gt;"V","Ngoai BS",IF(Dealps[[#This Row],[POSTED_DT]]&gt;=Dealps[[#This Row],[VALUE_DATE]],"On BS","Off BS"))</f>
        <v>On BS</v>
      </c>
      <c r="X236" s="25">
        <f>SUMIFS(U:U,C:C,Dealps[[#This Row],[PAPER_CODE]])</f>
        <v>0</v>
      </c>
      <c r="Y236" s="25">
        <f>_xlfn.XLOOKUP(Dealps[[#This Row],[DEAL_ID]],Ref!N:N,Ref!Q:Q,0,0)</f>
        <v>0</v>
      </c>
      <c r="Z236" s="25" t="str">
        <f>IF(Dealps[[#This Row],[CPTY_CODE]]=Dealps[[#This Row],[CPTY_CODE_ISSUER]],"Yes","No")</f>
        <v>No</v>
      </c>
      <c r="AA236" s="25"/>
      <c r="AC236" s="14"/>
      <c r="AG236" s="96"/>
      <c r="AH236" s="14"/>
      <c r="AI236"/>
      <c r="AN236" s="14"/>
      <c r="AV236" s="36"/>
      <c r="AW236" s="14"/>
      <c r="AX236" s="234"/>
      <c r="AY236" s="96"/>
      <c r="AZ236" s="14"/>
      <c r="BA236"/>
      <c r="BB236" s="93">
        <v>46262</v>
      </c>
      <c r="BC236">
        <v>3572</v>
      </c>
      <c r="BD236" s="56" t="s">
        <v>1218</v>
      </c>
      <c r="BE236" t="s">
        <v>1011</v>
      </c>
      <c r="BF236" t="s">
        <v>1022</v>
      </c>
      <c r="BG236" t="s">
        <v>364</v>
      </c>
      <c r="BH236" t="s">
        <v>1013</v>
      </c>
      <c r="BI236" t="s">
        <v>311</v>
      </c>
      <c r="BJ236" s="93">
        <v>46066</v>
      </c>
      <c r="BK236" s="93">
        <v>46066</v>
      </c>
      <c r="BL236" s="93">
        <v>46066</v>
      </c>
      <c r="BM236" s="93">
        <v>46796</v>
      </c>
      <c r="BN236" s="14">
        <v>1</v>
      </c>
      <c r="BO236" s="14">
        <v>50000000000</v>
      </c>
      <c r="BP236" s="56">
        <v>100</v>
      </c>
      <c r="BQ236" s="56">
        <v>0</v>
      </c>
      <c r="BR236" s="14">
        <v>50000000000</v>
      </c>
      <c r="BS236">
        <v>7.4897400000000003</v>
      </c>
      <c r="BT236" t="s">
        <v>1184</v>
      </c>
      <c r="BU236" s="25">
        <f>_xlfn.XLOOKUP(Dealps_MSB[[#This Row],[DEAL_ID]],Ref!V:V,Ref!X:X,0,0)</f>
        <v>0</v>
      </c>
      <c r="BV236"/>
    </row>
    <row r="237" spans="1:74" x14ac:dyDescent="0.3">
      <c r="A237" s="93">
        <v>46262</v>
      </c>
      <c r="B237">
        <v>3633</v>
      </c>
      <c r="C237" s="56" t="s">
        <v>1224</v>
      </c>
      <c r="D237" t="s">
        <v>312</v>
      </c>
      <c r="E237" t="s">
        <v>1152</v>
      </c>
      <c r="F237" t="s">
        <v>364</v>
      </c>
      <c r="G237" t="s">
        <v>310</v>
      </c>
      <c r="H237" t="s">
        <v>300</v>
      </c>
      <c r="I237" s="93">
        <v>46079</v>
      </c>
      <c r="J237" s="93">
        <v>46079</v>
      </c>
      <c r="K237" s="93">
        <v>46084</v>
      </c>
      <c r="L237" s="93">
        <v>46379</v>
      </c>
      <c r="M237" s="14">
        <v>1</v>
      </c>
      <c r="N237" s="14">
        <v>200000000000</v>
      </c>
      <c r="O237" s="56">
        <v>100.893886743</v>
      </c>
      <c r="P237" s="56">
        <v>0</v>
      </c>
      <c r="Q237" s="14">
        <v>204645307731</v>
      </c>
      <c r="R237">
        <v>6.2</v>
      </c>
      <c r="S237" t="s">
        <v>1184</v>
      </c>
      <c r="T237" s="57">
        <f>IF(Dealps[[#This Row],[MATURITY_DATE]]-Dealps[[#This Row],[POSTED_DT]]&lt;0,0,IF(Dealps[[#This Row],[VALUE_DATE]]-Dealps[[#This Row],[POSTED_DT]]&gt;0,Dealps[[#This Row],[MATURITY_DATE]]-Dealps[[#This Row],[VALUE_DATE]],Dealps[[#This Row],[MATURITY_DATE]]-Dealps[[#This Row],[POSTED_DT]]))</f>
        <v>117</v>
      </c>
      <c r="U237" s="25">
        <f>IF(Dealps[[#This Row],[TENOR]]=0,0,IF(Dealps[[#This Row],[DEAL_TYPE]]="B",Dealps[[#This Row],[FACE_AMOUNT]],-Dealps[[#This Row],[FACE_AMOUNT]]))</f>
        <v>200000000000</v>
      </c>
      <c r="V237" s="25">
        <f>_xlfn.XLOOKUP(Dealps[[#This Row],[PAPER_CODE]],FNRP!D:D,FNRP!H:H,0,0)/100*Dealps[[#This Row],[AMOUNT]]</f>
        <v>0</v>
      </c>
      <c r="W237" s="57" t="str">
        <f>IF(Dealps[[#This Row],[TRANSACTION_STATUS]]&lt;&gt;"V","Ngoai BS",IF(Dealps[[#This Row],[POSTED_DT]]&gt;=Dealps[[#This Row],[VALUE_DATE]],"On BS","Off BS"))</f>
        <v>On BS</v>
      </c>
      <c r="X237" s="25">
        <f>SUMIFS(U:U,C:C,Dealps[[#This Row],[PAPER_CODE]])</f>
        <v>0</v>
      </c>
      <c r="Y237" s="25">
        <f>_xlfn.XLOOKUP(Dealps[[#This Row],[DEAL_ID]],Ref!N:N,Ref!Q:Q,0,0)</f>
        <v>0</v>
      </c>
      <c r="Z237" s="25" t="str">
        <f>IF(Dealps[[#This Row],[CPTY_CODE]]=Dealps[[#This Row],[CPTY_CODE_ISSUER]],"Yes","No")</f>
        <v>No</v>
      </c>
      <c r="AA237" s="25"/>
      <c r="AC237" s="14"/>
      <c r="AG237" s="96"/>
      <c r="AH237" s="14"/>
      <c r="AI237"/>
      <c r="AN237" s="14"/>
      <c r="AV237" s="36"/>
      <c r="AW237" s="14"/>
      <c r="AX237" s="234"/>
      <c r="AY237" s="96"/>
      <c r="AZ237" s="14"/>
      <c r="BA237"/>
      <c r="BB237" s="93">
        <v>46262</v>
      </c>
      <c r="BC237">
        <v>3573</v>
      </c>
      <c r="BD237" s="56" t="s">
        <v>1218</v>
      </c>
      <c r="BE237" t="s">
        <v>1011</v>
      </c>
      <c r="BF237" t="s">
        <v>1022</v>
      </c>
      <c r="BG237" t="s">
        <v>364</v>
      </c>
      <c r="BH237" t="s">
        <v>1013</v>
      </c>
      <c r="BI237" t="s">
        <v>311</v>
      </c>
      <c r="BJ237" s="93">
        <v>46066</v>
      </c>
      <c r="BK237" s="93">
        <v>46066</v>
      </c>
      <c r="BL237" s="93">
        <v>46066</v>
      </c>
      <c r="BM237" s="93">
        <v>46796</v>
      </c>
      <c r="BN237" s="14">
        <v>1</v>
      </c>
      <c r="BO237" s="14">
        <v>50000000000</v>
      </c>
      <c r="BP237" s="56">
        <v>100</v>
      </c>
      <c r="BQ237" s="56">
        <v>0</v>
      </c>
      <c r="BR237" s="14">
        <v>50000000000</v>
      </c>
      <c r="BS237">
        <v>7.4897400000000003</v>
      </c>
      <c r="BT237" t="s">
        <v>1184</v>
      </c>
      <c r="BU237" s="25">
        <f>_xlfn.XLOOKUP(Dealps_MSB[[#This Row],[DEAL_ID]],Ref!V:V,Ref!X:X,0,0)</f>
        <v>0</v>
      </c>
      <c r="BV237"/>
    </row>
    <row r="238" spans="1:74" x14ac:dyDescent="0.3">
      <c r="A238" s="93">
        <v>46262</v>
      </c>
      <c r="B238">
        <v>3635</v>
      </c>
      <c r="C238" s="56" t="s">
        <v>1225</v>
      </c>
      <c r="D238" t="s">
        <v>322</v>
      </c>
      <c r="E238" t="s">
        <v>1152</v>
      </c>
      <c r="F238" t="s">
        <v>364</v>
      </c>
      <c r="G238" t="s">
        <v>310</v>
      </c>
      <c r="H238" t="s">
        <v>300</v>
      </c>
      <c r="I238" s="93">
        <v>46079</v>
      </c>
      <c r="J238" s="93">
        <v>46079</v>
      </c>
      <c r="K238" s="93">
        <v>46085</v>
      </c>
      <c r="L238" s="93">
        <v>46381</v>
      </c>
      <c r="M238" s="14">
        <v>1</v>
      </c>
      <c r="N238" s="14">
        <v>200000000000</v>
      </c>
      <c r="O238" s="56">
        <v>99.886499536000002</v>
      </c>
      <c r="P238" s="56">
        <v>0</v>
      </c>
      <c r="Q238" s="14">
        <v>204826149756</v>
      </c>
      <c r="R238">
        <v>5.8</v>
      </c>
      <c r="S238" t="s">
        <v>1184</v>
      </c>
      <c r="T238" s="57">
        <f>IF(Dealps[[#This Row],[MATURITY_DATE]]-Dealps[[#This Row],[POSTED_DT]]&lt;0,0,IF(Dealps[[#This Row],[VALUE_DATE]]-Dealps[[#This Row],[POSTED_DT]]&gt;0,Dealps[[#This Row],[MATURITY_DATE]]-Dealps[[#This Row],[VALUE_DATE]],Dealps[[#This Row],[MATURITY_DATE]]-Dealps[[#This Row],[POSTED_DT]]))</f>
        <v>119</v>
      </c>
      <c r="U238" s="25">
        <f>IF(Dealps[[#This Row],[TENOR]]=0,0,IF(Dealps[[#This Row],[DEAL_TYPE]]="B",Dealps[[#This Row],[FACE_AMOUNT]],-Dealps[[#This Row],[FACE_AMOUNT]]))</f>
        <v>200000000000</v>
      </c>
      <c r="V238" s="25">
        <f>_xlfn.XLOOKUP(Dealps[[#This Row],[PAPER_CODE]],FNRP!D:D,FNRP!H:H,0,0)/100*Dealps[[#This Row],[AMOUNT]]</f>
        <v>0</v>
      </c>
      <c r="W238" s="57" t="str">
        <f>IF(Dealps[[#This Row],[TRANSACTION_STATUS]]&lt;&gt;"V","Ngoai BS",IF(Dealps[[#This Row],[POSTED_DT]]&gt;=Dealps[[#This Row],[VALUE_DATE]],"On BS","Off BS"))</f>
        <v>On BS</v>
      </c>
      <c r="X238" s="25">
        <f>SUMIFS(U:U,C:C,Dealps[[#This Row],[PAPER_CODE]])</f>
        <v>0</v>
      </c>
      <c r="Y238" s="25">
        <f>_xlfn.XLOOKUP(Dealps[[#This Row],[DEAL_ID]],Ref!N:N,Ref!Q:Q,0,0)</f>
        <v>0</v>
      </c>
      <c r="Z238" s="25" t="str">
        <f>IF(Dealps[[#This Row],[CPTY_CODE]]=Dealps[[#This Row],[CPTY_CODE_ISSUER]],"Yes","No")</f>
        <v>No</v>
      </c>
      <c r="AA238" s="25"/>
      <c r="AC238" s="14"/>
      <c r="AG238" s="96"/>
      <c r="AH238" s="14"/>
      <c r="AI238"/>
      <c r="AN238" s="14"/>
      <c r="AV238" s="36"/>
      <c r="AW238" s="14"/>
      <c r="AX238" s="234"/>
      <c r="AY238" s="96"/>
      <c r="AZ238" s="14"/>
      <c r="BA238"/>
      <c r="BB238" s="93">
        <v>46262</v>
      </c>
      <c r="BC238">
        <v>3574</v>
      </c>
      <c r="BD238" s="56" t="s">
        <v>1218</v>
      </c>
      <c r="BE238" t="s">
        <v>1011</v>
      </c>
      <c r="BF238" t="s">
        <v>1022</v>
      </c>
      <c r="BG238" t="s">
        <v>364</v>
      </c>
      <c r="BH238" t="s">
        <v>1013</v>
      </c>
      <c r="BI238" t="s">
        <v>311</v>
      </c>
      <c r="BJ238" s="93">
        <v>46066</v>
      </c>
      <c r="BK238" s="93">
        <v>46066</v>
      </c>
      <c r="BL238" s="93">
        <v>46066</v>
      </c>
      <c r="BM238" s="93">
        <v>46796</v>
      </c>
      <c r="BN238" s="14">
        <v>1</v>
      </c>
      <c r="BO238" s="14">
        <v>50000000000</v>
      </c>
      <c r="BP238" s="56">
        <v>100</v>
      </c>
      <c r="BQ238" s="56">
        <v>0</v>
      </c>
      <c r="BR238" s="14">
        <v>50000000000</v>
      </c>
      <c r="BS238">
        <v>7.4897400000000003</v>
      </c>
      <c r="BT238" t="s">
        <v>1184</v>
      </c>
      <c r="BU238" s="25">
        <f>_xlfn.XLOOKUP(Dealps_MSB[[#This Row],[DEAL_ID]],Ref!V:V,Ref!X:X,0,0)</f>
        <v>0</v>
      </c>
      <c r="BV238"/>
    </row>
    <row r="239" spans="1:74" x14ac:dyDescent="0.3">
      <c r="A239" s="93">
        <v>46262</v>
      </c>
      <c r="B239">
        <v>3637</v>
      </c>
      <c r="C239" s="56" t="s">
        <v>1226</v>
      </c>
      <c r="D239" t="s">
        <v>322</v>
      </c>
      <c r="E239" t="s">
        <v>1152</v>
      </c>
      <c r="F239" t="s">
        <v>364</v>
      </c>
      <c r="G239" t="s">
        <v>310</v>
      </c>
      <c r="H239" t="s">
        <v>300</v>
      </c>
      <c r="I239" s="93">
        <v>46079</v>
      </c>
      <c r="J239" s="93">
        <v>46079</v>
      </c>
      <c r="K239" s="93">
        <v>46085</v>
      </c>
      <c r="L239" s="93">
        <v>46381</v>
      </c>
      <c r="M239" s="14">
        <v>1</v>
      </c>
      <c r="N239" s="14">
        <v>200000000000</v>
      </c>
      <c r="O239" s="56">
        <v>100.93590325300001</v>
      </c>
      <c r="P239" s="56">
        <v>0</v>
      </c>
      <c r="Q239" s="14">
        <v>204707422944</v>
      </c>
      <c r="R239">
        <v>6.2</v>
      </c>
      <c r="S239" t="s">
        <v>1184</v>
      </c>
      <c r="T239" s="57">
        <f>IF(Dealps[[#This Row],[MATURITY_DATE]]-Dealps[[#This Row],[POSTED_DT]]&lt;0,0,IF(Dealps[[#This Row],[VALUE_DATE]]-Dealps[[#This Row],[POSTED_DT]]&gt;0,Dealps[[#This Row],[MATURITY_DATE]]-Dealps[[#This Row],[VALUE_DATE]],Dealps[[#This Row],[MATURITY_DATE]]-Dealps[[#This Row],[POSTED_DT]]))</f>
        <v>119</v>
      </c>
      <c r="U239" s="25">
        <f>IF(Dealps[[#This Row],[TENOR]]=0,0,IF(Dealps[[#This Row],[DEAL_TYPE]]="B",Dealps[[#This Row],[FACE_AMOUNT]],-Dealps[[#This Row],[FACE_AMOUNT]]))</f>
        <v>200000000000</v>
      </c>
      <c r="V239" s="25">
        <f>_xlfn.XLOOKUP(Dealps[[#This Row],[PAPER_CODE]],FNRP!D:D,FNRP!H:H,0,0)/100*Dealps[[#This Row],[AMOUNT]]</f>
        <v>0</v>
      </c>
      <c r="W239" s="57" t="str">
        <f>IF(Dealps[[#This Row],[TRANSACTION_STATUS]]&lt;&gt;"V","Ngoai BS",IF(Dealps[[#This Row],[POSTED_DT]]&gt;=Dealps[[#This Row],[VALUE_DATE]],"On BS","Off BS"))</f>
        <v>On BS</v>
      </c>
      <c r="X239" s="25">
        <f>SUMIFS(U:U,C:C,Dealps[[#This Row],[PAPER_CODE]])</f>
        <v>0</v>
      </c>
      <c r="Y239" s="25">
        <f>_xlfn.XLOOKUP(Dealps[[#This Row],[DEAL_ID]],Ref!N:N,Ref!Q:Q,0,0)</f>
        <v>0</v>
      </c>
      <c r="Z239" s="25" t="str">
        <f>IF(Dealps[[#This Row],[CPTY_CODE]]=Dealps[[#This Row],[CPTY_CODE_ISSUER]],"Yes","No")</f>
        <v>No</v>
      </c>
      <c r="AA239" s="25"/>
      <c r="AC239" s="14"/>
      <c r="AG239" s="96"/>
      <c r="AH239" s="14"/>
      <c r="AI239"/>
      <c r="AN239" s="14"/>
      <c r="AV239" s="36"/>
      <c r="AW239" s="14"/>
      <c r="AX239" s="234"/>
      <c r="AY239" s="96"/>
      <c r="AZ239" s="14"/>
      <c r="BA239"/>
      <c r="BB239" s="93">
        <v>46262</v>
      </c>
      <c r="BC239">
        <v>3575</v>
      </c>
      <c r="BD239" s="56" t="s">
        <v>1218</v>
      </c>
      <c r="BE239" t="s">
        <v>1011</v>
      </c>
      <c r="BF239" t="s">
        <v>1022</v>
      </c>
      <c r="BG239" t="s">
        <v>364</v>
      </c>
      <c r="BH239" t="s">
        <v>1013</v>
      </c>
      <c r="BI239" t="s">
        <v>311</v>
      </c>
      <c r="BJ239" s="93">
        <v>46066</v>
      </c>
      <c r="BK239" s="93">
        <v>46066</v>
      </c>
      <c r="BL239" s="93">
        <v>46066</v>
      </c>
      <c r="BM239" s="93">
        <v>46796</v>
      </c>
      <c r="BN239" s="14">
        <v>1</v>
      </c>
      <c r="BO239" s="14">
        <v>50000000000</v>
      </c>
      <c r="BP239" s="56">
        <v>100</v>
      </c>
      <c r="BQ239" s="56">
        <v>0</v>
      </c>
      <c r="BR239" s="14">
        <v>50000000000</v>
      </c>
      <c r="BS239">
        <v>7.4897400000000003</v>
      </c>
      <c r="BT239" t="s">
        <v>1184</v>
      </c>
      <c r="BU239" s="25">
        <f>_xlfn.XLOOKUP(Dealps_MSB[[#This Row],[DEAL_ID]],Ref!V:V,Ref!X:X,0,0)</f>
        <v>0</v>
      </c>
      <c r="BV239"/>
    </row>
    <row r="240" spans="1:74" x14ac:dyDescent="0.3">
      <c r="A240" s="93">
        <v>46262</v>
      </c>
      <c r="B240">
        <v>3668</v>
      </c>
      <c r="C240" s="56" t="s">
        <v>963</v>
      </c>
      <c r="D240" t="s">
        <v>308</v>
      </c>
      <c r="E240" t="s">
        <v>315</v>
      </c>
      <c r="F240" t="s">
        <v>364</v>
      </c>
      <c r="G240" t="s">
        <v>310</v>
      </c>
      <c r="H240" t="s">
        <v>311</v>
      </c>
      <c r="I240" s="93">
        <v>46084</v>
      </c>
      <c r="J240" s="93">
        <v>46084</v>
      </c>
      <c r="K240" s="93">
        <v>46085</v>
      </c>
      <c r="L240" s="93">
        <v>46295</v>
      </c>
      <c r="M240" s="14">
        <v>1</v>
      </c>
      <c r="N240" s="14">
        <v>100000000000</v>
      </c>
      <c r="O240" s="56">
        <v>100.54321217</v>
      </c>
      <c r="P240" s="56">
        <v>0</v>
      </c>
      <c r="Q240" s="14">
        <v>103116910800</v>
      </c>
      <c r="R240">
        <v>5</v>
      </c>
      <c r="S240" t="s">
        <v>1184</v>
      </c>
      <c r="T240" s="57">
        <f>IF(Dealps[[#This Row],[MATURITY_DATE]]-Dealps[[#This Row],[POSTED_DT]]&lt;0,0,IF(Dealps[[#This Row],[VALUE_DATE]]-Dealps[[#This Row],[POSTED_DT]]&gt;0,Dealps[[#This Row],[MATURITY_DATE]]-Dealps[[#This Row],[VALUE_DATE]],Dealps[[#This Row],[MATURITY_DATE]]-Dealps[[#This Row],[POSTED_DT]]))</f>
        <v>33</v>
      </c>
      <c r="U240" s="25">
        <f>IF(Dealps[[#This Row],[TENOR]]=0,0,IF(Dealps[[#This Row],[DEAL_TYPE]]="B",Dealps[[#This Row],[FACE_AMOUNT]],-Dealps[[#This Row],[FACE_AMOUNT]]))</f>
        <v>-100000000000</v>
      </c>
      <c r="V240" s="25">
        <f>_xlfn.XLOOKUP(Dealps[[#This Row],[PAPER_CODE]],FNRP!D:D,FNRP!H:H,0,0)/100*Dealps[[#This Row],[AMOUNT]]</f>
        <v>0</v>
      </c>
      <c r="W240" s="57" t="str">
        <f>IF(Dealps[[#This Row],[TRANSACTION_STATUS]]&lt;&gt;"V","Ngoai BS",IF(Dealps[[#This Row],[POSTED_DT]]&gt;=Dealps[[#This Row],[VALUE_DATE]],"On BS","Off BS"))</f>
        <v>On BS</v>
      </c>
      <c r="X240" s="25">
        <f>SUMIFS(U:U,C:C,Dealps[[#This Row],[PAPER_CODE]])</f>
        <v>400000000000</v>
      </c>
      <c r="Y240" s="25">
        <f>_xlfn.XLOOKUP(Dealps[[#This Row],[DEAL_ID]],Ref!N:N,Ref!Q:Q,0,0)</f>
        <v>0</v>
      </c>
      <c r="Z240" s="25" t="str">
        <f>IF(Dealps[[#This Row],[CPTY_CODE]]=Dealps[[#This Row],[CPTY_CODE_ISSUER]],"Yes","No")</f>
        <v>No</v>
      </c>
      <c r="AA240" s="25"/>
      <c r="AC240" s="14"/>
      <c r="AG240" s="96"/>
      <c r="AH240" s="14"/>
      <c r="AI240"/>
      <c r="AN240" s="14"/>
      <c r="AV240" s="36"/>
      <c r="AW240" s="14"/>
      <c r="AX240" s="234"/>
      <c r="AY240" s="96"/>
      <c r="AZ240" s="14"/>
      <c r="BA240"/>
      <c r="BB240" s="93">
        <v>46262</v>
      </c>
      <c r="BC240">
        <v>3576</v>
      </c>
      <c r="BD240" s="56" t="s">
        <v>1218</v>
      </c>
      <c r="BE240" t="s">
        <v>1011</v>
      </c>
      <c r="BF240" t="s">
        <v>1022</v>
      </c>
      <c r="BG240" t="s">
        <v>364</v>
      </c>
      <c r="BH240" t="s">
        <v>1013</v>
      </c>
      <c r="BI240" t="s">
        <v>311</v>
      </c>
      <c r="BJ240" s="93">
        <v>46066</v>
      </c>
      <c r="BK240" s="93">
        <v>46066</v>
      </c>
      <c r="BL240" s="93">
        <v>46066</v>
      </c>
      <c r="BM240" s="93">
        <v>46796</v>
      </c>
      <c r="BN240" s="14">
        <v>1</v>
      </c>
      <c r="BO240" s="14">
        <v>50000000000</v>
      </c>
      <c r="BP240" s="56">
        <v>100</v>
      </c>
      <c r="BQ240" s="56">
        <v>0</v>
      </c>
      <c r="BR240" s="14">
        <v>50000000000</v>
      </c>
      <c r="BS240">
        <v>7.4897400000000003</v>
      </c>
      <c r="BT240" t="s">
        <v>1184</v>
      </c>
      <c r="BU240" s="25">
        <f>_xlfn.XLOOKUP(Dealps_MSB[[#This Row],[DEAL_ID]],Ref!V:V,Ref!X:X,0,0)</f>
        <v>0</v>
      </c>
      <c r="BV240"/>
    </row>
    <row r="241" spans="1:74" x14ac:dyDescent="0.3">
      <c r="A241" s="93">
        <v>46262</v>
      </c>
      <c r="B241">
        <v>3672</v>
      </c>
      <c r="C241" s="56" t="s">
        <v>1204</v>
      </c>
      <c r="D241" t="s">
        <v>315</v>
      </c>
      <c r="E241" t="s">
        <v>347</v>
      </c>
      <c r="F241" t="s">
        <v>364</v>
      </c>
      <c r="G241" t="s">
        <v>310</v>
      </c>
      <c r="H241" t="s">
        <v>311</v>
      </c>
      <c r="I241" s="93">
        <v>46084</v>
      </c>
      <c r="J241" s="93">
        <v>46084</v>
      </c>
      <c r="K241" s="93">
        <v>46086</v>
      </c>
      <c r="L241" s="93">
        <v>46422</v>
      </c>
      <c r="M241" s="14">
        <v>1</v>
      </c>
      <c r="N241" s="14">
        <v>500000000000</v>
      </c>
      <c r="O241" s="56">
        <v>100.17273372299999</v>
      </c>
      <c r="P241" s="56">
        <v>0</v>
      </c>
      <c r="Q241" s="14">
        <v>503739832999.99994</v>
      </c>
      <c r="R241">
        <v>7</v>
      </c>
      <c r="S241" t="s">
        <v>1184</v>
      </c>
      <c r="T241" s="57">
        <f>IF(Dealps[[#This Row],[MATURITY_DATE]]-Dealps[[#This Row],[POSTED_DT]]&lt;0,0,IF(Dealps[[#This Row],[VALUE_DATE]]-Dealps[[#This Row],[POSTED_DT]]&gt;0,Dealps[[#This Row],[MATURITY_DATE]]-Dealps[[#This Row],[VALUE_DATE]],Dealps[[#This Row],[MATURITY_DATE]]-Dealps[[#This Row],[POSTED_DT]]))</f>
        <v>160</v>
      </c>
      <c r="U241" s="25">
        <f>IF(Dealps[[#This Row],[TENOR]]=0,0,IF(Dealps[[#This Row],[DEAL_TYPE]]="B",Dealps[[#This Row],[FACE_AMOUNT]],-Dealps[[#This Row],[FACE_AMOUNT]]))</f>
        <v>-500000000000</v>
      </c>
      <c r="V241" s="25">
        <f>_xlfn.XLOOKUP(Dealps[[#This Row],[PAPER_CODE]],FNRP!D:D,FNRP!H:H,0,0)/100*Dealps[[#This Row],[AMOUNT]]</f>
        <v>0</v>
      </c>
      <c r="W241" s="57" t="str">
        <f>IF(Dealps[[#This Row],[TRANSACTION_STATUS]]&lt;&gt;"V","Ngoai BS",IF(Dealps[[#This Row],[POSTED_DT]]&gt;=Dealps[[#This Row],[VALUE_DATE]],"On BS","Off BS"))</f>
        <v>On BS</v>
      </c>
      <c r="X241" s="25">
        <f>SUMIFS(U:U,C:C,Dealps[[#This Row],[PAPER_CODE]])</f>
        <v>1000000000000</v>
      </c>
      <c r="Y241" s="25">
        <f>_xlfn.XLOOKUP(Dealps[[#This Row],[DEAL_ID]],Ref!N:N,Ref!Q:Q,0,0)</f>
        <v>0</v>
      </c>
      <c r="Z241" s="25" t="str">
        <f>IF(Dealps[[#This Row],[CPTY_CODE]]=Dealps[[#This Row],[CPTY_CODE_ISSUER]],"Yes","No")</f>
        <v>No</v>
      </c>
      <c r="AA241" s="25"/>
      <c r="AC241" s="14"/>
      <c r="AG241" s="96"/>
      <c r="AH241" s="14"/>
      <c r="AI241"/>
      <c r="AN241" s="14"/>
      <c r="AV241" s="36"/>
      <c r="AW241" s="14"/>
      <c r="AX241" s="234"/>
      <c r="AY241" s="96"/>
      <c r="AZ241" s="14"/>
      <c r="BA241"/>
      <c r="BB241" s="93">
        <v>46262</v>
      </c>
      <c r="BC241">
        <v>3577</v>
      </c>
      <c r="BD241" s="56" t="s">
        <v>1218</v>
      </c>
      <c r="BE241" t="s">
        <v>1011</v>
      </c>
      <c r="BF241" t="s">
        <v>1022</v>
      </c>
      <c r="BG241" t="s">
        <v>364</v>
      </c>
      <c r="BH241" t="s">
        <v>1013</v>
      </c>
      <c r="BI241" t="s">
        <v>311</v>
      </c>
      <c r="BJ241" s="93">
        <v>46066</v>
      </c>
      <c r="BK241" s="93">
        <v>46066</v>
      </c>
      <c r="BL241" s="93">
        <v>46066</v>
      </c>
      <c r="BM241" s="93">
        <v>46796</v>
      </c>
      <c r="BN241" s="14">
        <v>1</v>
      </c>
      <c r="BO241" s="14">
        <v>100000000000</v>
      </c>
      <c r="BP241" s="56">
        <v>100</v>
      </c>
      <c r="BQ241" s="56">
        <v>0</v>
      </c>
      <c r="BR241" s="14">
        <v>100000000000</v>
      </c>
      <c r="BS241">
        <v>7.4897400000000003</v>
      </c>
      <c r="BT241" t="s">
        <v>1184</v>
      </c>
      <c r="BU241" s="25">
        <f>_xlfn.XLOOKUP(Dealps_MSB[[#This Row],[DEAL_ID]],Ref!V:V,Ref!X:X,0,0)</f>
        <v>0</v>
      </c>
      <c r="BV241"/>
    </row>
    <row r="242" spans="1:74" x14ac:dyDescent="0.3">
      <c r="A242" s="93">
        <v>46262</v>
      </c>
      <c r="B242">
        <v>3685</v>
      </c>
      <c r="C242" s="56" t="s">
        <v>1010</v>
      </c>
      <c r="D242" t="s">
        <v>328</v>
      </c>
      <c r="E242" t="s">
        <v>315</v>
      </c>
      <c r="F242" t="s">
        <v>364</v>
      </c>
      <c r="G242" t="s">
        <v>310</v>
      </c>
      <c r="H242" t="s">
        <v>311</v>
      </c>
      <c r="I242" s="93">
        <v>46085</v>
      </c>
      <c r="J242" s="93">
        <v>46085</v>
      </c>
      <c r="K242" s="93">
        <v>46087</v>
      </c>
      <c r="L242" s="93">
        <v>46329</v>
      </c>
      <c r="M242" s="14">
        <v>1</v>
      </c>
      <c r="N242" s="14">
        <v>500000000000</v>
      </c>
      <c r="O242" s="56">
        <v>100.11073057500001</v>
      </c>
      <c r="P242" s="56">
        <v>0</v>
      </c>
      <c r="Q242" s="14">
        <v>511082420000.00006</v>
      </c>
      <c r="R242">
        <v>6</v>
      </c>
      <c r="S242" t="s">
        <v>1184</v>
      </c>
      <c r="T242" s="57">
        <f>IF(Dealps[[#This Row],[MATURITY_DATE]]-Dealps[[#This Row],[POSTED_DT]]&lt;0,0,IF(Dealps[[#This Row],[VALUE_DATE]]-Dealps[[#This Row],[POSTED_DT]]&gt;0,Dealps[[#This Row],[MATURITY_DATE]]-Dealps[[#This Row],[VALUE_DATE]],Dealps[[#This Row],[MATURITY_DATE]]-Dealps[[#This Row],[POSTED_DT]]))</f>
        <v>67</v>
      </c>
      <c r="U242" s="25">
        <f>IF(Dealps[[#This Row],[TENOR]]=0,0,IF(Dealps[[#This Row],[DEAL_TYPE]]="B",Dealps[[#This Row],[FACE_AMOUNT]],-Dealps[[#This Row],[FACE_AMOUNT]]))</f>
        <v>-500000000000</v>
      </c>
      <c r="V242" s="25">
        <f>_xlfn.XLOOKUP(Dealps[[#This Row],[PAPER_CODE]],FNRP!D:D,FNRP!H:H,0,0)/100*Dealps[[#This Row],[AMOUNT]]</f>
        <v>0</v>
      </c>
      <c r="W242" s="57" t="str">
        <f>IF(Dealps[[#This Row],[TRANSACTION_STATUS]]&lt;&gt;"V","Ngoai BS",IF(Dealps[[#This Row],[POSTED_DT]]&gt;=Dealps[[#This Row],[VALUE_DATE]],"On BS","Off BS"))</f>
        <v>On BS</v>
      </c>
      <c r="X242" s="25">
        <f>SUMIFS(U:U,C:C,Dealps[[#This Row],[PAPER_CODE]])</f>
        <v>2000000000000</v>
      </c>
      <c r="Y242" s="25">
        <f>_xlfn.XLOOKUP(Dealps[[#This Row],[DEAL_ID]],Ref!N:N,Ref!Q:Q,0,0)</f>
        <v>0</v>
      </c>
      <c r="Z242" s="25" t="str">
        <f>IF(Dealps[[#This Row],[CPTY_CODE]]=Dealps[[#This Row],[CPTY_CODE_ISSUER]],"Yes","No")</f>
        <v>No</v>
      </c>
      <c r="AA242" s="25"/>
      <c r="AC242" s="14"/>
      <c r="AG242" s="96"/>
      <c r="AH242" s="14"/>
      <c r="AI242"/>
      <c r="AN242" s="14"/>
      <c r="AV242" s="36"/>
      <c r="AW242" s="14"/>
      <c r="AX242" s="234"/>
      <c r="AY242" s="96"/>
      <c r="AZ242" s="14"/>
      <c r="BA242"/>
      <c r="BB242" s="93">
        <v>46262</v>
      </c>
      <c r="BC242">
        <v>3586</v>
      </c>
      <c r="BD242" s="56" t="s">
        <v>1219</v>
      </c>
      <c r="BE242" t="s">
        <v>1011</v>
      </c>
      <c r="BF242" t="s">
        <v>1022</v>
      </c>
      <c r="BG242" t="s">
        <v>364</v>
      </c>
      <c r="BH242" t="s">
        <v>1013</v>
      </c>
      <c r="BI242" t="s">
        <v>311</v>
      </c>
      <c r="BJ242" s="93">
        <v>46076</v>
      </c>
      <c r="BK242" s="93">
        <v>46076</v>
      </c>
      <c r="BL242" s="93">
        <v>46076</v>
      </c>
      <c r="BM242" s="93">
        <v>46806</v>
      </c>
      <c r="BN242" s="14">
        <v>1</v>
      </c>
      <c r="BO242" s="14">
        <v>50000000000</v>
      </c>
      <c r="BP242" s="56">
        <v>100</v>
      </c>
      <c r="BQ242" s="56">
        <v>0</v>
      </c>
      <c r="BR242" s="14">
        <v>50000000000</v>
      </c>
      <c r="BS242">
        <v>7.5</v>
      </c>
      <c r="BT242" t="s">
        <v>1184</v>
      </c>
      <c r="BU242" s="25">
        <f>_xlfn.XLOOKUP(Dealps_MSB[[#This Row],[DEAL_ID]],Ref!V:V,Ref!X:X,0,0)</f>
        <v>0</v>
      </c>
      <c r="BV242"/>
    </row>
    <row r="243" spans="1:74" x14ac:dyDescent="0.3">
      <c r="A243" s="93">
        <v>46262</v>
      </c>
      <c r="B243">
        <v>3686</v>
      </c>
      <c r="C243" s="56" t="s">
        <v>1153</v>
      </c>
      <c r="D243" t="s">
        <v>312</v>
      </c>
      <c r="E243" t="s">
        <v>1152</v>
      </c>
      <c r="F243" t="s">
        <v>364</v>
      </c>
      <c r="G243" t="s">
        <v>310</v>
      </c>
      <c r="H243" t="s">
        <v>311</v>
      </c>
      <c r="I243" s="93">
        <v>46086</v>
      </c>
      <c r="J243" s="93">
        <v>46086</v>
      </c>
      <c r="K243" s="93">
        <v>46086</v>
      </c>
      <c r="L243" s="93">
        <v>46372</v>
      </c>
      <c r="M243" s="14">
        <v>1</v>
      </c>
      <c r="N243" s="14">
        <v>200000000000</v>
      </c>
      <c r="O243" s="56">
        <v>100.91690513099999</v>
      </c>
      <c r="P243" s="56">
        <v>0</v>
      </c>
      <c r="Q243" s="14">
        <v>205037097934</v>
      </c>
      <c r="R243">
        <v>6.0767769999999999</v>
      </c>
      <c r="S243" t="s">
        <v>1184</v>
      </c>
      <c r="T243" s="57">
        <f>IF(Dealps[[#This Row],[MATURITY_DATE]]-Dealps[[#This Row],[POSTED_DT]]&lt;0,0,IF(Dealps[[#This Row],[VALUE_DATE]]-Dealps[[#This Row],[POSTED_DT]]&gt;0,Dealps[[#This Row],[MATURITY_DATE]]-Dealps[[#This Row],[VALUE_DATE]],Dealps[[#This Row],[MATURITY_DATE]]-Dealps[[#This Row],[POSTED_DT]]))</f>
        <v>110</v>
      </c>
      <c r="U243" s="25">
        <f>IF(Dealps[[#This Row],[TENOR]]=0,0,IF(Dealps[[#This Row],[DEAL_TYPE]]="B",Dealps[[#This Row],[FACE_AMOUNT]],-Dealps[[#This Row],[FACE_AMOUNT]]))</f>
        <v>-200000000000</v>
      </c>
      <c r="V243" s="25">
        <f>_xlfn.XLOOKUP(Dealps[[#This Row],[PAPER_CODE]],FNRP!D:D,FNRP!H:H,0,0)/100*Dealps[[#This Row],[AMOUNT]]</f>
        <v>0</v>
      </c>
      <c r="W243" s="57" t="str">
        <f>IF(Dealps[[#This Row],[TRANSACTION_STATUS]]&lt;&gt;"V","Ngoai BS",IF(Dealps[[#This Row],[POSTED_DT]]&gt;=Dealps[[#This Row],[VALUE_DATE]],"On BS","Off BS"))</f>
        <v>On BS</v>
      </c>
      <c r="X243" s="25">
        <f>SUMIFS(U:U,C:C,Dealps[[#This Row],[PAPER_CODE]])</f>
        <v>0</v>
      </c>
      <c r="Y243" s="25">
        <f>_xlfn.XLOOKUP(Dealps[[#This Row],[DEAL_ID]],Ref!N:N,Ref!Q:Q,0,0)</f>
        <v>0</v>
      </c>
      <c r="Z243" s="25" t="str">
        <f>IF(Dealps[[#This Row],[CPTY_CODE]]=Dealps[[#This Row],[CPTY_CODE_ISSUER]],"Yes","No")</f>
        <v>No</v>
      </c>
      <c r="AA243" s="25"/>
      <c r="AC243" s="14"/>
      <c r="AG243" s="96"/>
      <c r="AH243" s="14"/>
      <c r="AI243"/>
      <c r="AN243" s="14"/>
      <c r="AV243" s="36"/>
      <c r="AW243" s="14"/>
      <c r="AX243" s="234"/>
      <c r="AY243" s="96"/>
      <c r="AZ243" s="14"/>
      <c r="BA243"/>
      <c r="BB243" s="93">
        <v>46262</v>
      </c>
      <c r="BC243">
        <v>3587</v>
      </c>
      <c r="BD243" s="56" t="s">
        <v>1219</v>
      </c>
      <c r="BE243" t="s">
        <v>1011</v>
      </c>
      <c r="BF243" t="s">
        <v>1022</v>
      </c>
      <c r="BG243" t="s">
        <v>364</v>
      </c>
      <c r="BH243" t="s">
        <v>1013</v>
      </c>
      <c r="BI243" t="s">
        <v>311</v>
      </c>
      <c r="BJ243" s="93">
        <v>46076</v>
      </c>
      <c r="BK243" s="93">
        <v>46076</v>
      </c>
      <c r="BL243" s="93">
        <v>46076</v>
      </c>
      <c r="BM243" s="93">
        <v>46806</v>
      </c>
      <c r="BN243" s="14">
        <v>1</v>
      </c>
      <c r="BO243" s="14">
        <v>50000000000</v>
      </c>
      <c r="BP243" s="56">
        <v>100</v>
      </c>
      <c r="BQ243" s="56">
        <v>0</v>
      </c>
      <c r="BR243" s="14">
        <v>50000000000</v>
      </c>
      <c r="BS243">
        <v>7.5</v>
      </c>
      <c r="BT243" t="s">
        <v>1184</v>
      </c>
      <c r="BU243" s="25">
        <f>_xlfn.XLOOKUP(Dealps_MSB[[#This Row],[DEAL_ID]],Ref!V:V,Ref!X:X,0,0)</f>
        <v>0</v>
      </c>
      <c r="BV243"/>
    </row>
    <row r="244" spans="1:74" x14ac:dyDescent="0.3">
      <c r="A244" s="93">
        <v>46262</v>
      </c>
      <c r="B244">
        <v>3687</v>
      </c>
      <c r="C244" s="56" t="s">
        <v>1061</v>
      </c>
      <c r="D244" t="s">
        <v>312</v>
      </c>
      <c r="E244" t="s">
        <v>315</v>
      </c>
      <c r="F244" t="s">
        <v>364</v>
      </c>
      <c r="G244" t="s">
        <v>310</v>
      </c>
      <c r="H244" t="s">
        <v>300</v>
      </c>
      <c r="I244" s="93">
        <v>46086</v>
      </c>
      <c r="J244" s="93">
        <v>46083</v>
      </c>
      <c r="K244" s="93">
        <v>46086</v>
      </c>
      <c r="L244" s="93">
        <v>46343</v>
      </c>
      <c r="M244" s="14">
        <v>1</v>
      </c>
      <c r="N244" s="14">
        <v>600000000000</v>
      </c>
      <c r="O244" s="56">
        <v>100.380401385</v>
      </c>
      <c r="P244" s="56">
        <v>0</v>
      </c>
      <c r="Q244" s="14">
        <v>613363504200.00012</v>
      </c>
      <c r="R244">
        <v>5.634252</v>
      </c>
      <c r="S244" t="s">
        <v>1184</v>
      </c>
      <c r="T244" s="57">
        <f>IF(Dealps[[#This Row],[MATURITY_DATE]]-Dealps[[#This Row],[POSTED_DT]]&lt;0,0,IF(Dealps[[#This Row],[VALUE_DATE]]-Dealps[[#This Row],[POSTED_DT]]&gt;0,Dealps[[#This Row],[MATURITY_DATE]]-Dealps[[#This Row],[VALUE_DATE]],Dealps[[#This Row],[MATURITY_DATE]]-Dealps[[#This Row],[POSTED_DT]]))</f>
        <v>81</v>
      </c>
      <c r="U244" s="25">
        <f>IF(Dealps[[#This Row],[TENOR]]=0,0,IF(Dealps[[#This Row],[DEAL_TYPE]]="B",Dealps[[#This Row],[FACE_AMOUNT]],-Dealps[[#This Row],[FACE_AMOUNT]]))</f>
        <v>600000000000</v>
      </c>
      <c r="V244" s="25">
        <f>_xlfn.XLOOKUP(Dealps[[#This Row],[PAPER_CODE]],FNRP!D:D,FNRP!H:H,0,0)/100*Dealps[[#This Row],[AMOUNT]]</f>
        <v>0</v>
      </c>
      <c r="W244" s="57" t="str">
        <f>IF(Dealps[[#This Row],[TRANSACTION_STATUS]]&lt;&gt;"V","Ngoai BS",IF(Dealps[[#This Row],[POSTED_DT]]&gt;=Dealps[[#This Row],[VALUE_DATE]],"On BS","Off BS"))</f>
        <v>On BS</v>
      </c>
      <c r="X244" s="25">
        <f>SUMIFS(U:U,C:C,Dealps[[#This Row],[PAPER_CODE]])</f>
        <v>1500000000000</v>
      </c>
      <c r="Y244" s="25">
        <f>_xlfn.XLOOKUP(Dealps[[#This Row],[DEAL_ID]],Ref!N:N,Ref!Q:Q,0,0)</f>
        <v>0</v>
      </c>
      <c r="Z244" s="25" t="str">
        <f>IF(Dealps[[#This Row],[CPTY_CODE]]=Dealps[[#This Row],[CPTY_CODE_ISSUER]],"Yes","No")</f>
        <v>No</v>
      </c>
      <c r="AA244" s="25"/>
      <c r="AC244" s="14"/>
      <c r="AG244" s="96"/>
      <c r="AH244" s="14"/>
      <c r="AI244"/>
      <c r="AN244" s="14"/>
      <c r="AV244" s="36"/>
      <c r="AW244" s="14"/>
      <c r="AX244" s="234"/>
      <c r="AY244" s="96"/>
      <c r="AZ244" s="14"/>
      <c r="BA244"/>
      <c r="BB244" s="93">
        <v>46262</v>
      </c>
      <c r="BC244">
        <v>3593</v>
      </c>
      <c r="BD244" s="56" t="s">
        <v>1219</v>
      </c>
      <c r="BE244" t="s">
        <v>1011</v>
      </c>
      <c r="BF244" t="s">
        <v>1022</v>
      </c>
      <c r="BG244" t="s">
        <v>364</v>
      </c>
      <c r="BH244" t="s">
        <v>1013</v>
      </c>
      <c r="BI244" t="s">
        <v>311</v>
      </c>
      <c r="BJ244" s="93">
        <v>46077</v>
      </c>
      <c r="BK244" s="93">
        <v>46077</v>
      </c>
      <c r="BL244" s="93">
        <v>46077</v>
      </c>
      <c r="BM244" s="93">
        <v>46806</v>
      </c>
      <c r="BN244" s="14">
        <v>1</v>
      </c>
      <c r="BO244" s="14">
        <v>50000000000</v>
      </c>
      <c r="BP244" s="56">
        <v>100</v>
      </c>
      <c r="BQ244" s="56">
        <v>0</v>
      </c>
      <c r="BR244" s="14">
        <v>50010273973</v>
      </c>
      <c r="BS244">
        <v>7.4984590000000004</v>
      </c>
      <c r="BT244" t="s">
        <v>1184</v>
      </c>
      <c r="BU244" s="25">
        <f>_xlfn.XLOOKUP(Dealps_MSB[[#This Row],[DEAL_ID]],Ref!V:V,Ref!X:X,0,0)</f>
        <v>0</v>
      </c>
      <c r="BV244"/>
    </row>
    <row r="245" spans="1:74" x14ac:dyDescent="0.3">
      <c r="A245" s="93">
        <v>46262</v>
      </c>
      <c r="B245">
        <v>3689</v>
      </c>
      <c r="C245" s="56" t="s">
        <v>1204</v>
      </c>
      <c r="D245" t="s">
        <v>315</v>
      </c>
      <c r="E245" t="s">
        <v>384</v>
      </c>
      <c r="F245" t="s">
        <v>364</v>
      </c>
      <c r="G245" t="s">
        <v>310</v>
      </c>
      <c r="H245" t="s">
        <v>311</v>
      </c>
      <c r="I245" s="93">
        <v>46086</v>
      </c>
      <c r="J245" s="93">
        <v>46086</v>
      </c>
      <c r="K245" s="93">
        <v>46086</v>
      </c>
      <c r="L245" s="93">
        <v>46422</v>
      </c>
      <c r="M245" s="14">
        <v>1</v>
      </c>
      <c r="N245" s="14">
        <v>350000000000</v>
      </c>
      <c r="O245" s="56">
        <v>100.17273372299999</v>
      </c>
      <c r="P245" s="56">
        <v>0</v>
      </c>
      <c r="Q245" s="14">
        <v>352617883100</v>
      </c>
      <c r="R245">
        <v>7</v>
      </c>
      <c r="S245" t="s">
        <v>1184</v>
      </c>
      <c r="T245" s="57">
        <f>IF(Dealps[[#This Row],[MATURITY_DATE]]-Dealps[[#This Row],[POSTED_DT]]&lt;0,0,IF(Dealps[[#This Row],[VALUE_DATE]]-Dealps[[#This Row],[POSTED_DT]]&gt;0,Dealps[[#This Row],[MATURITY_DATE]]-Dealps[[#This Row],[VALUE_DATE]],Dealps[[#This Row],[MATURITY_DATE]]-Dealps[[#This Row],[POSTED_DT]]))</f>
        <v>160</v>
      </c>
      <c r="U245" s="25">
        <f>IF(Dealps[[#This Row],[TENOR]]=0,0,IF(Dealps[[#This Row],[DEAL_TYPE]]="B",Dealps[[#This Row],[FACE_AMOUNT]],-Dealps[[#This Row],[FACE_AMOUNT]]))</f>
        <v>-350000000000</v>
      </c>
      <c r="V245" s="25">
        <f>_xlfn.XLOOKUP(Dealps[[#This Row],[PAPER_CODE]],FNRP!D:D,FNRP!H:H,0,0)/100*Dealps[[#This Row],[AMOUNT]]</f>
        <v>0</v>
      </c>
      <c r="W245" s="57" t="str">
        <f>IF(Dealps[[#This Row],[TRANSACTION_STATUS]]&lt;&gt;"V","Ngoai BS",IF(Dealps[[#This Row],[POSTED_DT]]&gt;=Dealps[[#This Row],[VALUE_DATE]],"On BS","Off BS"))</f>
        <v>On BS</v>
      </c>
      <c r="X245" s="25">
        <f>SUMIFS(U:U,C:C,Dealps[[#This Row],[PAPER_CODE]])</f>
        <v>1000000000000</v>
      </c>
      <c r="Y245" s="25">
        <f>_xlfn.XLOOKUP(Dealps[[#This Row],[DEAL_ID]],Ref!N:N,Ref!Q:Q,0,0)</f>
        <v>0</v>
      </c>
      <c r="Z245" s="25" t="str">
        <f>IF(Dealps[[#This Row],[CPTY_CODE]]=Dealps[[#This Row],[CPTY_CODE_ISSUER]],"Yes","No")</f>
        <v>No</v>
      </c>
      <c r="AA245" s="25"/>
      <c r="AC245" s="14"/>
      <c r="AG245" s="96"/>
      <c r="AH245" s="14"/>
      <c r="AI245"/>
      <c r="AN245" s="14"/>
      <c r="AV245" s="36"/>
      <c r="AW245" s="14"/>
      <c r="AX245" s="234"/>
      <c r="AY245" s="96"/>
      <c r="AZ245" s="14"/>
      <c r="BA245"/>
      <c r="BB245" s="93">
        <v>46262</v>
      </c>
      <c r="BC245">
        <v>3594</v>
      </c>
      <c r="BD245" s="56" t="s">
        <v>1219</v>
      </c>
      <c r="BE245" t="s">
        <v>1011</v>
      </c>
      <c r="BF245" t="s">
        <v>1022</v>
      </c>
      <c r="BG245" t="s">
        <v>364</v>
      </c>
      <c r="BH245" t="s">
        <v>1013</v>
      </c>
      <c r="BI245" t="s">
        <v>311</v>
      </c>
      <c r="BJ245" s="93">
        <v>46077</v>
      </c>
      <c r="BK245" s="93">
        <v>46077</v>
      </c>
      <c r="BL245" s="93">
        <v>46077</v>
      </c>
      <c r="BM245" s="93">
        <v>46806</v>
      </c>
      <c r="BN245" s="14">
        <v>1</v>
      </c>
      <c r="BO245" s="14">
        <v>50000000000</v>
      </c>
      <c r="BP245" s="56">
        <v>100</v>
      </c>
      <c r="BQ245" s="56">
        <v>0</v>
      </c>
      <c r="BR245" s="14">
        <v>50010273973</v>
      </c>
      <c r="BS245">
        <v>7.4984590000000004</v>
      </c>
      <c r="BT245" t="s">
        <v>1184</v>
      </c>
      <c r="BU245" s="25">
        <f>_xlfn.XLOOKUP(Dealps_MSB[[#This Row],[DEAL_ID]],Ref!V:V,Ref!X:X,0,0)</f>
        <v>0</v>
      </c>
      <c r="BV245"/>
    </row>
    <row r="246" spans="1:74" x14ac:dyDescent="0.3">
      <c r="A246" s="93">
        <v>46262</v>
      </c>
      <c r="B246">
        <v>3691</v>
      </c>
      <c r="C246" s="56" t="s">
        <v>1158</v>
      </c>
      <c r="D246" t="s">
        <v>327</v>
      </c>
      <c r="E246" t="s">
        <v>345</v>
      </c>
      <c r="F246" t="s">
        <v>364</v>
      </c>
      <c r="G246" t="s">
        <v>310</v>
      </c>
      <c r="H246" t="s">
        <v>300</v>
      </c>
      <c r="I246" s="93">
        <v>46086</v>
      </c>
      <c r="J246" s="93">
        <v>46087</v>
      </c>
      <c r="K246" s="93">
        <v>46087</v>
      </c>
      <c r="L246" s="93">
        <v>46409</v>
      </c>
      <c r="M246" s="14">
        <v>1</v>
      </c>
      <c r="N246" s="14">
        <v>500000000000</v>
      </c>
      <c r="O246" s="56">
        <v>100.536248532</v>
      </c>
      <c r="P246" s="56">
        <v>0</v>
      </c>
      <c r="Q246" s="14">
        <v>506823708413.00006</v>
      </c>
      <c r="R246">
        <v>6.5033859999999999</v>
      </c>
      <c r="S246" t="s">
        <v>1184</v>
      </c>
      <c r="T246" s="57">
        <f>IF(Dealps[[#This Row],[MATURITY_DATE]]-Dealps[[#This Row],[POSTED_DT]]&lt;0,0,IF(Dealps[[#This Row],[VALUE_DATE]]-Dealps[[#This Row],[POSTED_DT]]&gt;0,Dealps[[#This Row],[MATURITY_DATE]]-Dealps[[#This Row],[VALUE_DATE]],Dealps[[#This Row],[MATURITY_DATE]]-Dealps[[#This Row],[POSTED_DT]]))</f>
        <v>147</v>
      </c>
      <c r="U246" s="25">
        <f>IF(Dealps[[#This Row],[TENOR]]=0,0,IF(Dealps[[#This Row],[DEAL_TYPE]]="B",Dealps[[#This Row],[FACE_AMOUNT]],-Dealps[[#This Row],[FACE_AMOUNT]]))</f>
        <v>500000000000</v>
      </c>
      <c r="V246" s="25">
        <f>_xlfn.XLOOKUP(Dealps[[#This Row],[PAPER_CODE]],FNRP!D:D,FNRP!H:H,0,0)/100*Dealps[[#This Row],[AMOUNT]]</f>
        <v>0</v>
      </c>
      <c r="W246" s="57" t="str">
        <f>IF(Dealps[[#This Row],[TRANSACTION_STATUS]]&lt;&gt;"V","Ngoai BS",IF(Dealps[[#This Row],[POSTED_DT]]&gt;=Dealps[[#This Row],[VALUE_DATE]],"On BS","Off BS"))</f>
        <v>On BS</v>
      </c>
      <c r="X246" s="25">
        <f>SUMIFS(U:U,C:C,Dealps[[#This Row],[PAPER_CODE]])</f>
        <v>2000000000000</v>
      </c>
      <c r="Y246" s="25">
        <f>_xlfn.XLOOKUP(Dealps[[#This Row],[DEAL_ID]],Ref!N:N,Ref!Q:Q,0,0)</f>
        <v>0</v>
      </c>
      <c r="Z246" s="25" t="str">
        <f>IF(Dealps[[#This Row],[CPTY_CODE]]=Dealps[[#This Row],[CPTY_CODE_ISSUER]],"Yes","No")</f>
        <v>No</v>
      </c>
      <c r="AA246" s="25"/>
      <c r="AC246" s="14"/>
      <c r="AG246" s="96"/>
      <c r="AH246" s="14"/>
      <c r="AI246"/>
      <c r="AN246" s="14"/>
      <c r="AV246" s="36"/>
      <c r="AW246" s="14"/>
      <c r="AX246" s="234"/>
      <c r="AY246" s="96"/>
      <c r="AZ246" s="14"/>
      <c r="BA246"/>
      <c r="BB246" s="93">
        <v>46262</v>
      </c>
      <c r="BC246">
        <v>3595</v>
      </c>
      <c r="BD246" s="56" t="s">
        <v>1219</v>
      </c>
      <c r="BE246" t="s">
        <v>1011</v>
      </c>
      <c r="BF246" t="s">
        <v>1022</v>
      </c>
      <c r="BG246" t="s">
        <v>364</v>
      </c>
      <c r="BH246" t="s">
        <v>1013</v>
      </c>
      <c r="BI246" t="s">
        <v>311</v>
      </c>
      <c r="BJ246" s="93">
        <v>46077</v>
      </c>
      <c r="BK246" s="93">
        <v>46077</v>
      </c>
      <c r="BL246" s="93">
        <v>46077</v>
      </c>
      <c r="BM246" s="93">
        <v>46806</v>
      </c>
      <c r="BN246" s="14">
        <v>1</v>
      </c>
      <c r="BO246" s="14">
        <v>50000000000</v>
      </c>
      <c r="BP246" s="56">
        <v>100</v>
      </c>
      <c r="BQ246" s="56">
        <v>0</v>
      </c>
      <c r="BR246" s="14">
        <v>50010273973</v>
      </c>
      <c r="BS246">
        <v>7.4984590000000004</v>
      </c>
      <c r="BT246" t="s">
        <v>1184</v>
      </c>
      <c r="BU246" s="25">
        <f>_xlfn.XLOOKUP(Dealps_MSB[[#This Row],[DEAL_ID]],Ref!V:V,Ref!X:X,0,0)</f>
        <v>0</v>
      </c>
      <c r="BV246"/>
    </row>
    <row r="247" spans="1:74" x14ac:dyDescent="0.3">
      <c r="A247" s="93">
        <v>46262</v>
      </c>
      <c r="B247">
        <v>3692</v>
      </c>
      <c r="C247" s="56" t="s">
        <v>1158</v>
      </c>
      <c r="D247" t="s">
        <v>327</v>
      </c>
      <c r="E247" t="s">
        <v>322</v>
      </c>
      <c r="F247" t="s">
        <v>364</v>
      </c>
      <c r="G247" t="s">
        <v>310</v>
      </c>
      <c r="H247" t="s">
        <v>300</v>
      </c>
      <c r="I247" s="93">
        <v>46087</v>
      </c>
      <c r="J247" s="93">
        <v>46066</v>
      </c>
      <c r="K247" s="93">
        <v>46087</v>
      </c>
      <c r="L247" s="93">
        <v>46409</v>
      </c>
      <c r="M247" s="14">
        <v>1</v>
      </c>
      <c r="N247" s="14">
        <v>1000000000000</v>
      </c>
      <c r="O247" s="56">
        <v>100.168213482</v>
      </c>
      <c r="P247" s="56">
        <v>0</v>
      </c>
      <c r="Q247" s="14">
        <v>1009967066334</v>
      </c>
      <c r="R247">
        <v>6.94015</v>
      </c>
      <c r="S247" t="s">
        <v>1184</v>
      </c>
      <c r="T247" s="57">
        <f>IF(Dealps[[#This Row],[MATURITY_DATE]]-Dealps[[#This Row],[POSTED_DT]]&lt;0,0,IF(Dealps[[#This Row],[VALUE_DATE]]-Dealps[[#This Row],[POSTED_DT]]&gt;0,Dealps[[#This Row],[MATURITY_DATE]]-Dealps[[#This Row],[VALUE_DATE]],Dealps[[#This Row],[MATURITY_DATE]]-Dealps[[#This Row],[POSTED_DT]]))</f>
        <v>147</v>
      </c>
      <c r="U247" s="25">
        <f>IF(Dealps[[#This Row],[TENOR]]=0,0,IF(Dealps[[#This Row],[DEAL_TYPE]]="B",Dealps[[#This Row],[FACE_AMOUNT]],-Dealps[[#This Row],[FACE_AMOUNT]]))</f>
        <v>1000000000000</v>
      </c>
      <c r="V247" s="25">
        <f>_xlfn.XLOOKUP(Dealps[[#This Row],[PAPER_CODE]],FNRP!D:D,FNRP!H:H,0,0)/100*Dealps[[#This Row],[AMOUNT]]</f>
        <v>0</v>
      </c>
      <c r="W247" s="57" t="str">
        <f>IF(Dealps[[#This Row],[TRANSACTION_STATUS]]&lt;&gt;"V","Ngoai BS",IF(Dealps[[#This Row],[POSTED_DT]]&gt;=Dealps[[#This Row],[VALUE_DATE]],"On BS","Off BS"))</f>
        <v>On BS</v>
      </c>
      <c r="X247" s="25">
        <f>SUMIFS(U:U,C:C,Dealps[[#This Row],[PAPER_CODE]])</f>
        <v>2000000000000</v>
      </c>
      <c r="Y247" s="25">
        <f>_xlfn.XLOOKUP(Dealps[[#This Row],[DEAL_ID]],Ref!N:N,Ref!Q:Q,0,0)</f>
        <v>0</v>
      </c>
      <c r="Z247" s="25" t="str">
        <f>IF(Dealps[[#This Row],[CPTY_CODE]]=Dealps[[#This Row],[CPTY_CODE_ISSUER]],"Yes","No")</f>
        <v>No</v>
      </c>
      <c r="AA247" s="25"/>
      <c r="AC247" s="14"/>
      <c r="AG247" s="96"/>
      <c r="AH247" s="14"/>
      <c r="AI247"/>
      <c r="AN247" s="14"/>
      <c r="AV247" s="36"/>
      <c r="AW247" s="14"/>
      <c r="AX247" s="234"/>
      <c r="AY247" s="96"/>
      <c r="AZ247" s="14"/>
      <c r="BA247"/>
      <c r="BB247" s="93">
        <v>46262</v>
      </c>
      <c r="BC247">
        <v>3596</v>
      </c>
      <c r="BD247" s="56" t="s">
        <v>1219</v>
      </c>
      <c r="BE247" t="s">
        <v>1011</v>
      </c>
      <c r="BF247" t="s">
        <v>1022</v>
      </c>
      <c r="BG247" t="s">
        <v>364</v>
      </c>
      <c r="BH247" t="s">
        <v>1013</v>
      </c>
      <c r="BI247" t="s">
        <v>311</v>
      </c>
      <c r="BJ247" s="93">
        <v>46077</v>
      </c>
      <c r="BK247" s="93">
        <v>46077</v>
      </c>
      <c r="BL247" s="93">
        <v>46077</v>
      </c>
      <c r="BM247" s="93">
        <v>46806</v>
      </c>
      <c r="BN247" s="14">
        <v>1</v>
      </c>
      <c r="BO247" s="14">
        <v>50000000000</v>
      </c>
      <c r="BP247" s="56">
        <v>100</v>
      </c>
      <c r="BQ247" s="56">
        <v>0</v>
      </c>
      <c r="BR247" s="14">
        <v>50010273973</v>
      </c>
      <c r="BS247">
        <v>7.4984590000000004</v>
      </c>
      <c r="BT247" t="s">
        <v>1184</v>
      </c>
      <c r="BU247" s="25">
        <f>_xlfn.XLOOKUP(Dealps_MSB[[#This Row],[DEAL_ID]],Ref!V:V,Ref!X:X,0,0)</f>
        <v>0</v>
      </c>
      <c r="BV247"/>
    </row>
    <row r="248" spans="1:74" x14ac:dyDescent="0.3">
      <c r="A248" s="93">
        <v>46262</v>
      </c>
      <c r="B248">
        <v>3695</v>
      </c>
      <c r="C248" s="56" t="s">
        <v>1233</v>
      </c>
      <c r="D248" t="s">
        <v>343</v>
      </c>
      <c r="E248" t="s">
        <v>475</v>
      </c>
      <c r="F248" t="s">
        <v>364</v>
      </c>
      <c r="G248" t="s">
        <v>310</v>
      </c>
      <c r="H248" t="s">
        <v>300</v>
      </c>
      <c r="I248" s="93">
        <v>46087</v>
      </c>
      <c r="J248" s="93">
        <v>46087</v>
      </c>
      <c r="K248" s="93">
        <v>46090</v>
      </c>
      <c r="L248" s="93">
        <v>46316</v>
      </c>
      <c r="M248" s="14">
        <v>1</v>
      </c>
      <c r="N248" s="14">
        <v>100000000000</v>
      </c>
      <c r="O248" s="56">
        <v>100.00000049000001</v>
      </c>
      <c r="P248" s="56">
        <v>0</v>
      </c>
      <c r="Q248" s="14">
        <v>105998904600</v>
      </c>
      <c r="R248">
        <v>6.7212040000000002</v>
      </c>
      <c r="S248" t="s">
        <v>1184</v>
      </c>
      <c r="T248" s="57">
        <f>IF(Dealps[[#This Row],[MATURITY_DATE]]-Dealps[[#This Row],[POSTED_DT]]&lt;0,0,IF(Dealps[[#This Row],[VALUE_DATE]]-Dealps[[#This Row],[POSTED_DT]]&gt;0,Dealps[[#This Row],[MATURITY_DATE]]-Dealps[[#This Row],[VALUE_DATE]],Dealps[[#This Row],[MATURITY_DATE]]-Dealps[[#This Row],[POSTED_DT]]))</f>
        <v>54</v>
      </c>
      <c r="U248" s="25">
        <f>IF(Dealps[[#This Row],[TENOR]]=0,0,IF(Dealps[[#This Row],[DEAL_TYPE]]="B",Dealps[[#This Row],[FACE_AMOUNT]],-Dealps[[#This Row],[FACE_AMOUNT]]))</f>
        <v>100000000000</v>
      </c>
      <c r="V248" s="25">
        <f>_xlfn.XLOOKUP(Dealps[[#This Row],[PAPER_CODE]],FNRP!D:D,FNRP!H:H,0,0)/100*Dealps[[#This Row],[AMOUNT]]</f>
        <v>0</v>
      </c>
      <c r="W248" s="57" t="str">
        <f>IF(Dealps[[#This Row],[TRANSACTION_STATUS]]&lt;&gt;"V","Ngoai BS",IF(Dealps[[#This Row],[POSTED_DT]]&gt;=Dealps[[#This Row],[VALUE_DATE]],"On BS","Off BS"))</f>
        <v>On BS</v>
      </c>
      <c r="X248" s="25">
        <f>SUMIFS(U:U,C:C,Dealps[[#This Row],[PAPER_CODE]])</f>
        <v>0</v>
      </c>
      <c r="Y248" s="25">
        <f>_xlfn.XLOOKUP(Dealps[[#This Row],[DEAL_ID]],Ref!N:N,Ref!Q:Q,0,0)</f>
        <v>0</v>
      </c>
      <c r="Z248" s="25" t="str">
        <f>IF(Dealps[[#This Row],[CPTY_CODE]]=Dealps[[#This Row],[CPTY_CODE_ISSUER]],"Yes","No")</f>
        <v>No</v>
      </c>
      <c r="AA248" s="25"/>
      <c r="AC248" s="14"/>
      <c r="AG248" s="96"/>
      <c r="AH248" s="14"/>
      <c r="AI248"/>
      <c r="AN248" s="14"/>
      <c r="AV248" s="36"/>
      <c r="AW248" s="14"/>
      <c r="AX248" s="234"/>
      <c r="AY248" s="96"/>
      <c r="AZ248" s="14"/>
      <c r="BA248"/>
      <c r="BB248" s="93">
        <v>46262</v>
      </c>
      <c r="BC248">
        <v>3597</v>
      </c>
      <c r="BD248" s="56" t="s">
        <v>1219</v>
      </c>
      <c r="BE248" t="s">
        <v>1011</v>
      </c>
      <c r="BF248" t="s">
        <v>1022</v>
      </c>
      <c r="BG248" t="s">
        <v>364</v>
      </c>
      <c r="BH248" t="s">
        <v>1013</v>
      </c>
      <c r="BI248" t="s">
        <v>311</v>
      </c>
      <c r="BJ248" s="93">
        <v>46077</v>
      </c>
      <c r="BK248" s="93">
        <v>46077</v>
      </c>
      <c r="BL248" s="93">
        <v>46077</v>
      </c>
      <c r="BM248" s="93">
        <v>46806</v>
      </c>
      <c r="BN248" s="14">
        <v>1</v>
      </c>
      <c r="BO248" s="14">
        <v>50000000000</v>
      </c>
      <c r="BP248" s="56">
        <v>100</v>
      </c>
      <c r="BQ248" s="56">
        <v>0</v>
      </c>
      <c r="BR248" s="14">
        <v>50010273973</v>
      </c>
      <c r="BS248">
        <v>7.4984590000000004</v>
      </c>
      <c r="BT248" t="s">
        <v>1184</v>
      </c>
      <c r="BU248" s="25">
        <f>_xlfn.XLOOKUP(Dealps_MSB[[#This Row],[DEAL_ID]],Ref!V:V,Ref!X:X,0,0)</f>
        <v>0</v>
      </c>
      <c r="BV248"/>
    </row>
    <row r="249" spans="1:74" x14ac:dyDescent="0.3">
      <c r="A249" s="93">
        <v>46262</v>
      </c>
      <c r="B249">
        <v>3696</v>
      </c>
      <c r="C249" s="56" t="s">
        <v>1234</v>
      </c>
      <c r="D249" t="s">
        <v>343</v>
      </c>
      <c r="E249" t="s">
        <v>471</v>
      </c>
      <c r="F249" t="s">
        <v>364</v>
      </c>
      <c r="G249" t="s">
        <v>310</v>
      </c>
      <c r="H249" t="s">
        <v>300</v>
      </c>
      <c r="I249" s="93">
        <v>46087</v>
      </c>
      <c r="J249" s="93">
        <v>46087</v>
      </c>
      <c r="K249" s="93">
        <v>46090</v>
      </c>
      <c r="L249" s="93">
        <v>46315</v>
      </c>
      <c r="M249" s="14">
        <v>1</v>
      </c>
      <c r="N249" s="14">
        <v>100000000000</v>
      </c>
      <c r="O249" s="56">
        <v>100.000000486</v>
      </c>
      <c r="P249" s="56">
        <v>0</v>
      </c>
      <c r="Q249" s="14">
        <v>102569863500</v>
      </c>
      <c r="R249">
        <v>6.5321319999999998</v>
      </c>
      <c r="S249" t="s">
        <v>1184</v>
      </c>
      <c r="T249" s="57">
        <f>IF(Dealps[[#This Row],[MATURITY_DATE]]-Dealps[[#This Row],[POSTED_DT]]&lt;0,0,IF(Dealps[[#This Row],[VALUE_DATE]]-Dealps[[#This Row],[POSTED_DT]]&gt;0,Dealps[[#This Row],[MATURITY_DATE]]-Dealps[[#This Row],[VALUE_DATE]],Dealps[[#This Row],[MATURITY_DATE]]-Dealps[[#This Row],[POSTED_DT]]))</f>
        <v>53</v>
      </c>
      <c r="U249" s="25">
        <f>IF(Dealps[[#This Row],[TENOR]]=0,0,IF(Dealps[[#This Row],[DEAL_TYPE]]="B",Dealps[[#This Row],[FACE_AMOUNT]],-Dealps[[#This Row],[FACE_AMOUNT]]))</f>
        <v>100000000000</v>
      </c>
      <c r="V249" s="25">
        <f>_xlfn.XLOOKUP(Dealps[[#This Row],[PAPER_CODE]],FNRP!D:D,FNRP!H:H,0,0)/100*Dealps[[#This Row],[AMOUNT]]</f>
        <v>0</v>
      </c>
      <c r="W249" s="57" t="str">
        <f>IF(Dealps[[#This Row],[TRANSACTION_STATUS]]&lt;&gt;"V","Ngoai BS",IF(Dealps[[#This Row],[POSTED_DT]]&gt;=Dealps[[#This Row],[VALUE_DATE]],"On BS","Off BS"))</f>
        <v>On BS</v>
      </c>
      <c r="X249" s="25">
        <f>SUMIFS(U:U,C:C,Dealps[[#This Row],[PAPER_CODE]])</f>
        <v>0</v>
      </c>
      <c r="Y249" s="25">
        <f>_xlfn.XLOOKUP(Dealps[[#This Row],[DEAL_ID]],Ref!N:N,Ref!Q:Q,0,0)</f>
        <v>0</v>
      </c>
      <c r="Z249" s="25" t="str">
        <f>IF(Dealps[[#This Row],[CPTY_CODE]]=Dealps[[#This Row],[CPTY_CODE_ISSUER]],"Yes","No")</f>
        <v>No</v>
      </c>
      <c r="AA249" s="25"/>
      <c r="AC249" s="14"/>
      <c r="AG249" s="96"/>
      <c r="AH249" s="14"/>
      <c r="AI249"/>
      <c r="AN249" s="14"/>
      <c r="AV249" s="36"/>
      <c r="AW249" s="14"/>
      <c r="AX249" s="234"/>
      <c r="AY249" s="96"/>
      <c r="AZ249" s="14"/>
      <c r="BA249"/>
      <c r="BB249" s="93">
        <v>46262</v>
      </c>
      <c r="BC249">
        <v>3617</v>
      </c>
      <c r="BD249" s="56" t="s">
        <v>1219</v>
      </c>
      <c r="BE249" t="s">
        <v>1011</v>
      </c>
      <c r="BF249" t="s">
        <v>1022</v>
      </c>
      <c r="BG249" t="s">
        <v>364</v>
      </c>
      <c r="BH249" t="s">
        <v>1013</v>
      </c>
      <c r="BI249" t="s">
        <v>311</v>
      </c>
      <c r="BJ249" s="93">
        <v>46078</v>
      </c>
      <c r="BK249" s="93">
        <v>46078</v>
      </c>
      <c r="BL249" s="93">
        <v>46078</v>
      </c>
      <c r="BM249" s="93">
        <v>46806</v>
      </c>
      <c r="BN249" s="14">
        <v>1</v>
      </c>
      <c r="BO249" s="14">
        <v>50000000000</v>
      </c>
      <c r="BP249" s="56">
        <v>100</v>
      </c>
      <c r="BQ249" s="56">
        <v>0</v>
      </c>
      <c r="BR249" s="14">
        <v>50020547945</v>
      </c>
      <c r="BS249">
        <v>7.4969190000000001</v>
      </c>
      <c r="BT249" t="s">
        <v>1184</v>
      </c>
      <c r="BU249" s="25">
        <f>_xlfn.XLOOKUP(Dealps_MSB[[#This Row],[DEAL_ID]],Ref!V:V,Ref!X:X,0,0)</f>
        <v>0</v>
      </c>
      <c r="BV249"/>
    </row>
    <row r="250" spans="1:74" x14ac:dyDescent="0.3">
      <c r="A250" s="93">
        <v>46262</v>
      </c>
      <c r="B250">
        <v>3699</v>
      </c>
      <c r="C250" s="56" t="s">
        <v>963</v>
      </c>
      <c r="D250" t="s">
        <v>308</v>
      </c>
      <c r="E250" t="s">
        <v>315</v>
      </c>
      <c r="F250" t="s">
        <v>364</v>
      </c>
      <c r="G250" t="s">
        <v>310</v>
      </c>
      <c r="H250" t="s">
        <v>311</v>
      </c>
      <c r="I250" s="93">
        <v>46087</v>
      </c>
      <c r="J250" s="93">
        <v>46087</v>
      </c>
      <c r="K250" s="93">
        <v>46090</v>
      </c>
      <c r="L250" s="93">
        <v>46295</v>
      </c>
      <c r="M250" s="14">
        <v>1</v>
      </c>
      <c r="N250" s="14">
        <v>200000000000</v>
      </c>
      <c r="O250" s="56">
        <v>100.528349326</v>
      </c>
      <c r="P250" s="56">
        <v>0</v>
      </c>
      <c r="Q250" s="14">
        <v>206371219200</v>
      </c>
      <c r="R250">
        <v>5</v>
      </c>
      <c r="S250" t="s">
        <v>1184</v>
      </c>
      <c r="T250" s="57">
        <f>IF(Dealps[[#This Row],[MATURITY_DATE]]-Dealps[[#This Row],[POSTED_DT]]&lt;0,0,IF(Dealps[[#This Row],[VALUE_DATE]]-Dealps[[#This Row],[POSTED_DT]]&gt;0,Dealps[[#This Row],[MATURITY_DATE]]-Dealps[[#This Row],[VALUE_DATE]],Dealps[[#This Row],[MATURITY_DATE]]-Dealps[[#This Row],[POSTED_DT]]))</f>
        <v>33</v>
      </c>
      <c r="U250" s="25">
        <f>IF(Dealps[[#This Row],[TENOR]]=0,0,IF(Dealps[[#This Row],[DEAL_TYPE]]="B",Dealps[[#This Row],[FACE_AMOUNT]],-Dealps[[#This Row],[FACE_AMOUNT]]))</f>
        <v>-200000000000</v>
      </c>
      <c r="V250" s="25">
        <f>_xlfn.XLOOKUP(Dealps[[#This Row],[PAPER_CODE]],FNRP!D:D,FNRP!H:H,0,0)/100*Dealps[[#This Row],[AMOUNT]]</f>
        <v>0</v>
      </c>
      <c r="W250" s="57" t="str">
        <f>IF(Dealps[[#This Row],[TRANSACTION_STATUS]]&lt;&gt;"V","Ngoai BS",IF(Dealps[[#This Row],[POSTED_DT]]&gt;=Dealps[[#This Row],[VALUE_DATE]],"On BS","Off BS"))</f>
        <v>On BS</v>
      </c>
      <c r="X250" s="25">
        <f>SUMIFS(U:U,C:C,Dealps[[#This Row],[PAPER_CODE]])</f>
        <v>400000000000</v>
      </c>
      <c r="Y250" s="25">
        <f>_xlfn.XLOOKUP(Dealps[[#This Row],[DEAL_ID]],Ref!N:N,Ref!Q:Q,0,0)</f>
        <v>0</v>
      </c>
      <c r="Z250" s="25" t="str">
        <f>IF(Dealps[[#This Row],[CPTY_CODE]]=Dealps[[#This Row],[CPTY_CODE_ISSUER]],"Yes","No")</f>
        <v>No</v>
      </c>
      <c r="AA250" s="25"/>
      <c r="AC250" s="14"/>
      <c r="AG250" s="96"/>
      <c r="AH250" s="14"/>
      <c r="AI250"/>
      <c r="AN250" s="14"/>
      <c r="AV250" s="36"/>
      <c r="AW250" s="14"/>
      <c r="AX250" s="234"/>
      <c r="AY250" s="96"/>
      <c r="AZ250" s="14"/>
      <c r="BA250"/>
      <c r="BB250" s="93">
        <v>46262</v>
      </c>
      <c r="BC250">
        <v>3628</v>
      </c>
      <c r="BD250" s="56" t="s">
        <v>1219</v>
      </c>
      <c r="BE250" t="s">
        <v>1011</v>
      </c>
      <c r="BF250" t="s">
        <v>1022</v>
      </c>
      <c r="BG250" t="s">
        <v>364</v>
      </c>
      <c r="BH250" t="s">
        <v>1013</v>
      </c>
      <c r="BI250" t="s">
        <v>311</v>
      </c>
      <c r="BJ250" s="93">
        <v>46079</v>
      </c>
      <c r="BK250" s="93">
        <v>46079</v>
      </c>
      <c r="BL250" s="93">
        <v>46079</v>
      </c>
      <c r="BM250" s="93">
        <v>46806</v>
      </c>
      <c r="BN250" s="14">
        <v>1</v>
      </c>
      <c r="BO250" s="14">
        <v>50000000000</v>
      </c>
      <c r="BP250" s="56">
        <v>100</v>
      </c>
      <c r="BQ250" s="56">
        <v>0</v>
      </c>
      <c r="BR250" s="14">
        <v>50030821918</v>
      </c>
      <c r="BS250">
        <v>7.4953799999999999</v>
      </c>
      <c r="BT250" t="s">
        <v>1184</v>
      </c>
      <c r="BU250" s="25">
        <f>_xlfn.XLOOKUP(Dealps_MSB[[#This Row],[DEAL_ID]],Ref!V:V,Ref!X:X,0,0)</f>
        <v>0</v>
      </c>
      <c r="BV250"/>
    </row>
    <row r="251" spans="1:74" x14ac:dyDescent="0.3">
      <c r="A251" s="93">
        <v>46262</v>
      </c>
      <c r="B251">
        <v>3701</v>
      </c>
      <c r="C251" s="56" t="s">
        <v>1231</v>
      </c>
      <c r="D251" t="s">
        <v>322</v>
      </c>
      <c r="E251" t="s">
        <v>315</v>
      </c>
      <c r="F251" t="s">
        <v>364</v>
      </c>
      <c r="G251" t="s">
        <v>310</v>
      </c>
      <c r="H251" t="s">
        <v>300</v>
      </c>
      <c r="I251" s="93">
        <v>46087</v>
      </c>
      <c r="J251" s="93">
        <v>46087</v>
      </c>
      <c r="K251" s="93">
        <v>46091</v>
      </c>
      <c r="L251" s="93">
        <v>46303</v>
      </c>
      <c r="M251" s="14">
        <v>1</v>
      </c>
      <c r="N251" s="14">
        <v>1000000000000</v>
      </c>
      <c r="O251" s="56">
        <v>99.915856762999994</v>
      </c>
      <c r="P251" s="56">
        <v>0</v>
      </c>
      <c r="Q251" s="14">
        <v>1024144869000</v>
      </c>
      <c r="R251">
        <v>6</v>
      </c>
      <c r="S251" t="s">
        <v>1184</v>
      </c>
      <c r="T251" s="57">
        <f>IF(Dealps[[#This Row],[MATURITY_DATE]]-Dealps[[#This Row],[POSTED_DT]]&lt;0,0,IF(Dealps[[#This Row],[VALUE_DATE]]-Dealps[[#This Row],[POSTED_DT]]&gt;0,Dealps[[#This Row],[MATURITY_DATE]]-Dealps[[#This Row],[VALUE_DATE]],Dealps[[#This Row],[MATURITY_DATE]]-Dealps[[#This Row],[POSTED_DT]]))</f>
        <v>41</v>
      </c>
      <c r="U251" s="25">
        <f>IF(Dealps[[#This Row],[TENOR]]=0,0,IF(Dealps[[#This Row],[DEAL_TYPE]]="B",Dealps[[#This Row],[FACE_AMOUNT]],-Dealps[[#This Row],[FACE_AMOUNT]]))</f>
        <v>1000000000000</v>
      </c>
      <c r="V251" s="25">
        <f>_xlfn.XLOOKUP(Dealps[[#This Row],[PAPER_CODE]],FNRP!D:D,FNRP!H:H,0,0)/100*Dealps[[#This Row],[AMOUNT]]</f>
        <v>0</v>
      </c>
      <c r="W251" s="57" t="str">
        <f>IF(Dealps[[#This Row],[TRANSACTION_STATUS]]&lt;&gt;"V","Ngoai BS",IF(Dealps[[#This Row],[POSTED_DT]]&gt;=Dealps[[#This Row],[VALUE_DATE]],"On BS","Off BS"))</f>
        <v>On BS</v>
      </c>
      <c r="X251" s="25">
        <f>SUMIFS(U:U,C:C,Dealps[[#This Row],[PAPER_CODE]])</f>
        <v>0</v>
      </c>
      <c r="Y251" s="25">
        <f>_xlfn.XLOOKUP(Dealps[[#This Row],[DEAL_ID]],Ref!N:N,Ref!Q:Q,0,0)</f>
        <v>0</v>
      </c>
      <c r="Z251" s="25" t="str">
        <f>IF(Dealps[[#This Row],[CPTY_CODE]]=Dealps[[#This Row],[CPTY_CODE_ISSUER]],"Yes","No")</f>
        <v>No</v>
      </c>
      <c r="AA251" s="25"/>
      <c r="AC251" s="14"/>
      <c r="AG251" s="96"/>
      <c r="AH251" s="14"/>
      <c r="AI251"/>
      <c r="AN251" s="14"/>
      <c r="AV251" s="36"/>
      <c r="AW251" s="14"/>
      <c r="AX251" s="234"/>
      <c r="AY251" s="96"/>
      <c r="AZ251" s="14"/>
      <c r="BA251"/>
      <c r="BB251" s="93">
        <v>46262</v>
      </c>
      <c r="BC251">
        <v>3629</v>
      </c>
      <c r="BD251" s="56" t="s">
        <v>1219</v>
      </c>
      <c r="BE251" t="s">
        <v>1011</v>
      </c>
      <c r="BF251" t="s">
        <v>1022</v>
      </c>
      <c r="BG251" t="s">
        <v>364</v>
      </c>
      <c r="BH251" t="s">
        <v>1013</v>
      </c>
      <c r="BI251" t="s">
        <v>311</v>
      </c>
      <c r="BJ251" s="93">
        <v>46079</v>
      </c>
      <c r="BK251" s="93">
        <v>46079</v>
      </c>
      <c r="BL251" s="93">
        <v>46079</v>
      </c>
      <c r="BM251" s="93">
        <v>46806</v>
      </c>
      <c r="BN251" s="14">
        <v>1</v>
      </c>
      <c r="BO251" s="14">
        <v>30000000000</v>
      </c>
      <c r="BP251" s="56">
        <v>100</v>
      </c>
      <c r="BQ251" s="56">
        <v>0</v>
      </c>
      <c r="BR251" s="14">
        <v>30018493151.000004</v>
      </c>
      <c r="BS251">
        <v>7.4953799999999999</v>
      </c>
      <c r="BT251" t="s">
        <v>1184</v>
      </c>
      <c r="BU251" s="25">
        <f>_xlfn.XLOOKUP(Dealps_MSB[[#This Row],[DEAL_ID]],Ref!V:V,Ref!X:X,0,0)</f>
        <v>0</v>
      </c>
      <c r="BV251"/>
    </row>
    <row r="252" spans="1:74" x14ac:dyDescent="0.3">
      <c r="A252" s="93">
        <v>46262</v>
      </c>
      <c r="B252">
        <v>3704</v>
      </c>
      <c r="C252" s="56" t="s">
        <v>1232</v>
      </c>
      <c r="D252" t="s">
        <v>328</v>
      </c>
      <c r="E252" t="s">
        <v>315</v>
      </c>
      <c r="F252" t="s">
        <v>364</v>
      </c>
      <c r="G252" t="s">
        <v>310</v>
      </c>
      <c r="H252" t="s">
        <v>300</v>
      </c>
      <c r="I252" s="93">
        <v>46087</v>
      </c>
      <c r="J252" s="93">
        <v>46087</v>
      </c>
      <c r="K252" s="93">
        <v>46092</v>
      </c>
      <c r="L252" s="93">
        <v>46379</v>
      </c>
      <c r="M252" s="14">
        <v>1</v>
      </c>
      <c r="N252" s="14">
        <v>500000000000</v>
      </c>
      <c r="O252" s="56">
        <v>99.909591929000001</v>
      </c>
      <c r="P252" s="56">
        <v>0</v>
      </c>
      <c r="Q252" s="14">
        <v>507564398000</v>
      </c>
      <c r="R252">
        <v>7.6</v>
      </c>
      <c r="S252" t="s">
        <v>1184</v>
      </c>
      <c r="T252" s="57">
        <f>IF(Dealps[[#This Row],[MATURITY_DATE]]-Dealps[[#This Row],[POSTED_DT]]&lt;0,0,IF(Dealps[[#This Row],[VALUE_DATE]]-Dealps[[#This Row],[POSTED_DT]]&gt;0,Dealps[[#This Row],[MATURITY_DATE]]-Dealps[[#This Row],[VALUE_DATE]],Dealps[[#This Row],[MATURITY_DATE]]-Dealps[[#This Row],[POSTED_DT]]))</f>
        <v>117</v>
      </c>
      <c r="U252" s="25">
        <f>IF(Dealps[[#This Row],[TENOR]]=0,0,IF(Dealps[[#This Row],[DEAL_TYPE]]="B",Dealps[[#This Row],[FACE_AMOUNT]],-Dealps[[#This Row],[FACE_AMOUNT]]))</f>
        <v>500000000000</v>
      </c>
      <c r="V252" s="25">
        <f>_xlfn.XLOOKUP(Dealps[[#This Row],[PAPER_CODE]],FNRP!D:D,FNRP!H:H,0,0)/100*Dealps[[#This Row],[AMOUNT]]</f>
        <v>0</v>
      </c>
      <c r="W252" s="57" t="str">
        <f>IF(Dealps[[#This Row],[TRANSACTION_STATUS]]&lt;&gt;"V","Ngoai BS",IF(Dealps[[#This Row],[POSTED_DT]]&gt;=Dealps[[#This Row],[VALUE_DATE]],"On BS","Off BS"))</f>
        <v>On BS</v>
      </c>
      <c r="X252" s="25">
        <f>SUMIFS(U:U,C:C,Dealps[[#This Row],[PAPER_CODE]])</f>
        <v>0</v>
      </c>
      <c r="Y252" s="25">
        <f>_xlfn.XLOOKUP(Dealps[[#This Row],[DEAL_ID]],Ref!N:N,Ref!Q:Q,0,0)</f>
        <v>0</v>
      </c>
      <c r="Z252" s="25" t="str">
        <f>IF(Dealps[[#This Row],[CPTY_CODE]]=Dealps[[#This Row],[CPTY_CODE_ISSUER]],"Yes","No")</f>
        <v>No</v>
      </c>
      <c r="AA252" s="25"/>
      <c r="AC252" s="14"/>
      <c r="AG252" s="96"/>
      <c r="AH252" s="14"/>
      <c r="AI252"/>
      <c r="AN252" s="14"/>
      <c r="AV252" s="36"/>
      <c r="AW252" s="14"/>
      <c r="AX252" s="234"/>
      <c r="AY252" s="96"/>
      <c r="AZ252" s="14"/>
      <c r="BA252"/>
      <c r="BB252" s="93">
        <v>46262</v>
      </c>
      <c r="BC252">
        <v>3630</v>
      </c>
      <c r="BD252" s="56" t="s">
        <v>1219</v>
      </c>
      <c r="BE252" t="s">
        <v>1011</v>
      </c>
      <c r="BF252" t="s">
        <v>1022</v>
      </c>
      <c r="BG252" t="s">
        <v>364</v>
      </c>
      <c r="BH252" t="s">
        <v>1013</v>
      </c>
      <c r="BI252" t="s">
        <v>311</v>
      </c>
      <c r="BJ252" s="93">
        <v>46079</v>
      </c>
      <c r="BK252" s="93">
        <v>46079</v>
      </c>
      <c r="BL252" s="93">
        <v>46079</v>
      </c>
      <c r="BM252" s="93">
        <v>46806</v>
      </c>
      <c r="BN252" s="14">
        <v>1</v>
      </c>
      <c r="BO252" s="14">
        <v>20000000000</v>
      </c>
      <c r="BP252" s="56">
        <v>100</v>
      </c>
      <c r="BQ252" s="56">
        <v>0</v>
      </c>
      <c r="BR252" s="14">
        <v>20012328767</v>
      </c>
      <c r="BS252">
        <v>7.4953799999999999</v>
      </c>
      <c r="BT252" t="s">
        <v>1184</v>
      </c>
      <c r="BU252" s="25">
        <f>_xlfn.XLOOKUP(Dealps_MSB[[#This Row],[DEAL_ID]],Ref!V:V,Ref!X:X,0,0)</f>
        <v>0</v>
      </c>
      <c r="BV252"/>
    </row>
    <row r="253" spans="1:74" x14ac:dyDescent="0.3">
      <c r="A253" s="93">
        <v>46262</v>
      </c>
      <c r="B253">
        <v>3707</v>
      </c>
      <c r="C253" s="56" t="s">
        <v>1061</v>
      </c>
      <c r="D253" t="s">
        <v>312</v>
      </c>
      <c r="E253" t="s">
        <v>315</v>
      </c>
      <c r="F253" t="s">
        <v>364</v>
      </c>
      <c r="G253" t="s">
        <v>310</v>
      </c>
      <c r="H253" t="s">
        <v>311</v>
      </c>
      <c r="I253" s="93">
        <v>46087</v>
      </c>
      <c r="J253" s="93">
        <v>46087</v>
      </c>
      <c r="K253" s="93">
        <v>46090</v>
      </c>
      <c r="L253" s="93">
        <v>46343</v>
      </c>
      <c r="M253" s="14">
        <v>1</v>
      </c>
      <c r="N253" s="14">
        <v>500000000000</v>
      </c>
      <c r="O253" s="56">
        <v>99.784747988999996</v>
      </c>
      <c r="P253" s="56">
        <v>0</v>
      </c>
      <c r="Q253" s="14">
        <v>508503192000</v>
      </c>
      <c r="R253">
        <v>6.5</v>
      </c>
      <c r="S253" t="s">
        <v>1184</v>
      </c>
      <c r="T253" s="57">
        <f>IF(Dealps[[#This Row],[MATURITY_DATE]]-Dealps[[#This Row],[POSTED_DT]]&lt;0,0,IF(Dealps[[#This Row],[VALUE_DATE]]-Dealps[[#This Row],[POSTED_DT]]&gt;0,Dealps[[#This Row],[MATURITY_DATE]]-Dealps[[#This Row],[VALUE_DATE]],Dealps[[#This Row],[MATURITY_DATE]]-Dealps[[#This Row],[POSTED_DT]]))</f>
        <v>81</v>
      </c>
      <c r="U253" s="25">
        <f>IF(Dealps[[#This Row],[TENOR]]=0,0,IF(Dealps[[#This Row],[DEAL_TYPE]]="B",Dealps[[#This Row],[FACE_AMOUNT]],-Dealps[[#This Row],[FACE_AMOUNT]]))</f>
        <v>-500000000000</v>
      </c>
      <c r="V253" s="25">
        <f>_xlfn.XLOOKUP(Dealps[[#This Row],[PAPER_CODE]],FNRP!D:D,FNRP!H:H,0,0)/100*Dealps[[#This Row],[AMOUNT]]</f>
        <v>0</v>
      </c>
      <c r="W253" s="57" t="str">
        <f>IF(Dealps[[#This Row],[TRANSACTION_STATUS]]&lt;&gt;"V","Ngoai BS",IF(Dealps[[#This Row],[POSTED_DT]]&gt;=Dealps[[#This Row],[VALUE_DATE]],"On BS","Off BS"))</f>
        <v>On BS</v>
      </c>
      <c r="X253" s="25">
        <f>SUMIFS(U:U,C:C,Dealps[[#This Row],[PAPER_CODE]])</f>
        <v>1500000000000</v>
      </c>
      <c r="Y253" s="25">
        <f>_xlfn.XLOOKUP(Dealps[[#This Row],[DEAL_ID]],Ref!N:N,Ref!Q:Q,0,0)</f>
        <v>0</v>
      </c>
      <c r="Z253" s="25" t="str">
        <f>IF(Dealps[[#This Row],[CPTY_CODE]]=Dealps[[#This Row],[CPTY_CODE_ISSUER]],"Yes","No")</f>
        <v>No</v>
      </c>
      <c r="AA253" s="25"/>
      <c r="AC253" s="14"/>
      <c r="AG253" s="96"/>
      <c r="AH253" s="14"/>
      <c r="AI253"/>
      <c r="AN253" s="14"/>
      <c r="AV253" s="36"/>
      <c r="AW253" s="14"/>
      <c r="AX253" s="234"/>
      <c r="AY253" s="96"/>
      <c r="AZ253" s="14"/>
      <c r="BA253"/>
      <c r="BB253" s="93">
        <v>46262</v>
      </c>
      <c r="BC253">
        <v>3669</v>
      </c>
      <c r="BD253" s="56" t="s">
        <v>1230</v>
      </c>
      <c r="BE253" t="s">
        <v>1011</v>
      </c>
      <c r="BF253" t="s">
        <v>1022</v>
      </c>
      <c r="BG253" t="s">
        <v>364</v>
      </c>
      <c r="BH253" t="s">
        <v>1013</v>
      </c>
      <c r="BI253" t="s">
        <v>311</v>
      </c>
      <c r="BJ253" s="93">
        <v>46084</v>
      </c>
      <c r="BK253" s="93">
        <v>46084</v>
      </c>
      <c r="BL253" s="93">
        <v>46084</v>
      </c>
      <c r="BM253" s="93">
        <v>46815</v>
      </c>
      <c r="BN253" s="14">
        <v>1</v>
      </c>
      <c r="BO253" s="14">
        <v>50000000000</v>
      </c>
      <c r="BP253" s="56">
        <v>100</v>
      </c>
      <c r="BQ253" s="56">
        <v>0</v>
      </c>
      <c r="BR253" s="14">
        <v>50000000000</v>
      </c>
      <c r="BS253">
        <v>7.5</v>
      </c>
      <c r="BT253" t="s">
        <v>1184</v>
      </c>
      <c r="BU253" s="25">
        <f>_xlfn.XLOOKUP(Dealps_MSB[[#This Row],[DEAL_ID]],Ref!V:V,Ref!X:X,0,0)</f>
        <v>0</v>
      </c>
      <c r="BV253"/>
    </row>
    <row r="254" spans="1:74" x14ac:dyDescent="0.3">
      <c r="A254" s="93">
        <v>46262</v>
      </c>
      <c r="B254">
        <v>3708</v>
      </c>
      <c r="C254" s="56" t="s">
        <v>1061</v>
      </c>
      <c r="D254" t="s">
        <v>312</v>
      </c>
      <c r="E254" t="s">
        <v>315</v>
      </c>
      <c r="F254" t="s">
        <v>364</v>
      </c>
      <c r="G254" t="s">
        <v>310</v>
      </c>
      <c r="H254" t="s">
        <v>311</v>
      </c>
      <c r="I254" s="93">
        <v>46087</v>
      </c>
      <c r="J254" s="93">
        <v>46087</v>
      </c>
      <c r="K254" s="93">
        <v>46091</v>
      </c>
      <c r="L254" s="93">
        <v>46343</v>
      </c>
      <c r="M254" s="14">
        <v>1</v>
      </c>
      <c r="N254" s="14">
        <v>500000000000</v>
      </c>
      <c r="O254" s="56">
        <v>99.784820914999997</v>
      </c>
      <c r="P254" s="56">
        <v>0</v>
      </c>
      <c r="Q254" s="14">
        <v>508589858000.00006</v>
      </c>
      <c r="R254">
        <v>6.5</v>
      </c>
      <c r="S254" t="s">
        <v>1184</v>
      </c>
      <c r="T254" s="57">
        <f>IF(Dealps[[#This Row],[MATURITY_DATE]]-Dealps[[#This Row],[POSTED_DT]]&lt;0,0,IF(Dealps[[#This Row],[VALUE_DATE]]-Dealps[[#This Row],[POSTED_DT]]&gt;0,Dealps[[#This Row],[MATURITY_DATE]]-Dealps[[#This Row],[VALUE_DATE]],Dealps[[#This Row],[MATURITY_DATE]]-Dealps[[#This Row],[POSTED_DT]]))</f>
        <v>81</v>
      </c>
      <c r="U254" s="25">
        <f>IF(Dealps[[#This Row],[TENOR]]=0,0,IF(Dealps[[#This Row],[DEAL_TYPE]]="B",Dealps[[#This Row],[FACE_AMOUNT]],-Dealps[[#This Row],[FACE_AMOUNT]]))</f>
        <v>-500000000000</v>
      </c>
      <c r="V254" s="25">
        <f>_xlfn.XLOOKUP(Dealps[[#This Row],[PAPER_CODE]],FNRP!D:D,FNRP!H:H,0,0)/100*Dealps[[#This Row],[AMOUNT]]</f>
        <v>0</v>
      </c>
      <c r="W254" s="57" t="str">
        <f>IF(Dealps[[#This Row],[TRANSACTION_STATUS]]&lt;&gt;"V","Ngoai BS",IF(Dealps[[#This Row],[POSTED_DT]]&gt;=Dealps[[#This Row],[VALUE_DATE]],"On BS","Off BS"))</f>
        <v>On BS</v>
      </c>
      <c r="X254" s="25">
        <f>SUMIFS(U:U,C:C,Dealps[[#This Row],[PAPER_CODE]])</f>
        <v>1500000000000</v>
      </c>
      <c r="Y254" s="25">
        <f>_xlfn.XLOOKUP(Dealps[[#This Row],[DEAL_ID]],Ref!N:N,Ref!Q:Q,0,0)</f>
        <v>0</v>
      </c>
      <c r="Z254" s="25" t="str">
        <f>IF(Dealps[[#This Row],[CPTY_CODE]]=Dealps[[#This Row],[CPTY_CODE_ISSUER]],"Yes","No")</f>
        <v>No</v>
      </c>
      <c r="AA254" s="25"/>
      <c r="AC254" s="14"/>
      <c r="AG254" s="96"/>
      <c r="AH254" s="14"/>
      <c r="AI254"/>
      <c r="AN254" s="14"/>
      <c r="AV254" s="36"/>
      <c r="AW254" s="14"/>
      <c r="AX254" s="234"/>
      <c r="AY254" s="96"/>
      <c r="AZ254" s="14"/>
      <c r="BA254"/>
      <c r="BB254" s="93">
        <v>46262</v>
      </c>
      <c r="BC254">
        <v>3670</v>
      </c>
      <c r="BD254" s="56" t="s">
        <v>1230</v>
      </c>
      <c r="BE254" t="s">
        <v>1011</v>
      </c>
      <c r="BF254" t="s">
        <v>1022</v>
      </c>
      <c r="BG254" t="s">
        <v>364</v>
      </c>
      <c r="BH254" t="s">
        <v>1013</v>
      </c>
      <c r="BI254" t="s">
        <v>311</v>
      </c>
      <c r="BJ254" s="93">
        <v>46084</v>
      </c>
      <c r="BK254" s="93">
        <v>46084</v>
      </c>
      <c r="BL254" s="93">
        <v>46084</v>
      </c>
      <c r="BM254" s="93">
        <v>46815</v>
      </c>
      <c r="BN254" s="14">
        <v>1</v>
      </c>
      <c r="BO254" s="14">
        <v>50000000000</v>
      </c>
      <c r="BP254" s="56">
        <v>100</v>
      </c>
      <c r="BQ254" s="56">
        <v>0</v>
      </c>
      <c r="BR254" s="14">
        <v>50000000000</v>
      </c>
      <c r="BS254">
        <v>7.5</v>
      </c>
      <c r="BT254" t="s">
        <v>1184</v>
      </c>
      <c r="BU254" s="25">
        <f>_xlfn.XLOOKUP(Dealps_MSB[[#This Row],[DEAL_ID]],Ref!V:V,Ref!X:X,0,0)</f>
        <v>0</v>
      </c>
      <c r="BV254"/>
    </row>
    <row r="255" spans="1:74" x14ac:dyDescent="0.3">
      <c r="A255" s="93">
        <v>46262</v>
      </c>
      <c r="B255">
        <v>3710</v>
      </c>
      <c r="C255" s="56" t="s">
        <v>1071</v>
      </c>
      <c r="D255" t="s">
        <v>328</v>
      </c>
      <c r="E255" t="s">
        <v>347</v>
      </c>
      <c r="F255" t="s">
        <v>364</v>
      </c>
      <c r="G255" t="s">
        <v>310</v>
      </c>
      <c r="H255" t="s">
        <v>311</v>
      </c>
      <c r="I255" s="93">
        <v>46090</v>
      </c>
      <c r="J255" s="93">
        <v>46090</v>
      </c>
      <c r="K255" s="93">
        <v>46091</v>
      </c>
      <c r="L255" s="93">
        <v>46352</v>
      </c>
      <c r="M255" s="14">
        <v>1</v>
      </c>
      <c r="N255" s="14">
        <v>1000000000000</v>
      </c>
      <c r="O255" s="56">
        <v>100.334770647</v>
      </c>
      <c r="P255" s="56">
        <v>0</v>
      </c>
      <c r="Q255" s="14">
        <v>1021972363999.9999</v>
      </c>
      <c r="R255">
        <v>6</v>
      </c>
      <c r="S255" t="s">
        <v>1184</v>
      </c>
      <c r="T255" s="57">
        <f>IF(Dealps[[#This Row],[MATURITY_DATE]]-Dealps[[#This Row],[POSTED_DT]]&lt;0,0,IF(Dealps[[#This Row],[VALUE_DATE]]-Dealps[[#This Row],[POSTED_DT]]&gt;0,Dealps[[#This Row],[MATURITY_DATE]]-Dealps[[#This Row],[VALUE_DATE]],Dealps[[#This Row],[MATURITY_DATE]]-Dealps[[#This Row],[POSTED_DT]]))</f>
        <v>90</v>
      </c>
      <c r="U255" s="25">
        <f>IF(Dealps[[#This Row],[TENOR]]=0,0,IF(Dealps[[#This Row],[DEAL_TYPE]]="B",Dealps[[#This Row],[FACE_AMOUNT]],-Dealps[[#This Row],[FACE_AMOUNT]]))</f>
        <v>-1000000000000</v>
      </c>
      <c r="V255" s="25">
        <f>_xlfn.XLOOKUP(Dealps[[#This Row],[PAPER_CODE]],FNRP!D:D,FNRP!H:H,0,0)/100*Dealps[[#This Row],[AMOUNT]]</f>
        <v>0</v>
      </c>
      <c r="W255" s="57" t="str">
        <f>IF(Dealps[[#This Row],[TRANSACTION_STATUS]]&lt;&gt;"V","Ngoai BS",IF(Dealps[[#This Row],[POSTED_DT]]&gt;=Dealps[[#This Row],[VALUE_DATE]],"On BS","Off BS"))</f>
        <v>On BS</v>
      </c>
      <c r="X255" s="25">
        <f>SUMIFS(U:U,C:C,Dealps[[#This Row],[PAPER_CODE]])</f>
        <v>1500000000000</v>
      </c>
      <c r="Y255" s="25">
        <f>_xlfn.XLOOKUP(Dealps[[#This Row],[DEAL_ID]],Ref!N:N,Ref!Q:Q,0,0)</f>
        <v>0</v>
      </c>
      <c r="Z255" s="25" t="str">
        <f>IF(Dealps[[#This Row],[CPTY_CODE]]=Dealps[[#This Row],[CPTY_CODE_ISSUER]],"Yes","No")</f>
        <v>No</v>
      </c>
      <c r="AA255" s="25"/>
      <c r="AC255" s="14"/>
      <c r="AG255" s="96"/>
      <c r="AH255" s="14"/>
      <c r="AI255"/>
      <c r="AN255" s="14"/>
      <c r="AV255" s="36"/>
      <c r="AW255" s="14"/>
      <c r="AX255" s="234"/>
      <c r="AY255" s="96"/>
      <c r="AZ255" s="14"/>
      <c r="BA255"/>
      <c r="BB255" s="93">
        <v>46262</v>
      </c>
      <c r="BC255">
        <v>3671</v>
      </c>
      <c r="BD255" s="56" t="s">
        <v>1230</v>
      </c>
      <c r="BE255" t="s">
        <v>1011</v>
      </c>
      <c r="BF255" t="s">
        <v>1022</v>
      </c>
      <c r="BG255" t="s">
        <v>364</v>
      </c>
      <c r="BH255" t="s">
        <v>1013</v>
      </c>
      <c r="BI255" t="s">
        <v>311</v>
      </c>
      <c r="BJ255" s="93">
        <v>46084</v>
      </c>
      <c r="BK255" s="93">
        <v>46084</v>
      </c>
      <c r="BL255" s="93">
        <v>46084</v>
      </c>
      <c r="BM255" s="93">
        <v>46815</v>
      </c>
      <c r="BN255" s="14">
        <v>1</v>
      </c>
      <c r="BO255" s="14">
        <v>50000000000</v>
      </c>
      <c r="BP255" s="56">
        <v>100</v>
      </c>
      <c r="BQ255" s="56">
        <v>0</v>
      </c>
      <c r="BR255" s="14">
        <v>50000000000</v>
      </c>
      <c r="BS255">
        <v>7.5</v>
      </c>
      <c r="BT255" t="s">
        <v>1184</v>
      </c>
      <c r="BU255" s="25">
        <f>_xlfn.XLOOKUP(Dealps_MSB[[#This Row],[DEAL_ID]],Ref!V:V,Ref!X:X,0,0)</f>
        <v>0</v>
      </c>
      <c r="BV255"/>
    </row>
    <row r="256" spans="1:74" x14ac:dyDescent="0.3">
      <c r="A256" s="93">
        <v>46262</v>
      </c>
      <c r="B256">
        <v>3711</v>
      </c>
      <c r="C256" s="56" t="s">
        <v>1155</v>
      </c>
      <c r="D256" t="s">
        <v>316</v>
      </c>
      <c r="E256" t="s">
        <v>1152</v>
      </c>
      <c r="F256" t="s">
        <v>364</v>
      </c>
      <c r="G256" t="s">
        <v>310</v>
      </c>
      <c r="H256" t="s">
        <v>311</v>
      </c>
      <c r="I256" s="93">
        <v>46090</v>
      </c>
      <c r="J256" s="93">
        <v>46090</v>
      </c>
      <c r="K256" s="93">
        <v>46090</v>
      </c>
      <c r="L256" s="93">
        <v>46386</v>
      </c>
      <c r="M256" s="14">
        <v>1</v>
      </c>
      <c r="N256" s="14">
        <v>200000000000</v>
      </c>
      <c r="O256" s="56">
        <v>100.854008681</v>
      </c>
      <c r="P256" s="56">
        <v>0</v>
      </c>
      <c r="Q256" s="14">
        <v>204543633800</v>
      </c>
      <c r="R256">
        <v>6.303706</v>
      </c>
      <c r="S256" t="s">
        <v>1184</v>
      </c>
      <c r="T256" s="57">
        <f>IF(Dealps[[#This Row],[MATURITY_DATE]]-Dealps[[#This Row],[POSTED_DT]]&lt;0,0,IF(Dealps[[#This Row],[VALUE_DATE]]-Dealps[[#This Row],[POSTED_DT]]&gt;0,Dealps[[#This Row],[MATURITY_DATE]]-Dealps[[#This Row],[VALUE_DATE]],Dealps[[#This Row],[MATURITY_DATE]]-Dealps[[#This Row],[POSTED_DT]]))</f>
        <v>124</v>
      </c>
      <c r="U256" s="25">
        <f>IF(Dealps[[#This Row],[TENOR]]=0,0,IF(Dealps[[#This Row],[DEAL_TYPE]]="B",Dealps[[#This Row],[FACE_AMOUNT]],-Dealps[[#This Row],[FACE_AMOUNT]]))</f>
        <v>-200000000000</v>
      </c>
      <c r="V256" s="25">
        <f>_xlfn.XLOOKUP(Dealps[[#This Row],[PAPER_CODE]],FNRP!D:D,FNRP!H:H,0,0)/100*Dealps[[#This Row],[AMOUNT]]</f>
        <v>0</v>
      </c>
      <c r="W256" s="57" t="str">
        <f>IF(Dealps[[#This Row],[TRANSACTION_STATUS]]&lt;&gt;"V","Ngoai BS",IF(Dealps[[#This Row],[POSTED_DT]]&gt;=Dealps[[#This Row],[VALUE_DATE]],"On BS","Off BS"))</f>
        <v>On BS</v>
      </c>
      <c r="X256" s="25">
        <f>SUMIFS(U:U,C:C,Dealps[[#This Row],[PAPER_CODE]])</f>
        <v>0</v>
      </c>
      <c r="Y256" s="25">
        <f>_xlfn.XLOOKUP(Dealps[[#This Row],[DEAL_ID]],Ref!N:N,Ref!Q:Q,0,0)</f>
        <v>0</v>
      </c>
      <c r="Z256" s="25" t="str">
        <f>IF(Dealps[[#This Row],[CPTY_CODE]]=Dealps[[#This Row],[CPTY_CODE_ISSUER]],"Yes","No")</f>
        <v>No</v>
      </c>
      <c r="AA256" s="25"/>
      <c r="AC256" s="14"/>
      <c r="AG256" s="96"/>
      <c r="AH256" s="14"/>
      <c r="AI256"/>
      <c r="AN256" s="14"/>
      <c r="AV256" s="36"/>
      <c r="AW256" s="14"/>
      <c r="AX256" s="234"/>
      <c r="AY256" s="96"/>
      <c r="AZ256" s="14"/>
      <c r="BA256"/>
      <c r="BB256" s="93">
        <v>46262</v>
      </c>
      <c r="BC256">
        <v>3728</v>
      </c>
      <c r="BD256" s="56" t="s">
        <v>1230</v>
      </c>
      <c r="BE256" t="s">
        <v>1011</v>
      </c>
      <c r="BF256" t="s">
        <v>1022</v>
      </c>
      <c r="BG256" t="s">
        <v>364</v>
      </c>
      <c r="BH256" t="s">
        <v>1013</v>
      </c>
      <c r="BI256" t="s">
        <v>311</v>
      </c>
      <c r="BJ256" s="93">
        <v>46090</v>
      </c>
      <c r="BK256" s="93">
        <v>46090</v>
      </c>
      <c r="BL256" s="93">
        <v>46090</v>
      </c>
      <c r="BM256" s="93">
        <v>46815</v>
      </c>
      <c r="BN256" s="14">
        <v>1</v>
      </c>
      <c r="BO256" s="14">
        <v>50000000000</v>
      </c>
      <c r="BP256" s="56">
        <v>100</v>
      </c>
      <c r="BQ256" s="56">
        <v>0</v>
      </c>
      <c r="BR256" s="14">
        <v>50061643836</v>
      </c>
      <c r="BS256">
        <v>7.4907649999999997</v>
      </c>
      <c r="BT256" t="s">
        <v>1184</v>
      </c>
      <c r="BU256" s="25">
        <f>_xlfn.XLOOKUP(Dealps_MSB[[#This Row],[DEAL_ID]],Ref!V:V,Ref!X:X,0,0)</f>
        <v>0</v>
      </c>
      <c r="BV256"/>
    </row>
    <row r="257" spans="1:74" x14ac:dyDescent="0.3">
      <c r="A257" s="93">
        <v>46262</v>
      </c>
      <c r="B257">
        <v>3717</v>
      </c>
      <c r="C257" s="56" t="s">
        <v>1154</v>
      </c>
      <c r="D257" t="s">
        <v>324</v>
      </c>
      <c r="E257" t="s">
        <v>1152</v>
      </c>
      <c r="F257" t="s">
        <v>364</v>
      </c>
      <c r="G257" t="s">
        <v>310</v>
      </c>
      <c r="H257" t="s">
        <v>311</v>
      </c>
      <c r="I257" s="93">
        <v>46090</v>
      </c>
      <c r="J257" s="93">
        <v>46090</v>
      </c>
      <c r="K257" s="93">
        <v>46090</v>
      </c>
      <c r="L257" s="93">
        <v>46289</v>
      </c>
      <c r="M257" s="14">
        <v>1</v>
      </c>
      <c r="N257" s="14">
        <v>200000000000</v>
      </c>
      <c r="O257" s="56">
        <v>99.813563884000004</v>
      </c>
      <c r="P257" s="56">
        <v>0</v>
      </c>
      <c r="Q257" s="14">
        <v>204902744205</v>
      </c>
      <c r="R257">
        <v>5.9949960000000004</v>
      </c>
      <c r="S257" t="s">
        <v>1184</v>
      </c>
      <c r="T257" s="57">
        <f>IF(Dealps[[#This Row],[MATURITY_DATE]]-Dealps[[#This Row],[POSTED_DT]]&lt;0,0,IF(Dealps[[#This Row],[VALUE_DATE]]-Dealps[[#This Row],[POSTED_DT]]&gt;0,Dealps[[#This Row],[MATURITY_DATE]]-Dealps[[#This Row],[VALUE_DATE]],Dealps[[#This Row],[MATURITY_DATE]]-Dealps[[#This Row],[POSTED_DT]]))</f>
        <v>27</v>
      </c>
      <c r="U257" s="25">
        <f>IF(Dealps[[#This Row],[TENOR]]=0,0,IF(Dealps[[#This Row],[DEAL_TYPE]]="B",Dealps[[#This Row],[FACE_AMOUNT]],-Dealps[[#This Row],[FACE_AMOUNT]]))</f>
        <v>-200000000000</v>
      </c>
      <c r="V257" s="25">
        <f>_xlfn.XLOOKUP(Dealps[[#This Row],[PAPER_CODE]],FNRP!D:D,FNRP!H:H,0,0)/100*Dealps[[#This Row],[AMOUNT]]</f>
        <v>0</v>
      </c>
      <c r="W257" s="57" t="str">
        <f>IF(Dealps[[#This Row],[TRANSACTION_STATUS]]&lt;&gt;"V","Ngoai BS",IF(Dealps[[#This Row],[POSTED_DT]]&gt;=Dealps[[#This Row],[VALUE_DATE]],"On BS","Off BS"))</f>
        <v>On BS</v>
      </c>
      <c r="X257" s="25">
        <f>SUMIFS(U:U,C:C,Dealps[[#This Row],[PAPER_CODE]])</f>
        <v>0</v>
      </c>
      <c r="Y257" s="25">
        <f>_xlfn.XLOOKUP(Dealps[[#This Row],[DEAL_ID]],Ref!N:N,Ref!Q:Q,0,0)</f>
        <v>0</v>
      </c>
      <c r="Z257" s="25" t="str">
        <f>IF(Dealps[[#This Row],[CPTY_CODE]]=Dealps[[#This Row],[CPTY_CODE_ISSUER]],"Yes","No")</f>
        <v>No</v>
      </c>
      <c r="AA257" s="25"/>
      <c r="AC257" s="14"/>
      <c r="AG257" s="96"/>
      <c r="AH257" s="14"/>
      <c r="AI257"/>
      <c r="AN257" s="14"/>
      <c r="AV257" s="36"/>
      <c r="AW257" s="14"/>
      <c r="AX257" s="234"/>
      <c r="AY257" s="96"/>
      <c r="AZ257" s="14"/>
      <c r="BA257"/>
      <c r="BB257" s="93">
        <v>46262</v>
      </c>
      <c r="BC257">
        <v>3729</v>
      </c>
      <c r="BD257" s="56" t="s">
        <v>1230</v>
      </c>
      <c r="BE257" t="s">
        <v>1011</v>
      </c>
      <c r="BF257" t="s">
        <v>1022</v>
      </c>
      <c r="BG257" t="s">
        <v>364</v>
      </c>
      <c r="BH257" t="s">
        <v>1013</v>
      </c>
      <c r="BI257" t="s">
        <v>311</v>
      </c>
      <c r="BJ257" s="93">
        <v>46090</v>
      </c>
      <c r="BK257" s="93">
        <v>46090</v>
      </c>
      <c r="BL257" s="93">
        <v>46090</v>
      </c>
      <c r="BM257" s="93">
        <v>46815</v>
      </c>
      <c r="BN257" s="14">
        <v>1</v>
      </c>
      <c r="BO257" s="14">
        <v>50000000000</v>
      </c>
      <c r="BP257" s="56">
        <v>100</v>
      </c>
      <c r="BQ257" s="56">
        <v>0</v>
      </c>
      <c r="BR257" s="14">
        <v>50061643836</v>
      </c>
      <c r="BS257">
        <v>7.4907649999999997</v>
      </c>
      <c r="BT257" t="s">
        <v>1184</v>
      </c>
      <c r="BU257" s="25">
        <f>_xlfn.XLOOKUP(Dealps_MSB[[#This Row],[DEAL_ID]],Ref!V:V,Ref!X:X,0,0)</f>
        <v>0</v>
      </c>
      <c r="BV257"/>
    </row>
    <row r="258" spans="1:74" x14ac:dyDescent="0.3">
      <c r="A258" s="93">
        <v>46262</v>
      </c>
      <c r="B258">
        <v>3743</v>
      </c>
      <c r="C258" s="56" t="s">
        <v>1204</v>
      </c>
      <c r="D258" t="s">
        <v>315</v>
      </c>
      <c r="E258" t="s">
        <v>1205</v>
      </c>
      <c r="F258" t="s">
        <v>364</v>
      </c>
      <c r="G258" t="s">
        <v>310</v>
      </c>
      <c r="H258" t="s">
        <v>300</v>
      </c>
      <c r="I258" s="93">
        <v>46091</v>
      </c>
      <c r="J258" s="93">
        <v>46087</v>
      </c>
      <c r="K258" s="93">
        <v>46091</v>
      </c>
      <c r="L258" s="93">
        <v>46422</v>
      </c>
      <c r="M258" s="14">
        <v>1</v>
      </c>
      <c r="N258" s="14">
        <v>50000000000</v>
      </c>
      <c r="O258" s="56">
        <v>100.12018944099999</v>
      </c>
      <c r="P258" s="56">
        <v>0</v>
      </c>
      <c r="Q258" s="14">
        <v>50397300200</v>
      </c>
      <c r="R258">
        <v>7.0514340000000004</v>
      </c>
      <c r="S258" t="s">
        <v>1184</v>
      </c>
      <c r="T258" s="57">
        <f>IF(Dealps[[#This Row],[MATURITY_DATE]]-Dealps[[#This Row],[POSTED_DT]]&lt;0,0,IF(Dealps[[#This Row],[VALUE_DATE]]-Dealps[[#This Row],[POSTED_DT]]&gt;0,Dealps[[#This Row],[MATURITY_DATE]]-Dealps[[#This Row],[VALUE_DATE]],Dealps[[#This Row],[MATURITY_DATE]]-Dealps[[#This Row],[POSTED_DT]]))</f>
        <v>160</v>
      </c>
      <c r="U258" s="25">
        <f>IF(Dealps[[#This Row],[TENOR]]=0,0,IF(Dealps[[#This Row],[DEAL_TYPE]]="B",Dealps[[#This Row],[FACE_AMOUNT]],-Dealps[[#This Row],[FACE_AMOUNT]]))</f>
        <v>50000000000</v>
      </c>
      <c r="V258" s="25">
        <f>_xlfn.XLOOKUP(Dealps[[#This Row],[PAPER_CODE]],FNRP!D:D,FNRP!H:H,0,0)/100*Dealps[[#This Row],[AMOUNT]]</f>
        <v>0</v>
      </c>
      <c r="W258" s="57" t="str">
        <f>IF(Dealps[[#This Row],[TRANSACTION_STATUS]]&lt;&gt;"V","Ngoai BS",IF(Dealps[[#This Row],[POSTED_DT]]&gt;=Dealps[[#This Row],[VALUE_DATE]],"On BS","Off BS"))</f>
        <v>On BS</v>
      </c>
      <c r="X258" s="25">
        <f>SUMIFS(U:U,C:C,Dealps[[#This Row],[PAPER_CODE]])</f>
        <v>1000000000000</v>
      </c>
      <c r="Y258" s="25">
        <f>_xlfn.XLOOKUP(Dealps[[#This Row],[DEAL_ID]],Ref!N:N,Ref!Q:Q,0,0)</f>
        <v>0</v>
      </c>
      <c r="Z258" s="25" t="str">
        <f>IF(Dealps[[#This Row],[CPTY_CODE]]=Dealps[[#This Row],[CPTY_CODE_ISSUER]],"Yes","No")</f>
        <v>No</v>
      </c>
      <c r="AA258" s="25"/>
      <c r="AC258" s="14"/>
      <c r="AG258" s="96"/>
      <c r="AH258" s="14"/>
      <c r="AI258"/>
      <c r="AN258" s="14"/>
      <c r="AV258" s="36"/>
      <c r="AW258" s="14"/>
      <c r="AX258" s="234"/>
      <c r="AY258" s="96"/>
      <c r="AZ258" s="14"/>
      <c r="BA258"/>
      <c r="BB258" s="93">
        <v>46262</v>
      </c>
      <c r="BC258">
        <v>3730</v>
      </c>
      <c r="BD258" s="56" t="s">
        <v>1230</v>
      </c>
      <c r="BE258" t="s">
        <v>1011</v>
      </c>
      <c r="BF258" t="s">
        <v>1022</v>
      </c>
      <c r="BG258" t="s">
        <v>364</v>
      </c>
      <c r="BH258" t="s">
        <v>1013</v>
      </c>
      <c r="BI258" t="s">
        <v>311</v>
      </c>
      <c r="BJ258" s="93">
        <v>46090</v>
      </c>
      <c r="BK258" s="93">
        <v>46090</v>
      </c>
      <c r="BL258" s="93">
        <v>46090</v>
      </c>
      <c r="BM258" s="93">
        <v>46815</v>
      </c>
      <c r="BN258" s="14">
        <v>1</v>
      </c>
      <c r="BO258" s="14">
        <v>50000000000</v>
      </c>
      <c r="BP258" s="56">
        <v>100</v>
      </c>
      <c r="BQ258" s="56">
        <v>0</v>
      </c>
      <c r="BR258" s="14">
        <v>50061643836</v>
      </c>
      <c r="BS258">
        <v>7.4907649999999997</v>
      </c>
      <c r="BT258" t="s">
        <v>1184</v>
      </c>
      <c r="BU258" s="25">
        <f>_xlfn.XLOOKUP(Dealps_MSB[[#This Row],[DEAL_ID]],Ref!V:V,Ref!X:X,0,0)</f>
        <v>0</v>
      </c>
      <c r="BV258"/>
    </row>
    <row r="259" spans="1:74" x14ac:dyDescent="0.3">
      <c r="A259" s="93">
        <v>46262</v>
      </c>
      <c r="B259">
        <v>3747</v>
      </c>
      <c r="C259" s="56" t="s">
        <v>1151</v>
      </c>
      <c r="D259" t="s">
        <v>316</v>
      </c>
      <c r="E259" t="s">
        <v>1152</v>
      </c>
      <c r="F259" t="s">
        <v>364</v>
      </c>
      <c r="G259" t="s">
        <v>310</v>
      </c>
      <c r="H259" t="s">
        <v>311</v>
      </c>
      <c r="I259" s="93">
        <v>46091</v>
      </c>
      <c r="J259" s="93">
        <v>46091</v>
      </c>
      <c r="K259" s="93">
        <v>46091</v>
      </c>
      <c r="L259" s="93">
        <v>46344</v>
      </c>
      <c r="M259" s="14">
        <v>1</v>
      </c>
      <c r="N259" s="14">
        <v>200000000000</v>
      </c>
      <c r="O259" s="56">
        <v>100.592263789</v>
      </c>
      <c r="P259" s="56">
        <v>0</v>
      </c>
      <c r="Q259" s="14">
        <v>205296308400</v>
      </c>
      <c r="R259">
        <v>5.6947429999999999</v>
      </c>
      <c r="S259" t="s">
        <v>1184</v>
      </c>
      <c r="T259" s="57">
        <f>IF(Dealps[[#This Row],[MATURITY_DATE]]-Dealps[[#This Row],[POSTED_DT]]&lt;0,0,IF(Dealps[[#This Row],[VALUE_DATE]]-Dealps[[#This Row],[POSTED_DT]]&gt;0,Dealps[[#This Row],[MATURITY_DATE]]-Dealps[[#This Row],[VALUE_DATE]],Dealps[[#This Row],[MATURITY_DATE]]-Dealps[[#This Row],[POSTED_DT]]))</f>
        <v>82</v>
      </c>
      <c r="U259" s="25">
        <f>IF(Dealps[[#This Row],[TENOR]]=0,0,IF(Dealps[[#This Row],[DEAL_TYPE]]="B",Dealps[[#This Row],[FACE_AMOUNT]],-Dealps[[#This Row],[FACE_AMOUNT]]))</f>
        <v>-200000000000</v>
      </c>
      <c r="V259" s="25">
        <f>_xlfn.XLOOKUP(Dealps[[#This Row],[PAPER_CODE]],FNRP!D:D,FNRP!H:H,0,0)/100*Dealps[[#This Row],[AMOUNT]]</f>
        <v>0</v>
      </c>
      <c r="W259" s="57" t="str">
        <f>IF(Dealps[[#This Row],[TRANSACTION_STATUS]]&lt;&gt;"V","Ngoai BS",IF(Dealps[[#This Row],[POSTED_DT]]&gt;=Dealps[[#This Row],[VALUE_DATE]],"On BS","Off BS"))</f>
        <v>On BS</v>
      </c>
      <c r="X259" s="25">
        <f>SUMIFS(U:U,C:C,Dealps[[#This Row],[PAPER_CODE]])</f>
        <v>0</v>
      </c>
      <c r="Y259" s="25">
        <f>_xlfn.XLOOKUP(Dealps[[#This Row],[DEAL_ID]],Ref!N:N,Ref!Q:Q,0,0)</f>
        <v>0</v>
      </c>
      <c r="Z259" s="25" t="str">
        <f>IF(Dealps[[#This Row],[CPTY_CODE]]=Dealps[[#This Row],[CPTY_CODE_ISSUER]],"Yes","No")</f>
        <v>No</v>
      </c>
      <c r="AA259" s="25"/>
      <c r="AC259" s="14"/>
      <c r="AG259" s="96"/>
      <c r="AH259" s="14"/>
      <c r="AI259"/>
      <c r="AN259" s="14"/>
      <c r="AV259" s="36"/>
      <c r="AW259" s="14"/>
      <c r="AX259" s="234"/>
      <c r="AY259" s="96"/>
      <c r="AZ259" s="14"/>
      <c r="BA259"/>
      <c r="BB259" s="93">
        <v>46262</v>
      </c>
      <c r="BC259">
        <v>3818</v>
      </c>
      <c r="BD259" s="56" t="s">
        <v>1230</v>
      </c>
      <c r="BE259" t="s">
        <v>1011</v>
      </c>
      <c r="BF259" t="s">
        <v>1022</v>
      </c>
      <c r="BG259" t="s">
        <v>364</v>
      </c>
      <c r="BH259" t="s">
        <v>1013</v>
      </c>
      <c r="BI259" t="s">
        <v>311</v>
      </c>
      <c r="BJ259" s="93">
        <v>46097</v>
      </c>
      <c r="BK259" s="93">
        <v>46097</v>
      </c>
      <c r="BL259" s="93">
        <v>46097</v>
      </c>
      <c r="BM259" s="93">
        <v>46815</v>
      </c>
      <c r="BN259" s="14">
        <v>1</v>
      </c>
      <c r="BO259" s="14">
        <v>40000000000</v>
      </c>
      <c r="BP259" s="56">
        <v>100</v>
      </c>
      <c r="BQ259" s="56">
        <v>0</v>
      </c>
      <c r="BR259" s="14">
        <v>40106849315</v>
      </c>
      <c r="BS259">
        <v>7.4800190000000004</v>
      </c>
      <c r="BT259" t="s">
        <v>1184</v>
      </c>
      <c r="BU259" s="25">
        <f>_xlfn.XLOOKUP(Dealps_MSB[[#This Row],[DEAL_ID]],Ref!V:V,Ref!X:X,0,0)</f>
        <v>0</v>
      </c>
      <c r="BV259"/>
    </row>
    <row r="260" spans="1:74" x14ac:dyDescent="0.3">
      <c r="A260" s="93">
        <v>46262</v>
      </c>
      <c r="B260">
        <v>3748</v>
      </c>
      <c r="C260" s="56" t="s">
        <v>1158</v>
      </c>
      <c r="D260" t="s">
        <v>327</v>
      </c>
      <c r="E260" t="s">
        <v>320</v>
      </c>
      <c r="F260" t="s">
        <v>364</v>
      </c>
      <c r="G260" t="s">
        <v>310</v>
      </c>
      <c r="H260" t="s">
        <v>311</v>
      </c>
      <c r="I260" s="93">
        <v>46091</v>
      </c>
      <c r="J260" s="93">
        <v>46091</v>
      </c>
      <c r="K260" s="93">
        <v>46092</v>
      </c>
      <c r="L260" s="93">
        <v>46409</v>
      </c>
      <c r="M260" s="14">
        <v>1</v>
      </c>
      <c r="N260" s="14">
        <v>1000000000000</v>
      </c>
      <c r="O260" s="56">
        <v>100.35938584199999</v>
      </c>
      <c r="P260" s="56">
        <v>0</v>
      </c>
      <c r="Q260" s="14">
        <v>1012865091304</v>
      </c>
      <c r="R260">
        <v>6.7</v>
      </c>
      <c r="S260" t="s">
        <v>1184</v>
      </c>
      <c r="T260" s="57">
        <f>IF(Dealps[[#This Row],[MATURITY_DATE]]-Dealps[[#This Row],[POSTED_DT]]&lt;0,0,IF(Dealps[[#This Row],[VALUE_DATE]]-Dealps[[#This Row],[POSTED_DT]]&gt;0,Dealps[[#This Row],[MATURITY_DATE]]-Dealps[[#This Row],[VALUE_DATE]],Dealps[[#This Row],[MATURITY_DATE]]-Dealps[[#This Row],[POSTED_DT]]))</f>
        <v>147</v>
      </c>
      <c r="U260" s="25">
        <f>IF(Dealps[[#This Row],[TENOR]]=0,0,IF(Dealps[[#This Row],[DEAL_TYPE]]="B",Dealps[[#This Row],[FACE_AMOUNT]],-Dealps[[#This Row],[FACE_AMOUNT]]))</f>
        <v>-1000000000000</v>
      </c>
      <c r="V260" s="25">
        <f>_xlfn.XLOOKUP(Dealps[[#This Row],[PAPER_CODE]],FNRP!D:D,FNRP!H:H,0,0)/100*Dealps[[#This Row],[AMOUNT]]</f>
        <v>0</v>
      </c>
      <c r="W260" s="57" t="str">
        <f>IF(Dealps[[#This Row],[TRANSACTION_STATUS]]&lt;&gt;"V","Ngoai BS",IF(Dealps[[#This Row],[POSTED_DT]]&gt;=Dealps[[#This Row],[VALUE_DATE]],"On BS","Off BS"))</f>
        <v>On BS</v>
      </c>
      <c r="X260" s="25">
        <f>SUMIFS(U:U,C:C,Dealps[[#This Row],[PAPER_CODE]])</f>
        <v>2000000000000</v>
      </c>
      <c r="Y260" s="25">
        <f>_xlfn.XLOOKUP(Dealps[[#This Row],[DEAL_ID]],Ref!N:N,Ref!Q:Q,0,0)</f>
        <v>0</v>
      </c>
      <c r="Z260" s="25" t="str">
        <f>IF(Dealps[[#This Row],[CPTY_CODE]]=Dealps[[#This Row],[CPTY_CODE_ISSUER]],"Yes","No")</f>
        <v>No</v>
      </c>
      <c r="AA260" s="25"/>
      <c r="AC260" s="14"/>
      <c r="AG260" s="96"/>
      <c r="AH260" s="14"/>
      <c r="AI260"/>
      <c r="AN260" s="14"/>
      <c r="AV260" s="36"/>
      <c r="AW260" s="14"/>
      <c r="AX260" s="234"/>
      <c r="AY260" s="96"/>
      <c r="AZ260" s="14"/>
      <c r="BA260"/>
      <c r="BB260" s="93">
        <v>46262</v>
      </c>
      <c r="BC260">
        <v>3819</v>
      </c>
      <c r="BD260" s="56" t="s">
        <v>1230</v>
      </c>
      <c r="BE260" t="s">
        <v>1011</v>
      </c>
      <c r="BF260" t="s">
        <v>1022</v>
      </c>
      <c r="BG260" t="s">
        <v>364</v>
      </c>
      <c r="BH260" t="s">
        <v>1013</v>
      </c>
      <c r="BI260" t="s">
        <v>311</v>
      </c>
      <c r="BJ260" s="93">
        <v>46097</v>
      </c>
      <c r="BK260" s="93">
        <v>46097</v>
      </c>
      <c r="BL260" s="93">
        <v>46097</v>
      </c>
      <c r="BM260" s="93">
        <v>46815</v>
      </c>
      <c r="BN260" s="14">
        <v>1</v>
      </c>
      <c r="BO260" s="14">
        <v>30000000000</v>
      </c>
      <c r="BP260" s="56">
        <v>100</v>
      </c>
      <c r="BQ260" s="56">
        <v>0</v>
      </c>
      <c r="BR260" s="14">
        <v>30080136986</v>
      </c>
      <c r="BS260">
        <v>7.4800190000000004</v>
      </c>
      <c r="BT260" t="s">
        <v>1184</v>
      </c>
      <c r="BU260" s="25">
        <f>_xlfn.XLOOKUP(Dealps_MSB[[#This Row],[DEAL_ID]],Ref!V:V,Ref!X:X,0,0)</f>
        <v>0</v>
      </c>
      <c r="BV260"/>
    </row>
    <row r="261" spans="1:74" x14ac:dyDescent="0.3">
      <c r="A261" s="93">
        <v>46262</v>
      </c>
      <c r="B261">
        <v>3751</v>
      </c>
      <c r="C261" s="56" t="s">
        <v>1008</v>
      </c>
      <c r="D261" t="s">
        <v>473</v>
      </c>
      <c r="E261" t="s">
        <v>320</v>
      </c>
      <c r="F261" t="s">
        <v>364</v>
      </c>
      <c r="G261" t="s">
        <v>310</v>
      </c>
      <c r="H261" t="s">
        <v>311</v>
      </c>
      <c r="I261" s="93">
        <v>46091</v>
      </c>
      <c r="J261" s="93">
        <v>46091</v>
      </c>
      <c r="K261" s="93">
        <v>46092</v>
      </c>
      <c r="L261" s="93">
        <v>46324</v>
      </c>
      <c r="M261" s="14">
        <v>1</v>
      </c>
      <c r="N261" s="14">
        <v>500000000000</v>
      </c>
      <c r="O261" s="56">
        <v>99.978042005000006</v>
      </c>
      <c r="P261" s="56">
        <v>0</v>
      </c>
      <c r="Q261" s="14">
        <v>510850484000.00006</v>
      </c>
      <c r="R261">
        <v>6.2</v>
      </c>
      <c r="S261" t="s">
        <v>1184</v>
      </c>
      <c r="T261" s="57">
        <f>IF(Dealps[[#This Row],[MATURITY_DATE]]-Dealps[[#This Row],[POSTED_DT]]&lt;0,0,IF(Dealps[[#This Row],[VALUE_DATE]]-Dealps[[#This Row],[POSTED_DT]]&gt;0,Dealps[[#This Row],[MATURITY_DATE]]-Dealps[[#This Row],[VALUE_DATE]],Dealps[[#This Row],[MATURITY_DATE]]-Dealps[[#This Row],[POSTED_DT]]))</f>
        <v>62</v>
      </c>
      <c r="U261" s="25">
        <f>IF(Dealps[[#This Row],[TENOR]]=0,0,IF(Dealps[[#This Row],[DEAL_TYPE]]="B",Dealps[[#This Row],[FACE_AMOUNT]],-Dealps[[#This Row],[FACE_AMOUNT]]))</f>
        <v>-500000000000</v>
      </c>
      <c r="V261" s="25">
        <f>_xlfn.XLOOKUP(Dealps[[#This Row],[PAPER_CODE]],FNRP!D:D,FNRP!H:H,0,0)/100*Dealps[[#This Row],[AMOUNT]]</f>
        <v>0</v>
      </c>
      <c r="W261" s="57" t="str">
        <f>IF(Dealps[[#This Row],[TRANSACTION_STATUS]]&lt;&gt;"V","Ngoai BS",IF(Dealps[[#This Row],[POSTED_DT]]&gt;=Dealps[[#This Row],[VALUE_DATE]],"On BS","Off BS"))</f>
        <v>On BS</v>
      </c>
      <c r="X261" s="25">
        <f>SUMIFS(U:U,C:C,Dealps[[#This Row],[PAPER_CODE]])</f>
        <v>500000000000</v>
      </c>
      <c r="Y261" s="25">
        <f>_xlfn.XLOOKUP(Dealps[[#This Row],[DEAL_ID]],Ref!N:N,Ref!Q:Q,0,0)</f>
        <v>0</v>
      </c>
      <c r="Z261" s="25" t="str">
        <f>IF(Dealps[[#This Row],[CPTY_CODE]]=Dealps[[#This Row],[CPTY_CODE_ISSUER]],"Yes","No")</f>
        <v>No</v>
      </c>
      <c r="AA261" s="25"/>
      <c r="AC261" s="14"/>
      <c r="AG261" s="96"/>
      <c r="AH261" s="14"/>
      <c r="AI261"/>
      <c r="AN261" s="14"/>
      <c r="AV261" s="36"/>
      <c r="AW261" s="14"/>
      <c r="AX261" s="234"/>
      <c r="AY261" s="96"/>
      <c r="AZ261" s="14"/>
      <c r="BA261"/>
      <c r="BB261" s="93">
        <v>46262</v>
      </c>
      <c r="BC261">
        <v>3820</v>
      </c>
      <c r="BD261" s="56" t="s">
        <v>1230</v>
      </c>
      <c r="BE261" t="s">
        <v>1011</v>
      </c>
      <c r="BF261" t="s">
        <v>1022</v>
      </c>
      <c r="BG261" t="s">
        <v>364</v>
      </c>
      <c r="BH261" t="s">
        <v>1013</v>
      </c>
      <c r="BI261" t="s">
        <v>311</v>
      </c>
      <c r="BJ261" s="93">
        <v>46097</v>
      </c>
      <c r="BK261" s="93">
        <v>46097</v>
      </c>
      <c r="BL261" s="93">
        <v>46097</v>
      </c>
      <c r="BM261" s="93">
        <v>46815</v>
      </c>
      <c r="BN261" s="14">
        <v>1</v>
      </c>
      <c r="BO261" s="14">
        <v>30000000000</v>
      </c>
      <c r="BP261" s="56">
        <v>100</v>
      </c>
      <c r="BQ261" s="56">
        <v>0</v>
      </c>
      <c r="BR261" s="14">
        <v>30080136986</v>
      </c>
      <c r="BS261">
        <v>7.4800190000000004</v>
      </c>
      <c r="BT261" t="s">
        <v>1184</v>
      </c>
      <c r="BU261" s="25">
        <f>_xlfn.XLOOKUP(Dealps_MSB[[#This Row],[DEAL_ID]],Ref!V:V,Ref!X:X,0,0)</f>
        <v>0</v>
      </c>
      <c r="BV261"/>
    </row>
    <row r="262" spans="1:74" x14ac:dyDescent="0.3">
      <c r="A262" s="93">
        <v>46262</v>
      </c>
      <c r="B262">
        <v>3753</v>
      </c>
      <c r="C262" s="56" t="s">
        <v>1061</v>
      </c>
      <c r="D262" t="s">
        <v>312</v>
      </c>
      <c r="E262" t="s">
        <v>320</v>
      </c>
      <c r="F262" t="s">
        <v>364</v>
      </c>
      <c r="G262" t="s">
        <v>310</v>
      </c>
      <c r="H262" t="s">
        <v>311</v>
      </c>
      <c r="I262" s="93">
        <v>46091</v>
      </c>
      <c r="J262" s="93">
        <v>46091</v>
      </c>
      <c r="K262" s="93">
        <v>46092</v>
      </c>
      <c r="L262" s="93">
        <v>46343</v>
      </c>
      <c r="M262" s="14">
        <v>1</v>
      </c>
      <c r="N262" s="14">
        <v>500000000000</v>
      </c>
      <c r="O262" s="56">
        <v>100.120840941</v>
      </c>
      <c r="P262" s="56">
        <v>0</v>
      </c>
      <c r="Q262" s="14">
        <v>510356259499.99994</v>
      </c>
      <c r="R262">
        <v>6</v>
      </c>
      <c r="S262" t="s">
        <v>1184</v>
      </c>
      <c r="T262" s="57">
        <f>IF(Dealps[[#This Row],[MATURITY_DATE]]-Dealps[[#This Row],[POSTED_DT]]&lt;0,0,IF(Dealps[[#This Row],[VALUE_DATE]]-Dealps[[#This Row],[POSTED_DT]]&gt;0,Dealps[[#This Row],[MATURITY_DATE]]-Dealps[[#This Row],[VALUE_DATE]],Dealps[[#This Row],[MATURITY_DATE]]-Dealps[[#This Row],[POSTED_DT]]))</f>
        <v>81</v>
      </c>
      <c r="U262" s="25">
        <f>IF(Dealps[[#This Row],[TENOR]]=0,0,IF(Dealps[[#This Row],[DEAL_TYPE]]="B",Dealps[[#This Row],[FACE_AMOUNT]],-Dealps[[#This Row],[FACE_AMOUNT]]))</f>
        <v>-500000000000</v>
      </c>
      <c r="V262" s="25">
        <f>_xlfn.XLOOKUP(Dealps[[#This Row],[PAPER_CODE]],FNRP!D:D,FNRP!H:H,0,0)/100*Dealps[[#This Row],[AMOUNT]]</f>
        <v>0</v>
      </c>
      <c r="W262" s="57" t="str">
        <f>IF(Dealps[[#This Row],[TRANSACTION_STATUS]]&lt;&gt;"V","Ngoai BS",IF(Dealps[[#This Row],[POSTED_DT]]&gt;=Dealps[[#This Row],[VALUE_DATE]],"On BS","Off BS"))</f>
        <v>On BS</v>
      </c>
      <c r="X262" s="25">
        <f>SUMIFS(U:U,C:C,Dealps[[#This Row],[PAPER_CODE]])</f>
        <v>1500000000000</v>
      </c>
      <c r="Y262" s="25">
        <f>_xlfn.XLOOKUP(Dealps[[#This Row],[DEAL_ID]],Ref!N:N,Ref!Q:Q,0,0)</f>
        <v>0</v>
      </c>
      <c r="Z262" s="25" t="str">
        <f>IF(Dealps[[#This Row],[CPTY_CODE]]=Dealps[[#This Row],[CPTY_CODE_ISSUER]],"Yes","No")</f>
        <v>No</v>
      </c>
      <c r="AA262" s="25"/>
      <c r="AC262" s="14"/>
      <c r="AG262" s="96"/>
      <c r="AH262" s="14"/>
      <c r="AI262"/>
      <c r="AN262" s="14"/>
      <c r="AV262" s="36"/>
      <c r="AW262" s="14"/>
      <c r="AX262" s="234"/>
      <c r="AY262" s="96"/>
      <c r="AZ262" s="14"/>
      <c r="BA262"/>
      <c r="BB262" s="93">
        <v>46262</v>
      </c>
      <c r="BC262">
        <v>4354</v>
      </c>
      <c r="BD262" s="56" t="s">
        <v>1293</v>
      </c>
      <c r="BE262" t="s">
        <v>1011</v>
      </c>
      <c r="BF262" t="s">
        <v>1022</v>
      </c>
      <c r="BG262" t="s">
        <v>364</v>
      </c>
      <c r="BH262" t="s">
        <v>1294</v>
      </c>
      <c r="BI262" t="s">
        <v>311</v>
      </c>
      <c r="BJ262" s="93">
        <v>46170</v>
      </c>
      <c r="BK262" s="93">
        <v>46162</v>
      </c>
      <c r="BL262" s="93">
        <v>46162</v>
      </c>
      <c r="BM262" s="93">
        <v>46893</v>
      </c>
      <c r="BN262" s="14">
        <v>1</v>
      </c>
      <c r="BO262" s="14">
        <v>200000000000</v>
      </c>
      <c r="BP262" s="56">
        <v>100</v>
      </c>
      <c r="BQ262" s="56">
        <v>0</v>
      </c>
      <c r="BR262" s="14">
        <v>200000000000</v>
      </c>
      <c r="BS262">
        <v>7.4795360000000004</v>
      </c>
      <c r="BT262" t="s">
        <v>1184</v>
      </c>
      <c r="BU262" s="25">
        <f>_xlfn.XLOOKUP(Dealps_MSB[[#This Row],[DEAL_ID]],Ref!V:V,Ref!X:X,0,0)</f>
        <v>0</v>
      </c>
      <c r="BV262"/>
    </row>
    <row r="263" spans="1:74" x14ac:dyDescent="0.3">
      <c r="A263" s="93">
        <v>46262</v>
      </c>
      <c r="B263">
        <v>3761</v>
      </c>
      <c r="C263" s="56" t="s">
        <v>1231</v>
      </c>
      <c r="D263" t="s">
        <v>322</v>
      </c>
      <c r="E263" t="s">
        <v>315</v>
      </c>
      <c r="F263" t="s">
        <v>364</v>
      </c>
      <c r="G263" t="s">
        <v>310</v>
      </c>
      <c r="H263" t="s">
        <v>311</v>
      </c>
      <c r="I263" s="93">
        <v>46092</v>
      </c>
      <c r="J263" s="93">
        <v>46092</v>
      </c>
      <c r="K263" s="93">
        <v>46092</v>
      </c>
      <c r="L263" s="93">
        <v>46303</v>
      </c>
      <c r="M263" s="14">
        <v>1</v>
      </c>
      <c r="N263" s="14">
        <v>1000000000000</v>
      </c>
      <c r="O263" s="56">
        <v>99.925671307000002</v>
      </c>
      <c r="P263" s="56">
        <v>0</v>
      </c>
      <c r="Q263" s="14">
        <v>1024407397999.9999</v>
      </c>
      <c r="R263">
        <v>5.9825590000000002</v>
      </c>
      <c r="S263" t="s">
        <v>1184</v>
      </c>
      <c r="T263" s="57">
        <f>IF(Dealps[[#This Row],[MATURITY_DATE]]-Dealps[[#This Row],[POSTED_DT]]&lt;0,0,IF(Dealps[[#This Row],[VALUE_DATE]]-Dealps[[#This Row],[POSTED_DT]]&gt;0,Dealps[[#This Row],[MATURITY_DATE]]-Dealps[[#This Row],[VALUE_DATE]],Dealps[[#This Row],[MATURITY_DATE]]-Dealps[[#This Row],[POSTED_DT]]))</f>
        <v>41</v>
      </c>
      <c r="U263" s="25">
        <f>IF(Dealps[[#This Row],[TENOR]]=0,0,IF(Dealps[[#This Row],[DEAL_TYPE]]="B",Dealps[[#This Row],[FACE_AMOUNT]],-Dealps[[#This Row],[FACE_AMOUNT]]))</f>
        <v>-1000000000000</v>
      </c>
      <c r="V263" s="25">
        <f>_xlfn.XLOOKUP(Dealps[[#This Row],[PAPER_CODE]],FNRP!D:D,FNRP!H:H,0,0)/100*Dealps[[#This Row],[AMOUNT]]</f>
        <v>0</v>
      </c>
      <c r="W263" s="57" t="str">
        <f>IF(Dealps[[#This Row],[TRANSACTION_STATUS]]&lt;&gt;"V","Ngoai BS",IF(Dealps[[#This Row],[POSTED_DT]]&gt;=Dealps[[#This Row],[VALUE_DATE]],"On BS","Off BS"))</f>
        <v>On BS</v>
      </c>
      <c r="X263" s="25">
        <f>SUMIFS(U:U,C:C,Dealps[[#This Row],[PAPER_CODE]])</f>
        <v>0</v>
      </c>
      <c r="Y263" s="25">
        <f>_xlfn.XLOOKUP(Dealps[[#This Row],[DEAL_ID]],Ref!N:N,Ref!Q:Q,0,0)</f>
        <v>0</v>
      </c>
      <c r="Z263" s="25" t="str">
        <f>IF(Dealps[[#This Row],[CPTY_CODE]]=Dealps[[#This Row],[CPTY_CODE_ISSUER]],"Yes","No")</f>
        <v>No</v>
      </c>
      <c r="AA263" s="25"/>
      <c r="AC263" s="14"/>
      <c r="AG263" s="96"/>
      <c r="AH263" s="14"/>
      <c r="AI263"/>
      <c r="AN263" s="14"/>
      <c r="AV263" s="36"/>
      <c r="AW263" s="14"/>
      <c r="AX263" s="234"/>
      <c r="AY263" s="96"/>
      <c r="AZ263" s="14"/>
      <c r="BA263"/>
      <c r="BB263" s="93">
        <v>46262</v>
      </c>
      <c r="BC263">
        <v>4732</v>
      </c>
      <c r="BD263" s="56" t="s">
        <v>1293</v>
      </c>
      <c r="BE263" t="s">
        <v>1011</v>
      </c>
      <c r="BF263" t="s">
        <v>1022</v>
      </c>
      <c r="BG263" t="s">
        <v>364</v>
      </c>
      <c r="BH263" t="s">
        <v>1294</v>
      </c>
      <c r="BI263" t="s">
        <v>300</v>
      </c>
      <c r="BJ263" s="93">
        <v>46224</v>
      </c>
      <c r="BK263" s="93">
        <v>46224</v>
      </c>
      <c r="BL263" s="93">
        <v>46225</v>
      </c>
      <c r="BM263" s="93">
        <v>46893</v>
      </c>
      <c r="BN263" s="14">
        <v>1</v>
      </c>
      <c r="BO263" s="14">
        <v>150000000000</v>
      </c>
      <c r="BP263" s="56">
        <v>98.705479452000006</v>
      </c>
      <c r="BQ263" s="56">
        <v>0</v>
      </c>
      <c r="BR263" s="14">
        <v>150000000000</v>
      </c>
      <c r="BS263">
        <v>8.182836</v>
      </c>
      <c r="BT263" t="s">
        <v>1184</v>
      </c>
      <c r="BU263" s="25">
        <f>_xlfn.XLOOKUP(Dealps_MSB[[#This Row],[DEAL_ID]],Ref!V:V,Ref!X:X,0,0)</f>
        <v>0</v>
      </c>
      <c r="BV263"/>
    </row>
    <row r="264" spans="1:74" x14ac:dyDescent="0.3">
      <c r="A264" s="93">
        <v>46262</v>
      </c>
      <c r="B264">
        <v>3762</v>
      </c>
      <c r="C264" s="56" t="s">
        <v>1204</v>
      </c>
      <c r="D264" t="s">
        <v>315</v>
      </c>
      <c r="E264" t="s">
        <v>1205</v>
      </c>
      <c r="F264" t="s">
        <v>364</v>
      </c>
      <c r="G264" t="s">
        <v>310</v>
      </c>
      <c r="H264" t="s">
        <v>300</v>
      </c>
      <c r="I264" s="93">
        <v>46092</v>
      </c>
      <c r="J264" s="93">
        <v>46090</v>
      </c>
      <c r="K264" s="93">
        <v>46092</v>
      </c>
      <c r="L264" s="93">
        <v>46422</v>
      </c>
      <c r="M264" s="14">
        <v>1</v>
      </c>
      <c r="N264" s="14">
        <v>50000000000</v>
      </c>
      <c r="O264" s="56">
        <v>100.11902152499999</v>
      </c>
      <c r="P264" s="56">
        <v>0</v>
      </c>
      <c r="Q264" s="14">
        <v>50406634050</v>
      </c>
      <c r="R264">
        <v>7.0510109999999999</v>
      </c>
      <c r="S264" t="s">
        <v>1184</v>
      </c>
      <c r="T264" s="57">
        <f>IF(Dealps[[#This Row],[MATURITY_DATE]]-Dealps[[#This Row],[POSTED_DT]]&lt;0,0,IF(Dealps[[#This Row],[VALUE_DATE]]-Dealps[[#This Row],[POSTED_DT]]&gt;0,Dealps[[#This Row],[MATURITY_DATE]]-Dealps[[#This Row],[VALUE_DATE]],Dealps[[#This Row],[MATURITY_DATE]]-Dealps[[#This Row],[POSTED_DT]]))</f>
        <v>160</v>
      </c>
      <c r="U264" s="25">
        <f>IF(Dealps[[#This Row],[TENOR]]=0,0,IF(Dealps[[#This Row],[DEAL_TYPE]]="B",Dealps[[#This Row],[FACE_AMOUNT]],-Dealps[[#This Row],[FACE_AMOUNT]]))</f>
        <v>50000000000</v>
      </c>
      <c r="V264" s="25">
        <f>_xlfn.XLOOKUP(Dealps[[#This Row],[PAPER_CODE]],FNRP!D:D,FNRP!H:H,0,0)/100*Dealps[[#This Row],[AMOUNT]]</f>
        <v>0</v>
      </c>
      <c r="W264" s="57" t="str">
        <f>IF(Dealps[[#This Row],[TRANSACTION_STATUS]]&lt;&gt;"V","Ngoai BS",IF(Dealps[[#This Row],[POSTED_DT]]&gt;=Dealps[[#This Row],[VALUE_DATE]],"On BS","Off BS"))</f>
        <v>On BS</v>
      </c>
      <c r="X264" s="25">
        <f>SUMIFS(U:U,C:C,Dealps[[#This Row],[PAPER_CODE]])</f>
        <v>1000000000000</v>
      </c>
      <c r="Y264" s="25">
        <f>_xlfn.XLOOKUP(Dealps[[#This Row],[DEAL_ID]],Ref!N:N,Ref!Q:Q,0,0)</f>
        <v>0</v>
      </c>
      <c r="Z264" s="25" t="str">
        <f>IF(Dealps[[#This Row],[CPTY_CODE]]=Dealps[[#This Row],[CPTY_CODE_ISSUER]],"Yes","No")</f>
        <v>No</v>
      </c>
      <c r="AA264" s="25"/>
      <c r="AC264" s="14"/>
      <c r="AG264" s="96"/>
      <c r="AH264" s="14"/>
      <c r="AI264"/>
      <c r="AN264" s="14"/>
      <c r="AV264" s="36"/>
      <c r="AW264" s="14"/>
      <c r="AX264" s="234"/>
      <c r="AY264" s="96"/>
      <c r="AZ264" s="14"/>
      <c r="BA264"/>
      <c r="BB264" s="93">
        <v>46262</v>
      </c>
      <c r="BC264">
        <v>5005</v>
      </c>
      <c r="BD264" s="56" t="s">
        <v>1018</v>
      </c>
      <c r="BE264" t="s">
        <v>1011</v>
      </c>
      <c r="BF264" t="s">
        <v>1022</v>
      </c>
      <c r="BG264" t="s">
        <v>364</v>
      </c>
      <c r="BH264" t="s">
        <v>1013</v>
      </c>
      <c r="BI264" t="s">
        <v>300</v>
      </c>
      <c r="BJ264" s="93">
        <v>46261</v>
      </c>
      <c r="BK264" s="93">
        <v>46261</v>
      </c>
      <c r="BL264" s="93">
        <v>46261</v>
      </c>
      <c r="BM264" s="93">
        <v>46606</v>
      </c>
      <c r="BN264" s="14">
        <v>1</v>
      </c>
      <c r="BO264" s="14">
        <v>50000000000</v>
      </c>
      <c r="BP264" s="56">
        <v>94.726027396999996</v>
      </c>
      <c r="BQ264" s="56">
        <v>0</v>
      </c>
      <c r="BR264" s="14">
        <v>50000000000</v>
      </c>
      <c r="BS264">
        <v>10.518732</v>
      </c>
      <c r="BT264" t="s">
        <v>1184</v>
      </c>
      <c r="BU264" s="25">
        <f>_xlfn.XLOOKUP(Dealps_MSB[[#This Row],[DEAL_ID]],Ref!V:V,Ref!X:X,0,0)</f>
        <v>0</v>
      </c>
      <c r="BV264"/>
    </row>
    <row r="265" spans="1:74" x14ac:dyDescent="0.3">
      <c r="A265" s="93">
        <v>46262</v>
      </c>
      <c r="B265">
        <v>3763</v>
      </c>
      <c r="C265" s="56" t="s">
        <v>1208</v>
      </c>
      <c r="D265" t="s">
        <v>316</v>
      </c>
      <c r="E265" t="s">
        <v>1152</v>
      </c>
      <c r="F265" t="s">
        <v>364</v>
      </c>
      <c r="G265" t="s">
        <v>310</v>
      </c>
      <c r="H265" t="s">
        <v>311</v>
      </c>
      <c r="I265" s="93">
        <v>46092</v>
      </c>
      <c r="J265" s="93">
        <v>46092</v>
      </c>
      <c r="K265" s="93">
        <v>46092</v>
      </c>
      <c r="L265" s="93">
        <v>46395</v>
      </c>
      <c r="M265" s="14">
        <v>1</v>
      </c>
      <c r="N265" s="14">
        <v>200000000000</v>
      </c>
      <c r="O265" s="56">
        <v>100.674006397</v>
      </c>
      <c r="P265" s="56">
        <v>0</v>
      </c>
      <c r="Q265" s="14">
        <v>203895958000</v>
      </c>
      <c r="R265">
        <v>6.5602850000000004</v>
      </c>
      <c r="S265" t="s">
        <v>1184</v>
      </c>
      <c r="T265" s="57">
        <f>IF(Dealps[[#This Row],[MATURITY_DATE]]-Dealps[[#This Row],[POSTED_DT]]&lt;0,0,IF(Dealps[[#This Row],[VALUE_DATE]]-Dealps[[#This Row],[POSTED_DT]]&gt;0,Dealps[[#This Row],[MATURITY_DATE]]-Dealps[[#This Row],[VALUE_DATE]],Dealps[[#This Row],[MATURITY_DATE]]-Dealps[[#This Row],[POSTED_DT]]))</f>
        <v>133</v>
      </c>
      <c r="U265" s="25">
        <f>IF(Dealps[[#This Row],[TENOR]]=0,0,IF(Dealps[[#This Row],[DEAL_TYPE]]="B",Dealps[[#This Row],[FACE_AMOUNT]],-Dealps[[#This Row],[FACE_AMOUNT]]))</f>
        <v>-200000000000</v>
      </c>
      <c r="V265" s="25">
        <f>_xlfn.XLOOKUP(Dealps[[#This Row],[PAPER_CODE]],FNRP!D:D,FNRP!H:H,0,0)/100*Dealps[[#This Row],[AMOUNT]]</f>
        <v>0</v>
      </c>
      <c r="W265" s="57" t="str">
        <f>IF(Dealps[[#This Row],[TRANSACTION_STATUS]]&lt;&gt;"V","Ngoai BS",IF(Dealps[[#This Row],[POSTED_DT]]&gt;=Dealps[[#This Row],[VALUE_DATE]],"On BS","Off BS"))</f>
        <v>On BS</v>
      </c>
      <c r="X265" s="25">
        <f>SUMIFS(U:U,C:C,Dealps[[#This Row],[PAPER_CODE]])</f>
        <v>0</v>
      </c>
      <c r="Y265" s="25">
        <f>_xlfn.XLOOKUP(Dealps[[#This Row],[DEAL_ID]],Ref!N:N,Ref!Q:Q,0,0)</f>
        <v>0</v>
      </c>
      <c r="Z265" s="25" t="str">
        <f>IF(Dealps[[#This Row],[CPTY_CODE]]=Dealps[[#This Row],[CPTY_CODE_ISSUER]],"Yes","No")</f>
        <v>No</v>
      </c>
      <c r="AA265" s="25"/>
      <c r="AC265" s="14"/>
      <c r="AG265" s="96"/>
      <c r="AH265" s="14"/>
      <c r="AI265"/>
      <c r="AN265" s="14"/>
      <c r="AV265" s="36"/>
      <c r="AW265" s="14"/>
      <c r="AX265" s="234"/>
      <c r="AY265" s="96"/>
      <c r="AZ265" s="14"/>
      <c r="BA265"/>
      <c r="BB265" s="93">
        <v>46262</v>
      </c>
      <c r="BC265">
        <v>5006</v>
      </c>
      <c r="BD265" s="56" t="s">
        <v>1020</v>
      </c>
      <c r="BE265" t="s">
        <v>1011</v>
      </c>
      <c r="BF265" t="s">
        <v>1022</v>
      </c>
      <c r="BG265" t="s">
        <v>364</v>
      </c>
      <c r="BH265" t="s">
        <v>1013</v>
      </c>
      <c r="BI265" t="s">
        <v>300</v>
      </c>
      <c r="BJ265" s="93">
        <v>46261</v>
      </c>
      <c r="BK265" s="93">
        <v>46261</v>
      </c>
      <c r="BL265" s="93">
        <v>46261</v>
      </c>
      <c r="BM265" s="93">
        <v>46641</v>
      </c>
      <c r="BN265" s="14">
        <v>1</v>
      </c>
      <c r="BO265" s="14">
        <v>60000000000</v>
      </c>
      <c r="BP265" s="56">
        <v>95.205479452000006</v>
      </c>
      <c r="BQ265" s="56">
        <v>0</v>
      </c>
      <c r="BR265" s="14">
        <v>60000000000</v>
      </c>
      <c r="BS265">
        <v>9.5549739999999996</v>
      </c>
      <c r="BT265" t="s">
        <v>1184</v>
      </c>
      <c r="BU265" s="25">
        <f>_xlfn.XLOOKUP(Dealps_MSB[[#This Row],[DEAL_ID]],Ref!V:V,Ref!X:X,0,0)</f>
        <v>0</v>
      </c>
      <c r="BV265"/>
    </row>
    <row r="266" spans="1:74" x14ac:dyDescent="0.3">
      <c r="A266" s="93">
        <v>46262</v>
      </c>
      <c r="B266">
        <v>3764</v>
      </c>
      <c r="C266" s="56" t="s">
        <v>1158</v>
      </c>
      <c r="D266" t="s">
        <v>327</v>
      </c>
      <c r="E266" t="s">
        <v>345</v>
      </c>
      <c r="F266" t="s">
        <v>364</v>
      </c>
      <c r="G266" t="s">
        <v>310</v>
      </c>
      <c r="H266" t="s">
        <v>311</v>
      </c>
      <c r="I266" s="93">
        <v>46092</v>
      </c>
      <c r="J266" s="93">
        <v>46092</v>
      </c>
      <c r="K266" s="93">
        <v>46094</v>
      </c>
      <c r="L266" s="93">
        <v>46409</v>
      </c>
      <c r="M266" s="14">
        <v>1</v>
      </c>
      <c r="N266" s="14">
        <v>500000000000</v>
      </c>
      <c r="O266" s="56">
        <v>100.686817582</v>
      </c>
      <c r="P266" s="56">
        <v>0</v>
      </c>
      <c r="Q266" s="14">
        <v>508266964622</v>
      </c>
      <c r="R266">
        <v>6.3</v>
      </c>
      <c r="S266" t="s">
        <v>1184</v>
      </c>
      <c r="T266" s="57">
        <f>IF(Dealps[[#This Row],[MATURITY_DATE]]-Dealps[[#This Row],[POSTED_DT]]&lt;0,0,IF(Dealps[[#This Row],[VALUE_DATE]]-Dealps[[#This Row],[POSTED_DT]]&gt;0,Dealps[[#This Row],[MATURITY_DATE]]-Dealps[[#This Row],[VALUE_DATE]],Dealps[[#This Row],[MATURITY_DATE]]-Dealps[[#This Row],[POSTED_DT]]))</f>
        <v>147</v>
      </c>
      <c r="U266" s="25">
        <f>IF(Dealps[[#This Row],[TENOR]]=0,0,IF(Dealps[[#This Row],[DEAL_TYPE]]="B",Dealps[[#This Row],[FACE_AMOUNT]],-Dealps[[#This Row],[FACE_AMOUNT]]))</f>
        <v>-500000000000</v>
      </c>
      <c r="V266" s="25">
        <f>_xlfn.XLOOKUP(Dealps[[#This Row],[PAPER_CODE]],FNRP!D:D,FNRP!H:H,0,0)/100*Dealps[[#This Row],[AMOUNT]]</f>
        <v>0</v>
      </c>
      <c r="W266" s="57" t="str">
        <f>IF(Dealps[[#This Row],[TRANSACTION_STATUS]]&lt;&gt;"V","Ngoai BS",IF(Dealps[[#This Row],[POSTED_DT]]&gt;=Dealps[[#This Row],[VALUE_DATE]],"On BS","Off BS"))</f>
        <v>On BS</v>
      </c>
      <c r="X266" s="25">
        <f>SUMIFS(U:U,C:C,Dealps[[#This Row],[PAPER_CODE]])</f>
        <v>2000000000000</v>
      </c>
      <c r="Y266" s="25">
        <f>_xlfn.XLOOKUP(Dealps[[#This Row],[DEAL_ID]],Ref!N:N,Ref!Q:Q,0,0)</f>
        <v>0</v>
      </c>
      <c r="Z266" s="25" t="str">
        <f>IF(Dealps[[#This Row],[CPTY_CODE]]=Dealps[[#This Row],[CPTY_CODE_ISSUER]],"Yes","No")</f>
        <v>No</v>
      </c>
      <c r="AA266" s="25"/>
      <c r="AC266" s="14"/>
      <c r="AG266" s="96"/>
      <c r="AH266" s="14"/>
      <c r="AI266"/>
      <c r="AN266" s="14"/>
      <c r="AV266" s="36"/>
      <c r="AW266" s="14"/>
      <c r="AX266" s="234"/>
      <c r="AY266" s="96"/>
      <c r="AZ266" s="14"/>
      <c r="BA266"/>
      <c r="BB266" s="93">
        <v>46262</v>
      </c>
      <c r="BC266">
        <v>5007</v>
      </c>
      <c r="BD266" s="56" t="s">
        <v>1021</v>
      </c>
      <c r="BE266" t="s">
        <v>1011</v>
      </c>
      <c r="BF266" t="s">
        <v>1022</v>
      </c>
      <c r="BG266" t="s">
        <v>364</v>
      </c>
      <c r="BH266" t="s">
        <v>1013</v>
      </c>
      <c r="BI266" t="s">
        <v>300</v>
      </c>
      <c r="BJ266" s="93">
        <v>46261</v>
      </c>
      <c r="BK266" s="93">
        <v>46261</v>
      </c>
      <c r="BL266" s="93">
        <v>46261</v>
      </c>
      <c r="BM266" s="93">
        <v>46654</v>
      </c>
      <c r="BN266" s="14">
        <v>1</v>
      </c>
      <c r="BO266" s="14">
        <v>40000000000</v>
      </c>
      <c r="BP266" s="56">
        <v>95.383561643999997</v>
      </c>
      <c r="BQ266" s="56">
        <v>0</v>
      </c>
      <c r="BR266" s="14">
        <v>40000000000</v>
      </c>
      <c r="BS266">
        <v>9.2875320000000006</v>
      </c>
      <c r="BT266" t="s">
        <v>1184</v>
      </c>
      <c r="BU266" s="25">
        <f>_xlfn.XLOOKUP(Dealps_MSB[[#This Row],[DEAL_ID]],Ref!V:V,Ref!X:X,0,0)</f>
        <v>0</v>
      </c>
      <c r="BV266"/>
    </row>
    <row r="267" spans="1:74" x14ac:dyDescent="0.3">
      <c r="A267" s="93">
        <v>46262</v>
      </c>
      <c r="B267">
        <v>3765</v>
      </c>
      <c r="C267" s="56" t="s">
        <v>965</v>
      </c>
      <c r="D267" t="s">
        <v>325</v>
      </c>
      <c r="E267" t="s">
        <v>312</v>
      </c>
      <c r="F267" t="s">
        <v>364</v>
      </c>
      <c r="G267" t="s">
        <v>310</v>
      </c>
      <c r="H267" t="s">
        <v>311</v>
      </c>
      <c r="I267" s="93">
        <v>46092</v>
      </c>
      <c r="J267" s="93">
        <v>46092</v>
      </c>
      <c r="K267" s="93">
        <v>46094</v>
      </c>
      <c r="L267" s="93">
        <v>46301</v>
      </c>
      <c r="M267" s="14">
        <v>1</v>
      </c>
      <c r="N267" s="14">
        <v>500000000000</v>
      </c>
      <c r="O267" s="56">
        <v>99.999999987999999</v>
      </c>
      <c r="P267" s="56">
        <v>0</v>
      </c>
      <c r="Q267" s="14">
        <v>513764383500.00006</v>
      </c>
      <c r="R267">
        <v>6.2285360000000001</v>
      </c>
      <c r="S267" t="s">
        <v>1184</v>
      </c>
      <c r="T267" s="57">
        <f>IF(Dealps[[#This Row],[MATURITY_DATE]]-Dealps[[#This Row],[POSTED_DT]]&lt;0,0,IF(Dealps[[#This Row],[VALUE_DATE]]-Dealps[[#This Row],[POSTED_DT]]&gt;0,Dealps[[#This Row],[MATURITY_DATE]]-Dealps[[#This Row],[VALUE_DATE]],Dealps[[#This Row],[MATURITY_DATE]]-Dealps[[#This Row],[POSTED_DT]]))</f>
        <v>39</v>
      </c>
      <c r="U267" s="25">
        <f>IF(Dealps[[#This Row],[TENOR]]=0,0,IF(Dealps[[#This Row],[DEAL_TYPE]]="B",Dealps[[#This Row],[FACE_AMOUNT]],-Dealps[[#This Row],[FACE_AMOUNT]]))</f>
        <v>-500000000000</v>
      </c>
      <c r="V267" s="25">
        <f>_xlfn.XLOOKUP(Dealps[[#This Row],[PAPER_CODE]],FNRP!D:D,FNRP!H:H,0,0)/100*Dealps[[#This Row],[AMOUNT]]</f>
        <v>0</v>
      </c>
      <c r="W267" s="57" t="str">
        <f>IF(Dealps[[#This Row],[TRANSACTION_STATUS]]&lt;&gt;"V","Ngoai BS",IF(Dealps[[#This Row],[POSTED_DT]]&gt;=Dealps[[#This Row],[VALUE_DATE]],"On BS","Off BS"))</f>
        <v>On BS</v>
      </c>
      <c r="X267" s="25">
        <f>SUMIFS(U:U,C:C,Dealps[[#This Row],[PAPER_CODE]])</f>
        <v>500000000000</v>
      </c>
      <c r="Y267" s="25">
        <f>_xlfn.XLOOKUP(Dealps[[#This Row],[DEAL_ID]],Ref!N:N,Ref!Q:Q,0,0)</f>
        <v>0</v>
      </c>
      <c r="Z267" s="25" t="str">
        <f>IF(Dealps[[#This Row],[CPTY_CODE]]=Dealps[[#This Row],[CPTY_CODE_ISSUER]],"Yes","No")</f>
        <v>No</v>
      </c>
      <c r="AA267" s="25"/>
      <c r="AC267" s="14"/>
      <c r="AG267" s="96"/>
      <c r="AH267" s="14"/>
      <c r="AI267"/>
      <c r="AN267" s="14"/>
      <c r="AV267" s="36"/>
      <c r="AW267" s="14"/>
      <c r="AX267" s="234"/>
      <c r="AY267" s="96"/>
      <c r="AZ267" s="14"/>
      <c r="BA267"/>
      <c r="BB267" s="93">
        <v>46262</v>
      </c>
      <c r="BC267">
        <v>46831</v>
      </c>
      <c r="BD267" s="56" t="s">
        <v>1028</v>
      </c>
      <c r="BE267" t="s">
        <v>1011</v>
      </c>
      <c r="BF267" t="s">
        <v>1029</v>
      </c>
      <c r="BG267" t="s">
        <v>35</v>
      </c>
      <c r="BH267" t="s">
        <v>310</v>
      </c>
      <c r="BI267" t="s">
        <v>311</v>
      </c>
      <c r="BJ267" s="93">
        <v>45849</v>
      </c>
      <c r="BK267" s="93">
        <v>45849</v>
      </c>
      <c r="BL267" s="93">
        <v>45849</v>
      </c>
      <c r="BM267" s="93">
        <v>47675</v>
      </c>
      <c r="BN267" s="14">
        <v>30</v>
      </c>
      <c r="BO267" s="14">
        <v>30000000000</v>
      </c>
      <c r="BP267" s="56">
        <v>100</v>
      </c>
      <c r="BQ267" s="56">
        <v>0</v>
      </c>
      <c r="BR267" s="14">
        <v>30000000000</v>
      </c>
      <c r="BS267">
        <v>6.1998969480000001</v>
      </c>
      <c r="BT267" t="s">
        <v>1184</v>
      </c>
      <c r="BU267" s="25">
        <f>_xlfn.XLOOKUP(Dealps_MSB[[#This Row],[DEAL_ID]],Ref!V:V,Ref!X:X,0,0)</f>
        <v>0</v>
      </c>
      <c r="BV267"/>
    </row>
    <row r="268" spans="1:74" x14ac:dyDescent="0.3">
      <c r="A268" s="93">
        <v>46262</v>
      </c>
      <c r="B268">
        <v>3771</v>
      </c>
      <c r="C268" s="56" t="s">
        <v>953</v>
      </c>
      <c r="D268" t="s">
        <v>325</v>
      </c>
      <c r="E268" t="s">
        <v>312</v>
      </c>
      <c r="F268" t="s">
        <v>364</v>
      </c>
      <c r="G268" t="s">
        <v>310</v>
      </c>
      <c r="H268" t="s">
        <v>311</v>
      </c>
      <c r="I268" s="93">
        <v>46092</v>
      </c>
      <c r="J268" s="93">
        <v>46092</v>
      </c>
      <c r="K268" s="93">
        <v>46094</v>
      </c>
      <c r="L268" s="93">
        <v>46274</v>
      </c>
      <c r="M268" s="14">
        <v>1</v>
      </c>
      <c r="N268" s="14">
        <v>300000000000</v>
      </c>
      <c r="O268" s="56">
        <v>99.999999966000004</v>
      </c>
      <c r="P268" s="56">
        <v>0</v>
      </c>
      <c r="Q268" s="14">
        <v>309073972500</v>
      </c>
      <c r="R268">
        <v>5.8238490000000001</v>
      </c>
      <c r="S268" t="s">
        <v>1184</v>
      </c>
      <c r="T268" s="57">
        <f>IF(Dealps[[#This Row],[MATURITY_DATE]]-Dealps[[#This Row],[POSTED_DT]]&lt;0,0,IF(Dealps[[#This Row],[VALUE_DATE]]-Dealps[[#This Row],[POSTED_DT]]&gt;0,Dealps[[#This Row],[MATURITY_DATE]]-Dealps[[#This Row],[VALUE_DATE]],Dealps[[#This Row],[MATURITY_DATE]]-Dealps[[#This Row],[POSTED_DT]]))</f>
        <v>12</v>
      </c>
      <c r="U268" s="25">
        <f>IF(Dealps[[#This Row],[TENOR]]=0,0,IF(Dealps[[#This Row],[DEAL_TYPE]]="B",Dealps[[#This Row],[FACE_AMOUNT]],-Dealps[[#This Row],[FACE_AMOUNT]]))</f>
        <v>-300000000000</v>
      </c>
      <c r="V268" s="25">
        <f>_xlfn.XLOOKUP(Dealps[[#This Row],[PAPER_CODE]],FNRP!D:D,FNRP!H:H,0,0)/100*Dealps[[#This Row],[AMOUNT]]</f>
        <v>0</v>
      </c>
      <c r="W268" s="57" t="str">
        <f>IF(Dealps[[#This Row],[TRANSACTION_STATUS]]&lt;&gt;"V","Ngoai BS",IF(Dealps[[#This Row],[POSTED_DT]]&gt;=Dealps[[#This Row],[VALUE_DATE]],"On BS","Off BS"))</f>
        <v>On BS</v>
      </c>
      <c r="X268" s="25">
        <f>SUMIFS(U:U,C:C,Dealps[[#This Row],[PAPER_CODE]])</f>
        <v>300000000000</v>
      </c>
      <c r="Y268" s="25">
        <f>_xlfn.XLOOKUP(Dealps[[#This Row],[DEAL_ID]],Ref!N:N,Ref!Q:Q,0,0)</f>
        <v>0</v>
      </c>
      <c r="Z268" s="25" t="str">
        <f>IF(Dealps[[#This Row],[CPTY_CODE]]=Dealps[[#This Row],[CPTY_CODE_ISSUER]],"Yes","No")</f>
        <v>No</v>
      </c>
      <c r="AA268" s="25"/>
      <c r="AC268" s="14"/>
      <c r="AG268" s="96"/>
      <c r="AH268" s="14"/>
      <c r="AI268"/>
      <c r="AN268" s="14"/>
      <c r="AV268" s="36"/>
      <c r="AW268" s="14"/>
      <c r="AX268" s="234"/>
      <c r="AY268" s="96"/>
      <c r="AZ268" s="14"/>
      <c r="BA268"/>
      <c r="BB268" s="93">
        <v>46262</v>
      </c>
      <c r="BC268">
        <v>1843</v>
      </c>
      <c r="BD268" s="56" t="s">
        <v>1017</v>
      </c>
      <c r="BE268" t="s">
        <v>1011</v>
      </c>
      <c r="BF268" t="s">
        <v>1012</v>
      </c>
      <c r="BG268" t="s">
        <v>364</v>
      </c>
      <c r="BH268" t="s">
        <v>1013</v>
      </c>
      <c r="BI268" t="s">
        <v>311</v>
      </c>
      <c r="BJ268" s="93">
        <v>45772</v>
      </c>
      <c r="BK268" s="93">
        <v>45772</v>
      </c>
      <c r="BL268" s="93">
        <v>45772</v>
      </c>
      <c r="BM268" s="93">
        <v>46502</v>
      </c>
      <c r="BN268" s="14">
        <v>1</v>
      </c>
      <c r="BO268" s="14">
        <v>10000000000</v>
      </c>
      <c r="BP268" s="56">
        <v>100</v>
      </c>
      <c r="BQ268" s="56">
        <v>0</v>
      </c>
      <c r="BR268" s="14">
        <v>10000000000</v>
      </c>
      <c r="BS268">
        <v>5.7920660000000002</v>
      </c>
      <c r="BT268" t="s">
        <v>1184</v>
      </c>
      <c r="BU268" s="25">
        <f>_xlfn.XLOOKUP(Dealps_MSB[[#This Row],[DEAL_ID]],Ref!V:V,Ref!X:X,0,0)</f>
        <v>0</v>
      </c>
      <c r="BV268"/>
    </row>
    <row r="269" spans="1:74" x14ac:dyDescent="0.3">
      <c r="A269" s="93">
        <v>46262</v>
      </c>
      <c r="B269">
        <v>3773</v>
      </c>
      <c r="C269" s="56" t="s">
        <v>1010</v>
      </c>
      <c r="D269" t="s">
        <v>328</v>
      </c>
      <c r="E269" t="s">
        <v>312</v>
      </c>
      <c r="F269" t="s">
        <v>364</v>
      </c>
      <c r="G269" t="s">
        <v>310</v>
      </c>
      <c r="H269" t="s">
        <v>311</v>
      </c>
      <c r="I269" s="93">
        <v>46092</v>
      </c>
      <c r="J269" s="93">
        <v>46092</v>
      </c>
      <c r="K269" s="93">
        <v>46094</v>
      </c>
      <c r="L269" s="93">
        <v>46329</v>
      </c>
      <c r="M269" s="14">
        <v>1</v>
      </c>
      <c r="N269" s="14">
        <v>500000000000</v>
      </c>
      <c r="O269" s="56">
        <v>99.999999958000004</v>
      </c>
      <c r="P269" s="56">
        <v>0</v>
      </c>
      <c r="Q269" s="14">
        <v>511132876500</v>
      </c>
      <c r="R269">
        <v>6.1627809999999998</v>
      </c>
      <c r="S269" t="s">
        <v>1184</v>
      </c>
      <c r="T269" s="57">
        <f>IF(Dealps[[#This Row],[MATURITY_DATE]]-Dealps[[#This Row],[POSTED_DT]]&lt;0,0,IF(Dealps[[#This Row],[VALUE_DATE]]-Dealps[[#This Row],[POSTED_DT]]&gt;0,Dealps[[#This Row],[MATURITY_DATE]]-Dealps[[#This Row],[VALUE_DATE]],Dealps[[#This Row],[MATURITY_DATE]]-Dealps[[#This Row],[POSTED_DT]]))</f>
        <v>67</v>
      </c>
      <c r="U269" s="25">
        <f>IF(Dealps[[#This Row],[TENOR]]=0,0,IF(Dealps[[#This Row],[DEAL_TYPE]]="B",Dealps[[#This Row],[FACE_AMOUNT]],-Dealps[[#This Row],[FACE_AMOUNT]]))</f>
        <v>-500000000000</v>
      </c>
      <c r="V269" s="25">
        <f>_xlfn.XLOOKUP(Dealps[[#This Row],[PAPER_CODE]],FNRP!D:D,FNRP!H:H,0,0)/100*Dealps[[#This Row],[AMOUNT]]</f>
        <v>0</v>
      </c>
      <c r="W269" s="57" t="str">
        <f>IF(Dealps[[#This Row],[TRANSACTION_STATUS]]&lt;&gt;"V","Ngoai BS",IF(Dealps[[#This Row],[POSTED_DT]]&gt;=Dealps[[#This Row],[VALUE_DATE]],"On BS","Off BS"))</f>
        <v>On BS</v>
      </c>
      <c r="X269" s="25">
        <f>SUMIFS(U:U,C:C,Dealps[[#This Row],[PAPER_CODE]])</f>
        <v>2000000000000</v>
      </c>
      <c r="Y269" s="25">
        <f>_xlfn.XLOOKUP(Dealps[[#This Row],[DEAL_ID]],Ref!N:N,Ref!Q:Q,0,0)</f>
        <v>0</v>
      </c>
      <c r="Z269" s="25" t="str">
        <f>IF(Dealps[[#This Row],[CPTY_CODE]]=Dealps[[#This Row],[CPTY_CODE_ISSUER]],"Yes","No")</f>
        <v>No</v>
      </c>
      <c r="AA269" s="25"/>
      <c r="AC269" s="14"/>
      <c r="AG269" s="96"/>
      <c r="AH269" s="14"/>
      <c r="AI269"/>
      <c r="AN269" s="14"/>
      <c r="AV269" s="36"/>
      <c r="AW269" s="14"/>
      <c r="AX269" s="234"/>
      <c r="AY269" s="96"/>
      <c r="AZ269" s="14"/>
      <c r="BA269"/>
      <c r="BB269" s="93">
        <v>46262</v>
      </c>
      <c r="BC269">
        <v>1859</v>
      </c>
      <c r="BD269" s="56" t="s">
        <v>1017</v>
      </c>
      <c r="BE269" t="s">
        <v>1011</v>
      </c>
      <c r="BF269" t="s">
        <v>1012</v>
      </c>
      <c r="BG269" t="s">
        <v>364</v>
      </c>
      <c r="BH269" t="s">
        <v>1013</v>
      </c>
      <c r="BI269" t="s">
        <v>311</v>
      </c>
      <c r="BJ269" s="93">
        <v>45775</v>
      </c>
      <c r="BK269" s="93">
        <v>45775</v>
      </c>
      <c r="BL269" s="93">
        <v>45775</v>
      </c>
      <c r="BM269" s="93">
        <v>46502</v>
      </c>
      <c r="BN269" s="14">
        <v>1</v>
      </c>
      <c r="BO269" s="14">
        <v>10000000000</v>
      </c>
      <c r="BP269" s="56">
        <v>100</v>
      </c>
      <c r="BQ269" s="56">
        <v>0</v>
      </c>
      <c r="BR269" s="14">
        <v>10004767123</v>
      </c>
      <c r="BS269">
        <v>5.7892729999999997</v>
      </c>
      <c r="BT269" t="s">
        <v>1184</v>
      </c>
      <c r="BU269" s="25">
        <f>_xlfn.XLOOKUP(Dealps_MSB[[#This Row],[DEAL_ID]],Ref!V:V,Ref!X:X,0,0)</f>
        <v>0</v>
      </c>
      <c r="BV269"/>
    </row>
    <row r="270" spans="1:74" x14ac:dyDescent="0.3">
      <c r="A270" s="93">
        <v>46262</v>
      </c>
      <c r="B270">
        <v>3774</v>
      </c>
      <c r="C270" s="56" t="s">
        <v>1010</v>
      </c>
      <c r="D270" t="s">
        <v>328</v>
      </c>
      <c r="E270" t="s">
        <v>312</v>
      </c>
      <c r="F270" t="s">
        <v>364</v>
      </c>
      <c r="G270" t="s">
        <v>310</v>
      </c>
      <c r="H270" t="s">
        <v>311</v>
      </c>
      <c r="I270" s="93">
        <v>46092</v>
      </c>
      <c r="J270" s="93">
        <v>46092</v>
      </c>
      <c r="K270" s="93">
        <v>46094</v>
      </c>
      <c r="L270" s="93">
        <v>46329</v>
      </c>
      <c r="M270" s="14">
        <v>1</v>
      </c>
      <c r="N270" s="14">
        <v>700000000000</v>
      </c>
      <c r="O270" s="56">
        <v>99.999999958000004</v>
      </c>
      <c r="P270" s="56">
        <v>0</v>
      </c>
      <c r="Q270" s="14">
        <v>715586027100</v>
      </c>
      <c r="R270">
        <v>6.1627809999999998</v>
      </c>
      <c r="S270" t="s">
        <v>1184</v>
      </c>
      <c r="T270" s="57">
        <f>IF(Dealps[[#This Row],[MATURITY_DATE]]-Dealps[[#This Row],[POSTED_DT]]&lt;0,0,IF(Dealps[[#This Row],[VALUE_DATE]]-Dealps[[#This Row],[POSTED_DT]]&gt;0,Dealps[[#This Row],[MATURITY_DATE]]-Dealps[[#This Row],[VALUE_DATE]],Dealps[[#This Row],[MATURITY_DATE]]-Dealps[[#This Row],[POSTED_DT]]))</f>
        <v>67</v>
      </c>
      <c r="U270" s="25">
        <f>IF(Dealps[[#This Row],[TENOR]]=0,0,IF(Dealps[[#This Row],[DEAL_TYPE]]="B",Dealps[[#This Row],[FACE_AMOUNT]],-Dealps[[#This Row],[FACE_AMOUNT]]))</f>
        <v>-700000000000</v>
      </c>
      <c r="V270" s="25">
        <f>_xlfn.XLOOKUP(Dealps[[#This Row],[PAPER_CODE]],FNRP!D:D,FNRP!H:H,0,0)/100*Dealps[[#This Row],[AMOUNT]]</f>
        <v>0</v>
      </c>
      <c r="W270" s="57" t="str">
        <f>IF(Dealps[[#This Row],[TRANSACTION_STATUS]]&lt;&gt;"V","Ngoai BS",IF(Dealps[[#This Row],[POSTED_DT]]&gt;=Dealps[[#This Row],[VALUE_DATE]],"On BS","Off BS"))</f>
        <v>On BS</v>
      </c>
      <c r="X270" s="25">
        <f>SUMIFS(U:U,C:C,Dealps[[#This Row],[PAPER_CODE]])</f>
        <v>2000000000000</v>
      </c>
      <c r="Y270" s="25">
        <f>_xlfn.XLOOKUP(Dealps[[#This Row],[DEAL_ID]],Ref!N:N,Ref!Q:Q,0,0)</f>
        <v>0</v>
      </c>
      <c r="Z270" s="25" t="str">
        <f>IF(Dealps[[#This Row],[CPTY_CODE]]=Dealps[[#This Row],[CPTY_CODE_ISSUER]],"Yes","No")</f>
        <v>No</v>
      </c>
      <c r="AA270" s="25"/>
      <c r="AC270" s="14"/>
      <c r="AG270" s="96"/>
      <c r="AH270" s="14"/>
      <c r="AI270"/>
      <c r="AN270" s="14"/>
      <c r="AV270" s="36"/>
      <c r="AW270" s="14"/>
      <c r="AX270" s="234"/>
      <c r="AY270" s="96"/>
      <c r="AZ270" s="14"/>
      <c r="BA270"/>
      <c r="BB270" s="93">
        <v>46262</v>
      </c>
      <c r="BC270">
        <v>1899</v>
      </c>
      <c r="BD270" s="56" t="s">
        <v>1017</v>
      </c>
      <c r="BE270" t="s">
        <v>1011</v>
      </c>
      <c r="BF270" t="s">
        <v>1012</v>
      </c>
      <c r="BG270" t="s">
        <v>364</v>
      </c>
      <c r="BH270" t="s">
        <v>1013</v>
      </c>
      <c r="BI270" t="s">
        <v>311</v>
      </c>
      <c r="BJ270" s="93">
        <v>45783</v>
      </c>
      <c r="BK270" s="93">
        <v>45783</v>
      </c>
      <c r="BL270" s="93">
        <v>45783</v>
      </c>
      <c r="BM270" s="93">
        <v>46502</v>
      </c>
      <c r="BN270" s="14">
        <v>1</v>
      </c>
      <c r="BO270" s="14">
        <v>10000000000</v>
      </c>
      <c r="BP270" s="56">
        <v>100</v>
      </c>
      <c r="BQ270" s="56">
        <v>0</v>
      </c>
      <c r="BR270" s="14">
        <v>10017479452</v>
      </c>
      <c r="BS270">
        <v>5.7818379999999996</v>
      </c>
      <c r="BT270" t="s">
        <v>1184</v>
      </c>
      <c r="BU270" s="25">
        <f>_xlfn.XLOOKUP(Dealps_MSB[[#This Row],[DEAL_ID]],Ref!V:V,Ref!X:X,0,0)</f>
        <v>0</v>
      </c>
      <c r="BV270"/>
    </row>
    <row r="271" spans="1:74" x14ac:dyDescent="0.3">
      <c r="A271" s="93">
        <v>46262</v>
      </c>
      <c r="B271">
        <v>3782</v>
      </c>
      <c r="C271" s="56" t="s">
        <v>1232</v>
      </c>
      <c r="D271" t="s">
        <v>328</v>
      </c>
      <c r="E271" t="s">
        <v>315</v>
      </c>
      <c r="F271" t="s">
        <v>364</v>
      </c>
      <c r="G271" t="s">
        <v>310</v>
      </c>
      <c r="H271" t="s">
        <v>311</v>
      </c>
      <c r="I271" s="93">
        <v>46093</v>
      </c>
      <c r="J271" s="93">
        <v>46093</v>
      </c>
      <c r="K271" s="93">
        <v>46093</v>
      </c>
      <c r="L271" s="93">
        <v>46379</v>
      </c>
      <c r="M271" s="14">
        <v>1</v>
      </c>
      <c r="N271" s="14">
        <v>500000000000</v>
      </c>
      <c r="O271" s="56">
        <v>99.915120611000006</v>
      </c>
      <c r="P271" s="56">
        <v>0</v>
      </c>
      <c r="Q271" s="14">
        <v>507696151000</v>
      </c>
      <c r="R271">
        <v>7.591475</v>
      </c>
      <c r="S271" t="s">
        <v>1184</v>
      </c>
      <c r="T271" s="57">
        <f>IF(Dealps[[#This Row],[MATURITY_DATE]]-Dealps[[#This Row],[POSTED_DT]]&lt;0,0,IF(Dealps[[#This Row],[VALUE_DATE]]-Dealps[[#This Row],[POSTED_DT]]&gt;0,Dealps[[#This Row],[MATURITY_DATE]]-Dealps[[#This Row],[VALUE_DATE]],Dealps[[#This Row],[MATURITY_DATE]]-Dealps[[#This Row],[POSTED_DT]]))</f>
        <v>117</v>
      </c>
      <c r="U271" s="25">
        <f>IF(Dealps[[#This Row],[TENOR]]=0,0,IF(Dealps[[#This Row],[DEAL_TYPE]]="B",Dealps[[#This Row],[FACE_AMOUNT]],-Dealps[[#This Row],[FACE_AMOUNT]]))</f>
        <v>-500000000000</v>
      </c>
      <c r="V271" s="25">
        <f>_xlfn.XLOOKUP(Dealps[[#This Row],[PAPER_CODE]],FNRP!D:D,FNRP!H:H,0,0)/100*Dealps[[#This Row],[AMOUNT]]</f>
        <v>0</v>
      </c>
      <c r="W271" s="57" t="str">
        <f>IF(Dealps[[#This Row],[TRANSACTION_STATUS]]&lt;&gt;"V","Ngoai BS",IF(Dealps[[#This Row],[POSTED_DT]]&gt;=Dealps[[#This Row],[VALUE_DATE]],"On BS","Off BS"))</f>
        <v>On BS</v>
      </c>
      <c r="X271" s="25">
        <f>SUMIFS(U:U,C:C,Dealps[[#This Row],[PAPER_CODE]])</f>
        <v>0</v>
      </c>
      <c r="Y271" s="25">
        <f>_xlfn.XLOOKUP(Dealps[[#This Row],[DEAL_ID]],Ref!N:N,Ref!Q:Q,0,0)</f>
        <v>0</v>
      </c>
      <c r="Z271" s="25" t="str">
        <f>IF(Dealps[[#This Row],[CPTY_CODE]]=Dealps[[#This Row],[CPTY_CODE_ISSUER]],"Yes","No")</f>
        <v>No</v>
      </c>
      <c r="AA271" s="25"/>
      <c r="AC271" s="14"/>
      <c r="AG271" s="96"/>
      <c r="AH271" s="14"/>
      <c r="AI271"/>
      <c r="AN271" s="14"/>
      <c r="AV271" s="36"/>
      <c r="AW271" s="14"/>
      <c r="AX271" s="234"/>
      <c r="AY271" s="96"/>
      <c r="AZ271" s="14"/>
      <c r="BA271"/>
      <c r="BB271" s="93">
        <v>46262</v>
      </c>
      <c r="BC271">
        <v>1900</v>
      </c>
      <c r="BD271" s="56" t="s">
        <v>1017</v>
      </c>
      <c r="BE271" t="s">
        <v>1011</v>
      </c>
      <c r="BF271" t="s">
        <v>1012</v>
      </c>
      <c r="BG271" t="s">
        <v>364</v>
      </c>
      <c r="BH271" t="s">
        <v>1013</v>
      </c>
      <c r="BI271" t="s">
        <v>311</v>
      </c>
      <c r="BJ271" s="93">
        <v>45783</v>
      </c>
      <c r="BK271" s="93">
        <v>45783</v>
      </c>
      <c r="BL271" s="93">
        <v>45783</v>
      </c>
      <c r="BM271" s="93">
        <v>46502</v>
      </c>
      <c r="BN271" s="14">
        <v>1</v>
      </c>
      <c r="BO271" s="14">
        <v>10000000000</v>
      </c>
      <c r="BP271" s="56">
        <v>100</v>
      </c>
      <c r="BQ271" s="56">
        <v>0</v>
      </c>
      <c r="BR271" s="14">
        <v>10017479452</v>
      </c>
      <c r="BS271">
        <v>5.7818379999999996</v>
      </c>
      <c r="BT271" t="s">
        <v>1184</v>
      </c>
      <c r="BU271" s="25">
        <f>_xlfn.XLOOKUP(Dealps_MSB[[#This Row],[DEAL_ID]],Ref!V:V,Ref!X:X,0,0)</f>
        <v>0</v>
      </c>
      <c r="BV271"/>
    </row>
    <row r="272" spans="1:74" x14ac:dyDescent="0.3">
      <c r="A272" s="93">
        <v>46262</v>
      </c>
      <c r="B272">
        <v>3787</v>
      </c>
      <c r="C272" s="56" t="s">
        <v>1209</v>
      </c>
      <c r="D272" t="s">
        <v>316</v>
      </c>
      <c r="E272" t="s">
        <v>1152</v>
      </c>
      <c r="F272" t="s">
        <v>364</v>
      </c>
      <c r="G272" t="s">
        <v>310</v>
      </c>
      <c r="H272" t="s">
        <v>311</v>
      </c>
      <c r="I272" s="93">
        <v>46093</v>
      </c>
      <c r="J272" s="93">
        <v>46093</v>
      </c>
      <c r="K272" s="93">
        <v>46093</v>
      </c>
      <c r="L272" s="93">
        <v>46401</v>
      </c>
      <c r="M272" s="14">
        <v>1</v>
      </c>
      <c r="N272" s="14">
        <v>100000000000</v>
      </c>
      <c r="O272" s="56">
        <v>100.694446423</v>
      </c>
      <c r="P272" s="56">
        <v>0</v>
      </c>
      <c r="Q272" s="14">
        <v>101865679300</v>
      </c>
      <c r="R272">
        <v>6.5547449999999996</v>
      </c>
      <c r="S272" t="s">
        <v>1184</v>
      </c>
      <c r="T272" s="57">
        <f>IF(Dealps[[#This Row],[MATURITY_DATE]]-Dealps[[#This Row],[POSTED_DT]]&lt;0,0,IF(Dealps[[#This Row],[VALUE_DATE]]-Dealps[[#This Row],[POSTED_DT]]&gt;0,Dealps[[#This Row],[MATURITY_DATE]]-Dealps[[#This Row],[VALUE_DATE]],Dealps[[#This Row],[MATURITY_DATE]]-Dealps[[#This Row],[POSTED_DT]]))</f>
        <v>139</v>
      </c>
      <c r="U272" s="25">
        <f>IF(Dealps[[#This Row],[TENOR]]=0,0,IF(Dealps[[#This Row],[DEAL_TYPE]]="B",Dealps[[#This Row],[FACE_AMOUNT]],-Dealps[[#This Row],[FACE_AMOUNT]]))</f>
        <v>-100000000000</v>
      </c>
      <c r="V272" s="25">
        <f>_xlfn.XLOOKUP(Dealps[[#This Row],[PAPER_CODE]],FNRP!D:D,FNRP!H:H,0,0)/100*Dealps[[#This Row],[AMOUNT]]</f>
        <v>0</v>
      </c>
      <c r="W272" s="57" t="str">
        <f>IF(Dealps[[#This Row],[TRANSACTION_STATUS]]&lt;&gt;"V","Ngoai BS",IF(Dealps[[#This Row],[POSTED_DT]]&gt;=Dealps[[#This Row],[VALUE_DATE]],"On BS","Off BS"))</f>
        <v>On BS</v>
      </c>
      <c r="X272" s="25">
        <f>SUMIFS(U:U,C:C,Dealps[[#This Row],[PAPER_CODE]])</f>
        <v>0</v>
      </c>
      <c r="Y272" s="25">
        <f>_xlfn.XLOOKUP(Dealps[[#This Row],[DEAL_ID]],Ref!N:N,Ref!Q:Q,0,0)</f>
        <v>0</v>
      </c>
      <c r="Z272" s="25" t="str">
        <f>IF(Dealps[[#This Row],[CPTY_CODE]]=Dealps[[#This Row],[CPTY_CODE_ISSUER]],"Yes","No")</f>
        <v>No</v>
      </c>
      <c r="AA272" s="25"/>
      <c r="AC272" s="14"/>
      <c r="AG272" s="96"/>
      <c r="AH272" s="14"/>
      <c r="AI272"/>
      <c r="AN272" s="14"/>
      <c r="AV272" s="36"/>
      <c r="AW272" s="14"/>
      <c r="AX272" s="234"/>
      <c r="AY272" s="96"/>
      <c r="AZ272" s="14"/>
      <c r="BA272"/>
      <c r="BB272" s="93">
        <v>46262</v>
      </c>
      <c r="BC272">
        <v>1901</v>
      </c>
      <c r="BD272" s="56" t="s">
        <v>1017</v>
      </c>
      <c r="BE272" t="s">
        <v>1011</v>
      </c>
      <c r="BF272" t="s">
        <v>1012</v>
      </c>
      <c r="BG272" t="s">
        <v>364</v>
      </c>
      <c r="BH272" t="s">
        <v>1013</v>
      </c>
      <c r="BI272" t="s">
        <v>311</v>
      </c>
      <c r="BJ272" s="93">
        <v>45783</v>
      </c>
      <c r="BK272" s="93">
        <v>45783</v>
      </c>
      <c r="BL272" s="93">
        <v>45783</v>
      </c>
      <c r="BM272" s="93">
        <v>46502</v>
      </c>
      <c r="BN272" s="14">
        <v>1</v>
      </c>
      <c r="BO272" s="14">
        <v>10000000000</v>
      </c>
      <c r="BP272" s="56">
        <v>100</v>
      </c>
      <c r="BQ272" s="56">
        <v>0</v>
      </c>
      <c r="BR272" s="14">
        <v>10017479452</v>
      </c>
      <c r="BS272">
        <v>5.7818379999999996</v>
      </c>
      <c r="BT272" t="s">
        <v>1184</v>
      </c>
      <c r="BU272" s="25">
        <f>_xlfn.XLOOKUP(Dealps_MSB[[#This Row],[DEAL_ID]],Ref!V:V,Ref!X:X,0,0)</f>
        <v>0</v>
      </c>
      <c r="BV272"/>
    </row>
    <row r="273" spans="1:74" x14ac:dyDescent="0.3">
      <c r="A273" s="93">
        <v>46262</v>
      </c>
      <c r="B273">
        <v>3788</v>
      </c>
      <c r="C273" s="56" t="s">
        <v>1073</v>
      </c>
      <c r="D273" t="s">
        <v>325</v>
      </c>
      <c r="E273" t="s">
        <v>312</v>
      </c>
      <c r="F273" t="s">
        <v>364</v>
      </c>
      <c r="G273" t="s">
        <v>310</v>
      </c>
      <c r="H273" t="s">
        <v>311</v>
      </c>
      <c r="I273" s="93">
        <v>46093</v>
      </c>
      <c r="J273" s="93">
        <v>46093</v>
      </c>
      <c r="K273" s="93">
        <v>46094</v>
      </c>
      <c r="L273" s="93">
        <v>46356</v>
      </c>
      <c r="M273" s="14">
        <v>1</v>
      </c>
      <c r="N273" s="14">
        <v>400000000000</v>
      </c>
      <c r="O273" s="56">
        <v>100.000000038</v>
      </c>
      <c r="P273" s="56">
        <v>0</v>
      </c>
      <c r="Q273" s="14">
        <v>407377534400</v>
      </c>
      <c r="R273">
        <v>6.4804750000000002</v>
      </c>
      <c r="S273" t="s">
        <v>1184</v>
      </c>
      <c r="T273" s="57">
        <f>IF(Dealps[[#This Row],[MATURITY_DATE]]-Dealps[[#This Row],[POSTED_DT]]&lt;0,0,IF(Dealps[[#This Row],[VALUE_DATE]]-Dealps[[#This Row],[POSTED_DT]]&gt;0,Dealps[[#This Row],[MATURITY_DATE]]-Dealps[[#This Row],[VALUE_DATE]],Dealps[[#This Row],[MATURITY_DATE]]-Dealps[[#This Row],[POSTED_DT]]))</f>
        <v>94</v>
      </c>
      <c r="U273" s="25">
        <f>IF(Dealps[[#This Row],[TENOR]]=0,0,IF(Dealps[[#This Row],[DEAL_TYPE]]="B",Dealps[[#This Row],[FACE_AMOUNT]],-Dealps[[#This Row],[FACE_AMOUNT]]))</f>
        <v>-400000000000</v>
      </c>
      <c r="V273" s="25">
        <f>_xlfn.XLOOKUP(Dealps[[#This Row],[PAPER_CODE]],FNRP!D:D,FNRP!H:H,0,0)/100*Dealps[[#This Row],[AMOUNT]]</f>
        <v>0</v>
      </c>
      <c r="W273" s="57" t="str">
        <f>IF(Dealps[[#This Row],[TRANSACTION_STATUS]]&lt;&gt;"V","Ngoai BS",IF(Dealps[[#This Row],[POSTED_DT]]&gt;=Dealps[[#This Row],[VALUE_DATE]],"On BS","Off BS"))</f>
        <v>On BS</v>
      </c>
      <c r="X273" s="25">
        <f>SUMIFS(U:U,C:C,Dealps[[#This Row],[PAPER_CODE]])</f>
        <v>400000000000</v>
      </c>
      <c r="Y273" s="25">
        <f>_xlfn.XLOOKUP(Dealps[[#This Row],[DEAL_ID]],Ref!N:N,Ref!Q:Q,0,0)</f>
        <v>0</v>
      </c>
      <c r="Z273" s="25" t="str">
        <f>IF(Dealps[[#This Row],[CPTY_CODE]]=Dealps[[#This Row],[CPTY_CODE_ISSUER]],"Yes","No")</f>
        <v>No</v>
      </c>
      <c r="AA273" s="25"/>
      <c r="AC273" s="14"/>
      <c r="AG273" s="96"/>
      <c r="AH273" s="14"/>
      <c r="AI273"/>
      <c r="AN273" s="14"/>
      <c r="AV273" s="36"/>
      <c r="AW273" s="14"/>
      <c r="AX273" s="234"/>
      <c r="AY273" s="96"/>
      <c r="AZ273" s="14"/>
      <c r="BA273"/>
      <c r="BB273" s="93">
        <v>46262</v>
      </c>
      <c r="BC273">
        <v>1902</v>
      </c>
      <c r="BD273" s="56" t="s">
        <v>1017</v>
      </c>
      <c r="BE273" t="s">
        <v>1011</v>
      </c>
      <c r="BF273" t="s">
        <v>1012</v>
      </c>
      <c r="BG273" t="s">
        <v>364</v>
      </c>
      <c r="BH273" t="s">
        <v>1013</v>
      </c>
      <c r="BI273" t="s">
        <v>311</v>
      </c>
      <c r="BJ273" s="93">
        <v>45783</v>
      </c>
      <c r="BK273" s="93">
        <v>45783</v>
      </c>
      <c r="BL273" s="93">
        <v>45783</v>
      </c>
      <c r="BM273" s="93">
        <v>46502</v>
      </c>
      <c r="BN273" s="14">
        <v>1</v>
      </c>
      <c r="BO273" s="14">
        <v>10000000000</v>
      </c>
      <c r="BP273" s="56">
        <v>100</v>
      </c>
      <c r="BQ273" s="56">
        <v>0</v>
      </c>
      <c r="BR273" s="14">
        <v>10017479452</v>
      </c>
      <c r="BS273">
        <v>5.7818379999999996</v>
      </c>
      <c r="BT273" t="s">
        <v>1184</v>
      </c>
      <c r="BU273" s="25">
        <f>_xlfn.XLOOKUP(Dealps_MSB[[#This Row],[DEAL_ID]],Ref!V:V,Ref!X:X,0,0)</f>
        <v>0</v>
      </c>
      <c r="BV273"/>
    </row>
    <row r="274" spans="1:74" x14ac:dyDescent="0.3">
      <c r="A274" s="93">
        <v>46262</v>
      </c>
      <c r="B274">
        <v>3790</v>
      </c>
      <c r="C274" s="56" t="s">
        <v>1041</v>
      </c>
      <c r="D274" t="s">
        <v>703</v>
      </c>
      <c r="E274" t="s">
        <v>312</v>
      </c>
      <c r="F274" t="s">
        <v>364</v>
      </c>
      <c r="G274" t="s">
        <v>310</v>
      </c>
      <c r="H274" t="s">
        <v>311</v>
      </c>
      <c r="I274" s="93">
        <v>46093</v>
      </c>
      <c r="J274" s="93">
        <v>46093</v>
      </c>
      <c r="K274" s="93">
        <v>46094</v>
      </c>
      <c r="L274" s="93">
        <v>46325</v>
      </c>
      <c r="M274" s="14">
        <v>1</v>
      </c>
      <c r="N274" s="14">
        <v>250000000000</v>
      </c>
      <c r="O274" s="56">
        <v>100.000000036</v>
      </c>
      <c r="P274" s="56">
        <v>0</v>
      </c>
      <c r="Q274" s="14">
        <v>255695890500</v>
      </c>
      <c r="R274">
        <v>6.4529779999999999</v>
      </c>
      <c r="S274" t="s">
        <v>1184</v>
      </c>
      <c r="T274" s="57">
        <f>IF(Dealps[[#This Row],[MATURITY_DATE]]-Dealps[[#This Row],[POSTED_DT]]&lt;0,0,IF(Dealps[[#This Row],[VALUE_DATE]]-Dealps[[#This Row],[POSTED_DT]]&gt;0,Dealps[[#This Row],[MATURITY_DATE]]-Dealps[[#This Row],[VALUE_DATE]],Dealps[[#This Row],[MATURITY_DATE]]-Dealps[[#This Row],[POSTED_DT]]))</f>
        <v>63</v>
      </c>
      <c r="U274" s="25">
        <f>IF(Dealps[[#This Row],[TENOR]]=0,0,IF(Dealps[[#This Row],[DEAL_TYPE]]="B",Dealps[[#This Row],[FACE_AMOUNT]],-Dealps[[#This Row],[FACE_AMOUNT]]))</f>
        <v>-250000000000</v>
      </c>
      <c r="V274" s="25">
        <f>_xlfn.XLOOKUP(Dealps[[#This Row],[PAPER_CODE]],FNRP!D:D,FNRP!H:H,0,0)/100*Dealps[[#This Row],[AMOUNT]]</f>
        <v>0</v>
      </c>
      <c r="W274" s="57" t="str">
        <f>IF(Dealps[[#This Row],[TRANSACTION_STATUS]]&lt;&gt;"V","Ngoai BS",IF(Dealps[[#This Row],[POSTED_DT]]&gt;=Dealps[[#This Row],[VALUE_DATE]],"On BS","Off BS"))</f>
        <v>On BS</v>
      </c>
      <c r="X274" s="25">
        <f>SUMIFS(U:U,C:C,Dealps[[#This Row],[PAPER_CODE]])</f>
        <v>250000000000</v>
      </c>
      <c r="Y274" s="25">
        <f>_xlfn.XLOOKUP(Dealps[[#This Row],[DEAL_ID]],Ref!N:N,Ref!Q:Q,0,0)</f>
        <v>0</v>
      </c>
      <c r="Z274" s="25" t="str">
        <f>IF(Dealps[[#This Row],[CPTY_CODE]]=Dealps[[#This Row],[CPTY_CODE_ISSUER]],"Yes","No")</f>
        <v>No</v>
      </c>
      <c r="AA274" s="25"/>
      <c r="AC274" s="14"/>
      <c r="AG274" s="96"/>
      <c r="AH274" s="14"/>
      <c r="AI274"/>
      <c r="AN274" s="14"/>
      <c r="AV274" s="36"/>
      <c r="AW274" s="14"/>
      <c r="AX274" s="234"/>
      <c r="AY274" s="96"/>
      <c r="AZ274" s="14"/>
      <c r="BA274"/>
      <c r="BB274" s="93">
        <v>46262</v>
      </c>
      <c r="BC274">
        <v>1905</v>
      </c>
      <c r="BD274" s="56" t="s">
        <v>1017</v>
      </c>
      <c r="BE274" t="s">
        <v>1011</v>
      </c>
      <c r="BF274" t="s">
        <v>1012</v>
      </c>
      <c r="BG274" t="s">
        <v>364</v>
      </c>
      <c r="BH274" t="s">
        <v>1013</v>
      </c>
      <c r="BI274" t="s">
        <v>311</v>
      </c>
      <c r="BJ274" s="93">
        <v>45784</v>
      </c>
      <c r="BK274" s="93">
        <v>45784</v>
      </c>
      <c r="BL274" s="93">
        <v>45784</v>
      </c>
      <c r="BM274" s="93">
        <v>46502</v>
      </c>
      <c r="BN274" s="14">
        <v>1</v>
      </c>
      <c r="BO274" s="14">
        <v>10000000000</v>
      </c>
      <c r="BP274" s="56">
        <v>100</v>
      </c>
      <c r="BQ274" s="56">
        <v>0</v>
      </c>
      <c r="BR274" s="14">
        <v>10019068493</v>
      </c>
      <c r="BS274">
        <v>5.7809100000000004</v>
      </c>
      <c r="BT274" t="s">
        <v>1184</v>
      </c>
      <c r="BU274" s="25">
        <f>_xlfn.XLOOKUP(Dealps_MSB[[#This Row],[DEAL_ID]],Ref!V:V,Ref!X:X,0,0)</f>
        <v>0</v>
      </c>
      <c r="BV274"/>
    </row>
    <row r="275" spans="1:74" x14ac:dyDescent="0.3">
      <c r="A275" s="93">
        <v>46262</v>
      </c>
      <c r="B275">
        <v>3791</v>
      </c>
      <c r="C275" s="56" t="s">
        <v>1004</v>
      </c>
      <c r="D275" t="s">
        <v>324</v>
      </c>
      <c r="E275" t="s">
        <v>312</v>
      </c>
      <c r="F275" t="s">
        <v>364</v>
      </c>
      <c r="G275" t="s">
        <v>310</v>
      </c>
      <c r="H275" t="s">
        <v>311</v>
      </c>
      <c r="I275" s="93">
        <v>46093</v>
      </c>
      <c r="J275" s="93">
        <v>46093</v>
      </c>
      <c r="K275" s="93">
        <v>46094</v>
      </c>
      <c r="L275" s="93">
        <v>46323</v>
      </c>
      <c r="M275" s="14">
        <v>1</v>
      </c>
      <c r="N275" s="14">
        <v>200000000000</v>
      </c>
      <c r="O275" s="56">
        <v>100</v>
      </c>
      <c r="P275" s="56">
        <v>0</v>
      </c>
      <c r="Q275" s="14">
        <v>204660273972</v>
      </c>
      <c r="R275">
        <v>6.1565440000000002</v>
      </c>
      <c r="S275" t="s">
        <v>1184</v>
      </c>
      <c r="T275" s="57">
        <f>IF(Dealps[[#This Row],[MATURITY_DATE]]-Dealps[[#This Row],[POSTED_DT]]&lt;0,0,IF(Dealps[[#This Row],[VALUE_DATE]]-Dealps[[#This Row],[POSTED_DT]]&gt;0,Dealps[[#This Row],[MATURITY_DATE]]-Dealps[[#This Row],[VALUE_DATE]],Dealps[[#This Row],[MATURITY_DATE]]-Dealps[[#This Row],[POSTED_DT]]))</f>
        <v>61</v>
      </c>
      <c r="U275" s="25">
        <f>IF(Dealps[[#This Row],[TENOR]]=0,0,IF(Dealps[[#This Row],[DEAL_TYPE]]="B",Dealps[[#This Row],[FACE_AMOUNT]],-Dealps[[#This Row],[FACE_AMOUNT]]))</f>
        <v>-200000000000</v>
      </c>
      <c r="V275" s="25">
        <f>_xlfn.XLOOKUP(Dealps[[#This Row],[PAPER_CODE]],FNRP!D:D,FNRP!H:H,0,0)/100*Dealps[[#This Row],[AMOUNT]]</f>
        <v>0</v>
      </c>
      <c r="W275" s="57" t="str">
        <f>IF(Dealps[[#This Row],[TRANSACTION_STATUS]]&lt;&gt;"V","Ngoai BS",IF(Dealps[[#This Row],[POSTED_DT]]&gt;=Dealps[[#This Row],[VALUE_DATE]],"On BS","Off BS"))</f>
        <v>On BS</v>
      </c>
      <c r="X275" s="25">
        <f>SUMIFS(U:U,C:C,Dealps[[#This Row],[PAPER_CODE]])</f>
        <v>500000000000</v>
      </c>
      <c r="Y275" s="25">
        <f>_xlfn.XLOOKUP(Dealps[[#This Row],[DEAL_ID]],Ref!N:N,Ref!Q:Q,0,0)</f>
        <v>0</v>
      </c>
      <c r="Z275" s="25" t="str">
        <f>IF(Dealps[[#This Row],[CPTY_CODE]]=Dealps[[#This Row],[CPTY_CODE_ISSUER]],"Yes","No")</f>
        <v>No</v>
      </c>
      <c r="AA275" s="25"/>
      <c r="AC275" s="14"/>
      <c r="AG275" s="96"/>
      <c r="AH275" s="14"/>
      <c r="AI275"/>
      <c r="AN275" s="14"/>
      <c r="AV275" s="36"/>
      <c r="AW275" s="14"/>
      <c r="AX275" s="234"/>
      <c r="AY275" s="96"/>
      <c r="AZ275" s="14"/>
      <c r="BA275"/>
      <c r="BB275" s="93">
        <v>46262</v>
      </c>
      <c r="BC275">
        <v>1913</v>
      </c>
      <c r="BD275" s="56" t="s">
        <v>1017</v>
      </c>
      <c r="BE275" t="s">
        <v>1011</v>
      </c>
      <c r="BF275" t="s">
        <v>1012</v>
      </c>
      <c r="BG275" t="s">
        <v>364</v>
      </c>
      <c r="BH275" t="s">
        <v>1013</v>
      </c>
      <c r="BI275" t="s">
        <v>311</v>
      </c>
      <c r="BJ275" s="93">
        <v>45786</v>
      </c>
      <c r="BK275" s="93">
        <v>45786</v>
      </c>
      <c r="BL275" s="93">
        <v>45786</v>
      </c>
      <c r="BM275" s="93">
        <v>46502</v>
      </c>
      <c r="BN275" s="14">
        <v>1</v>
      </c>
      <c r="BO275" s="14">
        <v>10000000000</v>
      </c>
      <c r="BP275" s="56">
        <v>100</v>
      </c>
      <c r="BQ275" s="56">
        <v>0</v>
      </c>
      <c r="BR275" s="14">
        <v>10022246575</v>
      </c>
      <c r="BS275">
        <v>5.7790540000000004</v>
      </c>
      <c r="BT275" t="s">
        <v>1184</v>
      </c>
      <c r="BU275" s="25">
        <f>_xlfn.XLOOKUP(Dealps_MSB[[#This Row],[DEAL_ID]],Ref!V:V,Ref!X:X,0,0)</f>
        <v>0</v>
      </c>
      <c r="BV275"/>
    </row>
    <row r="276" spans="1:74" x14ac:dyDescent="0.3">
      <c r="A276" s="93">
        <v>46262</v>
      </c>
      <c r="B276">
        <v>3792</v>
      </c>
      <c r="C276" s="56" t="s">
        <v>1204</v>
      </c>
      <c r="D276" t="s">
        <v>315</v>
      </c>
      <c r="E276" t="s">
        <v>312</v>
      </c>
      <c r="F276" t="s">
        <v>364</v>
      </c>
      <c r="G276" t="s">
        <v>310</v>
      </c>
      <c r="H276" t="s">
        <v>311</v>
      </c>
      <c r="I276" s="93">
        <v>46093</v>
      </c>
      <c r="J276" s="93">
        <v>46093</v>
      </c>
      <c r="K276" s="93">
        <v>46094</v>
      </c>
      <c r="L276" s="93">
        <v>46422</v>
      </c>
      <c r="M276" s="14">
        <v>1</v>
      </c>
      <c r="N276" s="14">
        <v>100000000000</v>
      </c>
      <c r="O276" s="56">
        <v>99.999999991999999</v>
      </c>
      <c r="P276" s="56">
        <v>0</v>
      </c>
      <c r="Q276" s="14">
        <v>100733917800</v>
      </c>
      <c r="R276">
        <v>7.1872509999999998</v>
      </c>
      <c r="S276" t="s">
        <v>1184</v>
      </c>
      <c r="T276" s="57">
        <f>IF(Dealps[[#This Row],[MATURITY_DATE]]-Dealps[[#This Row],[POSTED_DT]]&lt;0,0,IF(Dealps[[#This Row],[VALUE_DATE]]-Dealps[[#This Row],[POSTED_DT]]&gt;0,Dealps[[#This Row],[MATURITY_DATE]]-Dealps[[#This Row],[VALUE_DATE]],Dealps[[#This Row],[MATURITY_DATE]]-Dealps[[#This Row],[POSTED_DT]]))</f>
        <v>160</v>
      </c>
      <c r="U276" s="25">
        <f>IF(Dealps[[#This Row],[TENOR]]=0,0,IF(Dealps[[#This Row],[DEAL_TYPE]]="B",Dealps[[#This Row],[FACE_AMOUNT]],-Dealps[[#This Row],[FACE_AMOUNT]]))</f>
        <v>-100000000000</v>
      </c>
      <c r="V276" s="25">
        <f>_xlfn.XLOOKUP(Dealps[[#This Row],[PAPER_CODE]],FNRP!D:D,FNRP!H:H,0,0)/100*Dealps[[#This Row],[AMOUNT]]</f>
        <v>0</v>
      </c>
      <c r="W276" s="57" t="str">
        <f>IF(Dealps[[#This Row],[TRANSACTION_STATUS]]&lt;&gt;"V","Ngoai BS",IF(Dealps[[#This Row],[POSTED_DT]]&gt;=Dealps[[#This Row],[VALUE_DATE]],"On BS","Off BS"))</f>
        <v>On BS</v>
      </c>
      <c r="X276" s="25">
        <f>SUMIFS(U:U,C:C,Dealps[[#This Row],[PAPER_CODE]])</f>
        <v>1000000000000</v>
      </c>
      <c r="Y276" s="25">
        <f>_xlfn.XLOOKUP(Dealps[[#This Row],[DEAL_ID]],Ref!N:N,Ref!Q:Q,0,0)</f>
        <v>0</v>
      </c>
      <c r="Z276" s="25" t="str">
        <f>IF(Dealps[[#This Row],[CPTY_CODE]]=Dealps[[#This Row],[CPTY_CODE_ISSUER]],"Yes","No")</f>
        <v>No</v>
      </c>
      <c r="AA276" s="25"/>
      <c r="AC276" s="14"/>
      <c r="AG276" s="96"/>
      <c r="AH276" s="14"/>
      <c r="AI276"/>
      <c r="AN276" s="14"/>
      <c r="AV276" s="36"/>
      <c r="AW276" s="14"/>
      <c r="AX276" s="234"/>
      <c r="AY276" s="96"/>
      <c r="AZ276" s="14"/>
      <c r="BA276"/>
      <c r="BB276" s="93">
        <v>46262</v>
      </c>
      <c r="BC276">
        <v>1914</v>
      </c>
      <c r="BD276" s="56" t="s">
        <v>1017</v>
      </c>
      <c r="BE276" t="s">
        <v>1011</v>
      </c>
      <c r="BF276" t="s">
        <v>1012</v>
      </c>
      <c r="BG276" t="s">
        <v>364</v>
      </c>
      <c r="BH276" t="s">
        <v>1013</v>
      </c>
      <c r="BI276" t="s">
        <v>311</v>
      </c>
      <c r="BJ276" s="93">
        <v>45786</v>
      </c>
      <c r="BK276" s="93">
        <v>45786</v>
      </c>
      <c r="BL276" s="93">
        <v>45786</v>
      </c>
      <c r="BM276" s="93">
        <v>46502</v>
      </c>
      <c r="BN276" s="14">
        <v>1</v>
      </c>
      <c r="BO276" s="14">
        <v>10000000000</v>
      </c>
      <c r="BP276" s="56">
        <v>100</v>
      </c>
      <c r="BQ276" s="56">
        <v>0</v>
      </c>
      <c r="BR276" s="14">
        <v>10022246575</v>
      </c>
      <c r="BS276">
        <v>5.7790540000000004</v>
      </c>
      <c r="BT276" t="s">
        <v>1184</v>
      </c>
      <c r="BU276" s="25">
        <f>_xlfn.XLOOKUP(Dealps_MSB[[#This Row],[DEAL_ID]],Ref!V:V,Ref!X:X,0,0)</f>
        <v>0</v>
      </c>
      <c r="BV276"/>
    </row>
    <row r="277" spans="1:74" x14ac:dyDescent="0.3">
      <c r="A277" s="93">
        <v>46262</v>
      </c>
      <c r="B277">
        <v>3804</v>
      </c>
      <c r="C277" s="56" t="s">
        <v>1158</v>
      </c>
      <c r="D277" t="s">
        <v>327</v>
      </c>
      <c r="E277" t="s">
        <v>345</v>
      </c>
      <c r="F277" t="s">
        <v>364</v>
      </c>
      <c r="G277" t="s">
        <v>310</v>
      </c>
      <c r="H277" t="s">
        <v>300</v>
      </c>
      <c r="I277" s="93">
        <v>46094</v>
      </c>
      <c r="J277" s="93">
        <v>46094</v>
      </c>
      <c r="K277" s="93">
        <v>46094</v>
      </c>
      <c r="L277" s="93">
        <v>46409</v>
      </c>
      <c r="M277" s="14">
        <v>1</v>
      </c>
      <c r="N277" s="14">
        <v>500000000000</v>
      </c>
      <c r="O277" s="56">
        <v>100.541855619</v>
      </c>
      <c r="P277" s="56">
        <v>0</v>
      </c>
      <c r="Q277" s="14">
        <v>507542154806.99994</v>
      </c>
      <c r="R277">
        <v>6.4744729999999997</v>
      </c>
      <c r="S277" t="s">
        <v>1184</v>
      </c>
      <c r="T277" s="57">
        <f>IF(Dealps[[#This Row],[MATURITY_DATE]]-Dealps[[#This Row],[POSTED_DT]]&lt;0,0,IF(Dealps[[#This Row],[VALUE_DATE]]-Dealps[[#This Row],[POSTED_DT]]&gt;0,Dealps[[#This Row],[MATURITY_DATE]]-Dealps[[#This Row],[VALUE_DATE]],Dealps[[#This Row],[MATURITY_DATE]]-Dealps[[#This Row],[POSTED_DT]]))</f>
        <v>147</v>
      </c>
      <c r="U277" s="25">
        <f>IF(Dealps[[#This Row],[TENOR]]=0,0,IF(Dealps[[#This Row],[DEAL_TYPE]]="B",Dealps[[#This Row],[FACE_AMOUNT]],-Dealps[[#This Row],[FACE_AMOUNT]]))</f>
        <v>500000000000</v>
      </c>
      <c r="V277" s="25">
        <f>_xlfn.XLOOKUP(Dealps[[#This Row],[PAPER_CODE]],FNRP!D:D,FNRP!H:H,0,0)/100*Dealps[[#This Row],[AMOUNT]]</f>
        <v>0</v>
      </c>
      <c r="W277" s="57" t="str">
        <f>IF(Dealps[[#This Row],[TRANSACTION_STATUS]]&lt;&gt;"V","Ngoai BS",IF(Dealps[[#This Row],[POSTED_DT]]&gt;=Dealps[[#This Row],[VALUE_DATE]],"On BS","Off BS"))</f>
        <v>On BS</v>
      </c>
      <c r="X277" s="25">
        <f>SUMIFS(U:U,C:C,Dealps[[#This Row],[PAPER_CODE]])</f>
        <v>2000000000000</v>
      </c>
      <c r="Y277" s="25">
        <f>_xlfn.XLOOKUP(Dealps[[#This Row],[DEAL_ID]],Ref!N:N,Ref!Q:Q,0,0)</f>
        <v>0</v>
      </c>
      <c r="Z277" s="25" t="str">
        <f>IF(Dealps[[#This Row],[CPTY_CODE]]=Dealps[[#This Row],[CPTY_CODE_ISSUER]],"Yes","No")</f>
        <v>No</v>
      </c>
      <c r="AA277" s="25"/>
      <c r="AC277" s="14"/>
      <c r="AG277" s="96"/>
      <c r="AH277" s="14"/>
      <c r="AI277"/>
      <c r="AN277" s="14"/>
      <c r="AV277" s="36"/>
      <c r="AW277" s="14"/>
      <c r="AX277" s="234"/>
      <c r="AY277" s="96"/>
      <c r="AZ277" s="14"/>
      <c r="BA277"/>
      <c r="BB277" s="93">
        <v>46262</v>
      </c>
      <c r="BC277">
        <v>1927</v>
      </c>
      <c r="BD277" s="56" t="s">
        <v>1017</v>
      </c>
      <c r="BE277" t="s">
        <v>1011</v>
      </c>
      <c r="BF277" t="s">
        <v>1012</v>
      </c>
      <c r="BG277" t="s">
        <v>364</v>
      </c>
      <c r="BH277" t="s">
        <v>1013</v>
      </c>
      <c r="BI277" t="s">
        <v>311</v>
      </c>
      <c r="BJ277" s="93">
        <v>45791</v>
      </c>
      <c r="BK277" s="93">
        <v>45791</v>
      </c>
      <c r="BL277" s="93">
        <v>45791</v>
      </c>
      <c r="BM277" s="93">
        <v>46502</v>
      </c>
      <c r="BN277" s="14">
        <v>1</v>
      </c>
      <c r="BO277" s="14">
        <v>10000000000</v>
      </c>
      <c r="BP277" s="56">
        <v>100</v>
      </c>
      <c r="BQ277" s="56">
        <v>0</v>
      </c>
      <c r="BR277" s="14">
        <v>10030191781</v>
      </c>
      <c r="BS277">
        <v>5.7744200000000001</v>
      </c>
      <c r="BT277" t="s">
        <v>1184</v>
      </c>
      <c r="BU277" s="25">
        <f>_xlfn.XLOOKUP(Dealps_MSB[[#This Row],[DEAL_ID]],Ref!V:V,Ref!X:X,0,0)</f>
        <v>0</v>
      </c>
      <c r="BV277"/>
    </row>
    <row r="278" spans="1:74" x14ac:dyDescent="0.3">
      <c r="A278" s="93">
        <v>46262</v>
      </c>
      <c r="B278">
        <v>3805</v>
      </c>
      <c r="C278" s="56" t="s">
        <v>1214</v>
      </c>
      <c r="D278" t="s">
        <v>322</v>
      </c>
      <c r="E278" t="s">
        <v>317</v>
      </c>
      <c r="F278" t="s">
        <v>364</v>
      </c>
      <c r="G278" t="s">
        <v>310</v>
      </c>
      <c r="H278" t="s">
        <v>311</v>
      </c>
      <c r="I278" s="93">
        <v>46094</v>
      </c>
      <c r="J278" s="93">
        <v>46094</v>
      </c>
      <c r="K278" s="93">
        <v>46094</v>
      </c>
      <c r="L278" s="93">
        <v>46381</v>
      </c>
      <c r="M278" s="14">
        <v>1</v>
      </c>
      <c r="N278" s="14">
        <v>300000000000</v>
      </c>
      <c r="O278" s="56">
        <v>100.059835616</v>
      </c>
      <c r="P278" s="56">
        <v>0</v>
      </c>
      <c r="Q278" s="14">
        <v>304859506848</v>
      </c>
      <c r="R278">
        <v>7.108752</v>
      </c>
      <c r="S278" t="s">
        <v>1184</v>
      </c>
      <c r="T278" s="57">
        <f>IF(Dealps[[#This Row],[MATURITY_DATE]]-Dealps[[#This Row],[POSTED_DT]]&lt;0,0,IF(Dealps[[#This Row],[VALUE_DATE]]-Dealps[[#This Row],[POSTED_DT]]&gt;0,Dealps[[#This Row],[MATURITY_DATE]]-Dealps[[#This Row],[VALUE_DATE]],Dealps[[#This Row],[MATURITY_DATE]]-Dealps[[#This Row],[POSTED_DT]]))</f>
        <v>119</v>
      </c>
      <c r="U278" s="25">
        <f>IF(Dealps[[#This Row],[TENOR]]=0,0,IF(Dealps[[#This Row],[DEAL_TYPE]]="B",Dealps[[#This Row],[FACE_AMOUNT]],-Dealps[[#This Row],[FACE_AMOUNT]]))</f>
        <v>-300000000000</v>
      </c>
      <c r="V278" s="25">
        <f>_xlfn.XLOOKUP(Dealps[[#This Row],[PAPER_CODE]],FNRP!D:D,FNRP!H:H,0,0)/100*Dealps[[#This Row],[AMOUNT]]</f>
        <v>0</v>
      </c>
      <c r="W278" s="57" t="str">
        <f>IF(Dealps[[#This Row],[TRANSACTION_STATUS]]&lt;&gt;"V","Ngoai BS",IF(Dealps[[#This Row],[POSTED_DT]]&gt;=Dealps[[#This Row],[VALUE_DATE]],"On BS","Off BS"))</f>
        <v>On BS</v>
      </c>
      <c r="X278" s="25">
        <f>SUMIFS(U:U,C:C,Dealps[[#This Row],[PAPER_CODE]])</f>
        <v>0</v>
      </c>
      <c r="Y278" s="25">
        <f>_xlfn.XLOOKUP(Dealps[[#This Row],[DEAL_ID]],Ref!N:N,Ref!Q:Q,0,0)</f>
        <v>0</v>
      </c>
      <c r="Z278" s="25" t="str">
        <f>IF(Dealps[[#This Row],[CPTY_CODE]]=Dealps[[#This Row],[CPTY_CODE_ISSUER]],"Yes","No")</f>
        <v>No</v>
      </c>
      <c r="AA278" s="25"/>
      <c r="AC278" s="14"/>
      <c r="AG278" s="96"/>
      <c r="AH278" s="14"/>
      <c r="AI278"/>
      <c r="AN278" s="14"/>
      <c r="AV278" s="36"/>
      <c r="AW278" s="14"/>
      <c r="AX278" s="234"/>
      <c r="AY278" s="96"/>
      <c r="AZ278" s="14"/>
      <c r="BA278"/>
      <c r="BB278" s="93">
        <v>46262</v>
      </c>
      <c r="BC278">
        <v>1928</v>
      </c>
      <c r="BD278" s="56" t="s">
        <v>1017</v>
      </c>
      <c r="BE278" t="s">
        <v>1011</v>
      </c>
      <c r="BF278" t="s">
        <v>1012</v>
      </c>
      <c r="BG278" t="s">
        <v>364</v>
      </c>
      <c r="BH278" t="s">
        <v>1013</v>
      </c>
      <c r="BI278" t="s">
        <v>311</v>
      </c>
      <c r="BJ278" s="93">
        <v>45791</v>
      </c>
      <c r="BK278" s="93">
        <v>45791</v>
      </c>
      <c r="BL278" s="93">
        <v>45791</v>
      </c>
      <c r="BM278" s="93">
        <v>46502</v>
      </c>
      <c r="BN278" s="14">
        <v>1</v>
      </c>
      <c r="BO278" s="14">
        <v>10000000000</v>
      </c>
      <c r="BP278" s="56">
        <v>100</v>
      </c>
      <c r="BQ278" s="56">
        <v>0</v>
      </c>
      <c r="BR278" s="14">
        <v>10030191781</v>
      </c>
      <c r="BS278">
        <v>5.7744200000000001</v>
      </c>
      <c r="BT278" t="s">
        <v>1184</v>
      </c>
      <c r="BU278" s="25">
        <f>_xlfn.XLOOKUP(Dealps_MSB[[#This Row],[DEAL_ID]],Ref!V:V,Ref!X:X,0,0)</f>
        <v>0</v>
      </c>
      <c r="BV278"/>
    </row>
    <row r="279" spans="1:74" x14ac:dyDescent="0.3">
      <c r="A279" s="93">
        <v>46262</v>
      </c>
      <c r="B279">
        <v>3806</v>
      </c>
      <c r="C279" s="56" t="s">
        <v>1239</v>
      </c>
      <c r="D279" t="s">
        <v>384</v>
      </c>
      <c r="E279" t="s">
        <v>344</v>
      </c>
      <c r="F279" t="s">
        <v>364</v>
      </c>
      <c r="G279" t="s">
        <v>310</v>
      </c>
      <c r="H279" t="s">
        <v>300</v>
      </c>
      <c r="I279" s="93">
        <v>46097</v>
      </c>
      <c r="J279" s="93">
        <v>46097</v>
      </c>
      <c r="K279" s="93">
        <v>46129</v>
      </c>
      <c r="L279" s="93">
        <v>46493</v>
      </c>
      <c r="M279" s="14">
        <v>1</v>
      </c>
      <c r="N279" s="14">
        <v>300000000000</v>
      </c>
      <c r="O279" s="56">
        <v>100.000000027</v>
      </c>
      <c r="P279" s="56">
        <v>0</v>
      </c>
      <c r="Q279" s="14">
        <v>302340822000</v>
      </c>
      <c r="R279">
        <v>8.8310929999999992</v>
      </c>
      <c r="S279" t="s">
        <v>1184</v>
      </c>
      <c r="T279" s="57">
        <f>IF(Dealps[[#This Row],[MATURITY_DATE]]-Dealps[[#This Row],[POSTED_DT]]&lt;0,0,IF(Dealps[[#This Row],[VALUE_DATE]]-Dealps[[#This Row],[POSTED_DT]]&gt;0,Dealps[[#This Row],[MATURITY_DATE]]-Dealps[[#This Row],[VALUE_DATE]],Dealps[[#This Row],[MATURITY_DATE]]-Dealps[[#This Row],[POSTED_DT]]))</f>
        <v>231</v>
      </c>
      <c r="U279" s="25">
        <f>IF(Dealps[[#This Row],[TENOR]]=0,0,IF(Dealps[[#This Row],[DEAL_TYPE]]="B",Dealps[[#This Row],[FACE_AMOUNT]],-Dealps[[#This Row],[FACE_AMOUNT]]))</f>
        <v>300000000000</v>
      </c>
      <c r="V279" s="25">
        <f>_xlfn.XLOOKUP(Dealps[[#This Row],[PAPER_CODE]],FNRP!D:D,FNRP!H:H,0,0)/100*Dealps[[#This Row],[AMOUNT]]</f>
        <v>0</v>
      </c>
      <c r="W279" s="57" t="str">
        <f>IF(Dealps[[#This Row],[TRANSACTION_STATUS]]&lt;&gt;"V","Ngoai BS",IF(Dealps[[#This Row],[POSTED_DT]]&gt;=Dealps[[#This Row],[VALUE_DATE]],"On BS","Off BS"))</f>
        <v>On BS</v>
      </c>
      <c r="X279" s="25">
        <f>SUMIFS(U:U,C:C,Dealps[[#This Row],[PAPER_CODE]])</f>
        <v>300000000000</v>
      </c>
      <c r="Y279" s="25">
        <f>_xlfn.XLOOKUP(Dealps[[#This Row],[DEAL_ID]],Ref!N:N,Ref!Q:Q,0,0)</f>
        <v>0</v>
      </c>
      <c r="Z279" s="25" t="str">
        <f>IF(Dealps[[#This Row],[CPTY_CODE]]=Dealps[[#This Row],[CPTY_CODE_ISSUER]],"Yes","No")</f>
        <v>No</v>
      </c>
      <c r="AA279" s="25"/>
      <c r="AC279" s="14"/>
      <c r="AG279" s="96"/>
      <c r="AH279" s="14"/>
      <c r="AI279"/>
      <c r="AN279" s="14"/>
      <c r="AV279" s="36"/>
      <c r="AW279" s="14"/>
      <c r="AX279" s="234"/>
      <c r="AY279" s="96"/>
      <c r="AZ279" s="14"/>
      <c r="BA279"/>
      <c r="BB279" s="93">
        <v>46262</v>
      </c>
      <c r="BC279">
        <v>1929</v>
      </c>
      <c r="BD279" s="56" t="s">
        <v>1017</v>
      </c>
      <c r="BE279" t="s">
        <v>1011</v>
      </c>
      <c r="BF279" t="s">
        <v>1012</v>
      </c>
      <c r="BG279" t="s">
        <v>364</v>
      </c>
      <c r="BH279" t="s">
        <v>1013</v>
      </c>
      <c r="BI279" t="s">
        <v>311</v>
      </c>
      <c r="BJ279" s="93">
        <v>45791</v>
      </c>
      <c r="BK279" s="93">
        <v>45791</v>
      </c>
      <c r="BL279" s="93">
        <v>45791</v>
      </c>
      <c r="BM279" s="93">
        <v>46502</v>
      </c>
      <c r="BN279" s="14">
        <v>1</v>
      </c>
      <c r="BO279" s="14">
        <v>10000000000</v>
      </c>
      <c r="BP279" s="56">
        <v>100</v>
      </c>
      <c r="BQ279" s="56">
        <v>0</v>
      </c>
      <c r="BR279" s="14">
        <v>10030191781</v>
      </c>
      <c r="BS279">
        <v>5.7744200000000001</v>
      </c>
      <c r="BT279" t="s">
        <v>1184</v>
      </c>
      <c r="BU279" s="25">
        <f>_xlfn.XLOOKUP(Dealps_MSB[[#This Row],[DEAL_ID]],Ref!V:V,Ref!X:X,0,0)</f>
        <v>0</v>
      </c>
      <c r="BV279"/>
    </row>
    <row r="280" spans="1:74" x14ac:dyDescent="0.3">
      <c r="A280" s="93">
        <v>46262</v>
      </c>
      <c r="B280">
        <v>3825</v>
      </c>
      <c r="C280" s="56" t="s">
        <v>1223</v>
      </c>
      <c r="D280" t="s">
        <v>312</v>
      </c>
      <c r="E280" t="s">
        <v>1152</v>
      </c>
      <c r="F280" t="s">
        <v>364</v>
      </c>
      <c r="G280" t="s">
        <v>310</v>
      </c>
      <c r="H280" t="s">
        <v>311</v>
      </c>
      <c r="I280" s="93">
        <v>46098</v>
      </c>
      <c r="J280" s="93">
        <v>46098</v>
      </c>
      <c r="K280" s="93">
        <v>46098</v>
      </c>
      <c r="L280" s="93">
        <v>46380</v>
      </c>
      <c r="M280" s="14">
        <v>1</v>
      </c>
      <c r="N280" s="14">
        <v>200000000000</v>
      </c>
      <c r="O280" s="56">
        <v>100.914148879</v>
      </c>
      <c r="P280" s="56">
        <v>0</v>
      </c>
      <c r="Q280" s="14">
        <v>205216516936</v>
      </c>
      <c r="R280">
        <v>6.107494</v>
      </c>
      <c r="S280" t="s">
        <v>1184</v>
      </c>
      <c r="T280" s="57">
        <f>IF(Dealps[[#This Row],[MATURITY_DATE]]-Dealps[[#This Row],[POSTED_DT]]&lt;0,0,IF(Dealps[[#This Row],[VALUE_DATE]]-Dealps[[#This Row],[POSTED_DT]]&gt;0,Dealps[[#This Row],[MATURITY_DATE]]-Dealps[[#This Row],[VALUE_DATE]],Dealps[[#This Row],[MATURITY_DATE]]-Dealps[[#This Row],[POSTED_DT]]))</f>
        <v>118</v>
      </c>
      <c r="U280" s="25">
        <f>IF(Dealps[[#This Row],[TENOR]]=0,0,IF(Dealps[[#This Row],[DEAL_TYPE]]="B",Dealps[[#This Row],[FACE_AMOUNT]],-Dealps[[#This Row],[FACE_AMOUNT]]))</f>
        <v>-200000000000</v>
      </c>
      <c r="V280" s="25">
        <f>_xlfn.XLOOKUP(Dealps[[#This Row],[PAPER_CODE]],FNRP!D:D,FNRP!H:H,0,0)/100*Dealps[[#This Row],[AMOUNT]]</f>
        <v>0</v>
      </c>
      <c r="W280" s="57" t="str">
        <f>IF(Dealps[[#This Row],[TRANSACTION_STATUS]]&lt;&gt;"V","Ngoai BS",IF(Dealps[[#This Row],[POSTED_DT]]&gt;=Dealps[[#This Row],[VALUE_DATE]],"On BS","Off BS"))</f>
        <v>On BS</v>
      </c>
      <c r="X280" s="25">
        <f>SUMIFS(U:U,C:C,Dealps[[#This Row],[PAPER_CODE]])</f>
        <v>0</v>
      </c>
      <c r="Y280" s="25">
        <f>_xlfn.XLOOKUP(Dealps[[#This Row],[DEAL_ID]],Ref!N:N,Ref!Q:Q,0,0)</f>
        <v>0</v>
      </c>
      <c r="Z280" s="25" t="str">
        <f>IF(Dealps[[#This Row],[CPTY_CODE]]=Dealps[[#This Row],[CPTY_CODE_ISSUER]],"Yes","No")</f>
        <v>No</v>
      </c>
      <c r="AA280" s="25"/>
      <c r="AC280" s="14"/>
      <c r="AG280" s="96"/>
      <c r="AH280" s="14"/>
      <c r="AI280"/>
      <c r="AN280" s="14"/>
      <c r="AV280" s="36"/>
      <c r="AW280" s="14"/>
      <c r="AX280" s="234"/>
      <c r="AY280" s="96"/>
      <c r="AZ280" s="14"/>
      <c r="BA280"/>
      <c r="BB280" s="93">
        <v>46262</v>
      </c>
      <c r="BC280">
        <v>1930</v>
      </c>
      <c r="BD280" s="56" t="s">
        <v>1017</v>
      </c>
      <c r="BE280" t="s">
        <v>1011</v>
      </c>
      <c r="BF280" t="s">
        <v>1012</v>
      </c>
      <c r="BG280" t="s">
        <v>364</v>
      </c>
      <c r="BH280" t="s">
        <v>1013</v>
      </c>
      <c r="BI280" t="s">
        <v>311</v>
      </c>
      <c r="BJ280" s="93">
        <v>45791</v>
      </c>
      <c r="BK280" s="93">
        <v>45791</v>
      </c>
      <c r="BL280" s="93">
        <v>45791</v>
      </c>
      <c r="BM280" s="93">
        <v>46502</v>
      </c>
      <c r="BN280" s="14">
        <v>1</v>
      </c>
      <c r="BO280" s="14">
        <v>10000000000</v>
      </c>
      <c r="BP280" s="56">
        <v>100</v>
      </c>
      <c r="BQ280" s="56">
        <v>0</v>
      </c>
      <c r="BR280" s="14">
        <v>10030191781</v>
      </c>
      <c r="BS280">
        <v>5.7744200000000001</v>
      </c>
      <c r="BT280" t="s">
        <v>1184</v>
      </c>
      <c r="BU280" s="25">
        <f>_xlfn.XLOOKUP(Dealps_MSB[[#This Row],[DEAL_ID]],Ref!V:V,Ref!X:X,0,0)</f>
        <v>0</v>
      </c>
      <c r="BV280"/>
    </row>
    <row r="281" spans="1:74" x14ac:dyDescent="0.3">
      <c r="A281" s="93">
        <v>46262</v>
      </c>
      <c r="B281">
        <v>3827</v>
      </c>
      <c r="C281" s="56" t="s">
        <v>1210</v>
      </c>
      <c r="D281" t="s">
        <v>316</v>
      </c>
      <c r="E281" t="s">
        <v>1152</v>
      </c>
      <c r="F281" t="s">
        <v>364</v>
      </c>
      <c r="G281" t="s">
        <v>310</v>
      </c>
      <c r="H281" t="s">
        <v>311</v>
      </c>
      <c r="I281" s="93">
        <v>46098</v>
      </c>
      <c r="J281" s="93">
        <v>46098</v>
      </c>
      <c r="K281" s="93">
        <v>46098</v>
      </c>
      <c r="L281" s="93">
        <v>46406</v>
      </c>
      <c r="M281" s="14">
        <v>1</v>
      </c>
      <c r="N281" s="14">
        <v>400000000000</v>
      </c>
      <c r="O281" s="56">
        <v>100.73691532300001</v>
      </c>
      <c r="P281" s="56">
        <v>0</v>
      </c>
      <c r="Q281" s="14">
        <v>407632592800</v>
      </c>
      <c r="R281">
        <v>6.5026279999999996</v>
      </c>
      <c r="S281" t="s">
        <v>1184</v>
      </c>
      <c r="T281" s="57">
        <f>IF(Dealps[[#This Row],[MATURITY_DATE]]-Dealps[[#This Row],[POSTED_DT]]&lt;0,0,IF(Dealps[[#This Row],[VALUE_DATE]]-Dealps[[#This Row],[POSTED_DT]]&gt;0,Dealps[[#This Row],[MATURITY_DATE]]-Dealps[[#This Row],[VALUE_DATE]],Dealps[[#This Row],[MATURITY_DATE]]-Dealps[[#This Row],[POSTED_DT]]))</f>
        <v>144</v>
      </c>
      <c r="U281" s="25">
        <f>IF(Dealps[[#This Row],[TENOR]]=0,0,IF(Dealps[[#This Row],[DEAL_TYPE]]="B",Dealps[[#This Row],[FACE_AMOUNT]],-Dealps[[#This Row],[FACE_AMOUNT]]))</f>
        <v>-400000000000</v>
      </c>
      <c r="V281" s="25">
        <f>_xlfn.XLOOKUP(Dealps[[#This Row],[PAPER_CODE]],FNRP!D:D,FNRP!H:H,0,0)/100*Dealps[[#This Row],[AMOUNT]]</f>
        <v>0</v>
      </c>
      <c r="W281" s="57" t="str">
        <f>IF(Dealps[[#This Row],[TRANSACTION_STATUS]]&lt;&gt;"V","Ngoai BS",IF(Dealps[[#This Row],[POSTED_DT]]&gt;=Dealps[[#This Row],[VALUE_DATE]],"On BS","Off BS"))</f>
        <v>On BS</v>
      </c>
      <c r="X281" s="25">
        <f>SUMIFS(U:U,C:C,Dealps[[#This Row],[PAPER_CODE]])</f>
        <v>0</v>
      </c>
      <c r="Y281" s="25">
        <f>_xlfn.XLOOKUP(Dealps[[#This Row],[DEAL_ID]],Ref!N:N,Ref!Q:Q,0,0)</f>
        <v>0</v>
      </c>
      <c r="Z281" s="25" t="str">
        <f>IF(Dealps[[#This Row],[CPTY_CODE]]=Dealps[[#This Row],[CPTY_CODE_ISSUER]],"Yes","No")</f>
        <v>No</v>
      </c>
      <c r="AA281" s="25"/>
      <c r="AC281" s="14"/>
      <c r="AG281" s="96"/>
      <c r="AH281" s="14"/>
      <c r="AI281"/>
      <c r="AN281" s="14"/>
      <c r="AV281" s="36"/>
      <c r="AW281" s="14"/>
      <c r="AX281" s="234"/>
      <c r="AY281" s="96"/>
      <c r="AZ281" s="14"/>
      <c r="BA281"/>
      <c r="BB281" s="93">
        <v>46262</v>
      </c>
      <c r="BC281">
        <v>1931</v>
      </c>
      <c r="BD281" s="56" t="s">
        <v>1017</v>
      </c>
      <c r="BE281" t="s">
        <v>1011</v>
      </c>
      <c r="BF281" t="s">
        <v>1012</v>
      </c>
      <c r="BG281" t="s">
        <v>364</v>
      </c>
      <c r="BH281" t="s">
        <v>1013</v>
      </c>
      <c r="BI281" t="s">
        <v>311</v>
      </c>
      <c r="BJ281" s="93">
        <v>45791</v>
      </c>
      <c r="BK281" s="93">
        <v>45791</v>
      </c>
      <c r="BL281" s="93">
        <v>45791</v>
      </c>
      <c r="BM281" s="93">
        <v>46502</v>
      </c>
      <c r="BN281" s="14">
        <v>1</v>
      </c>
      <c r="BO281" s="14">
        <v>10000000000</v>
      </c>
      <c r="BP281" s="56">
        <v>100</v>
      </c>
      <c r="BQ281" s="56">
        <v>0</v>
      </c>
      <c r="BR281" s="14">
        <v>10030191781</v>
      </c>
      <c r="BS281">
        <v>5.7744200000000001</v>
      </c>
      <c r="BT281" t="s">
        <v>1184</v>
      </c>
      <c r="BU281" s="25">
        <f>_xlfn.XLOOKUP(Dealps_MSB[[#This Row],[DEAL_ID]],Ref!V:V,Ref!X:X,0,0)</f>
        <v>0</v>
      </c>
      <c r="BV281"/>
    </row>
    <row r="282" spans="1:74" x14ac:dyDescent="0.3">
      <c r="A282" s="93">
        <v>46262</v>
      </c>
      <c r="B282">
        <v>3839</v>
      </c>
      <c r="C282" s="56" t="s">
        <v>963</v>
      </c>
      <c r="D282" t="s">
        <v>308</v>
      </c>
      <c r="E282" t="s">
        <v>315</v>
      </c>
      <c r="F282" t="s">
        <v>364</v>
      </c>
      <c r="G282" t="s">
        <v>310</v>
      </c>
      <c r="H282" t="s">
        <v>300</v>
      </c>
      <c r="I282" s="93">
        <v>46099</v>
      </c>
      <c r="J282" s="93">
        <v>46097</v>
      </c>
      <c r="K282" s="93">
        <v>46099</v>
      </c>
      <c r="L282" s="93">
        <v>46295</v>
      </c>
      <c r="M282" s="14">
        <v>1</v>
      </c>
      <c r="N282" s="14">
        <v>100000000000</v>
      </c>
      <c r="O282" s="56">
        <v>100.645428967</v>
      </c>
      <c r="P282" s="56">
        <v>0</v>
      </c>
      <c r="Q282" s="14">
        <v>103453100200</v>
      </c>
      <c r="R282">
        <v>4.7345639999999998</v>
      </c>
      <c r="S282" t="s">
        <v>1184</v>
      </c>
      <c r="T282" s="57">
        <f>IF(Dealps[[#This Row],[MATURITY_DATE]]-Dealps[[#This Row],[POSTED_DT]]&lt;0,0,IF(Dealps[[#This Row],[VALUE_DATE]]-Dealps[[#This Row],[POSTED_DT]]&gt;0,Dealps[[#This Row],[MATURITY_DATE]]-Dealps[[#This Row],[VALUE_DATE]],Dealps[[#This Row],[MATURITY_DATE]]-Dealps[[#This Row],[POSTED_DT]]))</f>
        <v>33</v>
      </c>
      <c r="U282" s="25">
        <f>IF(Dealps[[#This Row],[TENOR]]=0,0,IF(Dealps[[#This Row],[DEAL_TYPE]]="B",Dealps[[#This Row],[FACE_AMOUNT]],-Dealps[[#This Row],[FACE_AMOUNT]]))</f>
        <v>100000000000</v>
      </c>
      <c r="V282" s="25">
        <f>_xlfn.XLOOKUP(Dealps[[#This Row],[PAPER_CODE]],FNRP!D:D,FNRP!H:H,0,0)/100*Dealps[[#This Row],[AMOUNT]]</f>
        <v>0</v>
      </c>
      <c r="W282" s="57" t="str">
        <f>IF(Dealps[[#This Row],[TRANSACTION_STATUS]]&lt;&gt;"V","Ngoai BS",IF(Dealps[[#This Row],[POSTED_DT]]&gt;=Dealps[[#This Row],[VALUE_DATE]],"On BS","Off BS"))</f>
        <v>On BS</v>
      </c>
      <c r="X282" s="25">
        <f>SUMIFS(U:U,C:C,Dealps[[#This Row],[PAPER_CODE]])</f>
        <v>400000000000</v>
      </c>
      <c r="Y282" s="25">
        <f>_xlfn.XLOOKUP(Dealps[[#This Row],[DEAL_ID]],Ref!N:N,Ref!Q:Q,0,0)</f>
        <v>0</v>
      </c>
      <c r="Z282" s="25" t="str">
        <f>IF(Dealps[[#This Row],[CPTY_CODE]]=Dealps[[#This Row],[CPTY_CODE_ISSUER]],"Yes","No")</f>
        <v>No</v>
      </c>
      <c r="AA282" s="25"/>
      <c r="AC282" s="14"/>
      <c r="AG282" s="96"/>
      <c r="AH282" s="14"/>
      <c r="AI282"/>
      <c r="AN282" s="14"/>
      <c r="AV282" s="36"/>
      <c r="AW282" s="14"/>
      <c r="AX282" s="234"/>
      <c r="AY282" s="96"/>
      <c r="AZ282" s="14"/>
      <c r="BA282"/>
      <c r="BB282" s="93">
        <v>46262</v>
      </c>
      <c r="BC282">
        <v>1934</v>
      </c>
      <c r="BD282" s="56" t="s">
        <v>1017</v>
      </c>
      <c r="BE282" t="s">
        <v>1011</v>
      </c>
      <c r="BF282" t="s">
        <v>1012</v>
      </c>
      <c r="BG282" t="s">
        <v>364</v>
      </c>
      <c r="BH282" t="s">
        <v>1013</v>
      </c>
      <c r="BI282" t="s">
        <v>311</v>
      </c>
      <c r="BJ282" s="93">
        <v>45792</v>
      </c>
      <c r="BK282" s="93">
        <v>45792</v>
      </c>
      <c r="BL282" s="93">
        <v>45792</v>
      </c>
      <c r="BM282" s="93">
        <v>46502</v>
      </c>
      <c r="BN282" s="14">
        <v>1</v>
      </c>
      <c r="BO282" s="14">
        <v>10000000000</v>
      </c>
      <c r="BP282" s="56">
        <v>100</v>
      </c>
      <c r="BQ282" s="56">
        <v>0</v>
      </c>
      <c r="BR282" s="14">
        <v>10031780822</v>
      </c>
      <c r="BS282">
        <v>5.7734940000000003</v>
      </c>
      <c r="BT282" t="s">
        <v>1184</v>
      </c>
      <c r="BU282" s="25">
        <f>_xlfn.XLOOKUP(Dealps_MSB[[#This Row],[DEAL_ID]],Ref!V:V,Ref!X:X,0,0)</f>
        <v>0</v>
      </c>
      <c r="BV282"/>
    </row>
    <row r="283" spans="1:74" x14ac:dyDescent="0.3">
      <c r="A283" s="93">
        <v>46262</v>
      </c>
      <c r="B283">
        <v>3842</v>
      </c>
      <c r="C283" s="56" t="s">
        <v>1061</v>
      </c>
      <c r="D283" t="s">
        <v>312</v>
      </c>
      <c r="E283" t="s">
        <v>320</v>
      </c>
      <c r="F283" t="s">
        <v>364</v>
      </c>
      <c r="G283" t="s">
        <v>310</v>
      </c>
      <c r="H283" t="s">
        <v>300</v>
      </c>
      <c r="I283" s="93">
        <v>46099</v>
      </c>
      <c r="J283" s="93">
        <v>46099</v>
      </c>
      <c r="K283" s="93">
        <v>46099</v>
      </c>
      <c r="L283" s="93">
        <v>46343</v>
      </c>
      <c r="M283" s="14">
        <v>1</v>
      </c>
      <c r="N283" s="14">
        <v>500000000000</v>
      </c>
      <c r="O283" s="56">
        <v>100.12334342299999</v>
      </c>
      <c r="P283" s="56">
        <v>0</v>
      </c>
      <c r="Q283" s="14">
        <v>510972881500</v>
      </c>
      <c r="R283">
        <v>5.9841629999999997</v>
      </c>
      <c r="S283" t="s">
        <v>1184</v>
      </c>
      <c r="T283" s="57">
        <f>IF(Dealps[[#This Row],[MATURITY_DATE]]-Dealps[[#This Row],[POSTED_DT]]&lt;0,0,IF(Dealps[[#This Row],[VALUE_DATE]]-Dealps[[#This Row],[POSTED_DT]]&gt;0,Dealps[[#This Row],[MATURITY_DATE]]-Dealps[[#This Row],[VALUE_DATE]],Dealps[[#This Row],[MATURITY_DATE]]-Dealps[[#This Row],[POSTED_DT]]))</f>
        <v>81</v>
      </c>
      <c r="U283" s="25">
        <f>IF(Dealps[[#This Row],[TENOR]]=0,0,IF(Dealps[[#This Row],[DEAL_TYPE]]="B",Dealps[[#This Row],[FACE_AMOUNT]],-Dealps[[#This Row],[FACE_AMOUNT]]))</f>
        <v>500000000000</v>
      </c>
      <c r="V283" s="25">
        <f>_xlfn.XLOOKUP(Dealps[[#This Row],[PAPER_CODE]],FNRP!D:D,FNRP!H:H,0,0)/100*Dealps[[#This Row],[AMOUNT]]</f>
        <v>0</v>
      </c>
      <c r="W283" s="57" t="str">
        <f>IF(Dealps[[#This Row],[TRANSACTION_STATUS]]&lt;&gt;"V","Ngoai BS",IF(Dealps[[#This Row],[POSTED_DT]]&gt;=Dealps[[#This Row],[VALUE_DATE]],"On BS","Off BS"))</f>
        <v>On BS</v>
      </c>
      <c r="X283" s="25">
        <f>SUMIFS(U:U,C:C,Dealps[[#This Row],[PAPER_CODE]])</f>
        <v>1500000000000</v>
      </c>
      <c r="Y283" s="25">
        <f>_xlfn.XLOOKUP(Dealps[[#This Row],[DEAL_ID]],Ref!N:N,Ref!Q:Q,0,0)</f>
        <v>0</v>
      </c>
      <c r="Z283" s="25" t="str">
        <f>IF(Dealps[[#This Row],[CPTY_CODE]]=Dealps[[#This Row],[CPTY_CODE_ISSUER]],"Yes","No")</f>
        <v>No</v>
      </c>
      <c r="AA283" s="25"/>
      <c r="AC283" s="14"/>
      <c r="AG283" s="96"/>
      <c r="AH283" s="14"/>
      <c r="AI283"/>
      <c r="AN283" s="14"/>
      <c r="AV283" s="36"/>
      <c r="AW283" s="14"/>
      <c r="AX283" s="234"/>
      <c r="AY283" s="96"/>
      <c r="AZ283" s="14"/>
      <c r="BA283"/>
      <c r="BB283" s="93">
        <v>46262</v>
      </c>
      <c r="BC283">
        <v>1935</v>
      </c>
      <c r="BD283" s="56" t="s">
        <v>1017</v>
      </c>
      <c r="BE283" t="s">
        <v>1011</v>
      </c>
      <c r="BF283" t="s">
        <v>1012</v>
      </c>
      <c r="BG283" t="s">
        <v>364</v>
      </c>
      <c r="BH283" t="s">
        <v>1013</v>
      </c>
      <c r="BI283" t="s">
        <v>311</v>
      </c>
      <c r="BJ283" s="93">
        <v>45792</v>
      </c>
      <c r="BK283" s="93">
        <v>45792</v>
      </c>
      <c r="BL283" s="93">
        <v>45792</v>
      </c>
      <c r="BM283" s="93">
        <v>46502</v>
      </c>
      <c r="BN283" s="14">
        <v>1</v>
      </c>
      <c r="BO283" s="14">
        <v>10000000000</v>
      </c>
      <c r="BP283" s="56">
        <v>100</v>
      </c>
      <c r="BQ283" s="56">
        <v>0</v>
      </c>
      <c r="BR283" s="14">
        <v>10031780822</v>
      </c>
      <c r="BS283">
        <v>5.7734940000000003</v>
      </c>
      <c r="BT283" t="s">
        <v>1184</v>
      </c>
      <c r="BU283" s="25">
        <f>_xlfn.XLOOKUP(Dealps_MSB[[#This Row],[DEAL_ID]],Ref!V:V,Ref!X:X,0,0)</f>
        <v>0</v>
      </c>
      <c r="BV283"/>
    </row>
    <row r="284" spans="1:74" x14ac:dyDescent="0.3">
      <c r="A284" s="93">
        <v>46262</v>
      </c>
      <c r="B284">
        <v>3843</v>
      </c>
      <c r="C284" s="56" t="s">
        <v>1008</v>
      </c>
      <c r="D284" t="s">
        <v>473</v>
      </c>
      <c r="E284" t="s">
        <v>320</v>
      </c>
      <c r="F284" t="s">
        <v>364</v>
      </c>
      <c r="G284" t="s">
        <v>310</v>
      </c>
      <c r="H284" t="s">
        <v>300</v>
      </c>
      <c r="I284" s="93">
        <v>46099</v>
      </c>
      <c r="J284" s="93">
        <v>46099</v>
      </c>
      <c r="K284" s="93">
        <v>46099</v>
      </c>
      <c r="L284" s="93">
        <v>46324</v>
      </c>
      <c r="M284" s="14">
        <v>1</v>
      </c>
      <c r="N284" s="14">
        <v>500000000000</v>
      </c>
      <c r="O284" s="56">
        <v>99.980663988000003</v>
      </c>
      <c r="P284" s="56">
        <v>0</v>
      </c>
      <c r="Q284" s="14">
        <v>511467703500.00006</v>
      </c>
      <c r="R284">
        <v>6.1894109999999998</v>
      </c>
      <c r="S284" t="s">
        <v>1184</v>
      </c>
      <c r="T284" s="57">
        <f>IF(Dealps[[#This Row],[MATURITY_DATE]]-Dealps[[#This Row],[POSTED_DT]]&lt;0,0,IF(Dealps[[#This Row],[VALUE_DATE]]-Dealps[[#This Row],[POSTED_DT]]&gt;0,Dealps[[#This Row],[MATURITY_DATE]]-Dealps[[#This Row],[VALUE_DATE]],Dealps[[#This Row],[MATURITY_DATE]]-Dealps[[#This Row],[POSTED_DT]]))</f>
        <v>62</v>
      </c>
      <c r="U284" s="25">
        <f>IF(Dealps[[#This Row],[TENOR]]=0,0,IF(Dealps[[#This Row],[DEAL_TYPE]]="B",Dealps[[#This Row],[FACE_AMOUNT]],-Dealps[[#This Row],[FACE_AMOUNT]]))</f>
        <v>500000000000</v>
      </c>
      <c r="V284" s="25">
        <f>_xlfn.XLOOKUP(Dealps[[#This Row],[PAPER_CODE]],FNRP!D:D,FNRP!H:H,0,0)/100*Dealps[[#This Row],[AMOUNT]]</f>
        <v>0</v>
      </c>
      <c r="W284" s="57" t="str">
        <f>IF(Dealps[[#This Row],[TRANSACTION_STATUS]]&lt;&gt;"V","Ngoai BS",IF(Dealps[[#This Row],[POSTED_DT]]&gt;=Dealps[[#This Row],[VALUE_DATE]],"On BS","Off BS"))</f>
        <v>On BS</v>
      </c>
      <c r="X284" s="25">
        <f>SUMIFS(U:U,C:C,Dealps[[#This Row],[PAPER_CODE]])</f>
        <v>500000000000</v>
      </c>
      <c r="Y284" s="25">
        <f>_xlfn.XLOOKUP(Dealps[[#This Row],[DEAL_ID]],Ref!N:N,Ref!Q:Q,0,0)</f>
        <v>0</v>
      </c>
      <c r="Z284" s="25" t="str">
        <f>IF(Dealps[[#This Row],[CPTY_CODE]]=Dealps[[#This Row],[CPTY_CODE_ISSUER]],"Yes","No")</f>
        <v>No</v>
      </c>
      <c r="AA284" s="25"/>
      <c r="AC284" s="14"/>
      <c r="AG284" s="96"/>
      <c r="AH284" s="14"/>
      <c r="AI284"/>
      <c r="AN284" s="14"/>
      <c r="AV284" s="36"/>
      <c r="AW284" s="14"/>
      <c r="AX284" s="234"/>
      <c r="AY284" s="96"/>
      <c r="AZ284" s="14"/>
      <c r="BA284"/>
      <c r="BB284" s="93">
        <v>46262</v>
      </c>
      <c r="BC284">
        <v>1939</v>
      </c>
      <c r="BD284" s="56" t="s">
        <v>1017</v>
      </c>
      <c r="BE284" t="s">
        <v>1011</v>
      </c>
      <c r="BF284" t="s">
        <v>1012</v>
      </c>
      <c r="BG284" t="s">
        <v>364</v>
      </c>
      <c r="BH284" t="s">
        <v>1013</v>
      </c>
      <c r="BI284" t="s">
        <v>311</v>
      </c>
      <c r="BJ284" s="93">
        <v>45793</v>
      </c>
      <c r="BK284" s="93">
        <v>45793</v>
      </c>
      <c r="BL284" s="93">
        <v>45793</v>
      </c>
      <c r="BM284" s="93">
        <v>46502</v>
      </c>
      <c r="BN284" s="14">
        <v>1</v>
      </c>
      <c r="BO284" s="14">
        <v>10000000000</v>
      </c>
      <c r="BP284" s="56">
        <v>100</v>
      </c>
      <c r="BQ284" s="56">
        <v>0</v>
      </c>
      <c r="BR284" s="14">
        <v>10033369863</v>
      </c>
      <c r="BS284">
        <v>5.7725679999999997</v>
      </c>
      <c r="BT284" t="s">
        <v>1184</v>
      </c>
      <c r="BU284" s="25">
        <f>_xlfn.XLOOKUP(Dealps_MSB[[#This Row],[DEAL_ID]],Ref!V:V,Ref!X:X,0,0)</f>
        <v>0</v>
      </c>
      <c r="BV284"/>
    </row>
    <row r="285" spans="1:74" x14ac:dyDescent="0.3">
      <c r="A285" s="93">
        <v>46262</v>
      </c>
      <c r="B285">
        <v>3844</v>
      </c>
      <c r="C285" s="56" t="s">
        <v>1225</v>
      </c>
      <c r="D285" t="s">
        <v>322</v>
      </c>
      <c r="E285" t="s">
        <v>1152</v>
      </c>
      <c r="F285" t="s">
        <v>364</v>
      </c>
      <c r="G285" t="s">
        <v>310</v>
      </c>
      <c r="H285" t="s">
        <v>311</v>
      </c>
      <c r="I285" s="93">
        <v>46099</v>
      </c>
      <c r="J285" s="93">
        <v>46099</v>
      </c>
      <c r="K285" s="93">
        <v>46099</v>
      </c>
      <c r="L285" s="93">
        <v>46381</v>
      </c>
      <c r="M285" s="14">
        <v>1</v>
      </c>
      <c r="N285" s="14">
        <v>200000000000</v>
      </c>
      <c r="O285" s="56">
        <v>99.966503082000003</v>
      </c>
      <c r="P285" s="56">
        <v>0</v>
      </c>
      <c r="Q285" s="14">
        <v>205431088356</v>
      </c>
      <c r="R285">
        <v>5.6888719999999999</v>
      </c>
      <c r="S285" t="s">
        <v>1184</v>
      </c>
      <c r="T285" s="57">
        <f>IF(Dealps[[#This Row],[MATURITY_DATE]]-Dealps[[#This Row],[POSTED_DT]]&lt;0,0,IF(Dealps[[#This Row],[VALUE_DATE]]-Dealps[[#This Row],[POSTED_DT]]&gt;0,Dealps[[#This Row],[MATURITY_DATE]]-Dealps[[#This Row],[VALUE_DATE]],Dealps[[#This Row],[MATURITY_DATE]]-Dealps[[#This Row],[POSTED_DT]]))</f>
        <v>119</v>
      </c>
      <c r="U285" s="25">
        <f>IF(Dealps[[#This Row],[TENOR]]=0,0,IF(Dealps[[#This Row],[DEAL_TYPE]]="B",Dealps[[#This Row],[FACE_AMOUNT]],-Dealps[[#This Row],[FACE_AMOUNT]]))</f>
        <v>-200000000000</v>
      </c>
      <c r="V285" s="25">
        <f>_xlfn.XLOOKUP(Dealps[[#This Row],[PAPER_CODE]],FNRP!D:D,FNRP!H:H,0,0)/100*Dealps[[#This Row],[AMOUNT]]</f>
        <v>0</v>
      </c>
      <c r="W285" s="57" t="str">
        <f>IF(Dealps[[#This Row],[TRANSACTION_STATUS]]&lt;&gt;"V","Ngoai BS",IF(Dealps[[#This Row],[POSTED_DT]]&gt;=Dealps[[#This Row],[VALUE_DATE]],"On BS","Off BS"))</f>
        <v>On BS</v>
      </c>
      <c r="X285" s="25">
        <f>SUMIFS(U:U,C:C,Dealps[[#This Row],[PAPER_CODE]])</f>
        <v>0</v>
      </c>
      <c r="Y285" s="25">
        <f>_xlfn.XLOOKUP(Dealps[[#This Row],[DEAL_ID]],Ref!N:N,Ref!Q:Q,0,0)</f>
        <v>0</v>
      </c>
      <c r="Z285" s="25" t="str">
        <f>IF(Dealps[[#This Row],[CPTY_CODE]]=Dealps[[#This Row],[CPTY_CODE_ISSUER]],"Yes","No")</f>
        <v>No</v>
      </c>
      <c r="AA285" s="25"/>
      <c r="AC285" s="14"/>
      <c r="AG285" s="96"/>
      <c r="AH285" s="14"/>
      <c r="AI285"/>
      <c r="AN285" s="14"/>
      <c r="AV285" s="36"/>
      <c r="AW285" s="14"/>
      <c r="AX285" s="234"/>
      <c r="AY285" s="96"/>
      <c r="AZ285" s="14"/>
      <c r="BA285"/>
      <c r="BB285" s="93">
        <v>46262</v>
      </c>
      <c r="BC285">
        <v>1940</v>
      </c>
      <c r="BD285" s="56" t="s">
        <v>1017</v>
      </c>
      <c r="BE285" t="s">
        <v>1011</v>
      </c>
      <c r="BF285" t="s">
        <v>1012</v>
      </c>
      <c r="BG285" t="s">
        <v>364</v>
      </c>
      <c r="BH285" t="s">
        <v>1013</v>
      </c>
      <c r="BI285" t="s">
        <v>311</v>
      </c>
      <c r="BJ285" s="93">
        <v>45793</v>
      </c>
      <c r="BK285" s="93">
        <v>45793</v>
      </c>
      <c r="BL285" s="93">
        <v>45793</v>
      </c>
      <c r="BM285" s="93">
        <v>46502</v>
      </c>
      <c r="BN285" s="14">
        <v>1</v>
      </c>
      <c r="BO285" s="14">
        <v>10000000000</v>
      </c>
      <c r="BP285" s="56">
        <v>100</v>
      </c>
      <c r="BQ285" s="56">
        <v>0</v>
      </c>
      <c r="BR285" s="14">
        <v>10033369863</v>
      </c>
      <c r="BS285">
        <v>5.7725679999999997</v>
      </c>
      <c r="BT285" t="s">
        <v>1184</v>
      </c>
      <c r="BU285" s="25">
        <f>_xlfn.XLOOKUP(Dealps_MSB[[#This Row],[DEAL_ID]],Ref!V:V,Ref!X:X,0,0)</f>
        <v>0</v>
      </c>
      <c r="BV285"/>
    </row>
    <row r="286" spans="1:74" x14ac:dyDescent="0.3">
      <c r="A286" s="93">
        <v>46262</v>
      </c>
      <c r="B286">
        <v>3845</v>
      </c>
      <c r="C286" s="56" t="s">
        <v>1224</v>
      </c>
      <c r="D286" t="s">
        <v>312</v>
      </c>
      <c r="E286" t="s">
        <v>1152</v>
      </c>
      <c r="F286" t="s">
        <v>364</v>
      </c>
      <c r="G286" t="s">
        <v>310</v>
      </c>
      <c r="H286" t="s">
        <v>311</v>
      </c>
      <c r="I286" s="93">
        <v>46099</v>
      </c>
      <c r="J286" s="93">
        <v>46099</v>
      </c>
      <c r="K286" s="93">
        <v>46099</v>
      </c>
      <c r="L286" s="93">
        <v>46379</v>
      </c>
      <c r="M286" s="14">
        <v>1</v>
      </c>
      <c r="N286" s="14">
        <v>200000000000</v>
      </c>
      <c r="O286" s="56">
        <v>100.911510483</v>
      </c>
      <c r="P286" s="56">
        <v>0</v>
      </c>
      <c r="Q286" s="14">
        <v>205292883980</v>
      </c>
      <c r="R286">
        <v>6.100339</v>
      </c>
      <c r="S286" t="s">
        <v>1184</v>
      </c>
      <c r="T286" s="57">
        <f>IF(Dealps[[#This Row],[MATURITY_DATE]]-Dealps[[#This Row],[POSTED_DT]]&lt;0,0,IF(Dealps[[#This Row],[VALUE_DATE]]-Dealps[[#This Row],[POSTED_DT]]&gt;0,Dealps[[#This Row],[MATURITY_DATE]]-Dealps[[#This Row],[VALUE_DATE]],Dealps[[#This Row],[MATURITY_DATE]]-Dealps[[#This Row],[POSTED_DT]]))</f>
        <v>117</v>
      </c>
      <c r="U286" s="25">
        <f>IF(Dealps[[#This Row],[TENOR]]=0,0,IF(Dealps[[#This Row],[DEAL_TYPE]]="B",Dealps[[#This Row],[FACE_AMOUNT]],-Dealps[[#This Row],[FACE_AMOUNT]]))</f>
        <v>-200000000000</v>
      </c>
      <c r="V286" s="25">
        <f>_xlfn.XLOOKUP(Dealps[[#This Row],[PAPER_CODE]],FNRP!D:D,FNRP!H:H,0,0)/100*Dealps[[#This Row],[AMOUNT]]</f>
        <v>0</v>
      </c>
      <c r="W286" s="57" t="str">
        <f>IF(Dealps[[#This Row],[TRANSACTION_STATUS]]&lt;&gt;"V","Ngoai BS",IF(Dealps[[#This Row],[POSTED_DT]]&gt;=Dealps[[#This Row],[VALUE_DATE]],"On BS","Off BS"))</f>
        <v>On BS</v>
      </c>
      <c r="X286" s="25">
        <f>SUMIFS(U:U,C:C,Dealps[[#This Row],[PAPER_CODE]])</f>
        <v>0</v>
      </c>
      <c r="Y286" s="25">
        <f>_xlfn.XLOOKUP(Dealps[[#This Row],[DEAL_ID]],Ref!N:N,Ref!Q:Q,0,0)</f>
        <v>0</v>
      </c>
      <c r="Z286" s="25" t="str">
        <f>IF(Dealps[[#This Row],[CPTY_CODE]]=Dealps[[#This Row],[CPTY_CODE_ISSUER]],"Yes","No")</f>
        <v>No</v>
      </c>
      <c r="AA286" s="25"/>
      <c r="AC286" s="14"/>
      <c r="AG286" s="96"/>
      <c r="AH286" s="14"/>
      <c r="AI286"/>
      <c r="AN286" s="14"/>
      <c r="AV286" s="36"/>
      <c r="AW286" s="14"/>
      <c r="AX286" s="234"/>
      <c r="AY286" s="96"/>
      <c r="AZ286" s="14"/>
      <c r="BA286"/>
      <c r="BB286" s="93">
        <v>46262</v>
      </c>
      <c r="BC286">
        <v>1941</v>
      </c>
      <c r="BD286" s="56" t="s">
        <v>1017</v>
      </c>
      <c r="BE286" t="s">
        <v>1011</v>
      </c>
      <c r="BF286" t="s">
        <v>1012</v>
      </c>
      <c r="BG286" t="s">
        <v>364</v>
      </c>
      <c r="BH286" t="s">
        <v>1013</v>
      </c>
      <c r="BI286" t="s">
        <v>311</v>
      </c>
      <c r="BJ286" s="93">
        <v>45793</v>
      </c>
      <c r="BK286" s="93">
        <v>45793</v>
      </c>
      <c r="BL286" s="93">
        <v>45793</v>
      </c>
      <c r="BM286" s="93">
        <v>46502</v>
      </c>
      <c r="BN286" s="14">
        <v>1</v>
      </c>
      <c r="BO286" s="14">
        <v>10000000000</v>
      </c>
      <c r="BP286" s="56">
        <v>100</v>
      </c>
      <c r="BQ286" s="56">
        <v>0</v>
      </c>
      <c r="BR286" s="14">
        <v>10033369863</v>
      </c>
      <c r="BS286">
        <v>5.7725679999999997</v>
      </c>
      <c r="BT286" t="s">
        <v>1184</v>
      </c>
      <c r="BU286" s="25">
        <f>_xlfn.XLOOKUP(Dealps_MSB[[#This Row],[DEAL_ID]],Ref!V:V,Ref!X:X,0,0)</f>
        <v>0</v>
      </c>
      <c r="BV286"/>
    </row>
    <row r="287" spans="1:74" x14ac:dyDescent="0.3">
      <c r="A287" s="93">
        <v>46262</v>
      </c>
      <c r="B287">
        <v>3846</v>
      </c>
      <c r="C287" s="56" t="s">
        <v>1204</v>
      </c>
      <c r="D287" t="s">
        <v>315</v>
      </c>
      <c r="E287" t="s">
        <v>939</v>
      </c>
      <c r="F287" t="s">
        <v>364</v>
      </c>
      <c r="G287" t="s">
        <v>310</v>
      </c>
      <c r="H287" t="s">
        <v>300</v>
      </c>
      <c r="I287" s="93">
        <v>46099</v>
      </c>
      <c r="J287" s="93">
        <v>46099</v>
      </c>
      <c r="K287" s="93">
        <v>46099</v>
      </c>
      <c r="L287" s="93">
        <v>46422</v>
      </c>
      <c r="M287" s="14">
        <v>1</v>
      </c>
      <c r="N287" s="14">
        <v>50000000000</v>
      </c>
      <c r="O287" s="56">
        <v>100.03234681000001</v>
      </c>
      <c r="P287" s="56">
        <v>0</v>
      </c>
      <c r="Q287" s="14">
        <v>50432721350</v>
      </c>
      <c r="R287">
        <v>7.1416399999999998</v>
      </c>
      <c r="S287" t="s">
        <v>1184</v>
      </c>
      <c r="T287" s="57">
        <f>IF(Dealps[[#This Row],[MATURITY_DATE]]-Dealps[[#This Row],[POSTED_DT]]&lt;0,0,IF(Dealps[[#This Row],[VALUE_DATE]]-Dealps[[#This Row],[POSTED_DT]]&gt;0,Dealps[[#This Row],[MATURITY_DATE]]-Dealps[[#This Row],[VALUE_DATE]],Dealps[[#This Row],[MATURITY_DATE]]-Dealps[[#This Row],[POSTED_DT]]))</f>
        <v>160</v>
      </c>
      <c r="U287" s="25">
        <f>IF(Dealps[[#This Row],[TENOR]]=0,0,IF(Dealps[[#This Row],[DEAL_TYPE]]="B",Dealps[[#This Row],[FACE_AMOUNT]],-Dealps[[#This Row],[FACE_AMOUNT]]))</f>
        <v>50000000000</v>
      </c>
      <c r="V287" s="25">
        <f>_xlfn.XLOOKUP(Dealps[[#This Row],[PAPER_CODE]],FNRP!D:D,FNRP!H:H,0,0)/100*Dealps[[#This Row],[AMOUNT]]</f>
        <v>0</v>
      </c>
      <c r="W287" s="57" t="str">
        <f>IF(Dealps[[#This Row],[TRANSACTION_STATUS]]&lt;&gt;"V","Ngoai BS",IF(Dealps[[#This Row],[POSTED_DT]]&gt;=Dealps[[#This Row],[VALUE_DATE]],"On BS","Off BS"))</f>
        <v>On BS</v>
      </c>
      <c r="X287" s="25">
        <f>SUMIFS(U:U,C:C,Dealps[[#This Row],[PAPER_CODE]])</f>
        <v>1000000000000</v>
      </c>
      <c r="Y287" s="25">
        <f>_xlfn.XLOOKUP(Dealps[[#This Row],[DEAL_ID]],Ref!N:N,Ref!Q:Q,0,0)</f>
        <v>0</v>
      </c>
      <c r="Z287" s="25" t="str">
        <f>IF(Dealps[[#This Row],[CPTY_CODE]]=Dealps[[#This Row],[CPTY_CODE_ISSUER]],"Yes","No")</f>
        <v>No</v>
      </c>
      <c r="AA287" s="25"/>
      <c r="AC287" s="14"/>
      <c r="AG287" s="96"/>
      <c r="AH287" s="14"/>
      <c r="AI287"/>
      <c r="AN287" s="14"/>
      <c r="AV287" s="36"/>
      <c r="AW287" s="14"/>
      <c r="AX287" s="234"/>
      <c r="AY287" s="96"/>
      <c r="AZ287" s="14"/>
      <c r="BA287"/>
      <c r="BB287" s="93">
        <v>46262</v>
      </c>
      <c r="BC287">
        <v>1956</v>
      </c>
      <c r="BD287" s="56" t="s">
        <v>1017</v>
      </c>
      <c r="BE287" t="s">
        <v>1011</v>
      </c>
      <c r="BF287" t="s">
        <v>1012</v>
      </c>
      <c r="BG287" t="s">
        <v>364</v>
      </c>
      <c r="BH287" t="s">
        <v>1013</v>
      </c>
      <c r="BI287" t="s">
        <v>311</v>
      </c>
      <c r="BJ287" s="93">
        <v>45796</v>
      </c>
      <c r="BK287" s="93">
        <v>45796</v>
      </c>
      <c r="BL287" s="93">
        <v>45796</v>
      </c>
      <c r="BM287" s="93">
        <v>46502</v>
      </c>
      <c r="BN287" s="14">
        <v>1</v>
      </c>
      <c r="BO287" s="14">
        <v>10000000000</v>
      </c>
      <c r="BP287" s="56">
        <v>100</v>
      </c>
      <c r="BQ287" s="56">
        <v>0</v>
      </c>
      <c r="BR287" s="14">
        <v>10038136986</v>
      </c>
      <c r="BS287">
        <v>5.7697919999999998</v>
      </c>
      <c r="BT287" t="s">
        <v>1184</v>
      </c>
      <c r="BU287" s="25">
        <f>_xlfn.XLOOKUP(Dealps_MSB[[#This Row],[DEAL_ID]],Ref!V:V,Ref!X:X,0,0)</f>
        <v>0</v>
      </c>
      <c r="BV287"/>
    </row>
    <row r="288" spans="1:74" x14ac:dyDescent="0.3">
      <c r="A288" s="93">
        <v>46262</v>
      </c>
      <c r="B288">
        <v>3847</v>
      </c>
      <c r="C288" s="56" t="s">
        <v>1061</v>
      </c>
      <c r="D288" t="s">
        <v>312</v>
      </c>
      <c r="E288" t="s">
        <v>957</v>
      </c>
      <c r="F288" t="s">
        <v>364</v>
      </c>
      <c r="G288" t="s">
        <v>310</v>
      </c>
      <c r="H288" t="s">
        <v>311</v>
      </c>
      <c r="I288" s="93">
        <v>46099</v>
      </c>
      <c r="J288" s="93">
        <v>46099</v>
      </c>
      <c r="K288" s="93">
        <v>46106</v>
      </c>
      <c r="L288" s="93">
        <v>46343</v>
      </c>
      <c r="M288" s="14">
        <v>1</v>
      </c>
      <c r="N288" s="14">
        <v>500000000000</v>
      </c>
      <c r="O288" s="56">
        <v>100.41980490500001</v>
      </c>
      <c r="P288" s="56">
        <v>0</v>
      </c>
      <c r="Q288" s="14">
        <v>513059298500.00006</v>
      </c>
      <c r="R288">
        <v>5.509563</v>
      </c>
      <c r="S288" t="s">
        <v>1184</v>
      </c>
      <c r="T288" s="57">
        <f>IF(Dealps[[#This Row],[MATURITY_DATE]]-Dealps[[#This Row],[POSTED_DT]]&lt;0,0,IF(Dealps[[#This Row],[VALUE_DATE]]-Dealps[[#This Row],[POSTED_DT]]&gt;0,Dealps[[#This Row],[MATURITY_DATE]]-Dealps[[#This Row],[VALUE_DATE]],Dealps[[#This Row],[MATURITY_DATE]]-Dealps[[#This Row],[POSTED_DT]]))</f>
        <v>81</v>
      </c>
      <c r="U288" s="25">
        <f>IF(Dealps[[#This Row],[TENOR]]=0,0,IF(Dealps[[#This Row],[DEAL_TYPE]]="B",Dealps[[#This Row],[FACE_AMOUNT]],-Dealps[[#This Row],[FACE_AMOUNT]]))</f>
        <v>-500000000000</v>
      </c>
      <c r="V288" s="25">
        <f>_xlfn.XLOOKUP(Dealps[[#This Row],[PAPER_CODE]],FNRP!D:D,FNRP!H:H,0,0)/100*Dealps[[#This Row],[AMOUNT]]</f>
        <v>0</v>
      </c>
      <c r="W288" s="57" t="str">
        <f>IF(Dealps[[#This Row],[TRANSACTION_STATUS]]&lt;&gt;"V","Ngoai BS",IF(Dealps[[#This Row],[POSTED_DT]]&gt;=Dealps[[#This Row],[VALUE_DATE]],"On BS","Off BS"))</f>
        <v>On BS</v>
      </c>
      <c r="X288" s="25">
        <f>SUMIFS(U:U,C:C,Dealps[[#This Row],[PAPER_CODE]])</f>
        <v>1500000000000</v>
      </c>
      <c r="Y288" s="25">
        <f>_xlfn.XLOOKUP(Dealps[[#This Row],[DEAL_ID]],Ref!N:N,Ref!Q:Q,0,0)</f>
        <v>0</v>
      </c>
      <c r="Z288" s="25" t="str">
        <f>IF(Dealps[[#This Row],[CPTY_CODE]]=Dealps[[#This Row],[CPTY_CODE_ISSUER]],"Yes","No")</f>
        <v>No</v>
      </c>
      <c r="AA288" s="25"/>
      <c r="AC288" s="14"/>
      <c r="AG288" s="96"/>
      <c r="AH288" s="14"/>
      <c r="AI288"/>
      <c r="AN288" s="14"/>
      <c r="AV288" s="36"/>
      <c r="AW288" s="14"/>
      <c r="AX288" s="234"/>
      <c r="AY288" s="96"/>
      <c r="AZ288" s="14"/>
      <c r="BA288"/>
      <c r="BB288" s="93">
        <v>46262</v>
      </c>
      <c r="BC288">
        <v>1957</v>
      </c>
      <c r="BD288" s="56" t="s">
        <v>1017</v>
      </c>
      <c r="BE288" t="s">
        <v>1011</v>
      </c>
      <c r="BF288" t="s">
        <v>1012</v>
      </c>
      <c r="BG288" t="s">
        <v>364</v>
      </c>
      <c r="BH288" t="s">
        <v>1013</v>
      </c>
      <c r="BI288" t="s">
        <v>311</v>
      </c>
      <c r="BJ288" s="93">
        <v>45796</v>
      </c>
      <c r="BK288" s="93">
        <v>45796</v>
      </c>
      <c r="BL288" s="93">
        <v>45796</v>
      </c>
      <c r="BM288" s="93">
        <v>46502</v>
      </c>
      <c r="BN288" s="14">
        <v>1</v>
      </c>
      <c r="BO288" s="14">
        <v>10000000000</v>
      </c>
      <c r="BP288" s="56">
        <v>100</v>
      </c>
      <c r="BQ288" s="56">
        <v>0</v>
      </c>
      <c r="BR288" s="14">
        <v>10038136986</v>
      </c>
      <c r="BS288">
        <v>5.7697919999999998</v>
      </c>
      <c r="BT288" t="s">
        <v>1184</v>
      </c>
      <c r="BU288" s="25">
        <f>_xlfn.XLOOKUP(Dealps_MSB[[#This Row],[DEAL_ID]],Ref!V:V,Ref!X:X,0,0)</f>
        <v>0</v>
      </c>
      <c r="BV288"/>
    </row>
    <row r="289" spans="1:74" x14ac:dyDescent="0.3">
      <c r="A289" s="93">
        <v>46262</v>
      </c>
      <c r="B289">
        <v>3864</v>
      </c>
      <c r="C289" s="56" t="s">
        <v>963</v>
      </c>
      <c r="D289" t="s">
        <v>308</v>
      </c>
      <c r="E289" t="s">
        <v>1228</v>
      </c>
      <c r="F289" t="s">
        <v>364</v>
      </c>
      <c r="G289" t="s">
        <v>310</v>
      </c>
      <c r="H289" t="s">
        <v>311</v>
      </c>
      <c r="I289" s="93">
        <v>46099</v>
      </c>
      <c r="J289" s="93">
        <v>46099</v>
      </c>
      <c r="K289" s="93">
        <v>46100</v>
      </c>
      <c r="L289" s="93">
        <v>46295</v>
      </c>
      <c r="M289" s="14">
        <v>1</v>
      </c>
      <c r="N289" s="14">
        <v>100000000000</v>
      </c>
      <c r="O289" s="56">
        <v>101.03935033800001</v>
      </c>
      <c r="P289" s="56">
        <v>0</v>
      </c>
      <c r="Q289" s="14">
        <v>103863733900</v>
      </c>
      <c r="R289">
        <v>4</v>
      </c>
      <c r="S289" t="s">
        <v>1184</v>
      </c>
      <c r="T289" s="57">
        <f>IF(Dealps[[#This Row],[MATURITY_DATE]]-Dealps[[#This Row],[POSTED_DT]]&lt;0,0,IF(Dealps[[#This Row],[VALUE_DATE]]-Dealps[[#This Row],[POSTED_DT]]&gt;0,Dealps[[#This Row],[MATURITY_DATE]]-Dealps[[#This Row],[VALUE_DATE]],Dealps[[#This Row],[MATURITY_DATE]]-Dealps[[#This Row],[POSTED_DT]]))</f>
        <v>33</v>
      </c>
      <c r="U289" s="25">
        <f>IF(Dealps[[#This Row],[TENOR]]=0,0,IF(Dealps[[#This Row],[DEAL_TYPE]]="B",Dealps[[#This Row],[FACE_AMOUNT]],-Dealps[[#This Row],[FACE_AMOUNT]]))</f>
        <v>-100000000000</v>
      </c>
      <c r="V289" s="25">
        <f>_xlfn.XLOOKUP(Dealps[[#This Row],[PAPER_CODE]],FNRP!D:D,FNRP!H:H,0,0)/100*Dealps[[#This Row],[AMOUNT]]</f>
        <v>0</v>
      </c>
      <c r="W289" s="57" t="str">
        <f>IF(Dealps[[#This Row],[TRANSACTION_STATUS]]&lt;&gt;"V","Ngoai BS",IF(Dealps[[#This Row],[POSTED_DT]]&gt;=Dealps[[#This Row],[VALUE_DATE]],"On BS","Off BS"))</f>
        <v>On BS</v>
      </c>
      <c r="X289" s="25">
        <f>SUMIFS(U:U,C:C,Dealps[[#This Row],[PAPER_CODE]])</f>
        <v>400000000000</v>
      </c>
      <c r="Y289" s="25">
        <f>_xlfn.XLOOKUP(Dealps[[#This Row],[DEAL_ID]],Ref!N:N,Ref!Q:Q,0,0)</f>
        <v>0</v>
      </c>
      <c r="Z289" s="25" t="str">
        <f>IF(Dealps[[#This Row],[CPTY_CODE]]=Dealps[[#This Row],[CPTY_CODE_ISSUER]],"Yes","No")</f>
        <v>No</v>
      </c>
      <c r="AA289" s="25"/>
      <c r="AC289" s="14"/>
      <c r="AG289" s="96"/>
      <c r="AH289" s="14"/>
      <c r="AI289"/>
      <c r="AN289" s="14"/>
      <c r="AV289" s="36"/>
      <c r="AW289" s="14"/>
      <c r="AX289" s="234"/>
      <c r="AY289" s="96"/>
      <c r="AZ289" s="14"/>
      <c r="BA289"/>
      <c r="BB289" s="93">
        <v>46262</v>
      </c>
      <c r="BC289">
        <v>1958</v>
      </c>
      <c r="BD289" s="56" t="s">
        <v>1017</v>
      </c>
      <c r="BE289" t="s">
        <v>1011</v>
      </c>
      <c r="BF289" t="s">
        <v>1012</v>
      </c>
      <c r="BG289" t="s">
        <v>364</v>
      </c>
      <c r="BH289" t="s">
        <v>1013</v>
      </c>
      <c r="BI289" t="s">
        <v>311</v>
      </c>
      <c r="BJ289" s="93">
        <v>45796</v>
      </c>
      <c r="BK289" s="93">
        <v>45796</v>
      </c>
      <c r="BL289" s="93">
        <v>45796</v>
      </c>
      <c r="BM289" s="93">
        <v>46502</v>
      </c>
      <c r="BN289" s="14">
        <v>1</v>
      </c>
      <c r="BO289" s="14">
        <v>10000000000</v>
      </c>
      <c r="BP289" s="56">
        <v>100</v>
      </c>
      <c r="BQ289" s="56">
        <v>0</v>
      </c>
      <c r="BR289" s="14">
        <v>10038136986</v>
      </c>
      <c r="BS289">
        <v>5.7697919999999998</v>
      </c>
      <c r="BT289" t="s">
        <v>1184</v>
      </c>
      <c r="BU289" s="25">
        <f>_xlfn.XLOOKUP(Dealps_MSB[[#This Row],[DEAL_ID]],Ref!V:V,Ref!X:X,0,0)</f>
        <v>0</v>
      </c>
      <c r="BV289"/>
    </row>
    <row r="290" spans="1:74" x14ac:dyDescent="0.3">
      <c r="A290" s="93">
        <v>46262</v>
      </c>
      <c r="B290">
        <v>3865</v>
      </c>
      <c r="C290" s="56" t="s">
        <v>1158</v>
      </c>
      <c r="D290" t="s">
        <v>327</v>
      </c>
      <c r="E290" t="s">
        <v>345</v>
      </c>
      <c r="F290" t="s">
        <v>364</v>
      </c>
      <c r="G290" t="s">
        <v>310</v>
      </c>
      <c r="H290" t="s">
        <v>311</v>
      </c>
      <c r="I290" s="93">
        <v>46099</v>
      </c>
      <c r="J290" s="93">
        <v>46099</v>
      </c>
      <c r="K290" s="93">
        <v>46101</v>
      </c>
      <c r="L290" s="93">
        <v>46409</v>
      </c>
      <c r="M290" s="14">
        <v>1</v>
      </c>
      <c r="N290" s="14">
        <v>500000000000</v>
      </c>
      <c r="O290" s="56">
        <v>100.665355265</v>
      </c>
      <c r="P290" s="56">
        <v>0</v>
      </c>
      <c r="Q290" s="14">
        <v>508850063995</v>
      </c>
      <c r="R290">
        <v>6.3</v>
      </c>
      <c r="S290" t="s">
        <v>1184</v>
      </c>
      <c r="T290" s="57">
        <f>IF(Dealps[[#This Row],[MATURITY_DATE]]-Dealps[[#This Row],[POSTED_DT]]&lt;0,0,IF(Dealps[[#This Row],[VALUE_DATE]]-Dealps[[#This Row],[POSTED_DT]]&gt;0,Dealps[[#This Row],[MATURITY_DATE]]-Dealps[[#This Row],[VALUE_DATE]],Dealps[[#This Row],[MATURITY_DATE]]-Dealps[[#This Row],[POSTED_DT]]))</f>
        <v>147</v>
      </c>
      <c r="U290" s="25">
        <f>IF(Dealps[[#This Row],[TENOR]]=0,0,IF(Dealps[[#This Row],[DEAL_TYPE]]="B",Dealps[[#This Row],[FACE_AMOUNT]],-Dealps[[#This Row],[FACE_AMOUNT]]))</f>
        <v>-500000000000</v>
      </c>
      <c r="V290" s="25">
        <f>_xlfn.XLOOKUP(Dealps[[#This Row],[PAPER_CODE]],FNRP!D:D,FNRP!H:H,0,0)/100*Dealps[[#This Row],[AMOUNT]]</f>
        <v>0</v>
      </c>
      <c r="W290" s="57" t="str">
        <f>IF(Dealps[[#This Row],[TRANSACTION_STATUS]]&lt;&gt;"V","Ngoai BS",IF(Dealps[[#This Row],[POSTED_DT]]&gt;=Dealps[[#This Row],[VALUE_DATE]],"On BS","Off BS"))</f>
        <v>On BS</v>
      </c>
      <c r="X290" s="25">
        <f>SUMIFS(U:U,C:C,Dealps[[#This Row],[PAPER_CODE]])</f>
        <v>2000000000000</v>
      </c>
      <c r="Y290" s="25">
        <f>_xlfn.XLOOKUP(Dealps[[#This Row],[DEAL_ID]],Ref!N:N,Ref!Q:Q,0,0)</f>
        <v>0</v>
      </c>
      <c r="Z290" s="25" t="str">
        <f>IF(Dealps[[#This Row],[CPTY_CODE]]=Dealps[[#This Row],[CPTY_CODE_ISSUER]],"Yes","No")</f>
        <v>No</v>
      </c>
      <c r="AA290" s="25"/>
      <c r="AC290" s="14"/>
      <c r="AG290" s="96"/>
      <c r="AH290" s="14"/>
      <c r="AI290"/>
      <c r="AN290" s="14"/>
      <c r="AV290" s="36"/>
      <c r="AW290" s="14"/>
      <c r="AX290" s="234"/>
      <c r="AY290" s="96"/>
      <c r="AZ290" s="14"/>
      <c r="BA290"/>
      <c r="BB290" s="93">
        <v>46262</v>
      </c>
      <c r="BC290">
        <v>1992</v>
      </c>
      <c r="BD290" s="56" t="s">
        <v>1017</v>
      </c>
      <c r="BE290" t="s">
        <v>1011</v>
      </c>
      <c r="BF290" t="s">
        <v>1012</v>
      </c>
      <c r="BG290" t="s">
        <v>364</v>
      </c>
      <c r="BH290" t="s">
        <v>1013</v>
      </c>
      <c r="BI290" t="s">
        <v>311</v>
      </c>
      <c r="BJ290" s="93">
        <v>45803</v>
      </c>
      <c r="BK290" s="93">
        <v>45803</v>
      </c>
      <c r="BL290" s="93">
        <v>45803</v>
      </c>
      <c r="BM290" s="93">
        <v>46502</v>
      </c>
      <c r="BN290" s="14">
        <v>1</v>
      </c>
      <c r="BO290" s="14">
        <v>10000000000</v>
      </c>
      <c r="BP290" s="56">
        <v>100</v>
      </c>
      <c r="BQ290" s="56">
        <v>0</v>
      </c>
      <c r="BR290" s="14">
        <v>10049260274</v>
      </c>
      <c r="BS290">
        <v>5.7633239999999999</v>
      </c>
      <c r="BT290" t="s">
        <v>1184</v>
      </c>
      <c r="BU290" s="25">
        <f>_xlfn.XLOOKUP(Dealps_MSB[[#This Row],[DEAL_ID]],Ref!V:V,Ref!X:X,0,0)</f>
        <v>0</v>
      </c>
      <c r="BV290"/>
    </row>
    <row r="291" spans="1:74" x14ac:dyDescent="0.3">
      <c r="A291" s="93">
        <v>46262</v>
      </c>
      <c r="B291">
        <v>3866</v>
      </c>
      <c r="C291" s="56" t="s">
        <v>1204</v>
      </c>
      <c r="D291" t="s">
        <v>315</v>
      </c>
      <c r="E291" t="s">
        <v>347</v>
      </c>
      <c r="F291" t="s">
        <v>364</v>
      </c>
      <c r="G291" t="s">
        <v>310</v>
      </c>
      <c r="H291" t="s">
        <v>300</v>
      </c>
      <c r="I291" s="93">
        <v>46100</v>
      </c>
      <c r="J291" s="93">
        <v>46100</v>
      </c>
      <c r="K291" s="93">
        <v>46100</v>
      </c>
      <c r="L291" s="93">
        <v>46422</v>
      </c>
      <c r="M291" s="14">
        <v>1</v>
      </c>
      <c r="N291" s="14">
        <v>500000000000</v>
      </c>
      <c r="O291" s="56">
        <v>100.227365393</v>
      </c>
      <c r="P291" s="56">
        <v>0</v>
      </c>
      <c r="Q291" s="14">
        <v>505401484500.00006</v>
      </c>
      <c r="R291">
        <v>6.9076490000000002</v>
      </c>
      <c r="S291" t="s">
        <v>1184</v>
      </c>
      <c r="T291" s="57">
        <f>IF(Dealps[[#This Row],[MATURITY_DATE]]-Dealps[[#This Row],[POSTED_DT]]&lt;0,0,IF(Dealps[[#This Row],[VALUE_DATE]]-Dealps[[#This Row],[POSTED_DT]]&gt;0,Dealps[[#This Row],[MATURITY_DATE]]-Dealps[[#This Row],[VALUE_DATE]],Dealps[[#This Row],[MATURITY_DATE]]-Dealps[[#This Row],[POSTED_DT]]))</f>
        <v>160</v>
      </c>
      <c r="U291" s="25">
        <f>IF(Dealps[[#This Row],[TENOR]]=0,0,IF(Dealps[[#This Row],[DEAL_TYPE]]="B",Dealps[[#This Row],[FACE_AMOUNT]],-Dealps[[#This Row],[FACE_AMOUNT]]))</f>
        <v>500000000000</v>
      </c>
      <c r="V291" s="25">
        <f>_xlfn.XLOOKUP(Dealps[[#This Row],[PAPER_CODE]],FNRP!D:D,FNRP!H:H,0,0)/100*Dealps[[#This Row],[AMOUNT]]</f>
        <v>0</v>
      </c>
      <c r="W291" s="57" t="str">
        <f>IF(Dealps[[#This Row],[TRANSACTION_STATUS]]&lt;&gt;"V","Ngoai BS",IF(Dealps[[#This Row],[POSTED_DT]]&gt;=Dealps[[#This Row],[VALUE_DATE]],"On BS","Off BS"))</f>
        <v>On BS</v>
      </c>
      <c r="X291" s="25">
        <f>SUMIFS(U:U,C:C,Dealps[[#This Row],[PAPER_CODE]])</f>
        <v>1000000000000</v>
      </c>
      <c r="Y291" s="25">
        <f>_xlfn.XLOOKUP(Dealps[[#This Row],[DEAL_ID]],Ref!N:N,Ref!Q:Q,0,0)</f>
        <v>0</v>
      </c>
      <c r="Z291" s="25" t="str">
        <f>IF(Dealps[[#This Row],[CPTY_CODE]]=Dealps[[#This Row],[CPTY_CODE_ISSUER]],"Yes","No")</f>
        <v>No</v>
      </c>
      <c r="AA291" s="25"/>
      <c r="AC291" s="14"/>
      <c r="AG291" s="96"/>
      <c r="AH291" s="14"/>
      <c r="AI291"/>
      <c r="AN291" s="14"/>
      <c r="AV291" s="36"/>
      <c r="AW291" s="14"/>
      <c r="AX291" s="234"/>
      <c r="AY291" s="96"/>
      <c r="AZ291" s="14"/>
      <c r="BA291"/>
      <c r="BB291" s="93">
        <v>46262</v>
      </c>
      <c r="BC291">
        <v>1993</v>
      </c>
      <c r="BD291" s="56" t="s">
        <v>1017</v>
      </c>
      <c r="BE291" t="s">
        <v>1011</v>
      </c>
      <c r="BF291" t="s">
        <v>1012</v>
      </c>
      <c r="BG291" t="s">
        <v>364</v>
      </c>
      <c r="BH291" t="s">
        <v>1013</v>
      </c>
      <c r="BI291" t="s">
        <v>311</v>
      </c>
      <c r="BJ291" s="93">
        <v>45803</v>
      </c>
      <c r="BK291" s="93">
        <v>45803</v>
      </c>
      <c r="BL291" s="93">
        <v>45803</v>
      </c>
      <c r="BM291" s="93">
        <v>46502</v>
      </c>
      <c r="BN291" s="14">
        <v>1</v>
      </c>
      <c r="BO291" s="14">
        <v>10000000000</v>
      </c>
      <c r="BP291" s="56">
        <v>100</v>
      </c>
      <c r="BQ291" s="56">
        <v>0</v>
      </c>
      <c r="BR291" s="14">
        <v>10049260274</v>
      </c>
      <c r="BS291">
        <v>5.7633239999999999</v>
      </c>
      <c r="BT291" t="s">
        <v>1184</v>
      </c>
      <c r="BU291" s="25">
        <f>_xlfn.XLOOKUP(Dealps_MSB[[#This Row],[DEAL_ID]],Ref!V:V,Ref!X:X,0,0)</f>
        <v>0</v>
      </c>
      <c r="BV291"/>
    </row>
    <row r="292" spans="1:74" x14ac:dyDescent="0.3">
      <c r="A292" s="93">
        <v>46262</v>
      </c>
      <c r="B292">
        <v>3867</v>
      </c>
      <c r="C292" s="56" t="s">
        <v>1010</v>
      </c>
      <c r="D292" t="s">
        <v>328</v>
      </c>
      <c r="E292" t="s">
        <v>322</v>
      </c>
      <c r="F292" t="s">
        <v>364</v>
      </c>
      <c r="G292" t="s">
        <v>310</v>
      </c>
      <c r="H292" t="s">
        <v>311</v>
      </c>
      <c r="I292" s="93">
        <v>46100</v>
      </c>
      <c r="J292" s="93">
        <v>46100</v>
      </c>
      <c r="K292" s="93">
        <v>46101</v>
      </c>
      <c r="L292" s="93">
        <v>46329</v>
      </c>
      <c r="M292" s="14">
        <v>1</v>
      </c>
      <c r="N292" s="14">
        <v>300000000000</v>
      </c>
      <c r="O292" s="56">
        <v>99.911119639999995</v>
      </c>
      <c r="P292" s="56">
        <v>0</v>
      </c>
      <c r="Q292" s="14">
        <v>306775550700</v>
      </c>
      <c r="R292">
        <v>6.3</v>
      </c>
      <c r="S292" t="s">
        <v>1184</v>
      </c>
      <c r="T292" s="57">
        <f>IF(Dealps[[#This Row],[MATURITY_DATE]]-Dealps[[#This Row],[POSTED_DT]]&lt;0,0,IF(Dealps[[#This Row],[VALUE_DATE]]-Dealps[[#This Row],[POSTED_DT]]&gt;0,Dealps[[#This Row],[MATURITY_DATE]]-Dealps[[#This Row],[VALUE_DATE]],Dealps[[#This Row],[MATURITY_DATE]]-Dealps[[#This Row],[POSTED_DT]]))</f>
        <v>67</v>
      </c>
      <c r="U292" s="25">
        <f>IF(Dealps[[#This Row],[TENOR]]=0,0,IF(Dealps[[#This Row],[DEAL_TYPE]]="B",Dealps[[#This Row],[FACE_AMOUNT]],-Dealps[[#This Row],[FACE_AMOUNT]]))</f>
        <v>-300000000000</v>
      </c>
      <c r="V292" s="25">
        <f>_xlfn.XLOOKUP(Dealps[[#This Row],[PAPER_CODE]],FNRP!D:D,FNRP!H:H,0,0)/100*Dealps[[#This Row],[AMOUNT]]</f>
        <v>0</v>
      </c>
      <c r="W292" s="57" t="str">
        <f>IF(Dealps[[#This Row],[TRANSACTION_STATUS]]&lt;&gt;"V","Ngoai BS",IF(Dealps[[#This Row],[POSTED_DT]]&gt;=Dealps[[#This Row],[VALUE_DATE]],"On BS","Off BS"))</f>
        <v>On BS</v>
      </c>
      <c r="X292" s="25">
        <f>SUMIFS(U:U,C:C,Dealps[[#This Row],[PAPER_CODE]])</f>
        <v>2000000000000</v>
      </c>
      <c r="Y292" s="25">
        <f>_xlfn.XLOOKUP(Dealps[[#This Row],[DEAL_ID]],Ref!N:N,Ref!Q:Q,0,0)</f>
        <v>0</v>
      </c>
      <c r="Z292" s="25" t="str">
        <f>IF(Dealps[[#This Row],[CPTY_CODE]]=Dealps[[#This Row],[CPTY_CODE_ISSUER]],"Yes","No")</f>
        <v>No</v>
      </c>
      <c r="AA292" s="25"/>
      <c r="AC292" s="14"/>
      <c r="AG292" s="96"/>
      <c r="AH292" s="14"/>
      <c r="AI292"/>
      <c r="AN292" s="14"/>
      <c r="AV292" s="36"/>
      <c r="AW292" s="14"/>
      <c r="AX292" s="234"/>
      <c r="AY292" s="96"/>
      <c r="AZ292" s="14"/>
      <c r="BA292"/>
      <c r="BB292" s="93">
        <v>46262</v>
      </c>
      <c r="BC292">
        <v>2011</v>
      </c>
      <c r="BD292" s="56" t="s">
        <v>1017</v>
      </c>
      <c r="BE292" t="s">
        <v>1011</v>
      </c>
      <c r="BF292" t="s">
        <v>1012</v>
      </c>
      <c r="BG292" t="s">
        <v>364</v>
      </c>
      <c r="BH292" t="s">
        <v>1013</v>
      </c>
      <c r="BI292" t="s">
        <v>311</v>
      </c>
      <c r="BJ292" s="93">
        <v>45805</v>
      </c>
      <c r="BK292" s="93">
        <v>45805</v>
      </c>
      <c r="BL292" s="93">
        <v>45805</v>
      </c>
      <c r="BM292" s="93">
        <v>46502</v>
      </c>
      <c r="BN292" s="14">
        <v>1</v>
      </c>
      <c r="BO292" s="14">
        <v>10000000000</v>
      </c>
      <c r="BP292" s="56">
        <v>100</v>
      </c>
      <c r="BQ292" s="56">
        <v>0</v>
      </c>
      <c r="BR292" s="14">
        <v>10052438356</v>
      </c>
      <c r="BS292">
        <v>5.7614780000000003</v>
      </c>
      <c r="BT292" t="s">
        <v>1184</v>
      </c>
      <c r="BU292" s="25">
        <f>_xlfn.XLOOKUP(Dealps_MSB[[#This Row],[DEAL_ID]],Ref!V:V,Ref!X:X,0,0)</f>
        <v>0</v>
      </c>
      <c r="BV292"/>
    </row>
    <row r="293" spans="1:74" x14ac:dyDescent="0.3">
      <c r="A293" s="93">
        <v>46262</v>
      </c>
      <c r="B293">
        <v>3871</v>
      </c>
      <c r="C293" s="56" t="s">
        <v>1226</v>
      </c>
      <c r="D293" t="s">
        <v>322</v>
      </c>
      <c r="E293" t="s">
        <v>1152</v>
      </c>
      <c r="F293" t="s">
        <v>364</v>
      </c>
      <c r="G293" t="s">
        <v>310</v>
      </c>
      <c r="H293" t="s">
        <v>311</v>
      </c>
      <c r="I293" s="93">
        <v>46101</v>
      </c>
      <c r="J293" s="93">
        <v>46101</v>
      </c>
      <c r="K293" s="93">
        <v>46101</v>
      </c>
      <c r="L293" s="93">
        <v>46381</v>
      </c>
      <c r="M293" s="14">
        <v>1</v>
      </c>
      <c r="N293" s="14">
        <v>200000000000</v>
      </c>
      <c r="O293" s="56">
        <v>100.95261496000001</v>
      </c>
      <c r="P293" s="56">
        <v>0</v>
      </c>
      <c r="Q293" s="14">
        <v>205398380604</v>
      </c>
      <c r="R293">
        <v>6.0937169999999998</v>
      </c>
      <c r="S293" t="s">
        <v>1184</v>
      </c>
      <c r="T293" s="57">
        <f>IF(Dealps[[#This Row],[MATURITY_DATE]]-Dealps[[#This Row],[POSTED_DT]]&lt;0,0,IF(Dealps[[#This Row],[VALUE_DATE]]-Dealps[[#This Row],[POSTED_DT]]&gt;0,Dealps[[#This Row],[MATURITY_DATE]]-Dealps[[#This Row],[VALUE_DATE]],Dealps[[#This Row],[MATURITY_DATE]]-Dealps[[#This Row],[POSTED_DT]]))</f>
        <v>119</v>
      </c>
      <c r="U293" s="25">
        <f>IF(Dealps[[#This Row],[TENOR]]=0,0,IF(Dealps[[#This Row],[DEAL_TYPE]]="B",Dealps[[#This Row],[FACE_AMOUNT]],-Dealps[[#This Row],[FACE_AMOUNT]]))</f>
        <v>-200000000000</v>
      </c>
      <c r="V293" s="25">
        <f>_xlfn.XLOOKUP(Dealps[[#This Row],[PAPER_CODE]],FNRP!D:D,FNRP!H:H,0,0)/100*Dealps[[#This Row],[AMOUNT]]</f>
        <v>0</v>
      </c>
      <c r="W293" s="57" t="str">
        <f>IF(Dealps[[#This Row],[TRANSACTION_STATUS]]&lt;&gt;"V","Ngoai BS",IF(Dealps[[#This Row],[POSTED_DT]]&gt;=Dealps[[#This Row],[VALUE_DATE]],"On BS","Off BS"))</f>
        <v>On BS</v>
      </c>
      <c r="X293" s="25">
        <f>SUMIFS(U:U,C:C,Dealps[[#This Row],[PAPER_CODE]])</f>
        <v>0</v>
      </c>
      <c r="Y293" s="25">
        <f>_xlfn.XLOOKUP(Dealps[[#This Row],[DEAL_ID]],Ref!N:N,Ref!Q:Q,0,0)</f>
        <v>0</v>
      </c>
      <c r="Z293" s="25" t="str">
        <f>IF(Dealps[[#This Row],[CPTY_CODE]]=Dealps[[#This Row],[CPTY_CODE_ISSUER]],"Yes","No")</f>
        <v>No</v>
      </c>
      <c r="AA293" s="25"/>
      <c r="AC293" s="14"/>
      <c r="AG293" s="96"/>
      <c r="AH293" s="14"/>
      <c r="AI293"/>
      <c r="AN293" s="14"/>
      <c r="AV293" s="36"/>
      <c r="AW293" s="14"/>
      <c r="AX293" s="234"/>
      <c r="AY293" s="96"/>
      <c r="AZ293" s="14"/>
      <c r="BA293"/>
      <c r="BB293" s="93">
        <v>46262</v>
      </c>
      <c r="BC293">
        <v>2012</v>
      </c>
      <c r="BD293" s="56" t="s">
        <v>1017</v>
      </c>
      <c r="BE293" t="s">
        <v>1011</v>
      </c>
      <c r="BF293" t="s">
        <v>1012</v>
      </c>
      <c r="BG293" t="s">
        <v>364</v>
      </c>
      <c r="BH293" t="s">
        <v>1013</v>
      </c>
      <c r="BI293" t="s">
        <v>311</v>
      </c>
      <c r="BJ293" s="93">
        <v>45805</v>
      </c>
      <c r="BK293" s="93">
        <v>45805</v>
      </c>
      <c r="BL293" s="93">
        <v>45805</v>
      </c>
      <c r="BM293" s="93">
        <v>46502</v>
      </c>
      <c r="BN293" s="14">
        <v>1</v>
      </c>
      <c r="BO293" s="14">
        <v>10000000000</v>
      </c>
      <c r="BP293" s="56">
        <v>100</v>
      </c>
      <c r="BQ293" s="56">
        <v>0</v>
      </c>
      <c r="BR293" s="14">
        <v>10052438356</v>
      </c>
      <c r="BS293">
        <v>5.7614780000000003</v>
      </c>
      <c r="BT293" t="s">
        <v>1184</v>
      </c>
      <c r="BU293" s="25">
        <f>_xlfn.XLOOKUP(Dealps_MSB[[#This Row],[DEAL_ID]],Ref!V:V,Ref!X:X,0,0)</f>
        <v>0</v>
      </c>
      <c r="BV293"/>
    </row>
    <row r="294" spans="1:74" x14ac:dyDescent="0.3">
      <c r="A294" s="93">
        <v>46262</v>
      </c>
      <c r="B294">
        <v>3877</v>
      </c>
      <c r="C294" s="56" t="s">
        <v>1204</v>
      </c>
      <c r="D294" t="s">
        <v>315</v>
      </c>
      <c r="E294" t="s">
        <v>345</v>
      </c>
      <c r="F294" t="s">
        <v>364</v>
      </c>
      <c r="G294" t="s">
        <v>310</v>
      </c>
      <c r="H294" t="s">
        <v>311</v>
      </c>
      <c r="I294" s="93">
        <v>46101</v>
      </c>
      <c r="J294" s="93">
        <v>46104</v>
      </c>
      <c r="K294" s="93">
        <v>46104</v>
      </c>
      <c r="L294" s="93">
        <v>46422</v>
      </c>
      <c r="M294" s="14">
        <v>1</v>
      </c>
      <c r="N294" s="14">
        <v>500000000000</v>
      </c>
      <c r="O294" s="56">
        <v>100.226556027</v>
      </c>
      <c r="P294" s="56">
        <v>0</v>
      </c>
      <c r="Q294" s="14">
        <v>505794150000</v>
      </c>
      <c r="R294">
        <v>6.9</v>
      </c>
      <c r="S294" t="s">
        <v>1184</v>
      </c>
      <c r="T294" s="57">
        <f>IF(Dealps[[#This Row],[MATURITY_DATE]]-Dealps[[#This Row],[POSTED_DT]]&lt;0,0,IF(Dealps[[#This Row],[VALUE_DATE]]-Dealps[[#This Row],[POSTED_DT]]&gt;0,Dealps[[#This Row],[MATURITY_DATE]]-Dealps[[#This Row],[VALUE_DATE]],Dealps[[#This Row],[MATURITY_DATE]]-Dealps[[#This Row],[POSTED_DT]]))</f>
        <v>160</v>
      </c>
      <c r="U294" s="25">
        <f>IF(Dealps[[#This Row],[TENOR]]=0,0,IF(Dealps[[#This Row],[DEAL_TYPE]]="B",Dealps[[#This Row],[FACE_AMOUNT]],-Dealps[[#This Row],[FACE_AMOUNT]]))</f>
        <v>-500000000000</v>
      </c>
      <c r="V294" s="25">
        <f>_xlfn.XLOOKUP(Dealps[[#This Row],[PAPER_CODE]],FNRP!D:D,FNRP!H:H,0,0)/100*Dealps[[#This Row],[AMOUNT]]</f>
        <v>0</v>
      </c>
      <c r="W294" s="57" t="str">
        <f>IF(Dealps[[#This Row],[TRANSACTION_STATUS]]&lt;&gt;"V","Ngoai BS",IF(Dealps[[#This Row],[POSTED_DT]]&gt;=Dealps[[#This Row],[VALUE_DATE]],"On BS","Off BS"))</f>
        <v>On BS</v>
      </c>
      <c r="X294" s="25">
        <f>SUMIFS(U:U,C:C,Dealps[[#This Row],[PAPER_CODE]])</f>
        <v>1000000000000</v>
      </c>
      <c r="Y294" s="25">
        <f>_xlfn.XLOOKUP(Dealps[[#This Row],[DEAL_ID]],Ref!N:N,Ref!Q:Q,0,0)</f>
        <v>0</v>
      </c>
      <c r="Z294" s="25" t="str">
        <f>IF(Dealps[[#This Row],[CPTY_CODE]]=Dealps[[#This Row],[CPTY_CODE_ISSUER]],"Yes","No")</f>
        <v>No</v>
      </c>
      <c r="AA294" s="25"/>
      <c r="AC294" s="14"/>
      <c r="AG294" s="96"/>
      <c r="AH294" s="14"/>
      <c r="AI294"/>
      <c r="AN294" s="14"/>
      <c r="AV294" s="36"/>
      <c r="AW294" s="14"/>
      <c r="AX294" s="234"/>
      <c r="AY294" s="96"/>
      <c r="AZ294" s="14"/>
      <c r="BA294"/>
      <c r="BB294" s="93">
        <v>46262</v>
      </c>
      <c r="BC294">
        <v>2049</v>
      </c>
      <c r="BD294" s="56" t="s">
        <v>1017</v>
      </c>
      <c r="BE294" t="s">
        <v>1011</v>
      </c>
      <c r="BF294" t="s">
        <v>1012</v>
      </c>
      <c r="BG294" t="s">
        <v>364</v>
      </c>
      <c r="BH294" t="s">
        <v>1013</v>
      </c>
      <c r="BI294" t="s">
        <v>311</v>
      </c>
      <c r="BJ294" s="93">
        <v>45811</v>
      </c>
      <c r="BK294" s="93">
        <v>45811</v>
      </c>
      <c r="BL294" s="93">
        <v>45811</v>
      </c>
      <c r="BM294" s="93">
        <v>46502</v>
      </c>
      <c r="BN294" s="14">
        <v>1</v>
      </c>
      <c r="BO294" s="14">
        <v>10000000000</v>
      </c>
      <c r="BP294" s="56">
        <v>100</v>
      </c>
      <c r="BQ294" s="56">
        <v>0</v>
      </c>
      <c r="BR294" s="14">
        <v>10061972603</v>
      </c>
      <c r="BS294">
        <v>5.7559469999999999</v>
      </c>
      <c r="BT294" t="s">
        <v>1184</v>
      </c>
      <c r="BU294" s="25">
        <f>_xlfn.XLOOKUP(Dealps_MSB[[#This Row],[DEAL_ID]],Ref!V:V,Ref!X:X,0,0)</f>
        <v>0</v>
      </c>
      <c r="BV294"/>
    </row>
    <row r="295" spans="1:74" x14ac:dyDescent="0.3">
      <c r="A295" s="93">
        <v>46262</v>
      </c>
      <c r="B295">
        <v>3882</v>
      </c>
      <c r="C295" s="56" t="s">
        <v>1071</v>
      </c>
      <c r="D295" t="s">
        <v>328</v>
      </c>
      <c r="E295" t="s">
        <v>1005</v>
      </c>
      <c r="F295" t="s">
        <v>364</v>
      </c>
      <c r="G295" t="s">
        <v>310</v>
      </c>
      <c r="H295" t="s">
        <v>311</v>
      </c>
      <c r="I295" s="93">
        <v>46104</v>
      </c>
      <c r="J295" s="93">
        <v>46104</v>
      </c>
      <c r="K295" s="93">
        <v>46105</v>
      </c>
      <c r="L295" s="93">
        <v>46352</v>
      </c>
      <c r="M295" s="14">
        <v>1</v>
      </c>
      <c r="N295" s="14">
        <v>500000000000</v>
      </c>
      <c r="O295" s="56">
        <v>100.174596362</v>
      </c>
      <c r="P295" s="56">
        <v>0</v>
      </c>
      <c r="Q295" s="14">
        <v>511451064000</v>
      </c>
      <c r="R295">
        <v>6.2</v>
      </c>
      <c r="S295" t="s">
        <v>1184</v>
      </c>
      <c r="T295" s="57">
        <f>IF(Dealps[[#This Row],[MATURITY_DATE]]-Dealps[[#This Row],[POSTED_DT]]&lt;0,0,IF(Dealps[[#This Row],[VALUE_DATE]]-Dealps[[#This Row],[POSTED_DT]]&gt;0,Dealps[[#This Row],[MATURITY_DATE]]-Dealps[[#This Row],[VALUE_DATE]],Dealps[[#This Row],[MATURITY_DATE]]-Dealps[[#This Row],[POSTED_DT]]))</f>
        <v>90</v>
      </c>
      <c r="U295" s="25">
        <f>IF(Dealps[[#This Row],[TENOR]]=0,0,IF(Dealps[[#This Row],[DEAL_TYPE]]="B",Dealps[[#This Row],[FACE_AMOUNT]],-Dealps[[#This Row],[FACE_AMOUNT]]))</f>
        <v>-500000000000</v>
      </c>
      <c r="V295" s="25">
        <f>_xlfn.XLOOKUP(Dealps[[#This Row],[PAPER_CODE]],FNRP!D:D,FNRP!H:H,0,0)/100*Dealps[[#This Row],[AMOUNT]]</f>
        <v>0</v>
      </c>
      <c r="W295" s="57" t="str">
        <f>IF(Dealps[[#This Row],[TRANSACTION_STATUS]]&lt;&gt;"V","Ngoai BS",IF(Dealps[[#This Row],[POSTED_DT]]&gt;=Dealps[[#This Row],[VALUE_DATE]],"On BS","Off BS"))</f>
        <v>On BS</v>
      </c>
      <c r="X295" s="25">
        <f>SUMIFS(U:U,C:C,Dealps[[#This Row],[PAPER_CODE]])</f>
        <v>1500000000000</v>
      </c>
      <c r="Y295" s="25">
        <f>_xlfn.XLOOKUP(Dealps[[#This Row],[DEAL_ID]],Ref!N:N,Ref!Q:Q,0,0)</f>
        <v>0</v>
      </c>
      <c r="Z295" s="25" t="str">
        <f>IF(Dealps[[#This Row],[CPTY_CODE]]=Dealps[[#This Row],[CPTY_CODE_ISSUER]],"Yes","No")</f>
        <v>No</v>
      </c>
      <c r="AA295" s="25"/>
      <c r="AC295" s="14"/>
      <c r="AG295" s="96"/>
      <c r="AH295" s="14"/>
      <c r="AI295"/>
      <c r="AN295" s="14"/>
      <c r="AV295" s="36"/>
      <c r="AW295" s="14"/>
      <c r="AX295" s="234"/>
      <c r="AY295" s="96"/>
      <c r="AZ295" s="14"/>
      <c r="BA295"/>
      <c r="BB295" s="93">
        <v>46262</v>
      </c>
      <c r="BC295">
        <v>2071</v>
      </c>
      <c r="BD295" s="56" t="s">
        <v>1017</v>
      </c>
      <c r="BE295" t="s">
        <v>1011</v>
      </c>
      <c r="BF295" t="s">
        <v>1012</v>
      </c>
      <c r="BG295" t="s">
        <v>364</v>
      </c>
      <c r="BH295" t="s">
        <v>1013</v>
      </c>
      <c r="BI295" t="s">
        <v>311</v>
      </c>
      <c r="BJ295" s="93">
        <v>45817</v>
      </c>
      <c r="BK295" s="93">
        <v>45817</v>
      </c>
      <c r="BL295" s="93">
        <v>45817</v>
      </c>
      <c r="BM295" s="93">
        <v>46502</v>
      </c>
      <c r="BN295" s="14">
        <v>1</v>
      </c>
      <c r="BO295" s="14">
        <v>10000000000</v>
      </c>
      <c r="BP295" s="56">
        <v>100</v>
      </c>
      <c r="BQ295" s="56">
        <v>0</v>
      </c>
      <c r="BR295" s="14">
        <v>10071506849</v>
      </c>
      <c r="BS295">
        <v>5.750426</v>
      </c>
      <c r="BT295" t="s">
        <v>1184</v>
      </c>
      <c r="BU295" s="25">
        <f>_xlfn.XLOOKUP(Dealps_MSB[[#This Row],[DEAL_ID]],Ref!V:V,Ref!X:X,0,0)</f>
        <v>0</v>
      </c>
      <c r="BV295"/>
    </row>
    <row r="296" spans="1:74" x14ac:dyDescent="0.3">
      <c r="A296" s="93">
        <v>46262</v>
      </c>
      <c r="B296">
        <v>3883</v>
      </c>
      <c r="C296" s="56" t="s">
        <v>1244</v>
      </c>
      <c r="D296" t="s">
        <v>384</v>
      </c>
      <c r="E296" t="s">
        <v>344</v>
      </c>
      <c r="F296" t="s">
        <v>364</v>
      </c>
      <c r="G296" t="s">
        <v>310</v>
      </c>
      <c r="H296" t="s">
        <v>300</v>
      </c>
      <c r="I296" s="93">
        <v>46104</v>
      </c>
      <c r="J296" s="93">
        <v>46105</v>
      </c>
      <c r="K296" s="93">
        <v>46140</v>
      </c>
      <c r="L296" s="93">
        <v>46503</v>
      </c>
      <c r="M296" s="14">
        <v>1</v>
      </c>
      <c r="N296" s="14">
        <v>100000000000</v>
      </c>
      <c r="O296" s="56">
        <v>100.000000001</v>
      </c>
      <c r="P296" s="56">
        <v>0</v>
      </c>
      <c r="Q296" s="14">
        <v>100863013700</v>
      </c>
      <c r="R296">
        <v>8.922993</v>
      </c>
      <c r="S296" t="s">
        <v>1184</v>
      </c>
      <c r="T296" s="57">
        <f>IF(Dealps[[#This Row],[MATURITY_DATE]]-Dealps[[#This Row],[POSTED_DT]]&lt;0,0,IF(Dealps[[#This Row],[VALUE_DATE]]-Dealps[[#This Row],[POSTED_DT]]&gt;0,Dealps[[#This Row],[MATURITY_DATE]]-Dealps[[#This Row],[VALUE_DATE]],Dealps[[#This Row],[MATURITY_DATE]]-Dealps[[#This Row],[POSTED_DT]]))</f>
        <v>241</v>
      </c>
      <c r="U296" s="25">
        <f>IF(Dealps[[#This Row],[TENOR]]=0,0,IF(Dealps[[#This Row],[DEAL_TYPE]]="B",Dealps[[#This Row],[FACE_AMOUNT]],-Dealps[[#This Row],[FACE_AMOUNT]]))</f>
        <v>100000000000</v>
      </c>
      <c r="V296" s="25">
        <f>_xlfn.XLOOKUP(Dealps[[#This Row],[PAPER_CODE]],FNRP!D:D,FNRP!H:H,0,0)/100*Dealps[[#This Row],[AMOUNT]]</f>
        <v>0</v>
      </c>
      <c r="W296" s="57" t="str">
        <f>IF(Dealps[[#This Row],[TRANSACTION_STATUS]]&lt;&gt;"V","Ngoai BS",IF(Dealps[[#This Row],[POSTED_DT]]&gt;=Dealps[[#This Row],[VALUE_DATE]],"On BS","Off BS"))</f>
        <v>On BS</v>
      </c>
      <c r="X296" s="25">
        <f>SUMIFS(U:U,C:C,Dealps[[#This Row],[PAPER_CODE]])</f>
        <v>100000000000</v>
      </c>
      <c r="Y296" s="25">
        <f>_xlfn.XLOOKUP(Dealps[[#This Row],[DEAL_ID]],Ref!N:N,Ref!Q:Q,0,0)</f>
        <v>0</v>
      </c>
      <c r="Z296" s="25" t="str">
        <f>IF(Dealps[[#This Row],[CPTY_CODE]]=Dealps[[#This Row],[CPTY_CODE_ISSUER]],"Yes","No")</f>
        <v>No</v>
      </c>
      <c r="AA296" s="25"/>
      <c r="AC296" s="14"/>
      <c r="AG296" s="96"/>
      <c r="AH296" s="14"/>
      <c r="AI296"/>
      <c r="AN296" s="14"/>
      <c r="AV296" s="36"/>
      <c r="AW296" s="14"/>
      <c r="AX296" s="234"/>
      <c r="AY296" s="96"/>
      <c r="AZ296" s="14"/>
      <c r="BA296"/>
      <c r="BB296" s="93">
        <v>46262</v>
      </c>
      <c r="BC296">
        <v>2072</v>
      </c>
      <c r="BD296" s="56" t="s">
        <v>1017</v>
      </c>
      <c r="BE296" t="s">
        <v>1011</v>
      </c>
      <c r="BF296" t="s">
        <v>1012</v>
      </c>
      <c r="BG296" t="s">
        <v>364</v>
      </c>
      <c r="BH296" t="s">
        <v>1013</v>
      </c>
      <c r="BI296" t="s">
        <v>311</v>
      </c>
      <c r="BJ296" s="93">
        <v>45817</v>
      </c>
      <c r="BK296" s="93">
        <v>45817</v>
      </c>
      <c r="BL296" s="93">
        <v>45817</v>
      </c>
      <c r="BM296" s="93">
        <v>46502</v>
      </c>
      <c r="BN296" s="14">
        <v>1</v>
      </c>
      <c r="BO296" s="14">
        <v>10000000000</v>
      </c>
      <c r="BP296" s="56">
        <v>100</v>
      </c>
      <c r="BQ296" s="56">
        <v>0</v>
      </c>
      <c r="BR296" s="14">
        <v>10071506849</v>
      </c>
      <c r="BS296">
        <v>5.750426</v>
      </c>
      <c r="BT296" t="s">
        <v>1184</v>
      </c>
      <c r="BU296" s="25">
        <f>_xlfn.XLOOKUP(Dealps_MSB[[#This Row],[DEAL_ID]],Ref!V:V,Ref!X:X,0,0)</f>
        <v>0</v>
      </c>
      <c r="BV296"/>
    </row>
    <row r="297" spans="1:74" x14ac:dyDescent="0.3">
      <c r="A297" s="93">
        <v>46262</v>
      </c>
      <c r="B297">
        <v>3905</v>
      </c>
      <c r="C297" s="56" t="s">
        <v>1061</v>
      </c>
      <c r="D297" t="s">
        <v>312</v>
      </c>
      <c r="E297" t="s">
        <v>957</v>
      </c>
      <c r="F297" t="s">
        <v>364</v>
      </c>
      <c r="G297" t="s">
        <v>310</v>
      </c>
      <c r="H297" t="s">
        <v>300</v>
      </c>
      <c r="I297" s="93">
        <v>46107</v>
      </c>
      <c r="J297" s="93">
        <v>46107</v>
      </c>
      <c r="K297" s="93">
        <v>46107</v>
      </c>
      <c r="L297" s="93">
        <v>46343</v>
      </c>
      <c r="M297" s="14">
        <v>1</v>
      </c>
      <c r="N297" s="14">
        <v>500000000000</v>
      </c>
      <c r="O297" s="56">
        <v>101.00816723200001</v>
      </c>
      <c r="P297" s="56">
        <v>0</v>
      </c>
      <c r="Q297" s="14">
        <v>516087411499.99994</v>
      </c>
      <c r="R297">
        <v>4.5929799999999998</v>
      </c>
      <c r="S297" t="s">
        <v>1184</v>
      </c>
      <c r="T297" s="57">
        <f>IF(Dealps[[#This Row],[MATURITY_DATE]]-Dealps[[#This Row],[POSTED_DT]]&lt;0,0,IF(Dealps[[#This Row],[VALUE_DATE]]-Dealps[[#This Row],[POSTED_DT]]&gt;0,Dealps[[#This Row],[MATURITY_DATE]]-Dealps[[#This Row],[VALUE_DATE]],Dealps[[#This Row],[MATURITY_DATE]]-Dealps[[#This Row],[POSTED_DT]]))</f>
        <v>81</v>
      </c>
      <c r="U297" s="25">
        <f>IF(Dealps[[#This Row],[TENOR]]=0,0,IF(Dealps[[#This Row],[DEAL_TYPE]]="B",Dealps[[#This Row],[FACE_AMOUNT]],-Dealps[[#This Row],[FACE_AMOUNT]]))</f>
        <v>500000000000</v>
      </c>
      <c r="V297" s="25">
        <f>_xlfn.XLOOKUP(Dealps[[#This Row],[PAPER_CODE]],FNRP!D:D,FNRP!H:H,0,0)/100*Dealps[[#This Row],[AMOUNT]]</f>
        <v>0</v>
      </c>
      <c r="W297" s="57" t="str">
        <f>IF(Dealps[[#This Row],[TRANSACTION_STATUS]]&lt;&gt;"V","Ngoai BS",IF(Dealps[[#This Row],[POSTED_DT]]&gt;=Dealps[[#This Row],[VALUE_DATE]],"On BS","Off BS"))</f>
        <v>On BS</v>
      </c>
      <c r="X297" s="25">
        <f>SUMIFS(U:U,C:C,Dealps[[#This Row],[PAPER_CODE]])</f>
        <v>1500000000000</v>
      </c>
      <c r="Y297" s="25">
        <f>_xlfn.XLOOKUP(Dealps[[#This Row],[DEAL_ID]],Ref!N:N,Ref!Q:Q,0,0)</f>
        <v>0</v>
      </c>
      <c r="Z297" s="25" t="str">
        <f>IF(Dealps[[#This Row],[CPTY_CODE]]=Dealps[[#This Row],[CPTY_CODE_ISSUER]],"Yes","No")</f>
        <v>No</v>
      </c>
      <c r="AA297" s="25"/>
      <c r="AC297" s="14"/>
      <c r="AG297" s="96"/>
      <c r="AH297" s="14"/>
      <c r="AI297"/>
      <c r="AN297" s="14"/>
      <c r="AV297" s="36"/>
      <c r="AW297" s="14"/>
      <c r="AX297" s="234"/>
      <c r="AY297" s="96"/>
      <c r="AZ297" s="14"/>
      <c r="BA297"/>
      <c r="BB297" s="93">
        <v>46262</v>
      </c>
      <c r="BC297">
        <v>2302</v>
      </c>
      <c r="BD297" s="56" t="s">
        <v>1018</v>
      </c>
      <c r="BE297" t="s">
        <v>1011</v>
      </c>
      <c r="BF297" t="s">
        <v>1012</v>
      </c>
      <c r="BG297" t="s">
        <v>364</v>
      </c>
      <c r="BH297" t="s">
        <v>1013</v>
      </c>
      <c r="BI297" t="s">
        <v>311</v>
      </c>
      <c r="BJ297" s="93">
        <v>45876</v>
      </c>
      <c r="BK297" s="93">
        <v>45876</v>
      </c>
      <c r="BL297" s="93">
        <v>45876</v>
      </c>
      <c r="BM297" s="93">
        <v>46606</v>
      </c>
      <c r="BN297" s="14">
        <v>1</v>
      </c>
      <c r="BO297" s="14">
        <v>10000000000</v>
      </c>
      <c r="BP297" s="56">
        <v>100</v>
      </c>
      <c r="BQ297" s="56">
        <v>0</v>
      </c>
      <c r="BR297" s="14">
        <v>10000000000</v>
      </c>
      <c r="BS297">
        <v>4.9863390000000001</v>
      </c>
      <c r="BT297" t="s">
        <v>1184</v>
      </c>
      <c r="BU297" s="25">
        <f>_xlfn.XLOOKUP(Dealps_MSB[[#This Row],[DEAL_ID]],Ref!V:V,Ref!X:X,0,0)</f>
        <v>0</v>
      </c>
      <c r="BV297"/>
    </row>
    <row r="298" spans="1:74" x14ac:dyDescent="0.3">
      <c r="A298" s="93">
        <v>46262</v>
      </c>
      <c r="B298">
        <v>3921</v>
      </c>
      <c r="C298" s="56" t="s">
        <v>1245</v>
      </c>
      <c r="D298" t="s">
        <v>313</v>
      </c>
      <c r="E298" t="s">
        <v>313</v>
      </c>
      <c r="F298" t="s">
        <v>364</v>
      </c>
      <c r="G298" t="s">
        <v>310</v>
      </c>
      <c r="H298" t="s">
        <v>300</v>
      </c>
      <c r="I298" s="93">
        <v>46108</v>
      </c>
      <c r="J298" s="93">
        <v>46108</v>
      </c>
      <c r="K298" s="93">
        <v>46111</v>
      </c>
      <c r="L298" s="93">
        <v>46470</v>
      </c>
      <c r="M298" s="14">
        <v>1</v>
      </c>
      <c r="N298" s="14">
        <v>400000000000</v>
      </c>
      <c r="O298" s="56">
        <v>100</v>
      </c>
      <c r="P298" s="56">
        <v>0</v>
      </c>
      <c r="Q298" s="14">
        <v>400000000000</v>
      </c>
      <c r="R298">
        <v>8.8000000000000007</v>
      </c>
      <c r="S298" t="s">
        <v>1184</v>
      </c>
      <c r="T298" s="57">
        <f>IF(Dealps[[#This Row],[MATURITY_DATE]]-Dealps[[#This Row],[POSTED_DT]]&lt;0,0,IF(Dealps[[#This Row],[VALUE_DATE]]-Dealps[[#This Row],[POSTED_DT]]&gt;0,Dealps[[#This Row],[MATURITY_DATE]]-Dealps[[#This Row],[VALUE_DATE]],Dealps[[#This Row],[MATURITY_DATE]]-Dealps[[#This Row],[POSTED_DT]]))</f>
        <v>208</v>
      </c>
      <c r="U298" s="25">
        <f>IF(Dealps[[#This Row],[TENOR]]=0,0,IF(Dealps[[#This Row],[DEAL_TYPE]]="B",Dealps[[#This Row],[FACE_AMOUNT]],-Dealps[[#This Row],[FACE_AMOUNT]]))</f>
        <v>400000000000</v>
      </c>
      <c r="V298" s="25">
        <f>_xlfn.XLOOKUP(Dealps[[#This Row],[PAPER_CODE]],FNRP!D:D,FNRP!H:H,0,0)/100*Dealps[[#This Row],[AMOUNT]]</f>
        <v>0</v>
      </c>
      <c r="W298" s="57" t="str">
        <f>IF(Dealps[[#This Row],[TRANSACTION_STATUS]]&lt;&gt;"V","Ngoai BS",IF(Dealps[[#This Row],[POSTED_DT]]&gt;=Dealps[[#This Row],[VALUE_DATE]],"On BS","Off BS"))</f>
        <v>On BS</v>
      </c>
      <c r="X298" s="25">
        <f>SUMIFS(U:U,C:C,Dealps[[#This Row],[PAPER_CODE]])</f>
        <v>400000000000</v>
      </c>
      <c r="Y298" s="25">
        <f>_xlfn.XLOOKUP(Dealps[[#This Row],[DEAL_ID]],Ref!N:N,Ref!Q:Q,0,0)</f>
        <v>0</v>
      </c>
      <c r="Z298" s="25" t="str">
        <f>IF(Dealps[[#This Row],[CPTY_CODE]]=Dealps[[#This Row],[CPTY_CODE_ISSUER]],"Yes","No")</f>
        <v>Yes</v>
      </c>
      <c r="AA298" s="25"/>
      <c r="AC298" s="14"/>
      <c r="AG298" s="96"/>
      <c r="AH298" s="25"/>
      <c r="AI298" s="25"/>
      <c r="AN298" s="14"/>
      <c r="AV298" s="36"/>
      <c r="AW298" s="14"/>
      <c r="AX298" s="234"/>
      <c r="AY298" s="96"/>
      <c r="AZ298" s="14"/>
      <c r="BA298"/>
      <c r="BB298" s="93">
        <v>46262</v>
      </c>
      <c r="BC298">
        <v>2303</v>
      </c>
      <c r="BD298" s="56" t="s">
        <v>1018</v>
      </c>
      <c r="BE298" t="s">
        <v>1011</v>
      </c>
      <c r="BF298" t="s">
        <v>1012</v>
      </c>
      <c r="BG298" t="s">
        <v>364</v>
      </c>
      <c r="BH298" t="s">
        <v>1013</v>
      </c>
      <c r="BI298" t="s">
        <v>311</v>
      </c>
      <c r="BJ298" s="93">
        <v>45876</v>
      </c>
      <c r="BK298" s="93">
        <v>45876</v>
      </c>
      <c r="BL298" s="93">
        <v>45876</v>
      </c>
      <c r="BM298" s="93">
        <v>46606</v>
      </c>
      <c r="BN298" s="14">
        <v>1</v>
      </c>
      <c r="BO298" s="14">
        <v>10000000000</v>
      </c>
      <c r="BP298" s="56">
        <v>100</v>
      </c>
      <c r="BQ298" s="56">
        <v>0</v>
      </c>
      <c r="BR298" s="14">
        <v>10000000000</v>
      </c>
      <c r="BS298">
        <v>4.9863390000000001</v>
      </c>
      <c r="BT298" t="s">
        <v>1184</v>
      </c>
      <c r="BU298" s="25">
        <f>_xlfn.XLOOKUP(Dealps_MSB[[#This Row],[DEAL_ID]],Ref!V:V,Ref!X:X,0,0)</f>
        <v>0</v>
      </c>
      <c r="BV298"/>
    </row>
    <row r="299" spans="1:74" x14ac:dyDescent="0.3">
      <c r="A299" s="93">
        <v>46262</v>
      </c>
      <c r="B299">
        <v>3925</v>
      </c>
      <c r="C299" s="56" t="s">
        <v>1249</v>
      </c>
      <c r="D299" t="s">
        <v>322</v>
      </c>
      <c r="E299" t="s">
        <v>1152</v>
      </c>
      <c r="F299" t="s">
        <v>364</v>
      </c>
      <c r="G299" t="s">
        <v>310</v>
      </c>
      <c r="H299" t="s">
        <v>300</v>
      </c>
      <c r="I299" s="93">
        <v>46111</v>
      </c>
      <c r="J299" s="93">
        <v>46111</v>
      </c>
      <c r="K299" s="93">
        <v>46111</v>
      </c>
      <c r="L299" s="93">
        <v>46304</v>
      </c>
      <c r="M299" s="14">
        <v>1</v>
      </c>
      <c r="N299" s="14">
        <v>200000000000</v>
      </c>
      <c r="O299" s="56">
        <v>100.1774734</v>
      </c>
      <c r="P299" s="56">
        <v>0</v>
      </c>
      <c r="Q299" s="14">
        <v>205976864608</v>
      </c>
      <c r="R299">
        <v>5.5</v>
      </c>
      <c r="S299" t="s">
        <v>1184</v>
      </c>
      <c r="T299" s="57">
        <f>IF(Dealps[[#This Row],[MATURITY_DATE]]-Dealps[[#This Row],[POSTED_DT]]&lt;0,0,IF(Dealps[[#This Row],[VALUE_DATE]]-Dealps[[#This Row],[POSTED_DT]]&gt;0,Dealps[[#This Row],[MATURITY_DATE]]-Dealps[[#This Row],[VALUE_DATE]],Dealps[[#This Row],[MATURITY_DATE]]-Dealps[[#This Row],[POSTED_DT]]))</f>
        <v>42</v>
      </c>
      <c r="U299" s="25">
        <f>IF(Dealps[[#This Row],[TENOR]]=0,0,IF(Dealps[[#This Row],[DEAL_TYPE]]="B",Dealps[[#This Row],[FACE_AMOUNT]],-Dealps[[#This Row],[FACE_AMOUNT]]))</f>
        <v>200000000000</v>
      </c>
      <c r="V299" s="25">
        <f>_xlfn.XLOOKUP(Dealps[[#This Row],[PAPER_CODE]],FNRP!D:D,FNRP!H:H,0,0)/100*Dealps[[#This Row],[AMOUNT]]</f>
        <v>0</v>
      </c>
      <c r="W299" s="57" t="str">
        <f>IF(Dealps[[#This Row],[TRANSACTION_STATUS]]&lt;&gt;"V","Ngoai BS",IF(Dealps[[#This Row],[POSTED_DT]]&gt;=Dealps[[#This Row],[VALUE_DATE]],"On BS","Off BS"))</f>
        <v>On BS</v>
      </c>
      <c r="X299" s="25">
        <f>SUMIFS(U:U,C:C,Dealps[[#This Row],[PAPER_CODE]])</f>
        <v>0</v>
      </c>
      <c r="Y299" s="25">
        <f>_xlfn.XLOOKUP(Dealps[[#This Row],[DEAL_ID]],Ref!N:N,Ref!Q:Q,0,0)</f>
        <v>0</v>
      </c>
      <c r="Z299" s="25" t="str">
        <f>IF(Dealps[[#This Row],[CPTY_CODE]]=Dealps[[#This Row],[CPTY_CODE_ISSUER]],"Yes","No")</f>
        <v>No</v>
      </c>
      <c r="AA299" s="25"/>
      <c r="AC299" s="14"/>
      <c r="AG299" s="96"/>
      <c r="AH299" s="25"/>
      <c r="AI299" s="25"/>
      <c r="AN299" s="14"/>
      <c r="AV299" s="36"/>
      <c r="AW299" s="14"/>
      <c r="AX299" s="234"/>
      <c r="AY299" s="96"/>
      <c r="AZ299" s="14"/>
      <c r="BA299"/>
      <c r="BB299" s="93">
        <v>46262</v>
      </c>
      <c r="BC299">
        <v>2304</v>
      </c>
      <c r="BD299" s="56" t="s">
        <v>1018</v>
      </c>
      <c r="BE299" t="s">
        <v>1011</v>
      </c>
      <c r="BF299" t="s">
        <v>1012</v>
      </c>
      <c r="BG299" t="s">
        <v>364</v>
      </c>
      <c r="BH299" t="s">
        <v>1013</v>
      </c>
      <c r="BI299" t="s">
        <v>311</v>
      </c>
      <c r="BJ299" s="93">
        <v>45876</v>
      </c>
      <c r="BK299" s="93">
        <v>45876</v>
      </c>
      <c r="BL299" s="93">
        <v>45876</v>
      </c>
      <c r="BM299" s="93">
        <v>46606</v>
      </c>
      <c r="BN299" s="14">
        <v>1</v>
      </c>
      <c r="BO299" s="14">
        <v>10000000000</v>
      </c>
      <c r="BP299" s="56">
        <v>100</v>
      </c>
      <c r="BQ299" s="56">
        <v>0</v>
      </c>
      <c r="BR299" s="14">
        <v>10000000000</v>
      </c>
      <c r="BS299">
        <v>4.9863390000000001</v>
      </c>
      <c r="BT299" t="s">
        <v>1184</v>
      </c>
      <c r="BU299" s="25">
        <f>_xlfn.XLOOKUP(Dealps_MSB[[#This Row],[DEAL_ID]],Ref!V:V,Ref!X:X,0,0)</f>
        <v>0</v>
      </c>
      <c r="BV299"/>
    </row>
    <row r="300" spans="1:74" x14ac:dyDescent="0.3">
      <c r="A300" s="93">
        <v>46262</v>
      </c>
      <c r="B300">
        <v>3927</v>
      </c>
      <c r="C300" s="56" t="s">
        <v>1250</v>
      </c>
      <c r="D300" t="s">
        <v>312</v>
      </c>
      <c r="E300" t="s">
        <v>1152</v>
      </c>
      <c r="F300" t="s">
        <v>364</v>
      </c>
      <c r="G300" t="s">
        <v>310</v>
      </c>
      <c r="H300" t="s">
        <v>300</v>
      </c>
      <c r="I300" s="93">
        <v>46111</v>
      </c>
      <c r="J300" s="93">
        <v>46111</v>
      </c>
      <c r="K300" s="93">
        <v>46111</v>
      </c>
      <c r="L300" s="93">
        <v>46357</v>
      </c>
      <c r="M300" s="14">
        <v>1</v>
      </c>
      <c r="N300" s="14">
        <v>150000000000</v>
      </c>
      <c r="O300" s="56">
        <v>100.394319133</v>
      </c>
      <c r="P300" s="56">
        <v>0</v>
      </c>
      <c r="Q300" s="14">
        <v>153990314316</v>
      </c>
      <c r="R300">
        <v>6.2</v>
      </c>
      <c r="S300" t="s">
        <v>1184</v>
      </c>
      <c r="T300" s="57">
        <f>IF(Dealps[[#This Row],[MATURITY_DATE]]-Dealps[[#This Row],[POSTED_DT]]&lt;0,0,IF(Dealps[[#This Row],[VALUE_DATE]]-Dealps[[#This Row],[POSTED_DT]]&gt;0,Dealps[[#This Row],[MATURITY_DATE]]-Dealps[[#This Row],[VALUE_DATE]],Dealps[[#This Row],[MATURITY_DATE]]-Dealps[[#This Row],[POSTED_DT]]))</f>
        <v>95</v>
      </c>
      <c r="U300" s="25">
        <f>IF(Dealps[[#This Row],[TENOR]]=0,0,IF(Dealps[[#This Row],[DEAL_TYPE]]="B",Dealps[[#This Row],[FACE_AMOUNT]],-Dealps[[#This Row],[FACE_AMOUNT]]))</f>
        <v>150000000000</v>
      </c>
      <c r="V300" s="25">
        <f>_xlfn.XLOOKUP(Dealps[[#This Row],[PAPER_CODE]],FNRP!D:D,FNRP!H:H,0,0)/100*Dealps[[#This Row],[AMOUNT]]</f>
        <v>0</v>
      </c>
      <c r="W300" s="57" t="str">
        <f>IF(Dealps[[#This Row],[TRANSACTION_STATUS]]&lt;&gt;"V","Ngoai BS",IF(Dealps[[#This Row],[POSTED_DT]]&gt;=Dealps[[#This Row],[VALUE_DATE]],"On BS","Off BS"))</f>
        <v>On BS</v>
      </c>
      <c r="X300" s="25">
        <f>SUMIFS(U:U,C:C,Dealps[[#This Row],[PAPER_CODE]])</f>
        <v>0</v>
      </c>
      <c r="Y300" s="25">
        <f>_xlfn.XLOOKUP(Dealps[[#This Row],[DEAL_ID]],Ref!N:N,Ref!Q:Q,0,0)</f>
        <v>0</v>
      </c>
      <c r="Z300" s="25" t="str">
        <f>IF(Dealps[[#This Row],[CPTY_CODE]]=Dealps[[#This Row],[CPTY_CODE_ISSUER]],"Yes","No")</f>
        <v>No</v>
      </c>
      <c r="AA300" s="25"/>
      <c r="AC300" s="14"/>
      <c r="AG300" s="96"/>
      <c r="AH300" s="25"/>
      <c r="AI300" s="25"/>
      <c r="AN300" s="14"/>
      <c r="AV300" s="36"/>
      <c r="AW300" s="14"/>
      <c r="AX300" s="234"/>
      <c r="AY300" s="96"/>
      <c r="AZ300" s="14"/>
      <c r="BA300"/>
      <c r="BB300" s="93">
        <v>46262</v>
      </c>
      <c r="BC300">
        <v>2305</v>
      </c>
      <c r="BD300" s="56" t="s">
        <v>1018</v>
      </c>
      <c r="BE300" t="s">
        <v>1011</v>
      </c>
      <c r="BF300" t="s">
        <v>1012</v>
      </c>
      <c r="BG300" t="s">
        <v>364</v>
      </c>
      <c r="BH300" t="s">
        <v>1013</v>
      </c>
      <c r="BI300" t="s">
        <v>311</v>
      </c>
      <c r="BJ300" s="93">
        <v>45876</v>
      </c>
      <c r="BK300" s="93">
        <v>45876</v>
      </c>
      <c r="BL300" s="93">
        <v>45876</v>
      </c>
      <c r="BM300" s="93">
        <v>46606</v>
      </c>
      <c r="BN300" s="14">
        <v>1</v>
      </c>
      <c r="BO300" s="14">
        <v>10000000000</v>
      </c>
      <c r="BP300" s="56">
        <v>100</v>
      </c>
      <c r="BQ300" s="56">
        <v>0</v>
      </c>
      <c r="BR300" s="14">
        <v>10000000000</v>
      </c>
      <c r="BS300">
        <v>4.9863390000000001</v>
      </c>
      <c r="BT300" t="s">
        <v>1184</v>
      </c>
      <c r="BU300" s="25">
        <f>_xlfn.XLOOKUP(Dealps_MSB[[#This Row],[DEAL_ID]],Ref!V:V,Ref!X:X,0,0)</f>
        <v>0</v>
      </c>
      <c r="BV300"/>
    </row>
    <row r="301" spans="1:74" x14ac:dyDescent="0.3">
      <c r="A301" s="93">
        <v>46262</v>
      </c>
      <c r="B301">
        <v>3932</v>
      </c>
      <c r="C301" s="56" t="s">
        <v>1251</v>
      </c>
      <c r="D301" t="s">
        <v>316</v>
      </c>
      <c r="E301" t="s">
        <v>1152</v>
      </c>
      <c r="F301" t="s">
        <v>364</v>
      </c>
      <c r="G301" t="s">
        <v>310</v>
      </c>
      <c r="H301" t="s">
        <v>300</v>
      </c>
      <c r="I301" s="93">
        <v>46111</v>
      </c>
      <c r="J301" s="93">
        <v>46111</v>
      </c>
      <c r="K301" s="93">
        <v>46111</v>
      </c>
      <c r="L301" s="93">
        <v>46400</v>
      </c>
      <c r="M301" s="14">
        <v>1</v>
      </c>
      <c r="N301" s="14">
        <v>100000000000</v>
      </c>
      <c r="O301" s="56">
        <v>100.06437236399999</v>
      </c>
      <c r="P301" s="56">
        <v>0</v>
      </c>
      <c r="Q301" s="14">
        <v>101626016200</v>
      </c>
      <c r="R301">
        <v>7.3</v>
      </c>
      <c r="S301" t="s">
        <v>1184</v>
      </c>
      <c r="T301" s="57">
        <f>IF(Dealps[[#This Row],[MATURITY_DATE]]-Dealps[[#This Row],[POSTED_DT]]&lt;0,0,IF(Dealps[[#This Row],[VALUE_DATE]]-Dealps[[#This Row],[POSTED_DT]]&gt;0,Dealps[[#This Row],[MATURITY_DATE]]-Dealps[[#This Row],[VALUE_DATE]],Dealps[[#This Row],[MATURITY_DATE]]-Dealps[[#This Row],[POSTED_DT]]))</f>
        <v>138</v>
      </c>
      <c r="U301" s="25">
        <f>IF(Dealps[[#This Row],[TENOR]]=0,0,IF(Dealps[[#This Row],[DEAL_TYPE]]="B",Dealps[[#This Row],[FACE_AMOUNT]],-Dealps[[#This Row],[FACE_AMOUNT]]))</f>
        <v>100000000000</v>
      </c>
      <c r="V301" s="25">
        <f>_xlfn.XLOOKUP(Dealps[[#This Row],[PAPER_CODE]],FNRP!D:D,FNRP!H:H,0,0)/100*Dealps[[#This Row],[AMOUNT]]</f>
        <v>0</v>
      </c>
      <c r="W301" s="57" t="str">
        <f>IF(Dealps[[#This Row],[TRANSACTION_STATUS]]&lt;&gt;"V","Ngoai BS",IF(Dealps[[#This Row],[POSTED_DT]]&gt;=Dealps[[#This Row],[VALUE_DATE]],"On BS","Off BS"))</f>
        <v>On BS</v>
      </c>
      <c r="X301" s="25">
        <f>SUMIFS(U:U,C:C,Dealps[[#This Row],[PAPER_CODE]])</f>
        <v>0</v>
      </c>
      <c r="Y301" s="25">
        <f>_xlfn.XLOOKUP(Dealps[[#This Row],[DEAL_ID]],Ref!N:N,Ref!Q:Q,0,0)</f>
        <v>0</v>
      </c>
      <c r="Z301" s="25" t="str">
        <f>IF(Dealps[[#This Row],[CPTY_CODE]]=Dealps[[#This Row],[CPTY_CODE_ISSUER]],"Yes","No")</f>
        <v>No</v>
      </c>
      <c r="AA301" s="25"/>
      <c r="AC301" s="14"/>
      <c r="AG301" s="96"/>
      <c r="AH301" s="25"/>
      <c r="AI301" s="25"/>
      <c r="AN301" s="14"/>
      <c r="AV301" s="36"/>
      <c r="AW301" s="14"/>
      <c r="AX301" s="234"/>
      <c r="AY301" s="96"/>
      <c r="AZ301" s="14"/>
      <c r="BA301"/>
      <c r="BB301" s="93">
        <v>46262</v>
      </c>
      <c r="BC301">
        <v>2309</v>
      </c>
      <c r="BD301" s="56" t="s">
        <v>1018</v>
      </c>
      <c r="BE301" t="s">
        <v>1011</v>
      </c>
      <c r="BF301" t="s">
        <v>1012</v>
      </c>
      <c r="BG301" t="s">
        <v>364</v>
      </c>
      <c r="BH301" t="s">
        <v>1013</v>
      </c>
      <c r="BI301" t="s">
        <v>311</v>
      </c>
      <c r="BJ301" s="93">
        <v>45877</v>
      </c>
      <c r="BK301" s="93">
        <v>45877</v>
      </c>
      <c r="BL301" s="93">
        <v>45877</v>
      </c>
      <c r="BM301" s="93">
        <v>46606</v>
      </c>
      <c r="BN301" s="14">
        <v>1</v>
      </c>
      <c r="BO301" s="14">
        <v>10000000000</v>
      </c>
      <c r="BP301" s="56">
        <v>100</v>
      </c>
      <c r="BQ301" s="56">
        <v>0</v>
      </c>
      <c r="BR301" s="14">
        <v>10001369863</v>
      </c>
      <c r="BS301">
        <v>4.9856369999999997</v>
      </c>
      <c r="BT301" t="s">
        <v>1184</v>
      </c>
      <c r="BU301" s="25">
        <f>_xlfn.XLOOKUP(Dealps_MSB[[#This Row],[DEAL_ID]],Ref!V:V,Ref!X:X,0,0)</f>
        <v>0</v>
      </c>
      <c r="BV301"/>
    </row>
    <row r="302" spans="1:74" x14ac:dyDescent="0.3">
      <c r="A302" s="93">
        <v>46262</v>
      </c>
      <c r="B302">
        <v>3939</v>
      </c>
      <c r="C302" s="56" t="s">
        <v>1010</v>
      </c>
      <c r="D302" t="s">
        <v>328</v>
      </c>
      <c r="E302" t="s">
        <v>322</v>
      </c>
      <c r="F302" t="s">
        <v>364</v>
      </c>
      <c r="G302" t="s">
        <v>310</v>
      </c>
      <c r="H302" t="s">
        <v>300</v>
      </c>
      <c r="I302" s="93">
        <v>46112</v>
      </c>
      <c r="J302" s="93">
        <v>46104</v>
      </c>
      <c r="K302" s="93">
        <v>46112</v>
      </c>
      <c r="L302" s="93">
        <v>46329</v>
      </c>
      <c r="M302" s="14">
        <v>1</v>
      </c>
      <c r="N302" s="14">
        <v>300000000000</v>
      </c>
      <c r="O302" s="56">
        <v>99.915407725999998</v>
      </c>
      <c r="P302" s="56">
        <v>0</v>
      </c>
      <c r="Q302" s="14">
        <v>307358004000</v>
      </c>
      <c r="R302">
        <v>6.2880609999999999</v>
      </c>
      <c r="S302" t="s">
        <v>1184</v>
      </c>
      <c r="T302" s="57">
        <f>IF(Dealps[[#This Row],[MATURITY_DATE]]-Dealps[[#This Row],[POSTED_DT]]&lt;0,0,IF(Dealps[[#This Row],[VALUE_DATE]]-Dealps[[#This Row],[POSTED_DT]]&gt;0,Dealps[[#This Row],[MATURITY_DATE]]-Dealps[[#This Row],[VALUE_DATE]],Dealps[[#This Row],[MATURITY_DATE]]-Dealps[[#This Row],[POSTED_DT]]))</f>
        <v>67</v>
      </c>
      <c r="U302" s="25">
        <f>IF(Dealps[[#This Row],[TENOR]]=0,0,IF(Dealps[[#This Row],[DEAL_TYPE]]="B",Dealps[[#This Row],[FACE_AMOUNT]],-Dealps[[#This Row],[FACE_AMOUNT]]))</f>
        <v>300000000000</v>
      </c>
      <c r="V302" s="25">
        <f>_xlfn.XLOOKUP(Dealps[[#This Row],[PAPER_CODE]],FNRP!D:D,FNRP!H:H,0,0)/100*Dealps[[#This Row],[AMOUNT]]</f>
        <v>0</v>
      </c>
      <c r="W302" s="57" t="str">
        <f>IF(Dealps[[#This Row],[TRANSACTION_STATUS]]&lt;&gt;"V","Ngoai BS",IF(Dealps[[#This Row],[POSTED_DT]]&gt;=Dealps[[#This Row],[VALUE_DATE]],"On BS","Off BS"))</f>
        <v>On BS</v>
      </c>
      <c r="X302" s="25">
        <f>SUMIFS(U:U,C:C,Dealps[[#This Row],[PAPER_CODE]])</f>
        <v>2000000000000</v>
      </c>
      <c r="Y302" s="25">
        <f>_xlfn.XLOOKUP(Dealps[[#This Row],[DEAL_ID]],Ref!N:N,Ref!Q:Q,0,0)</f>
        <v>0</v>
      </c>
      <c r="Z302" s="25" t="str">
        <f>IF(Dealps[[#This Row],[CPTY_CODE]]=Dealps[[#This Row],[CPTY_CODE_ISSUER]],"Yes","No")</f>
        <v>No</v>
      </c>
      <c r="AA302" s="25"/>
      <c r="AC302" s="14"/>
      <c r="AG302" s="96"/>
      <c r="AH302" s="25"/>
      <c r="AI302" s="25"/>
      <c r="AN302" s="14"/>
      <c r="AV302" s="36"/>
      <c r="AW302" s="14"/>
      <c r="AX302" s="234"/>
      <c r="AY302" s="96"/>
      <c r="AZ302" s="14"/>
      <c r="BA302"/>
      <c r="BB302" s="93">
        <v>46262</v>
      </c>
      <c r="BC302">
        <v>2310</v>
      </c>
      <c r="BD302" s="56" t="s">
        <v>1018</v>
      </c>
      <c r="BE302" t="s">
        <v>1011</v>
      </c>
      <c r="BF302" t="s">
        <v>1012</v>
      </c>
      <c r="BG302" t="s">
        <v>364</v>
      </c>
      <c r="BH302" t="s">
        <v>1013</v>
      </c>
      <c r="BI302" t="s">
        <v>311</v>
      </c>
      <c r="BJ302" s="93">
        <v>45877</v>
      </c>
      <c r="BK302" s="93">
        <v>45877</v>
      </c>
      <c r="BL302" s="93">
        <v>45877</v>
      </c>
      <c r="BM302" s="93">
        <v>46606</v>
      </c>
      <c r="BN302" s="14">
        <v>1</v>
      </c>
      <c r="BO302" s="14">
        <v>10000000000</v>
      </c>
      <c r="BP302" s="56">
        <v>100</v>
      </c>
      <c r="BQ302" s="56">
        <v>0</v>
      </c>
      <c r="BR302" s="14">
        <v>10001369863</v>
      </c>
      <c r="BS302">
        <v>4.9856369999999997</v>
      </c>
      <c r="BT302" t="s">
        <v>1184</v>
      </c>
      <c r="BU302" s="25">
        <f>_xlfn.XLOOKUP(Dealps_MSB[[#This Row],[DEAL_ID]],Ref!V:V,Ref!X:X,0,0)</f>
        <v>0</v>
      </c>
      <c r="BV302"/>
    </row>
    <row r="303" spans="1:74" x14ac:dyDescent="0.3">
      <c r="A303" s="93">
        <v>46262</v>
      </c>
      <c r="B303">
        <v>3955</v>
      </c>
      <c r="C303" s="56" t="s">
        <v>963</v>
      </c>
      <c r="D303" t="s">
        <v>308</v>
      </c>
      <c r="E303" t="s">
        <v>1228</v>
      </c>
      <c r="F303" t="s">
        <v>364</v>
      </c>
      <c r="G303" t="s">
        <v>310</v>
      </c>
      <c r="H303" t="s">
        <v>300</v>
      </c>
      <c r="I303" s="93">
        <v>46114</v>
      </c>
      <c r="J303" s="93">
        <v>46114</v>
      </c>
      <c r="K303" s="93">
        <v>46114</v>
      </c>
      <c r="L303" s="93">
        <v>46295</v>
      </c>
      <c r="M303" s="14">
        <v>1</v>
      </c>
      <c r="N303" s="14">
        <v>100000000000</v>
      </c>
      <c r="O303" s="56">
        <v>101.06432563600001</v>
      </c>
      <c r="P303" s="56">
        <v>0</v>
      </c>
      <c r="Q303" s="14">
        <v>104122681800</v>
      </c>
      <c r="R303">
        <v>3.7971629999999998</v>
      </c>
      <c r="S303" t="s">
        <v>1184</v>
      </c>
      <c r="T303" s="57">
        <f>IF(Dealps[[#This Row],[MATURITY_DATE]]-Dealps[[#This Row],[POSTED_DT]]&lt;0,0,IF(Dealps[[#This Row],[VALUE_DATE]]-Dealps[[#This Row],[POSTED_DT]]&gt;0,Dealps[[#This Row],[MATURITY_DATE]]-Dealps[[#This Row],[VALUE_DATE]],Dealps[[#This Row],[MATURITY_DATE]]-Dealps[[#This Row],[POSTED_DT]]))</f>
        <v>33</v>
      </c>
      <c r="U303" s="25">
        <f>IF(Dealps[[#This Row],[TENOR]]=0,0,IF(Dealps[[#This Row],[DEAL_TYPE]]="B",Dealps[[#This Row],[FACE_AMOUNT]],-Dealps[[#This Row],[FACE_AMOUNT]]))</f>
        <v>100000000000</v>
      </c>
      <c r="V303" s="25">
        <f>_xlfn.XLOOKUP(Dealps[[#This Row],[PAPER_CODE]],FNRP!D:D,FNRP!H:H,0,0)/100*Dealps[[#This Row],[AMOUNT]]</f>
        <v>0</v>
      </c>
      <c r="W303" s="57" t="str">
        <f>IF(Dealps[[#This Row],[TRANSACTION_STATUS]]&lt;&gt;"V","Ngoai BS",IF(Dealps[[#This Row],[POSTED_DT]]&gt;=Dealps[[#This Row],[VALUE_DATE]],"On BS","Off BS"))</f>
        <v>On BS</v>
      </c>
      <c r="X303" s="25">
        <f>SUMIFS(U:U,C:C,Dealps[[#This Row],[PAPER_CODE]])</f>
        <v>400000000000</v>
      </c>
      <c r="Y303" s="25">
        <f>_xlfn.XLOOKUP(Dealps[[#This Row],[DEAL_ID]],Ref!N:N,Ref!Q:Q,0,0)</f>
        <v>0</v>
      </c>
      <c r="Z303" s="25" t="str">
        <f>IF(Dealps[[#This Row],[CPTY_CODE]]=Dealps[[#This Row],[CPTY_CODE_ISSUER]],"Yes","No")</f>
        <v>No</v>
      </c>
      <c r="AA303" s="25"/>
      <c r="AC303" s="14"/>
      <c r="AG303" s="96"/>
      <c r="AH303" s="25"/>
      <c r="AI303" s="25"/>
      <c r="AN303" s="14"/>
      <c r="AV303" s="36"/>
      <c r="AW303" s="14"/>
      <c r="AX303" s="234"/>
      <c r="AY303" s="96"/>
      <c r="AZ303" s="14"/>
      <c r="BA303"/>
      <c r="BB303" s="93">
        <v>46262</v>
      </c>
      <c r="BC303">
        <v>2313</v>
      </c>
      <c r="BD303" s="56" t="s">
        <v>1018</v>
      </c>
      <c r="BE303" t="s">
        <v>1011</v>
      </c>
      <c r="BF303" t="s">
        <v>1012</v>
      </c>
      <c r="BG303" t="s">
        <v>364</v>
      </c>
      <c r="BH303" t="s">
        <v>1013</v>
      </c>
      <c r="BI303" t="s">
        <v>311</v>
      </c>
      <c r="BJ303" s="93">
        <v>45877</v>
      </c>
      <c r="BK303" s="93">
        <v>45877</v>
      </c>
      <c r="BL303" s="93">
        <v>45877</v>
      </c>
      <c r="BM303" s="93">
        <v>46606</v>
      </c>
      <c r="BN303" s="14">
        <v>1</v>
      </c>
      <c r="BO303" s="14">
        <v>10000000000</v>
      </c>
      <c r="BP303" s="56">
        <v>100</v>
      </c>
      <c r="BQ303" s="56">
        <v>0</v>
      </c>
      <c r="BR303" s="14">
        <v>10001369863</v>
      </c>
      <c r="BS303">
        <v>4.9856369999999997</v>
      </c>
      <c r="BT303" t="s">
        <v>1184</v>
      </c>
      <c r="BU303" s="25">
        <f>_xlfn.XLOOKUP(Dealps_MSB[[#This Row],[DEAL_ID]],Ref!V:V,Ref!X:X,0,0)</f>
        <v>0</v>
      </c>
      <c r="BV303"/>
    </row>
    <row r="304" spans="1:74" x14ac:dyDescent="0.3">
      <c r="A304" s="93">
        <v>46262</v>
      </c>
      <c r="B304">
        <v>3956</v>
      </c>
      <c r="C304" s="56" t="s">
        <v>1061</v>
      </c>
      <c r="D304" t="s">
        <v>312</v>
      </c>
      <c r="E304" t="s">
        <v>636</v>
      </c>
      <c r="F304" t="s">
        <v>364</v>
      </c>
      <c r="G304" t="s">
        <v>310</v>
      </c>
      <c r="H304" t="s">
        <v>311</v>
      </c>
      <c r="I304" s="93">
        <v>46114</v>
      </c>
      <c r="J304" s="93">
        <v>46114</v>
      </c>
      <c r="K304" s="93">
        <v>46115</v>
      </c>
      <c r="L304" s="93">
        <v>46343</v>
      </c>
      <c r="M304" s="14">
        <v>1</v>
      </c>
      <c r="N304" s="14">
        <v>300000000000</v>
      </c>
      <c r="O304" s="56">
        <v>101.02946144000001</v>
      </c>
      <c r="P304" s="56">
        <v>0</v>
      </c>
      <c r="Q304" s="14">
        <v>310130576100</v>
      </c>
      <c r="R304">
        <v>4.5</v>
      </c>
      <c r="S304" t="s">
        <v>1184</v>
      </c>
      <c r="T304" s="57">
        <f>IF(Dealps[[#This Row],[MATURITY_DATE]]-Dealps[[#This Row],[POSTED_DT]]&lt;0,0,IF(Dealps[[#This Row],[VALUE_DATE]]-Dealps[[#This Row],[POSTED_DT]]&gt;0,Dealps[[#This Row],[MATURITY_DATE]]-Dealps[[#This Row],[VALUE_DATE]],Dealps[[#This Row],[MATURITY_DATE]]-Dealps[[#This Row],[POSTED_DT]]))</f>
        <v>81</v>
      </c>
      <c r="U304" s="25">
        <f>IF(Dealps[[#This Row],[TENOR]]=0,0,IF(Dealps[[#This Row],[DEAL_TYPE]]="B",Dealps[[#This Row],[FACE_AMOUNT]],-Dealps[[#This Row],[FACE_AMOUNT]]))</f>
        <v>-300000000000</v>
      </c>
      <c r="V304" s="25">
        <f>_xlfn.XLOOKUP(Dealps[[#This Row],[PAPER_CODE]],FNRP!D:D,FNRP!H:H,0,0)/100*Dealps[[#This Row],[AMOUNT]]</f>
        <v>0</v>
      </c>
      <c r="W304" s="57" t="str">
        <f>IF(Dealps[[#This Row],[TRANSACTION_STATUS]]&lt;&gt;"V","Ngoai BS",IF(Dealps[[#This Row],[POSTED_DT]]&gt;=Dealps[[#This Row],[VALUE_DATE]],"On BS","Off BS"))</f>
        <v>On BS</v>
      </c>
      <c r="X304" s="25">
        <f>SUMIFS(U:U,C:C,Dealps[[#This Row],[PAPER_CODE]])</f>
        <v>1500000000000</v>
      </c>
      <c r="Y304" s="25">
        <f>_xlfn.XLOOKUP(Dealps[[#This Row],[DEAL_ID]],Ref!N:N,Ref!Q:Q,0,0)</f>
        <v>0</v>
      </c>
      <c r="Z304" s="25" t="str">
        <f>IF(Dealps[[#This Row],[CPTY_CODE]]=Dealps[[#This Row],[CPTY_CODE_ISSUER]],"Yes","No")</f>
        <v>No</v>
      </c>
      <c r="AA304" s="25"/>
      <c r="AC304" s="14"/>
      <c r="AG304" s="96"/>
      <c r="AH304" s="25"/>
      <c r="AI304" s="25"/>
      <c r="AN304" s="14"/>
      <c r="AV304" s="36"/>
      <c r="AW304" s="14"/>
      <c r="AX304" s="234"/>
      <c r="AY304" s="96"/>
      <c r="AZ304" s="14"/>
      <c r="BA304"/>
      <c r="BB304" s="93">
        <v>46262</v>
      </c>
      <c r="BC304">
        <v>2314</v>
      </c>
      <c r="BD304" s="56" t="s">
        <v>1018</v>
      </c>
      <c r="BE304" t="s">
        <v>1011</v>
      </c>
      <c r="BF304" t="s">
        <v>1012</v>
      </c>
      <c r="BG304" t="s">
        <v>364</v>
      </c>
      <c r="BH304" t="s">
        <v>1013</v>
      </c>
      <c r="BI304" t="s">
        <v>311</v>
      </c>
      <c r="BJ304" s="93">
        <v>45877</v>
      </c>
      <c r="BK304" s="93">
        <v>45877</v>
      </c>
      <c r="BL304" s="93">
        <v>45877</v>
      </c>
      <c r="BM304" s="93">
        <v>46606</v>
      </c>
      <c r="BN304" s="14">
        <v>1</v>
      </c>
      <c r="BO304" s="14">
        <v>10000000000</v>
      </c>
      <c r="BP304" s="56">
        <v>100</v>
      </c>
      <c r="BQ304" s="56">
        <v>0</v>
      </c>
      <c r="BR304" s="14">
        <v>10001369863</v>
      </c>
      <c r="BS304">
        <v>4.9856369999999997</v>
      </c>
      <c r="BT304" t="s">
        <v>1184</v>
      </c>
      <c r="BU304" s="25">
        <f>_xlfn.XLOOKUP(Dealps_MSB[[#This Row],[DEAL_ID]],Ref!V:V,Ref!X:X,0,0)</f>
        <v>0</v>
      </c>
      <c r="BV304"/>
    </row>
    <row r="305" spans="1:74" x14ac:dyDescent="0.3">
      <c r="A305" s="93">
        <v>46262</v>
      </c>
      <c r="B305">
        <v>3959</v>
      </c>
      <c r="C305" s="56" t="s">
        <v>1158</v>
      </c>
      <c r="D305" t="s">
        <v>327</v>
      </c>
      <c r="E305" t="s">
        <v>345</v>
      </c>
      <c r="F305" t="s">
        <v>364</v>
      </c>
      <c r="G305" t="s">
        <v>310</v>
      </c>
      <c r="H305" t="s">
        <v>300</v>
      </c>
      <c r="I305" s="93">
        <v>46115</v>
      </c>
      <c r="J305" s="93">
        <v>46115</v>
      </c>
      <c r="K305" s="93">
        <v>46115</v>
      </c>
      <c r="L305" s="93">
        <v>46409</v>
      </c>
      <c r="M305" s="14">
        <v>1</v>
      </c>
      <c r="N305" s="14">
        <v>500000000000</v>
      </c>
      <c r="O305" s="56">
        <v>100.722909462</v>
      </c>
      <c r="P305" s="56">
        <v>0</v>
      </c>
      <c r="Q305" s="14">
        <v>510518656901.00006</v>
      </c>
      <c r="R305">
        <v>6.1726539999999996</v>
      </c>
      <c r="S305" t="s">
        <v>1184</v>
      </c>
      <c r="T305" s="57">
        <f>IF(Dealps[[#This Row],[MATURITY_DATE]]-Dealps[[#This Row],[POSTED_DT]]&lt;0,0,IF(Dealps[[#This Row],[VALUE_DATE]]-Dealps[[#This Row],[POSTED_DT]]&gt;0,Dealps[[#This Row],[MATURITY_DATE]]-Dealps[[#This Row],[VALUE_DATE]],Dealps[[#This Row],[MATURITY_DATE]]-Dealps[[#This Row],[POSTED_DT]]))</f>
        <v>147</v>
      </c>
      <c r="U305" s="25">
        <f>IF(Dealps[[#This Row],[TENOR]]=0,0,IF(Dealps[[#This Row],[DEAL_TYPE]]="B",Dealps[[#This Row],[FACE_AMOUNT]],-Dealps[[#This Row],[FACE_AMOUNT]]))</f>
        <v>500000000000</v>
      </c>
      <c r="V305" s="25">
        <f>_xlfn.XLOOKUP(Dealps[[#This Row],[PAPER_CODE]],FNRP!D:D,FNRP!H:H,0,0)/100*Dealps[[#This Row],[AMOUNT]]</f>
        <v>0</v>
      </c>
      <c r="W305" s="57" t="str">
        <f>IF(Dealps[[#This Row],[TRANSACTION_STATUS]]&lt;&gt;"V","Ngoai BS",IF(Dealps[[#This Row],[POSTED_DT]]&gt;=Dealps[[#This Row],[VALUE_DATE]],"On BS","Off BS"))</f>
        <v>On BS</v>
      </c>
      <c r="X305" s="25">
        <f>SUMIFS(U:U,C:C,Dealps[[#This Row],[PAPER_CODE]])</f>
        <v>2000000000000</v>
      </c>
      <c r="Y305" s="25">
        <f>_xlfn.XLOOKUP(Dealps[[#This Row],[DEAL_ID]],Ref!N:N,Ref!Q:Q,0,0)</f>
        <v>0</v>
      </c>
      <c r="Z305" s="25" t="str">
        <f>IF(Dealps[[#This Row],[CPTY_CODE]]=Dealps[[#This Row],[CPTY_CODE_ISSUER]],"Yes","No")</f>
        <v>No</v>
      </c>
      <c r="AA305" s="25"/>
      <c r="AC305" s="14"/>
      <c r="AG305" s="96"/>
      <c r="AH305" s="25"/>
      <c r="AI305" s="25"/>
      <c r="AN305" s="14"/>
      <c r="AV305" s="36"/>
      <c r="AW305" s="14"/>
      <c r="AX305" s="234"/>
      <c r="AY305" s="96"/>
      <c r="AZ305" s="14"/>
      <c r="BA305"/>
      <c r="BB305" s="93">
        <v>46262</v>
      </c>
      <c r="BC305">
        <v>2315</v>
      </c>
      <c r="BD305" s="56" t="s">
        <v>1018</v>
      </c>
      <c r="BE305" t="s">
        <v>1011</v>
      </c>
      <c r="BF305" t="s">
        <v>1012</v>
      </c>
      <c r="BG305" t="s">
        <v>364</v>
      </c>
      <c r="BH305" t="s">
        <v>1013</v>
      </c>
      <c r="BI305" t="s">
        <v>311</v>
      </c>
      <c r="BJ305" s="93">
        <v>45877</v>
      </c>
      <c r="BK305" s="93">
        <v>45877</v>
      </c>
      <c r="BL305" s="93">
        <v>45877</v>
      </c>
      <c r="BM305" s="93">
        <v>46606</v>
      </c>
      <c r="BN305" s="14">
        <v>1</v>
      </c>
      <c r="BO305" s="14">
        <v>10000000000</v>
      </c>
      <c r="BP305" s="56">
        <v>100</v>
      </c>
      <c r="BQ305" s="56">
        <v>0</v>
      </c>
      <c r="BR305" s="14">
        <v>10001369863</v>
      </c>
      <c r="BS305">
        <v>4.9856369999999997</v>
      </c>
      <c r="BT305" t="s">
        <v>1184</v>
      </c>
      <c r="BU305" s="25">
        <f>_xlfn.XLOOKUP(Dealps_MSB[[#This Row],[DEAL_ID]],Ref!V:V,Ref!X:X,0,0)</f>
        <v>0</v>
      </c>
      <c r="BV305"/>
    </row>
    <row r="306" spans="1:74" x14ac:dyDescent="0.3">
      <c r="A306" s="93">
        <v>46262</v>
      </c>
      <c r="B306">
        <v>3960</v>
      </c>
      <c r="C306" s="56" t="s">
        <v>1061</v>
      </c>
      <c r="D306" t="s">
        <v>312</v>
      </c>
      <c r="E306" t="s">
        <v>474</v>
      </c>
      <c r="F306" t="s">
        <v>364</v>
      </c>
      <c r="G306" t="s">
        <v>310</v>
      </c>
      <c r="H306" t="s">
        <v>311</v>
      </c>
      <c r="I306" s="93">
        <v>46115</v>
      </c>
      <c r="J306" s="93">
        <v>46115</v>
      </c>
      <c r="K306" s="93">
        <v>46118</v>
      </c>
      <c r="L306" s="93">
        <v>46343</v>
      </c>
      <c r="M306" s="14">
        <v>1</v>
      </c>
      <c r="N306" s="14">
        <v>118000000000</v>
      </c>
      <c r="O306" s="56">
        <v>100.00000001799999</v>
      </c>
      <c r="P306" s="56">
        <v>0</v>
      </c>
      <c r="Q306" s="14">
        <v>120831030158</v>
      </c>
      <c r="R306">
        <v>6.152393</v>
      </c>
      <c r="S306" t="s">
        <v>1184</v>
      </c>
      <c r="T306" s="57">
        <f>IF(Dealps[[#This Row],[MATURITY_DATE]]-Dealps[[#This Row],[POSTED_DT]]&lt;0,0,IF(Dealps[[#This Row],[VALUE_DATE]]-Dealps[[#This Row],[POSTED_DT]]&gt;0,Dealps[[#This Row],[MATURITY_DATE]]-Dealps[[#This Row],[VALUE_DATE]],Dealps[[#This Row],[MATURITY_DATE]]-Dealps[[#This Row],[POSTED_DT]]))</f>
        <v>81</v>
      </c>
      <c r="U306" s="25">
        <f>IF(Dealps[[#This Row],[TENOR]]=0,0,IF(Dealps[[#This Row],[DEAL_TYPE]]="B",Dealps[[#This Row],[FACE_AMOUNT]],-Dealps[[#This Row],[FACE_AMOUNT]]))</f>
        <v>-118000000000</v>
      </c>
      <c r="V306" s="25">
        <f>_xlfn.XLOOKUP(Dealps[[#This Row],[PAPER_CODE]],FNRP!D:D,FNRP!H:H,0,0)/100*Dealps[[#This Row],[AMOUNT]]</f>
        <v>0</v>
      </c>
      <c r="W306" s="57" t="str">
        <f>IF(Dealps[[#This Row],[TRANSACTION_STATUS]]&lt;&gt;"V","Ngoai BS",IF(Dealps[[#This Row],[POSTED_DT]]&gt;=Dealps[[#This Row],[VALUE_DATE]],"On BS","Off BS"))</f>
        <v>On BS</v>
      </c>
      <c r="X306" s="25">
        <f>SUMIFS(U:U,C:C,Dealps[[#This Row],[PAPER_CODE]])</f>
        <v>1500000000000</v>
      </c>
      <c r="Y306" s="25">
        <f>_xlfn.XLOOKUP(Dealps[[#This Row],[DEAL_ID]],Ref!N:N,Ref!Q:Q,0,0)</f>
        <v>0</v>
      </c>
      <c r="Z306" s="25" t="str">
        <f>IF(Dealps[[#This Row],[CPTY_CODE]]=Dealps[[#This Row],[CPTY_CODE_ISSUER]],"Yes","No")</f>
        <v>No</v>
      </c>
      <c r="AA306" s="25"/>
      <c r="AC306" s="14"/>
      <c r="AG306" s="96"/>
      <c r="AH306" s="25"/>
      <c r="AI306" s="25"/>
      <c r="AN306" s="14"/>
      <c r="AV306" s="36"/>
      <c r="AW306" s="14"/>
      <c r="AX306" s="234"/>
      <c r="AY306" s="96"/>
      <c r="AZ306" s="14"/>
      <c r="BA306"/>
      <c r="BB306" s="93">
        <v>46262</v>
      </c>
      <c r="BC306">
        <v>2316</v>
      </c>
      <c r="BD306" s="56" t="s">
        <v>1019</v>
      </c>
      <c r="BE306" t="s">
        <v>1011</v>
      </c>
      <c r="BF306" t="s">
        <v>1012</v>
      </c>
      <c r="BG306" t="s">
        <v>364</v>
      </c>
      <c r="BH306" t="s">
        <v>1013</v>
      </c>
      <c r="BI306" t="s">
        <v>311</v>
      </c>
      <c r="BJ306" s="93">
        <v>45877</v>
      </c>
      <c r="BK306" s="93">
        <v>45877</v>
      </c>
      <c r="BL306" s="93">
        <v>45877</v>
      </c>
      <c r="BM306" s="93">
        <v>46606</v>
      </c>
      <c r="BN306" s="14">
        <v>1</v>
      </c>
      <c r="BO306" s="14">
        <v>10000000000</v>
      </c>
      <c r="BP306" s="56">
        <v>100</v>
      </c>
      <c r="BQ306" s="56">
        <v>0</v>
      </c>
      <c r="BR306" s="14">
        <v>10001589041</v>
      </c>
      <c r="BS306">
        <v>5.7832119999999998</v>
      </c>
      <c r="BT306" t="s">
        <v>1184</v>
      </c>
      <c r="BU306" s="25">
        <f>_xlfn.XLOOKUP(Dealps_MSB[[#This Row],[DEAL_ID]],Ref!V:V,Ref!X:X,0,0)</f>
        <v>0</v>
      </c>
      <c r="BV306"/>
    </row>
    <row r="307" spans="1:74" x14ac:dyDescent="0.3">
      <c r="A307" s="93">
        <v>46262</v>
      </c>
      <c r="B307">
        <v>3966</v>
      </c>
      <c r="C307" s="56" t="s">
        <v>1207</v>
      </c>
      <c r="D307" t="s">
        <v>384</v>
      </c>
      <c r="E307" t="s">
        <v>1254</v>
      </c>
      <c r="F307" t="s">
        <v>364</v>
      </c>
      <c r="G307" t="s">
        <v>310</v>
      </c>
      <c r="H307" t="s">
        <v>311</v>
      </c>
      <c r="I307" s="93">
        <v>46115</v>
      </c>
      <c r="J307" s="93">
        <v>46115</v>
      </c>
      <c r="K307" s="93">
        <v>46118</v>
      </c>
      <c r="L307" s="93">
        <v>46419</v>
      </c>
      <c r="M307" s="14">
        <v>1</v>
      </c>
      <c r="N307" s="14">
        <v>49000000000</v>
      </c>
      <c r="O307" s="56">
        <v>99.913185048000003</v>
      </c>
      <c r="P307" s="56">
        <v>0</v>
      </c>
      <c r="Q307" s="14">
        <v>49548145605</v>
      </c>
      <c r="R307">
        <v>8.015606</v>
      </c>
      <c r="S307" t="s">
        <v>1184</v>
      </c>
      <c r="T307" s="57">
        <f>IF(Dealps[[#This Row],[MATURITY_DATE]]-Dealps[[#This Row],[POSTED_DT]]&lt;0,0,IF(Dealps[[#This Row],[VALUE_DATE]]-Dealps[[#This Row],[POSTED_DT]]&gt;0,Dealps[[#This Row],[MATURITY_DATE]]-Dealps[[#This Row],[VALUE_DATE]],Dealps[[#This Row],[MATURITY_DATE]]-Dealps[[#This Row],[POSTED_DT]]))</f>
        <v>157</v>
      </c>
      <c r="U307" s="25">
        <f>IF(Dealps[[#This Row],[TENOR]]=0,0,IF(Dealps[[#This Row],[DEAL_TYPE]]="B",Dealps[[#This Row],[FACE_AMOUNT]],-Dealps[[#This Row],[FACE_AMOUNT]]))</f>
        <v>-49000000000</v>
      </c>
      <c r="V307" s="25">
        <f>_xlfn.XLOOKUP(Dealps[[#This Row],[PAPER_CODE]],FNRP!D:D,FNRP!H:H,0,0)/100*Dealps[[#This Row],[AMOUNT]]</f>
        <v>0</v>
      </c>
      <c r="W307" s="57" t="str">
        <f>IF(Dealps[[#This Row],[TRANSACTION_STATUS]]&lt;&gt;"V","Ngoai BS",IF(Dealps[[#This Row],[POSTED_DT]]&gt;=Dealps[[#This Row],[VALUE_DATE]],"On BS","Off BS"))</f>
        <v>On BS</v>
      </c>
      <c r="X307" s="25">
        <f>SUMIFS(U:U,C:C,Dealps[[#This Row],[PAPER_CODE]])</f>
        <v>200000000000</v>
      </c>
      <c r="Y307" s="25">
        <f>_xlfn.XLOOKUP(Dealps[[#This Row],[DEAL_ID]],Ref!N:N,Ref!Q:Q,0,0)</f>
        <v>0</v>
      </c>
      <c r="Z307" s="25" t="str">
        <f>IF(Dealps[[#This Row],[CPTY_CODE]]=Dealps[[#This Row],[CPTY_CODE_ISSUER]],"Yes","No")</f>
        <v>No</v>
      </c>
      <c r="AA307" s="25"/>
      <c r="AC307" s="14"/>
      <c r="AG307" s="96"/>
      <c r="AH307" s="25"/>
      <c r="AI307" s="25"/>
      <c r="AN307" s="14"/>
      <c r="AV307" s="36"/>
      <c r="AW307" s="14"/>
      <c r="AX307" s="234"/>
      <c r="AY307" s="96"/>
      <c r="AZ307" s="14"/>
      <c r="BA307"/>
      <c r="BB307" s="93">
        <v>46262</v>
      </c>
      <c r="BC307">
        <v>2330</v>
      </c>
      <c r="BD307" s="56" t="s">
        <v>1019</v>
      </c>
      <c r="BE307" t="s">
        <v>1011</v>
      </c>
      <c r="BF307" t="s">
        <v>1012</v>
      </c>
      <c r="BG307" t="s">
        <v>364</v>
      </c>
      <c r="BH307" t="s">
        <v>1013</v>
      </c>
      <c r="BI307" t="s">
        <v>311</v>
      </c>
      <c r="BJ307" s="93">
        <v>45880</v>
      </c>
      <c r="BK307" s="93">
        <v>45880</v>
      </c>
      <c r="BL307" s="93">
        <v>45880</v>
      </c>
      <c r="BM307" s="93">
        <v>46606</v>
      </c>
      <c r="BN307" s="14">
        <v>1</v>
      </c>
      <c r="BO307" s="14">
        <v>10000000000</v>
      </c>
      <c r="BP307" s="56">
        <v>100</v>
      </c>
      <c r="BQ307" s="56">
        <v>0</v>
      </c>
      <c r="BR307" s="14">
        <v>10006356164</v>
      </c>
      <c r="BS307">
        <v>5.780392</v>
      </c>
      <c r="BT307" t="s">
        <v>1184</v>
      </c>
      <c r="BU307" s="25">
        <f>_xlfn.XLOOKUP(Dealps_MSB[[#This Row],[DEAL_ID]],Ref!V:V,Ref!X:X,0,0)</f>
        <v>0</v>
      </c>
      <c r="BV307"/>
    </row>
    <row r="308" spans="1:74" x14ac:dyDescent="0.3">
      <c r="A308" s="93">
        <v>46262</v>
      </c>
      <c r="B308">
        <v>3967</v>
      </c>
      <c r="C308" s="56" t="s">
        <v>1207</v>
      </c>
      <c r="D308" t="s">
        <v>384</v>
      </c>
      <c r="E308" t="s">
        <v>1254</v>
      </c>
      <c r="F308" t="s">
        <v>364</v>
      </c>
      <c r="G308" t="s">
        <v>310</v>
      </c>
      <c r="H308" t="s">
        <v>311</v>
      </c>
      <c r="I308" s="93">
        <v>46115</v>
      </c>
      <c r="J308" s="93">
        <v>46115</v>
      </c>
      <c r="K308" s="93">
        <v>46120</v>
      </c>
      <c r="L308" s="93">
        <v>46419</v>
      </c>
      <c r="M308" s="14">
        <v>1</v>
      </c>
      <c r="N308" s="14">
        <v>49000000000</v>
      </c>
      <c r="O308" s="56">
        <v>99.911030331999996</v>
      </c>
      <c r="P308" s="56">
        <v>0</v>
      </c>
      <c r="Q308" s="14">
        <v>49568569246</v>
      </c>
      <c r="R308">
        <v>8.0155999999999992</v>
      </c>
      <c r="S308" t="s">
        <v>1184</v>
      </c>
      <c r="T308" s="57">
        <f>IF(Dealps[[#This Row],[MATURITY_DATE]]-Dealps[[#This Row],[POSTED_DT]]&lt;0,0,IF(Dealps[[#This Row],[VALUE_DATE]]-Dealps[[#This Row],[POSTED_DT]]&gt;0,Dealps[[#This Row],[MATURITY_DATE]]-Dealps[[#This Row],[VALUE_DATE]],Dealps[[#This Row],[MATURITY_DATE]]-Dealps[[#This Row],[POSTED_DT]]))</f>
        <v>157</v>
      </c>
      <c r="U308" s="25">
        <f>IF(Dealps[[#This Row],[TENOR]]=0,0,IF(Dealps[[#This Row],[DEAL_TYPE]]="B",Dealps[[#This Row],[FACE_AMOUNT]],-Dealps[[#This Row],[FACE_AMOUNT]]))</f>
        <v>-49000000000</v>
      </c>
      <c r="V308" s="25">
        <f>_xlfn.XLOOKUP(Dealps[[#This Row],[PAPER_CODE]],FNRP!D:D,FNRP!H:H,0,0)/100*Dealps[[#This Row],[AMOUNT]]</f>
        <v>0</v>
      </c>
      <c r="W308" s="57" t="str">
        <f>IF(Dealps[[#This Row],[TRANSACTION_STATUS]]&lt;&gt;"V","Ngoai BS",IF(Dealps[[#This Row],[POSTED_DT]]&gt;=Dealps[[#This Row],[VALUE_DATE]],"On BS","Off BS"))</f>
        <v>On BS</v>
      </c>
      <c r="X308" s="25">
        <f>SUMIFS(U:U,C:C,Dealps[[#This Row],[PAPER_CODE]])</f>
        <v>200000000000</v>
      </c>
      <c r="Y308" s="25">
        <f>_xlfn.XLOOKUP(Dealps[[#This Row],[DEAL_ID]],Ref!N:N,Ref!Q:Q,0,0)</f>
        <v>0</v>
      </c>
      <c r="Z308" s="25" t="str">
        <f>IF(Dealps[[#This Row],[CPTY_CODE]]=Dealps[[#This Row],[CPTY_CODE_ISSUER]],"Yes","No")</f>
        <v>No</v>
      </c>
      <c r="AA308" s="25"/>
      <c r="AC308" s="14"/>
      <c r="AG308" s="96"/>
      <c r="AH308" s="25"/>
      <c r="AI308" s="25"/>
      <c r="AN308" s="14"/>
      <c r="AV308" s="36"/>
      <c r="AW308" s="14"/>
      <c r="AX308" s="234"/>
      <c r="AY308" s="96"/>
      <c r="AZ308" s="14"/>
      <c r="BA308"/>
      <c r="BB308" s="93">
        <v>46262</v>
      </c>
      <c r="BC308">
        <v>2342</v>
      </c>
      <c r="BD308" s="56" t="s">
        <v>1019</v>
      </c>
      <c r="BE308" t="s">
        <v>1011</v>
      </c>
      <c r="BF308" t="s">
        <v>1012</v>
      </c>
      <c r="BG308" t="s">
        <v>364</v>
      </c>
      <c r="BH308" t="s">
        <v>1013</v>
      </c>
      <c r="BI308" t="s">
        <v>311</v>
      </c>
      <c r="BJ308" s="93">
        <v>45881</v>
      </c>
      <c r="BK308" s="93">
        <v>45881</v>
      </c>
      <c r="BL308" s="93">
        <v>45881</v>
      </c>
      <c r="BM308" s="93">
        <v>46606</v>
      </c>
      <c r="BN308" s="14">
        <v>1</v>
      </c>
      <c r="BO308" s="14">
        <v>10000000000</v>
      </c>
      <c r="BP308" s="56">
        <v>100</v>
      </c>
      <c r="BQ308" s="56">
        <v>0</v>
      </c>
      <c r="BR308" s="14">
        <v>10007945206</v>
      </c>
      <c r="BS308">
        <v>5.779452</v>
      </c>
      <c r="BT308" t="s">
        <v>1184</v>
      </c>
      <c r="BU308" s="25">
        <f>_xlfn.XLOOKUP(Dealps_MSB[[#This Row],[DEAL_ID]],Ref!V:V,Ref!X:X,0,0)</f>
        <v>0</v>
      </c>
      <c r="BV308"/>
    </row>
    <row r="309" spans="1:74" x14ac:dyDescent="0.3">
      <c r="A309" s="93">
        <v>46262</v>
      </c>
      <c r="B309">
        <v>3979</v>
      </c>
      <c r="C309" s="56" t="s">
        <v>1251</v>
      </c>
      <c r="D309" t="s">
        <v>316</v>
      </c>
      <c r="E309" t="s">
        <v>1152</v>
      </c>
      <c r="F309" t="s">
        <v>364</v>
      </c>
      <c r="G309" t="s">
        <v>310</v>
      </c>
      <c r="H309" t="s">
        <v>311</v>
      </c>
      <c r="I309" s="93">
        <v>46118</v>
      </c>
      <c r="J309" s="93">
        <v>46118</v>
      </c>
      <c r="K309" s="93">
        <v>46118</v>
      </c>
      <c r="L309" s="93">
        <v>46400</v>
      </c>
      <c r="M309" s="14">
        <v>1</v>
      </c>
      <c r="N309" s="14">
        <v>100000000000</v>
      </c>
      <c r="O309" s="56">
        <v>100.095946048</v>
      </c>
      <c r="P309" s="56">
        <v>0</v>
      </c>
      <c r="Q309" s="14">
        <v>101801425500.00002</v>
      </c>
      <c r="R309">
        <v>7.2452959999999997</v>
      </c>
      <c r="S309" t="s">
        <v>1184</v>
      </c>
      <c r="T309" s="57">
        <f>IF(Dealps[[#This Row],[MATURITY_DATE]]-Dealps[[#This Row],[POSTED_DT]]&lt;0,0,IF(Dealps[[#This Row],[VALUE_DATE]]-Dealps[[#This Row],[POSTED_DT]]&gt;0,Dealps[[#This Row],[MATURITY_DATE]]-Dealps[[#This Row],[VALUE_DATE]],Dealps[[#This Row],[MATURITY_DATE]]-Dealps[[#This Row],[POSTED_DT]]))</f>
        <v>138</v>
      </c>
      <c r="U309" s="25">
        <f>IF(Dealps[[#This Row],[TENOR]]=0,0,IF(Dealps[[#This Row],[DEAL_TYPE]]="B",Dealps[[#This Row],[FACE_AMOUNT]],-Dealps[[#This Row],[FACE_AMOUNT]]))</f>
        <v>-100000000000</v>
      </c>
      <c r="V309" s="25">
        <f>_xlfn.XLOOKUP(Dealps[[#This Row],[PAPER_CODE]],FNRP!D:D,FNRP!H:H,0,0)/100*Dealps[[#This Row],[AMOUNT]]</f>
        <v>0</v>
      </c>
      <c r="W309" s="57" t="str">
        <f>IF(Dealps[[#This Row],[TRANSACTION_STATUS]]&lt;&gt;"V","Ngoai BS",IF(Dealps[[#This Row],[POSTED_DT]]&gt;=Dealps[[#This Row],[VALUE_DATE]],"On BS","Off BS"))</f>
        <v>On BS</v>
      </c>
      <c r="X309" s="25">
        <f>SUMIFS(U:U,C:C,Dealps[[#This Row],[PAPER_CODE]])</f>
        <v>0</v>
      </c>
      <c r="Y309" s="25">
        <f>_xlfn.XLOOKUP(Dealps[[#This Row],[DEAL_ID]],Ref!N:N,Ref!Q:Q,0,0)</f>
        <v>0</v>
      </c>
      <c r="Z309" s="25" t="str">
        <f>IF(Dealps[[#This Row],[CPTY_CODE]]=Dealps[[#This Row],[CPTY_CODE_ISSUER]],"Yes","No")</f>
        <v>No</v>
      </c>
      <c r="AA309" s="25"/>
      <c r="AC309" s="14"/>
      <c r="AG309" s="96"/>
      <c r="AH309" s="25"/>
      <c r="AI309" s="25"/>
      <c r="AN309" s="14"/>
      <c r="AV309" s="36"/>
      <c r="AW309" s="14"/>
      <c r="AX309" s="234"/>
      <c r="AY309" s="96"/>
      <c r="AZ309" s="14"/>
      <c r="BA309"/>
      <c r="BB309" s="93">
        <v>46262</v>
      </c>
      <c r="BC309">
        <v>2347</v>
      </c>
      <c r="BD309" s="56" t="s">
        <v>1018</v>
      </c>
      <c r="BE309" t="s">
        <v>1011</v>
      </c>
      <c r="BF309" t="s">
        <v>1012</v>
      </c>
      <c r="BG309" t="s">
        <v>364</v>
      </c>
      <c r="BH309" t="s">
        <v>1013</v>
      </c>
      <c r="BI309" t="s">
        <v>311</v>
      </c>
      <c r="BJ309" s="93">
        <v>45882</v>
      </c>
      <c r="BK309" s="93">
        <v>45882</v>
      </c>
      <c r="BL309" s="93">
        <v>45882</v>
      </c>
      <c r="BM309" s="93">
        <v>46606</v>
      </c>
      <c r="BN309" s="14">
        <v>1</v>
      </c>
      <c r="BO309" s="14">
        <v>10000000000</v>
      </c>
      <c r="BP309" s="56">
        <v>100</v>
      </c>
      <c r="BQ309" s="56">
        <v>0</v>
      </c>
      <c r="BR309" s="14">
        <v>10008219178</v>
      </c>
      <c r="BS309">
        <v>4.9821309999999999</v>
      </c>
      <c r="BT309" t="s">
        <v>1184</v>
      </c>
      <c r="BU309" s="25">
        <f>_xlfn.XLOOKUP(Dealps_MSB[[#This Row],[DEAL_ID]],Ref!V:V,Ref!X:X,0,0)</f>
        <v>0</v>
      </c>
      <c r="BV309"/>
    </row>
    <row r="310" spans="1:74" x14ac:dyDescent="0.3">
      <c r="A310" s="93">
        <v>46262</v>
      </c>
      <c r="B310">
        <v>3983</v>
      </c>
      <c r="C310" s="56" t="s">
        <v>1204</v>
      </c>
      <c r="D310" t="s">
        <v>315</v>
      </c>
      <c r="E310" t="s">
        <v>384</v>
      </c>
      <c r="F310" t="s">
        <v>364</v>
      </c>
      <c r="G310" t="s">
        <v>310</v>
      </c>
      <c r="H310" t="s">
        <v>300</v>
      </c>
      <c r="I310" s="93">
        <v>46118</v>
      </c>
      <c r="J310" s="93">
        <v>46118</v>
      </c>
      <c r="K310" s="93">
        <v>46118</v>
      </c>
      <c r="L310" s="93">
        <v>46422</v>
      </c>
      <c r="M310" s="14">
        <v>1</v>
      </c>
      <c r="N310" s="14">
        <v>350000000000</v>
      </c>
      <c r="O310" s="56">
        <v>100.20044639699999</v>
      </c>
      <c r="P310" s="56">
        <v>0</v>
      </c>
      <c r="Q310" s="14">
        <v>354936466500</v>
      </c>
      <c r="R310">
        <v>6.901986</v>
      </c>
      <c r="S310" t="s">
        <v>1184</v>
      </c>
      <c r="T310" s="57">
        <f>IF(Dealps[[#This Row],[MATURITY_DATE]]-Dealps[[#This Row],[POSTED_DT]]&lt;0,0,IF(Dealps[[#This Row],[VALUE_DATE]]-Dealps[[#This Row],[POSTED_DT]]&gt;0,Dealps[[#This Row],[MATURITY_DATE]]-Dealps[[#This Row],[VALUE_DATE]],Dealps[[#This Row],[MATURITY_DATE]]-Dealps[[#This Row],[POSTED_DT]]))</f>
        <v>160</v>
      </c>
      <c r="U310" s="25">
        <f>IF(Dealps[[#This Row],[TENOR]]=0,0,IF(Dealps[[#This Row],[DEAL_TYPE]]="B",Dealps[[#This Row],[FACE_AMOUNT]],-Dealps[[#This Row],[FACE_AMOUNT]]))</f>
        <v>350000000000</v>
      </c>
      <c r="V310" s="25">
        <f>_xlfn.XLOOKUP(Dealps[[#This Row],[PAPER_CODE]],FNRP!D:D,FNRP!H:H,0,0)/100*Dealps[[#This Row],[AMOUNT]]</f>
        <v>0</v>
      </c>
      <c r="W310" s="57" t="str">
        <f>IF(Dealps[[#This Row],[TRANSACTION_STATUS]]&lt;&gt;"V","Ngoai BS",IF(Dealps[[#This Row],[POSTED_DT]]&gt;=Dealps[[#This Row],[VALUE_DATE]],"On BS","Off BS"))</f>
        <v>On BS</v>
      </c>
      <c r="X310" s="25">
        <f>SUMIFS(U:U,C:C,Dealps[[#This Row],[PAPER_CODE]])</f>
        <v>1000000000000</v>
      </c>
      <c r="Y310" s="25">
        <f>_xlfn.XLOOKUP(Dealps[[#This Row],[DEAL_ID]],Ref!N:N,Ref!Q:Q,0,0)</f>
        <v>0</v>
      </c>
      <c r="Z310" s="25" t="str">
        <f>IF(Dealps[[#This Row],[CPTY_CODE]]=Dealps[[#This Row],[CPTY_CODE_ISSUER]],"Yes","No")</f>
        <v>No</v>
      </c>
      <c r="AA310" s="25"/>
      <c r="AC310" s="14"/>
      <c r="AG310" s="96"/>
      <c r="AH310" s="25"/>
      <c r="AI310" s="25"/>
      <c r="AN310" s="14"/>
      <c r="AV310" s="36"/>
      <c r="AW310" s="14"/>
      <c r="AX310" s="234"/>
      <c r="AY310" s="96"/>
      <c r="AZ310" s="14"/>
      <c r="BA310"/>
      <c r="BB310" s="93">
        <v>46262</v>
      </c>
      <c r="BC310">
        <v>2348</v>
      </c>
      <c r="BD310" s="56" t="s">
        <v>1018</v>
      </c>
      <c r="BE310" t="s">
        <v>1011</v>
      </c>
      <c r="BF310" t="s">
        <v>1012</v>
      </c>
      <c r="BG310" t="s">
        <v>364</v>
      </c>
      <c r="BH310" t="s">
        <v>1013</v>
      </c>
      <c r="BI310" t="s">
        <v>311</v>
      </c>
      <c r="BJ310" s="93">
        <v>45882</v>
      </c>
      <c r="BK310" s="93">
        <v>45882</v>
      </c>
      <c r="BL310" s="93">
        <v>45882</v>
      </c>
      <c r="BM310" s="93">
        <v>46606</v>
      </c>
      <c r="BN310" s="14">
        <v>1</v>
      </c>
      <c r="BO310" s="14">
        <v>10000000000</v>
      </c>
      <c r="BP310" s="56">
        <v>100</v>
      </c>
      <c r="BQ310" s="56">
        <v>0</v>
      </c>
      <c r="BR310" s="14">
        <v>10008219178</v>
      </c>
      <c r="BS310">
        <v>4.9821309999999999</v>
      </c>
      <c r="BT310" t="s">
        <v>1184</v>
      </c>
      <c r="BU310" s="25">
        <f>_xlfn.XLOOKUP(Dealps_MSB[[#This Row],[DEAL_ID]],Ref!V:V,Ref!X:X,0,0)</f>
        <v>0</v>
      </c>
      <c r="BV310"/>
    </row>
    <row r="311" spans="1:74" x14ac:dyDescent="0.3">
      <c r="A311" s="93">
        <v>46262</v>
      </c>
      <c r="B311">
        <v>3984</v>
      </c>
      <c r="C311" s="56" t="s">
        <v>1158</v>
      </c>
      <c r="D311" t="s">
        <v>327</v>
      </c>
      <c r="E311" t="s">
        <v>345</v>
      </c>
      <c r="F311" t="s">
        <v>364</v>
      </c>
      <c r="G311" t="s">
        <v>310</v>
      </c>
      <c r="H311" t="s">
        <v>300</v>
      </c>
      <c r="I311" s="93">
        <v>46118</v>
      </c>
      <c r="J311" s="93">
        <v>46118</v>
      </c>
      <c r="K311" s="93">
        <v>46118</v>
      </c>
      <c r="L311" s="93">
        <v>46409</v>
      </c>
      <c r="M311" s="14">
        <v>1</v>
      </c>
      <c r="N311" s="14">
        <v>500000000000</v>
      </c>
      <c r="O311" s="56">
        <v>100.68077081600001</v>
      </c>
      <c r="P311" s="56">
        <v>0</v>
      </c>
      <c r="Q311" s="14">
        <v>510603854079.00006</v>
      </c>
      <c r="R311">
        <v>6.214321</v>
      </c>
      <c r="S311" t="s">
        <v>1184</v>
      </c>
      <c r="T311" s="57">
        <f>IF(Dealps[[#This Row],[MATURITY_DATE]]-Dealps[[#This Row],[POSTED_DT]]&lt;0,0,IF(Dealps[[#This Row],[VALUE_DATE]]-Dealps[[#This Row],[POSTED_DT]]&gt;0,Dealps[[#This Row],[MATURITY_DATE]]-Dealps[[#This Row],[VALUE_DATE]],Dealps[[#This Row],[MATURITY_DATE]]-Dealps[[#This Row],[POSTED_DT]]))</f>
        <v>147</v>
      </c>
      <c r="U311" s="25">
        <f>IF(Dealps[[#This Row],[TENOR]]=0,0,IF(Dealps[[#This Row],[DEAL_TYPE]]="B",Dealps[[#This Row],[FACE_AMOUNT]],-Dealps[[#This Row],[FACE_AMOUNT]]))</f>
        <v>500000000000</v>
      </c>
      <c r="V311" s="25">
        <f>_xlfn.XLOOKUP(Dealps[[#This Row],[PAPER_CODE]],FNRP!D:D,FNRP!H:H,0,0)/100*Dealps[[#This Row],[AMOUNT]]</f>
        <v>0</v>
      </c>
      <c r="W311" s="57" t="str">
        <f>IF(Dealps[[#This Row],[TRANSACTION_STATUS]]&lt;&gt;"V","Ngoai BS",IF(Dealps[[#This Row],[POSTED_DT]]&gt;=Dealps[[#This Row],[VALUE_DATE]],"On BS","Off BS"))</f>
        <v>On BS</v>
      </c>
      <c r="X311" s="25">
        <f>SUMIFS(U:U,C:C,Dealps[[#This Row],[PAPER_CODE]])</f>
        <v>2000000000000</v>
      </c>
      <c r="Y311" s="25">
        <f>_xlfn.XLOOKUP(Dealps[[#This Row],[DEAL_ID]],Ref!N:N,Ref!Q:Q,0,0)</f>
        <v>0</v>
      </c>
      <c r="Z311" s="25" t="str">
        <f>IF(Dealps[[#This Row],[CPTY_CODE]]=Dealps[[#This Row],[CPTY_CODE_ISSUER]],"Yes","No")</f>
        <v>No</v>
      </c>
      <c r="AA311" s="25"/>
      <c r="AC311" s="14"/>
      <c r="AG311" s="96"/>
      <c r="AH311" s="25"/>
      <c r="AI311" s="25"/>
      <c r="AN311" s="14"/>
      <c r="AV311" s="36"/>
      <c r="AW311" s="14"/>
      <c r="AX311" s="234"/>
      <c r="AY311" s="96"/>
      <c r="AZ311" s="14"/>
      <c r="BA311"/>
      <c r="BB311" s="93">
        <v>46262</v>
      </c>
      <c r="BC311">
        <v>2353</v>
      </c>
      <c r="BD311" s="56" t="s">
        <v>1019</v>
      </c>
      <c r="BE311" t="s">
        <v>1011</v>
      </c>
      <c r="BF311" t="s">
        <v>1012</v>
      </c>
      <c r="BG311" t="s">
        <v>364</v>
      </c>
      <c r="BH311" t="s">
        <v>1013</v>
      </c>
      <c r="BI311" t="s">
        <v>311</v>
      </c>
      <c r="BJ311" s="93">
        <v>45882</v>
      </c>
      <c r="BK311" s="93">
        <v>45882</v>
      </c>
      <c r="BL311" s="93">
        <v>45882</v>
      </c>
      <c r="BM311" s="93">
        <v>46606</v>
      </c>
      <c r="BN311" s="14">
        <v>1</v>
      </c>
      <c r="BO311" s="14">
        <v>10000000000</v>
      </c>
      <c r="BP311" s="56">
        <v>100</v>
      </c>
      <c r="BQ311" s="56">
        <v>0</v>
      </c>
      <c r="BR311" s="14">
        <v>10009534247</v>
      </c>
      <c r="BS311">
        <v>5.7785130000000002</v>
      </c>
      <c r="BT311" t="s">
        <v>1184</v>
      </c>
      <c r="BU311" s="25">
        <f>_xlfn.XLOOKUP(Dealps_MSB[[#This Row],[DEAL_ID]],Ref!V:V,Ref!X:X,0,0)</f>
        <v>0</v>
      </c>
      <c r="BV311"/>
    </row>
    <row r="312" spans="1:74" x14ac:dyDescent="0.3">
      <c r="A312" s="93">
        <v>46262</v>
      </c>
      <c r="B312">
        <v>3993</v>
      </c>
      <c r="C312" s="56" t="s">
        <v>1158</v>
      </c>
      <c r="D312" t="s">
        <v>327</v>
      </c>
      <c r="E312" t="s">
        <v>315</v>
      </c>
      <c r="F312" t="s">
        <v>364</v>
      </c>
      <c r="G312" t="s">
        <v>310</v>
      </c>
      <c r="H312" t="s">
        <v>311</v>
      </c>
      <c r="I312" s="93">
        <v>46118</v>
      </c>
      <c r="J312" s="93">
        <v>46118</v>
      </c>
      <c r="K312" s="93">
        <v>46119</v>
      </c>
      <c r="L312" s="93">
        <v>46409</v>
      </c>
      <c r="M312" s="14">
        <v>1</v>
      </c>
      <c r="N312" s="14">
        <v>500000000000</v>
      </c>
      <c r="O312" s="56">
        <v>100.07362460900001</v>
      </c>
      <c r="P312" s="56">
        <v>0</v>
      </c>
      <c r="Q312" s="14">
        <v>507666753179.00006</v>
      </c>
      <c r="R312">
        <v>7</v>
      </c>
      <c r="S312" t="s">
        <v>1184</v>
      </c>
      <c r="T312" s="57">
        <f>IF(Dealps[[#This Row],[MATURITY_DATE]]-Dealps[[#This Row],[POSTED_DT]]&lt;0,0,IF(Dealps[[#This Row],[VALUE_DATE]]-Dealps[[#This Row],[POSTED_DT]]&gt;0,Dealps[[#This Row],[MATURITY_DATE]]-Dealps[[#This Row],[VALUE_DATE]],Dealps[[#This Row],[MATURITY_DATE]]-Dealps[[#This Row],[POSTED_DT]]))</f>
        <v>147</v>
      </c>
      <c r="U312" s="25">
        <f>IF(Dealps[[#This Row],[TENOR]]=0,0,IF(Dealps[[#This Row],[DEAL_TYPE]]="B",Dealps[[#This Row],[FACE_AMOUNT]],-Dealps[[#This Row],[FACE_AMOUNT]]))</f>
        <v>-500000000000</v>
      </c>
      <c r="V312" s="25">
        <f>_xlfn.XLOOKUP(Dealps[[#This Row],[PAPER_CODE]],FNRP!D:D,FNRP!H:H,0,0)/100*Dealps[[#This Row],[AMOUNT]]</f>
        <v>0</v>
      </c>
      <c r="W312" s="57" t="str">
        <f>IF(Dealps[[#This Row],[TRANSACTION_STATUS]]&lt;&gt;"V","Ngoai BS",IF(Dealps[[#This Row],[POSTED_DT]]&gt;=Dealps[[#This Row],[VALUE_DATE]],"On BS","Off BS"))</f>
        <v>On BS</v>
      </c>
      <c r="X312" s="25">
        <f>SUMIFS(U:U,C:C,Dealps[[#This Row],[PAPER_CODE]])</f>
        <v>2000000000000</v>
      </c>
      <c r="Y312" s="25">
        <f>_xlfn.XLOOKUP(Dealps[[#This Row],[DEAL_ID]],Ref!N:N,Ref!Q:Q,0,0)</f>
        <v>0</v>
      </c>
      <c r="Z312" s="25" t="str">
        <f>IF(Dealps[[#This Row],[CPTY_CODE]]=Dealps[[#This Row],[CPTY_CODE_ISSUER]],"Yes","No")</f>
        <v>No</v>
      </c>
      <c r="AA312" s="25"/>
      <c r="AC312" s="14"/>
      <c r="AG312" s="96"/>
      <c r="AH312" s="25"/>
      <c r="AI312" s="25"/>
      <c r="AN312" s="14"/>
      <c r="AV312" s="36"/>
      <c r="AW312" s="14"/>
      <c r="AX312" s="234"/>
      <c r="AY312" s="96"/>
      <c r="AZ312" s="14"/>
      <c r="BA312"/>
      <c r="BB312" s="93">
        <v>46262</v>
      </c>
      <c r="BC312">
        <v>2374</v>
      </c>
      <c r="BD312" s="56" t="s">
        <v>1019</v>
      </c>
      <c r="BE312" t="s">
        <v>1011</v>
      </c>
      <c r="BF312" t="s">
        <v>1012</v>
      </c>
      <c r="BG312" t="s">
        <v>364</v>
      </c>
      <c r="BH312" t="s">
        <v>1013</v>
      </c>
      <c r="BI312" t="s">
        <v>311</v>
      </c>
      <c r="BJ312" s="93">
        <v>45888</v>
      </c>
      <c r="BK312" s="93">
        <v>45888</v>
      </c>
      <c r="BL312" s="93">
        <v>45888</v>
      </c>
      <c r="BM312" s="93">
        <v>46606</v>
      </c>
      <c r="BN312" s="14">
        <v>1</v>
      </c>
      <c r="BO312" s="14">
        <v>10000000000</v>
      </c>
      <c r="BP312" s="56">
        <v>100</v>
      </c>
      <c r="BQ312" s="56">
        <v>0</v>
      </c>
      <c r="BR312" s="14">
        <v>10019068493</v>
      </c>
      <c r="BS312">
        <v>5.7728809999999999</v>
      </c>
      <c r="BT312" t="s">
        <v>1184</v>
      </c>
      <c r="BU312" s="25">
        <f>_xlfn.XLOOKUP(Dealps_MSB[[#This Row],[DEAL_ID]],Ref!V:V,Ref!X:X,0,0)</f>
        <v>0</v>
      </c>
      <c r="BV312"/>
    </row>
    <row r="313" spans="1:74" x14ac:dyDescent="0.3">
      <c r="A313" s="93">
        <v>46262</v>
      </c>
      <c r="B313">
        <v>3994</v>
      </c>
      <c r="C313" s="56" t="s">
        <v>1204</v>
      </c>
      <c r="D313" t="s">
        <v>315</v>
      </c>
      <c r="E313" t="s">
        <v>345</v>
      </c>
      <c r="F313" t="s">
        <v>364</v>
      </c>
      <c r="G313" t="s">
        <v>310</v>
      </c>
      <c r="H313" t="s">
        <v>300</v>
      </c>
      <c r="I313" s="93">
        <v>46119</v>
      </c>
      <c r="J313" s="93">
        <v>46119</v>
      </c>
      <c r="K313" s="93">
        <v>46119</v>
      </c>
      <c r="L313" s="93">
        <v>46422</v>
      </c>
      <c r="M313" s="14">
        <v>1</v>
      </c>
      <c r="N313" s="14">
        <v>500000000000</v>
      </c>
      <c r="O313" s="56">
        <v>100.24081268099999</v>
      </c>
      <c r="P313" s="56">
        <v>0</v>
      </c>
      <c r="Q313" s="14">
        <v>507353104500</v>
      </c>
      <c r="R313">
        <v>6.8491869999999997</v>
      </c>
      <c r="S313" t="s">
        <v>1184</v>
      </c>
      <c r="T313" s="57">
        <f>IF(Dealps[[#This Row],[MATURITY_DATE]]-Dealps[[#This Row],[POSTED_DT]]&lt;0,0,IF(Dealps[[#This Row],[VALUE_DATE]]-Dealps[[#This Row],[POSTED_DT]]&gt;0,Dealps[[#This Row],[MATURITY_DATE]]-Dealps[[#This Row],[VALUE_DATE]],Dealps[[#This Row],[MATURITY_DATE]]-Dealps[[#This Row],[POSTED_DT]]))</f>
        <v>160</v>
      </c>
      <c r="U313" s="25">
        <f>IF(Dealps[[#This Row],[TENOR]]=0,0,IF(Dealps[[#This Row],[DEAL_TYPE]]="B",Dealps[[#This Row],[FACE_AMOUNT]],-Dealps[[#This Row],[FACE_AMOUNT]]))</f>
        <v>500000000000</v>
      </c>
      <c r="V313" s="25">
        <f>_xlfn.XLOOKUP(Dealps[[#This Row],[PAPER_CODE]],FNRP!D:D,FNRP!H:H,0,0)/100*Dealps[[#This Row],[AMOUNT]]</f>
        <v>0</v>
      </c>
      <c r="W313" s="57" t="str">
        <f>IF(Dealps[[#This Row],[TRANSACTION_STATUS]]&lt;&gt;"V","Ngoai BS",IF(Dealps[[#This Row],[POSTED_DT]]&gt;=Dealps[[#This Row],[VALUE_DATE]],"On BS","Off BS"))</f>
        <v>On BS</v>
      </c>
      <c r="X313" s="25">
        <f>SUMIFS(U:U,C:C,Dealps[[#This Row],[PAPER_CODE]])</f>
        <v>1000000000000</v>
      </c>
      <c r="Y313" s="25">
        <f>_xlfn.XLOOKUP(Dealps[[#This Row],[DEAL_ID]],Ref!N:N,Ref!Q:Q,0,0)</f>
        <v>0</v>
      </c>
      <c r="Z313" s="25" t="str">
        <f>IF(Dealps[[#This Row],[CPTY_CODE]]=Dealps[[#This Row],[CPTY_CODE_ISSUER]],"Yes","No")</f>
        <v>No</v>
      </c>
      <c r="AA313" s="25"/>
      <c r="AC313" s="14"/>
      <c r="AG313" s="96"/>
      <c r="AH313" s="25"/>
      <c r="AI313" s="25"/>
      <c r="AN313" s="14"/>
      <c r="AV313" s="36"/>
      <c r="AW313" s="14"/>
      <c r="AX313" s="234"/>
      <c r="AY313" s="96"/>
      <c r="AZ313" s="14"/>
      <c r="BA313"/>
      <c r="BB313" s="93">
        <v>46262</v>
      </c>
      <c r="BC313">
        <v>2375</v>
      </c>
      <c r="BD313" s="56" t="s">
        <v>1019</v>
      </c>
      <c r="BE313" t="s">
        <v>1011</v>
      </c>
      <c r="BF313" t="s">
        <v>1012</v>
      </c>
      <c r="BG313" t="s">
        <v>364</v>
      </c>
      <c r="BH313" t="s">
        <v>1013</v>
      </c>
      <c r="BI313" t="s">
        <v>311</v>
      </c>
      <c r="BJ313" s="93">
        <v>45888</v>
      </c>
      <c r="BK313" s="93">
        <v>45888</v>
      </c>
      <c r="BL313" s="93">
        <v>45888</v>
      </c>
      <c r="BM313" s="93">
        <v>46606</v>
      </c>
      <c r="BN313" s="14">
        <v>1</v>
      </c>
      <c r="BO313" s="14">
        <v>10000000000</v>
      </c>
      <c r="BP313" s="56">
        <v>100</v>
      </c>
      <c r="BQ313" s="56">
        <v>0</v>
      </c>
      <c r="BR313" s="14">
        <v>10019068493</v>
      </c>
      <c r="BS313">
        <v>5.7728809999999999</v>
      </c>
      <c r="BT313" t="s">
        <v>1184</v>
      </c>
      <c r="BU313" s="25">
        <f>_xlfn.XLOOKUP(Dealps_MSB[[#This Row],[DEAL_ID]],Ref!V:V,Ref!X:X,0,0)</f>
        <v>0</v>
      </c>
      <c r="BV313"/>
    </row>
    <row r="314" spans="1:74" x14ac:dyDescent="0.3">
      <c r="A314" s="93">
        <v>46262</v>
      </c>
      <c r="B314">
        <v>3995</v>
      </c>
      <c r="C314" s="56" t="s">
        <v>1071</v>
      </c>
      <c r="D314" t="s">
        <v>328</v>
      </c>
      <c r="E314" t="s">
        <v>1005</v>
      </c>
      <c r="F314" t="s">
        <v>364</v>
      </c>
      <c r="G314" t="s">
        <v>310</v>
      </c>
      <c r="H314" t="s">
        <v>300</v>
      </c>
      <c r="I314" s="93">
        <v>46119</v>
      </c>
      <c r="J314" s="93">
        <v>46119</v>
      </c>
      <c r="K314" s="93">
        <v>46119</v>
      </c>
      <c r="L314" s="93">
        <v>46352</v>
      </c>
      <c r="M314" s="14">
        <v>1</v>
      </c>
      <c r="N314" s="14">
        <v>500000000000</v>
      </c>
      <c r="O314" s="56">
        <v>100.215705177</v>
      </c>
      <c r="P314" s="56">
        <v>0</v>
      </c>
      <c r="Q314" s="14">
        <v>512922361499.99994</v>
      </c>
      <c r="R314">
        <v>6.1043279999999998</v>
      </c>
      <c r="S314" t="s">
        <v>1184</v>
      </c>
      <c r="T314" s="57">
        <f>IF(Dealps[[#This Row],[MATURITY_DATE]]-Dealps[[#This Row],[POSTED_DT]]&lt;0,0,IF(Dealps[[#This Row],[VALUE_DATE]]-Dealps[[#This Row],[POSTED_DT]]&gt;0,Dealps[[#This Row],[MATURITY_DATE]]-Dealps[[#This Row],[VALUE_DATE]],Dealps[[#This Row],[MATURITY_DATE]]-Dealps[[#This Row],[POSTED_DT]]))</f>
        <v>90</v>
      </c>
      <c r="U314" s="25">
        <f>IF(Dealps[[#This Row],[TENOR]]=0,0,IF(Dealps[[#This Row],[DEAL_TYPE]]="B",Dealps[[#This Row],[FACE_AMOUNT]],-Dealps[[#This Row],[FACE_AMOUNT]]))</f>
        <v>500000000000</v>
      </c>
      <c r="V314" s="25">
        <f>_xlfn.XLOOKUP(Dealps[[#This Row],[PAPER_CODE]],FNRP!D:D,FNRP!H:H,0,0)/100*Dealps[[#This Row],[AMOUNT]]</f>
        <v>0</v>
      </c>
      <c r="W314" s="57" t="str">
        <f>IF(Dealps[[#This Row],[TRANSACTION_STATUS]]&lt;&gt;"V","Ngoai BS",IF(Dealps[[#This Row],[POSTED_DT]]&gt;=Dealps[[#This Row],[VALUE_DATE]],"On BS","Off BS"))</f>
        <v>On BS</v>
      </c>
      <c r="X314" s="25">
        <f>SUMIFS(U:U,C:C,Dealps[[#This Row],[PAPER_CODE]])</f>
        <v>1500000000000</v>
      </c>
      <c r="Y314" s="25">
        <f>_xlfn.XLOOKUP(Dealps[[#This Row],[DEAL_ID]],Ref!N:N,Ref!Q:Q,0,0)</f>
        <v>0</v>
      </c>
      <c r="Z314" s="25" t="str">
        <f>IF(Dealps[[#This Row],[CPTY_CODE]]=Dealps[[#This Row],[CPTY_CODE_ISSUER]],"Yes","No")</f>
        <v>No</v>
      </c>
      <c r="AA314" s="25"/>
      <c r="AC314" s="14"/>
      <c r="AG314" s="96"/>
      <c r="AH314" s="25"/>
      <c r="AI314" s="25"/>
      <c r="AN314" s="14"/>
      <c r="AV314" s="36"/>
      <c r="AW314" s="14"/>
      <c r="AX314" s="234"/>
      <c r="AY314" s="96"/>
      <c r="AZ314" s="14"/>
      <c r="BA314"/>
      <c r="BB314" s="93">
        <v>46262</v>
      </c>
      <c r="BC314">
        <v>2379</v>
      </c>
      <c r="BD314" s="56" t="s">
        <v>1019</v>
      </c>
      <c r="BE314" t="s">
        <v>1011</v>
      </c>
      <c r="BF314" t="s">
        <v>1012</v>
      </c>
      <c r="BG314" t="s">
        <v>364</v>
      </c>
      <c r="BH314" t="s">
        <v>1013</v>
      </c>
      <c r="BI314" t="s">
        <v>311</v>
      </c>
      <c r="BJ314" s="93">
        <v>45889</v>
      </c>
      <c r="BK314" s="93">
        <v>45889</v>
      </c>
      <c r="BL314" s="93">
        <v>45889</v>
      </c>
      <c r="BM314" s="93">
        <v>46606</v>
      </c>
      <c r="BN314" s="14">
        <v>1</v>
      </c>
      <c r="BO314" s="14">
        <v>10000000000</v>
      </c>
      <c r="BP314" s="56">
        <v>100</v>
      </c>
      <c r="BQ314" s="56">
        <v>0</v>
      </c>
      <c r="BR314" s="14">
        <v>10020657534</v>
      </c>
      <c r="BS314">
        <v>5.7719430000000003</v>
      </c>
      <c r="BT314" t="s">
        <v>1184</v>
      </c>
      <c r="BU314" s="25">
        <f>_xlfn.XLOOKUP(Dealps_MSB[[#This Row],[DEAL_ID]],Ref!V:V,Ref!X:X,0,0)</f>
        <v>0</v>
      </c>
      <c r="BV314"/>
    </row>
    <row r="315" spans="1:74" x14ac:dyDescent="0.3">
      <c r="A315" s="93">
        <v>46262</v>
      </c>
      <c r="B315">
        <v>3996</v>
      </c>
      <c r="C315" s="56" t="s">
        <v>1010</v>
      </c>
      <c r="D315" t="s">
        <v>328</v>
      </c>
      <c r="E315" t="s">
        <v>315</v>
      </c>
      <c r="F315" t="s">
        <v>364</v>
      </c>
      <c r="G315" t="s">
        <v>310</v>
      </c>
      <c r="H315" t="s">
        <v>300</v>
      </c>
      <c r="I315" s="93">
        <v>46119</v>
      </c>
      <c r="J315" s="93">
        <v>46115</v>
      </c>
      <c r="K315" s="93">
        <v>46119</v>
      </c>
      <c r="L315" s="93">
        <v>46329</v>
      </c>
      <c r="M315" s="14">
        <v>1</v>
      </c>
      <c r="N315" s="14">
        <v>500000000000</v>
      </c>
      <c r="O315" s="56">
        <v>100.27531740800001</v>
      </c>
      <c r="P315" s="56">
        <v>0</v>
      </c>
      <c r="Q315" s="14">
        <v>514666997999.99994</v>
      </c>
      <c r="R315">
        <v>5.6555720000000003</v>
      </c>
      <c r="S315" t="s">
        <v>1184</v>
      </c>
      <c r="T315" s="57">
        <f>IF(Dealps[[#This Row],[MATURITY_DATE]]-Dealps[[#This Row],[POSTED_DT]]&lt;0,0,IF(Dealps[[#This Row],[VALUE_DATE]]-Dealps[[#This Row],[POSTED_DT]]&gt;0,Dealps[[#This Row],[MATURITY_DATE]]-Dealps[[#This Row],[VALUE_DATE]],Dealps[[#This Row],[MATURITY_DATE]]-Dealps[[#This Row],[POSTED_DT]]))</f>
        <v>67</v>
      </c>
      <c r="U315" s="25">
        <f>IF(Dealps[[#This Row],[TENOR]]=0,0,IF(Dealps[[#This Row],[DEAL_TYPE]]="B",Dealps[[#This Row],[FACE_AMOUNT]],-Dealps[[#This Row],[FACE_AMOUNT]]))</f>
        <v>500000000000</v>
      </c>
      <c r="V315" s="25">
        <f>_xlfn.XLOOKUP(Dealps[[#This Row],[PAPER_CODE]],FNRP!D:D,FNRP!H:H,0,0)/100*Dealps[[#This Row],[AMOUNT]]</f>
        <v>0</v>
      </c>
      <c r="W315" s="57" t="str">
        <f>IF(Dealps[[#This Row],[TRANSACTION_STATUS]]&lt;&gt;"V","Ngoai BS",IF(Dealps[[#This Row],[POSTED_DT]]&gt;=Dealps[[#This Row],[VALUE_DATE]],"On BS","Off BS"))</f>
        <v>On BS</v>
      </c>
      <c r="X315" s="25">
        <f>SUMIFS(U:U,C:C,Dealps[[#This Row],[PAPER_CODE]])</f>
        <v>2000000000000</v>
      </c>
      <c r="Y315" s="25">
        <f>_xlfn.XLOOKUP(Dealps[[#This Row],[DEAL_ID]],Ref!N:N,Ref!Q:Q,0,0)</f>
        <v>0</v>
      </c>
      <c r="Z315" s="25" t="str">
        <f>IF(Dealps[[#This Row],[CPTY_CODE]]=Dealps[[#This Row],[CPTY_CODE_ISSUER]],"Yes","No")</f>
        <v>No</v>
      </c>
      <c r="AA315" s="25"/>
      <c r="AC315" s="14"/>
      <c r="AG315" s="96"/>
      <c r="AH315" s="25"/>
      <c r="AI315" s="25"/>
      <c r="AN315" s="14"/>
      <c r="AV315" s="36"/>
      <c r="AW315" s="14"/>
      <c r="AX315" s="234"/>
      <c r="AY315" s="96"/>
      <c r="AZ315" s="14"/>
      <c r="BA315"/>
      <c r="BB315" s="93">
        <v>46262</v>
      </c>
      <c r="BC315">
        <v>2380</v>
      </c>
      <c r="BD315" s="56" t="s">
        <v>1019</v>
      </c>
      <c r="BE315" t="s">
        <v>1011</v>
      </c>
      <c r="BF315" t="s">
        <v>1012</v>
      </c>
      <c r="BG315" t="s">
        <v>364</v>
      </c>
      <c r="BH315" t="s">
        <v>1013</v>
      </c>
      <c r="BI315" t="s">
        <v>311</v>
      </c>
      <c r="BJ315" s="93">
        <v>45889</v>
      </c>
      <c r="BK315" s="93">
        <v>45889</v>
      </c>
      <c r="BL315" s="93">
        <v>45889</v>
      </c>
      <c r="BM315" s="93">
        <v>46606</v>
      </c>
      <c r="BN315" s="14">
        <v>1</v>
      </c>
      <c r="BO315" s="14">
        <v>10000000000</v>
      </c>
      <c r="BP315" s="56">
        <v>100</v>
      </c>
      <c r="BQ315" s="56">
        <v>0</v>
      </c>
      <c r="BR315" s="14">
        <v>10020657534</v>
      </c>
      <c r="BS315">
        <v>5.7719430000000003</v>
      </c>
      <c r="BT315" t="s">
        <v>1184</v>
      </c>
      <c r="BU315" s="25">
        <f>_xlfn.XLOOKUP(Dealps_MSB[[#This Row],[DEAL_ID]],Ref!V:V,Ref!X:X,0,0)</f>
        <v>0</v>
      </c>
      <c r="BV315"/>
    </row>
    <row r="316" spans="1:74" x14ac:dyDescent="0.3">
      <c r="A316" s="93">
        <v>46262</v>
      </c>
      <c r="B316">
        <v>3997</v>
      </c>
      <c r="C316" s="56" t="s">
        <v>1204</v>
      </c>
      <c r="D316" t="s">
        <v>315</v>
      </c>
      <c r="E316" t="s">
        <v>322</v>
      </c>
      <c r="F316" t="s">
        <v>364</v>
      </c>
      <c r="G316" t="s">
        <v>310</v>
      </c>
      <c r="H316" t="s">
        <v>311</v>
      </c>
      <c r="I316" s="93">
        <v>46119</v>
      </c>
      <c r="J316" s="93">
        <v>46119</v>
      </c>
      <c r="K316" s="93">
        <v>46120</v>
      </c>
      <c r="L316" s="93">
        <v>46422</v>
      </c>
      <c r="M316" s="14">
        <v>1</v>
      </c>
      <c r="N316" s="14">
        <v>900000000000</v>
      </c>
      <c r="O316" s="56">
        <v>100.517249064</v>
      </c>
      <c r="P316" s="56">
        <v>0</v>
      </c>
      <c r="Q316" s="14">
        <v>915902036100</v>
      </c>
      <c r="R316">
        <v>6.5</v>
      </c>
      <c r="S316" t="s">
        <v>1184</v>
      </c>
      <c r="T316" s="57">
        <f>IF(Dealps[[#This Row],[MATURITY_DATE]]-Dealps[[#This Row],[POSTED_DT]]&lt;0,0,IF(Dealps[[#This Row],[VALUE_DATE]]-Dealps[[#This Row],[POSTED_DT]]&gt;0,Dealps[[#This Row],[MATURITY_DATE]]-Dealps[[#This Row],[VALUE_DATE]],Dealps[[#This Row],[MATURITY_DATE]]-Dealps[[#This Row],[POSTED_DT]]))</f>
        <v>160</v>
      </c>
      <c r="U316" s="25">
        <f>IF(Dealps[[#This Row],[TENOR]]=0,0,IF(Dealps[[#This Row],[DEAL_TYPE]]="B",Dealps[[#This Row],[FACE_AMOUNT]],-Dealps[[#This Row],[FACE_AMOUNT]]))</f>
        <v>-900000000000</v>
      </c>
      <c r="V316" s="25">
        <f>_xlfn.XLOOKUP(Dealps[[#This Row],[PAPER_CODE]],FNRP!D:D,FNRP!H:H,0,0)/100*Dealps[[#This Row],[AMOUNT]]</f>
        <v>0</v>
      </c>
      <c r="W316" s="57" t="str">
        <f>IF(Dealps[[#This Row],[TRANSACTION_STATUS]]&lt;&gt;"V","Ngoai BS",IF(Dealps[[#This Row],[POSTED_DT]]&gt;=Dealps[[#This Row],[VALUE_DATE]],"On BS","Off BS"))</f>
        <v>On BS</v>
      </c>
      <c r="X316" s="25">
        <f>SUMIFS(U:U,C:C,Dealps[[#This Row],[PAPER_CODE]])</f>
        <v>1000000000000</v>
      </c>
      <c r="Y316" s="25">
        <f>_xlfn.XLOOKUP(Dealps[[#This Row],[DEAL_ID]],Ref!N:N,Ref!Q:Q,0,0)</f>
        <v>0</v>
      </c>
      <c r="Z316" s="25" t="str">
        <f>IF(Dealps[[#This Row],[CPTY_CODE]]=Dealps[[#This Row],[CPTY_CODE_ISSUER]],"Yes","No")</f>
        <v>No</v>
      </c>
      <c r="AA316" s="25"/>
      <c r="AC316" s="14"/>
      <c r="AG316" s="96"/>
      <c r="AH316" s="25"/>
      <c r="AI316" s="25"/>
      <c r="AN316" s="14"/>
      <c r="AV316" s="36"/>
      <c r="AW316" s="14"/>
      <c r="AX316" s="234"/>
      <c r="AY316" s="96"/>
      <c r="AZ316" s="14"/>
      <c r="BA316"/>
      <c r="BB316" s="93">
        <v>46262</v>
      </c>
      <c r="BC316">
        <v>2388</v>
      </c>
      <c r="BD316" s="56" t="s">
        <v>1018</v>
      </c>
      <c r="BE316" t="s">
        <v>1011</v>
      </c>
      <c r="BF316" t="s">
        <v>1012</v>
      </c>
      <c r="BG316" t="s">
        <v>364</v>
      </c>
      <c r="BH316" t="s">
        <v>1013</v>
      </c>
      <c r="BI316" t="s">
        <v>311</v>
      </c>
      <c r="BJ316" s="93">
        <v>45889</v>
      </c>
      <c r="BK316" s="93">
        <v>45889</v>
      </c>
      <c r="BL316" s="93">
        <v>45889</v>
      </c>
      <c r="BM316" s="93">
        <v>46606</v>
      </c>
      <c r="BN316" s="14">
        <v>1</v>
      </c>
      <c r="BO316" s="14">
        <v>10000000000</v>
      </c>
      <c r="BP316" s="56">
        <v>100</v>
      </c>
      <c r="BQ316" s="56">
        <v>0</v>
      </c>
      <c r="BR316" s="14">
        <v>10017808219</v>
      </c>
      <c r="BS316">
        <v>4.9772280000000002</v>
      </c>
      <c r="BT316" t="s">
        <v>1184</v>
      </c>
      <c r="BU316" s="25">
        <f>_xlfn.XLOOKUP(Dealps_MSB[[#This Row],[DEAL_ID]],Ref!V:V,Ref!X:X,0,0)</f>
        <v>0</v>
      </c>
      <c r="BV316"/>
    </row>
    <row r="317" spans="1:74" x14ac:dyDescent="0.3">
      <c r="A317" s="93">
        <v>46262</v>
      </c>
      <c r="B317">
        <v>4001</v>
      </c>
      <c r="C317" s="56" t="s">
        <v>1158</v>
      </c>
      <c r="D317" t="s">
        <v>327</v>
      </c>
      <c r="E317" t="s">
        <v>347</v>
      </c>
      <c r="F317" t="s">
        <v>364</v>
      </c>
      <c r="G317" t="s">
        <v>310</v>
      </c>
      <c r="H317" t="s">
        <v>311</v>
      </c>
      <c r="I317" s="93">
        <v>46119</v>
      </c>
      <c r="J317" s="93">
        <v>46119</v>
      </c>
      <c r="K317" s="93">
        <v>46120</v>
      </c>
      <c r="L317" s="93">
        <v>46409</v>
      </c>
      <c r="M317" s="14">
        <v>1</v>
      </c>
      <c r="N317" s="14">
        <v>500000000000</v>
      </c>
      <c r="O317" s="56">
        <v>100.72407039399999</v>
      </c>
      <c r="P317" s="56">
        <v>0</v>
      </c>
      <c r="Q317" s="14">
        <v>511017612243.00006</v>
      </c>
      <c r="R317">
        <v>6.15</v>
      </c>
      <c r="S317" t="s">
        <v>1184</v>
      </c>
      <c r="T317" s="57">
        <f>IF(Dealps[[#This Row],[MATURITY_DATE]]-Dealps[[#This Row],[POSTED_DT]]&lt;0,0,IF(Dealps[[#This Row],[VALUE_DATE]]-Dealps[[#This Row],[POSTED_DT]]&gt;0,Dealps[[#This Row],[MATURITY_DATE]]-Dealps[[#This Row],[VALUE_DATE]],Dealps[[#This Row],[MATURITY_DATE]]-Dealps[[#This Row],[POSTED_DT]]))</f>
        <v>147</v>
      </c>
      <c r="U317" s="25">
        <f>IF(Dealps[[#This Row],[TENOR]]=0,0,IF(Dealps[[#This Row],[DEAL_TYPE]]="B",Dealps[[#This Row],[FACE_AMOUNT]],-Dealps[[#This Row],[FACE_AMOUNT]]))</f>
        <v>-500000000000</v>
      </c>
      <c r="V317" s="25">
        <f>_xlfn.XLOOKUP(Dealps[[#This Row],[PAPER_CODE]],FNRP!D:D,FNRP!H:H,0,0)/100*Dealps[[#This Row],[AMOUNT]]</f>
        <v>0</v>
      </c>
      <c r="W317" s="57" t="str">
        <f>IF(Dealps[[#This Row],[TRANSACTION_STATUS]]&lt;&gt;"V","Ngoai BS",IF(Dealps[[#This Row],[POSTED_DT]]&gt;=Dealps[[#This Row],[VALUE_DATE]],"On BS","Off BS"))</f>
        <v>On BS</v>
      </c>
      <c r="X317" s="25">
        <f>SUMIFS(U:U,C:C,Dealps[[#This Row],[PAPER_CODE]])</f>
        <v>2000000000000</v>
      </c>
      <c r="Y317" s="25">
        <f>_xlfn.XLOOKUP(Dealps[[#This Row],[DEAL_ID]],Ref!N:N,Ref!Q:Q,0,0)</f>
        <v>0</v>
      </c>
      <c r="Z317" s="25" t="str">
        <f>IF(Dealps[[#This Row],[CPTY_CODE]]=Dealps[[#This Row],[CPTY_CODE_ISSUER]],"Yes","No")</f>
        <v>No</v>
      </c>
      <c r="AA317" s="25"/>
      <c r="AC317" s="14"/>
      <c r="AG317" s="96"/>
      <c r="AH317" s="25"/>
      <c r="AI317" s="25"/>
      <c r="AN317" s="14"/>
      <c r="AV317" s="36"/>
      <c r="AW317" s="14"/>
      <c r="AX317" s="234"/>
      <c r="AY317" s="96"/>
      <c r="AZ317" s="14"/>
      <c r="BA317"/>
      <c r="BB317" s="93">
        <v>46262</v>
      </c>
      <c r="BC317">
        <v>2389</v>
      </c>
      <c r="BD317" s="56" t="s">
        <v>1018</v>
      </c>
      <c r="BE317" t="s">
        <v>1011</v>
      </c>
      <c r="BF317" t="s">
        <v>1012</v>
      </c>
      <c r="BG317" t="s">
        <v>364</v>
      </c>
      <c r="BH317" t="s">
        <v>1013</v>
      </c>
      <c r="BI317" t="s">
        <v>311</v>
      </c>
      <c r="BJ317" s="93">
        <v>45889</v>
      </c>
      <c r="BK317" s="93">
        <v>45889</v>
      </c>
      <c r="BL317" s="93">
        <v>45889</v>
      </c>
      <c r="BM317" s="93">
        <v>46606</v>
      </c>
      <c r="BN317" s="14">
        <v>1</v>
      </c>
      <c r="BO317" s="14">
        <v>10000000000</v>
      </c>
      <c r="BP317" s="56">
        <v>100</v>
      </c>
      <c r="BQ317" s="56">
        <v>0</v>
      </c>
      <c r="BR317" s="14">
        <v>10017808219</v>
      </c>
      <c r="BS317">
        <v>4.9772280000000002</v>
      </c>
      <c r="BT317" t="s">
        <v>1184</v>
      </c>
      <c r="BU317" s="25">
        <f>_xlfn.XLOOKUP(Dealps_MSB[[#This Row],[DEAL_ID]],Ref!V:V,Ref!X:X,0,0)</f>
        <v>0</v>
      </c>
      <c r="BV317"/>
    </row>
    <row r="318" spans="1:74" x14ac:dyDescent="0.3">
      <c r="A318" s="93">
        <v>46262</v>
      </c>
      <c r="B318">
        <v>4002</v>
      </c>
      <c r="C318" s="56" t="s">
        <v>1008</v>
      </c>
      <c r="D318" t="s">
        <v>473</v>
      </c>
      <c r="E318" t="s">
        <v>345</v>
      </c>
      <c r="F318" t="s">
        <v>364</v>
      </c>
      <c r="G318" t="s">
        <v>310</v>
      </c>
      <c r="H318" t="s">
        <v>311</v>
      </c>
      <c r="I318" s="93">
        <v>46120</v>
      </c>
      <c r="J318" s="93">
        <v>46120</v>
      </c>
      <c r="K318" s="93">
        <v>46122</v>
      </c>
      <c r="L318" s="93">
        <v>46324</v>
      </c>
      <c r="M318" s="14">
        <v>1</v>
      </c>
      <c r="N318" s="14">
        <v>500000000000</v>
      </c>
      <c r="O318" s="56">
        <v>100.073601086</v>
      </c>
      <c r="P318" s="56">
        <v>0</v>
      </c>
      <c r="Q318" s="14">
        <v>513917320500</v>
      </c>
      <c r="R318">
        <v>6</v>
      </c>
      <c r="S318" t="s">
        <v>1184</v>
      </c>
      <c r="T318" s="57">
        <f>IF(Dealps[[#This Row],[MATURITY_DATE]]-Dealps[[#This Row],[POSTED_DT]]&lt;0,0,IF(Dealps[[#This Row],[VALUE_DATE]]-Dealps[[#This Row],[POSTED_DT]]&gt;0,Dealps[[#This Row],[MATURITY_DATE]]-Dealps[[#This Row],[VALUE_DATE]],Dealps[[#This Row],[MATURITY_DATE]]-Dealps[[#This Row],[POSTED_DT]]))</f>
        <v>62</v>
      </c>
      <c r="U318" s="25">
        <f>IF(Dealps[[#This Row],[TENOR]]=0,0,IF(Dealps[[#This Row],[DEAL_TYPE]]="B",Dealps[[#This Row],[FACE_AMOUNT]],-Dealps[[#This Row],[FACE_AMOUNT]]))</f>
        <v>-500000000000</v>
      </c>
      <c r="V318" s="25">
        <f>_xlfn.XLOOKUP(Dealps[[#This Row],[PAPER_CODE]],FNRP!D:D,FNRP!H:H,0,0)/100*Dealps[[#This Row],[AMOUNT]]</f>
        <v>0</v>
      </c>
      <c r="W318" s="57" t="str">
        <f>IF(Dealps[[#This Row],[TRANSACTION_STATUS]]&lt;&gt;"V","Ngoai BS",IF(Dealps[[#This Row],[POSTED_DT]]&gt;=Dealps[[#This Row],[VALUE_DATE]],"On BS","Off BS"))</f>
        <v>On BS</v>
      </c>
      <c r="X318" s="25">
        <f>SUMIFS(U:U,C:C,Dealps[[#This Row],[PAPER_CODE]])</f>
        <v>500000000000</v>
      </c>
      <c r="Y318" s="25">
        <f>_xlfn.XLOOKUP(Dealps[[#This Row],[DEAL_ID]],Ref!N:N,Ref!Q:Q,0,0)</f>
        <v>0</v>
      </c>
      <c r="Z318" s="25" t="str">
        <f>IF(Dealps[[#This Row],[CPTY_CODE]]=Dealps[[#This Row],[CPTY_CODE_ISSUER]],"Yes","No")</f>
        <v>No</v>
      </c>
      <c r="AA318" s="25"/>
      <c r="AC318" s="14"/>
      <c r="AG318" s="96"/>
      <c r="AH318" s="25"/>
      <c r="AI318" s="25"/>
      <c r="AN318" s="14"/>
      <c r="AV318" s="36"/>
      <c r="AW318" s="14"/>
      <c r="AX318" s="234"/>
      <c r="AY318" s="96"/>
      <c r="AZ318" s="14"/>
      <c r="BA318"/>
      <c r="BB318" s="93">
        <v>46262</v>
      </c>
      <c r="BC318">
        <v>2413</v>
      </c>
      <c r="BD318" s="56" t="s">
        <v>1019</v>
      </c>
      <c r="BE318" t="s">
        <v>1011</v>
      </c>
      <c r="BF318" t="s">
        <v>1012</v>
      </c>
      <c r="BG318" t="s">
        <v>364</v>
      </c>
      <c r="BH318" t="s">
        <v>1013</v>
      </c>
      <c r="BI318" t="s">
        <v>311</v>
      </c>
      <c r="BJ318" s="93">
        <v>45891</v>
      </c>
      <c r="BK318" s="93">
        <v>45891</v>
      </c>
      <c r="BL318" s="93">
        <v>45891</v>
      </c>
      <c r="BM318" s="93">
        <v>46606</v>
      </c>
      <c r="BN318" s="14">
        <v>1</v>
      </c>
      <c r="BO318" s="14">
        <v>10000000000</v>
      </c>
      <c r="BP318" s="56">
        <v>100</v>
      </c>
      <c r="BQ318" s="56">
        <v>0</v>
      </c>
      <c r="BR318" s="14">
        <v>10023835616</v>
      </c>
      <c r="BS318">
        <v>5.7700680000000002</v>
      </c>
      <c r="BT318" t="s">
        <v>1184</v>
      </c>
      <c r="BU318" s="25">
        <f>_xlfn.XLOOKUP(Dealps_MSB[[#This Row],[DEAL_ID]],Ref!V:V,Ref!X:X,0,0)</f>
        <v>0</v>
      </c>
      <c r="BV318"/>
    </row>
    <row r="319" spans="1:74" x14ac:dyDescent="0.3">
      <c r="A319" s="93">
        <v>46262</v>
      </c>
      <c r="B319">
        <v>4003</v>
      </c>
      <c r="C319" s="56" t="s">
        <v>1004</v>
      </c>
      <c r="D319" t="s">
        <v>324</v>
      </c>
      <c r="E319" t="s">
        <v>345</v>
      </c>
      <c r="F319" t="s">
        <v>364</v>
      </c>
      <c r="G319" t="s">
        <v>310</v>
      </c>
      <c r="H319" t="s">
        <v>311</v>
      </c>
      <c r="I319" s="93">
        <v>46120</v>
      </c>
      <c r="J319" s="93">
        <v>46120</v>
      </c>
      <c r="K319" s="93">
        <v>46122</v>
      </c>
      <c r="L319" s="93">
        <v>46323</v>
      </c>
      <c r="M319" s="14">
        <v>1</v>
      </c>
      <c r="N319" s="14">
        <v>300000000000</v>
      </c>
      <c r="O319" s="56">
        <v>100.124809536</v>
      </c>
      <c r="P319" s="56">
        <v>0</v>
      </c>
      <c r="Q319" s="14">
        <v>308814702582</v>
      </c>
      <c r="R319">
        <v>5.9</v>
      </c>
      <c r="S319" t="s">
        <v>1184</v>
      </c>
      <c r="T319" s="57">
        <f>IF(Dealps[[#This Row],[MATURITY_DATE]]-Dealps[[#This Row],[POSTED_DT]]&lt;0,0,IF(Dealps[[#This Row],[VALUE_DATE]]-Dealps[[#This Row],[POSTED_DT]]&gt;0,Dealps[[#This Row],[MATURITY_DATE]]-Dealps[[#This Row],[VALUE_DATE]],Dealps[[#This Row],[MATURITY_DATE]]-Dealps[[#This Row],[POSTED_DT]]))</f>
        <v>61</v>
      </c>
      <c r="U319" s="25">
        <f>IF(Dealps[[#This Row],[TENOR]]=0,0,IF(Dealps[[#This Row],[DEAL_TYPE]]="B",Dealps[[#This Row],[FACE_AMOUNT]],-Dealps[[#This Row],[FACE_AMOUNT]]))</f>
        <v>-300000000000</v>
      </c>
      <c r="V319" s="25">
        <f>_xlfn.XLOOKUP(Dealps[[#This Row],[PAPER_CODE]],FNRP!D:D,FNRP!H:H,0,0)/100*Dealps[[#This Row],[AMOUNT]]</f>
        <v>0</v>
      </c>
      <c r="W319" s="57" t="str">
        <f>IF(Dealps[[#This Row],[TRANSACTION_STATUS]]&lt;&gt;"V","Ngoai BS",IF(Dealps[[#This Row],[POSTED_DT]]&gt;=Dealps[[#This Row],[VALUE_DATE]],"On BS","Off BS"))</f>
        <v>On BS</v>
      </c>
      <c r="X319" s="25">
        <f>SUMIFS(U:U,C:C,Dealps[[#This Row],[PAPER_CODE]])</f>
        <v>500000000000</v>
      </c>
      <c r="Y319" s="25">
        <f>_xlfn.XLOOKUP(Dealps[[#This Row],[DEAL_ID]],Ref!N:N,Ref!Q:Q,0,0)</f>
        <v>0</v>
      </c>
      <c r="Z319" s="25" t="str">
        <f>IF(Dealps[[#This Row],[CPTY_CODE]]=Dealps[[#This Row],[CPTY_CODE_ISSUER]],"Yes","No")</f>
        <v>No</v>
      </c>
      <c r="AA319" s="25"/>
      <c r="AC319" s="14"/>
      <c r="AG319" s="96"/>
      <c r="AH319" s="25"/>
      <c r="AI319" s="25"/>
      <c r="AN319" s="14"/>
      <c r="AV319" s="36"/>
      <c r="AW319" s="14"/>
      <c r="AX319" s="234"/>
      <c r="AY319" s="96"/>
      <c r="AZ319" s="14"/>
      <c r="BA319"/>
      <c r="BB319" s="93">
        <v>46262</v>
      </c>
      <c r="BC319">
        <v>2414</v>
      </c>
      <c r="BD319" s="56" t="s">
        <v>1019</v>
      </c>
      <c r="BE319" t="s">
        <v>1011</v>
      </c>
      <c r="BF319" t="s">
        <v>1012</v>
      </c>
      <c r="BG319" t="s">
        <v>364</v>
      </c>
      <c r="BH319" t="s">
        <v>1013</v>
      </c>
      <c r="BI319" t="s">
        <v>311</v>
      </c>
      <c r="BJ319" s="93">
        <v>45891</v>
      </c>
      <c r="BK319" s="93">
        <v>45891</v>
      </c>
      <c r="BL319" s="93">
        <v>45891</v>
      </c>
      <c r="BM319" s="93">
        <v>46606</v>
      </c>
      <c r="BN319" s="14">
        <v>1</v>
      </c>
      <c r="BO319" s="14">
        <v>10000000000</v>
      </c>
      <c r="BP319" s="56">
        <v>100</v>
      </c>
      <c r="BQ319" s="56">
        <v>0</v>
      </c>
      <c r="BR319" s="14">
        <v>10023835616</v>
      </c>
      <c r="BS319">
        <v>5.7700680000000002</v>
      </c>
      <c r="BT319" t="s">
        <v>1184</v>
      </c>
      <c r="BU319" s="25">
        <f>_xlfn.XLOOKUP(Dealps_MSB[[#This Row],[DEAL_ID]],Ref!V:V,Ref!X:X,0,0)</f>
        <v>0</v>
      </c>
      <c r="BV319"/>
    </row>
    <row r="320" spans="1:74" x14ac:dyDescent="0.3">
      <c r="A320" s="93">
        <v>46262</v>
      </c>
      <c r="B320">
        <v>4004</v>
      </c>
      <c r="C320" s="56" t="s">
        <v>1071</v>
      </c>
      <c r="D320" t="s">
        <v>328</v>
      </c>
      <c r="E320" t="s">
        <v>345</v>
      </c>
      <c r="F320" t="s">
        <v>364</v>
      </c>
      <c r="G320" t="s">
        <v>310</v>
      </c>
      <c r="H320" t="s">
        <v>311</v>
      </c>
      <c r="I320" s="93">
        <v>46120</v>
      </c>
      <c r="J320" s="93">
        <v>46120</v>
      </c>
      <c r="K320" s="93">
        <v>46122</v>
      </c>
      <c r="L320" s="93">
        <v>46352</v>
      </c>
      <c r="M320" s="14">
        <v>1</v>
      </c>
      <c r="N320" s="14">
        <v>200000000000</v>
      </c>
      <c r="O320" s="56">
        <v>100.276035901</v>
      </c>
      <c r="P320" s="56">
        <v>0</v>
      </c>
      <c r="Q320" s="14">
        <v>205398099200</v>
      </c>
      <c r="R320">
        <v>6</v>
      </c>
      <c r="S320" t="s">
        <v>1184</v>
      </c>
      <c r="T320" s="57">
        <f>IF(Dealps[[#This Row],[MATURITY_DATE]]-Dealps[[#This Row],[POSTED_DT]]&lt;0,0,IF(Dealps[[#This Row],[VALUE_DATE]]-Dealps[[#This Row],[POSTED_DT]]&gt;0,Dealps[[#This Row],[MATURITY_DATE]]-Dealps[[#This Row],[VALUE_DATE]],Dealps[[#This Row],[MATURITY_DATE]]-Dealps[[#This Row],[POSTED_DT]]))</f>
        <v>90</v>
      </c>
      <c r="U320" s="25">
        <f>IF(Dealps[[#This Row],[TENOR]]=0,0,IF(Dealps[[#This Row],[DEAL_TYPE]]="B",Dealps[[#This Row],[FACE_AMOUNT]],-Dealps[[#This Row],[FACE_AMOUNT]]))</f>
        <v>-200000000000</v>
      </c>
      <c r="V320" s="25">
        <f>_xlfn.XLOOKUP(Dealps[[#This Row],[PAPER_CODE]],FNRP!D:D,FNRP!H:H,0,0)/100*Dealps[[#This Row],[AMOUNT]]</f>
        <v>0</v>
      </c>
      <c r="W320" s="57" t="str">
        <f>IF(Dealps[[#This Row],[TRANSACTION_STATUS]]&lt;&gt;"V","Ngoai BS",IF(Dealps[[#This Row],[POSTED_DT]]&gt;=Dealps[[#This Row],[VALUE_DATE]],"On BS","Off BS"))</f>
        <v>On BS</v>
      </c>
      <c r="X320" s="25">
        <f>SUMIFS(U:U,C:C,Dealps[[#This Row],[PAPER_CODE]])</f>
        <v>1500000000000</v>
      </c>
      <c r="Y320" s="25">
        <f>_xlfn.XLOOKUP(Dealps[[#This Row],[DEAL_ID]],Ref!N:N,Ref!Q:Q,0,0)</f>
        <v>0</v>
      </c>
      <c r="Z320" s="25" t="str">
        <f>IF(Dealps[[#This Row],[CPTY_CODE]]=Dealps[[#This Row],[CPTY_CODE_ISSUER]],"Yes","No")</f>
        <v>No</v>
      </c>
      <c r="AA320" s="25"/>
      <c r="AC320" s="14"/>
      <c r="AG320" s="96"/>
      <c r="AH320" s="25"/>
      <c r="AI320" s="25"/>
      <c r="AN320" s="14"/>
      <c r="AV320" s="36"/>
      <c r="AW320" s="14"/>
      <c r="AX320" s="234"/>
      <c r="AY320" s="96"/>
      <c r="AZ320" s="14"/>
      <c r="BA320"/>
      <c r="BB320" s="93">
        <v>46262</v>
      </c>
      <c r="BC320">
        <v>2415</v>
      </c>
      <c r="BD320" s="56" t="s">
        <v>1018</v>
      </c>
      <c r="BE320" t="s">
        <v>1011</v>
      </c>
      <c r="BF320" t="s">
        <v>1012</v>
      </c>
      <c r="BG320" t="s">
        <v>364</v>
      </c>
      <c r="BH320" t="s">
        <v>1013</v>
      </c>
      <c r="BI320" t="s">
        <v>311</v>
      </c>
      <c r="BJ320" s="93">
        <v>45891</v>
      </c>
      <c r="BK320" s="93">
        <v>45891</v>
      </c>
      <c r="BL320" s="93">
        <v>45891</v>
      </c>
      <c r="BM320" s="93">
        <v>46606</v>
      </c>
      <c r="BN320" s="14">
        <v>1</v>
      </c>
      <c r="BO320" s="14">
        <v>10000000000</v>
      </c>
      <c r="BP320" s="56">
        <v>100</v>
      </c>
      <c r="BQ320" s="56">
        <v>0</v>
      </c>
      <c r="BR320" s="14">
        <v>10020547945</v>
      </c>
      <c r="BS320">
        <v>4.9758290000000001</v>
      </c>
      <c r="BT320" t="s">
        <v>1184</v>
      </c>
      <c r="BU320" s="25">
        <f>_xlfn.XLOOKUP(Dealps_MSB[[#This Row],[DEAL_ID]],Ref!V:V,Ref!X:X,0,0)</f>
        <v>0</v>
      </c>
      <c r="BV320"/>
    </row>
    <row r="321" spans="1:74" x14ac:dyDescent="0.3">
      <c r="A321" s="93">
        <v>46262</v>
      </c>
      <c r="B321">
        <v>4005</v>
      </c>
      <c r="C321" s="56" t="s">
        <v>1061</v>
      </c>
      <c r="D321" t="s">
        <v>312</v>
      </c>
      <c r="E321" t="s">
        <v>315</v>
      </c>
      <c r="F321" t="s">
        <v>364</v>
      </c>
      <c r="G321" t="s">
        <v>310</v>
      </c>
      <c r="H321" t="s">
        <v>300</v>
      </c>
      <c r="I321" s="93">
        <v>46121</v>
      </c>
      <c r="J321" s="93">
        <v>46119</v>
      </c>
      <c r="K321" s="93">
        <v>46121</v>
      </c>
      <c r="L321" s="93">
        <v>46343</v>
      </c>
      <c r="M321" s="14">
        <v>1</v>
      </c>
      <c r="N321" s="14">
        <v>500000000000</v>
      </c>
      <c r="O321" s="56">
        <v>99.884542296000006</v>
      </c>
      <c r="P321" s="56">
        <v>0</v>
      </c>
      <c r="Q321" s="14">
        <v>511677506000</v>
      </c>
      <c r="R321">
        <v>6.3417180000000002</v>
      </c>
      <c r="S321" t="s">
        <v>1184</v>
      </c>
      <c r="T321" s="57">
        <f>IF(Dealps[[#This Row],[MATURITY_DATE]]-Dealps[[#This Row],[POSTED_DT]]&lt;0,0,IF(Dealps[[#This Row],[VALUE_DATE]]-Dealps[[#This Row],[POSTED_DT]]&gt;0,Dealps[[#This Row],[MATURITY_DATE]]-Dealps[[#This Row],[VALUE_DATE]],Dealps[[#This Row],[MATURITY_DATE]]-Dealps[[#This Row],[POSTED_DT]]))</f>
        <v>81</v>
      </c>
      <c r="U321" s="25">
        <f>IF(Dealps[[#This Row],[TENOR]]=0,0,IF(Dealps[[#This Row],[DEAL_TYPE]]="B",Dealps[[#This Row],[FACE_AMOUNT]],-Dealps[[#This Row],[FACE_AMOUNT]]))</f>
        <v>500000000000</v>
      </c>
      <c r="V321" s="25">
        <f>_xlfn.XLOOKUP(Dealps[[#This Row],[PAPER_CODE]],FNRP!D:D,FNRP!H:H,0,0)/100*Dealps[[#This Row],[AMOUNT]]</f>
        <v>0</v>
      </c>
      <c r="W321" s="57" t="str">
        <f>IF(Dealps[[#This Row],[TRANSACTION_STATUS]]&lt;&gt;"V","Ngoai BS",IF(Dealps[[#This Row],[POSTED_DT]]&gt;=Dealps[[#This Row],[VALUE_DATE]],"On BS","Off BS"))</f>
        <v>On BS</v>
      </c>
      <c r="X321" s="25">
        <f>SUMIFS(U:U,C:C,Dealps[[#This Row],[PAPER_CODE]])</f>
        <v>1500000000000</v>
      </c>
      <c r="Y321" s="25">
        <f>_xlfn.XLOOKUP(Dealps[[#This Row],[DEAL_ID]],Ref!N:N,Ref!Q:Q,0,0)</f>
        <v>0</v>
      </c>
      <c r="Z321" s="25" t="str">
        <f>IF(Dealps[[#This Row],[CPTY_CODE]]=Dealps[[#This Row],[CPTY_CODE_ISSUER]],"Yes","No")</f>
        <v>No</v>
      </c>
      <c r="AA321" s="25"/>
      <c r="AC321" s="14"/>
      <c r="AG321" s="96"/>
      <c r="AH321" s="25"/>
      <c r="AI321" s="25"/>
      <c r="AN321" s="14"/>
      <c r="AV321" s="36"/>
      <c r="AW321" s="14"/>
      <c r="AX321" s="234"/>
      <c r="AY321" s="96"/>
      <c r="AZ321" s="14"/>
      <c r="BA321"/>
      <c r="BB321" s="93">
        <v>46262</v>
      </c>
      <c r="BC321">
        <v>2419</v>
      </c>
      <c r="BD321" s="56" t="s">
        <v>1019</v>
      </c>
      <c r="BE321" t="s">
        <v>1011</v>
      </c>
      <c r="BF321" t="s">
        <v>1012</v>
      </c>
      <c r="BG321" t="s">
        <v>364</v>
      </c>
      <c r="BH321" t="s">
        <v>1013</v>
      </c>
      <c r="BI321" t="s">
        <v>311</v>
      </c>
      <c r="BJ321" s="93">
        <v>45894</v>
      </c>
      <c r="BK321" s="93">
        <v>45894</v>
      </c>
      <c r="BL321" s="93">
        <v>45894</v>
      </c>
      <c r="BM321" s="93">
        <v>46606</v>
      </c>
      <c r="BN321" s="14">
        <v>1</v>
      </c>
      <c r="BO321" s="14">
        <v>10000000000</v>
      </c>
      <c r="BP321" s="56">
        <v>100</v>
      </c>
      <c r="BQ321" s="56">
        <v>0</v>
      </c>
      <c r="BR321" s="14">
        <v>10028602740</v>
      </c>
      <c r="BS321">
        <v>5.767258</v>
      </c>
      <c r="BT321" t="s">
        <v>1184</v>
      </c>
      <c r="BU321" s="25">
        <f>_xlfn.XLOOKUP(Dealps_MSB[[#This Row],[DEAL_ID]],Ref!V:V,Ref!X:X,0,0)</f>
        <v>0</v>
      </c>
      <c r="BV321"/>
    </row>
    <row r="322" spans="1:74" x14ac:dyDescent="0.3">
      <c r="A322" s="93">
        <v>46262</v>
      </c>
      <c r="B322">
        <v>4006</v>
      </c>
      <c r="C322" s="56" t="s">
        <v>1061</v>
      </c>
      <c r="D322" t="s">
        <v>312</v>
      </c>
      <c r="E322" t="s">
        <v>315</v>
      </c>
      <c r="F322" t="s">
        <v>364</v>
      </c>
      <c r="G322" t="s">
        <v>310</v>
      </c>
      <c r="H322" t="s">
        <v>300</v>
      </c>
      <c r="I322" s="93">
        <v>46121</v>
      </c>
      <c r="J322" s="93">
        <v>46119</v>
      </c>
      <c r="K322" s="93">
        <v>46121</v>
      </c>
      <c r="L322" s="93">
        <v>46343</v>
      </c>
      <c r="M322" s="14">
        <v>1</v>
      </c>
      <c r="N322" s="14">
        <v>500000000000</v>
      </c>
      <c r="O322" s="56">
        <v>99.881500696000003</v>
      </c>
      <c r="P322" s="56">
        <v>0</v>
      </c>
      <c r="Q322" s="14">
        <v>511662298000</v>
      </c>
      <c r="R322">
        <v>6.346794</v>
      </c>
      <c r="S322" t="s">
        <v>1184</v>
      </c>
      <c r="T322" s="57">
        <f>IF(Dealps[[#This Row],[MATURITY_DATE]]-Dealps[[#This Row],[POSTED_DT]]&lt;0,0,IF(Dealps[[#This Row],[VALUE_DATE]]-Dealps[[#This Row],[POSTED_DT]]&gt;0,Dealps[[#This Row],[MATURITY_DATE]]-Dealps[[#This Row],[VALUE_DATE]],Dealps[[#This Row],[MATURITY_DATE]]-Dealps[[#This Row],[POSTED_DT]]))</f>
        <v>81</v>
      </c>
      <c r="U322" s="25">
        <f>IF(Dealps[[#This Row],[TENOR]]=0,0,IF(Dealps[[#This Row],[DEAL_TYPE]]="B",Dealps[[#This Row],[FACE_AMOUNT]],-Dealps[[#This Row],[FACE_AMOUNT]]))</f>
        <v>500000000000</v>
      </c>
      <c r="V322" s="25">
        <f>_xlfn.XLOOKUP(Dealps[[#This Row],[PAPER_CODE]],FNRP!D:D,FNRP!H:H,0,0)/100*Dealps[[#This Row],[AMOUNT]]</f>
        <v>0</v>
      </c>
      <c r="W322" s="57" t="str">
        <f>IF(Dealps[[#This Row],[TRANSACTION_STATUS]]&lt;&gt;"V","Ngoai BS",IF(Dealps[[#This Row],[POSTED_DT]]&gt;=Dealps[[#This Row],[VALUE_DATE]],"On BS","Off BS"))</f>
        <v>On BS</v>
      </c>
      <c r="X322" s="25">
        <f>SUMIFS(U:U,C:C,Dealps[[#This Row],[PAPER_CODE]])</f>
        <v>1500000000000</v>
      </c>
      <c r="Y322" s="25">
        <f>_xlfn.XLOOKUP(Dealps[[#This Row],[DEAL_ID]],Ref!N:N,Ref!Q:Q,0,0)</f>
        <v>0</v>
      </c>
      <c r="Z322" s="25" t="str">
        <f>IF(Dealps[[#This Row],[CPTY_CODE]]=Dealps[[#This Row],[CPTY_CODE_ISSUER]],"Yes","No")</f>
        <v>No</v>
      </c>
      <c r="AA322" s="25"/>
      <c r="AC322" s="14"/>
      <c r="AG322" s="96"/>
      <c r="AH322" s="25"/>
      <c r="AI322" s="25"/>
      <c r="AN322" s="14"/>
      <c r="AV322" s="36"/>
      <c r="AW322" s="14"/>
      <c r="AX322" s="234"/>
      <c r="AY322" s="96"/>
      <c r="AZ322" s="14"/>
      <c r="BA322"/>
      <c r="BB322" s="93">
        <v>46262</v>
      </c>
      <c r="BC322">
        <v>2420</v>
      </c>
      <c r="BD322" s="56" t="s">
        <v>1019</v>
      </c>
      <c r="BE322" t="s">
        <v>1011</v>
      </c>
      <c r="BF322" t="s">
        <v>1012</v>
      </c>
      <c r="BG322" t="s">
        <v>364</v>
      </c>
      <c r="BH322" t="s">
        <v>1013</v>
      </c>
      <c r="BI322" t="s">
        <v>311</v>
      </c>
      <c r="BJ322" s="93">
        <v>45894</v>
      </c>
      <c r="BK322" s="93">
        <v>45894</v>
      </c>
      <c r="BL322" s="93">
        <v>45894</v>
      </c>
      <c r="BM322" s="93">
        <v>46606</v>
      </c>
      <c r="BN322" s="14">
        <v>1</v>
      </c>
      <c r="BO322" s="14">
        <v>10000000000</v>
      </c>
      <c r="BP322" s="56">
        <v>100</v>
      </c>
      <c r="BQ322" s="56">
        <v>0</v>
      </c>
      <c r="BR322" s="14">
        <v>10028602740</v>
      </c>
      <c r="BS322">
        <v>5.767258</v>
      </c>
      <c r="BT322" t="s">
        <v>1184</v>
      </c>
      <c r="BU322" s="25">
        <f>_xlfn.XLOOKUP(Dealps_MSB[[#This Row],[DEAL_ID]],Ref!V:V,Ref!X:X,0,0)</f>
        <v>0</v>
      </c>
      <c r="BV322"/>
    </row>
    <row r="323" spans="1:74" x14ac:dyDescent="0.3">
      <c r="A323" s="93">
        <v>46262</v>
      </c>
      <c r="B323">
        <v>4007</v>
      </c>
      <c r="C323" s="56" t="s">
        <v>1249</v>
      </c>
      <c r="D323" t="s">
        <v>322</v>
      </c>
      <c r="E323" t="s">
        <v>1152</v>
      </c>
      <c r="F323" t="s">
        <v>364</v>
      </c>
      <c r="G323" t="s">
        <v>310</v>
      </c>
      <c r="H323" t="s">
        <v>311</v>
      </c>
      <c r="I323" s="93">
        <v>46121</v>
      </c>
      <c r="J323" s="93">
        <v>46121</v>
      </c>
      <c r="K323" s="93">
        <v>46121</v>
      </c>
      <c r="L323" s="93">
        <v>46304</v>
      </c>
      <c r="M323" s="14">
        <v>1</v>
      </c>
      <c r="N323" s="14">
        <v>200000000000</v>
      </c>
      <c r="O323" s="56">
        <v>100.267033918</v>
      </c>
      <c r="P323" s="56">
        <v>0</v>
      </c>
      <c r="Q323" s="14">
        <v>206484752768</v>
      </c>
      <c r="R323">
        <v>5.2956849999999998</v>
      </c>
      <c r="S323" t="s">
        <v>1184</v>
      </c>
      <c r="T323" s="57">
        <f>IF(Dealps[[#This Row],[MATURITY_DATE]]-Dealps[[#This Row],[POSTED_DT]]&lt;0,0,IF(Dealps[[#This Row],[VALUE_DATE]]-Dealps[[#This Row],[POSTED_DT]]&gt;0,Dealps[[#This Row],[MATURITY_DATE]]-Dealps[[#This Row],[VALUE_DATE]],Dealps[[#This Row],[MATURITY_DATE]]-Dealps[[#This Row],[POSTED_DT]]))</f>
        <v>42</v>
      </c>
      <c r="U323" s="25">
        <f>IF(Dealps[[#This Row],[TENOR]]=0,0,IF(Dealps[[#This Row],[DEAL_TYPE]]="B",Dealps[[#This Row],[FACE_AMOUNT]],-Dealps[[#This Row],[FACE_AMOUNT]]))</f>
        <v>-200000000000</v>
      </c>
      <c r="V323" s="25">
        <f>_xlfn.XLOOKUP(Dealps[[#This Row],[PAPER_CODE]],FNRP!D:D,FNRP!H:H,0,0)/100*Dealps[[#This Row],[AMOUNT]]</f>
        <v>0</v>
      </c>
      <c r="W323" s="57" t="str">
        <f>IF(Dealps[[#This Row],[TRANSACTION_STATUS]]&lt;&gt;"V","Ngoai BS",IF(Dealps[[#This Row],[POSTED_DT]]&gt;=Dealps[[#This Row],[VALUE_DATE]],"On BS","Off BS"))</f>
        <v>On BS</v>
      </c>
      <c r="X323" s="25">
        <f>SUMIFS(U:U,C:C,Dealps[[#This Row],[PAPER_CODE]])</f>
        <v>0</v>
      </c>
      <c r="Y323" s="25">
        <f>_xlfn.XLOOKUP(Dealps[[#This Row],[DEAL_ID]],Ref!N:N,Ref!Q:Q,0,0)</f>
        <v>0</v>
      </c>
      <c r="Z323" s="25" t="str">
        <f>IF(Dealps[[#This Row],[CPTY_CODE]]=Dealps[[#This Row],[CPTY_CODE_ISSUER]],"Yes","No")</f>
        <v>No</v>
      </c>
      <c r="AA323" s="25"/>
      <c r="AC323" s="14"/>
      <c r="AG323" s="96"/>
      <c r="AH323" s="25"/>
      <c r="AI323" s="25"/>
      <c r="AN323" s="14"/>
      <c r="AV323" s="36"/>
      <c r="AW323" s="14"/>
      <c r="AX323" s="234"/>
      <c r="AY323" s="96"/>
      <c r="AZ323" s="14"/>
      <c r="BA323"/>
      <c r="BB323" s="93">
        <v>46262</v>
      </c>
      <c r="BC323">
        <v>2421</v>
      </c>
      <c r="BD323" s="56" t="s">
        <v>1018</v>
      </c>
      <c r="BE323" t="s">
        <v>1011</v>
      </c>
      <c r="BF323" t="s">
        <v>1012</v>
      </c>
      <c r="BG323" t="s">
        <v>364</v>
      </c>
      <c r="BH323" t="s">
        <v>1013</v>
      </c>
      <c r="BI323" t="s">
        <v>311</v>
      </c>
      <c r="BJ323" s="93">
        <v>45894</v>
      </c>
      <c r="BK323" s="93">
        <v>45894</v>
      </c>
      <c r="BL323" s="93">
        <v>45894</v>
      </c>
      <c r="BM323" s="93">
        <v>46606</v>
      </c>
      <c r="BN323" s="14">
        <v>1</v>
      </c>
      <c r="BO323" s="14">
        <v>10000000000</v>
      </c>
      <c r="BP323" s="56">
        <v>100</v>
      </c>
      <c r="BQ323" s="56">
        <v>0</v>
      </c>
      <c r="BR323" s="14">
        <v>10024657534</v>
      </c>
      <c r="BS323">
        <v>4.9737299999999998</v>
      </c>
      <c r="BT323" t="s">
        <v>1184</v>
      </c>
      <c r="BU323" s="25">
        <f>_xlfn.XLOOKUP(Dealps_MSB[[#This Row],[DEAL_ID]],Ref!V:V,Ref!X:X,0,0)</f>
        <v>0</v>
      </c>
      <c r="BV323"/>
    </row>
    <row r="324" spans="1:74" x14ac:dyDescent="0.3">
      <c r="A324" s="93">
        <v>46262</v>
      </c>
      <c r="B324">
        <v>4010</v>
      </c>
      <c r="C324" s="56" t="s">
        <v>1256</v>
      </c>
      <c r="D324" t="s">
        <v>316</v>
      </c>
      <c r="E324" t="s">
        <v>344</v>
      </c>
      <c r="F324" t="s">
        <v>364</v>
      </c>
      <c r="G324" t="s">
        <v>310</v>
      </c>
      <c r="H324" t="s">
        <v>300</v>
      </c>
      <c r="I324" s="93">
        <v>46121</v>
      </c>
      <c r="J324" s="93">
        <v>46121</v>
      </c>
      <c r="K324" s="93">
        <v>46122</v>
      </c>
      <c r="L324" s="93">
        <v>46486</v>
      </c>
      <c r="M324" s="14">
        <v>1</v>
      </c>
      <c r="N324" s="14">
        <v>200000000000</v>
      </c>
      <c r="O324" s="56">
        <v>100.029999984</v>
      </c>
      <c r="P324" s="56">
        <v>0</v>
      </c>
      <c r="Q324" s="14">
        <v>200107671200</v>
      </c>
      <c r="R324">
        <v>8.6652529999999999</v>
      </c>
      <c r="S324" t="s">
        <v>1184</v>
      </c>
      <c r="T324" s="57">
        <f>IF(Dealps[[#This Row],[MATURITY_DATE]]-Dealps[[#This Row],[POSTED_DT]]&lt;0,0,IF(Dealps[[#This Row],[VALUE_DATE]]-Dealps[[#This Row],[POSTED_DT]]&gt;0,Dealps[[#This Row],[MATURITY_DATE]]-Dealps[[#This Row],[VALUE_DATE]],Dealps[[#This Row],[MATURITY_DATE]]-Dealps[[#This Row],[POSTED_DT]]))</f>
        <v>224</v>
      </c>
      <c r="U324" s="25">
        <f>IF(Dealps[[#This Row],[TENOR]]=0,0,IF(Dealps[[#This Row],[DEAL_TYPE]]="B",Dealps[[#This Row],[FACE_AMOUNT]],-Dealps[[#This Row],[FACE_AMOUNT]]))</f>
        <v>200000000000</v>
      </c>
      <c r="V324" s="25">
        <f>_xlfn.XLOOKUP(Dealps[[#This Row],[PAPER_CODE]],FNRP!D:D,FNRP!H:H,0,0)/100*Dealps[[#This Row],[AMOUNT]]</f>
        <v>0</v>
      </c>
      <c r="W324" s="57" t="str">
        <f>IF(Dealps[[#This Row],[TRANSACTION_STATUS]]&lt;&gt;"V","Ngoai BS",IF(Dealps[[#This Row],[POSTED_DT]]&gt;=Dealps[[#This Row],[VALUE_DATE]],"On BS","Off BS"))</f>
        <v>On BS</v>
      </c>
      <c r="X324" s="25">
        <f>SUMIFS(U:U,C:C,Dealps[[#This Row],[PAPER_CODE]])</f>
        <v>200000000000</v>
      </c>
      <c r="Y324" s="25">
        <f>_xlfn.XLOOKUP(Dealps[[#This Row],[DEAL_ID]],Ref!N:N,Ref!Q:Q,0,0)</f>
        <v>0</v>
      </c>
      <c r="Z324" s="25" t="str">
        <f>IF(Dealps[[#This Row],[CPTY_CODE]]=Dealps[[#This Row],[CPTY_CODE_ISSUER]],"Yes","No")</f>
        <v>No</v>
      </c>
      <c r="AA324" s="25"/>
      <c r="AC324" s="14"/>
      <c r="AG324" s="96"/>
      <c r="AH324" s="25"/>
      <c r="AI324" s="25"/>
      <c r="AN324" s="14"/>
      <c r="AV324" s="36"/>
      <c r="AW324" s="14"/>
      <c r="AX324" s="234"/>
      <c r="AY324" s="96"/>
      <c r="AZ324" s="14"/>
      <c r="BA324"/>
      <c r="BB324" s="93">
        <v>46262</v>
      </c>
      <c r="BC324">
        <v>2422</v>
      </c>
      <c r="BD324" s="56" t="s">
        <v>1018</v>
      </c>
      <c r="BE324" t="s">
        <v>1011</v>
      </c>
      <c r="BF324" t="s">
        <v>1012</v>
      </c>
      <c r="BG324" t="s">
        <v>364</v>
      </c>
      <c r="BH324" t="s">
        <v>1013</v>
      </c>
      <c r="BI324" t="s">
        <v>311</v>
      </c>
      <c r="BJ324" s="93">
        <v>45894</v>
      </c>
      <c r="BK324" s="93">
        <v>45894</v>
      </c>
      <c r="BL324" s="93">
        <v>45894</v>
      </c>
      <c r="BM324" s="93">
        <v>46606</v>
      </c>
      <c r="BN324" s="14">
        <v>1</v>
      </c>
      <c r="BO324" s="14">
        <v>10000000000</v>
      </c>
      <c r="BP324" s="56">
        <v>100</v>
      </c>
      <c r="BQ324" s="56">
        <v>0</v>
      </c>
      <c r="BR324" s="14">
        <v>10024657534</v>
      </c>
      <c r="BS324">
        <v>4.9737299999999998</v>
      </c>
      <c r="BT324" t="s">
        <v>1184</v>
      </c>
      <c r="BU324" s="25">
        <f>_xlfn.XLOOKUP(Dealps_MSB[[#This Row],[DEAL_ID]],Ref!V:V,Ref!X:X,0,0)</f>
        <v>0</v>
      </c>
      <c r="BV324"/>
    </row>
    <row r="325" spans="1:74" x14ac:dyDescent="0.3">
      <c r="A325" s="93">
        <v>46262</v>
      </c>
      <c r="B325">
        <v>4035</v>
      </c>
      <c r="C325" s="56" t="s">
        <v>1250</v>
      </c>
      <c r="D325" t="s">
        <v>312</v>
      </c>
      <c r="E325" t="s">
        <v>1152</v>
      </c>
      <c r="F325" t="s">
        <v>364</v>
      </c>
      <c r="G325" t="s">
        <v>310</v>
      </c>
      <c r="H325" t="s">
        <v>311</v>
      </c>
      <c r="I325" s="93">
        <v>46122</v>
      </c>
      <c r="J325" s="93">
        <v>46122</v>
      </c>
      <c r="K325" s="93">
        <v>46122</v>
      </c>
      <c r="L325" s="93">
        <v>46357</v>
      </c>
      <c r="M325" s="14">
        <v>1</v>
      </c>
      <c r="N325" s="14">
        <v>150000000000</v>
      </c>
      <c r="O325" s="56">
        <v>100.463315318</v>
      </c>
      <c r="P325" s="56">
        <v>0</v>
      </c>
      <c r="Q325" s="14">
        <v>154407986676</v>
      </c>
      <c r="R325">
        <v>6.0525200000000003</v>
      </c>
      <c r="S325" t="s">
        <v>1184</v>
      </c>
      <c r="T325" s="57">
        <f>IF(Dealps[[#This Row],[MATURITY_DATE]]-Dealps[[#This Row],[POSTED_DT]]&lt;0,0,IF(Dealps[[#This Row],[VALUE_DATE]]-Dealps[[#This Row],[POSTED_DT]]&gt;0,Dealps[[#This Row],[MATURITY_DATE]]-Dealps[[#This Row],[VALUE_DATE]],Dealps[[#This Row],[MATURITY_DATE]]-Dealps[[#This Row],[POSTED_DT]]))</f>
        <v>95</v>
      </c>
      <c r="U325" s="25">
        <f>IF(Dealps[[#This Row],[TENOR]]=0,0,IF(Dealps[[#This Row],[DEAL_TYPE]]="B",Dealps[[#This Row],[FACE_AMOUNT]],-Dealps[[#This Row],[FACE_AMOUNT]]))</f>
        <v>-150000000000</v>
      </c>
      <c r="V325" s="25">
        <f>_xlfn.XLOOKUP(Dealps[[#This Row],[PAPER_CODE]],FNRP!D:D,FNRP!H:H,0,0)/100*Dealps[[#This Row],[AMOUNT]]</f>
        <v>0</v>
      </c>
      <c r="W325" s="57" t="str">
        <f>IF(Dealps[[#This Row],[TRANSACTION_STATUS]]&lt;&gt;"V","Ngoai BS",IF(Dealps[[#This Row],[POSTED_DT]]&gt;=Dealps[[#This Row],[VALUE_DATE]],"On BS","Off BS"))</f>
        <v>On BS</v>
      </c>
      <c r="X325" s="25">
        <f>SUMIFS(U:U,C:C,Dealps[[#This Row],[PAPER_CODE]])</f>
        <v>0</v>
      </c>
      <c r="Y325" s="25">
        <f>_xlfn.XLOOKUP(Dealps[[#This Row],[DEAL_ID]],Ref!N:N,Ref!Q:Q,0,0)</f>
        <v>0</v>
      </c>
      <c r="Z325" s="25" t="str">
        <f>IF(Dealps[[#This Row],[CPTY_CODE]]=Dealps[[#This Row],[CPTY_CODE_ISSUER]],"Yes","No")</f>
        <v>No</v>
      </c>
      <c r="AA325" s="25"/>
      <c r="AC325" s="14"/>
      <c r="AG325" s="96"/>
      <c r="AH325" s="25"/>
      <c r="AI325" s="25"/>
      <c r="AN325" s="14"/>
      <c r="AV325" s="36"/>
      <c r="AW325" s="14"/>
      <c r="AX325" s="234"/>
      <c r="AY325" s="96"/>
      <c r="AZ325" s="14"/>
      <c r="BA325"/>
      <c r="BB325" s="93">
        <v>46262</v>
      </c>
      <c r="BC325">
        <v>2434</v>
      </c>
      <c r="BD325" s="56" t="s">
        <v>1019</v>
      </c>
      <c r="BE325" t="s">
        <v>1011</v>
      </c>
      <c r="BF325" t="s">
        <v>1012</v>
      </c>
      <c r="BG325" t="s">
        <v>364</v>
      </c>
      <c r="BH325" t="s">
        <v>1013</v>
      </c>
      <c r="BI325" t="s">
        <v>311</v>
      </c>
      <c r="BJ325" s="93">
        <v>45895</v>
      </c>
      <c r="BK325" s="93">
        <v>45895</v>
      </c>
      <c r="BL325" s="93">
        <v>45895</v>
      </c>
      <c r="BM325" s="93">
        <v>46606</v>
      </c>
      <c r="BN325" s="14">
        <v>1</v>
      </c>
      <c r="BO325" s="14">
        <v>10000000000</v>
      </c>
      <c r="BP325" s="56">
        <v>100</v>
      </c>
      <c r="BQ325" s="56">
        <v>0</v>
      </c>
      <c r="BR325" s="14">
        <v>10030191781</v>
      </c>
      <c r="BS325">
        <v>5.7663209999999996</v>
      </c>
      <c r="BT325" t="s">
        <v>1184</v>
      </c>
      <c r="BU325" s="25">
        <f>_xlfn.XLOOKUP(Dealps_MSB[[#This Row],[DEAL_ID]],Ref!V:V,Ref!X:X,0,0)</f>
        <v>0</v>
      </c>
      <c r="BV325"/>
    </row>
    <row r="326" spans="1:74" x14ac:dyDescent="0.3">
      <c r="A326" s="93">
        <v>46262</v>
      </c>
      <c r="B326">
        <v>4036</v>
      </c>
      <c r="C326" s="56" t="s">
        <v>1158</v>
      </c>
      <c r="D326" t="s">
        <v>327</v>
      </c>
      <c r="E326" t="s">
        <v>320</v>
      </c>
      <c r="F326" t="s">
        <v>364</v>
      </c>
      <c r="G326" t="s">
        <v>310</v>
      </c>
      <c r="H326" t="s">
        <v>300</v>
      </c>
      <c r="I326" s="93">
        <v>46122</v>
      </c>
      <c r="J326" s="93">
        <v>46122</v>
      </c>
      <c r="K326" s="93">
        <v>46122</v>
      </c>
      <c r="L326" s="93">
        <v>46409</v>
      </c>
      <c r="M326" s="14">
        <v>1</v>
      </c>
      <c r="N326" s="14">
        <v>1000000000000</v>
      </c>
      <c r="O326" s="56">
        <v>100.416948668</v>
      </c>
      <c r="P326" s="56">
        <v>0</v>
      </c>
      <c r="Q326" s="14">
        <v>1019358527780.0001</v>
      </c>
      <c r="R326">
        <v>6.5430700000000002</v>
      </c>
      <c r="S326" t="s">
        <v>1184</v>
      </c>
      <c r="T326" s="57">
        <f>IF(Dealps[[#This Row],[MATURITY_DATE]]-Dealps[[#This Row],[POSTED_DT]]&lt;0,0,IF(Dealps[[#This Row],[VALUE_DATE]]-Dealps[[#This Row],[POSTED_DT]]&gt;0,Dealps[[#This Row],[MATURITY_DATE]]-Dealps[[#This Row],[VALUE_DATE]],Dealps[[#This Row],[MATURITY_DATE]]-Dealps[[#This Row],[POSTED_DT]]))</f>
        <v>147</v>
      </c>
      <c r="U326" s="25">
        <f>IF(Dealps[[#This Row],[TENOR]]=0,0,IF(Dealps[[#This Row],[DEAL_TYPE]]="B",Dealps[[#This Row],[FACE_AMOUNT]],-Dealps[[#This Row],[FACE_AMOUNT]]))</f>
        <v>1000000000000</v>
      </c>
      <c r="V326" s="25">
        <f>_xlfn.XLOOKUP(Dealps[[#This Row],[PAPER_CODE]],FNRP!D:D,FNRP!H:H,0,0)/100*Dealps[[#This Row],[AMOUNT]]</f>
        <v>0</v>
      </c>
      <c r="W326" s="57" t="str">
        <f>IF(Dealps[[#This Row],[TRANSACTION_STATUS]]&lt;&gt;"V","Ngoai BS",IF(Dealps[[#This Row],[POSTED_DT]]&gt;=Dealps[[#This Row],[VALUE_DATE]],"On BS","Off BS"))</f>
        <v>On BS</v>
      </c>
      <c r="X326" s="25">
        <f>SUMIFS(U:U,C:C,Dealps[[#This Row],[PAPER_CODE]])</f>
        <v>2000000000000</v>
      </c>
      <c r="Y326" s="25">
        <f>_xlfn.XLOOKUP(Dealps[[#This Row],[DEAL_ID]],Ref!N:N,Ref!Q:Q,0,0)</f>
        <v>0</v>
      </c>
      <c r="Z326" s="25" t="str">
        <f>IF(Dealps[[#This Row],[CPTY_CODE]]=Dealps[[#This Row],[CPTY_CODE_ISSUER]],"Yes","No")</f>
        <v>No</v>
      </c>
      <c r="AA326" s="25"/>
      <c r="AC326" s="14"/>
      <c r="AG326" s="96"/>
      <c r="AH326" s="25"/>
      <c r="AI326" s="25"/>
      <c r="AN326" s="14"/>
      <c r="AV326" s="36"/>
      <c r="AW326" s="14"/>
      <c r="AX326" s="234"/>
      <c r="AY326" s="96"/>
      <c r="AZ326" s="14"/>
      <c r="BA326"/>
      <c r="BB326" s="93">
        <v>46262</v>
      </c>
      <c r="BC326">
        <v>2447</v>
      </c>
      <c r="BD326" s="56" t="s">
        <v>1019</v>
      </c>
      <c r="BE326" t="s">
        <v>1011</v>
      </c>
      <c r="BF326" t="s">
        <v>1012</v>
      </c>
      <c r="BG326" t="s">
        <v>364</v>
      </c>
      <c r="BH326" t="s">
        <v>1013</v>
      </c>
      <c r="BI326" t="s">
        <v>311</v>
      </c>
      <c r="BJ326" s="93">
        <v>45896</v>
      </c>
      <c r="BK326" s="93">
        <v>45896</v>
      </c>
      <c r="BL326" s="93">
        <v>45896</v>
      </c>
      <c r="BM326" s="93">
        <v>46606</v>
      </c>
      <c r="BN326" s="14">
        <v>1</v>
      </c>
      <c r="BO326" s="14">
        <v>10000000000</v>
      </c>
      <c r="BP326" s="56">
        <v>100</v>
      </c>
      <c r="BQ326" s="56">
        <v>0</v>
      </c>
      <c r="BR326" s="14">
        <v>10031780822</v>
      </c>
      <c r="BS326">
        <v>5.7653850000000002</v>
      </c>
      <c r="BT326" t="s">
        <v>1184</v>
      </c>
      <c r="BU326" s="25">
        <f>_xlfn.XLOOKUP(Dealps_MSB[[#This Row],[DEAL_ID]],Ref!V:V,Ref!X:X,0,0)</f>
        <v>0</v>
      </c>
      <c r="BV326"/>
    </row>
    <row r="327" spans="1:74" x14ac:dyDescent="0.3">
      <c r="A327" s="93">
        <v>46262</v>
      </c>
      <c r="B327">
        <v>4042</v>
      </c>
      <c r="C327" s="56" t="s">
        <v>1071</v>
      </c>
      <c r="D327" t="s">
        <v>328</v>
      </c>
      <c r="E327" t="s">
        <v>347</v>
      </c>
      <c r="F327" t="s">
        <v>364</v>
      </c>
      <c r="G327" t="s">
        <v>310</v>
      </c>
      <c r="H327" t="s">
        <v>300</v>
      </c>
      <c r="I327" s="93">
        <v>46122</v>
      </c>
      <c r="J327" s="93">
        <v>46122</v>
      </c>
      <c r="K327" s="93">
        <v>46122</v>
      </c>
      <c r="L327" s="93">
        <v>46352</v>
      </c>
      <c r="M327" s="14">
        <v>1</v>
      </c>
      <c r="N327" s="14">
        <v>1000000000000</v>
      </c>
      <c r="O327" s="56">
        <v>100.41652530099999</v>
      </c>
      <c r="P327" s="56">
        <v>0</v>
      </c>
      <c r="Q327" s="14">
        <v>1028395389999.9999</v>
      </c>
      <c r="R327">
        <v>5.7750089999999998</v>
      </c>
      <c r="S327" t="s">
        <v>1184</v>
      </c>
      <c r="T327" s="57">
        <f>IF(Dealps[[#This Row],[MATURITY_DATE]]-Dealps[[#This Row],[POSTED_DT]]&lt;0,0,IF(Dealps[[#This Row],[VALUE_DATE]]-Dealps[[#This Row],[POSTED_DT]]&gt;0,Dealps[[#This Row],[MATURITY_DATE]]-Dealps[[#This Row],[VALUE_DATE]],Dealps[[#This Row],[MATURITY_DATE]]-Dealps[[#This Row],[POSTED_DT]]))</f>
        <v>90</v>
      </c>
      <c r="U327" s="25">
        <f>IF(Dealps[[#This Row],[TENOR]]=0,0,IF(Dealps[[#This Row],[DEAL_TYPE]]="B",Dealps[[#This Row],[FACE_AMOUNT]],-Dealps[[#This Row],[FACE_AMOUNT]]))</f>
        <v>1000000000000</v>
      </c>
      <c r="V327" s="25">
        <f>_xlfn.XLOOKUP(Dealps[[#This Row],[PAPER_CODE]],FNRP!D:D,FNRP!H:H,0,0)/100*Dealps[[#This Row],[AMOUNT]]</f>
        <v>0</v>
      </c>
      <c r="W327" s="57" t="str">
        <f>IF(Dealps[[#This Row],[TRANSACTION_STATUS]]&lt;&gt;"V","Ngoai BS",IF(Dealps[[#This Row],[POSTED_DT]]&gt;=Dealps[[#This Row],[VALUE_DATE]],"On BS","Off BS"))</f>
        <v>On BS</v>
      </c>
      <c r="X327" s="25">
        <f>SUMIFS(U:U,C:C,Dealps[[#This Row],[PAPER_CODE]])</f>
        <v>1500000000000</v>
      </c>
      <c r="Y327" s="25">
        <f>_xlfn.XLOOKUP(Dealps[[#This Row],[DEAL_ID]],Ref!N:N,Ref!Q:Q,0,0)</f>
        <v>0</v>
      </c>
      <c r="Z327" s="25" t="str">
        <f>IF(Dealps[[#This Row],[CPTY_CODE]]=Dealps[[#This Row],[CPTY_CODE_ISSUER]],"Yes","No")</f>
        <v>No</v>
      </c>
      <c r="AA327" s="25"/>
      <c r="AC327" s="14"/>
      <c r="AG327" s="96"/>
      <c r="AH327" s="25"/>
      <c r="AI327" s="25"/>
      <c r="AN327" s="14"/>
      <c r="AV327" s="36"/>
      <c r="AW327" s="14"/>
      <c r="AX327" s="234"/>
      <c r="AY327" s="96"/>
      <c r="AZ327" s="14"/>
      <c r="BA327"/>
      <c r="BB327" s="93">
        <v>46262</v>
      </c>
      <c r="BC327">
        <v>2448</v>
      </c>
      <c r="BD327" s="56" t="s">
        <v>1019</v>
      </c>
      <c r="BE327" t="s">
        <v>1011</v>
      </c>
      <c r="BF327" t="s">
        <v>1012</v>
      </c>
      <c r="BG327" t="s">
        <v>364</v>
      </c>
      <c r="BH327" t="s">
        <v>1013</v>
      </c>
      <c r="BI327" t="s">
        <v>311</v>
      </c>
      <c r="BJ327" s="93">
        <v>45896</v>
      </c>
      <c r="BK327" s="93">
        <v>45896</v>
      </c>
      <c r="BL327" s="93">
        <v>45896</v>
      </c>
      <c r="BM327" s="93">
        <v>46606</v>
      </c>
      <c r="BN327" s="14">
        <v>1</v>
      </c>
      <c r="BO327" s="14">
        <v>10000000000</v>
      </c>
      <c r="BP327" s="56">
        <v>100</v>
      </c>
      <c r="BQ327" s="56">
        <v>0</v>
      </c>
      <c r="BR327" s="14">
        <v>10031780822</v>
      </c>
      <c r="BS327">
        <v>5.7653850000000002</v>
      </c>
      <c r="BT327" t="s">
        <v>1184</v>
      </c>
      <c r="BU327" s="25">
        <f>_xlfn.XLOOKUP(Dealps_MSB[[#This Row],[DEAL_ID]],Ref!V:V,Ref!X:X,0,0)</f>
        <v>0</v>
      </c>
      <c r="BV327"/>
    </row>
    <row r="328" spans="1:74" x14ac:dyDescent="0.3">
      <c r="A328" s="93">
        <v>46262</v>
      </c>
      <c r="B328">
        <v>4043</v>
      </c>
      <c r="C328" s="56" t="s">
        <v>1258</v>
      </c>
      <c r="D328" t="s">
        <v>321</v>
      </c>
      <c r="E328" t="s">
        <v>321</v>
      </c>
      <c r="F328" t="s">
        <v>364</v>
      </c>
      <c r="G328" t="s">
        <v>310</v>
      </c>
      <c r="H328" t="s">
        <v>300</v>
      </c>
      <c r="I328" s="93">
        <v>46122</v>
      </c>
      <c r="J328" s="93">
        <v>46122</v>
      </c>
      <c r="K328" s="93">
        <v>46126</v>
      </c>
      <c r="L328" s="93">
        <v>46485</v>
      </c>
      <c r="M328" s="14">
        <v>1</v>
      </c>
      <c r="N328" s="14">
        <v>2000000000000</v>
      </c>
      <c r="O328" s="56">
        <v>100</v>
      </c>
      <c r="P328" s="56">
        <v>0</v>
      </c>
      <c r="Q328" s="14">
        <v>2000000000000</v>
      </c>
      <c r="R328">
        <v>8.4</v>
      </c>
      <c r="S328" t="s">
        <v>1184</v>
      </c>
      <c r="T328" s="57">
        <f>IF(Dealps[[#This Row],[MATURITY_DATE]]-Dealps[[#This Row],[POSTED_DT]]&lt;0,0,IF(Dealps[[#This Row],[VALUE_DATE]]-Dealps[[#This Row],[POSTED_DT]]&gt;0,Dealps[[#This Row],[MATURITY_DATE]]-Dealps[[#This Row],[VALUE_DATE]],Dealps[[#This Row],[MATURITY_DATE]]-Dealps[[#This Row],[POSTED_DT]]))</f>
        <v>223</v>
      </c>
      <c r="U328" s="25">
        <f>IF(Dealps[[#This Row],[TENOR]]=0,0,IF(Dealps[[#This Row],[DEAL_TYPE]]="B",Dealps[[#This Row],[FACE_AMOUNT]],-Dealps[[#This Row],[FACE_AMOUNT]]))</f>
        <v>2000000000000</v>
      </c>
      <c r="V328" s="25">
        <f>_xlfn.XLOOKUP(Dealps[[#This Row],[PAPER_CODE]],FNRP!D:D,FNRP!H:H,0,0)/100*Dealps[[#This Row],[AMOUNT]]</f>
        <v>0</v>
      </c>
      <c r="W328" s="57" t="str">
        <f>IF(Dealps[[#This Row],[TRANSACTION_STATUS]]&lt;&gt;"V","Ngoai BS",IF(Dealps[[#This Row],[POSTED_DT]]&gt;=Dealps[[#This Row],[VALUE_DATE]],"On BS","Off BS"))</f>
        <v>On BS</v>
      </c>
      <c r="X328" s="25">
        <f>SUMIFS(U:U,C:C,Dealps[[#This Row],[PAPER_CODE]])</f>
        <v>2000000000000</v>
      </c>
      <c r="Y328" s="25">
        <f>_xlfn.XLOOKUP(Dealps[[#This Row],[DEAL_ID]],Ref!N:N,Ref!Q:Q,0,0)</f>
        <v>0</v>
      </c>
      <c r="Z328" s="25" t="str">
        <f>IF(Dealps[[#This Row],[CPTY_CODE]]=Dealps[[#This Row],[CPTY_CODE_ISSUER]],"Yes","No")</f>
        <v>Yes</v>
      </c>
      <c r="AA328" s="25"/>
      <c r="AC328" s="14"/>
      <c r="AG328" s="96"/>
      <c r="AH328" s="25"/>
      <c r="AI328" s="25"/>
      <c r="AN328" s="14"/>
      <c r="AV328" s="36"/>
      <c r="AW328" s="14"/>
      <c r="AX328" s="234"/>
      <c r="AY328" s="96"/>
      <c r="AZ328" s="14"/>
      <c r="BA328"/>
      <c r="BB328" s="93">
        <v>46262</v>
      </c>
      <c r="BC328">
        <v>2455</v>
      </c>
      <c r="BD328" s="56" t="s">
        <v>1019</v>
      </c>
      <c r="BE328" t="s">
        <v>1011</v>
      </c>
      <c r="BF328" t="s">
        <v>1012</v>
      </c>
      <c r="BG328" t="s">
        <v>364</v>
      </c>
      <c r="BH328" t="s">
        <v>1013</v>
      </c>
      <c r="BI328" t="s">
        <v>311</v>
      </c>
      <c r="BJ328" s="93">
        <v>45897</v>
      </c>
      <c r="BK328" s="93">
        <v>45897</v>
      </c>
      <c r="BL328" s="93">
        <v>45897</v>
      </c>
      <c r="BM328" s="93">
        <v>46606</v>
      </c>
      <c r="BN328" s="14">
        <v>1</v>
      </c>
      <c r="BO328" s="14">
        <v>10000000000</v>
      </c>
      <c r="BP328" s="56">
        <v>100</v>
      </c>
      <c r="BQ328" s="56">
        <v>0</v>
      </c>
      <c r="BR328" s="14">
        <v>10033369863</v>
      </c>
      <c r="BS328">
        <v>5.7644489999999999</v>
      </c>
      <c r="BT328" t="s">
        <v>1184</v>
      </c>
      <c r="BU328" s="25">
        <f>_xlfn.XLOOKUP(Dealps_MSB[[#This Row],[DEAL_ID]],Ref!V:V,Ref!X:X,0,0)</f>
        <v>0</v>
      </c>
      <c r="BV328"/>
    </row>
    <row r="329" spans="1:74" x14ac:dyDescent="0.3">
      <c r="A329" s="93">
        <v>46262</v>
      </c>
      <c r="B329">
        <v>4068</v>
      </c>
      <c r="C329" s="56" t="s">
        <v>1073</v>
      </c>
      <c r="D329" t="s">
        <v>325</v>
      </c>
      <c r="E329" t="s">
        <v>312</v>
      </c>
      <c r="F329" t="s">
        <v>364</v>
      </c>
      <c r="G329" t="s">
        <v>310</v>
      </c>
      <c r="H329" t="s">
        <v>300</v>
      </c>
      <c r="I329" s="93">
        <v>46125</v>
      </c>
      <c r="J329" s="93">
        <v>46125</v>
      </c>
      <c r="K329" s="93">
        <v>46125</v>
      </c>
      <c r="L329" s="93">
        <v>46356</v>
      </c>
      <c r="M329" s="14">
        <v>1</v>
      </c>
      <c r="N329" s="14">
        <v>400000000000</v>
      </c>
      <c r="O329" s="56">
        <v>100.114136293</v>
      </c>
      <c r="P329" s="56">
        <v>0</v>
      </c>
      <c r="Q329" s="14">
        <v>410076271200</v>
      </c>
      <c r="R329">
        <v>6.2619129999999998</v>
      </c>
      <c r="S329" t="s">
        <v>1184</v>
      </c>
      <c r="T329" s="57">
        <f>IF(Dealps[[#This Row],[MATURITY_DATE]]-Dealps[[#This Row],[POSTED_DT]]&lt;0,0,IF(Dealps[[#This Row],[VALUE_DATE]]-Dealps[[#This Row],[POSTED_DT]]&gt;0,Dealps[[#This Row],[MATURITY_DATE]]-Dealps[[#This Row],[VALUE_DATE]],Dealps[[#This Row],[MATURITY_DATE]]-Dealps[[#This Row],[POSTED_DT]]))</f>
        <v>94</v>
      </c>
      <c r="U329" s="25">
        <f>IF(Dealps[[#This Row],[TENOR]]=0,0,IF(Dealps[[#This Row],[DEAL_TYPE]]="B",Dealps[[#This Row],[FACE_AMOUNT]],-Dealps[[#This Row],[FACE_AMOUNT]]))</f>
        <v>400000000000</v>
      </c>
      <c r="V329" s="25">
        <f>_xlfn.XLOOKUP(Dealps[[#This Row],[PAPER_CODE]],FNRP!D:D,FNRP!H:H,0,0)/100*Dealps[[#This Row],[AMOUNT]]</f>
        <v>0</v>
      </c>
      <c r="W329" s="57" t="str">
        <f>IF(Dealps[[#This Row],[TRANSACTION_STATUS]]&lt;&gt;"V","Ngoai BS",IF(Dealps[[#This Row],[POSTED_DT]]&gt;=Dealps[[#This Row],[VALUE_DATE]],"On BS","Off BS"))</f>
        <v>On BS</v>
      </c>
      <c r="X329" s="25">
        <f>SUMIFS(U:U,C:C,Dealps[[#This Row],[PAPER_CODE]])</f>
        <v>400000000000</v>
      </c>
      <c r="Y329" s="25">
        <f>_xlfn.XLOOKUP(Dealps[[#This Row],[DEAL_ID]],Ref!N:N,Ref!Q:Q,0,0)</f>
        <v>0</v>
      </c>
      <c r="Z329" s="25" t="str">
        <f>IF(Dealps[[#This Row],[CPTY_CODE]]=Dealps[[#This Row],[CPTY_CODE_ISSUER]],"Yes","No")</f>
        <v>No</v>
      </c>
      <c r="AA329" s="25"/>
      <c r="AC329" s="14"/>
      <c r="AG329" s="96"/>
      <c r="AH329" s="25"/>
      <c r="AI329" s="25"/>
      <c r="AN329" s="14"/>
      <c r="AV329" s="36"/>
      <c r="AW329" s="14"/>
      <c r="AX329" s="234"/>
      <c r="AY329" s="96"/>
      <c r="AZ329" s="14"/>
      <c r="BA329"/>
      <c r="BB329" s="93">
        <v>46262</v>
      </c>
      <c r="BC329">
        <v>2456</v>
      </c>
      <c r="BD329" s="56" t="s">
        <v>1018</v>
      </c>
      <c r="BE329" t="s">
        <v>1011</v>
      </c>
      <c r="BF329" t="s">
        <v>1012</v>
      </c>
      <c r="BG329" t="s">
        <v>364</v>
      </c>
      <c r="BH329" t="s">
        <v>1013</v>
      </c>
      <c r="BI329" t="s">
        <v>311</v>
      </c>
      <c r="BJ329" s="93">
        <v>45897</v>
      </c>
      <c r="BK329" s="93">
        <v>45897</v>
      </c>
      <c r="BL329" s="93">
        <v>45897</v>
      </c>
      <c r="BM329" s="93">
        <v>46606</v>
      </c>
      <c r="BN329" s="14">
        <v>1</v>
      </c>
      <c r="BO329" s="14">
        <v>10000000000</v>
      </c>
      <c r="BP329" s="56">
        <v>100</v>
      </c>
      <c r="BQ329" s="56">
        <v>0</v>
      </c>
      <c r="BR329" s="14">
        <v>10028767123</v>
      </c>
      <c r="BS329">
        <v>4.9716329999999997</v>
      </c>
      <c r="BT329" t="s">
        <v>1184</v>
      </c>
      <c r="BU329" s="25">
        <f>_xlfn.XLOOKUP(Dealps_MSB[[#This Row],[DEAL_ID]],Ref!V:V,Ref!X:X,0,0)</f>
        <v>0</v>
      </c>
      <c r="BV329"/>
    </row>
    <row r="330" spans="1:74" x14ac:dyDescent="0.3">
      <c r="A330" s="93">
        <v>46262</v>
      </c>
      <c r="B330">
        <v>4069</v>
      </c>
      <c r="C330" s="56" t="s">
        <v>1004</v>
      </c>
      <c r="D330" t="s">
        <v>324</v>
      </c>
      <c r="E330" t="s">
        <v>312</v>
      </c>
      <c r="F330" t="s">
        <v>364</v>
      </c>
      <c r="G330" t="s">
        <v>310</v>
      </c>
      <c r="H330" t="s">
        <v>300</v>
      </c>
      <c r="I330" s="93">
        <v>46125</v>
      </c>
      <c r="J330" s="93">
        <v>46125</v>
      </c>
      <c r="K330" s="93">
        <v>46125</v>
      </c>
      <c r="L330" s="93">
        <v>46323</v>
      </c>
      <c r="M330" s="14">
        <v>1</v>
      </c>
      <c r="N330" s="14">
        <v>200000000000</v>
      </c>
      <c r="O330" s="56">
        <v>100.14283362</v>
      </c>
      <c r="P330" s="56">
        <v>0</v>
      </c>
      <c r="Q330" s="14">
        <v>206016078198</v>
      </c>
      <c r="R330">
        <v>5.8604120000000002</v>
      </c>
      <c r="S330" t="s">
        <v>1184</v>
      </c>
      <c r="T330" s="57">
        <f>IF(Dealps[[#This Row],[MATURITY_DATE]]-Dealps[[#This Row],[POSTED_DT]]&lt;0,0,IF(Dealps[[#This Row],[VALUE_DATE]]-Dealps[[#This Row],[POSTED_DT]]&gt;0,Dealps[[#This Row],[MATURITY_DATE]]-Dealps[[#This Row],[VALUE_DATE]],Dealps[[#This Row],[MATURITY_DATE]]-Dealps[[#This Row],[POSTED_DT]]))</f>
        <v>61</v>
      </c>
      <c r="U330" s="25">
        <f>IF(Dealps[[#This Row],[TENOR]]=0,0,IF(Dealps[[#This Row],[DEAL_TYPE]]="B",Dealps[[#This Row],[FACE_AMOUNT]],-Dealps[[#This Row],[FACE_AMOUNT]]))</f>
        <v>200000000000</v>
      </c>
      <c r="V330" s="25">
        <f>_xlfn.XLOOKUP(Dealps[[#This Row],[PAPER_CODE]],FNRP!D:D,FNRP!H:H,0,0)/100*Dealps[[#This Row],[AMOUNT]]</f>
        <v>0</v>
      </c>
      <c r="W330" s="57" t="str">
        <f>IF(Dealps[[#This Row],[TRANSACTION_STATUS]]&lt;&gt;"V","Ngoai BS",IF(Dealps[[#This Row],[POSTED_DT]]&gt;=Dealps[[#This Row],[VALUE_DATE]],"On BS","Off BS"))</f>
        <v>On BS</v>
      </c>
      <c r="X330" s="25">
        <f>SUMIFS(U:U,C:C,Dealps[[#This Row],[PAPER_CODE]])</f>
        <v>500000000000</v>
      </c>
      <c r="Y330" s="25">
        <f>_xlfn.XLOOKUP(Dealps[[#This Row],[DEAL_ID]],Ref!N:N,Ref!Q:Q,0,0)</f>
        <v>0</v>
      </c>
      <c r="Z330" s="25" t="str">
        <f>IF(Dealps[[#This Row],[CPTY_CODE]]=Dealps[[#This Row],[CPTY_CODE_ISSUER]],"Yes","No")</f>
        <v>No</v>
      </c>
      <c r="AA330" s="25"/>
      <c r="AC330" s="14"/>
      <c r="AG330" s="96"/>
      <c r="AH330" s="25"/>
      <c r="AI330" s="25"/>
      <c r="AN330" s="14"/>
      <c r="AV330" s="36"/>
      <c r="AW330" s="14"/>
      <c r="AX330" s="234"/>
      <c r="AY330" s="96"/>
      <c r="AZ330" s="14"/>
      <c r="BA330"/>
      <c r="BB330" s="93">
        <v>46262</v>
      </c>
      <c r="BC330">
        <v>2457</v>
      </c>
      <c r="BD330" s="56" t="s">
        <v>1018</v>
      </c>
      <c r="BE330" t="s">
        <v>1011</v>
      </c>
      <c r="BF330" t="s">
        <v>1012</v>
      </c>
      <c r="BG330" t="s">
        <v>364</v>
      </c>
      <c r="BH330" t="s">
        <v>1013</v>
      </c>
      <c r="BI330" t="s">
        <v>311</v>
      </c>
      <c r="BJ330" s="93">
        <v>45897</v>
      </c>
      <c r="BK330" s="93">
        <v>45897</v>
      </c>
      <c r="BL330" s="93">
        <v>45897</v>
      </c>
      <c r="BM330" s="93">
        <v>46606</v>
      </c>
      <c r="BN330" s="14">
        <v>1</v>
      </c>
      <c r="BO330" s="14">
        <v>10000000000</v>
      </c>
      <c r="BP330" s="56">
        <v>100</v>
      </c>
      <c r="BQ330" s="56">
        <v>0</v>
      </c>
      <c r="BR330" s="14">
        <v>10028767123</v>
      </c>
      <c r="BS330">
        <v>4.9716329999999997</v>
      </c>
      <c r="BT330" t="s">
        <v>1184</v>
      </c>
      <c r="BU330" s="25">
        <f>_xlfn.XLOOKUP(Dealps_MSB[[#This Row],[DEAL_ID]],Ref!V:V,Ref!X:X,0,0)</f>
        <v>0</v>
      </c>
      <c r="BV330"/>
    </row>
    <row r="331" spans="1:74" x14ac:dyDescent="0.3">
      <c r="A331" s="93">
        <v>46262</v>
      </c>
      <c r="B331">
        <v>4070</v>
      </c>
      <c r="C331" s="56" t="s">
        <v>1204</v>
      </c>
      <c r="D331" t="s">
        <v>315</v>
      </c>
      <c r="E331" t="s">
        <v>312</v>
      </c>
      <c r="F331" t="s">
        <v>364</v>
      </c>
      <c r="G331" t="s">
        <v>310</v>
      </c>
      <c r="H331" t="s">
        <v>300</v>
      </c>
      <c r="I331" s="93">
        <v>46125</v>
      </c>
      <c r="J331" s="93">
        <v>46125</v>
      </c>
      <c r="K331" s="93">
        <v>46125</v>
      </c>
      <c r="L331" s="93">
        <v>46422</v>
      </c>
      <c r="M331" s="14">
        <v>1</v>
      </c>
      <c r="N331" s="14">
        <v>100000000000</v>
      </c>
      <c r="O331" s="56">
        <v>100.052423582</v>
      </c>
      <c r="P331" s="56">
        <v>0</v>
      </c>
      <c r="Q331" s="14">
        <v>101401245500</v>
      </c>
      <c r="R331">
        <v>7.076416</v>
      </c>
      <c r="S331" t="s">
        <v>1184</v>
      </c>
      <c r="T331" s="57">
        <f>IF(Dealps[[#This Row],[MATURITY_DATE]]-Dealps[[#This Row],[POSTED_DT]]&lt;0,0,IF(Dealps[[#This Row],[VALUE_DATE]]-Dealps[[#This Row],[POSTED_DT]]&gt;0,Dealps[[#This Row],[MATURITY_DATE]]-Dealps[[#This Row],[VALUE_DATE]],Dealps[[#This Row],[MATURITY_DATE]]-Dealps[[#This Row],[POSTED_DT]]))</f>
        <v>160</v>
      </c>
      <c r="U331" s="25">
        <f>IF(Dealps[[#This Row],[TENOR]]=0,0,IF(Dealps[[#This Row],[DEAL_TYPE]]="B",Dealps[[#This Row],[FACE_AMOUNT]],-Dealps[[#This Row],[FACE_AMOUNT]]))</f>
        <v>100000000000</v>
      </c>
      <c r="V331" s="25">
        <f>_xlfn.XLOOKUP(Dealps[[#This Row],[PAPER_CODE]],FNRP!D:D,FNRP!H:H,0,0)/100*Dealps[[#This Row],[AMOUNT]]</f>
        <v>0</v>
      </c>
      <c r="W331" s="57" t="str">
        <f>IF(Dealps[[#This Row],[TRANSACTION_STATUS]]&lt;&gt;"V","Ngoai BS",IF(Dealps[[#This Row],[POSTED_DT]]&gt;=Dealps[[#This Row],[VALUE_DATE]],"On BS","Off BS"))</f>
        <v>On BS</v>
      </c>
      <c r="X331" s="25">
        <f>SUMIFS(U:U,C:C,Dealps[[#This Row],[PAPER_CODE]])</f>
        <v>1000000000000</v>
      </c>
      <c r="Y331" s="25">
        <f>_xlfn.XLOOKUP(Dealps[[#This Row],[DEAL_ID]],Ref!N:N,Ref!Q:Q,0,0)</f>
        <v>0</v>
      </c>
      <c r="Z331" s="25" t="str">
        <f>IF(Dealps[[#This Row],[CPTY_CODE]]=Dealps[[#This Row],[CPTY_CODE_ISSUER]],"Yes","No")</f>
        <v>No</v>
      </c>
      <c r="AA331" s="25"/>
      <c r="AC331" s="14"/>
      <c r="AG331" s="96"/>
      <c r="AH331" s="25"/>
      <c r="AI331" s="25"/>
      <c r="AN331" s="14"/>
      <c r="AV331" s="36"/>
      <c r="AW331" s="14"/>
      <c r="AX331" s="234"/>
      <c r="AY331" s="96"/>
      <c r="AZ331" s="14"/>
      <c r="BA331"/>
      <c r="BB331" s="93">
        <v>46262</v>
      </c>
      <c r="BC331">
        <v>2469</v>
      </c>
      <c r="BD331" s="56" t="s">
        <v>1018</v>
      </c>
      <c r="BE331" t="s">
        <v>1011</v>
      </c>
      <c r="BF331" t="s">
        <v>1012</v>
      </c>
      <c r="BG331" t="s">
        <v>364</v>
      </c>
      <c r="BH331" t="s">
        <v>1013</v>
      </c>
      <c r="BI331" t="s">
        <v>311</v>
      </c>
      <c r="BJ331" s="93">
        <v>45898</v>
      </c>
      <c r="BK331" s="93">
        <v>45898</v>
      </c>
      <c r="BL331" s="93">
        <v>45898</v>
      </c>
      <c r="BM331" s="93">
        <v>46606</v>
      </c>
      <c r="BN331" s="14">
        <v>1</v>
      </c>
      <c r="BO331" s="14">
        <v>10000000000</v>
      </c>
      <c r="BP331" s="56">
        <v>100</v>
      </c>
      <c r="BQ331" s="56">
        <v>0</v>
      </c>
      <c r="BR331" s="14">
        <v>10030136986</v>
      </c>
      <c r="BS331">
        <v>4.9709349999999999</v>
      </c>
      <c r="BT331" t="s">
        <v>1184</v>
      </c>
      <c r="BU331" s="25">
        <f>_xlfn.XLOOKUP(Dealps_MSB[[#This Row],[DEAL_ID]],Ref!V:V,Ref!X:X,0,0)</f>
        <v>0</v>
      </c>
      <c r="BV331"/>
    </row>
    <row r="332" spans="1:74" x14ac:dyDescent="0.3">
      <c r="A332" s="93">
        <v>46262</v>
      </c>
      <c r="B332">
        <v>4073</v>
      </c>
      <c r="C332" s="56" t="s">
        <v>953</v>
      </c>
      <c r="D332" t="s">
        <v>325</v>
      </c>
      <c r="E332" t="s">
        <v>312</v>
      </c>
      <c r="F332" t="s">
        <v>364</v>
      </c>
      <c r="G332" t="s">
        <v>310</v>
      </c>
      <c r="H332" t="s">
        <v>300</v>
      </c>
      <c r="I332" s="93">
        <v>46125</v>
      </c>
      <c r="J332" s="93">
        <v>46125</v>
      </c>
      <c r="K332" s="93">
        <v>46125</v>
      </c>
      <c r="L332" s="93">
        <v>46274</v>
      </c>
      <c r="M332" s="14">
        <v>1</v>
      </c>
      <c r="N332" s="14">
        <v>300000000000</v>
      </c>
      <c r="O332" s="56">
        <v>100.164163925</v>
      </c>
      <c r="P332" s="56">
        <v>0</v>
      </c>
      <c r="Q332" s="14">
        <v>311095231500</v>
      </c>
      <c r="R332">
        <v>5.3982060000000001</v>
      </c>
      <c r="S332" t="s">
        <v>1184</v>
      </c>
      <c r="T332" s="57">
        <f>IF(Dealps[[#This Row],[MATURITY_DATE]]-Dealps[[#This Row],[POSTED_DT]]&lt;0,0,IF(Dealps[[#This Row],[VALUE_DATE]]-Dealps[[#This Row],[POSTED_DT]]&gt;0,Dealps[[#This Row],[MATURITY_DATE]]-Dealps[[#This Row],[VALUE_DATE]],Dealps[[#This Row],[MATURITY_DATE]]-Dealps[[#This Row],[POSTED_DT]]))</f>
        <v>12</v>
      </c>
      <c r="U332" s="25">
        <f>IF(Dealps[[#This Row],[TENOR]]=0,0,IF(Dealps[[#This Row],[DEAL_TYPE]]="B",Dealps[[#This Row],[FACE_AMOUNT]],-Dealps[[#This Row],[FACE_AMOUNT]]))</f>
        <v>300000000000</v>
      </c>
      <c r="V332" s="25">
        <f>_xlfn.XLOOKUP(Dealps[[#This Row],[PAPER_CODE]],FNRP!D:D,FNRP!H:H,0,0)/100*Dealps[[#This Row],[AMOUNT]]</f>
        <v>0</v>
      </c>
      <c r="W332" s="57" t="str">
        <f>IF(Dealps[[#This Row],[TRANSACTION_STATUS]]&lt;&gt;"V","Ngoai BS",IF(Dealps[[#This Row],[POSTED_DT]]&gt;=Dealps[[#This Row],[VALUE_DATE]],"On BS","Off BS"))</f>
        <v>On BS</v>
      </c>
      <c r="X332" s="25">
        <f>SUMIFS(U:U,C:C,Dealps[[#This Row],[PAPER_CODE]])</f>
        <v>300000000000</v>
      </c>
      <c r="Y332" s="25">
        <f>_xlfn.XLOOKUP(Dealps[[#This Row],[DEAL_ID]],Ref!N:N,Ref!Q:Q,0,0)</f>
        <v>0</v>
      </c>
      <c r="Z332" s="25" t="str">
        <f>IF(Dealps[[#This Row],[CPTY_CODE]]=Dealps[[#This Row],[CPTY_CODE_ISSUER]],"Yes","No")</f>
        <v>No</v>
      </c>
      <c r="AA332" s="25"/>
      <c r="AC332" s="14"/>
      <c r="AG332" s="96"/>
      <c r="AH332" s="25"/>
      <c r="AI332" s="25"/>
      <c r="AN332" s="14"/>
      <c r="AV332" s="36"/>
      <c r="AW332" s="14"/>
      <c r="AX332" s="234"/>
      <c r="AY332" s="96"/>
      <c r="AZ332" s="14"/>
      <c r="BA332"/>
      <c r="BB332" s="93">
        <v>46262</v>
      </c>
      <c r="BC332">
        <v>2470</v>
      </c>
      <c r="BD332" s="56" t="s">
        <v>1018</v>
      </c>
      <c r="BE332" t="s">
        <v>1011</v>
      </c>
      <c r="BF332" t="s">
        <v>1012</v>
      </c>
      <c r="BG332" t="s">
        <v>364</v>
      </c>
      <c r="BH332" t="s">
        <v>1013</v>
      </c>
      <c r="BI332" t="s">
        <v>311</v>
      </c>
      <c r="BJ332" s="93">
        <v>45898</v>
      </c>
      <c r="BK332" s="93">
        <v>45898</v>
      </c>
      <c r="BL332" s="93">
        <v>45898</v>
      </c>
      <c r="BM332" s="93">
        <v>46606</v>
      </c>
      <c r="BN332" s="14">
        <v>1</v>
      </c>
      <c r="BO332" s="14">
        <v>10000000000</v>
      </c>
      <c r="BP332" s="56">
        <v>100</v>
      </c>
      <c r="BQ332" s="56">
        <v>0</v>
      </c>
      <c r="BR332" s="14">
        <v>10030136986</v>
      </c>
      <c r="BS332">
        <v>4.9709349999999999</v>
      </c>
      <c r="BT332" t="s">
        <v>1184</v>
      </c>
      <c r="BU332" s="25">
        <f>_xlfn.XLOOKUP(Dealps_MSB[[#This Row],[DEAL_ID]],Ref!V:V,Ref!X:X,0,0)</f>
        <v>0</v>
      </c>
      <c r="BV332"/>
    </row>
    <row r="333" spans="1:74" x14ac:dyDescent="0.3">
      <c r="A333" s="93">
        <v>46262</v>
      </c>
      <c r="B333">
        <v>4074</v>
      </c>
      <c r="C333" s="56" t="s">
        <v>965</v>
      </c>
      <c r="D333" t="s">
        <v>325</v>
      </c>
      <c r="E333" t="s">
        <v>312</v>
      </c>
      <c r="F333" t="s">
        <v>364</v>
      </c>
      <c r="G333" t="s">
        <v>310</v>
      </c>
      <c r="H333" t="s">
        <v>300</v>
      </c>
      <c r="I333" s="93">
        <v>46125</v>
      </c>
      <c r="J333" s="93">
        <v>46125</v>
      </c>
      <c r="K333" s="93">
        <v>46125</v>
      </c>
      <c r="L333" s="93">
        <v>46301</v>
      </c>
      <c r="M333" s="14">
        <v>1</v>
      </c>
      <c r="N333" s="14">
        <v>500000000000</v>
      </c>
      <c r="O333" s="56">
        <v>100.128414044</v>
      </c>
      <c r="P333" s="56">
        <v>0</v>
      </c>
      <c r="Q333" s="14">
        <v>517124262000</v>
      </c>
      <c r="R333">
        <v>5.9305729999999999</v>
      </c>
      <c r="S333" t="s">
        <v>1184</v>
      </c>
      <c r="T333" s="57">
        <f>IF(Dealps[[#This Row],[MATURITY_DATE]]-Dealps[[#This Row],[POSTED_DT]]&lt;0,0,IF(Dealps[[#This Row],[VALUE_DATE]]-Dealps[[#This Row],[POSTED_DT]]&gt;0,Dealps[[#This Row],[MATURITY_DATE]]-Dealps[[#This Row],[VALUE_DATE]],Dealps[[#This Row],[MATURITY_DATE]]-Dealps[[#This Row],[POSTED_DT]]))</f>
        <v>39</v>
      </c>
      <c r="U333" s="25">
        <f>IF(Dealps[[#This Row],[TENOR]]=0,0,IF(Dealps[[#This Row],[DEAL_TYPE]]="B",Dealps[[#This Row],[FACE_AMOUNT]],-Dealps[[#This Row],[FACE_AMOUNT]]))</f>
        <v>500000000000</v>
      </c>
      <c r="V333" s="25">
        <f>_xlfn.XLOOKUP(Dealps[[#This Row],[PAPER_CODE]],FNRP!D:D,FNRP!H:H,0,0)/100*Dealps[[#This Row],[AMOUNT]]</f>
        <v>0</v>
      </c>
      <c r="W333" s="57" t="str">
        <f>IF(Dealps[[#This Row],[TRANSACTION_STATUS]]&lt;&gt;"V","Ngoai BS",IF(Dealps[[#This Row],[POSTED_DT]]&gt;=Dealps[[#This Row],[VALUE_DATE]],"On BS","Off BS"))</f>
        <v>On BS</v>
      </c>
      <c r="X333" s="25">
        <f>SUMIFS(U:U,C:C,Dealps[[#This Row],[PAPER_CODE]])</f>
        <v>500000000000</v>
      </c>
      <c r="Y333" s="25">
        <f>_xlfn.XLOOKUP(Dealps[[#This Row],[DEAL_ID]],Ref!N:N,Ref!Q:Q,0,0)</f>
        <v>0</v>
      </c>
      <c r="Z333" s="25" t="str">
        <f>IF(Dealps[[#This Row],[CPTY_CODE]]=Dealps[[#This Row],[CPTY_CODE_ISSUER]],"Yes","No")</f>
        <v>No</v>
      </c>
      <c r="AA333" s="25"/>
      <c r="AC333" s="14"/>
      <c r="AG333" s="96"/>
      <c r="AH333" s="25"/>
      <c r="AI333" s="25"/>
      <c r="AN333" s="14"/>
      <c r="AV333" s="36"/>
      <c r="AW333" s="14"/>
      <c r="AX333" s="234"/>
      <c r="AY333" s="96"/>
      <c r="AZ333" s="14"/>
      <c r="BA333"/>
      <c r="BB333" s="93">
        <v>46262</v>
      </c>
      <c r="BC333">
        <v>2471</v>
      </c>
      <c r="BD333" s="56" t="s">
        <v>1019</v>
      </c>
      <c r="BE333" t="s">
        <v>1011</v>
      </c>
      <c r="BF333" t="s">
        <v>1012</v>
      </c>
      <c r="BG333" t="s">
        <v>364</v>
      </c>
      <c r="BH333" t="s">
        <v>1013</v>
      </c>
      <c r="BI333" t="s">
        <v>311</v>
      </c>
      <c r="BJ333" s="93">
        <v>45898</v>
      </c>
      <c r="BK333" s="93">
        <v>45898</v>
      </c>
      <c r="BL333" s="93">
        <v>45898</v>
      </c>
      <c r="BM333" s="93">
        <v>46606</v>
      </c>
      <c r="BN333" s="14">
        <v>1</v>
      </c>
      <c r="BO333" s="14">
        <v>10000000000</v>
      </c>
      <c r="BP333" s="56">
        <v>100</v>
      </c>
      <c r="BQ333" s="56">
        <v>0</v>
      </c>
      <c r="BR333" s="14">
        <v>10034958904</v>
      </c>
      <c r="BS333">
        <v>5.7635129999999997</v>
      </c>
      <c r="BT333" t="s">
        <v>1184</v>
      </c>
      <c r="BU333" s="25">
        <f>_xlfn.XLOOKUP(Dealps_MSB[[#This Row],[DEAL_ID]],Ref!V:V,Ref!X:X,0,0)</f>
        <v>0</v>
      </c>
      <c r="BV333"/>
    </row>
    <row r="334" spans="1:74" x14ac:dyDescent="0.3">
      <c r="A334" s="93">
        <v>46262</v>
      </c>
      <c r="B334">
        <v>4075</v>
      </c>
      <c r="C334" s="56" t="s">
        <v>1010</v>
      </c>
      <c r="D334" t="s">
        <v>328</v>
      </c>
      <c r="E334" t="s">
        <v>312</v>
      </c>
      <c r="F334" t="s">
        <v>364</v>
      </c>
      <c r="G334" t="s">
        <v>310</v>
      </c>
      <c r="H334" t="s">
        <v>300</v>
      </c>
      <c r="I334" s="93">
        <v>46125</v>
      </c>
      <c r="J334" s="93">
        <v>46125</v>
      </c>
      <c r="K334" s="93">
        <v>46125</v>
      </c>
      <c r="L334" s="93">
        <v>46329</v>
      </c>
      <c r="M334" s="14">
        <v>1</v>
      </c>
      <c r="N334" s="14">
        <v>500000000000</v>
      </c>
      <c r="O334" s="56">
        <v>100.13346526399999</v>
      </c>
      <c r="P334" s="56">
        <v>0</v>
      </c>
      <c r="Q334" s="14">
        <v>514475545500.00006</v>
      </c>
      <c r="R334">
        <v>5.8906609999999997</v>
      </c>
      <c r="S334" t="s">
        <v>1184</v>
      </c>
      <c r="T334" s="57">
        <f>IF(Dealps[[#This Row],[MATURITY_DATE]]-Dealps[[#This Row],[POSTED_DT]]&lt;0,0,IF(Dealps[[#This Row],[VALUE_DATE]]-Dealps[[#This Row],[POSTED_DT]]&gt;0,Dealps[[#This Row],[MATURITY_DATE]]-Dealps[[#This Row],[VALUE_DATE]],Dealps[[#This Row],[MATURITY_DATE]]-Dealps[[#This Row],[POSTED_DT]]))</f>
        <v>67</v>
      </c>
      <c r="U334" s="25">
        <f>IF(Dealps[[#This Row],[TENOR]]=0,0,IF(Dealps[[#This Row],[DEAL_TYPE]]="B",Dealps[[#This Row],[FACE_AMOUNT]],-Dealps[[#This Row],[FACE_AMOUNT]]))</f>
        <v>500000000000</v>
      </c>
      <c r="V334" s="25">
        <f>_xlfn.XLOOKUP(Dealps[[#This Row],[PAPER_CODE]],FNRP!D:D,FNRP!H:H,0,0)/100*Dealps[[#This Row],[AMOUNT]]</f>
        <v>0</v>
      </c>
      <c r="W334" s="57" t="str">
        <f>IF(Dealps[[#This Row],[TRANSACTION_STATUS]]&lt;&gt;"V","Ngoai BS",IF(Dealps[[#This Row],[POSTED_DT]]&gt;=Dealps[[#This Row],[VALUE_DATE]],"On BS","Off BS"))</f>
        <v>On BS</v>
      </c>
      <c r="X334" s="25">
        <f>SUMIFS(U:U,C:C,Dealps[[#This Row],[PAPER_CODE]])</f>
        <v>2000000000000</v>
      </c>
      <c r="Y334" s="25">
        <f>_xlfn.XLOOKUP(Dealps[[#This Row],[DEAL_ID]],Ref!N:N,Ref!Q:Q,0,0)</f>
        <v>0</v>
      </c>
      <c r="Z334" s="25" t="str">
        <f>IF(Dealps[[#This Row],[CPTY_CODE]]=Dealps[[#This Row],[CPTY_CODE_ISSUER]],"Yes","No")</f>
        <v>No</v>
      </c>
      <c r="AA334" s="25"/>
      <c r="AC334" s="14"/>
      <c r="AG334" s="96"/>
      <c r="AH334" s="25"/>
      <c r="AI334" s="25"/>
      <c r="AN334" s="14"/>
      <c r="AV334" s="36"/>
      <c r="AW334" s="14"/>
      <c r="AX334" s="234"/>
      <c r="AY334" s="96"/>
      <c r="AZ334" s="14"/>
      <c r="BA334"/>
      <c r="BB334" s="93">
        <v>46262</v>
      </c>
      <c r="BC334">
        <v>2472</v>
      </c>
      <c r="BD334" s="56" t="s">
        <v>1019</v>
      </c>
      <c r="BE334" t="s">
        <v>1011</v>
      </c>
      <c r="BF334" t="s">
        <v>1012</v>
      </c>
      <c r="BG334" t="s">
        <v>364</v>
      </c>
      <c r="BH334" t="s">
        <v>1013</v>
      </c>
      <c r="BI334" t="s">
        <v>311</v>
      </c>
      <c r="BJ334" s="93">
        <v>45898</v>
      </c>
      <c r="BK334" s="93">
        <v>45898</v>
      </c>
      <c r="BL334" s="93">
        <v>45898</v>
      </c>
      <c r="BM334" s="93">
        <v>46606</v>
      </c>
      <c r="BN334" s="14">
        <v>1</v>
      </c>
      <c r="BO334" s="14">
        <v>10000000000</v>
      </c>
      <c r="BP334" s="56">
        <v>100</v>
      </c>
      <c r="BQ334" s="56">
        <v>0</v>
      </c>
      <c r="BR334" s="14">
        <v>10034958904</v>
      </c>
      <c r="BS334">
        <v>5.7635129999999997</v>
      </c>
      <c r="BT334" t="s">
        <v>1184</v>
      </c>
      <c r="BU334" s="25">
        <f>_xlfn.XLOOKUP(Dealps_MSB[[#This Row],[DEAL_ID]],Ref!V:V,Ref!X:X,0,0)</f>
        <v>0</v>
      </c>
      <c r="BV334"/>
    </row>
    <row r="335" spans="1:74" x14ac:dyDescent="0.3">
      <c r="A335" s="93">
        <v>46262</v>
      </c>
      <c r="B335">
        <v>4076</v>
      </c>
      <c r="C335" s="56" t="s">
        <v>1010</v>
      </c>
      <c r="D335" t="s">
        <v>328</v>
      </c>
      <c r="E335" t="s">
        <v>312</v>
      </c>
      <c r="F335" t="s">
        <v>364</v>
      </c>
      <c r="G335" t="s">
        <v>310</v>
      </c>
      <c r="H335" t="s">
        <v>300</v>
      </c>
      <c r="I335" s="93">
        <v>46125</v>
      </c>
      <c r="J335" s="93">
        <v>46125</v>
      </c>
      <c r="K335" s="93">
        <v>46125</v>
      </c>
      <c r="L335" s="93">
        <v>46329</v>
      </c>
      <c r="M335" s="14">
        <v>1</v>
      </c>
      <c r="N335" s="14">
        <v>700000000000</v>
      </c>
      <c r="O335" s="56">
        <v>100.13346526399999</v>
      </c>
      <c r="P335" s="56">
        <v>0</v>
      </c>
      <c r="Q335" s="14">
        <v>720265763700</v>
      </c>
      <c r="R335">
        <v>5.8906609999999997</v>
      </c>
      <c r="S335" t="s">
        <v>1184</v>
      </c>
      <c r="T335" s="57">
        <f>IF(Dealps[[#This Row],[MATURITY_DATE]]-Dealps[[#This Row],[POSTED_DT]]&lt;0,0,IF(Dealps[[#This Row],[VALUE_DATE]]-Dealps[[#This Row],[POSTED_DT]]&gt;0,Dealps[[#This Row],[MATURITY_DATE]]-Dealps[[#This Row],[VALUE_DATE]],Dealps[[#This Row],[MATURITY_DATE]]-Dealps[[#This Row],[POSTED_DT]]))</f>
        <v>67</v>
      </c>
      <c r="U335" s="25">
        <f>IF(Dealps[[#This Row],[TENOR]]=0,0,IF(Dealps[[#This Row],[DEAL_TYPE]]="B",Dealps[[#This Row],[FACE_AMOUNT]],-Dealps[[#This Row],[FACE_AMOUNT]]))</f>
        <v>700000000000</v>
      </c>
      <c r="V335" s="25">
        <f>_xlfn.XLOOKUP(Dealps[[#This Row],[PAPER_CODE]],FNRP!D:D,FNRP!H:H,0,0)/100*Dealps[[#This Row],[AMOUNT]]</f>
        <v>0</v>
      </c>
      <c r="W335" s="57" t="str">
        <f>IF(Dealps[[#This Row],[TRANSACTION_STATUS]]&lt;&gt;"V","Ngoai BS",IF(Dealps[[#This Row],[POSTED_DT]]&gt;=Dealps[[#This Row],[VALUE_DATE]],"On BS","Off BS"))</f>
        <v>On BS</v>
      </c>
      <c r="X335" s="25">
        <f>SUMIFS(U:U,C:C,Dealps[[#This Row],[PAPER_CODE]])</f>
        <v>2000000000000</v>
      </c>
      <c r="Y335" s="25">
        <f>_xlfn.XLOOKUP(Dealps[[#This Row],[DEAL_ID]],Ref!N:N,Ref!Q:Q,0,0)</f>
        <v>0</v>
      </c>
      <c r="Z335" s="25" t="str">
        <f>IF(Dealps[[#This Row],[CPTY_CODE]]=Dealps[[#This Row],[CPTY_CODE_ISSUER]],"Yes","No")</f>
        <v>No</v>
      </c>
      <c r="AA335" s="25"/>
      <c r="AC335" s="14"/>
      <c r="AG335" s="96"/>
      <c r="AH335" s="25"/>
      <c r="AI335" s="25"/>
      <c r="AN335" s="14"/>
      <c r="AV335" s="36"/>
      <c r="AW335" s="14"/>
      <c r="AX335" s="234"/>
      <c r="AY335" s="96"/>
      <c r="AZ335" s="14"/>
      <c r="BA335"/>
      <c r="BB335" s="93">
        <v>46262</v>
      </c>
      <c r="BC335">
        <v>2475</v>
      </c>
      <c r="BD335" s="56" t="s">
        <v>1018</v>
      </c>
      <c r="BE335" t="s">
        <v>1011</v>
      </c>
      <c r="BF335" t="s">
        <v>1012</v>
      </c>
      <c r="BG335" t="s">
        <v>364</v>
      </c>
      <c r="BH335" t="s">
        <v>1013</v>
      </c>
      <c r="BI335" t="s">
        <v>311</v>
      </c>
      <c r="BJ335" s="93">
        <v>45898</v>
      </c>
      <c r="BK335" s="93">
        <v>45898</v>
      </c>
      <c r="BL335" s="93">
        <v>45898</v>
      </c>
      <c r="BM335" s="93">
        <v>46606</v>
      </c>
      <c r="BN335" s="14">
        <v>1</v>
      </c>
      <c r="BO335" s="14">
        <v>10000000000</v>
      </c>
      <c r="BP335" s="56">
        <v>100</v>
      </c>
      <c r="BQ335" s="56">
        <v>0</v>
      </c>
      <c r="BR335" s="14">
        <v>10030136986</v>
      </c>
      <c r="BS335">
        <v>4.9709349999999999</v>
      </c>
      <c r="BT335" t="s">
        <v>1184</v>
      </c>
      <c r="BU335" s="25">
        <f>_xlfn.XLOOKUP(Dealps_MSB[[#This Row],[DEAL_ID]],Ref!V:V,Ref!X:X,0,0)</f>
        <v>0</v>
      </c>
      <c r="BV335"/>
    </row>
    <row r="336" spans="1:74" x14ac:dyDescent="0.3">
      <c r="A336" s="93">
        <v>46262</v>
      </c>
      <c r="B336">
        <v>4077</v>
      </c>
      <c r="C336" s="56" t="s">
        <v>1041</v>
      </c>
      <c r="D336" t="s">
        <v>703</v>
      </c>
      <c r="E336" t="s">
        <v>312</v>
      </c>
      <c r="F336" t="s">
        <v>364</v>
      </c>
      <c r="G336" t="s">
        <v>310</v>
      </c>
      <c r="H336" t="s">
        <v>300</v>
      </c>
      <c r="I336" s="93">
        <v>46125</v>
      </c>
      <c r="J336" s="93">
        <v>46125</v>
      </c>
      <c r="K336" s="93">
        <v>46125</v>
      </c>
      <c r="L336" s="93">
        <v>46325</v>
      </c>
      <c r="M336" s="14">
        <v>1</v>
      </c>
      <c r="N336" s="14">
        <v>250000000000</v>
      </c>
      <c r="O336" s="56">
        <v>100.11701119</v>
      </c>
      <c r="P336" s="56">
        <v>0</v>
      </c>
      <c r="Q336" s="14">
        <v>257389788250</v>
      </c>
      <c r="R336">
        <v>6.2030960000000004</v>
      </c>
      <c r="S336" t="s">
        <v>1184</v>
      </c>
      <c r="T336" s="57">
        <f>IF(Dealps[[#This Row],[MATURITY_DATE]]-Dealps[[#This Row],[POSTED_DT]]&lt;0,0,IF(Dealps[[#This Row],[VALUE_DATE]]-Dealps[[#This Row],[POSTED_DT]]&gt;0,Dealps[[#This Row],[MATURITY_DATE]]-Dealps[[#This Row],[VALUE_DATE]],Dealps[[#This Row],[MATURITY_DATE]]-Dealps[[#This Row],[POSTED_DT]]))</f>
        <v>63</v>
      </c>
      <c r="U336" s="25">
        <f>IF(Dealps[[#This Row],[TENOR]]=0,0,IF(Dealps[[#This Row],[DEAL_TYPE]]="B",Dealps[[#This Row],[FACE_AMOUNT]],-Dealps[[#This Row],[FACE_AMOUNT]]))</f>
        <v>250000000000</v>
      </c>
      <c r="V336" s="25">
        <f>_xlfn.XLOOKUP(Dealps[[#This Row],[PAPER_CODE]],FNRP!D:D,FNRP!H:H,0,0)/100*Dealps[[#This Row],[AMOUNT]]</f>
        <v>0</v>
      </c>
      <c r="W336" s="57" t="str">
        <f>IF(Dealps[[#This Row],[TRANSACTION_STATUS]]&lt;&gt;"V","Ngoai BS",IF(Dealps[[#This Row],[POSTED_DT]]&gt;=Dealps[[#This Row],[VALUE_DATE]],"On BS","Off BS"))</f>
        <v>On BS</v>
      </c>
      <c r="X336" s="25">
        <f>SUMIFS(U:U,C:C,Dealps[[#This Row],[PAPER_CODE]])</f>
        <v>250000000000</v>
      </c>
      <c r="Y336" s="25">
        <f>_xlfn.XLOOKUP(Dealps[[#This Row],[DEAL_ID]],Ref!N:N,Ref!Q:Q,0,0)</f>
        <v>0</v>
      </c>
      <c r="Z336" s="25" t="str">
        <f>IF(Dealps[[#This Row],[CPTY_CODE]]=Dealps[[#This Row],[CPTY_CODE_ISSUER]],"Yes","No")</f>
        <v>No</v>
      </c>
      <c r="AA336" s="25"/>
      <c r="AC336" s="14"/>
      <c r="AG336" s="96"/>
      <c r="AH336" s="25"/>
      <c r="AI336" s="25"/>
      <c r="AN336" s="14"/>
      <c r="AV336" s="36"/>
      <c r="AW336" s="14"/>
      <c r="AX336" s="234"/>
      <c r="AY336" s="96"/>
      <c r="AZ336" s="14"/>
      <c r="BA336"/>
      <c r="BB336" s="93">
        <v>46262</v>
      </c>
      <c r="BC336">
        <v>2476</v>
      </c>
      <c r="BD336" s="56" t="s">
        <v>1018</v>
      </c>
      <c r="BE336" t="s">
        <v>1011</v>
      </c>
      <c r="BF336" t="s">
        <v>1012</v>
      </c>
      <c r="BG336" t="s">
        <v>364</v>
      </c>
      <c r="BH336" t="s">
        <v>1013</v>
      </c>
      <c r="BI336" t="s">
        <v>311</v>
      </c>
      <c r="BJ336" s="93">
        <v>45898</v>
      </c>
      <c r="BK336" s="93">
        <v>45898</v>
      </c>
      <c r="BL336" s="93">
        <v>45898</v>
      </c>
      <c r="BM336" s="93">
        <v>46606</v>
      </c>
      <c r="BN336" s="14">
        <v>1</v>
      </c>
      <c r="BO336" s="14">
        <v>10000000000</v>
      </c>
      <c r="BP336" s="56">
        <v>100</v>
      </c>
      <c r="BQ336" s="56">
        <v>0</v>
      </c>
      <c r="BR336" s="14">
        <v>10030136986</v>
      </c>
      <c r="BS336">
        <v>4.9709349999999999</v>
      </c>
      <c r="BT336" t="s">
        <v>1184</v>
      </c>
      <c r="BU336" s="25">
        <f>_xlfn.XLOOKUP(Dealps_MSB[[#This Row],[DEAL_ID]],Ref!V:V,Ref!X:X,0,0)</f>
        <v>0</v>
      </c>
      <c r="BV336"/>
    </row>
    <row r="337" spans="1:74" x14ac:dyDescent="0.3">
      <c r="A337" s="93">
        <v>46262</v>
      </c>
      <c r="B337">
        <v>4080</v>
      </c>
      <c r="C337" s="56" t="s">
        <v>1061</v>
      </c>
      <c r="D337" t="s">
        <v>312</v>
      </c>
      <c r="E337" t="s">
        <v>315</v>
      </c>
      <c r="F337" t="s">
        <v>364</v>
      </c>
      <c r="G337" t="s">
        <v>310</v>
      </c>
      <c r="H337" t="s">
        <v>311</v>
      </c>
      <c r="I337" s="93">
        <v>46125</v>
      </c>
      <c r="J337" s="93">
        <v>46125</v>
      </c>
      <c r="K337" s="93">
        <v>46127</v>
      </c>
      <c r="L337" s="93">
        <v>46343</v>
      </c>
      <c r="M337" s="14">
        <v>1</v>
      </c>
      <c r="N337" s="14">
        <v>1000000000000</v>
      </c>
      <c r="O337" s="56">
        <v>99.211481551999995</v>
      </c>
      <c r="P337" s="56">
        <v>0</v>
      </c>
      <c r="Q337" s="14">
        <v>1017660021000</v>
      </c>
      <c r="R337">
        <v>7.5</v>
      </c>
      <c r="S337" t="s">
        <v>1184</v>
      </c>
      <c r="T337" s="57">
        <f>IF(Dealps[[#This Row],[MATURITY_DATE]]-Dealps[[#This Row],[POSTED_DT]]&lt;0,0,IF(Dealps[[#This Row],[VALUE_DATE]]-Dealps[[#This Row],[POSTED_DT]]&gt;0,Dealps[[#This Row],[MATURITY_DATE]]-Dealps[[#This Row],[VALUE_DATE]],Dealps[[#This Row],[MATURITY_DATE]]-Dealps[[#This Row],[POSTED_DT]]))</f>
        <v>81</v>
      </c>
      <c r="U337" s="25">
        <f>IF(Dealps[[#This Row],[TENOR]]=0,0,IF(Dealps[[#This Row],[DEAL_TYPE]]="B",Dealps[[#This Row],[FACE_AMOUNT]],-Dealps[[#This Row],[FACE_AMOUNT]]))</f>
        <v>-1000000000000</v>
      </c>
      <c r="V337" s="25">
        <f>_xlfn.XLOOKUP(Dealps[[#This Row],[PAPER_CODE]],FNRP!D:D,FNRP!H:H,0,0)/100*Dealps[[#This Row],[AMOUNT]]</f>
        <v>0</v>
      </c>
      <c r="W337" s="57" t="str">
        <f>IF(Dealps[[#This Row],[TRANSACTION_STATUS]]&lt;&gt;"V","Ngoai BS",IF(Dealps[[#This Row],[POSTED_DT]]&gt;=Dealps[[#This Row],[VALUE_DATE]],"On BS","Off BS"))</f>
        <v>On BS</v>
      </c>
      <c r="X337" s="25">
        <f>SUMIFS(U:U,C:C,Dealps[[#This Row],[PAPER_CODE]])</f>
        <v>1500000000000</v>
      </c>
      <c r="Y337" s="25">
        <f>_xlfn.XLOOKUP(Dealps[[#This Row],[DEAL_ID]],Ref!N:N,Ref!Q:Q,0,0)</f>
        <v>0</v>
      </c>
      <c r="Z337" s="25" t="str">
        <f>IF(Dealps[[#This Row],[CPTY_CODE]]=Dealps[[#This Row],[CPTY_CODE_ISSUER]],"Yes","No")</f>
        <v>No</v>
      </c>
      <c r="AA337" s="25"/>
      <c r="AC337" s="14"/>
      <c r="AG337" s="96"/>
      <c r="AH337" s="25"/>
      <c r="AI337" s="25"/>
      <c r="AN337" s="14"/>
      <c r="AV337" s="36"/>
      <c r="AW337" s="14"/>
      <c r="AX337" s="234"/>
      <c r="AY337" s="96"/>
      <c r="AZ337" s="14"/>
      <c r="BA337"/>
      <c r="BB337" s="93">
        <v>46262</v>
      </c>
      <c r="BC337">
        <v>2477</v>
      </c>
      <c r="BD337" s="56" t="s">
        <v>1018</v>
      </c>
      <c r="BE337" t="s">
        <v>1011</v>
      </c>
      <c r="BF337" t="s">
        <v>1012</v>
      </c>
      <c r="BG337" t="s">
        <v>364</v>
      </c>
      <c r="BH337" t="s">
        <v>1013</v>
      </c>
      <c r="BI337" t="s">
        <v>311</v>
      </c>
      <c r="BJ337" s="93">
        <v>45898</v>
      </c>
      <c r="BK337" s="93">
        <v>45898</v>
      </c>
      <c r="BL337" s="93">
        <v>45898</v>
      </c>
      <c r="BM337" s="93">
        <v>46606</v>
      </c>
      <c r="BN337" s="14">
        <v>1</v>
      </c>
      <c r="BO337" s="14">
        <v>10000000000</v>
      </c>
      <c r="BP337" s="56">
        <v>100</v>
      </c>
      <c r="BQ337" s="56">
        <v>0</v>
      </c>
      <c r="BR337" s="14">
        <v>10030136986</v>
      </c>
      <c r="BS337">
        <v>4.9709349999999999</v>
      </c>
      <c r="BT337" t="s">
        <v>1184</v>
      </c>
      <c r="BU337" s="25">
        <f>_xlfn.XLOOKUP(Dealps_MSB[[#This Row],[DEAL_ID]],Ref!V:V,Ref!X:X,0,0)</f>
        <v>0</v>
      </c>
      <c r="BV337"/>
    </row>
    <row r="338" spans="1:74" x14ac:dyDescent="0.3">
      <c r="A338" s="93">
        <v>46262</v>
      </c>
      <c r="B338">
        <v>4089</v>
      </c>
      <c r="C338" s="56" t="s">
        <v>1158</v>
      </c>
      <c r="D338" t="s">
        <v>327</v>
      </c>
      <c r="E338" t="s">
        <v>315</v>
      </c>
      <c r="F338" t="s">
        <v>364</v>
      </c>
      <c r="G338" t="s">
        <v>310</v>
      </c>
      <c r="H338" t="s">
        <v>311</v>
      </c>
      <c r="I338" s="93">
        <v>46126</v>
      </c>
      <c r="J338" s="93">
        <v>46126</v>
      </c>
      <c r="K338" s="93">
        <v>46128</v>
      </c>
      <c r="L338" s="93">
        <v>46409</v>
      </c>
      <c r="M338" s="14">
        <v>1</v>
      </c>
      <c r="N338" s="14">
        <v>500000000000</v>
      </c>
      <c r="O338" s="56">
        <v>99.692274143000006</v>
      </c>
      <c r="P338" s="56">
        <v>0</v>
      </c>
      <c r="Q338" s="14">
        <v>506647672084</v>
      </c>
      <c r="R338">
        <v>7.5</v>
      </c>
      <c r="S338" t="s">
        <v>1184</v>
      </c>
      <c r="T338" s="57">
        <f>IF(Dealps[[#This Row],[MATURITY_DATE]]-Dealps[[#This Row],[POSTED_DT]]&lt;0,0,IF(Dealps[[#This Row],[VALUE_DATE]]-Dealps[[#This Row],[POSTED_DT]]&gt;0,Dealps[[#This Row],[MATURITY_DATE]]-Dealps[[#This Row],[VALUE_DATE]],Dealps[[#This Row],[MATURITY_DATE]]-Dealps[[#This Row],[POSTED_DT]]))</f>
        <v>147</v>
      </c>
      <c r="U338" s="25">
        <f>IF(Dealps[[#This Row],[TENOR]]=0,0,IF(Dealps[[#This Row],[DEAL_TYPE]]="B",Dealps[[#This Row],[FACE_AMOUNT]],-Dealps[[#This Row],[FACE_AMOUNT]]))</f>
        <v>-500000000000</v>
      </c>
      <c r="V338" s="25">
        <f>_xlfn.XLOOKUP(Dealps[[#This Row],[PAPER_CODE]],FNRP!D:D,FNRP!H:H,0,0)/100*Dealps[[#This Row],[AMOUNT]]</f>
        <v>0</v>
      </c>
      <c r="W338" s="57" t="str">
        <f>IF(Dealps[[#This Row],[TRANSACTION_STATUS]]&lt;&gt;"V","Ngoai BS",IF(Dealps[[#This Row],[POSTED_DT]]&gt;=Dealps[[#This Row],[VALUE_DATE]],"On BS","Off BS"))</f>
        <v>On BS</v>
      </c>
      <c r="X338" s="25">
        <f>SUMIFS(U:U,C:C,Dealps[[#This Row],[PAPER_CODE]])</f>
        <v>2000000000000</v>
      </c>
      <c r="Y338" s="25">
        <f>_xlfn.XLOOKUP(Dealps[[#This Row],[DEAL_ID]],Ref!N:N,Ref!Q:Q,0,0)</f>
        <v>0</v>
      </c>
      <c r="Z338" s="25" t="str">
        <f>IF(Dealps[[#This Row],[CPTY_CODE]]=Dealps[[#This Row],[CPTY_CODE_ISSUER]],"Yes","No")</f>
        <v>No</v>
      </c>
      <c r="AA338" s="25"/>
      <c r="AC338" s="14"/>
      <c r="AG338" s="96"/>
      <c r="AH338" s="25"/>
      <c r="AI338" s="25"/>
      <c r="AN338" s="14"/>
      <c r="AV338" s="36"/>
      <c r="AW338" s="14"/>
      <c r="AX338" s="234"/>
      <c r="AY338" s="96"/>
      <c r="AZ338" s="14"/>
      <c r="BA338"/>
      <c r="BB338" s="93">
        <v>46262</v>
      </c>
      <c r="BC338">
        <v>2478</v>
      </c>
      <c r="BD338" s="56" t="s">
        <v>1018</v>
      </c>
      <c r="BE338" t="s">
        <v>1011</v>
      </c>
      <c r="BF338" t="s">
        <v>1012</v>
      </c>
      <c r="BG338" t="s">
        <v>364</v>
      </c>
      <c r="BH338" t="s">
        <v>1013</v>
      </c>
      <c r="BI338" t="s">
        <v>311</v>
      </c>
      <c r="BJ338" s="93">
        <v>45898</v>
      </c>
      <c r="BK338" s="93">
        <v>45898</v>
      </c>
      <c r="BL338" s="93">
        <v>45898</v>
      </c>
      <c r="BM338" s="93">
        <v>46606</v>
      </c>
      <c r="BN338" s="14">
        <v>1</v>
      </c>
      <c r="BO338" s="14">
        <v>10000000000</v>
      </c>
      <c r="BP338" s="56">
        <v>100</v>
      </c>
      <c r="BQ338" s="56">
        <v>0</v>
      </c>
      <c r="BR338" s="14">
        <v>10030136986</v>
      </c>
      <c r="BS338">
        <v>4.9709349999999999</v>
      </c>
      <c r="BT338" t="s">
        <v>1184</v>
      </c>
      <c r="BU338" s="25">
        <f>_xlfn.XLOOKUP(Dealps_MSB[[#This Row],[DEAL_ID]],Ref!V:V,Ref!X:X,0,0)</f>
        <v>0</v>
      </c>
      <c r="BV338"/>
    </row>
    <row r="339" spans="1:74" x14ac:dyDescent="0.3">
      <c r="A339" s="93">
        <v>46262</v>
      </c>
      <c r="B339">
        <v>4099</v>
      </c>
      <c r="C339" s="56" t="s">
        <v>1158</v>
      </c>
      <c r="D339" t="s">
        <v>327</v>
      </c>
      <c r="E339" t="s">
        <v>347</v>
      </c>
      <c r="F339" t="s">
        <v>364</v>
      </c>
      <c r="G339" t="s">
        <v>310</v>
      </c>
      <c r="H339" t="s">
        <v>300</v>
      </c>
      <c r="I339" s="93">
        <v>46127</v>
      </c>
      <c r="J339" s="93">
        <v>46127</v>
      </c>
      <c r="K339" s="93">
        <v>46127</v>
      </c>
      <c r="L339" s="93">
        <v>46409</v>
      </c>
      <c r="M339" s="14">
        <v>1</v>
      </c>
      <c r="N339" s="14">
        <v>500000000000</v>
      </c>
      <c r="O339" s="56">
        <v>100.74475367300001</v>
      </c>
      <c r="P339" s="56">
        <v>0</v>
      </c>
      <c r="Q339" s="14">
        <v>511811439602.00006</v>
      </c>
      <c r="R339">
        <v>6.0921320000000003</v>
      </c>
      <c r="S339" t="s">
        <v>1184</v>
      </c>
      <c r="T339" s="57">
        <f>IF(Dealps[[#This Row],[MATURITY_DATE]]-Dealps[[#This Row],[POSTED_DT]]&lt;0,0,IF(Dealps[[#This Row],[VALUE_DATE]]-Dealps[[#This Row],[POSTED_DT]]&gt;0,Dealps[[#This Row],[MATURITY_DATE]]-Dealps[[#This Row],[VALUE_DATE]],Dealps[[#This Row],[MATURITY_DATE]]-Dealps[[#This Row],[POSTED_DT]]))</f>
        <v>147</v>
      </c>
      <c r="U339" s="25">
        <f>IF(Dealps[[#This Row],[TENOR]]=0,0,IF(Dealps[[#This Row],[DEAL_TYPE]]="B",Dealps[[#This Row],[FACE_AMOUNT]],-Dealps[[#This Row],[FACE_AMOUNT]]))</f>
        <v>500000000000</v>
      </c>
      <c r="V339" s="25">
        <f>_xlfn.XLOOKUP(Dealps[[#This Row],[PAPER_CODE]],FNRP!D:D,FNRP!H:H,0,0)/100*Dealps[[#This Row],[AMOUNT]]</f>
        <v>0</v>
      </c>
      <c r="W339" s="57" t="str">
        <f>IF(Dealps[[#This Row],[TRANSACTION_STATUS]]&lt;&gt;"V","Ngoai BS",IF(Dealps[[#This Row],[POSTED_DT]]&gt;=Dealps[[#This Row],[VALUE_DATE]],"On BS","Off BS"))</f>
        <v>On BS</v>
      </c>
      <c r="X339" s="25">
        <f>SUMIFS(U:U,C:C,Dealps[[#This Row],[PAPER_CODE]])</f>
        <v>2000000000000</v>
      </c>
      <c r="Y339" s="25">
        <f>_xlfn.XLOOKUP(Dealps[[#This Row],[DEAL_ID]],Ref!N:N,Ref!Q:Q,0,0)</f>
        <v>0</v>
      </c>
      <c r="Z339" s="25" t="str">
        <f>IF(Dealps[[#This Row],[CPTY_CODE]]=Dealps[[#This Row],[CPTY_CODE_ISSUER]],"Yes","No")</f>
        <v>No</v>
      </c>
      <c r="AA339" s="25"/>
      <c r="AC339" s="14"/>
      <c r="AG339" s="96"/>
      <c r="AH339" s="25"/>
      <c r="AI339" s="25"/>
      <c r="AN339" s="14"/>
      <c r="AV339" s="36"/>
      <c r="AW339" s="14"/>
      <c r="AX339" s="234"/>
      <c r="AY339" s="96"/>
      <c r="AZ339" s="14"/>
      <c r="BA339"/>
      <c r="BB339" s="93">
        <v>46262</v>
      </c>
      <c r="BC339">
        <v>2479</v>
      </c>
      <c r="BD339" s="56" t="s">
        <v>1018</v>
      </c>
      <c r="BE339" t="s">
        <v>1011</v>
      </c>
      <c r="BF339" t="s">
        <v>1012</v>
      </c>
      <c r="BG339" t="s">
        <v>364</v>
      </c>
      <c r="BH339" t="s">
        <v>1013</v>
      </c>
      <c r="BI339" t="s">
        <v>311</v>
      </c>
      <c r="BJ339" s="93">
        <v>45898</v>
      </c>
      <c r="BK339" s="93">
        <v>45898</v>
      </c>
      <c r="BL339" s="93">
        <v>45898</v>
      </c>
      <c r="BM339" s="93">
        <v>46606</v>
      </c>
      <c r="BN339" s="14">
        <v>1</v>
      </c>
      <c r="BO339" s="14">
        <v>10000000000</v>
      </c>
      <c r="BP339" s="56">
        <v>100</v>
      </c>
      <c r="BQ339" s="56">
        <v>0</v>
      </c>
      <c r="BR339" s="14">
        <v>10030136986</v>
      </c>
      <c r="BS339">
        <v>4.9709349999999999</v>
      </c>
      <c r="BT339" t="s">
        <v>1184</v>
      </c>
      <c r="BU339" s="25">
        <f>_xlfn.XLOOKUP(Dealps_MSB[[#This Row],[DEAL_ID]],Ref!V:V,Ref!X:X,0,0)</f>
        <v>0</v>
      </c>
      <c r="BV339"/>
    </row>
    <row r="340" spans="1:74" x14ac:dyDescent="0.3">
      <c r="A340" s="93">
        <v>46262</v>
      </c>
      <c r="B340">
        <v>4100</v>
      </c>
      <c r="C340" s="56" t="s">
        <v>1071</v>
      </c>
      <c r="D340" t="s">
        <v>328</v>
      </c>
      <c r="E340" t="s">
        <v>347</v>
      </c>
      <c r="F340" t="s">
        <v>364</v>
      </c>
      <c r="G340" t="s">
        <v>310</v>
      </c>
      <c r="H340" t="s">
        <v>311</v>
      </c>
      <c r="I340" s="93">
        <v>46127</v>
      </c>
      <c r="J340" s="93">
        <v>46127</v>
      </c>
      <c r="K340" s="93">
        <v>46129</v>
      </c>
      <c r="L340" s="93">
        <v>46352</v>
      </c>
      <c r="M340" s="14">
        <v>1</v>
      </c>
      <c r="N340" s="14">
        <v>500000000000</v>
      </c>
      <c r="O340" s="56">
        <v>100.44555805900001</v>
      </c>
      <c r="P340" s="56">
        <v>0</v>
      </c>
      <c r="Q340" s="14">
        <v>514975735500</v>
      </c>
      <c r="R340">
        <v>5.7</v>
      </c>
      <c r="S340" t="s">
        <v>1184</v>
      </c>
      <c r="T340" s="57">
        <f>IF(Dealps[[#This Row],[MATURITY_DATE]]-Dealps[[#This Row],[POSTED_DT]]&lt;0,0,IF(Dealps[[#This Row],[VALUE_DATE]]-Dealps[[#This Row],[POSTED_DT]]&gt;0,Dealps[[#This Row],[MATURITY_DATE]]-Dealps[[#This Row],[VALUE_DATE]],Dealps[[#This Row],[MATURITY_DATE]]-Dealps[[#This Row],[POSTED_DT]]))</f>
        <v>90</v>
      </c>
      <c r="U340" s="25">
        <f>IF(Dealps[[#This Row],[TENOR]]=0,0,IF(Dealps[[#This Row],[DEAL_TYPE]]="B",Dealps[[#This Row],[FACE_AMOUNT]],-Dealps[[#This Row],[FACE_AMOUNT]]))</f>
        <v>-500000000000</v>
      </c>
      <c r="V340" s="25">
        <f>_xlfn.XLOOKUP(Dealps[[#This Row],[PAPER_CODE]],FNRP!D:D,FNRP!H:H,0,0)/100*Dealps[[#This Row],[AMOUNT]]</f>
        <v>0</v>
      </c>
      <c r="W340" s="57" t="str">
        <f>IF(Dealps[[#This Row],[TRANSACTION_STATUS]]&lt;&gt;"V","Ngoai BS",IF(Dealps[[#This Row],[POSTED_DT]]&gt;=Dealps[[#This Row],[VALUE_DATE]],"On BS","Off BS"))</f>
        <v>On BS</v>
      </c>
      <c r="X340" s="25">
        <f>SUMIFS(U:U,C:C,Dealps[[#This Row],[PAPER_CODE]])</f>
        <v>1500000000000</v>
      </c>
      <c r="Y340" s="25">
        <f>_xlfn.XLOOKUP(Dealps[[#This Row],[DEAL_ID]],Ref!N:N,Ref!Q:Q,0,0)</f>
        <v>0</v>
      </c>
      <c r="Z340" s="25" t="str">
        <f>IF(Dealps[[#This Row],[CPTY_CODE]]=Dealps[[#This Row],[CPTY_CODE_ISSUER]],"Yes","No")</f>
        <v>No</v>
      </c>
      <c r="AA340" s="25"/>
      <c r="AC340" s="14"/>
      <c r="AG340" s="96"/>
      <c r="AH340" s="25"/>
      <c r="AI340" s="25"/>
      <c r="AN340" s="14"/>
      <c r="AV340" s="36"/>
      <c r="AW340" s="14"/>
      <c r="AX340" s="234"/>
      <c r="AY340" s="96"/>
      <c r="AZ340" s="14"/>
      <c r="BA340"/>
      <c r="BB340" s="93">
        <v>46262</v>
      </c>
      <c r="BC340">
        <v>2480</v>
      </c>
      <c r="BD340" s="56" t="s">
        <v>1018</v>
      </c>
      <c r="BE340" t="s">
        <v>1011</v>
      </c>
      <c r="BF340" t="s">
        <v>1012</v>
      </c>
      <c r="BG340" t="s">
        <v>364</v>
      </c>
      <c r="BH340" t="s">
        <v>1013</v>
      </c>
      <c r="BI340" t="s">
        <v>311</v>
      </c>
      <c r="BJ340" s="93">
        <v>45898</v>
      </c>
      <c r="BK340" s="93">
        <v>45898</v>
      </c>
      <c r="BL340" s="93">
        <v>45898</v>
      </c>
      <c r="BM340" s="93">
        <v>46606</v>
      </c>
      <c r="BN340" s="14">
        <v>1</v>
      </c>
      <c r="BO340" s="14">
        <v>10000000000</v>
      </c>
      <c r="BP340" s="56">
        <v>100</v>
      </c>
      <c r="BQ340" s="56">
        <v>0</v>
      </c>
      <c r="BR340" s="14">
        <v>10030136986</v>
      </c>
      <c r="BS340">
        <v>4.9709349999999999</v>
      </c>
      <c r="BT340" t="s">
        <v>1184</v>
      </c>
      <c r="BU340" s="25">
        <f>_xlfn.XLOOKUP(Dealps_MSB[[#This Row],[DEAL_ID]],Ref!V:V,Ref!X:X,0,0)</f>
        <v>0</v>
      </c>
      <c r="BV340"/>
    </row>
    <row r="341" spans="1:74" x14ac:dyDescent="0.3">
      <c r="A341" s="93">
        <v>46262</v>
      </c>
      <c r="B341">
        <v>4101</v>
      </c>
      <c r="C341" s="56" t="s">
        <v>1258</v>
      </c>
      <c r="D341" t="s">
        <v>321</v>
      </c>
      <c r="E341" t="s">
        <v>322</v>
      </c>
      <c r="F341" t="s">
        <v>364</v>
      </c>
      <c r="G341" t="s">
        <v>310</v>
      </c>
      <c r="H341" t="s">
        <v>311</v>
      </c>
      <c r="I341" s="93">
        <v>46127</v>
      </c>
      <c r="J341" s="93">
        <v>46127</v>
      </c>
      <c r="K341" s="93">
        <v>46129</v>
      </c>
      <c r="L341" s="93">
        <v>46485</v>
      </c>
      <c r="M341" s="14">
        <v>1</v>
      </c>
      <c r="N341" s="14">
        <v>1000000000000</v>
      </c>
      <c r="O341" s="56">
        <v>100.039895204</v>
      </c>
      <c r="P341" s="56">
        <v>0</v>
      </c>
      <c r="Q341" s="14">
        <v>1001089362999.9999</v>
      </c>
      <c r="R341">
        <v>8.35</v>
      </c>
      <c r="S341" t="s">
        <v>1184</v>
      </c>
      <c r="T341" s="57">
        <f>IF(Dealps[[#This Row],[MATURITY_DATE]]-Dealps[[#This Row],[POSTED_DT]]&lt;0,0,IF(Dealps[[#This Row],[VALUE_DATE]]-Dealps[[#This Row],[POSTED_DT]]&gt;0,Dealps[[#This Row],[MATURITY_DATE]]-Dealps[[#This Row],[VALUE_DATE]],Dealps[[#This Row],[MATURITY_DATE]]-Dealps[[#This Row],[POSTED_DT]]))</f>
        <v>223</v>
      </c>
      <c r="U341" s="25">
        <f>IF(Dealps[[#This Row],[TENOR]]=0,0,IF(Dealps[[#This Row],[DEAL_TYPE]]="B",Dealps[[#This Row],[FACE_AMOUNT]],-Dealps[[#This Row],[FACE_AMOUNT]]))</f>
        <v>-1000000000000</v>
      </c>
      <c r="V341" s="25">
        <f>_xlfn.XLOOKUP(Dealps[[#This Row],[PAPER_CODE]],FNRP!D:D,FNRP!H:H,0,0)/100*Dealps[[#This Row],[AMOUNT]]</f>
        <v>0</v>
      </c>
      <c r="W341" s="57" t="str">
        <f>IF(Dealps[[#This Row],[TRANSACTION_STATUS]]&lt;&gt;"V","Ngoai BS",IF(Dealps[[#This Row],[POSTED_DT]]&gt;=Dealps[[#This Row],[VALUE_DATE]],"On BS","Off BS"))</f>
        <v>On BS</v>
      </c>
      <c r="X341" s="25">
        <f>SUMIFS(U:U,C:C,Dealps[[#This Row],[PAPER_CODE]])</f>
        <v>2000000000000</v>
      </c>
      <c r="Y341" s="25">
        <f>_xlfn.XLOOKUP(Dealps[[#This Row],[DEAL_ID]],Ref!N:N,Ref!Q:Q,0,0)</f>
        <v>0</v>
      </c>
      <c r="Z341" s="25" t="str">
        <f>IF(Dealps[[#This Row],[CPTY_CODE]]=Dealps[[#This Row],[CPTY_CODE_ISSUER]],"Yes","No")</f>
        <v>No</v>
      </c>
      <c r="AA341" s="25"/>
      <c r="AC341" s="14"/>
      <c r="AG341" s="96"/>
      <c r="AH341" s="25"/>
      <c r="AI341" s="25"/>
      <c r="AN341" s="14"/>
      <c r="AV341" s="36"/>
      <c r="AW341" s="14"/>
      <c r="AX341" s="234"/>
      <c r="AY341" s="96"/>
      <c r="AZ341" s="14"/>
      <c r="BA341"/>
      <c r="BB341" s="93">
        <v>46262</v>
      </c>
      <c r="BC341">
        <v>2481</v>
      </c>
      <c r="BD341" s="56" t="s">
        <v>1018</v>
      </c>
      <c r="BE341" t="s">
        <v>1011</v>
      </c>
      <c r="BF341" t="s">
        <v>1012</v>
      </c>
      <c r="BG341" t="s">
        <v>364</v>
      </c>
      <c r="BH341" t="s">
        <v>1013</v>
      </c>
      <c r="BI341" t="s">
        <v>311</v>
      </c>
      <c r="BJ341" s="93">
        <v>45898</v>
      </c>
      <c r="BK341" s="93">
        <v>45898</v>
      </c>
      <c r="BL341" s="93">
        <v>45898</v>
      </c>
      <c r="BM341" s="93">
        <v>46606</v>
      </c>
      <c r="BN341" s="14">
        <v>1</v>
      </c>
      <c r="BO341" s="14">
        <v>10000000000</v>
      </c>
      <c r="BP341" s="56">
        <v>100</v>
      </c>
      <c r="BQ341" s="56">
        <v>0</v>
      </c>
      <c r="BR341" s="14">
        <v>10030136986</v>
      </c>
      <c r="BS341">
        <v>4.9709349999999999</v>
      </c>
      <c r="BT341" t="s">
        <v>1184</v>
      </c>
      <c r="BU341" s="25">
        <f>_xlfn.XLOOKUP(Dealps_MSB[[#This Row],[DEAL_ID]],Ref!V:V,Ref!X:X,0,0)</f>
        <v>0</v>
      </c>
      <c r="BV341"/>
    </row>
    <row r="342" spans="1:74" x14ac:dyDescent="0.3">
      <c r="A342" s="93">
        <v>46262</v>
      </c>
      <c r="B342">
        <v>4102</v>
      </c>
      <c r="C342" s="56" t="s">
        <v>1158</v>
      </c>
      <c r="D342" t="s">
        <v>327</v>
      </c>
      <c r="E342" t="s">
        <v>315</v>
      </c>
      <c r="F342" t="s">
        <v>364</v>
      </c>
      <c r="G342" t="s">
        <v>310</v>
      </c>
      <c r="H342" t="s">
        <v>311</v>
      </c>
      <c r="I342" s="93">
        <v>46127</v>
      </c>
      <c r="J342" s="93">
        <v>46127</v>
      </c>
      <c r="K342" s="93">
        <v>46129</v>
      </c>
      <c r="L342" s="93">
        <v>46409</v>
      </c>
      <c r="M342" s="14">
        <v>1</v>
      </c>
      <c r="N342" s="14">
        <v>1000000000000</v>
      </c>
      <c r="O342" s="56">
        <v>99.913270216000001</v>
      </c>
      <c r="P342" s="56">
        <v>0</v>
      </c>
      <c r="Q342" s="14">
        <v>1015702565168</v>
      </c>
      <c r="R342">
        <v>7.2</v>
      </c>
      <c r="S342" t="s">
        <v>1184</v>
      </c>
      <c r="T342" s="57">
        <f>IF(Dealps[[#This Row],[MATURITY_DATE]]-Dealps[[#This Row],[POSTED_DT]]&lt;0,0,IF(Dealps[[#This Row],[VALUE_DATE]]-Dealps[[#This Row],[POSTED_DT]]&gt;0,Dealps[[#This Row],[MATURITY_DATE]]-Dealps[[#This Row],[VALUE_DATE]],Dealps[[#This Row],[MATURITY_DATE]]-Dealps[[#This Row],[POSTED_DT]]))</f>
        <v>147</v>
      </c>
      <c r="U342" s="25">
        <f>IF(Dealps[[#This Row],[TENOR]]=0,0,IF(Dealps[[#This Row],[DEAL_TYPE]]="B",Dealps[[#This Row],[FACE_AMOUNT]],-Dealps[[#This Row],[FACE_AMOUNT]]))</f>
        <v>-1000000000000</v>
      </c>
      <c r="V342" s="25">
        <f>_xlfn.XLOOKUP(Dealps[[#This Row],[PAPER_CODE]],FNRP!D:D,FNRP!H:H,0,0)/100*Dealps[[#This Row],[AMOUNT]]</f>
        <v>0</v>
      </c>
      <c r="W342" s="57" t="str">
        <f>IF(Dealps[[#This Row],[TRANSACTION_STATUS]]&lt;&gt;"V","Ngoai BS",IF(Dealps[[#This Row],[POSTED_DT]]&gt;=Dealps[[#This Row],[VALUE_DATE]],"On BS","Off BS"))</f>
        <v>On BS</v>
      </c>
      <c r="X342" s="25">
        <f>SUMIFS(U:U,C:C,Dealps[[#This Row],[PAPER_CODE]])</f>
        <v>2000000000000</v>
      </c>
      <c r="Y342" s="25">
        <f>_xlfn.XLOOKUP(Dealps[[#This Row],[DEAL_ID]],Ref!N:N,Ref!Q:Q,0,0)</f>
        <v>0</v>
      </c>
      <c r="Z342" s="25" t="str">
        <f>IF(Dealps[[#This Row],[CPTY_CODE]]=Dealps[[#This Row],[CPTY_CODE_ISSUER]],"Yes","No")</f>
        <v>No</v>
      </c>
      <c r="AA342" s="25"/>
      <c r="AC342" s="14"/>
      <c r="AG342" s="96"/>
      <c r="AH342" s="25"/>
      <c r="AI342" s="25"/>
      <c r="AN342" s="14"/>
      <c r="AV342" s="36"/>
      <c r="AW342" s="14"/>
      <c r="AX342" s="234"/>
      <c r="AY342" s="96"/>
      <c r="AZ342" s="14"/>
      <c r="BA342"/>
      <c r="BB342" s="93">
        <v>46262</v>
      </c>
      <c r="BC342">
        <v>2482</v>
      </c>
      <c r="BD342" s="56" t="s">
        <v>1018</v>
      </c>
      <c r="BE342" t="s">
        <v>1011</v>
      </c>
      <c r="BF342" t="s">
        <v>1012</v>
      </c>
      <c r="BG342" t="s">
        <v>364</v>
      </c>
      <c r="BH342" t="s">
        <v>1013</v>
      </c>
      <c r="BI342" t="s">
        <v>311</v>
      </c>
      <c r="BJ342" s="93">
        <v>45898</v>
      </c>
      <c r="BK342" s="93">
        <v>45898</v>
      </c>
      <c r="BL342" s="93">
        <v>45898</v>
      </c>
      <c r="BM342" s="93">
        <v>46606</v>
      </c>
      <c r="BN342" s="14">
        <v>1</v>
      </c>
      <c r="BO342" s="14">
        <v>10000000000</v>
      </c>
      <c r="BP342" s="56">
        <v>100</v>
      </c>
      <c r="BQ342" s="56">
        <v>0</v>
      </c>
      <c r="BR342" s="14">
        <v>10030136986</v>
      </c>
      <c r="BS342">
        <v>4.9709349999999999</v>
      </c>
      <c r="BT342" t="s">
        <v>1184</v>
      </c>
      <c r="BU342" s="25">
        <f>_xlfn.XLOOKUP(Dealps_MSB[[#This Row],[DEAL_ID]],Ref!V:V,Ref!X:X,0,0)</f>
        <v>0</v>
      </c>
      <c r="BV342"/>
    </row>
    <row r="343" spans="1:74" x14ac:dyDescent="0.3">
      <c r="A343" s="93">
        <v>46262</v>
      </c>
      <c r="B343">
        <v>4103</v>
      </c>
      <c r="C343" s="56" t="s">
        <v>1010</v>
      </c>
      <c r="D343" t="s">
        <v>328</v>
      </c>
      <c r="E343" t="s">
        <v>335</v>
      </c>
      <c r="F343" t="s">
        <v>364</v>
      </c>
      <c r="G343" t="s">
        <v>310</v>
      </c>
      <c r="H343" t="s">
        <v>311</v>
      </c>
      <c r="I343" s="93">
        <v>46127</v>
      </c>
      <c r="J343" s="93">
        <v>46127</v>
      </c>
      <c r="K343" s="93">
        <v>46129</v>
      </c>
      <c r="L343" s="93">
        <v>46329</v>
      </c>
      <c r="M343" s="14">
        <v>1</v>
      </c>
      <c r="N343" s="14">
        <v>800000000000</v>
      </c>
      <c r="O343" s="56">
        <v>99.310441968000006</v>
      </c>
      <c r="P343" s="56">
        <v>0</v>
      </c>
      <c r="Q343" s="14">
        <v>817129015200</v>
      </c>
      <c r="R343">
        <v>7.4</v>
      </c>
      <c r="S343" t="s">
        <v>1184</v>
      </c>
      <c r="T343" s="57">
        <f>IF(Dealps[[#This Row],[MATURITY_DATE]]-Dealps[[#This Row],[POSTED_DT]]&lt;0,0,IF(Dealps[[#This Row],[VALUE_DATE]]-Dealps[[#This Row],[POSTED_DT]]&gt;0,Dealps[[#This Row],[MATURITY_DATE]]-Dealps[[#This Row],[VALUE_DATE]],Dealps[[#This Row],[MATURITY_DATE]]-Dealps[[#This Row],[POSTED_DT]]))</f>
        <v>67</v>
      </c>
      <c r="U343" s="25">
        <f>IF(Dealps[[#This Row],[TENOR]]=0,0,IF(Dealps[[#This Row],[DEAL_TYPE]]="B",Dealps[[#This Row],[FACE_AMOUNT]],-Dealps[[#This Row],[FACE_AMOUNT]]))</f>
        <v>-800000000000</v>
      </c>
      <c r="V343" s="25">
        <f>_xlfn.XLOOKUP(Dealps[[#This Row],[PAPER_CODE]],FNRP!D:D,FNRP!H:H,0,0)/100*Dealps[[#This Row],[AMOUNT]]</f>
        <v>0</v>
      </c>
      <c r="W343" s="57" t="str">
        <f>IF(Dealps[[#This Row],[TRANSACTION_STATUS]]&lt;&gt;"V","Ngoai BS",IF(Dealps[[#This Row],[POSTED_DT]]&gt;=Dealps[[#This Row],[VALUE_DATE]],"On BS","Off BS"))</f>
        <v>On BS</v>
      </c>
      <c r="X343" s="25">
        <f>SUMIFS(U:U,C:C,Dealps[[#This Row],[PAPER_CODE]])</f>
        <v>2000000000000</v>
      </c>
      <c r="Y343" s="25">
        <f>_xlfn.XLOOKUP(Dealps[[#This Row],[DEAL_ID]],Ref!N:N,Ref!Q:Q,0,0)</f>
        <v>0</v>
      </c>
      <c r="Z343" s="25" t="str">
        <f>IF(Dealps[[#This Row],[CPTY_CODE]]=Dealps[[#This Row],[CPTY_CODE_ISSUER]],"Yes","No")</f>
        <v>No</v>
      </c>
      <c r="AA343" s="25"/>
      <c r="AC343" s="14"/>
      <c r="AG343" s="96"/>
      <c r="AH343" s="25"/>
      <c r="AI343" s="25"/>
      <c r="AN343" s="14"/>
      <c r="AV343" s="36"/>
      <c r="AW343" s="14"/>
      <c r="AX343" s="234"/>
      <c r="AY343" s="96"/>
      <c r="AZ343" s="14"/>
      <c r="BA343"/>
      <c r="BB343" s="93">
        <v>46262</v>
      </c>
      <c r="BC343">
        <v>2485</v>
      </c>
      <c r="BD343" s="56" t="s">
        <v>1018</v>
      </c>
      <c r="BE343" t="s">
        <v>1011</v>
      </c>
      <c r="BF343" t="s">
        <v>1012</v>
      </c>
      <c r="BG343" t="s">
        <v>364</v>
      </c>
      <c r="BH343" t="s">
        <v>1013</v>
      </c>
      <c r="BI343" t="s">
        <v>311</v>
      </c>
      <c r="BJ343" s="93">
        <v>45903</v>
      </c>
      <c r="BK343" s="93">
        <v>45903</v>
      </c>
      <c r="BL343" s="93">
        <v>45903</v>
      </c>
      <c r="BM343" s="93">
        <v>46606</v>
      </c>
      <c r="BN343" s="14">
        <v>1</v>
      </c>
      <c r="BO343" s="14">
        <v>10000000000</v>
      </c>
      <c r="BP343" s="56">
        <v>100</v>
      </c>
      <c r="BQ343" s="56">
        <v>0</v>
      </c>
      <c r="BR343" s="14">
        <v>10036986301</v>
      </c>
      <c r="BS343">
        <v>4.9674430000000003</v>
      </c>
      <c r="BT343" t="s">
        <v>1184</v>
      </c>
      <c r="BU343" s="25">
        <f>_xlfn.XLOOKUP(Dealps_MSB[[#This Row],[DEAL_ID]],Ref!V:V,Ref!X:X,0,0)</f>
        <v>0</v>
      </c>
      <c r="BV343"/>
    </row>
    <row r="344" spans="1:74" x14ac:dyDescent="0.3">
      <c r="A344" s="93">
        <v>46262</v>
      </c>
      <c r="B344">
        <v>4104</v>
      </c>
      <c r="C344" s="56" t="s">
        <v>1256</v>
      </c>
      <c r="D344" t="s">
        <v>316</v>
      </c>
      <c r="E344" t="s">
        <v>335</v>
      </c>
      <c r="F344" t="s">
        <v>364</v>
      </c>
      <c r="G344" t="s">
        <v>310</v>
      </c>
      <c r="H344" t="s">
        <v>311</v>
      </c>
      <c r="I344" s="93">
        <v>46127</v>
      </c>
      <c r="J344" s="93">
        <v>46127</v>
      </c>
      <c r="K344" s="93">
        <v>46129</v>
      </c>
      <c r="L344" s="93">
        <v>46486</v>
      </c>
      <c r="M344" s="14">
        <v>1</v>
      </c>
      <c r="N344" s="14">
        <v>200000000000</v>
      </c>
      <c r="O344" s="56">
        <v>101.172819068</v>
      </c>
      <c r="P344" s="56">
        <v>0</v>
      </c>
      <c r="Q344" s="14">
        <v>202727008000</v>
      </c>
      <c r="R344">
        <v>7.4</v>
      </c>
      <c r="S344" t="s">
        <v>1184</v>
      </c>
      <c r="T344" s="57">
        <f>IF(Dealps[[#This Row],[MATURITY_DATE]]-Dealps[[#This Row],[POSTED_DT]]&lt;0,0,IF(Dealps[[#This Row],[VALUE_DATE]]-Dealps[[#This Row],[POSTED_DT]]&gt;0,Dealps[[#This Row],[MATURITY_DATE]]-Dealps[[#This Row],[VALUE_DATE]],Dealps[[#This Row],[MATURITY_DATE]]-Dealps[[#This Row],[POSTED_DT]]))</f>
        <v>224</v>
      </c>
      <c r="U344" s="25">
        <f>IF(Dealps[[#This Row],[TENOR]]=0,0,IF(Dealps[[#This Row],[DEAL_TYPE]]="B",Dealps[[#This Row],[FACE_AMOUNT]],-Dealps[[#This Row],[FACE_AMOUNT]]))</f>
        <v>-200000000000</v>
      </c>
      <c r="V344" s="25">
        <f>_xlfn.XLOOKUP(Dealps[[#This Row],[PAPER_CODE]],FNRP!D:D,FNRP!H:H,0,0)/100*Dealps[[#This Row],[AMOUNT]]</f>
        <v>0</v>
      </c>
      <c r="W344" s="57" t="str">
        <f>IF(Dealps[[#This Row],[TRANSACTION_STATUS]]&lt;&gt;"V","Ngoai BS",IF(Dealps[[#This Row],[POSTED_DT]]&gt;=Dealps[[#This Row],[VALUE_DATE]],"On BS","Off BS"))</f>
        <v>On BS</v>
      </c>
      <c r="X344" s="25">
        <f>SUMIFS(U:U,C:C,Dealps[[#This Row],[PAPER_CODE]])</f>
        <v>200000000000</v>
      </c>
      <c r="Y344" s="25">
        <f>_xlfn.XLOOKUP(Dealps[[#This Row],[DEAL_ID]],Ref!N:N,Ref!Q:Q,0,0)</f>
        <v>0</v>
      </c>
      <c r="Z344" s="25" t="str">
        <f>IF(Dealps[[#This Row],[CPTY_CODE]]=Dealps[[#This Row],[CPTY_CODE_ISSUER]],"Yes","No")</f>
        <v>No</v>
      </c>
      <c r="AA344" s="25"/>
      <c r="AC344" s="14"/>
      <c r="AG344" s="96"/>
      <c r="AH344" s="25"/>
      <c r="AI344" s="25"/>
      <c r="AN344" s="14"/>
      <c r="AV344" s="36"/>
      <c r="AW344" s="14"/>
      <c r="AX344" s="234"/>
      <c r="AY344" s="96"/>
      <c r="AZ344" s="14"/>
      <c r="BA344"/>
      <c r="BB344" s="93">
        <v>46262</v>
      </c>
      <c r="BC344">
        <v>2497</v>
      </c>
      <c r="BD344" s="56" t="s">
        <v>1019</v>
      </c>
      <c r="BE344" t="s">
        <v>1011</v>
      </c>
      <c r="BF344" t="s">
        <v>1012</v>
      </c>
      <c r="BG344" t="s">
        <v>364</v>
      </c>
      <c r="BH344" t="s">
        <v>1013</v>
      </c>
      <c r="BI344" t="s">
        <v>311</v>
      </c>
      <c r="BJ344" s="93">
        <v>45903</v>
      </c>
      <c r="BK344" s="93">
        <v>45903</v>
      </c>
      <c r="BL344" s="93">
        <v>45903</v>
      </c>
      <c r="BM344" s="93">
        <v>46606</v>
      </c>
      <c r="BN344" s="14">
        <v>1</v>
      </c>
      <c r="BO344" s="14">
        <v>20000000000</v>
      </c>
      <c r="BP344" s="56">
        <v>100</v>
      </c>
      <c r="BQ344" s="56">
        <v>0</v>
      </c>
      <c r="BR344" s="14">
        <v>20085808219</v>
      </c>
      <c r="BS344">
        <v>5.7588379999999999</v>
      </c>
      <c r="BT344" t="s">
        <v>1184</v>
      </c>
      <c r="BU344" s="25">
        <f>_xlfn.XLOOKUP(Dealps_MSB[[#This Row],[DEAL_ID]],Ref!V:V,Ref!X:X,0,0)</f>
        <v>0</v>
      </c>
      <c r="BV344"/>
    </row>
    <row r="345" spans="1:74" x14ac:dyDescent="0.3">
      <c r="A345" s="93">
        <v>46262</v>
      </c>
      <c r="B345">
        <v>4105</v>
      </c>
      <c r="C345" s="56" t="s">
        <v>1061</v>
      </c>
      <c r="D345" t="s">
        <v>312</v>
      </c>
      <c r="E345" t="s">
        <v>474</v>
      </c>
      <c r="F345" t="s">
        <v>364</v>
      </c>
      <c r="G345" t="s">
        <v>310</v>
      </c>
      <c r="H345" t="s">
        <v>300</v>
      </c>
      <c r="I345" s="93">
        <v>46128</v>
      </c>
      <c r="J345" s="93">
        <v>46128</v>
      </c>
      <c r="K345" s="93">
        <v>46128</v>
      </c>
      <c r="L345" s="93">
        <v>46343</v>
      </c>
      <c r="M345" s="14">
        <v>1</v>
      </c>
      <c r="N345" s="14">
        <v>118000000000</v>
      </c>
      <c r="O345" s="56">
        <v>100.02658467800001</v>
      </c>
      <c r="P345" s="56">
        <v>0</v>
      </c>
      <c r="Q345" s="14">
        <v>121066071290</v>
      </c>
      <c r="R345">
        <v>6.0964600000000004</v>
      </c>
      <c r="S345" t="s">
        <v>1184</v>
      </c>
      <c r="T345" s="57">
        <f>IF(Dealps[[#This Row],[MATURITY_DATE]]-Dealps[[#This Row],[POSTED_DT]]&lt;0,0,IF(Dealps[[#This Row],[VALUE_DATE]]-Dealps[[#This Row],[POSTED_DT]]&gt;0,Dealps[[#This Row],[MATURITY_DATE]]-Dealps[[#This Row],[VALUE_DATE]],Dealps[[#This Row],[MATURITY_DATE]]-Dealps[[#This Row],[POSTED_DT]]))</f>
        <v>81</v>
      </c>
      <c r="U345" s="25">
        <f>IF(Dealps[[#This Row],[TENOR]]=0,0,IF(Dealps[[#This Row],[DEAL_TYPE]]="B",Dealps[[#This Row],[FACE_AMOUNT]],-Dealps[[#This Row],[FACE_AMOUNT]]))</f>
        <v>118000000000</v>
      </c>
      <c r="V345" s="25">
        <f>_xlfn.XLOOKUP(Dealps[[#This Row],[PAPER_CODE]],FNRP!D:D,FNRP!H:H,0,0)/100*Dealps[[#This Row],[AMOUNT]]</f>
        <v>0</v>
      </c>
      <c r="W345" s="57" t="str">
        <f>IF(Dealps[[#This Row],[TRANSACTION_STATUS]]&lt;&gt;"V","Ngoai BS",IF(Dealps[[#This Row],[POSTED_DT]]&gt;=Dealps[[#This Row],[VALUE_DATE]],"On BS","Off BS"))</f>
        <v>On BS</v>
      </c>
      <c r="X345" s="25">
        <f>SUMIFS(U:U,C:C,Dealps[[#This Row],[PAPER_CODE]])</f>
        <v>1500000000000</v>
      </c>
      <c r="Y345" s="25">
        <f>_xlfn.XLOOKUP(Dealps[[#This Row],[DEAL_ID]],Ref!N:N,Ref!Q:Q,0,0)</f>
        <v>0</v>
      </c>
      <c r="Z345" s="25" t="str">
        <f>IF(Dealps[[#This Row],[CPTY_CODE]]=Dealps[[#This Row],[CPTY_CODE_ISSUER]],"Yes","No")</f>
        <v>No</v>
      </c>
      <c r="AA345" s="25"/>
      <c r="AC345" s="14"/>
      <c r="AG345" s="96"/>
      <c r="AH345" s="25"/>
      <c r="AI345" s="25"/>
      <c r="AN345" s="14"/>
      <c r="AV345" s="36"/>
      <c r="AW345" s="14"/>
      <c r="AX345" s="234"/>
      <c r="AY345" s="96"/>
      <c r="AZ345" s="14"/>
      <c r="BA345"/>
      <c r="BB345" s="93">
        <v>46262</v>
      </c>
      <c r="BC345">
        <v>2505</v>
      </c>
      <c r="BD345" s="56" t="s">
        <v>1019</v>
      </c>
      <c r="BE345" t="s">
        <v>1011</v>
      </c>
      <c r="BF345" t="s">
        <v>1012</v>
      </c>
      <c r="BG345" t="s">
        <v>364</v>
      </c>
      <c r="BH345" t="s">
        <v>1013</v>
      </c>
      <c r="BI345" t="s">
        <v>311</v>
      </c>
      <c r="BJ345" s="93">
        <v>45904</v>
      </c>
      <c r="BK345" s="93">
        <v>45904</v>
      </c>
      <c r="BL345" s="93">
        <v>45904</v>
      </c>
      <c r="BM345" s="93">
        <v>46606</v>
      </c>
      <c r="BN345" s="14">
        <v>1</v>
      </c>
      <c r="BO345" s="14">
        <v>10000000000</v>
      </c>
      <c r="BP345" s="56">
        <v>100</v>
      </c>
      <c r="BQ345" s="56">
        <v>0</v>
      </c>
      <c r="BR345" s="14">
        <v>10044493151</v>
      </c>
      <c r="BS345">
        <v>5.7579039999999999</v>
      </c>
      <c r="BT345" t="s">
        <v>1184</v>
      </c>
      <c r="BU345" s="25">
        <f>_xlfn.XLOOKUP(Dealps_MSB[[#This Row],[DEAL_ID]],Ref!V:V,Ref!X:X,0,0)</f>
        <v>0</v>
      </c>
      <c r="BV345"/>
    </row>
    <row r="346" spans="1:74" x14ac:dyDescent="0.3">
      <c r="A346" s="93">
        <v>46262</v>
      </c>
      <c r="B346">
        <v>4110</v>
      </c>
      <c r="C346" s="56" t="s">
        <v>1260</v>
      </c>
      <c r="D346" t="s">
        <v>384</v>
      </c>
      <c r="E346" t="s">
        <v>344</v>
      </c>
      <c r="F346" t="s">
        <v>364</v>
      </c>
      <c r="G346" t="s">
        <v>310</v>
      </c>
      <c r="H346" t="s">
        <v>300</v>
      </c>
      <c r="I346" s="93">
        <v>46128</v>
      </c>
      <c r="J346" s="93">
        <v>46129</v>
      </c>
      <c r="K346" s="93">
        <v>46160</v>
      </c>
      <c r="L346" s="93">
        <v>46524</v>
      </c>
      <c r="M346" s="14">
        <v>1</v>
      </c>
      <c r="N346" s="14">
        <v>400000000000</v>
      </c>
      <c r="O346" s="56">
        <v>99.999999985000002</v>
      </c>
      <c r="P346" s="56">
        <v>0</v>
      </c>
      <c r="Q346" s="14">
        <v>403227397200</v>
      </c>
      <c r="R346">
        <v>9.4239630000000005</v>
      </c>
      <c r="S346" t="s">
        <v>1184</v>
      </c>
      <c r="T346" s="57">
        <f>IF(Dealps[[#This Row],[MATURITY_DATE]]-Dealps[[#This Row],[POSTED_DT]]&lt;0,0,IF(Dealps[[#This Row],[VALUE_DATE]]-Dealps[[#This Row],[POSTED_DT]]&gt;0,Dealps[[#This Row],[MATURITY_DATE]]-Dealps[[#This Row],[VALUE_DATE]],Dealps[[#This Row],[MATURITY_DATE]]-Dealps[[#This Row],[POSTED_DT]]))</f>
        <v>262</v>
      </c>
      <c r="U346" s="25">
        <f>IF(Dealps[[#This Row],[TENOR]]=0,0,IF(Dealps[[#This Row],[DEAL_TYPE]]="B",Dealps[[#This Row],[FACE_AMOUNT]],-Dealps[[#This Row],[FACE_AMOUNT]]))</f>
        <v>400000000000</v>
      </c>
      <c r="V346" s="25">
        <f>_xlfn.XLOOKUP(Dealps[[#This Row],[PAPER_CODE]],FNRP!D:D,FNRP!H:H,0,0)/100*Dealps[[#This Row],[AMOUNT]]</f>
        <v>0</v>
      </c>
      <c r="W346" s="57" t="str">
        <f>IF(Dealps[[#This Row],[TRANSACTION_STATUS]]&lt;&gt;"V","Ngoai BS",IF(Dealps[[#This Row],[POSTED_DT]]&gt;=Dealps[[#This Row],[VALUE_DATE]],"On BS","Off BS"))</f>
        <v>On BS</v>
      </c>
      <c r="X346" s="25">
        <f>SUMIFS(U:U,C:C,Dealps[[#This Row],[PAPER_CODE]])</f>
        <v>400000000000</v>
      </c>
      <c r="Y346" s="25">
        <f>_xlfn.XLOOKUP(Dealps[[#This Row],[DEAL_ID]],Ref!N:N,Ref!Q:Q,0,0)</f>
        <v>0</v>
      </c>
      <c r="Z346" s="25" t="str">
        <f>IF(Dealps[[#This Row],[CPTY_CODE]]=Dealps[[#This Row],[CPTY_CODE_ISSUER]],"Yes","No")</f>
        <v>No</v>
      </c>
      <c r="AA346" s="25"/>
      <c r="AC346" s="14"/>
      <c r="AG346" s="96"/>
      <c r="AH346" s="25"/>
      <c r="AI346" s="25"/>
      <c r="AN346" s="14"/>
      <c r="AV346" s="36"/>
      <c r="AW346" s="14"/>
      <c r="AX346" s="234"/>
      <c r="AY346" s="96"/>
      <c r="AZ346" s="14"/>
      <c r="BA346"/>
      <c r="BB346" s="93">
        <v>46262</v>
      </c>
      <c r="BC346">
        <v>2516</v>
      </c>
      <c r="BD346" s="56" t="s">
        <v>1019</v>
      </c>
      <c r="BE346" t="s">
        <v>1011</v>
      </c>
      <c r="BF346" t="s">
        <v>1012</v>
      </c>
      <c r="BG346" t="s">
        <v>364</v>
      </c>
      <c r="BH346" t="s">
        <v>1013</v>
      </c>
      <c r="BI346" t="s">
        <v>311</v>
      </c>
      <c r="BJ346" s="93">
        <v>45905</v>
      </c>
      <c r="BK346" s="93">
        <v>45905</v>
      </c>
      <c r="BL346" s="93">
        <v>45905</v>
      </c>
      <c r="BM346" s="93">
        <v>46606</v>
      </c>
      <c r="BN346" s="14">
        <v>1</v>
      </c>
      <c r="BO346" s="14">
        <v>10000000000</v>
      </c>
      <c r="BP346" s="56">
        <v>100</v>
      </c>
      <c r="BQ346" s="56">
        <v>0</v>
      </c>
      <c r="BR346" s="14">
        <v>10046082192</v>
      </c>
      <c r="BS346">
        <v>5.7569699999999999</v>
      </c>
      <c r="BT346" t="s">
        <v>1184</v>
      </c>
      <c r="BU346" s="25">
        <f>_xlfn.XLOOKUP(Dealps_MSB[[#This Row],[DEAL_ID]],Ref!V:V,Ref!X:X,0,0)</f>
        <v>0</v>
      </c>
      <c r="BV346"/>
    </row>
    <row r="347" spans="1:74" x14ac:dyDescent="0.3">
      <c r="A347" s="93">
        <v>46262</v>
      </c>
      <c r="B347">
        <v>4123</v>
      </c>
      <c r="C347" s="56" t="s">
        <v>1071</v>
      </c>
      <c r="D347" t="s">
        <v>328</v>
      </c>
      <c r="E347" t="s">
        <v>347</v>
      </c>
      <c r="F347" t="s">
        <v>364</v>
      </c>
      <c r="G347" t="s">
        <v>310</v>
      </c>
      <c r="H347" t="s">
        <v>311</v>
      </c>
      <c r="I347" s="93">
        <v>46129</v>
      </c>
      <c r="J347" s="93">
        <v>46129</v>
      </c>
      <c r="K347" s="93">
        <v>46133</v>
      </c>
      <c r="L347" s="93">
        <v>46352</v>
      </c>
      <c r="M347" s="14">
        <v>1</v>
      </c>
      <c r="N347" s="14">
        <v>500000000000</v>
      </c>
      <c r="O347" s="56">
        <v>100.85567229199999</v>
      </c>
      <c r="P347" s="56">
        <v>0</v>
      </c>
      <c r="Q347" s="14">
        <v>517387950500</v>
      </c>
      <c r="R347">
        <v>5</v>
      </c>
      <c r="S347" t="s">
        <v>1184</v>
      </c>
      <c r="T347" s="57">
        <f>IF(Dealps[[#This Row],[MATURITY_DATE]]-Dealps[[#This Row],[POSTED_DT]]&lt;0,0,IF(Dealps[[#This Row],[VALUE_DATE]]-Dealps[[#This Row],[POSTED_DT]]&gt;0,Dealps[[#This Row],[MATURITY_DATE]]-Dealps[[#This Row],[VALUE_DATE]],Dealps[[#This Row],[MATURITY_DATE]]-Dealps[[#This Row],[POSTED_DT]]))</f>
        <v>90</v>
      </c>
      <c r="U347" s="25">
        <f>IF(Dealps[[#This Row],[TENOR]]=0,0,IF(Dealps[[#This Row],[DEAL_TYPE]]="B",Dealps[[#This Row],[FACE_AMOUNT]],-Dealps[[#This Row],[FACE_AMOUNT]]))</f>
        <v>-500000000000</v>
      </c>
      <c r="V347" s="25">
        <f>_xlfn.XLOOKUP(Dealps[[#This Row],[PAPER_CODE]],FNRP!D:D,FNRP!H:H,0,0)/100*Dealps[[#This Row],[AMOUNT]]</f>
        <v>0</v>
      </c>
      <c r="W347" s="57" t="str">
        <f>IF(Dealps[[#This Row],[TRANSACTION_STATUS]]&lt;&gt;"V","Ngoai BS",IF(Dealps[[#This Row],[POSTED_DT]]&gt;=Dealps[[#This Row],[VALUE_DATE]],"On BS","Off BS"))</f>
        <v>On BS</v>
      </c>
      <c r="X347" s="25">
        <f>SUMIFS(U:U,C:C,Dealps[[#This Row],[PAPER_CODE]])</f>
        <v>1500000000000</v>
      </c>
      <c r="Y347" s="25">
        <f>_xlfn.XLOOKUP(Dealps[[#This Row],[DEAL_ID]],Ref!N:N,Ref!Q:Q,0,0)</f>
        <v>0</v>
      </c>
      <c r="Z347" s="25" t="str">
        <f>IF(Dealps[[#This Row],[CPTY_CODE]]=Dealps[[#This Row],[CPTY_CODE_ISSUER]],"Yes","No")</f>
        <v>No</v>
      </c>
      <c r="AA347" s="25"/>
      <c r="AC347" s="14"/>
      <c r="AG347" s="96"/>
      <c r="AH347" s="25"/>
      <c r="AI347" s="25"/>
      <c r="AN347" s="14"/>
      <c r="AV347" s="36"/>
      <c r="AW347" s="14"/>
      <c r="AX347" s="234"/>
      <c r="AY347" s="96"/>
      <c r="AZ347" s="14"/>
      <c r="BA347"/>
      <c r="BB347" s="93">
        <v>46262</v>
      </c>
      <c r="BC347">
        <v>2523</v>
      </c>
      <c r="BD347" s="56" t="s">
        <v>1019</v>
      </c>
      <c r="BE347" t="s">
        <v>1011</v>
      </c>
      <c r="BF347" t="s">
        <v>1012</v>
      </c>
      <c r="BG347" t="s">
        <v>364</v>
      </c>
      <c r="BH347" t="s">
        <v>1013</v>
      </c>
      <c r="BI347" t="s">
        <v>311</v>
      </c>
      <c r="BJ347" s="93">
        <v>45905</v>
      </c>
      <c r="BK347" s="93">
        <v>45876</v>
      </c>
      <c r="BL347" s="93">
        <v>45876</v>
      </c>
      <c r="BM347" s="93">
        <v>46606</v>
      </c>
      <c r="BN347" s="14">
        <v>1</v>
      </c>
      <c r="BO347" s="14">
        <v>10000000000</v>
      </c>
      <c r="BP347" s="56">
        <v>100</v>
      </c>
      <c r="BQ347" s="56">
        <v>0</v>
      </c>
      <c r="BR347" s="14">
        <v>10000000000</v>
      </c>
      <c r="BS347">
        <v>5.7841529999999999</v>
      </c>
      <c r="BT347" t="s">
        <v>1184</v>
      </c>
      <c r="BU347" s="25">
        <f>_xlfn.XLOOKUP(Dealps_MSB[[#This Row],[DEAL_ID]],Ref!V:V,Ref!X:X,0,0)</f>
        <v>0</v>
      </c>
      <c r="BV347"/>
    </row>
    <row r="348" spans="1:74" x14ac:dyDescent="0.3">
      <c r="A348" s="93">
        <v>46262</v>
      </c>
      <c r="B348">
        <v>4124</v>
      </c>
      <c r="C348" s="56" t="s">
        <v>1207</v>
      </c>
      <c r="D348" t="s">
        <v>384</v>
      </c>
      <c r="E348" t="s">
        <v>1022</v>
      </c>
      <c r="F348" t="s">
        <v>364</v>
      </c>
      <c r="G348" t="s">
        <v>310</v>
      </c>
      <c r="H348" t="s">
        <v>311</v>
      </c>
      <c r="I348" s="93">
        <v>46129</v>
      </c>
      <c r="J348" s="93">
        <v>46129</v>
      </c>
      <c r="K348" s="93">
        <v>46132</v>
      </c>
      <c r="L348" s="93">
        <v>46419</v>
      </c>
      <c r="M348" s="14">
        <v>1</v>
      </c>
      <c r="N348" s="14">
        <v>100000000000</v>
      </c>
      <c r="O348" s="56">
        <v>98.699216433000004</v>
      </c>
      <c r="P348" s="56">
        <v>0</v>
      </c>
      <c r="Q348" s="14">
        <v>100211545200</v>
      </c>
      <c r="R348">
        <v>9.6339269999999999</v>
      </c>
      <c r="S348" t="s">
        <v>1184</v>
      </c>
      <c r="T348" s="57">
        <f>IF(Dealps[[#This Row],[MATURITY_DATE]]-Dealps[[#This Row],[POSTED_DT]]&lt;0,0,IF(Dealps[[#This Row],[VALUE_DATE]]-Dealps[[#This Row],[POSTED_DT]]&gt;0,Dealps[[#This Row],[MATURITY_DATE]]-Dealps[[#This Row],[VALUE_DATE]],Dealps[[#This Row],[MATURITY_DATE]]-Dealps[[#This Row],[POSTED_DT]]))</f>
        <v>157</v>
      </c>
      <c r="U348" s="25">
        <f>IF(Dealps[[#This Row],[TENOR]]=0,0,IF(Dealps[[#This Row],[DEAL_TYPE]]="B",Dealps[[#This Row],[FACE_AMOUNT]],-Dealps[[#This Row],[FACE_AMOUNT]]))</f>
        <v>-100000000000</v>
      </c>
      <c r="V348" s="25">
        <f>_xlfn.XLOOKUP(Dealps[[#This Row],[PAPER_CODE]],FNRP!D:D,FNRP!H:H,0,0)/100*Dealps[[#This Row],[AMOUNT]]</f>
        <v>0</v>
      </c>
      <c r="W348" s="57" t="str">
        <f>IF(Dealps[[#This Row],[TRANSACTION_STATUS]]&lt;&gt;"V","Ngoai BS",IF(Dealps[[#This Row],[POSTED_DT]]&gt;=Dealps[[#This Row],[VALUE_DATE]],"On BS","Off BS"))</f>
        <v>On BS</v>
      </c>
      <c r="X348" s="25">
        <f>SUMIFS(U:U,C:C,Dealps[[#This Row],[PAPER_CODE]])</f>
        <v>200000000000</v>
      </c>
      <c r="Y348" s="25">
        <f>_xlfn.XLOOKUP(Dealps[[#This Row],[DEAL_ID]],Ref!N:N,Ref!Q:Q,0,0)</f>
        <v>0</v>
      </c>
      <c r="Z348" s="25" t="str">
        <f>IF(Dealps[[#This Row],[CPTY_CODE]]=Dealps[[#This Row],[CPTY_CODE_ISSUER]],"Yes","No")</f>
        <v>No</v>
      </c>
      <c r="AA348" s="25"/>
      <c r="AC348" s="14"/>
      <c r="AG348" s="96"/>
      <c r="AH348" s="25"/>
      <c r="AI348" s="25"/>
      <c r="AN348" s="14"/>
      <c r="AV348" s="36"/>
      <c r="AW348" s="14"/>
      <c r="AX348" s="234"/>
      <c r="AY348" s="96"/>
      <c r="AZ348" s="14"/>
      <c r="BA348"/>
      <c r="BB348" s="93">
        <v>46262</v>
      </c>
      <c r="BC348">
        <v>2526</v>
      </c>
      <c r="BD348" s="56" t="s">
        <v>1018</v>
      </c>
      <c r="BE348" t="s">
        <v>1011</v>
      </c>
      <c r="BF348" t="s">
        <v>1012</v>
      </c>
      <c r="BG348" t="s">
        <v>364</v>
      </c>
      <c r="BH348" t="s">
        <v>1013</v>
      </c>
      <c r="BI348" t="s">
        <v>311</v>
      </c>
      <c r="BJ348" s="93">
        <v>45908</v>
      </c>
      <c r="BK348" s="93">
        <v>45905</v>
      </c>
      <c r="BL348" s="93">
        <v>45905</v>
      </c>
      <c r="BM348" s="93">
        <v>46606</v>
      </c>
      <c r="BN348" s="14">
        <v>1</v>
      </c>
      <c r="BO348" s="14">
        <v>45000000000</v>
      </c>
      <c r="BP348" s="56">
        <v>100</v>
      </c>
      <c r="BQ348" s="56">
        <v>0</v>
      </c>
      <c r="BR348" s="14">
        <v>45178767123</v>
      </c>
      <c r="BS348">
        <v>4.9660469999999997</v>
      </c>
      <c r="BT348" t="s">
        <v>1184</v>
      </c>
      <c r="BU348" s="25">
        <f>_xlfn.XLOOKUP(Dealps_MSB[[#This Row],[DEAL_ID]],Ref!V:V,Ref!X:X,0,0)</f>
        <v>0</v>
      </c>
      <c r="BV348"/>
    </row>
    <row r="349" spans="1:74" x14ac:dyDescent="0.3">
      <c r="A349" s="93">
        <v>46262</v>
      </c>
      <c r="B349">
        <v>4125</v>
      </c>
      <c r="C349" s="56" t="s">
        <v>1061</v>
      </c>
      <c r="D349" t="s">
        <v>312</v>
      </c>
      <c r="E349" t="s">
        <v>636</v>
      </c>
      <c r="F349" t="s">
        <v>364</v>
      </c>
      <c r="G349" t="s">
        <v>310</v>
      </c>
      <c r="H349" t="s">
        <v>300</v>
      </c>
      <c r="I349" s="93">
        <v>46129</v>
      </c>
      <c r="J349" s="93">
        <v>46129</v>
      </c>
      <c r="K349" s="93">
        <v>46129</v>
      </c>
      <c r="L349" s="93">
        <v>46343</v>
      </c>
      <c r="M349" s="14">
        <v>1</v>
      </c>
      <c r="N349" s="14">
        <v>300000000000</v>
      </c>
      <c r="O349" s="56">
        <v>101.116924204</v>
      </c>
      <c r="P349" s="56">
        <v>0</v>
      </c>
      <c r="Q349" s="14">
        <v>311117895900</v>
      </c>
      <c r="R349">
        <v>4.2379100000000003</v>
      </c>
      <c r="S349" t="s">
        <v>1184</v>
      </c>
      <c r="T349" s="57">
        <f>IF(Dealps[[#This Row],[MATURITY_DATE]]-Dealps[[#This Row],[POSTED_DT]]&lt;0,0,IF(Dealps[[#This Row],[VALUE_DATE]]-Dealps[[#This Row],[POSTED_DT]]&gt;0,Dealps[[#This Row],[MATURITY_DATE]]-Dealps[[#This Row],[VALUE_DATE]],Dealps[[#This Row],[MATURITY_DATE]]-Dealps[[#This Row],[POSTED_DT]]))</f>
        <v>81</v>
      </c>
      <c r="U349" s="25">
        <f>IF(Dealps[[#This Row],[TENOR]]=0,0,IF(Dealps[[#This Row],[DEAL_TYPE]]="B",Dealps[[#This Row],[FACE_AMOUNT]],-Dealps[[#This Row],[FACE_AMOUNT]]))</f>
        <v>300000000000</v>
      </c>
      <c r="V349" s="25">
        <f>_xlfn.XLOOKUP(Dealps[[#This Row],[PAPER_CODE]],FNRP!D:D,FNRP!H:H,0,0)/100*Dealps[[#This Row],[AMOUNT]]</f>
        <v>0</v>
      </c>
      <c r="W349" s="57" t="str">
        <f>IF(Dealps[[#This Row],[TRANSACTION_STATUS]]&lt;&gt;"V","Ngoai BS",IF(Dealps[[#This Row],[POSTED_DT]]&gt;=Dealps[[#This Row],[VALUE_DATE]],"On BS","Off BS"))</f>
        <v>On BS</v>
      </c>
      <c r="X349" s="25">
        <f>SUMIFS(U:U,C:C,Dealps[[#This Row],[PAPER_CODE]])</f>
        <v>1500000000000</v>
      </c>
      <c r="Y349" s="25">
        <f>_xlfn.XLOOKUP(Dealps[[#This Row],[DEAL_ID]],Ref!N:N,Ref!Q:Q,0,0)</f>
        <v>0</v>
      </c>
      <c r="Z349" s="25" t="str">
        <f>IF(Dealps[[#This Row],[CPTY_CODE]]=Dealps[[#This Row],[CPTY_CODE_ISSUER]],"Yes","No")</f>
        <v>No</v>
      </c>
      <c r="AA349" s="25"/>
      <c r="AC349" s="14"/>
      <c r="AG349" s="96"/>
      <c r="AH349" s="25"/>
      <c r="AI349" s="25"/>
      <c r="AN349" s="14"/>
      <c r="AV349" s="36"/>
      <c r="AW349" s="14"/>
      <c r="AX349" s="234"/>
      <c r="AY349" s="96"/>
      <c r="AZ349" s="14"/>
      <c r="BA349"/>
      <c r="BB349" s="93">
        <v>46262</v>
      </c>
      <c r="BC349">
        <v>2529</v>
      </c>
      <c r="BD349" s="56" t="s">
        <v>1019</v>
      </c>
      <c r="BE349" t="s">
        <v>1011</v>
      </c>
      <c r="BF349" t="s">
        <v>1012</v>
      </c>
      <c r="BG349" t="s">
        <v>364</v>
      </c>
      <c r="BH349" t="s">
        <v>1013</v>
      </c>
      <c r="BI349" t="s">
        <v>311</v>
      </c>
      <c r="BJ349" s="93">
        <v>45908</v>
      </c>
      <c r="BK349" s="93">
        <v>45908</v>
      </c>
      <c r="BL349" s="93">
        <v>45908</v>
      </c>
      <c r="BM349" s="93">
        <v>46606</v>
      </c>
      <c r="BN349" s="14">
        <v>1</v>
      </c>
      <c r="BO349" s="14">
        <v>20000000000</v>
      </c>
      <c r="BP349" s="56">
        <v>100</v>
      </c>
      <c r="BQ349" s="56">
        <v>0</v>
      </c>
      <c r="BR349" s="14">
        <v>20101698630</v>
      </c>
      <c r="BS349">
        <v>5.7541690000000001</v>
      </c>
      <c r="BT349" t="s">
        <v>1184</v>
      </c>
      <c r="BU349" s="25">
        <f>_xlfn.XLOOKUP(Dealps_MSB[[#This Row],[DEAL_ID]],Ref!V:V,Ref!X:X,0,0)</f>
        <v>0</v>
      </c>
      <c r="BV349"/>
    </row>
    <row r="350" spans="1:74" x14ac:dyDescent="0.3">
      <c r="A350" s="93">
        <v>46262</v>
      </c>
      <c r="B350">
        <v>4126</v>
      </c>
      <c r="C350" s="56" t="s">
        <v>1261</v>
      </c>
      <c r="D350" t="s">
        <v>343</v>
      </c>
      <c r="E350" t="s">
        <v>343</v>
      </c>
      <c r="F350" t="s">
        <v>364</v>
      </c>
      <c r="G350" t="s">
        <v>310</v>
      </c>
      <c r="H350" t="s">
        <v>300</v>
      </c>
      <c r="I350" s="93">
        <v>46129</v>
      </c>
      <c r="J350" s="93">
        <v>46129</v>
      </c>
      <c r="K350" s="93">
        <v>46132</v>
      </c>
      <c r="L350" s="93">
        <v>46496</v>
      </c>
      <c r="M350" s="14">
        <v>1</v>
      </c>
      <c r="N350" s="14">
        <v>400000000000</v>
      </c>
      <c r="O350" s="56">
        <v>100</v>
      </c>
      <c r="P350" s="56">
        <v>0</v>
      </c>
      <c r="Q350" s="14">
        <v>400000000000</v>
      </c>
      <c r="R350">
        <v>9.1</v>
      </c>
      <c r="S350" t="s">
        <v>1184</v>
      </c>
      <c r="T350" s="57">
        <f>IF(Dealps[[#This Row],[MATURITY_DATE]]-Dealps[[#This Row],[POSTED_DT]]&lt;0,0,IF(Dealps[[#This Row],[VALUE_DATE]]-Dealps[[#This Row],[POSTED_DT]]&gt;0,Dealps[[#This Row],[MATURITY_DATE]]-Dealps[[#This Row],[VALUE_DATE]],Dealps[[#This Row],[MATURITY_DATE]]-Dealps[[#This Row],[POSTED_DT]]))</f>
        <v>234</v>
      </c>
      <c r="U350" s="25">
        <f>IF(Dealps[[#This Row],[TENOR]]=0,0,IF(Dealps[[#This Row],[DEAL_TYPE]]="B",Dealps[[#This Row],[FACE_AMOUNT]],-Dealps[[#This Row],[FACE_AMOUNT]]))</f>
        <v>400000000000</v>
      </c>
      <c r="V350" s="25">
        <f>_xlfn.XLOOKUP(Dealps[[#This Row],[PAPER_CODE]],FNRP!D:D,FNRP!H:H,0,0)/100*Dealps[[#This Row],[AMOUNT]]</f>
        <v>0</v>
      </c>
      <c r="W350" s="57" t="str">
        <f>IF(Dealps[[#This Row],[TRANSACTION_STATUS]]&lt;&gt;"V","Ngoai BS",IF(Dealps[[#This Row],[POSTED_DT]]&gt;=Dealps[[#This Row],[VALUE_DATE]],"On BS","Off BS"))</f>
        <v>On BS</v>
      </c>
      <c r="X350" s="25">
        <f>SUMIFS(U:U,C:C,Dealps[[#This Row],[PAPER_CODE]])</f>
        <v>400000000000</v>
      </c>
      <c r="Y350" s="25">
        <f>_xlfn.XLOOKUP(Dealps[[#This Row],[DEAL_ID]],Ref!N:N,Ref!Q:Q,0,0)</f>
        <v>0</v>
      </c>
      <c r="Z350" s="25" t="str">
        <f>IF(Dealps[[#This Row],[CPTY_CODE]]=Dealps[[#This Row],[CPTY_CODE_ISSUER]],"Yes","No")</f>
        <v>Yes</v>
      </c>
      <c r="AA350" s="25"/>
      <c r="AC350" s="14"/>
      <c r="AG350" s="96"/>
      <c r="AH350" s="25"/>
      <c r="AI350" s="25"/>
      <c r="AN350" s="14"/>
      <c r="AV350" s="36"/>
      <c r="AW350" s="14"/>
      <c r="AX350" s="234"/>
      <c r="AY350" s="96"/>
      <c r="AZ350" s="14"/>
      <c r="BA350"/>
      <c r="BB350" s="93">
        <v>46262</v>
      </c>
      <c r="BC350">
        <v>2530</v>
      </c>
      <c r="BD350" s="56" t="s">
        <v>1018</v>
      </c>
      <c r="BE350" t="s">
        <v>1011</v>
      </c>
      <c r="BF350" t="s">
        <v>1012</v>
      </c>
      <c r="BG350" t="s">
        <v>364</v>
      </c>
      <c r="BH350" t="s">
        <v>1013</v>
      </c>
      <c r="BI350" t="s">
        <v>311</v>
      </c>
      <c r="BJ350" s="93">
        <v>45908</v>
      </c>
      <c r="BK350" s="93">
        <v>45908</v>
      </c>
      <c r="BL350" s="93">
        <v>45908</v>
      </c>
      <c r="BM350" s="93">
        <v>46606</v>
      </c>
      <c r="BN350" s="14">
        <v>1</v>
      </c>
      <c r="BO350" s="14">
        <v>20000000000</v>
      </c>
      <c r="BP350" s="56">
        <v>100</v>
      </c>
      <c r="BQ350" s="56">
        <v>0</v>
      </c>
      <c r="BR350" s="14">
        <v>20087671233</v>
      </c>
      <c r="BS350">
        <v>4.9639540000000002</v>
      </c>
      <c r="BT350" t="s">
        <v>1184</v>
      </c>
      <c r="BU350" s="25">
        <f>_xlfn.XLOOKUP(Dealps_MSB[[#This Row],[DEAL_ID]],Ref!V:V,Ref!X:X,0,0)</f>
        <v>0</v>
      </c>
      <c r="BV350"/>
    </row>
    <row r="351" spans="1:74" x14ac:dyDescent="0.3">
      <c r="A351" s="93">
        <v>46262</v>
      </c>
      <c r="B351">
        <v>4127</v>
      </c>
      <c r="C351" s="56" t="s">
        <v>1258</v>
      </c>
      <c r="D351" t="s">
        <v>321</v>
      </c>
      <c r="E351" t="s">
        <v>315</v>
      </c>
      <c r="F351" t="s">
        <v>364</v>
      </c>
      <c r="G351" t="s">
        <v>310</v>
      </c>
      <c r="H351" t="s">
        <v>311</v>
      </c>
      <c r="I351" s="93">
        <v>46129</v>
      </c>
      <c r="J351" s="93">
        <v>46129</v>
      </c>
      <c r="K351" s="93">
        <v>46132</v>
      </c>
      <c r="L351" s="93">
        <v>46485</v>
      </c>
      <c r="M351" s="14">
        <v>1</v>
      </c>
      <c r="N351" s="14">
        <v>1000000000000</v>
      </c>
      <c r="O351" s="56">
        <v>100.802207708</v>
      </c>
      <c r="P351" s="56">
        <v>0</v>
      </c>
      <c r="Q351" s="14">
        <v>1009402899000</v>
      </c>
      <c r="R351">
        <v>7.5</v>
      </c>
      <c r="S351" t="s">
        <v>1184</v>
      </c>
      <c r="T351" s="57">
        <f>IF(Dealps[[#This Row],[MATURITY_DATE]]-Dealps[[#This Row],[POSTED_DT]]&lt;0,0,IF(Dealps[[#This Row],[VALUE_DATE]]-Dealps[[#This Row],[POSTED_DT]]&gt;0,Dealps[[#This Row],[MATURITY_DATE]]-Dealps[[#This Row],[VALUE_DATE]],Dealps[[#This Row],[MATURITY_DATE]]-Dealps[[#This Row],[POSTED_DT]]))</f>
        <v>223</v>
      </c>
      <c r="U351" s="25">
        <f>IF(Dealps[[#This Row],[TENOR]]=0,0,IF(Dealps[[#This Row],[DEAL_TYPE]]="B",Dealps[[#This Row],[FACE_AMOUNT]],-Dealps[[#This Row],[FACE_AMOUNT]]))</f>
        <v>-1000000000000</v>
      </c>
      <c r="V351" s="25">
        <f>_xlfn.XLOOKUP(Dealps[[#This Row],[PAPER_CODE]],FNRP!D:D,FNRP!H:H,0,0)/100*Dealps[[#This Row],[AMOUNT]]</f>
        <v>0</v>
      </c>
      <c r="W351" s="57" t="str">
        <f>IF(Dealps[[#This Row],[TRANSACTION_STATUS]]&lt;&gt;"V","Ngoai BS",IF(Dealps[[#This Row],[POSTED_DT]]&gt;=Dealps[[#This Row],[VALUE_DATE]],"On BS","Off BS"))</f>
        <v>On BS</v>
      </c>
      <c r="X351" s="25">
        <f>SUMIFS(U:U,C:C,Dealps[[#This Row],[PAPER_CODE]])</f>
        <v>2000000000000</v>
      </c>
      <c r="Y351" s="25">
        <f>_xlfn.XLOOKUP(Dealps[[#This Row],[DEAL_ID]],Ref!N:N,Ref!Q:Q,0,0)</f>
        <v>0</v>
      </c>
      <c r="Z351" s="25" t="str">
        <f>IF(Dealps[[#This Row],[CPTY_CODE]]=Dealps[[#This Row],[CPTY_CODE_ISSUER]],"Yes","No")</f>
        <v>No</v>
      </c>
      <c r="AA351" s="25"/>
      <c r="AC351" s="14"/>
      <c r="AG351" s="96"/>
      <c r="AH351" s="25"/>
      <c r="AI351" s="25"/>
      <c r="AN351" s="14"/>
      <c r="AV351" s="36"/>
      <c r="AW351" s="14"/>
      <c r="AX351" s="234"/>
      <c r="AY351" s="96"/>
      <c r="AZ351" s="14"/>
      <c r="BA351"/>
      <c r="BB351" s="93">
        <v>46262</v>
      </c>
      <c r="BC351">
        <v>2533</v>
      </c>
      <c r="BD351" s="56" t="s">
        <v>1018</v>
      </c>
      <c r="BE351" t="s">
        <v>1011</v>
      </c>
      <c r="BF351" t="s">
        <v>1012</v>
      </c>
      <c r="BG351" t="s">
        <v>364</v>
      </c>
      <c r="BH351" t="s">
        <v>1013</v>
      </c>
      <c r="BI351" t="s">
        <v>311</v>
      </c>
      <c r="BJ351" s="93">
        <v>45909</v>
      </c>
      <c r="BK351" s="93">
        <v>45909</v>
      </c>
      <c r="BL351" s="93">
        <v>45909</v>
      </c>
      <c r="BM351" s="93">
        <v>46606</v>
      </c>
      <c r="BN351" s="14">
        <v>1</v>
      </c>
      <c r="BO351" s="14">
        <v>20000000000</v>
      </c>
      <c r="BP351" s="56">
        <v>100</v>
      </c>
      <c r="BQ351" s="56">
        <v>0</v>
      </c>
      <c r="BR351" s="14">
        <v>20090410959</v>
      </c>
      <c r="BS351">
        <v>4.9632569999999996</v>
      </c>
      <c r="BT351" t="s">
        <v>1184</v>
      </c>
      <c r="BU351" s="25">
        <f>_xlfn.XLOOKUP(Dealps_MSB[[#This Row],[DEAL_ID]],Ref!V:V,Ref!X:X,0,0)</f>
        <v>0</v>
      </c>
      <c r="BV351"/>
    </row>
    <row r="352" spans="1:74" x14ac:dyDescent="0.3">
      <c r="A352" s="93">
        <v>46262</v>
      </c>
      <c r="B352">
        <v>4128</v>
      </c>
      <c r="C352" s="56" t="s">
        <v>1071</v>
      </c>
      <c r="D352" t="s">
        <v>328</v>
      </c>
      <c r="E352" t="s">
        <v>703</v>
      </c>
      <c r="F352" t="s">
        <v>364</v>
      </c>
      <c r="G352" t="s">
        <v>310</v>
      </c>
      <c r="H352" t="s">
        <v>311</v>
      </c>
      <c r="I352" s="93">
        <v>46132</v>
      </c>
      <c r="J352" s="93">
        <v>46132</v>
      </c>
      <c r="K352" s="93">
        <v>46133</v>
      </c>
      <c r="L352" s="93">
        <v>46352</v>
      </c>
      <c r="M352" s="14">
        <v>1</v>
      </c>
      <c r="N352" s="14">
        <v>300000000000</v>
      </c>
      <c r="O352" s="56">
        <v>100.25638119200001</v>
      </c>
      <c r="P352" s="56">
        <v>0</v>
      </c>
      <c r="Q352" s="14">
        <v>308634897000</v>
      </c>
      <c r="R352">
        <v>6</v>
      </c>
      <c r="S352" t="s">
        <v>1184</v>
      </c>
      <c r="T352" s="57">
        <f>IF(Dealps[[#This Row],[MATURITY_DATE]]-Dealps[[#This Row],[POSTED_DT]]&lt;0,0,IF(Dealps[[#This Row],[VALUE_DATE]]-Dealps[[#This Row],[POSTED_DT]]&gt;0,Dealps[[#This Row],[MATURITY_DATE]]-Dealps[[#This Row],[VALUE_DATE]],Dealps[[#This Row],[MATURITY_DATE]]-Dealps[[#This Row],[POSTED_DT]]))</f>
        <v>90</v>
      </c>
      <c r="U352" s="25">
        <f>IF(Dealps[[#This Row],[TENOR]]=0,0,IF(Dealps[[#This Row],[DEAL_TYPE]]="B",Dealps[[#This Row],[FACE_AMOUNT]],-Dealps[[#This Row],[FACE_AMOUNT]]))</f>
        <v>-300000000000</v>
      </c>
      <c r="V352" s="25">
        <f>_xlfn.XLOOKUP(Dealps[[#This Row],[PAPER_CODE]],FNRP!D:D,FNRP!H:H,0,0)/100*Dealps[[#This Row],[AMOUNT]]</f>
        <v>0</v>
      </c>
      <c r="W352" s="57" t="str">
        <f>IF(Dealps[[#This Row],[TRANSACTION_STATUS]]&lt;&gt;"V","Ngoai BS",IF(Dealps[[#This Row],[POSTED_DT]]&gt;=Dealps[[#This Row],[VALUE_DATE]],"On BS","Off BS"))</f>
        <v>On BS</v>
      </c>
      <c r="X352" s="25">
        <f>SUMIFS(U:U,C:C,Dealps[[#This Row],[PAPER_CODE]])</f>
        <v>1500000000000</v>
      </c>
      <c r="Y352" s="25">
        <f>_xlfn.XLOOKUP(Dealps[[#This Row],[DEAL_ID]],Ref!N:N,Ref!Q:Q,0,0)</f>
        <v>0</v>
      </c>
      <c r="Z352" s="25" t="str">
        <f>IF(Dealps[[#This Row],[CPTY_CODE]]=Dealps[[#This Row],[CPTY_CODE_ISSUER]],"Yes","No")</f>
        <v>No</v>
      </c>
      <c r="AA352" s="25"/>
      <c r="AC352" s="14"/>
      <c r="AG352" s="96"/>
      <c r="AH352" s="25"/>
      <c r="AI352" s="25"/>
      <c r="AN352" s="14"/>
      <c r="AV352" s="36"/>
      <c r="AW352" s="14"/>
      <c r="AX352" s="234"/>
      <c r="AY352" s="96"/>
      <c r="AZ352" s="14"/>
      <c r="BA352"/>
      <c r="BB352" s="93">
        <v>46262</v>
      </c>
      <c r="BC352">
        <v>2534</v>
      </c>
      <c r="BD352" s="56" t="s">
        <v>1018</v>
      </c>
      <c r="BE352" t="s">
        <v>1011</v>
      </c>
      <c r="BF352" t="s">
        <v>1012</v>
      </c>
      <c r="BG352" t="s">
        <v>364</v>
      </c>
      <c r="BH352" t="s">
        <v>1013</v>
      </c>
      <c r="BI352" t="s">
        <v>311</v>
      </c>
      <c r="BJ352" s="93">
        <v>45909</v>
      </c>
      <c r="BK352" s="93">
        <v>45909</v>
      </c>
      <c r="BL352" s="93">
        <v>45909</v>
      </c>
      <c r="BM352" s="93">
        <v>46606</v>
      </c>
      <c r="BN352" s="14">
        <v>1</v>
      </c>
      <c r="BO352" s="14">
        <v>20000000000</v>
      </c>
      <c r="BP352" s="56">
        <v>100</v>
      </c>
      <c r="BQ352" s="56">
        <v>0</v>
      </c>
      <c r="BR352" s="14">
        <v>20090410959</v>
      </c>
      <c r="BS352">
        <v>4.9632569999999996</v>
      </c>
      <c r="BT352" t="s">
        <v>1184</v>
      </c>
      <c r="BU352" s="25">
        <f>_xlfn.XLOOKUP(Dealps_MSB[[#This Row],[DEAL_ID]],Ref!V:V,Ref!X:X,0,0)</f>
        <v>0</v>
      </c>
      <c r="BV352"/>
    </row>
    <row r="353" spans="1:74" x14ac:dyDescent="0.3">
      <c r="A353" s="93">
        <v>46262</v>
      </c>
      <c r="B353">
        <v>4134</v>
      </c>
      <c r="C353" s="56" t="s">
        <v>1061</v>
      </c>
      <c r="D353" t="s">
        <v>312</v>
      </c>
      <c r="E353" t="s">
        <v>384</v>
      </c>
      <c r="F353" t="s">
        <v>364</v>
      </c>
      <c r="G353" t="s">
        <v>310</v>
      </c>
      <c r="H353" t="s">
        <v>311</v>
      </c>
      <c r="I353" s="93">
        <v>46132</v>
      </c>
      <c r="J353" s="93">
        <v>46133</v>
      </c>
      <c r="K353" s="93">
        <v>46133</v>
      </c>
      <c r="L353" s="93">
        <v>46343</v>
      </c>
      <c r="M353" s="14">
        <v>1</v>
      </c>
      <c r="N353" s="14">
        <v>300000000000</v>
      </c>
      <c r="O353" s="56">
        <v>101.233722808</v>
      </c>
      <c r="P353" s="56">
        <v>0</v>
      </c>
      <c r="Q353" s="14">
        <v>311675415000</v>
      </c>
      <c r="R353">
        <v>4</v>
      </c>
      <c r="S353" t="s">
        <v>1184</v>
      </c>
      <c r="T353" s="57">
        <f>IF(Dealps[[#This Row],[MATURITY_DATE]]-Dealps[[#This Row],[POSTED_DT]]&lt;0,0,IF(Dealps[[#This Row],[VALUE_DATE]]-Dealps[[#This Row],[POSTED_DT]]&gt;0,Dealps[[#This Row],[MATURITY_DATE]]-Dealps[[#This Row],[VALUE_DATE]],Dealps[[#This Row],[MATURITY_DATE]]-Dealps[[#This Row],[POSTED_DT]]))</f>
        <v>81</v>
      </c>
      <c r="U353" s="25">
        <f>IF(Dealps[[#This Row],[TENOR]]=0,0,IF(Dealps[[#This Row],[DEAL_TYPE]]="B",Dealps[[#This Row],[FACE_AMOUNT]],-Dealps[[#This Row],[FACE_AMOUNT]]))</f>
        <v>-300000000000</v>
      </c>
      <c r="V353" s="25">
        <f>_xlfn.XLOOKUP(Dealps[[#This Row],[PAPER_CODE]],FNRP!D:D,FNRP!H:H,0,0)/100*Dealps[[#This Row],[AMOUNT]]</f>
        <v>0</v>
      </c>
      <c r="W353" s="57" t="str">
        <f>IF(Dealps[[#This Row],[TRANSACTION_STATUS]]&lt;&gt;"V","Ngoai BS",IF(Dealps[[#This Row],[POSTED_DT]]&gt;=Dealps[[#This Row],[VALUE_DATE]],"On BS","Off BS"))</f>
        <v>On BS</v>
      </c>
      <c r="X353" s="25">
        <f>SUMIFS(U:U,C:C,Dealps[[#This Row],[PAPER_CODE]])</f>
        <v>1500000000000</v>
      </c>
      <c r="Y353" s="25">
        <f>_xlfn.XLOOKUP(Dealps[[#This Row],[DEAL_ID]],Ref!N:N,Ref!Q:Q,0,0)</f>
        <v>0</v>
      </c>
      <c r="Z353" s="25" t="str">
        <f>IF(Dealps[[#This Row],[CPTY_CODE]]=Dealps[[#This Row],[CPTY_CODE_ISSUER]],"Yes","No")</f>
        <v>No</v>
      </c>
      <c r="AA353" s="25"/>
      <c r="AC353" s="14"/>
      <c r="AG353" s="96"/>
      <c r="AH353" s="25"/>
      <c r="AI353" s="25"/>
      <c r="AN353" s="14"/>
      <c r="AV353" s="36"/>
      <c r="AW353" s="14"/>
      <c r="AX353" s="234"/>
      <c r="AY353" s="96"/>
      <c r="AZ353" s="14"/>
      <c r="BA353"/>
      <c r="BB353" s="93">
        <v>46262</v>
      </c>
      <c r="BC353">
        <v>2535</v>
      </c>
      <c r="BD353" s="56" t="s">
        <v>1018</v>
      </c>
      <c r="BE353" t="s">
        <v>1011</v>
      </c>
      <c r="BF353" t="s">
        <v>1012</v>
      </c>
      <c r="BG353" t="s">
        <v>364</v>
      </c>
      <c r="BH353" t="s">
        <v>1013</v>
      </c>
      <c r="BI353" t="s">
        <v>311</v>
      </c>
      <c r="BJ353" s="93">
        <v>45909</v>
      </c>
      <c r="BK353" s="93">
        <v>45909</v>
      </c>
      <c r="BL353" s="93">
        <v>45909</v>
      </c>
      <c r="BM353" s="93">
        <v>46606</v>
      </c>
      <c r="BN353" s="14">
        <v>1</v>
      </c>
      <c r="BO353" s="14">
        <v>20000000000</v>
      </c>
      <c r="BP353" s="56">
        <v>100</v>
      </c>
      <c r="BQ353" s="56">
        <v>0</v>
      </c>
      <c r="BR353" s="14">
        <v>20090410959</v>
      </c>
      <c r="BS353">
        <v>4.9632569999999996</v>
      </c>
      <c r="BT353" t="s">
        <v>1184</v>
      </c>
      <c r="BU353" s="25">
        <f>_xlfn.XLOOKUP(Dealps_MSB[[#This Row],[DEAL_ID]],Ref!V:V,Ref!X:X,0,0)</f>
        <v>0</v>
      </c>
      <c r="BV353"/>
    </row>
    <row r="354" spans="1:74" x14ac:dyDescent="0.3">
      <c r="A354" s="93">
        <v>46262</v>
      </c>
      <c r="B354">
        <v>49546</v>
      </c>
      <c r="C354" s="56" t="s">
        <v>1262</v>
      </c>
      <c r="D354" t="s">
        <v>318</v>
      </c>
      <c r="E354" t="s">
        <v>318</v>
      </c>
      <c r="F354" t="s">
        <v>35</v>
      </c>
      <c r="G354" t="s">
        <v>310</v>
      </c>
      <c r="H354" t="s">
        <v>300</v>
      </c>
      <c r="I354" s="93">
        <v>46132</v>
      </c>
      <c r="J354" s="93">
        <v>46132</v>
      </c>
      <c r="K354" s="93">
        <v>46133</v>
      </c>
      <c r="L354" s="93">
        <v>46498</v>
      </c>
      <c r="M354" s="14">
        <v>800</v>
      </c>
      <c r="N354" s="14">
        <v>800000000000</v>
      </c>
      <c r="O354" s="56">
        <v>100</v>
      </c>
      <c r="P354" s="56">
        <v>0</v>
      </c>
      <c r="Q354" s="14">
        <v>800000000000</v>
      </c>
      <c r="R354">
        <v>8.3995480820000008</v>
      </c>
      <c r="S354" t="s">
        <v>1184</v>
      </c>
      <c r="T354" s="57">
        <f>IF(Dealps[[#This Row],[MATURITY_DATE]]-Dealps[[#This Row],[POSTED_DT]]&lt;0,0,IF(Dealps[[#This Row],[VALUE_DATE]]-Dealps[[#This Row],[POSTED_DT]]&gt;0,Dealps[[#This Row],[MATURITY_DATE]]-Dealps[[#This Row],[VALUE_DATE]],Dealps[[#This Row],[MATURITY_DATE]]-Dealps[[#This Row],[POSTED_DT]]))</f>
        <v>236</v>
      </c>
      <c r="U354" s="25">
        <f>IF(Dealps[[#This Row],[TENOR]]=0,0,IF(Dealps[[#This Row],[DEAL_TYPE]]="B",Dealps[[#This Row],[FACE_AMOUNT]],-Dealps[[#This Row],[FACE_AMOUNT]]))</f>
        <v>800000000000</v>
      </c>
      <c r="V354" s="25">
        <f>_xlfn.XLOOKUP(Dealps[[#This Row],[PAPER_CODE]],FNRP!D:D,FNRP!H:H,0,0)/100*Dealps[[#This Row],[AMOUNT]]</f>
        <v>41617971504</v>
      </c>
      <c r="W354" s="57" t="str">
        <f>IF(Dealps[[#This Row],[TRANSACTION_STATUS]]&lt;&gt;"V","Ngoai BS",IF(Dealps[[#This Row],[POSTED_DT]]&gt;=Dealps[[#This Row],[VALUE_DATE]],"On BS","Off BS"))</f>
        <v>On BS</v>
      </c>
      <c r="X354" s="25">
        <f>SUMIFS(U:U,C:C,Dealps[[#This Row],[PAPER_CODE]])</f>
        <v>2000000000000</v>
      </c>
      <c r="Y354" s="25">
        <f>_xlfn.XLOOKUP(Dealps[[#This Row],[DEAL_ID]],Ref!N:N,Ref!Q:Q,0,0)</f>
        <v>0</v>
      </c>
      <c r="Z354" s="25" t="str">
        <f>IF(Dealps[[#This Row],[CPTY_CODE]]=Dealps[[#This Row],[CPTY_CODE_ISSUER]],"Yes","No")</f>
        <v>Yes</v>
      </c>
      <c r="AA354" s="25"/>
      <c r="AC354" s="14"/>
      <c r="AG354" s="96"/>
      <c r="AH354" s="25"/>
      <c r="AI354" s="25"/>
      <c r="AN354" s="14"/>
      <c r="AV354" s="36"/>
      <c r="AW354" s="14"/>
      <c r="AX354" s="234"/>
      <c r="AY354" s="96"/>
      <c r="AZ354" s="14"/>
      <c r="BA354"/>
      <c r="BB354" s="93">
        <v>46262</v>
      </c>
      <c r="BC354">
        <v>2537</v>
      </c>
      <c r="BD354" s="56" t="s">
        <v>1018</v>
      </c>
      <c r="BE354" t="s">
        <v>1011</v>
      </c>
      <c r="BF354" t="s">
        <v>1012</v>
      </c>
      <c r="BG354" t="s">
        <v>364</v>
      </c>
      <c r="BH354" t="s">
        <v>1013</v>
      </c>
      <c r="BI354" t="s">
        <v>311</v>
      </c>
      <c r="BJ354" s="93">
        <v>45909</v>
      </c>
      <c r="BK354" s="93">
        <v>45909</v>
      </c>
      <c r="BL354" s="93">
        <v>45909</v>
      </c>
      <c r="BM354" s="93">
        <v>46606</v>
      </c>
      <c r="BN354" s="14">
        <v>1</v>
      </c>
      <c r="BO354" s="14">
        <v>10000000000</v>
      </c>
      <c r="BP354" s="56">
        <v>100</v>
      </c>
      <c r="BQ354" s="56">
        <v>0</v>
      </c>
      <c r="BR354" s="14">
        <v>10045205480</v>
      </c>
      <c r="BS354">
        <v>4.9632569999999996</v>
      </c>
      <c r="BT354" t="s">
        <v>1184</v>
      </c>
      <c r="BU354" s="25">
        <f>_xlfn.XLOOKUP(Dealps_MSB[[#This Row],[DEAL_ID]],Ref!V:V,Ref!X:X,0,0)</f>
        <v>0</v>
      </c>
      <c r="BV354"/>
    </row>
    <row r="355" spans="1:74" x14ac:dyDescent="0.3">
      <c r="A355" s="93">
        <v>46262</v>
      </c>
      <c r="B355">
        <v>49547</v>
      </c>
      <c r="C355" s="56" t="s">
        <v>1262</v>
      </c>
      <c r="D355" t="s">
        <v>318</v>
      </c>
      <c r="E355" t="s">
        <v>318</v>
      </c>
      <c r="F355" t="s">
        <v>35</v>
      </c>
      <c r="G355" t="s">
        <v>310</v>
      </c>
      <c r="H355" t="s">
        <v>300</v>
      </c>
      <c r="I355" s="93">
        <v>46132</v>
      </c>
      <c r="J355" s="93">
        <v>46132</v>
      </c>
      <c r="K355" s="93">
        <v>46133</v>
      </c>
      <c r="L355" s="93">
        <v>46498</v>
      </c>
      <c r="M355" s="14">
        <v>600</v>
      </c>
      <c r="N355" s="14">
        <v>600000000000</v>
      </c>
      <c r="O355" s="56">
        <v>100</v>
      </c>
      <c r="P355" s="56">
        <v>0</v>
      </c>
      <c r="Q355" s="14">
        <v>600000000000</v>
      </c>
      <c r="R355">
        <v>8.3995480820000008</v>
      </c>
      <c r="S355" t="s">
        <v>1184</v>
      </c>
      <c r="T355" s="57">
        <f>IF(Dealps[[#This Row],[MATURITY_DATE]]-Dealps[[#This Row],[POSTED_DT]]&lt;0,0,IF(Dealps[[#This Row],[VALUE_DATE]]-Dealps[[#This Row],[POSTED_DT]]&gt;0,Dealps[[#This Row],[MATURITY_DATE]]-Dealps[[#This Row],[VALUE_DATE]],Dealps[[#This Row],[MATURITY_DATE]]-Dealps[[#This Row],[POSTED_DT]]))</f>
        <v>236</v>
      </c>
      <c r="U355" s="25">
        <f>IF(Dealps[[#This Row],[TENOR]]=0,0,IF(Dealps[[#This Row],[DEAL_TYPE]]="B",Dealps[[#This Row],[FACE_AMOUNT]],-Dealps[[#This Row],[FACE_AMOUNT]]))</f>
        <v>600000000000</v>
      </c>
      <c r="V355" s="25">
        <f>_xlfn.XLOOKUP(Dealps[[#This Row],[PAPER_CODE]],FNRP!D:D,FNRP!H:H,0,0)/100*Dealps[[#This Row],[AMOUNT]]</f>
        <v>31213478628</v>
      </c>
      <c r="W355" s="57" t="str">
        <f>IF(Dealps[[#This Row],[TRANSACTION_STATUS]]&lt;&gt;"V","Ngoai BS",IF(Dealps[[#This Row],[POSTED_DT]]&gt;=Dealps[[#This Row],[VALUE_DATE]],"On BS","Off BS"))</f>
        <v>On BS</v>
      </c>
      <c r="X355" s="25">
        <f>SUMIFS(U:U,C:C,Dealps[[#This Row],[PAPER_CODE]])</f>
        <v>2000000000000</v>
      </c>
      <c r="Y355" s="25">
        <f>_xlfn.XLOOKUP(Dealps[[#This Row],[DEAL_ID]],Ref!N:N,Ref!Q:Q,0,0)</f>
        <v>0</v>
      </c>
      <c r="Z355" s="25" t="str">
        <f>IF(Dealps[[#This Row],[CPTY_CODE]]=Dealps[[#This Row],[CPTY_CODE_ISSUER]],"Yes","No")</f>
        <v>Yes</v>
      </c>
      <c r="AA355" s="25"/>
      <c r="AC355" s="14"/>
      <c r="AG355" s="96"/>
      <c r="AH355" s="25"/>
      <c r="AI355" s="25"/>
      <c r="AN355" s="14"/>
      <c r="AV355" s="36"/>
      <c r="AW355" s="14"/>
      <c r="AX355" s="234"/>
      <c r="AY355" s="96"/>
      <c r="AZ355" s="14"/>
      <c r="BA355"/>
      <c r="BB355" s="93">
        <v>46262</v>
      </c>
      <c r="BC355">
        <v>2552</v>
      </c>
      <c r="BD355" s="56" t="s">
        <v>1018</v>
      </c>
      <c r="BE355" t="s">
        <v>1011</v>
      </c>
      <c r="BF355" t="s">
        <v>1012</v>
      </c>
      <c r="BG355" t="s">
        <v>364</v>
      </c>
      <c r="BH355" t="s">
        <v>1013</v>
      </c>
      <c r="BI355" t="s">
        <v>311</v>
      </c>
      <c r="BJ355" s="93">
        <v>45910</v>
      </c>
      <c r="BK355" s="93">
        <v>45910</v>
      </c>
      <c r="BL355" s="93">
        <v>45910</v>
      </c>
      <c r="BM355" s="93">
        <v>46606</v>
      </c>
      <c r="BN355" s="14">
        <v>1</v>
      </c>
      <c r="BO355" s="14">
        <v>10000000000</v>
      </c>
      <c r="BP355" s="56">
        <v>100</v>
      </c>
      <c r="BQ355" s="56">
        <v>0</v>
      </c>
      <c r="BR355" s="14">
        <v>10046575343</v>
      </c>
      <c r="BS355">
        <v>4.9625599999999999</v>
      </c>
      <c r="BT355" t="s">
        <v>1184</v>
      </c>
      <c r="BU355" s="25">
        <f>_xlfn.XLOOKUP(Dealps_MSB[[#This Row],[DEAL_ID]],Ref!V:V,Ref!X:X,0,0)</f>
        <v>0</v>
      </c>
      <c r="BV355"/>
    </row>
    <row r="356" spans="1:74" x14ac:dyDescent="0.3">
      <c r="A356" s="93">
        <v>46262</v>
      </c>
      <c r="B356">
        <v>49548</v>
      </c>
      <c r="C356" s="56" t="s">
        <v>1262</v>
      </c>
      <c r="D356" t="s">
        <v>318</v>
      </c>
      <c r="E356" t="s">
        <v>318</v>
      </c>
      <c r="F356" t="s">
        <v>35</v>
      </c>
      <c r="G356" t="s">
        <v>310</v>
      </c>
      <c r="H356" t="s">
        <v>300</v>
      </c>
      <c r="I356" s="93">
        <v>46132</v>
      </c>
      <c r="J356" s="93">
        <v>46132</v>
      </c>
      <c r="K356" s="93">
        <v>46133</v>
      </c>
      <c r="L356" s="93">
        <v>46498</v>
      </c>
      <c r="M356" s="14">
        <v>600</v>
      </c>
      <c r="N356" s="14">
        <v>600000000000</v>
      </c>
      <c r="O356" s="56">
        <v>100</v>
      </c>
      <c r="P356" s="56">
        <v>0</v>
      </c>
      <c r="Q356" s="14">
        <v>600000000000</v>
      </c>
      <c r="R356">
        <v>8.3995480820000008</v>
      </c>
      <c r="S356" t="s">
        <v>1184</v>
      </c>
      <c r="T356" s="57">
        <f>IF(Dealps[[#This Row],[MATURITY_DATE]]-Dealps[[#This Row],[POSTED_DT]]&lt;0,0,IF(Dealps[[#This Row],[VALUE_DATE]]-Dealps[[#This Row],[POSTED_DT]]&gt;0,Dealps[[#This Row],[MATURITY_DATE]]-Dealps[[#This Row],[VALUE_DATE]],Dealps[[#This Row],[MATURITY_DATE]]-Dealps[[#This Row],[POSTED_DT]]))</f>
        <v>236</v>
      </c>
      <c r="U356" s="25">
        <f>IF(Dealps[[#This Row],[TENOR]]=0,0,IF(Dealps[[#This Row],[DEAL_TYPE]]="B",Dealps[[#This Row],[FACE_AMOUNT]],-Dealps[[#This Row],[FACE_AMOUNT]]))</f>
        <v>600000000000</v>
      </c>
      <c r="V356" s="25">
        <f>_xlfn.XLOOKUP(Dealps[[#This Row],[PAPER_CODE]],FNRP!D:D,FNRP!H:H,0,0)/100*Dealps[[#This Row],[AMOUNT]]</f>
        <v>31213478628</v>
      </c>
      <c r="W356" s="57" t="str">
        <f>IF(Dealps[[#This Row],[TRANSACTION_STATUS]]&lt;&gt;"V","Ngoai BS",IF(Dealps[[#This Row],[POSTED_DT]]&gt;=Dealps[[#This Row],[VALUE_DATE]],"On BS","Off BS"))</f>
        <v>On BS</v>
      </c>
      <c r="X356" s="25">
        <f>SUMIFS(U:U,C:C,Dealps[[#This Row],[PAPER_CODE]])</f>
        <v>2000000000000</v>
      </c>
      <c r="Y356" s="25">
        <f>_xlfn.XLOOKUP(Dealps[[#This Row],[DEAL_ID]],Ref!N:N,Ref!Q:Q,0,0)</f>
        <v>0</v>
      </c>
      <c r="Z356" s="25" t="str">
        <f>IF(Dealps[[#This Row],[CPTY_CODE]]=Dealps[[#This Row],[CPTY_CODE_ISSUER]],"Yes","No")</f>
        <v>Yes</v>
      </c>
      <c r="AA356" s="25"/>
      <c r="AC356" s="14"/>
      <c r="AG356" s="96"/>
      <c r="AH356" s="25"/>
      <c r="AI356" s="25"/>
      <c r="AN356" s="14"/>
      <c r="AV356" s="36"/>
      <c r="AW356" s="14"/>
      <c r="AX356" s="234"/>
      <c r="AY356" s="96"/>
      <c r="AZ356" s="14"/>
      <c r="BA356"/>
      <c r="BB356" s="93">
        <v>46262</v>
      </c>
      <c r="BC356">
        <v>2553</v>
      </c>
      <c r="BD356" s="56" t="s">
        <v>1018</v>
      </c>
      <c r="BE356" t="s">
        <v>1011</v>
      </c>
      <c r="BF356" t="s">
        <v>1012</v>
      </c>
      <c r="BG356" t="s">
        <v>364</v>
      </c>
      <c r="BH356" t="s">
        <v>1013</v>
      </c>
      <c r="BI356" t="s">
        <v>311</v>
      </c>
      <c r="BJ356" s="93">
        <v>45910</v>
      </c>
      <c r="BK356" s="93">
        <v>45910</v>
      </c>
      <c r="BL356" s="93">
        <v>45910</v>
      </c>
      <c r="BM356" s="93">
        <v>46606</v>
      </c>
      <c r="BN356" s="14">
        <v>1</v>
      </c>
      <c r="BO356" s="14">
        <v>10000000000</v>
      </c>
      <c r="BP356" s="56">
        <v>100</v>
      </c>
      <c r="BQ356" s="56">
        <v>0</v>
      </c>
      <c r="BR356" s="14">
        <v>10046575343</v>
      </c>
      <c r="BS356">
        <v>4.9625599999999999</v>
      </c>
      <c r="BT356" t="s">
        <v>1184</v>
      </c>
      <c r="BU356" s="25">
        <f>_xlfn.XLOOKUP(Dealps_MSB[[#This Row],[DEAL_ID]],Ref!V:V,Ref!X:X,0,0)</f>
        <v>0</v>
      </c>
      <c r="BV356"/>
    </row>
    <row r="357" spans="1:74" x14ac:dyDescent="0.3">
      <c r="A357" s="93">
        <v>46262</v>
      </c>
      <c r="B357">
        <v>4135</v>
      </c>
      <c r="C357" s="56" t="s">
        <v>1207</v>
      </c>
      <c r="D357" t="s">
        <v>384</v>
      </c>
      <c r="E357" t="s">
        <v>1022</v>
      </c>
      <c r="F357" t="s">
        <v>364</v>
      </c>
      <c r="G357" t="s">
        <v>310</v>
      </c>
      <c r="H357" t="s">
        <v>300</v>
      </c>
      <c r="I357" s="93">
        <v>46133</v>
      </c>
      <c r="J357" s="93">
        <v>46133</v>
      </c>
      <c r="K357" s="93">
        <v>46133</v>
      </c>
      <c r="L357" s="93">
        <v>46419</v>
      </c>
      <c r="M357" s="14">
        <v>1</v>
      </c>
      <c r="N357" s="14">
        <v>100000000000</v>
      </c>
      <c r="O357" s="56">
        <v>99.977298625000003</v>
      </c>
      <c r="P357" s="56">
        <v>0</v>
      </c>
      <c r="Q357" s="14">
        <v>101511545200</v>
      </c>
      <c r="R357">
        <v>7.9094179999999996</v>
      </c>
      <c r="S357" t="s">
        <v>1184</v>
      </c>
      <c r="T357" s="57">
        <f>IF(Dealps[[#This Row],[MATURITY_DATE]]-Dealps[[#This Row],[POSTED_DT]]&lt;0,0,IF(Dealps[[#This Row],[VALUE_DATE]]-Dealps[[#This Row],[POSTED_DT]]&gt;0,Dealps[[#This Row],[MATURITY_DATE]]-Dealps[[#This Row],[VALUE_DATE]],Dealps[[#This Row],[MATURITY_DATE]]-Dealps[[#This Row],[POSTED_DT]]))</f>
        <v>157</v>
      </c>
      <c r="U357" s="25">
        <f>IF(Dealps[[#This Row],[TENOR]]=0,0,IF(Dealps[[#This Row],[DEAL_TYPE]]="B",Dealps[[#This Row],[FACE_AMOUNT]],-Dealps[[#This Row],[FACE_AMOUNT]]))</f>
        <v>100000000000</v>
      </c>
      <c r="V357" s="25">
        <f>_xlfn.XLOOKUP(Dealps[[#This Row],[PAPER_CODE]],FNRP!D:D,FNRP!H:H,0,0)/100*Dealps[[#This Row],[AMOUNT]]</f>
        <v>0</v>
      </c>
      <c r="W357" s="57" t="str">
        <f>IF(Dealps[[#This Row],[TRANSACTION_STATUS]]&lt;&gt;"V","Ngoai BS",IF(Dealps[[#This Row],[POSTED_DT]]&gt;=Dealps[[#This Row],[VALUE_DATE]],"On BS","Off BS"))</f>
        <v>On BS</v>
      </c>
      <c r="X357" s="25">
        <f>SUMIFS(U:U,C:C,Dealps[[#This Row],[PAPER_CODE]])</f>
        <v>200000000000</v>
      </c>
      <c r="Y357" s="25">
        <f>_xlfn.XLOOKUP(Dealps[[#This Row],[DEAL_ID]],Ref!N:N,Ref!Q:Q,0,0)</f>
        <v>0</v>
      </c>
      <c r="Z357" s="25" t="str">
        <f>IF(Dealps[[#This Row],[CPTY_CODE]]=Dealps[[#This Row],[CPTY_CODE_ISSUER]],"Yes","No")</f>
        <v>No</v>
      </c>
      <c r="AA357" s="25"/>
      <c r="AC357" s="14"/>
      <c r="AG357" s="96"/>
      <c r="AH357" s="25"/>
      <c r="AI357" s="25"/>
      <c r="AN357" s="14"/>
      <c r="AV357" s="36"/>
      <c r="AW357" s="14"/>
      <c r="AX357" s="234"/>
      <c r="AY357" s="96"/>
      <c r="AZ357" s="14"/>
      <c r="BA357"/>
      <c r="BB357" s="93">
        <v>46262</v>
      </c>
      <c r="BC357">
        <v>2554</v>
      </c>
      <c r="BD357" s="56" t="s">
        <v>1018</v>
      </c>
      <c r="BE357" t="s">
        <v>1011</v>
      </c>
      <c r="BF357" t="s">
        <v>1012</v>
      </c>
      <c r="BG357" t="s">
        <v>364</v>
      </c>
      <c r="BH357" t="s">
        <v>1013</v>
      </c>
      <c r="BI357" t="s">
        <v>311</v>
      </c>
      <c r="BJ357" s="93">
        <v>45910</v>
      </c>
      <c r="BK357" s="93">
        <v>45910</v>
      </c>
      <c r="BL357" s="93">
        <v>45910</v>
      </c>
      <c r="BM357" s="93">
        <v>46606</v>
      </c>
      <c r="BN357" s="14">
        <v>1</v>
      </c>
      <c r="BO357" s="14">
        <v>10000000000</v>
      </c>
      <c r="BP357" s="56">
        <v>100</v>
      </c>
      <c r="BQ357" s="56">
        <v>0</v>
      </c>
      <c r="BR357" s="14">
        <v>10046575343</v>
      </c>
      <c r="BS357">
        <v>4.9625599999999999</v>
      </c>
      <c r="BT357" t="s">
        <v>1184</v>
      </c>
      <c r="BU357" s="25">
        <f>_xlfn.XLOOKUP(Dealps_MSB[[#This Row],[DEAL_ID]],Ref!V:V,Ref!X:X,0,0)</f>
        <v>0</v>
      </c>
      <c r="BV357"/>
    </row>
    <row r="358" spans="1:74" x14ac:dyDescent="0.3">
      <c r="A358" s="93">
        <v>46262</v>
      </c>
      <c r="B358">
        <v>4144</v>
      </c>
      <c r="C358" s="56" t="s">
        <v>1104</v>
      </c>
      <c r="D358" t="s">
        <v>334</v>
      </c>
      <c r="E358" t="s">
        <v>320</v>
      </c>
      <c r="F358" t="s">
        <v>364</v>
      </c>
      <c r="G358" t="s">
        <v>310</v>
      </c>
      <c r="H358" t="s">
        <v>311</v>
      </c>
      <c r="I358" s="93">
        <v>46133</v>
      </c>
      <c r="J358" s="93">
        <v>46134</v>
      </c>
      <c r="K358" s="93">
        <v>46134</v>
      </c>
      <c r="L358" s="93">
        <v>46360</v>
      </c>
      <c r="M358" s="14">
        <v>1</v>
      </c>
      <c r="N358" s="14">
        <v>1000000000000</v>
      </c>
      <c r="O358" s="56">
        <v>100.187448377</v>
      </c>
      <c r="P358" s="56">
        <v>0</v>
      </c>
      <c r="Q358" s="14">
        <v>1027962155000</v>
      </c>
      <c r="R358">
        <v>6.4178069999999998</v>
      </c>
      <c r="S358" t="s">
        <v>1184</v>
      </c>
      <c r="T358" s="57">
        <f>IF(Dealps[[#This Row],[MATURITY_DATE]]-Dealps[[#This Row],[POSTED_DT]]&lt;0,0,IF(Dealps[[#This Row],[VALUE_DATE]]-Dealps[[#This Row],[POSTED_DT]]&gt;0,Dealps[[#This Row],[MATURITY_DATE]]-Dealps[[#This Row],[VALUE_DATE]],Dealps[[#This Row],[MATURITY_DATE]]-Dealps[[#This Row],[POSTED_DT]]))</f>
        <v>98</v>
      </c>
      <c r="U358" s="25">
        <f>IF(Dealps[[#This Row],[TENOR]]=0,0,IF(Dealps[[#This Row],[DEAL_TYPE]]="B",Dealps[[#This Row],[FACE_AMOUNT]],-Dealps[[#This Row],[FACE_AMOUNT]]))</f>
        <v>-1000000000000</v>
      </c>
      <c r="V358" s="25">
        <f>_xlfn.XLOOKUP(Dealps[[#This Row],[PAPER_CODE]],FNRP!D:D,FNRP!H:H,0,0)/100*Dealps[[#This Row],[AMOUNT]]</f>
        <v>0</v>
      </c>
      <c r="W358" s="57" t="str">
        <f>IF(Dealps[[#This Row],[TRANSACTION_STATUS]]&lt;&gt;"V","Ngoai BS",IF(Dealps[[#This Row],[POSTED_DT]]&gt;=Dealps[[#This Row],[VALUE_DATE]],"On BS","Off BS"))</f>
        <v>On BS</v>
      </c>
      <c r="X358" s="25">
        <f>SUMIFS(U:U,C:C,Dealps[[#This Row],[PAPER_CODE]])</f>
        <v>1000000000000</v>
      </c>
      <c r="Y358" s="25">
        <f>_xlfn.XLOOKUP(Dealps[[#This Row],[DEAL_ID]],Ref!N:N,Ref!Q:Q,0,0)</f>
        <v>0</v>
      </c>
      <c r="Z358" s="25" t="str">
        <f>IF(Dealps[[#This Row],[CPTY_CODE]]=Dealps[[#This Row],[CPTY_CODE_ISSUER]],"Yes","No")</f>
        <v>No</v>
      </c>
      <c r="AA358" s="25"/>
      <c r="AC358" s="14"/>
      <c r="AG358" s="96"/>
      <c r="AH358" s="25"/>
      <c r="AI358" s="25"/>
      <c r="AN358" s="14"/>
      <c r="AV358" s="36"/>
      <c r="AW358" s="14"/>
      <c r="AX358" s="234"/>
      <c r="AY358" s="96"/>
      <c r="AZ358" s="14"/>
      <c r="BA358"/>
      <c r="BB358" s="93">
        <v>46262</v>
      </c>
      <c r="BC358">
        <v>2555</v>
      </c>
      <c r="BD358" s="56" t="s">
        <v>1018</v>
      </c>
      <c r="BE358" t="s">
        <v>1011</v>
      </c>
      <c r="BF358" t="s">
        <v>1012</v>
      </c>
      <c r="BG358" t="s">
        <v>364</v>
      </c>
      <c r="BH358" t="s">
        <v>1013</v>
      </c>
      <c r="BI358" t="s">
        <v>311</v>
      </c>
      <c r="BJ358" s="93">
        <v>45910</v>
      </c>
      <c r="BK358" s="93">
        <v>45910</v>
      </c>
      <c r="BL358" s="93">
        <v>45910</v>
      </c>
      <c r="BM358" s="93">
        <v>46606</v>
      </c>
      <c r="BN358" s="14">
        <v>1</v>
      </c>
      <c r="BO358" s="14">
        <v>10000000000</v>
      </c>
      <c r="BP358" s="56">
        <v>100</v>
      </c>
      <c r="BQ358" s="56">
        <v>0</v>
      </c>
      <c r="BR358" s="14">
        <v>10046575343</v>
      </c>
      <c r="BS358">
        <v>4.9625599999999999</v>
      </c>
      <c r="BT358" t="s">
        <v>1184</v>
      </c>
      <c r="BU358" s="25">
        <f>_xlfn.XLOOKUP(Dealps_MSB[[#This Row],[DEAL_ID]],Ref!V:V,Ref!X:X,0,0)</f>
        <v>0</v>
      </c>
      <c r="BV358"/>
    </row>
    <row r="359" spans="1:74" x14ac:dyDescent="0.3">
      <c r="A359" s="93">
        <v>46262</v>
      </c>
      <c r="B359">
        <v>4147</v>
      </c>
      <c r="C359" s="56" t="s">
        <v>1158</v>
      </c>
      <c r="D359" t="s">
        <v>327</v>
      </c>
      <c r="E359" t="s">
        <v>315</v>
      </c>
      <c r="F359" t="s">
        <v>364</v>
      </c>
      <c r="G359" t="s">
        <v>310</v>
      </c>
      <c r="H359" t="s">
        <v>300</v>
      </c>
      <c r="I359" s="93">
        <v>46133</v>
      </c>
      <c r="J359" s="93">
        <v>46133</v>
      </c>
      <c r="K359" s="93">
        <v>46133</v>
      </c>
      <c r="L359" s="93">
        <v>46409</v>
      </c>
      <c r="M359" s="14">
        <v>1</v>
      </c>
      <c r="N359" s="14">
        <v>500000000000</v>
      </c>
      <c r="O359" s="56">
        <v>100.109014616</v>
      </c>
      <c r="P359" s="56">
        <v>0</v>
      </c>
      <c r="Q359" s="14">
        <v>509224525134</v>
      </c>
      <c r="R359">
        <v>6.9280169999999996</v>
      </c>
      <c r="S359" t="s">
        <v>1184</v>
      </c>
      <c r="T359" s="57">
        <f>IF(Dealps[[#This Row],[MATURITY_DATE]]-Dealps[[#This Row],[POSTED_DT]]&lt;0,0,IF(Dealps[[#This Row],[VALUE_DATE]]-Dealps[[#This Row],[POSTED_DT]]&gt;0,Dealps[[#This Row],[MATURITY_DATE]]-Dealps[[#This Row],[VALUE_DATE]],Dealps[[#This Row],[MATURITY_DATE]]-Dealps[[#This Row],[POSTED_DT]]))</f>
        <v>147</v>
      </c>
      <c r="U359" s="25">
        <f>IF(Dealps[[#This Row],[TENOR]]=0,0,IF(Dealps[[#This Row],[DEAL_TYPE]]="B",Dealps[[#This Row],[FACE_AMOUNT]],-Dealps[[#This Row],[FACE_AMOUNT]]))</f>
        <v>500000000000</v>
      </c>
      <c r="V359" s="25">
        <f>_xlfn.XLOOKUP(Dealps[[#This Row],[PAPER_CODE]],FNRP!D:D,FNRP!H:H,0,0)/100*Dealps[[#This Row],[AMOUNT]]</f>
        <v>0</v>
      </c>
      <c r="W359" s="57" t="str">
        <f>IF(Dealps[[#This Row],[TRANSACTION_STATUS]]&lt;&gt;"V","Ngoai BS",IF(Dealps[[#This Row],[POSTED_DT]]&gt;=Dealps[[#This Row],[VALUE_DATE]],"On BS","Off BS"))</f>
        <v>On BS</v>
      </c>
      <c r="X359" s="25">
        <f>SUMIFS(U:U,C:C,Dealps[[#This Row],[PAPER_CODE]])</f>
        <v>2000000000000</v>
      </c>
      <c r="Y359" s="25">
        <f>_xlfn.XLOOKUP(Dealps[[#This Row],[DEAL_ID]],Ref!N:N,Ref!Q:Q,0,0)</f>
        <v>0</v>
      </c>
      <c r="Z359" s="25" t="str">
        <f>IF(Dealps[[#This Row],[CPTY_CODE]]=Dealps[[#This Row],[CPTY_CODE_ISSUER]],"Yes","No")</f>
        <v>No</v>
      </c>
      <c r="AA359" s="25"/>
      <c r="AC359" s="14"/>
      <c r="AG359" s="96"/>
      <c r="AH359" s="25"/>
      <c r="AI359" s="25"/>
      <c r="AN359" s="14"/>
      <c r="AV359" s="36"/>
      <c r="AW359" s="14"/>
      <c r="AX359" s="234"/>
      <c r="AY359" s="96"/>
      <c r="AZ359" s="14"/>
      <c r="BA359"/>
      <c r="BB359" s="93">
        <v>46262</v>
      </c>
      <c r="BC359">
        <v>2556</v>
      </c>
      <c r="BD359" s="56" t="s">
        <v>1018</v>
      </c>
      <c r="BE359" t="s">
        <v>1011</v>
      </c>
      <c r="BF359" t="s">
        <v>1012</v>
      </c>
      <c r="BG359" t="s">
        <v>364</v>
      </c>
      <c r="BH359" t="s">
        <v>1013</v>
      </c>
      <c r="BI359" t="s">
        <v>311</v>
      </c>
      <c r="BJ359" s="93">
        <v>45910</v>
      </c>
      <c r="BK359" s="93">
        <v>45910</v>
      </c>
      <c r="BL359" s="93">
        <v>45910</v>
      </c>
      <c r="BM359" s="93">
        <v>46606</v>
      </c>
      <c r="BN359" s="14">
        <v>1</v>
      </c>
      <c r="BO359" s="14">
        <v>10000000000</v>
      </c>
      <c r="BP359" s="56">
        <v>100</v>
      </c>
      <c r="BQ359" s="56">
        <v>0</v>
      </c>
      <c r="BR359" s="14">
        <v>10046575343</v>
      </c>
      <c r="BS359">
        <v>4.9625599999999999</v>
      </c>
      <c r="BT359" t="s">
        <v>1184</v>
      </c>
      <c r="BU359" s="25">
        <f>_xlfn.XLOOKUP(Dealps_MSB[[#This Row],[DEAL_ID]],Ref!V:V,Ref!X:X,0,0)</f>
        <v>0</v>
      </c>
      <c r="BV359"/>
    </row>
    <row r="360" spans="1:74" x14ac:dyDescent="0.3">
      <c r="A360" s="93">
        <v>46262</v>
      </c>
      <c r="B360">
        <v>4148</v>
      </c>
      <c r="C360" s="56" t="s">
        <v>1239</v>
      </c>
      <c r="D360" t="s">
        <v>384</v>
      </c>
      <c r="E360" t="s">
        <v>1015</v>
      </c>
      <c r="F360" t="s">
        <v>364</v>
      </c>
      <c r="G360" t="s">
        <v>310</v>
      </c>
      <c r="H360" t="s">
        <v>311</v>
      </c>
      <c r="I360" s="93">
        <v>46133</v>
      </c>
      <c r="J360" s="93">
        <v>46133</v>
      </c>
      <c r="K360" s="93">
        <v>46134</v>
      </c>
      <c r="L360" s="93">
        <v>46493</v>
      </c>
      <c r="M360" s="14">
        <v>1</v>
      </c>
      <c r="N360" s="14">
        <v>50000000000</v>
      </c>
      <c r="O360" s="56">
        <v>98.980866019000004</v>
      </c>
      <c r="P360" s="56">
        <v>0</v>
      </c>
      <c r="Q360" s="14">
        <v>49941528900</v>
      </c>
      <c r="R360">
        <v>9.9478000000000009</v>
      </c>
      <c r="S360" t="s">
        <v>1184</v>
      </c>
      <c r="T360" s="57">
        <f>IF(Dealps[[#This Row],[MATURITY_DATE]]-Dealps[[#This Row],[POSTED_DT]]&lt;0,0,IF(Dealps[[#This Row],[VALUE_DATE]]-Dealps[[#This Row],[POSTED_DT]]&gt;0,Dealps[[#This Row],[MATURITY_DATE]]-Dealps[[#This Row],[VALUE_DATE]],Dealps[[#This Row],[MATURITY_DATE]]-Dealps[[#This Row],[POSTED_DT]]))</f>
        <v>231</v>
      </c>
      <c r="U360" s="25">
        <f>IF(Dealps[[#This Row],[TENOR]]=0,0,IF(Dealps[[#This Row],[DEAL_TYPE]]="B",Dealps[[#This Row],[FACE_AMOUNT]],-Dealps[[#This Row],[FACE_AMOUNT]]))</f>
        <v>-50000000000</v>
      </c>
      <c r="V360" s="25">
        <f>_xlfn.XLOOKUP(Dealps[[#This Row],[PAPER_CODE]],FNRP!D:D,FNRP!H:H,0,0)/100*Dealps[[#This Row],[AMOUNT]]</f>
        <v>0</v>
      </c>
      <c r="W360" s="57" t="str">
        <f>IF(Dealps[[#This Row],[TRANSACTION_STATUS]]&lt;&gt;"V","Ngoai BS",IF(Dealps[[#This Row],[POSTED_DT]]&gt;=Dealps[[#This Row],[VALUE_DATE]],"On BS","Off BS"))</f>
        <v>On BS</v>
      </c>
      <c r="X360" s="25">
        <f>SUMIFS(U:U,C:C,Dealps[[#This Row],[PAPER_CODE]])</f>
        <v>300000000000</v>
      </c>
      <c r="Y360" s="25">
        <f>_xlfn.XLOOKUP(Dealps[[#This Row],[DEAL_ID]],Ref!N:N,Ref!Q:Q,0,0)</f>
        <v>0</v>
      </c>
      <c r="Z360" s="25" t="str">
        <f>IF(Dealps[[#This Row],[CPTY_CODE]]=Dealps[[#This Row],[CPTY_CODE_ISSUER]],"Yes","No")</f>
        <v>No</v>
      </c>
      <c r="AA360" s="25"/>
      <c r="AC360" s="14"/>
      <c r="AG360" s="96"/>
      <c r="AH360" s="25"/>
      <c r="AI360" s="25"/>
      <c r="AN360" s="14"/>
      <c r="AV360" s="36"/>
      <c r="AW360" s="14"/>
      <c r="AX360" s="234"/>
      <c r="AY360" s="96"/>
      <c r="AZ360" s="14"/>
      <c r="BA360"/>
      <c r="BB360" s="93">
        <v>46262</v>
      </c>
      <c r="BC360">
        <v>2557</v>
      </c>
      <c r="BD360" s="56" t="s">
        <v>1018</v>
      </c>
      <c r="BE360" t="s">
        <v>1011</v>
      </c>
      <c r="BF360" t="s">
        <v>1012</v>
      </c>
      <c r="BG360" t="s">
        <v>364</v>
      </c>
      <c r="BH360" t="s">
        <v>1013</v>
      </c>
      <c r="BI360" t="s">
        <v>311</v>
      </c>
      <c r="BJ360" s="93">
        <v>45910</v>
      </c>
      <c r="BK360" s="93">
        <v>45910</v>
      </c>
      <c r="BL360" s="93">
        <v>45910</v>
      </c>
      <c r="BM360" s="93">
        <v>46606</v>
      </c>
      <c r="BN360" s="14">
        <v>1</v>
      </c>
      <c r="BO360" s="14">
        <v>10000000000</v>
      </c>
      <c r="BP360" s="56">
        <v>100</v>
      </c>
      <c r="BQ360" s="56">
        <v>0</v>
      </c>
      <c r="BR360" s="14">
        <v>10046575343</v>
      </c>
      <c r="BS360">
        <v>4.9625599999999999</v>
      </c>
      <c r="BT360" t="s">
        <v>1184</v>
      </c>
      <c r="BU360" s="25">
        <f>_xlfn.XLOOKUP(Dealps_MSB[[#This Row],[DEAL_ID]],Ref!V:V,Ref!X:X,0,0)</f>
        <v>0</v>
      </c>
      <c r="BV360"/>
    </row>
    <row r="361" spans="1:74" x14ac:dyDescent="0.3">
      <c r="A361" s="93">
        <v>46262</v>
      </c>
      <c r="B361">
        <v>4149</v>
      </c>
      <c r="C361" s="56" t="s">
        <v>1239</v>
      </c>
      <c r="D361" t="s">
        <v>384</v>
      </c>
      <c r="E361" t="s">
        <v>1015</v>
      </c>
      <c r="F361" t="s">
        <v>364</v>
      </c>
      <c r="G361" t="s">
        <v>310</v>
      </c>
      <c r="H361" t="s">
        <v>311</v>
      </c>
      <c r="I361" s="93">
        <v>46133</v>
      </c>
      <c r="J361" s="93">
        <v>46135</v>
      </c>
      <c r="K361" s="93">
        <v>46135</v>
      </c>
      <c r="L361" s="93">
        <v>46493</v>
      </c>
      <c r="M361" s="14">
        <v>1</v>
      </c>
      <c r="N361" s="14">
        <v>50000000000</v>
      </c>
      <c r="O361" s="56">
        <v>98.980838457999994</v>
      </c>
      <c r="P361" s="56">
        <v>0</v>
      </c>
      <c r="Q361" s="14">
        <v>49953706900</v>
      </c>
      <c r="R361">
        <v>9.9482999999999997</v>
      </c>
      <c r="S361" t="s">
        <v>1184</v>
      </c>
      <c r="T361" s="57">
        <f>IF(Dealps[[#This Row],[MATURITY_DATE]]-Dealps[[#This Row],[POSTED_DT]]&lt;0,0,IF(Dealps[[#This Row],[VALUE_DATE]]-Dealps[[#This Row],[POSTED_DT]]&gt;0,Dealps[[#This Row],[MATURITY_DATE]]-Dealps[[#This Row],[VALUE_DATE]],Dealps[[#This Row],[MATURITY_DATE]]-Dealps[[#This Row],[POSTED_DT]]))</f>
        <v>231</v>
      </c>
      <c r="U361" s="25">
        <f>IF(Dealps[[#This Row],[TENOR]]=0,0,IF(Dealps[[#This Row],[DEAL_TYPE]]="B",Dealps[[#This Row],[FACE_AMOUNT]],-Dealps[[#This Row],[FACE_AMOUNT]]))</f>
        <v>-50000000000</v>
      </c>
      <c r="V361" s="25">
        <f>_xlfn.XLOOKUP(Dealps[[#This Row],[PAPER_CODE]],FNRP!D:D,FNRP!H:H,0,0)/100*Dealps[[#This Row],[AMOUNT]]</f>
        <v>0</v>
      </c>
      <c r="W361" s="57" t="str">
        <f>IF(Dealps[[#This Row],[TRANSACTION_STATUS]]&lt;&gt;"V","Ngoai BS",IF(Dealps[[#This Row],[POSTED_DT]]&gt;=Dealps[[#This Row],[VALUE_DATE]],"On BS","Off BS"))</f>
        <v>On BS</v>
      </c>
      <c r="X361" s="25">
        <f>SUMIFS(U:U,C:C,Dealps[[#This Row],[PAPER_CODE]])</f>
        <v>300000000000</v>
      </c>
      <c r="Y361" s="25">
        <f>_xlfn.XLOOKUP(Dealps[[#This Row],[DEAL_ID]],Ref!N:N,Ref!Q:Q,0,0)</f>
        <v>0</v>
      </c>
      <c r="Z361" s="25" t="str">
        <f>IF(Dealps[[#This Row],[CPTY_CODE]]=Dealps[[#This Row],[CPTY_CODE_ISSUER]],"Yes","No")</f>
        <v>No</v>
      </c>
      <c r="AA361" s="25"/>
      <c r="AC361" s="14"/>
      <c r="AG361" s="96"/>
      <c r="AH361" s="25"/>
      <c r="AI361" s="25"/>
      <c r="AN361" s="14"/>
      <c r="AV361" s="36"/>
      <c r="AW361" s="14"/>
      <c r="AX361" s="234"/>
      <c r="AY361" s="96"/>
      <c r="AZ361" s="14"/>
      <c r="BA361"/>
      <c r="BB361" s="93">
        <v>46262</v>
      </c>
      <c r="BC361">
        <v>2558</v>
      </c>
      <c r="BD361" s="56" t="s">
        <v>1018</v>
      </c>
      <c r="BE361" t="s">
        <v>1011</v>
      </c>
      <c r="BF361" t="s">
        <v>1012</v>
      </c>
      <c r="BG361" t="s">
        <v>364</v>
      </c>
      <c r="BH361" t="s">
        <v>1013</v>
      </c>
      <c r="BI361" t="s">
        <v>311</v>
      </c>
      <c r="BJ361" s="93">
        <v>45910</v>
      </c>
      <c r="BK361" s="93">
        <v>45910</v>
      </c>
      <c r="BL361" s="93">
        <v>45910</v>
      </c>
      <c r="BM361" s="93">
        <v>46606</v>
      </c>
      <c r="BN361" s="14">
        <v>1</v>
      </c>
      <c r="BO361" s="14">
        <v>15000000000</v>
      </c>
      <c r="BP361" s="56">
        <v>100</v>
      </c>
      <c r="BQ361" s="56">
        <v>0</v>
      </c>
      <c r="BR361" s="14">
        <v>15069863014.000002</v>
      </c>
      <c r="BS361">
        <v>4.9625599999999999</v>
      </c>
      <c r="BT361" t="s">
        <v>1184</v>
      </c>
      <c r="BU361" s="25">
        <f>_xlfn.XLOOKUP(Dealps_MSB[[#This Row],[DEAL_ID]],Ref!V:V,Ref!X:X,0,0)</f>
        <v>0</v>
      </c>
      <c r="BV361"/>
    </row>
    <row r="362" spans="1:74" x14ac:dyDescent="0.3">
      <c r="A362" s="93">
        <v>46262</v>
      </c>
      <c r="B362">
        <v>4154</v>
      </c>
      <c r="C362" s="56" t="s">
        <v>1158</v>
      </c>
      <c r="D362" t="s">
        <v>327</v>
      </c>
      <c r="E362" t="s">
        <v>384</v>
      </c>
      <c r="F362" t="s">
        <v>364</v>
      </c>
      <c r="G362" t="s">
        <v>310</v>
      </c>
      <c r="H362" t="s">
        <v>311</v>
      </c>
      <c r="I362" s="93">
        <v>46134</v>
      </c>
      <c r="J362" s="93">
        <v>46134</v>
      </c>
      <c r="K362" s="93">
        <v>46134</v>
      </c>
      <c r="L362" s="93">
        <v>46409</v>
      </c>
      <c r="M362" s="14">
        <v>1</v>
      </c>
      <c r="N362" s="14">
        <v>500000000000</v>
      </c>
      <c r="O362" s="56">
        <v>100.4208119</v>
      </c>
      <c r="P362" s="56">
        <v>0</v>
      </c>
      <c r="Q362" s="14">
        <v>510882141691</v>
      </c>
      <c r="R362">
        <v>6.5</v>
      </c>
      <c r="S362" t="s">
        <v>1184</v>
      </c>
      <c r="T362" s="57">
        <f>IF(Dealps[[#This Row],[MATURITY_DATE]]-Dealps[[#This Row],[POSTED_DT]]&lt;0,0,IF(Dealps[[#This Row],[VALUE_DATE]]-Dealps[[#This Row],[POSTED_DT]]&gt;0,Dealps[[#This Row],[MATURITY_DATE]]-Dealps[[#This Row],[VALUE_DATE]],Dealps[[#This Row],[MATURITY_DATE]]-Dealps[[#This Row],[POSTED_DT]]))</f>
        <v>147</v>
      </c>
      <c r="U362" s="25">
        <f>IF(Dealps[[#This Row],[TENOR]]=0,0,IF(Dealps[[#This Row],[DEAL_TYPE]]="B",Dealps[[#This Row],[FACE_AMOUNT]],-Dealps[[#This Row],[FACE_AMOUNT]]))</f>
        <v>-500000000000</v>
      </c>
      <c r="V362" s="25">
        <f>_xlfn.XLOOKUP(Dealps[[#This Row],[PAPER_CODE]],FNRP!D:D,FNRP!H:H,0,0)/100*Dealps[[#This Row],[AMOUNT]]</f>
        <v>0</v>
      </c>
      <c r="W362" s="57" t="str">
        <f>IF(Dealps[[#This Row],[TRANSACTION_STATUS]]&lt;&gt;"V","Ngoai BS",IF(Dealps[[#This Row],[POSTED_DT]]&gt;=Dealps[[#This Row],[VALUE_DATE]],"On BS","Off BS"))</f>
        <v>On BS</v>
      </c>
      <c r="X362" s="25">
        <f>SUMIFS(U:U,C:C,Dealps[[#This Row],[PAPER_CODE]])</f>
        <v>2000000000000</v>
      </c>
      <c r="Y362" s="25">
        <f>_xlfn.XLOOKUP(Dealps[[#This Row],[DEAL_ID]],Ref!N:N,Ref!Q:Q,0,0)</f>
        <v>0</v>
      </c>
      <c r="Z362" s="25" t="str">
        <f>IF(Dealps[[#This Row],[CPTY_CODE]]=Dealps[[#This Row],[CPTY_CODE_ISSUER]],"Yes","No")</f>
        <v>No</v>
      </c>
      <c r="AA362" s="25"/>
      <c r="AC362" s="14"/>
      <c r="AG362" s="96"/>
      <c r="AH362" s="25"/>
      <c r="AI362" s="25"/>
      <c r="AN362" s="14"/>
      <c r="AV362" s="36"/>
      <c r="AW362" s="14"/>
      <c r="AX362" s="234"/>
      <c r="AY362" s="96"/>
      <c r="AZ362" s="14"/>
      <c r="BA362"/>
      <c r="BB362" s="93">
        <v>46262</v>
      </c>
      <c r="BC362">
        <v>2560</v>
      </c>
      <c r="BD362" s="56" t="s">
        <v>1019</v>
      </c>
      <c r="BE362" t="s">
        <v>1011</v>
      </c>
      <c r="BF362" t="s">
        <v>1012</v>
      </c>
      <c r="BG362" t="s">
        <v>364</v>
      </c>
      <c r="BH362" t="s">
        <v>1013</v>
      </c>
      <c r="BI362" t="s">
        <v>311</v>
      </c>
      <c r="BJ362" s="93">
        <v>45910</v>
      </c>
      <c r="BK362" s="93">
        <v>45910</v>
      </c>
      <c r="BL362" s="93">
        <v>45910</v>
      </c>
      <c r="BM362" s="93">
        <v>46606</v>
      </c>
      <c r="BN362" s="14">
        <v>1</v>
      </c>
      <c r="BO362" s="14">
        <v>10000000000</v>
      </c>
      <c r="BP362" s="56">
        <v>100</v>
      </c>
      <c r="BQ362" s="56">
        <v>0</v>
      </c>
      <c r="BR362" s="14">
        <v>10054027397</v>
      </c>
      <c r="BS362">
        <v>5.7523030000000004</v>
      </c>
      <c r="BT362" t="s">
        <v>1184</v>
      </c>
      <c r="BU362" s="25">
        <f>_xlfn.XLOOKUP(Dealps_MSB[[#This Row],[DEAL_ID]],Ref!V:V,Ref!X:X,0,0)</f>
        <v>0</v>
      </c>
      <c r="BV362"/>
    </row>
    <row r="363" spans="1:74" x14ac:dyDescent="0.3">
      <c r="A363" s="93">
        <v>46262</v>
      </c>
      <c r="B363">
        <v>4157</v>
      </c>
      <c r="C363" s="56" t="s">
        <v>1207</v>
      </c>
      <c r="D363" t="s">
        <v>384</v>
      </c>
      <c r="E363" t="s">
        <v>1022</v>
      </c>
      <c r="F363" t="s">
        <v>364</v>
      </c>
      <c r="G363" t="s">
        <v>310</v>
      </c>
      <c r="H363" t="s">
        <v>311</v>
      </c>
      <c r="I363" s="93">
        <v>46134</v>
      </c>
      <c r="J363" s="93">
        <v>46134</v>
      </c>
      <c r="K363" s="93">
        <v>46135</v>
      </c>
      <c r="L363" s="93">
        <v>46419</v>
      </c>
      <c r="M363" s="14">
        <v>1</v>
      </c>
      <c r="N363" s="14">
        <v>100000000000</v>
      </c>
      <c r="O363" s="56">
        <v>98.503300908</v>
      </c>
      <c r="P363" s="56">
        <v>0</v>
      </c>
      <c r="Q363" s="14">
        <v>100081383100</v>
      </c>
      <c r="R363">
        <v>9.9155049999999996</v>
      </c>
      <c r="S363" t="s">
        <v>1184</v>
      </c>
      <c r="T363" s="57">
        <f>IF(Dealps[[#This Row],[MATURITY_DATE]]-Dealps[[#This Row],[POSTED_DT]]&lt;0,0,IF(Dealps[[#This Row],[VALUE_DATE]]-Dealps[[#This Row],[POSTED_DT]]&gt;0,Dealps[[#This Row],[MATURITY_DATE]]-Dealps[[#This Row],[VALUE_DATE]],Dealps[[#This Row],[MATURITY_DATE]]-Dealps[[#This Row],[POSTED_DT]]))</f>
        <v>157</v>
      </c>
      <c r="U363" s="25">
        <f>IF(Dealps[[#This Row],[TENOR]]=0,0,IF(Dealps[[#This Row],[DEAL_TYPE]]="B",Dealps[[#This Row],[FACE_AMOUNT]],-Dealps[[#This Row],[FACE_AMOUNT]]))</f>
        <v>-100000000000</v>
      </c>
      <c r="V363" s="25">
        <f>_xlfn.XLOOKUP(Dealps[[#This Row],[PAPER_CODE]],FNRP!D:D,FNRP!H:H,0,0)/100*Dealps[[#This Row],[AMOUNT]]</f>
        <v>0</v>
      </c>
      <c r="W363" s="57" t="str">
        <f>IF(Dealps[[#This Row],[TRANSACTION_STATUS]]&lt;&gt;"V","Ngoai BS",IF(Dealps[[#This Row],[POSTED_DT]]&gt;=Dealps[[#This Row],[VALUE_DATE]],"On BS","Off BS"))</f>
        <v>On BS</v>
      </c>
      <c r="X363" s="25">
        <f>SUMIFS(U:U,C:C,Dealps[[#This Row],[PAPER_CODE]])</f>
        <v>200000000000</v>
      </c>
      <c r="Y363" s="25">
        <f>_xlfn.XLOOKUP(Dealps[[#This Row],[DEAL_ID]],Ref!N:N,Ref!Q:Q,0,0)</f>
        <v>0</v>
      </c>
      <c r="Z363" s="25" t="str">
        <f>IF(Dealps[[#This Row],[CPTY_CODE]]=Dealps[[#This Row],[CPTY_CODE_ISSUER]],"Yes","No")</f>
        <v>No</v>
      </c>
      <c r="AA363" s="25"/>
      <c r="AC363" s="14"/>
      <c r="AG363" s="96"/>
      <c r="AH363" s="25"/>
      <c r="AI363" s="25"/>
      <c r="AN363" s="14"/>
      <c r="AV363" s="36"/>
      <c r="AW363" s="14"/>
      <c r="AX363" s="234"/>
      <c r="AY363" s="96"/>
      <c r="AZ363" s="14"/>
      <c r="BA363"/>
      <c r="BB363" s="93">
        <v>46262</v>
      </c>
      <c r="BC363">
        <v>2569</v>
      </c>
      <c r="BD363" s="56" t="s">
        <v>1020</v>
      </c>
      <c r="BE363" t="s">
        <v>1011</v>
      </c>
      <c r="BF363" t="s">
        <v>1012</v>
      </c>
      <c r="BG363" t="s">
        <v>364</v>
      </c>
      <c r="BH363" t="s">
        <v>1013</v>
      </c>
      <c r="BI363" t="s">
        <v>311</v>
      </c>
      <c r="BJ363" s="93">
        <v>45911</v>
      </c>
      <c r="BK363" s="93">
        <v>45911</v>
      </c>
      <c r="BL363" s="93">
        <v>45911</v>
      </c>
      <c r="BM363" s="93">
        <v>46641</v>
      </c>
      <c r="BN363" s="14">
        <v>1</v>
      </c>
      <c r="BO363" s="14">
        <v>20000000000</v>
      </c>
      <c r="BP363" s="56">
        <v>100</v>
      </c>
      <c r="BQ363" s="56">
        <v>0</v>
      </c>
      <c r="BR363" s="14">
        <v>20000000000</v>
      </c>
      <c r="BS363">
        <v>4.9863390000000001</v>
      </c>
      <c r="BT363" t="s">
        <v>1184</v>
      </c>
      <c r="BU363" s="25">
        <f>_xlfn.XLOOKUP(Dealps_MSB[[#This Row],[DEAL_ID]],Ref!V:V,Ref!X:X,0,0)</f>
        <v>0</v>
      </c>
      <c r="BV363"/>
    </row>
    <row r="364" spans="1:74" x14ac:dyDescent="0.3">
      <c r="A364" s="93">
        <v>46262</v>
      </c>
      <c r="B364">
        <v>4158</v>
      </c>
      <c r="C364" s="56" t="s">
        <v>1010</v>
      </c>
      <c r="D364" t="s">
        <v>328</v>
      </c>
      <c r="E364" t="s">
        <v>320</v>
      </c>
      <c r="F364" t="s">
        <v>364</v>
      </c>
      <c r="G364" t="s">
        <v>310</v>
      </c>
      <c r="H364" t="s">
        <v>311</v>
      </c>
      <c r="I364" s="93">
        <v>46134</v>
      </c>
      <c r="J364" s="93">
        <v>46134</v>
      </c>
      <c r="K364" s="93">
        <v>46135</v>
      </c>
      <c r="L364" s="93">
        <v>46329</v>
      </c>
      <c r="M364" s="14">
        <v>1</v>
      </c>
      <c r="N364" s="14">
        <v>500000000000</v>
      </c>
      <c r="O364" s="56">
        <v>100.135932625</v>
      </c>
      <c r="P364" s="56">
        <v>0</v>
      </c>
      <c r="Q364" s="14">
        <v>515350895999.99994</v>
      </c>
      <c r="R364">
        <v>5.8642089999999998</v>
      </c>
      <c r="S364" t="s">
        <v>1184</v>
      </c>
      <c r="T364" s="57">
        <f>IF(Dealps[[#This Row],[MATURITY_DATE]]-Dealps[[#This Row],[POSTED_DT]]&lt;0,0,IF(Dealps[[#This Row],[VALUE_DATE]]-Dealps[[#This Row],[POSTED_DT]]&gt;0,Dealps[[#This Row],[MATURITY_DATE]]-Dealps[[#This Row],[VALUE_DATE]],Dealps[[#This Row],[MATURITY_DATE]]-Dealps[[#This Row],[POSTED_DT]]))</f>
        <v>67</v>
      </c>
      <c r="U364" s="25">
        <f>IF(Dealps[[#This Row],[TENOR]]=0,0,IF(Dealps[[#This Row],[DEAL_TYPE]]="B",Dealps[[#This Row],[FACE_AMOUNT]],-Dealps[[#This Row],[FACE_AMOUNT]]))</f>
        <v>-500000000000</v>
      </c>
      <c r="V364" s="25">
        <f>_xlfn.XLOOKUP(Dealps[[#This Row],[PAPER_CODE]],FNRP!D:D,FNRP!H:H,0,0)/100*Dealps[[#This Row],[AMOUNT]]</f>
        <v>0</v>
      </c>
      <c r="W364" s="57" t="str">
        <f>IF(Dealps[[#This Row],[TRANSACTION_STATUS]]&lt;&gt;"V","Ngoai BS",IF(Dealps[[#This Row],[POSTED_DT]]&gt;=Dealps[[#This Row],[VALUE_DATE]],"On BS","Off BS"))</f>
        <v>On BS</v>
      </c>
      <c r="X364" s="25">
        <f>SUMIFS(U:U,C:C,Dealps[[#This Row],[PAPER_CODE]])</f>
        <v>2000000000000</v>
      </c>
      <c r="Y364" s="25">
        <f>_xlfn.XLOOKUP(Dealps[[#This Row],[DEAL_ID]],Ref!N:N,Ref!Q:Q,0,0)</f>
        <v>0</v>
      </c>
      <c r="Z364" s="25" t="str">
        <f>IF(Dealps[[#This Row],[CPTY_CODE]]=Dealps[[#This Row],[CPTY_CODE_ISSUER]],"Yes","No")</f>
        <v>No</v>
      </c>
      <c r="AA364" s="25"/>
      <c r="AC364" s="14"/>
      <c r="AG364" s="96"/>
      <c r="AH364" s="25"/>
      <c r="AI364" s="25"/>
      <c r="AN364" s="14"/>
      <c r="AV364" s="36"/>
      <c r="AW364" s="14"/>
      <c r="AX364" s="234"/>
      <c r="AY364" s="96"/>
      <c r="AZ364" s="14"/>
      <c r="BA364"/>
      <c r="BB364" s="93">
        <v>46262</v>
      </c>
      <c r="BC364">
        <v>2570</v>
      </c>
      <c r="BD364" s="56" t="s">
        <v>1020</v>
      </c>
      <c r="BE364" t="s">
        <v>1011</v>
      </c>
      <c r="BF364" t="s">
        <v>1012</v>
      </c>
      <c r="BG364" t="s">
        <v>364</v>
      </c>
      <c r="BH364" t="s">
        <v>1013</v>
      </c>
      <c r="BI364" t="s">
        <v>311</v>
      </c>
      <c r="BJ364" s="93">
        <v>45911</v>
      </c>
      <c r="BK364" s="93">
        <v>45911</v>
      </c>
      <c r="BL364" s="93">
        <v>45911</v>
      </c>
      <c r="BM364" s="93">
        <v>46641</v>
      </c>
      <c r="BN364" s="14">
        <v>1</v>
      </c>
      <c r="BO364" s="14">
        <v>20000000000</v>
      </c>
      <c r="BP364" s="56">
        <v>100</v>
      </c>
      <c r="BQ364" s="56">
        <v>0</v>
      </c>
      <c r="BR364" s="14">
        <v>20000000000</v>
      </c>
      <c r="BS364">
        <v>4.9863390000000001</v>
      </c>
      <c r="BT364" t="s">
        <v>1184</v>
      </c>
      <c r="BU364" s="25">
        <f>_xlfn.XLOOKUP(Dealps_MSB[[#This Row],[DEAL_ID]],Ref!V:V,Ref!X:X,0,0)</f>
        <v>0</v>
      </c>
      <c r="BV364"/>
    </row>
    <row r="365" spans="1:74" x14ac:dyDescent="0.3">
      <c r="A365" s="93">
        <v>46262</v>
      </c>
      <c r="B365">
        <v>4161</v>
      </c>
      <c r="C365" s="56" t="s">
        <v>1061</v>
      </c>
      <c r="D365" t="s">
        <v>312</v>
      </c>
      <c r="E365" t="s">
        <v>320</v>
      </c>
      <c r="F365" t="s">
        <v>364</v>
      </c>
      <c r="G365" t="s">
        <v>310</v>
      </c>
      <c r="H365" t="s">
        <v>311</v>
      </c>
      <c r="I365" s="93">
        <v>46134</v>
      </c>
      <c r="J365" s="93">
        <v>46134</v>
      </c>
      <c r="K365" s="93">
        <v>46135</v>
      </c>
      <c r="L365" s="93">
        <v>46343</v>
      </c>
      <c r="M365" s="14">
        <v>1</v>
      </c>
      <c r="N365" s="14">
        <v>100000000000</v>
      </c>
      <c r="O365" s="56">
        <v>101.39245526000001</v>
      </c>
      <c r="P365" s="56">
        <v>0</v>
      </c>
      <c r="Q365" s="14">
        <v>104085058000</v>
      </c>
      <c r="R365">
        <v>3.7051509999999999</v>
      </c>
      <c r="S365" t="s">
        <v>1184</v>
      </c>
      <c r="T365" s="57">
        <f>IF(Dealps[[#This Row],[MATURITY_DATE]]-Dealps[[#This Row],[POSTED_DT]]&lt;0,0,IF(Dealps[[#This Row],[VALUE_DATE]]-Dealps[[#This Row],[POSTED_DT]]&gt;0,Dealps[[#This Row],[MATURITY_DATE]]-Dealps[[#This Row],[VALUE_DATE]],Dealps[[#This Row],[MATURITY_DATE]]-Dealps[[#This Row],[POSTED_DT]]))</f>
        <v>81</v>
      </c>
      <c r="U365" s="25">
        <f>IF(Dealps[[#This Row],[TENOR]]=0,0,IF(Dealps[[#This Row],[DEAL_TYPE]]="B",Dealps[[#This Row],[FACE_AMOUNT]],-Dealps[[#This Row],[FACE_AMOUNT]]))</f>
        <v>-100000000000</v>
      </c>
      <c r="V365" s="25">
        <f>_xlfn.XLOOKUP(Dealps[[#This Row],[PAPER_CODE]],FNRP!D:D,FNRP!H:H,0,0)/100*Dealps[[#This Row],[AMOUNT]]</f>
        <v>0</v>
      </c>
      <c r="W365" s="57" t="str">
        <f>IF(Dealps[[#This Row],[TRANSACTION_STATUS]]&lt;&gt;"V","Ngoai BS",IF(Dealps[[#This Row],[POSTED_DT]]&gt;=Dealps[[#This Row],[VALUE_DATE]],"On BS","Off BS"))</f>
        <v>On BS</v>
      </c>
      <c r="X365" s="25">
        <f>SUMIFS(U:U,C:C,Dealps[[#This Row],[PAPER_CODE]])</f>
        <v>1500000000000</v>
      </c>
      <c r="Y365" s="25">
        <f>_xlfn.XLOOKUP(Dealps[[#This Row],[DEAL_ID]],Ref!N:N,Ref!Q:Q,0,0)</f>
        <v>0</v>
      </c>
      <c r="Z365" s="25" t="str">
        <f>IF(Dealps[[#This Row],[CPTY_CODE]]=Dealps[[#This Row],[CPTY_CODE_ISSUER]],"Yes","No")</f>
        <v>No</v>
      </c>
      <c r="AA365" s="25"/>
      <c r="AC365" s="14"/>
      <c r="AG365" s="96"/>
      <c r="AH365" s="25"/>
      <c r="AI365" s="25"/>
      <c r="AN365" s="14"/>
      <c r="AV365" s="36"/>
      <c r="AW365" s="14"/>
      <c r="AX365" s="234"/>
      <c r="AY365" s="96"/>
      <c r="AZ365" s="14"/>
      <c r="BA365"/>
      <c r="BB365" s="93">
        <v>46262</v>
      </c>
      <c r="BC365">
        <v>2571</v>
      </c>
      <c r="BD365" s="56" t="s">
        <v>1020</v>
      </c>
      <c r="BE365" t="s">
        <v>1011</v>
      </c>
      <c r="BF365" t="s">
        <v>1012</v>
      </c>
      <c r="BG365" t="s">
        <v>364</v>
      </c>
      <c r="BH365" t="s">
        <v>1013</v>
      </c>
      <c r="BI365" t="s">
        <v>311</v>
      </c>
      <c r="BJ365" s="93">
        <v>45911</v>
      </c>
      <c r="BK365" s="93">
        <v>45911</v>
      </c>
      <c r="BL365" s="93">
        <v>45911</v>
      </c>
      <c r="BM365" s="93">
        <v>46641</v>
      </c>
      <c r="BN365" s="14">
        <v>1</v>
      </c>
      <c r="BO365" s="14">
        <v>20000000000</v>
      </c>
      <c r="BP365" s="56">
        <v>100</v>
      </c>
      <c r="BQ365" s="56">
        <v>0</v>
      </c>
      <c r="BR365" s="14">
        <v>20000000000</v>
      </c>
      <c r="BS365">
        <v>4.9863390000000001</v>
      </c>
      <c r="BT365" t="s">
        <v>1184</v>
      </c>
      <c r="BU365" s="25">
        <f>_xlfn.XLOOKUP(Dealps_MSB[[#This Row],[DEAL_ID]],Ref!V:V,Ref!X:X,0,0)</f>
        <v>0</v>
      </c>
      <c r="BV365"/>
    </row>
    <row r="366" spans="1:74" x14ac:dyDescent="0.3">
      <c r="A366" s="93">
        <v>46262</v>
      </c>
      <c r="B366">
        <v>4162</v>
      </c>
      <c r="C366" s="56" t="s">
        <v>1239</v>
      </c>
      <c r="D366" t="s">
        <v>384</v>
      </c>
      <c r="E366" t="s">
        <v>1015</v>
      </c>
      <c r="F366" t="s">
        <v>364</v>
      </c>
      <c r="G366" t="s">
        <v>310</v>
      </c>
      <c r="H366" t="s">
        <v>300</v>
      </c>
      <c r="I366" s="93">
        <v>46135</v>
      </c>
      <c r="J366" s="93">
        <v>46135</v>
      </c>
      <c r="K366" s="93">
        <v>46135</v>
      </c>
      <c r="L366" s="93">
        <v>46493</v>
      </c>
      <c r="M366" s="14">
        <v>1</v>
      </c>
      <c r="N366" s="14">
        <v>50000000000</v>
      </c>
      <c r="O366" s="56">
        <v>99.975638157999995</v>
      </c>
      <c r="P366" s="56">
        <v>0</v>
      </c>
      <c r="Q366" s="14">
        <v>50451106750</v>
      </c>
      <c r="R366">
        <v>8.8450369999999996</v>
      </c>
      <c r="S366" t="s">
        <v>1184</v>
      </c>
      <c r="T366" s="57">
        <f>IF(Dealps[[#This Row],[MATURITY_DATE]]-Dealps[[#This Row],[POSTED_DT]]&lt;0,0,IF(Dealps[[#This Row],[VALUE_DATE]]-Dealps[[#This Row],[POSTED_DT]]&gt;0,Dealps[[#This Row],[MATURITY_DATE]]-Dealps[[#This Row],[VALUE_DATE]],Dealps[[#This Row],[MATURITY_DATE]]-Dealps[[#This Row],[POSTED_DT]]))</f>
        <v>231</v>
      </c>
      <c r="U366" s="25">
        <f>IF(Dealps[[#This Row],[TENOR]]=0,0,IF(Dealps[[#This Row],[DEAL_TYPE]]="B",Dealps[[#This Row],[FACE_AMOUNT]],-Dealps[[#This Row],[FACE_AMOUNT]]))</f>
        <v>50000000000</v>
      </c>
      <c r="V366" s="25">
        <f>_xlfn.XLOOKUP(Dealps[[#This Row],[PAPER_CODE]],FNRP!D:D,FNRP!H:H,0,0)/100*Dealps[[#This Row],[AMOUNT]]</f>
        <v>0</v>
      </c>
      <c r="W366" s="57" t="str">
        <f>IF(Dealps[[#This Row],[TRANSACTION_STATUS]]&lt;&gt;"V","Ngoai BS",IF(Dealps[[#This Row],[POSTED_DT]]&gt;=Dealps[[#This Row],[VALUE_DATE]],"On BS","Off BS"))</f>
        <v>On BS</v>
      </c>
      <c r="X366" s="25">
        <f>SUMIFS(U:U,C:C,Dealps[[#This Row],[PAPER_CODE]])</f>
        <v>300000000000</v>
      </c>
      <c r="Y366" s="25">
        <f>_xlfn.XLOOKUP(Dealps[[#This Row],[DEAL_ID]],Ref!N:N,Ref!Q:Q,0,0)</f>
        <v>0</v>
      </c>
      <c r="Z366" s="25" t="str">
        <f>IF(Dealps[[#This Row],[CPTY_CODE]]=Dealps[[#This Row],[CPTY_CODE_ISSUER]],"Yes","No")</f>
        <v>No</v>
      </c>
      <c r="AA366" s="25"/>
      <c r="AC366" s="14"/>
      <c r="AG366" s="96"/>
      <c r="AH366" s="25"/>
      <c r="AI366" s="25"/>
      <c r="AN366" s="14"/>
      <c r="AV366" s="36"/>
      <c r="AW366" s="14"/>
      <c r="AX366" s="234"/>
      <c r="AY366" s="96"/>
      <c r="AZ366" s="14"/>
      <c r="BA366"/>
      <c r="BB366" s="93">
        <v>46262</v>
      </c>
      <c r="BC366">
        <v>2574</v>
      </c>
      <c r="BD366" s="56" t="s">
        <v>1019</v>
      </c>
      <c r="BE366" t="s">
        <v>1011</v>
      </c>
      <c r="BF366" t="s">
        <v>1012</v>
      </c>
      <c r="BG366" t="s">
        <v>364</v>
      </c>
      <c r="BH366" t="s">
        <v>1013</v>
      </c>
      <c r="BI366" t="s">
        <v>311</v>
      </c>
      <c r="BJ366" s="93">
        <v>45911</v>
      </c>
      <c r="BK366" s="93">
        <v>45911</v>
      </c>
      <c r="BL366" s="93">
        <v>45911</v>
      </c>
      <c r="BM366" s="93">
        <v>46606</v>
      </c>
      <c r="BN366" s="14">
        <v>1</v>
      </c>
      <c r="BO366" s="14">
        <v>10000000000</v>
      </c>
      <c r="BP366" s="56">
        <v>100</v>
      </c>
      <c r="BQ366" s="56">
        <v>0</v>
      </c>
      <c r="BR366" s="14">
        <v>10055616438</v>
      </c>
      <c r="BS366">
        <v>5.7513699999999996</v>
      </c>
      <c r="BT366" t="s">
        <v>1184</v>
      </c>
      <c r="BU366" s="25">
        <f>_xlfn.XLOOKUP(Dealps_MSB[[#This Row],[DEAL_ID]],Ref!V:V,Ref!X:X,0,0)</f>
        <v>0</v>
      </c>
      <c r="BV366"/>
    </row>
    <row r="367" spans="1:74" x14ac:dyDescent="0.3">
      <c r="A367" s="93">
        <v>46262</v>
      </c>
      <c r="B367">
        <v>4164</v>
      </c>
      <c r="C367" s="56" t="s">
        <v>1207</v>
      </c>
      <c r="D367" t="s">
        <v>384</v>
      </c>
      <c r="E367" t="s">
        <v>1022</v>
      </c>
      <c r="F367" t="s">
        <v>364</v>
      </c>
      <c r="G367" t="s">
        <v>310</v>
      </c>
      <c r="H367" t="s">
        <v>300</v>
      </c>
      <c r="I367" s="93">
        <v>46136</v>
      </c>
      <c r="J367" s="93">
        <v>46136</v>
      </c>
      <c r="K367" s="93">
        <v>46136</v>
      </c>
      <c r="L367" s="93">
        <v>46419</v>
      </c>
      <c r="M367" s="14">
        <v>1</v>
      </c>
      <c r="N367" s="14">
        <v>100000000000</v>
      </c>
      <c r="O367" s="56">
        <v>99.955006999999995</v>
      </c>
      <c r="P367" s="56">
        <v>0</v>
      </c>
      <c r="Q367" s="14">
        <v>101555007000</v>
      </c>
      <c r="R367">
        <v>7.9346459999999999</v>
      </c>
      <c r="S367" t="s">
        <v>1184</v>
      </c>
      <c r="T367" s="57">
        <f>IF(Dealps[[#This Row],[MATURITY_DATE]]-Dealps[[#This Row],[POSTED_DT]]&lt;0,0,IF(Dealps[[#This Row],[VALUE_DATE]]-Dealps[[#This Row],[POSTED_DT]]&gt;0,Dealps[[#This Row],[MATURITY_DATE]]-Dealps[[#This Row],[VALUE_DATE]],Dealps[[#This Row],[MATURITY_DATE]]-Dealps[[#This Row],[POSTED_DT]]))</f>
        <v>157</v>
      </c>
      <c r="U367" s="25">
        <f>IF(Dealps[[#This Row],[TENOR]]=0,0,IF(Dealps[[#This Row],[DEAL_TYPE]]="B",Dealps[[#This Row],[FACE_AMOUNT]],-Dealps[[#This Row],[FACE_AMOUNT]]))</f>
        <v>100000000000</v>
      </c>
      <c r="V367" s="25">
        <f>_xlfn.XLOOKUP(Dealps[[#This Row],[PAPER_CODE]],FNRP!D:D,FNRP!H:H,0,0)/100*Dealps[[#This Row],[AMOUNT]]</f>
        <v>0</v>
      </c>
      <c r="W367" s="57" t="str">
        <f>IF(Dealps[[#This Row],[TRANSACTION_STATUS]]&lt;&gt;"V","Ngoai BS",IF(Dealps[[#This Row],[POSTED_DT]]&gt;=Dealps[[#This Row],[VALUE_DATE]],"On BS","Off BS"))</f>
        <v>On BS</v>
      </c>
      <c r="X367" s="25">
        <f>SUMIFS(U:U,C:C,Dealps[[#This Row],[PAPER_CODE]])</f>
        <v>200000000000</v>
      </c>
      <c r="Y367" s="25">
        <f>_xlfn.XLOOKUP(Dealps[[#This Row],[DEAL_ID]],Ref!N:N,Ref!Q:Q,0,0)</f>
        <v>0</v>
      </c>
      <c r="Z367" s="25" t="str">
        <f>IF(Dealps[[#This Row],[CPTY_CODE]]=Dealps[[#This Row],[CPTY_CODE_ISSUER]],"Yes","No")</f>
        <v>No</v>
      </c>
      <c r="AA367" s="25"/>
      <c r="AC367" s="14"/>
      <c r="AG367" s="96"/>
      <c r="AH367" s="25"/>
      <c r="AI367" s="25"/>
      <c r="AN367" s="14"/>
      <c r="AV367" s="36"/>
      <c r="AW367" s="14"/>
      <c r="AX367" s="234"/>
      <c r="AY367" s="96"/>
      <c r="AZ367" s="14"/>
      <c r="BA367"/>
      <c r="BB367" s="93">
        <v>46262</v>
      </c>
      <c r="BC367">
        <v>2575</v>
      </c>
      <c r="BD367" s="56" t="s">
        <v>1020</v>
      </c>
      <c r="BE367" t="s">
        <v>1011</v>
      </c>
      <c r="BF367" t="s">
        <v>1012</v>
      </c>
      <c r="BG367" t="s">
        <v>364</v>
      </c>
      <c r="BH367" t="s">
        <v>1013</v>
      </c>
      <c r="BI367" t="s">
        <v>311</v>
      </c>
      <c r="BJ367" s="93">
        <v>45912</v>
      </c>
      <c r="BK367" s="93">
        <v>45912</v>
      </c>
      <c r="BL367" s="93">
        <v>45912</v>
      </c>
      <c r="BM367" s="93">
        <v>46641</v>
      </c>
      <c r="BN367" s="14">
        <v>1</v>
      </c>
      <c r="BO367" s="14">
        <v>20000000000</v>
      </c>
      <c r="BP367" s="56">
        <v>100</v>
      </c>
      <c r="BQ367" s="56">
        <v>0</v>
      </c>
      <c r="BR367" s="14">
        <v>20002739726</v>
      </c>
      <c r="BS367">
        <v>4.9856369999999997</v>
      </c>
      <c r="BT367" t="s">
        <v>1184</v>
      </c>
      <c r="BU367" s="25">
        <f>_xlfn.XLOOKUP(Dealps_MSB[[#This Row],[DEAL_ID]],Ref!V:V,Ref!X:X,0,0)</f>
        <v>0</v>
      </c>
      <c r="BV367"/>
    </row>
    <row r="368" spans="1:74" x14ac:dyDescent="0.3">
      <c r="A368" s="93">
        <v>46262</v>
      </c>
      <c r="B368">
        <v>4165</v>
      </c>
      <c r="C368" s="56" t="s">
        <v>1239</v>
      </c>
      <c r="D368" t="s">
        <v>384</v>
      </c>
      <c r="E368" t="s">
        <v>1015</v>
      </c>
      <c r="F368" t="s">
        <v>364</v>
      </c>
      <c r="G368" t="s">
        <v>310</v>
      </c>
      <c r="H368" t="s">
        <v>300</v>
      </c>
      <c r="I368" s="93">
        <v>46136</v>
      </c>
      <c r="J368" s="93">
        <v>46136</v>
      </c>
      <c r="K368" s="93">
        <v>46136</v>
      </c>
      <c r="L368" s="93">
        <v>46493</v>
      </c>
      <c r="M368" s="14">
        <v>1</v>
      </c>
      <c r="N368" s="14">
        <v>50000000000</v>
      </c>
      <c r="O368" s="56">
        <v>99.975615196000007</v>
      </c>
      <c r="P368" s="56">
        <v>0</v>
      </c>
      <c r="Q368" s="14">
        <v>50463287050</v>
      </c>
      <c r="R368">
        <v>8.8429939999999991</v>
      </c>
      <c r="S368" t="s">
        <v>1184</v>
      </c>
      <c r="T368" s="57">
        <f>IF(Dealps[[#This Row],[MATURITY_DATE]]-Dealps[[#This Row],[POSTED_DT]]&lt;0,0,IF(Dealps[[#This Row],[VALUE_DATE]]-Dealps[[#This Row],[POSTED_DT]]&gt;0,Dealps[[#This Row],[MATURITY_DATE]]-Dealps[[#This Row],[VALUE_DATE]],Dealps[[#This Row],[MATURITY_DATE]]-Dealps[[#This Row],[POSTED_DT]]))</f>
        <v>231</v>
      </c>
      <c r="U368" s="25">
        <f>IF(Dealps[[#This Row],[TENOR]]=0,0,IF(Dealps[[#This Row],[DEAL_TYPE]]="B",Dealps[[#This Row],[FACE_AMOUNT]],-Dealps[[#This Row],[FACE_AMOUNT]]))</f>
        <v>50000000000</v>
      </c>
      <c r="V368" s="25">
        <f>_xlfn.XLOOKUP(Dealps[[#This Row],[PAPER_CODE]],FNRP!D:D,FNRP!H:H,0,0)/100*Dealps[[#This Row],[AMOUNT]]</f>
        <v>0</v>
      </c>
      <c r="W368" s="57" t="str">
        <f>IF(Dealps[[#This Row],[TRANSACTION_STATUS]]&lt;&gt;"V","Ngoai BS",IF(Dealps[[#This Row],[POSTED_DT]]&gt;=Dealps[[#This Row],[VALUE_DATE]],"On BS","Off BS"))</f>
        <v>On BS</v>
      </c>
      <c r="X368" s="25">
        <f>SUMIFS(U:U,C:C,Dealps[[#This Row],[PAPER_CODE]])</f>
        <v>300000000000</v>
      </c>
      <c r="Y368" s="25">
        <f>_xlfn.XLOOKUP(Dealps[[#This Row],[DEAL_ID]],Ref!N:N,Ref!Q:Q,0,0)</f>
        <v>0</v>
      </c>
      <c r="Z368" s="25" t="str">
        <f>IF(Dealps[[#This Row],[CPTY_CODE]]=Dealps[[#This Row],[CPTY_CODE_ISSUER]],"Yes","No")</f>
        <v>No</v>
      </c>
      <c r="AA368" s="25"/>
      <c r="AC368" s="14"/>
      <c r="AG368" s="96"/>
      <c r="AH368" s="25"/>
      <c r="AI368" s="25"/>
      <c r="AN368" s="14"/>
      <c r="AV368" s="36"/>
      <c r="AW368" s="14"/>
      <c r="AX368" s="234"/>
      <c r="AY368" s="96"/>
      <c r="AZ368" s="14"/>
      <c r="BA368"/>
      <c r="BB368" s="93">
        <v>46262</v>
      </c>
      <c r="BC368">
        <v>2576</v>
      </c>
      <c r="BD368" s="56" t="s">
        <v>1020</v>
      </c>
      <c r="BE368" t="s">
        <v>1011</v>
      </c>
      <c r="BF368" t="s">
        <v>1012</v>
      </c>
      <c r="BG368" t="s">
        <v>364</v>
      </c>
      <c r="BH368" t="s">
        <v>1013</v>
      </c>
      <c r="BI368" t="s">
        <v>311</v>
      </c>
      <c r="BJ368" s="93">
        <v>45912</v>
      </c>
      <c r="BK368" s="93">
        <v>45912</v>
      </c>
      <c r="BL368" s="93">
        <v>45912</v>
      </c>
      <c r="BM368" s="93">
        <v>46641</v>
      </c>
      <c r="BN368" s="14">
        <v>1</v>
      </c>
      <c r="BO368" s="14">
        <v>20000000000</v>
      </c>
      <c r="BP368" s="56">
        <v>100</v>
      </c>
      <c r="BQ368" s="56">
        <v>0</v>
      </c>
      <c r="BR368" s="14">
        <v>20002739726</v>
      </c>
      <c r="BS368">
        <v>4.9856369999999997</v>
      </c>
      <c r="BT368" t="s">
        <v>1184</v>
      </c>
      <c r="BU368" s="25">
        <f>_xlfn.XLOOKUP(Dealps_MSB[[#This Row],[DEAL_ID]],Ref!V:V,Ref!X:X,0,0)</f>
        <v>0</v>
      </c>
      <c r="BV368"/>
    </row>
    <row r="369" spans="1:74" x14ac:dyDescent="0.3">
      <c r="A369" s="93">
        <v>46262</v>
      </c>
      <c r="B369">
        <v>49635</v>
      </c>
      <c r="C369" s="56" t="s">
        <v>1265</v>
      </c>
      <c r="D369" t="s">
        <v>322</v>
      </c>
      <c r="E369" t="s">
        <v>322</v>
      </c>
      <c r="F369" t="s">
        <v>35</v>
      </c>
      <c r="G369" t="s">
        <v>310</v>
      </c>
      <c r="H369" t="s">
        <v>300</v>
      </c>
      <c r="I369" s="93">
        <v>46136</v>
      </c>
      <c r="J369" s="93">
        <v>46136</v>
      </c>
      <c r="K369" s="93">
        <v>46136</v>
      </c>
      <c r="L369" s="93">
        <v>47232</v>
      </c>
      <c r="M369" s="14">
        <v>1000</v>
      </c>
      <c r="N369" s="14">
        <v>1000000000000</v>
      </c>
      <c r="O369" s="56">
        <v>100</v>
      </c>
      <c r="P369" s="56">
        <v>0</v>
      </c>
      <c r="Q369" s="14">
        <v>1000000000000</v>
      </c>
      <c r="R369">
        <v>8.5996717399999998</v>
      </c>
      <c r="S369" t="s">
        <v>1184</v>
      </c>
      <c r="T369" s="57">
        <f>IF(Dealps[[#This Row],[MATURITY_DATE]]-Dealps[[#This Row],[POSTED_DT]]&lt;0,0,IF(Dealps[[#This Row],[VALUE_DATE]]-Dealps[[#This Row],[POSTED_DT]]&gt;0,Dealps[[#This Row],[MATURITY_DATE]]-Dealps[[#This Row],[VALUE_DATE]],Dealps[[#This Row],[MATURITY_DATE]]-Dealps[[#This Row],[POSTED_DT]]))</f>
        <v>970</v>
      </c>
      <c r="U369" s="25">
        <f>IF(Dealps[[#This Row],[TENOR]]=0,0,IF(Dealps[[#This Row],[DEAL_TYPE]]="B",Dealps[[#This Row],[FACE_AMOUNT]],-Dealps[[#This Row],[FACE_AMOUNT]]))</f>
        <v>1000000000000</v>
      </c>
      <c r="V369" s="25">
        <f>_xlfn.XLOOKUP(Dealps[[#This Row],[PAPER_CODE]],FNRP!D:D,FNRP!H:H,0,0)/100*Dealps[[#This Row],[AMOUNT]]</f>
        <v>1108499002780.0002</v>
      </c>
      <c r="W369" s="57" t="str">
        <f>IF(Dealps[[#This Row],[TRANSACTION_STATUS]]&lt;&gt;"V","Ngoai BS",IF(Dealps[[#This Row],[POSTED_DT]]&gt;=Dealps[[#This Row],[VALUE_DATE]],"On BS","Off BS"))</f>
        <v>On BS</v>
      </c>
      <c r="X369" s="25">
        <f>SUMIFS(U:U,C:C,Dealps[[#This Row],[PAPER_CODE]])</f>
        <v>2000000000000</v>
      </c>
      <c r="Y369" s="25">
        <f>_xlfn.XLOOKUP(Dealps[[#This Row],[DEAL_ID]],Ref!N:N,Ref!Q:Q,0,0)</f>
        <v>0</v>
      </c>
      <c r="Z369" s="25" t="str">
        <f>IF(Dealps[[#This Row],[CPTY_CODE]]=Dealps[[#This Row],[CPTY_CODE_ISSUER]],"Yes","No")</f>
        <v>Yes</v>
      </c>
      <c r="AA369" s="25"/>
      <c r="AC369" s="14"/>
      <c r="AG369" s="96"/>
      <c r="AH369" s="25"/>
      <c r="AI369" s="25"/>
      <c r="AN369" s="14"/>
      <c r="AV369" s="36"/>
      <c r="AW369" s="14"/>
      <c r="AX369" s="234"/>
      <c r="AY369" s="96"/>
      <c r="AZ369" s="14"/>
      <c r="BA369"/>
      <c r="BB369" s="93">
        <v>46262</v>
      </c>
      <c r="BC369">
        <v>2577</v>
      </c>
      <c r="BD369" s="56" t="s">
        <v>1020</v>
      </c>
      <c r="BE369" t="s">
        <v>1011</v>
      </c>
      <c r="BF369" t="s">
        <v>1012</v>
      </c>
      <c r="BG369" t="s">
        <v>364</v>
      </c>
      <c r="BH369" t="s">
        <v>1013</v>
      </c>
      <c r="BI369" t="s">
        <v>311</v>
      </c>
      <c r="BJ369" s="93">
        <v>45912</v>
      </c>
      <c r="BK369" s="93">
        <v>45912</v>
      </c>
      <c r="BL369" s="93">
        <v>45912</v>
      </c>
      <c r="BM369" s="93">
        <v>46641</v>
      </c>
      <c r="BN369" s="14">
        <v>1</v>
      </c>
      <c r="BO369" s="14">
        <v>20000000000</v>
      </c>
      <c r="BP369" s="56">
        <v>100</v>
      </c>
      <c r="BQ369" s="56">
        <v>0</v>
      </c>
      <c r="BR369" s="14">
        <v>20002739726</v>
      </c>
      <c r="BS369">
        <v>4.9856369999999997</v>
      </c>
      <c r="BT369" t="s">
        <v>1184</v>
      </c>
      <c r="BU369" s="25">
        <f>_xlfn.XLOOKUP(Dealps_MSB[[#This Row],[DEAL_ID]],Ref!V:V,Ref!X:X,0,0)</f>
        <v>0</v>
      </c>
      <c r="BV369"/>
    </row>
    <row r="370" spans="1:74" x14ac:dyDescent="0.3">
      <c r="A370" s="93">
        <v>46262</v>
      </c>
      <c r="B370">
        <v>49636</v>
      </c>
      <c r="C370" s="56" t="s">
        <v>1265</v>
      </c>
      <c r="D370" t="s">
        <v>322</v>
      </c>
      <c r="E370" t="s">
        <v>322</v>
      </c>
      <c r="F370" t="s">
        <v>35</v>
      </c>
      <c r="G370" t="s">
        <v>310</v>
      </c>
      <c r="H370" t="s">
        <v>300</v>
      </c>
      <c r="I370" s="93">
        <v>46136</v>
      </c>
      <c r="J370" s="93">
        <v>46136</v>
      </c>
      <c r="K370" s="93">
        <v>46136</v>
      </c>
      <c r="L370" s="93">
        <v>47232</v>
      </c>
      <c r="M370" s="14">
        <v>1000</v>
      </c>
      <c r="N370" s="14">
        <v>1000000000000</v>
      </c>
      <c r="O370" s="56">
        <v>100</v>
      </c>
      <c r="P370" s="56">
        <v>0</v>
      </c>
      <c r="Q370" s="14">
        <v>1000000000000</v>
      </c>
      <c r="R370">
        <v>8.5996717399999998</v>
      </c>
      <c r="S370" t="s">
        <v>1184</v>
      </c>
      <c r="T370" s="57">
        <f>IF(Dealps[[#This Row],[MATURITY_DATE]]-Dealps[[#This Row],[POSTED_DT]]&lt;0,0,IF(Dealps[[#This Row],[VALUE_DATE]]-Dealps[[#This Row],[POSTED_DT]]&gt;0,Dealps[[#This Row],[MATURITY_DATE]]-Dealps[[#This Row],[VALUE_DATE]],Dealps[[#This Row],[MATURITY_DATE]]-Dealps[[#This Row],[POSTED_DT]]))</f>
        <v>970</v>
      </c>
      <c r="U370" s="25">
        <f>IF(Dealps[[#This Row],[TENOR]]=0,0,IF(Dealps[[#This Row],[DEAL_TYPE]]="B",Dealps[[#This Row],[FACE_AMOUNT]],-Dealps[[#This Row],[FACE_AMOUNT]]))</f>
        <v>1000000000000</v>
      </c>
      <c r="V370" s="25">
        <f>_xlfn.XLOOKUP(Dealps[[#This Row],[PAPER_CODE]],FNRP!D:D,FNRP!H:H,0,0)/100*Dealps[[#This Row],[AMOUNT]]</f>
        <v>1108499002780.0002</v>
      </c>
      <c r="W370" s="57" t="str">
        <f>IF(Dealps[[#This Row],[TRANSACTION_STATUS]]&lt;&gt;"V","Ngoai BS",IF(Dealps[[#This Row],[POSTED_DT]]&gt;=Dealps[[#This Row],[VALUE_DATE]],"On BS","Off BS"))</f>
        <v>On BS</v>
      </c>
      <c r="X370" s="25">
        <f>SUMIFS(U:U,C:C,Dealps[[#This Row],[PAPER_CODE]])</f>
        <v>2000000000000</v>
      </c>
      <c r="Y370" s="25">
        <f>_xlfn.XLOOKUP(Dealps[[#This Row],[DEAL_ID]],Ref!N:N,Ref!Q:Q,0,0)</f>
        <v>0</v>
      </c>
      <c r="Z370" s="25" t="str">
        <f>IF(Dealps[[#This Row],[CPTY_CODE]]=Dealps[[#This Row],[CPTY_CODE_ISSUER]],"Yes","No")</f>
        <v>Yes</v>
      </c>
      <c r="AA370" s="25"/>
      <c r="AC370" s="14"/>
      <c r="AG370" s="96"/>
      <c r="AH370" s="25"/>
      <c r="AI370" s="25"/>
      <c r="AN370" s="14"/>
      <c r="AV370" s="36"/>
      <c r="AW370" s="14"/>
      <c r="AX370" s="234"/>
      <c r="AY370" s="96"/>
      <c r="AZ370" s="14"/>
      <c r="BA370"/>
      <c r="BB370" s="93">
        <v>46262</v>
      </c>
      <c r="BC370">
        <v>2578</v>
      </c>
      <c r="BD370" s="56" t="s">
        <v>1020</v>
      </c>
      <c r="BE370" t="s">
        <v>1011</v>
      </c>
      <c r="BF370" t="s">
        <v>1012</v>
      </c>
      <c r="BG370" t="s">
        <v>364</v>
      </c>
      <c r="BH370" t="s">
        <v>1013</v>
      </c>
      <c r="BI370" t="s">
        <v>311</v>
      </c>
      <c r="BJ370" s="93">
        <v>45912</v>
      </c>
      <c r="BK370" s="93">
        <v>45912</v>
      </c>
      <c r="BL370" s="93">
        <v>45912</v>
      </c>
      <c r="BM370" s="93">
        <v>46641</v>
      </c>
      <c r="BN370" s="14">
        <v>1</v>
      </c>
      <c r="BO370" s="14">
        <v>20000000000</v>
      </c>
      <c r="BP370" s="56">
        <v>100</v>
      </c>
      <c r="BQ370" s="56">
        <v>0</v>
      </c>
      <c r="BR370" s="14">
        <v>20002739726</v>
      </c>
      <c r="BS370">
        <v>4.9856369999999997</v>
      </c>
      <c r="BT370" t="s">
        <v>1184</v>
      </c>
      <c r="BU370" s="25">
        <f>_xlfn.XLOOKUP(Dealps_MSB[[#This Row],[DEAL_ID]],Ref!V:V,Ref!X:X,0,0)</f>
        <v>0</v>
      </c>
      <c r="BV370"/>
    </row>
    <row r="371" spans="1:74" x14ac:dyDescent="0.3">
      <c r="A371" s="93">
        <v>46262</v>
      </c>
      <c r="B371">
        <v>4181</v>
      </c>
      <c r="C371" s="56" t="s">
        <v>1204</v>
      </c>
      <c r="D371" t="s">
        <v>315</v>
      </c>
      <c r="E371" t="s">
        <v>1270</v>
      </c>
      <c r="F371" t="s">
        <v>364</v>
      </c>
      <c r="G371" t="s">
        <v>310</v>
      </c>
      <c r="H371" t="s">
        <v>311</v>
      </c>
      <c r="I371" s="93">
        <v>46140</v>
      </c>
      <c r="J371" s="93">
        <v>46140</v>
      </c>
      <c r="K371" s="93">
        <v>46141</v>
      </c>
      <c r="L371" s="93">
        <v>46422</v>
      </c>
      <c r="M371" s="14">
        <v>1</v>
      </c>
      <c r="N371" s="14">
        <v>100000000000</v>
      </c>
      <c r="O371" s="56">
        <v>100.46314431899999</v>
      </c>
      <c r="P371" s="56">
        <v>0</v>
      </c>
      <c r="Q371" s="14">
        <v>102129336099.99998</v>
      </c>
      <c r="R371">
        <v>6.5</v>
      </c>
      <c r="S371" t="s">
        <v>1184</v>
      </c>
      <c r="T371" s="57">
        <f>IF(Dealps[[#This Row],[MATURITY_DATE]]-Dealps[[#This Row],[POSTED_DT]]&lt;0,0,IF(Dealps[[#This Row],[VALUE_DATE]]-Dealps[[#This Row],[POSTED_DT]]&gt;0,Dealps[[#This Row],[MATURITY_DATE]]-Dealps[[#This Row],[VALUE_DATE]],Dealps[[#This Row],[MATURITY_DATE]]-Dealps[[#This Row],[POSTED_DT]]))</f>
        <v>160</v>
      </c>
      <c r="U371" s="25">
        <f>IF(Dealps[[#This Row],[TENOR]]=0,0,IF(Dealps[[#This Row],[DEAL_TYPE]]="B",Dealps[[#This Row],[FACE_AMOUNT]],-Dealps[[#This Row],[FACE_AMOUNT]]))</f>
        <v>-100000000000</v>
      </c>
      <c r="V371" s="25">
        <f>_xlfn.XLOOKUP(Dealps[[#This Row],[PAPER_CODE]],FNRP!D:D,FNRP!H:H,0,0)/100*Dealps[[#This Row],[AMOUNT]]</f>
        <v>0</v>
      </c>
      <c r="W371" s="57" t="str">
        <f>IF(Dealps[[#This Row],[TRANSACTION_STATUS]]&lt;&gt;"V","Ngoai BS",IF(Dealps[[#This Row],[POSTED_DT]]&gt;=Dealps[[#This Row],[VALUE_DATE]],"On BS","Off BS"))</f>
        <v>On BS</v>
      </c>
      <c r="X371" s="25">
        <f>SUMIFS(U:U,C:C,Dealps[[#This Row],[PAPER_CODE]])</f>
        <v>1000000000000</v>
      </c>
      <c r="Y371" s="25">
        <f>_xlfn.XLOOKUP(Dealps[[#This Row],[DEAL_ID]],Ref!N:N,Ref!Q:Q,0,0)</f>
        <v>0</v>
      </c>
      <c r="Z371" s="25" t="str">
        <f>IF(Dealps[[#This Row],[CPTY_CODE]]=Dealps[[#This Row],[CPTY_CODE_ISSUER]],"Yes","No")</f>
        <v>No</v>
      </c>
      <c r="AA371" s="25"/>
      <c r="AC371" s="14"/>
      <c r="AG371" s="96"/>
      <c r="AH371" s="25"/>
      <c r="AI371" s="25"/>
      <c r="AN371" s="14"/>
      <c r="AV371" s="36"/>
      <c r="AW371" s="14"/>
      <c r="AX371" s="234"/>
      <c r="AY371" s="96"/>
      <c r="AZ371" s="14"/>
      <c r="BA371"/>
      <c r="BB371" s="93">
        <v>46262</v>
      </c>
      <c r="BC371">
        <v>2579</v>
      </c>
      <c r="BD371" s="56" t="s">
        <v>1019</v>
      </c>
      <c r="BE371" t="s">
        <v>1011</v>
      </c>
      <c r="BF371" t="s">
        <v>1012</v>
      </c>
      <c r="BG371" t="s">
        <v>364</v>
      </c>
      <c r="BH371" t="s">
        <v>1013</v>
      </c>
      <c r="BI371" t="s">
        <v>311</v>
      </c>
      <c r="BJ371" s="93">
        <v>45912</v>
      </c>
      <c r="BK371" s="93">
        <v>45912</v>
      </c>
      <c r="BL371" s="93">
        <v>45912</v>
      </c>
      <c r="BM371" s="93">
        <v>46606</v>
      </c>
      <c r="BN371" s="14">
        <v>1</v>
      </c>
      <c r="BO371" s="14">
        <v>10000000000</v>
      </c>
      <c r="BP371" s="56">
        <v>100</v>
      </c>
      <c r="BQ371" s="56">
        <v>0</v>
      </c>
      <c r="BR371" s="14">
        <v>10057205480</v>
      </c>
      <c r="BS371">
        <v>5.7504379999999999</v>
      </c>
      <c r="BT371" t="s">
        <v>1184</v>
      </c>
      <c r="BU371" s="25">
        <f>_xlfn.XLOOKUP(Dealps_MSB[[#This Row],[DEAL_ID]],Ref!V:V,Ref!X:X,0,0)</f>
        <v>0</v>
      </c>
      <c r="BV371"/>
    </row>
    <row r="372" spans="1:74" x14ac:dyDescent="0.3">
      <c r="A372" s="93">
        <v>46262</v>
      </c>
      <c r="B372">
        <v>4182</v>
      </c>
      <c r="C372" s="56" t="s">
        <v>963</v>
      </c>
      <c r="D372" t="s">
        <v>308</v>
      </c>
      <c r="E372" t="s">
        <v>1270</v>
      </c>
      <c r="F372" t="s">
        <v>364</v>
      </c>
      <c r="G372" t="s">
        <v>310</v>
      </c>
      <c r="H372" t="s">
        <v>311</v>
      </c>
      <c r="I372" s="93">
        <v>46140</v>
      </c>
      <c r="J372" s="93">
        <v>46140</v>
      </c>
      <c r="K372" s="93">
        <v>46141</v>
      </c>
      <c r="L372" s="93">
        <v>46295</v>
      </c>
      <c r="M372" s="14">
        <v>1</v>
      </c>
      <c r="N372" s="14">
        <v>200000000000</v>
      </c>
      <c r="O372" s="56">
        <v>100.167814759</v>
      </c>
      <c r="P372" s="56">
        <v>0</v>
      </c>
      <c r="Q372" s="14">
        <v>207354807600</v>
      </c>
      <c r="R372">
        <v>5.5</v>
      </c>
      <c r="S372" t="s">
        <v>1184</v>
      </c>
      <c r="T372" s="57">
        <f>IF(Dealps[[#This Row],[MATURITY_DATE]]-Dealps[[#This Row],[POSTED_DT]]&lt;0,0,IF(Dealps[[#This Row],[VALUE_DATE]]-Dealps[[#This Row],[POSTED_DT]]&gt;0,Dealps[[#This Row],[MATURITY_DATE]]-Dealps[[#This Row],[VALUE_DATE]],Dealps[[#This Row],[MATURITY_DATE]]-Dealps[[#This Row],[POSTED_DT]]))</f>
        <v>33</v>
      </c>
      <c r="U372" s="25">
        <f>IF(Dealps[[#This Row],[TENOR]]=0,0,IF(Dealps[[#This Row],[DEAL_TYPE]]="B",Dealps[[#This Row],[FACE_AMOUNT]],-Dealps[[#This Row],[FACE_AMOUNT]]))</f>
        <v>-200000000000</v>
      </c>
      <c r="V372" s="25">
        <f>_xlfn.XLOOKUP(Dealps[[#This Row],[PAPER_CODE]],FNRP!D:D,FNRP!H:H,0,0)/100*Dealps[[#This Row],[AMOUNT]]</f>
        <v>0</v>
      </c>
      <c r="W372" s="57" t="str">
        <f>IF(Dealps[[#This Row],[TRANSACTION_STATUS]]&lt;&gt;"V","Ngoai BS",IF(Dealps[[#This Row],[POSTED_DT]]&gt;=Dealps[[#This Row],[VALUE_DATE]],"On BS","Off BS"))</f>
        <v>On BS</v>
      </c>
      <c r="X372" s="25">
        <f>SUMIFS(U:U,C:C,Dealps[[#This Row],[PAPER_CODE]])</f>
        <v>400000000000</v>
      </c>
      <c r="Y372" s="25">
        <f>_xlfn.XLOOKUP(Dealps[[#This Row],[DEAL_ID]],Ref!N:N,Ref!Q:Q,0,0)</f>
        <v>0</v>
      </c>
      <c r="Z372" s="25" t="str">
        <f>IF(Dealps[[#This Row],[CPTY_CODE]]=Dealps[[#This Row],[CPTY_CODE_ISSUER]],"Yes","No")</f>
        <v>No</v>
      </c>
      <c r="AA372" s="25"/>
      <c r="AC372" s="14"/>
      <c r="AG372" s="96"/>
      <c r="AH372" s="25"/>
      <c r="AI372" s="25"/>
      <c r="AN372" s="14"/>
      <c r="AV372" s="36"/>
      <c r="AW372" s="14"/>
      <c r="AX372" s="234"/>
      <c r="AY372" s="96"/>
      <c r="AZ372" s="14"/>
      <c r="BA372"/>
      <c r="BB372" s="93">
        <v>46262</v>
      </c>
      <c r="BC372">
        <v>2580</v>
      </c>
      <c r="BD372" s="56" t="s">
        <v>1019</v>
      </c>
      <c r="BE372" t="s">
        <v>1011</v>
      </c>
      <c r="BF372" t="s">
        <v>1012</v>
      </c>
      <c r="BG372" t="s">
        <v>364</v>
      </c>
      <c r="BH372" t="s">
        <v>1013</v>
      </c>
      <c r="BI372" t="s">
        <v>311</v>
      </c>
      <c r="BJ372" s="93">
        <v>45912</v>
      </c>
      <c r="BK372" s="93">
        <v>45912</v>
      </c>
      <c r="BL372" s="93">
        <v>45912</v>
      </c>
      <c r="BM372" s="93">
        <v>46606</v>
      </c>
      <c r="BN372" s="14">
        <v>1</v>
      </c>
      <c r="BO372" s="14">
        <v>10000000000</v>
      </c>
      <c r="BP372" s="56">
        <v>100</v>
      </c>
      <c r="BQ372" s="56">
        <v>0</v>
      </c>
      <c r="BR372" s="14">
        <v>10057205480</v>
      </c>
      <c r="BS372">
        <v>5.7504379999999999</v>
      </c>
      <c r="BT372" t="s">
        <v>1184</v>
      </c>
      <c r="BU372" s="25">
        <f>_xlfn.XLOOKUP(Dealps_MSB[[#This Row],[DEAL_ID]],Ref!V:V,Ref!X:X,0,0)</f>
        <v>0</v>
      </c>
      <c r="BV372"/>
    </row>
    <row r="373" spans="1:74" x14ac:dyDescent="0.3">
      <c r="A373" s="93">
        <v>46262</v>
      </c>
      <c r="B373">
        <v>4183</v>
      </c>
      <c r="C373" s="56" t="s">
        <v>1010</v>
      </c>
      <c r="D373" t="s">
        <v>328</v>
      </c>
      <c r="E373" t="s">
        <v>1270</v>
      </c>
      <c r="F373" t="s">
        <v>364</v>
      </c>
      <c r="G373" t="s">
        <v>310</v>
      </c>
      <c r="H373" t="s">
        <v>311</v>
      </c>
      <c r="I373" s="93">
        <v>46140</v>
      </c>
      <c r="J373" s="93">
        <v>46140</v>
      </c>
      <c r="K373" s="93">
        <v>46141</v>
      </c>
      <c r="L373" s="93">
        <v>46329</v>
      </c>
      <c r="M373" s="14">
        <v>1</v>
      </c>
      <c r="N373" s="14">
        <v>700000000000</v>
      </c>
      <c r="O373" s="56">
        <v>100.31701678100001</v>
      </c>
      <c r="P373" s="56">
        <v>0</v>
      </c>
      <c r="Q373" s="14">
        <v>723483775000</v>
      </c>
      <c r="R373">
        <v>5.5</v>
      </c>
      <c r="S373" t="s">
        <v>1184</v>
      </c>
      <c r="T373" s="57">
        <f>IF(Dealps[[#This Row],[MATURITY_DATE]]-Dealps[[#This Row],[POSTED_DT]]&lt;0,0,IF(Dealps[[#This Row],[VALUE_DATE]]-Dealps[[#This Row],[POSTED_DT]]&gt;0,Dealps[[#This Row],[MATURITY_DATE]]-Dealps[[#This Row],[VALUE_DATE]],Dealps[[#This Row],[MATURITY_DATE]]-Dealps[[#This Row],[POSTED_DT]]))</f>
        <v>67</v>
      </c>
      <c r="U373" s="25">
        <f>IF(Dealps[[#This Row],[TENOR]]=0,0,IF(Dealps[[#This Row],[DEAL_TYPE]]="B",Dealps[[#This Row],[FACE_AMOUNT]],-Dealps[[#This Row],[FACE_AMOUNT]]))</f>
        <v>-700000000000</v>
      </c>
      <c r="V373" s="25">
        <f>_xlfn.XLOOKUP(Dealps[[#This Row],[PAPER_CODE]],FNRP!D:D,FNRP!H:H,0,0)/100*Dealps[[#This Row],[AMOUNT]]</f>
        <v>0</v>
      </c>
      <c r="W373" s="57" t="str">
        <f>IF(Dealps[[#This Row],[TRANSACTION_STATUS]]&lt;&gt;"V","Ngoai BS",IF(Dealps[[#This Row],[POSTED_DT]]&gt;=Dealps[[#This Row],[VALUE_DATE]],"On BS","Off BS"))</f>
        <v>On BS</v>
      </c>
      <c r="X373" s="25">
        <f>SUMIFS(U:U,C:C,Dealps[[#This Row],[PAPER_CODE]])</f>
        <v>2000000000000</v>
      </c>
      <c r="Y373" s="25">
        <f>_xlfn.XLOOKUP(Dealps[[#This Row],[DEAL_ID]],Ref!N:N,Ref!Q:Q,0,0)</f>
        <v>0</v>
      </c>
      <c r="Z373" s="25" t="str">
        <f>IF(Dealps[[#This Row],[CPTY_CODE]]=Dealps[[#This Row],[CPTY_CODE_ISSUER]],"Yes","No")</f>
        <v>No</v>
      </c>
      <c r="AA373" s="25"/>
      <c r="AC373" s="14"/>
      <c r="AG373" s="96"/>
      <c r="AH373" s="25"/>
      <c r="AI373" s="25"/>
      <c r="AN373" s="14"/>
      <c r="AV373" s="36"/>
      <c r="AW373" s="14"/>
      <c r="AX373" s="234"/>
      <c r="AY373" s="96"/>
      <c r="AZ373" s="14"/>
      <c r="BA373"/>
      <c r="BB373" s="93">
        <v>46262</v>
      </c>
      <c r="BC373">
        <v>2581</v>
      </c>
      <c r="BD373" s="56" t="s">
        <v>1020</v>
      </c>
      <c r="BE373" t="s">
        <v>1011</v>
      </c>
      <c r="BF373" t="s">
        <v>1012</v>
      </c>
      <c r="BG373" t="s">
        <v>364</v>
      </c>
      <c r="BH373" t="s">
        <v>1013</v>
      </c>
      <c r="BI373" t="s">
        <v>311</v>
      </c>
      <c r="BJ373" s="93">
        <v>45912</v>
      </c>
      <c r="BK373" s="93">
        <v>45912</v>
      </c>
      <c r="BL373" s="93">
        <v>45912</v>
      </c>
      <c r="BM373" s="93">
        <v>46641</v>
      </c>
      <c r="BN373" s="14">
        <v>1</v>
      </c>
      <c r="BO373" s="14">
        <v>10000000000</v>
      </c>
      <c r="BP373" s="56">
        <v>100</v>
      </c>
      <c r="BQ373" s="56">
        <v>0</v>
      </c>
      <c r="BR373" s="14">
        <v>10001369863</v>
      </c>
      <c r="BS373">
        <v>4.9856369999999997</v>
      </c>
      <c r="BT373" t="s">
        <v>1184</v>
      </c>
      <c r="BU373" s="25">
        <f>_xlfn.XLOOKUP(Dealps_MSB[[#This Row],[DEAL_ID]],Ref!V:V,Ref!X:X,0,0)</f>
        <v>0</v>
      </c>
      <c r="BV373"/>
    </row>
    <row r="374" spans="1:74" x14ac:dyDescent="0.3">
      <c r="A374" s="93">
        <v>46262</v>
      </c>
      <c r="B374">
        <v>4185</v>
      </c>
      <c r="C374" s="56" t="s">
        <v>1010</v>
      </c>
      <c r="D374" t="s">
        <v>328</v>
      </c>
      <c r="E374" t="s">
        <v>320</v>
      </c>
      <c r="F374" t="s">
        <v>364</v>
      </c>
      <c r="G374" t="s">
        <v>310</v>
      </c>
      <c r="H374" t="s">
        <v>300</v>
      </c>
      <c r="I374" s="93">
        <v>46141</v>
      </c>
      <c r="J374" s="93">
        <v>46141</v>
      </c>
      <c r="K374" s="93">
        <v>46141</v>
      </c>
      <c r="L374" s="93">
        <v>46329</v>
      </c>
      <c r="M374" s="14">
        <v>1</v>
      </c>
      <c r="N374" s="14">
        <v>500000000000</v>
      </c>
      <c r="O374" s="56">
        <v>101.128946281</v>
      </c>
      <c r="P374" s="56">
        <v>0</v>
      </c>
      <c r="Q374" s="14">
        <v>520833772499.99994</v>
      </c>
      <c r="R374">
        <v>3.9438330000000001</v>
      </c>
      <c r="S374" t="s">
        <v>1184</v>
      </c>
      <c r="T374" s="57">
        <f>IF(Dealps[[#This Row],[MATURITY_DATE]]-Dealps[[#This Row],[POSTED_DT]]&lt;0,0,IF(Dealps[[#This Row],[VALUE_DATE]]-Dealps[[#This Row],[POSTED_DT]]&gt;0,Dealps[[#This Row],[MATURITY_DATE]]-Dealps[[#This Row],[VALUE_DATE]],Dealps[[#This Row],[MATURITY_DATE]]-Dealps[[#This Row],[POSTED_DT]]))</f>
        <v>67</v>
      </c>
      <c r="U374" s="25">
        <f>IF(Dealps[[#This Row],[TENOR]]=0,0,IF(Dealps[[#This Row],[DEAL_TYPE]]="B",Dealps[[#This Row],[FACE_AMOUNT]],-Dealps[[#This Row],[FACE_AMOUNT]]))</f>
        <v>500000000000</v>
      </c>
      <c r="V374" s="25">
        <f>_xlfn.XLOOKUP(Dealps[[#This Row],[PAPER_CODE]],FNRP!D:D,FNRP!H:H,0,0)/100*Dealps[[#This Row],[AMOUNT]]</f>
        <v>0</v>
      </c>
      <c r="W374" s="57" t="str">
        <f>IF(Dealps[[#This Row],[TRANSACTION_STATUS]]&lt;&gt;"V","Ngoai BS",IF(Dealps[[#This Row],[POSTED_DT]]&gt;=Dealps[[#This Row],[VALUE_DATE]],"On BS","Off BS"))</f>
        <v>On BS</v>
      </c>
      <c r="X374" s="25">
        <f>SUMIFS(U:U,C:C,Dealps[[#This Row],[PAPER_CODE]])</f>
        <v>2000000000000</v>
      </c>
      <c r="Y374" s="25">
        <f>_xlfn.XLOOKUP(Dealps[[#This Row],[DEAL_ID]],Ref!N:N,Ref!Q:Q,0,0)</f>
        <v>0</v>
      </c>
      <c r="Z374" s="25" t="str">
        <f>IF(Dealps[[#This Row],[CPTY_CODE]]=Dealps[[#This Row],[CPTY_CODE_ISSUER]],"Yes","No")</f>
        <v>No</v>
      </c>
      <c r="AA374" s="25"/>
      <c r="AC374" s="14"/>
      <c r="AG374" s="96"/>
      <c r="AH374" s="25"/>
      <c r="AI374" s="25"/>
      <c r="AN374" s="14"/>
      <c r="AV374" s="36"/>
      <c r="AW374" s="14"/>
      <c r="AX374" s="234"/>
      <c r="AY374" s="96"/>
      <c r="AZ374" s="14"/>
      <c r="BA374"/>
      <c r="BB374" s="93">
        <v>46262</v>
      </c>
      <c r="BC374">
        <v>2583</v>
      </c>
      <c r="BD374" s="56" t="s">
        <v>1020</v>
      </c>
      <c r="BE374" t="s">
        <v>1011</v>
      </c>
      <c r="BF374" t="s">
        <v>1012</v>
      </c>
      <c r="BG374" t="s">
        <v>364</v>
      </c>
      <c r="BH374" t="s">
        <v>1013</v>
      </c>
      <c r="BI374" t="s">
        <v>311</v>
      </c>
      <c r="BJ374" s="93">
        <v>45915</v>
      </c>
      <c r="BK374" s="93">
        <v>45915</v>
      </c>
      <c r="BL374" s="93">
        <v>45915</v>
      </c>
      <c r="BM374" s="93">
        <v>46641</v>
      </c>
      <c r="BN374" s="14">
        <v>1</v>
      </c>
      <c r="BO374" s="14">
        <v>20000000000</v>
      </c>
      <c r="BP374" s="56">
        <v>100</v>
      </c>
      <c r="BQ374" s="56">
        <v>0</v>
      </c>
      <c r="BR374" s="14">
        <v>20010958904</v>
      </c>
      <c r="BS374">
        <v>4.9835330000000004</v>
      </c>
      <c r="BT374" t="s">
        <v>1184</v>
      </c>
      <c r="BU374" s="25">
        <f>_xlfn.XLOOKUP(Dealps_MSB[[#This Row],[DEAL_ID]],Ref!V:V,Ref!X:X,0,0)</f>
        <v>0</v>
      </c>
      <c r="BV374"/>
    </row>
    <row r="375" spans="1:74" x14ac:dyDescent="0.3">
      <c r="A375" s="93">
        <v>46262</v>
      </c>
      <c r="B375">
        <v>4193</v>
      </c>
      <c r="C375" s="56" t="s">
        <v>1071</v>
      </c>
      <c r="D375" t="s">
        <v>328</v>
      </c>
      <c r="E375" t="s">
        <v>347</v>
      </c>
      <c r="F375" t="s">
        <v>364</v>
      </c>
      <c r="G375" t="s">
        <v>310</v>
      </c>
      <c r="H375" t="s">
        <v>300</v>
      </c>
      <c r="I375" s="93">
        <v>46147</v>
      </c>
      <c r="J375" s="93">
        <v>46147</v>
      </c>
      <c r="K375" s="93">
        <v>46147</v>
      </c>
      <c r="L375" s="93">
        <v>46352</v>
      </c>
      <c r="M375" s="14">
        <v>1</v>
      </c>
      <c r="N375" s="14">
        <v>500000000000</v>
      </c>
      <c r="O375" s="56">
        <v>100.88828980700001</v>
      </c>
      <c r="P375" s="56">
        <v>0</v>
      </c>
      <c r="Q375" s="14">
        <v>518816791499.99994</v>
      </c>
      <c r="R375">
        <v>4.8364000000000003</v>
      </c>
      <c r="S375" t="s">
        <v>1184</v>
      </c>
      <c r="T375" s="57">
        <f>IF(Dealps[[#This Row],[MATURITY_DATE]]-Dealps[[#This Row],[POSTED_DT]]&lt;0,0,IF(Dealps[[#This Row],[VALUE_DATE]]-Dealps[[#This Row],[POSTED_DT]]&gt;0,Dealps[[#This Row],[MATURITY_DATE]]-Dealps[[#This Row],[VALUE_DATE]],Dealps[[#This Row],[MATURITY_DATE]]-Dealps[[#This Row],[POSTED_DT]]))</f>
        <v>90</v>
      </c>
      <c r="U375" s="25">
        <f>IF(Dealps[[#This Row],[TENOR]]=0,0,IF(Dealps[[#This Row],[DEAL_TYPE]]="B",Dealps[[#This Row],[FACE_AMOUNT]],-Dealps[[#This Row],[FACE_AMOUNT]]))</f>
        <v>500000000000</v>
      </c>
      <c r="V375" s="25">
        <f>_xlfn.XLOOKUP(Dealps[[#This Row],[PAPER_CODE]],FNRP!D:D,FNRP!H:H,0,0)/100*Dealps[[#This Row],[AMOUNT]]</f>
        <v>0</v>
      </c>
      <c r="W375" s="57" t="str">
        <f>IF(Dealps[[#This Row],[TRANSACTION_STATUS]]&lt;&gt;"V","Ngoai BS",IF(Dealps[[#This Row],[POSTED_DT]]&gt;=Dealps[[#This Row],[VALUE_DATE]],"On BS","Off BS"))</f>
        <v>On BS</v>
      </c>
      <c r="X375" s="25">
        <f>SUMIFS(U:U,C:C,Dealps[[#This Row],[PAPER_CODE]])</f>
        <v>1500000000000</v>
      </c>
      <c r="Y375" s="25">
        <f>_xlfn.XLOOKUP(Dealps[[#This Row],[DEAL_ID]],Ref!N:N,Ref!Q:Q,0,0)</f>
        <v>0</v>
      </c>
      <c r="Z375" s="25" t="str">
        <f>IF(Dealps[[#This Row],[CPTY_CODE]]=Dealps[[#This Row],[CPTY_CODE_ISSUER]],"Yes","No")</f>
        <v>No</v>
      </c>
      <c r="AA375" s="25"/>
      <c r="AC375" s="14"/>
      <c r="AG375" s="96"/>
      <c r="AH375" s="25"/>
      <c r="AI375" s="25"/>
      <c r="AN375" s="14"/>
      <c r="AV375" s="36"/>
      <c r="AW375" s="14"/>
      <c r="AX375" s="234"/>
      <c r="AY375" s="96"/>
      <c r="AZ375" s="14"/>
      <c r="BA375"/>
      <c r="BB375" s="93">
        <v>46262</v>
      </c>
      <c r="BC375">
        <v>2584</v>
      </c>
      <c r="BD375" s="56" t="s">
        <v>1020</v>
      </c>
      <c r="BE375" t="s">
        <v>1011</v>
      </c>
      <c r="BF375" t="s">
        <v>1012</v>
      </c>
      <c r="BG375" t="s">
        <v>364</v>
      </c>
      <c r="BH375" t="s">
        <v>1013</v>
      </c>
      <c r="BI375" t="s">
        <v>311</v>
      </c>
      <c r="BJ375" s="93">
        <v>45915</v>
      </c>
      <c r="BK375" s="93">
        <v>45915</v>
      </c>
      <c r="BL375" s="93">
        <v>45915</v>
      </c>
      <c r="BM375" s="93">
        <v>46641</v>
      </c>
      <c r="BN375" s="14">
        <v>1</v>
      </c>
      <c r="BO375" s="14">
        <v>20000000000</v>
      </c>
      <c r="BP375" s="56">
        <v>100</v>
      </c>
      <c r="BQ375" s="56">
        <v>0</v>
      </c>
      <c r="BR375" s="14">
        <v>20010958904</v>
      </c>
      <c r="BS375">
        <v>4.9835330000000004</v>
      </c>
      <c r="BT375" t="s">
        <v>1184</v>
      </c>
      <c r="BU375" s="25">
        <f>_xlfn.XLOOKUP(Dealps_MSB[[#This Row],[DEAL_ID]],Ref!V:V,Ref!X:X,0,0)</f>
        <v>0</v>
      </c>
      <c r="BV375"/>
    </row>
    <row r="376" spans="1:74" x14ac:dyDescent="0.3">
      <c r="A376" s="93">
        <v>46262</v>
      </c>
      <c r="B376">
        <v>4194</v>
      </c>
      <c r="C376" s="56" t="s">
        <v>1061</v>
      </c>
      <c r="D376" t="s">
        <v>312</v>
      </c>
      <c r="E376" t="s">
        <v>384</v>
      </c>
      <c r="F376" t="s">
        <v>364</v>
      </c>
      <c r="G376" t="s">
        <v>310</v>
      </c>
      <c r="H376" t="s">
        <v>300</v>
      </c>
      <c r="I376" s="93">
        <v>46147</v>
      </c>
      <c r="J376" s="93">
        <v>46147</v>
      </c>
      <c r="K376" s="93">
        <v>46147</v>
      </c>
      <c r="L376" s="93">
        <v>46343</v>
      </c>
      <c r="M376" s="14">
        <v>1</v>
      </c>
      <c r="N376" s="14">
        <v>300000000000</v>
      </c>
      <c r="O376" s="56">
        <v>101.275006273</v>
      </c>
      <c r="P376" s="56">
        <v>0</v>
      </c>
      <c r="Q376" s="14">
        <v>312524196900</v>
      </c>
      <c r="R376">
        <v>3.7683089999999999</v>
      </c>
      <c r="S376" t="s">
        <v>1184</v>
      </c>
      <c r="T376" s="57">
        <f>IF(Dealps[[#This Row],[MATURITY_DATE]]-Dealps[[#This Row],[POSTED_DT]]&lt;0,0,IF(Dealps[[#This Row],[VALUE_DATE]]-Dealps[[#This Row],[POSTED_DT]]&gt;0,Dealps[[#This Row],[MATURITY_DATE]]-Dealps[[#This Row],[VALUE_DATE]],Dealps[[#This Row],[MATURITY_DATE]]-Dealps[[#This Row],[POSTED_DT]]))</f>
        <v>81</v>
      </c>
      <c r="U376" s="25">
        <f>IF(Dealps[[#This Row],[TENOR]]=0,0,IF(Dealps[[#This Row],[DEAL_TYPE]]="B",Dealps[[#This Row],[FACE_AMOUNT]],-Dealps[[#This Row],[FACE_AMOUNT]]))</f>
        <v>300000000000</v>
      </c>
      <c r="V376" s="25">
        <f>_xlfn.XLOOKUP(Dealps[[#This Row],[PAPER_CODE]],FNRP!D:D,FNRP!H:H,0,0)/100*Dealps[[#This Row],[AMOUNT]]</f>
        <v>0</v>
      </c>
      <c r="W376" s="57" t="str">
        <f>IF(Dealps[[#This Row],[TRANSACTION_STATUS]]&lt;&gt;"V","Ngoai BS",IF(Dealps[[#This Row],[POSTED_DT]]&gt;=Dealps[[#This Row],[VALUE_DATE]],"On BS","Off BS"))</f>
        <v>On BS</v>
      </c>
      <c r="X376" s="25">
        <f>SUMIFS(U:U,C:C,Dealps[[#This Row],[PAPER_CODE]])</f>
        <v>1500000000000</v>
      </c>
      <c r="Y376" s="25">
        <f>_xlfn.XLOOKUP(Dealps[[#This Row],[DEAL_ID]],Ref!N:N,Ref!Q:Q,0,0)</f>
        <v>0</v>
      </c>
      <c r="Z376" s="25" t="str">
        <f>IF(Dealps[[#This Row],[CPTY_CODE]]=Dealps[[#This Row],[CPTY_CODE_ISSUER]],"Yes","No")</f>
        <v>No</v>
      </c>
      <c r="AA376" s="25"/>
      <c r="AC376" s="14"/>
      <c r="AG376" s="96"/>
      <c r="AH376" s="25"/>
      <c r="AI376" s="25"/>
      <c r="AN376" s="14"/>
      <c r="AV376" s="36"/>
      <c r="AW376" s="14"/>
      <c r="AX376" s="234"/>
      <c r="AY376" s="96"/>
      <c r="AZ376" s="14"/>
      <c r="BA376"/>
      <c r="BB376" s="93">
        <v>46262</v>
      </c>
      <c r="BC376">
        <v>2585</v>
      </c>
      <c r="BD376" s="56" t="s">
        <v>1020</v>
      </c>
      <c r="BE376" t="s">
        <v>1011</v>
      </c>
      <c r="BF376" t="s">
        <v>1012</v>
      </c>
      <c r="BG376" t="s">
        <v>364</v>
      </c>
      <c r="BH376" t="s">
        <v>1013</v>
      </c>
      <c r="BI376" t="s">
        <v>311</v>
      </c>
      <c r="BJ376" s="93">
        <v>45915</v>
      </c>
      <c r="BK376" s="93">
        <v>45915</v>
      </c>
      <c r="BL376" s="93">
        <v>45915</v>
      </c>
      <c r="BM376" s="93">
        <v>46641</v>
      </c>
      <c r="BN376" s="14">
        <v>1</v>
      </c>
      <c r="BO376" s="14">
        <v>20000000000</v>
      </c>
      <c r="BP376" s="56">
        <v>100</v>
      </c>
      <c r="BQ376" s="56">
        <v>0</v>
      </c>
      <c r="BR376" s="14">
        <v>20010958904</v>
      </c>
      <c r="BS376">
        <v>4.9835330000000004</v>
      </c>
      <c r="BT376" t="s">
        <v>1184</v>
      </c>
      <c r="BU376" s="25">
        <f>_xlfn.XLOOKUP(Dealps_MSB[[#This Row],[DEAL_ID]],Ref!V:V,Ref!X:X,0,0)</f>
        <v>0</v>
      </c>
      <c r="BV376"/>
    </row>
    <row r="377" spans="1:74" x14ac:dyDescent="0.3">
      <c r="A377" s="93">
        <v>46262</v>
      </c>
      <c r="B377">
        <v>4195</v>
      </c>
      <c r="C377" s="56" t="s">
        <v>1207</v>
      </c>
      <c r="D377" t="s">
        <v>384</v>
      </c>
      <c r="E377" t="s">
        <v>315</v>
      </c>
      <c r="F377" t="s">
        <v>364</v>
      </c>
      <c r="G377" t="s">
        <v>310</v>
      </c>
      <c r="H377" t="s">
        <v>311</v>
      </c>
      <c r="I377" s="93">
        <v>46147</v>
      </c>
      <c r="J377" s="93">
        <v>46153</v>
      </c>
      <c r="K377" s="93">
        <v>46155</v>
      </c>
      <c r="L377" s="93">
        <v>46419</v>
      </c>
      <c r="M377" s="14">
        <v>1</v>
      </c>
      <c r="N377" s="14">
        <v>102000000000</v>
      </c>
      <c r="O377" s="56">
        <v>99.889704843999993</v>
      </c>
      <c r="P377" s="56">
        <v>0</v>
      </c>
      <c r="Q377" s="14">
        <v>103944266064</v>
      </c>
      <c r="R377">
        <v>8</v>
      </c>
      <c r="S377" t="s">
        <v>1184</v>
      </c>
      <c r="T377" s="57">
        <f>IF(Dealps[[#This Row],[MATURITY_DATE]]-Dealps[[#This Row],[POSTED_DT]]&lt;0,0,IF(Dealps[[#This Row],[VALUE_DATE]]-Dealps[[#This Row],[POSTED_DT]]&gt;0,Dealps[[#This Row],[MATURITY_DATE]]-Dealps[[#This Row],[VALUE_DATE]],Dealps[[#This Row],[MATURITY_DATE]]-Dealps[[#This Row],[POSTED_DT]]))</f>
        <v>157</v>
      </c>
      <c r="U377" s="25">
        <f>IF(Dealps[[#This Row],[TENOR]]=0,0,IF(Dealps[[#This Row],[DEAL_TYPE]]="B",Dealps[[#This Row],[FACE_AMOUNT]],-Dealps[[#This Row],[FACE_AMOUNT]]))</f>
        <v>-102000000000</v>
      </c>
      <c r="V377" s="25">
        <f>_xlfn.XLOOKUP(Dealps[[#This Row],[PAPER_CODE]],FNRP!D:D,FNRP!H:H,0,0)/100*Dealps[[#This Row],[AMOUNT]]</f>
        <v>0</v>
      </c>
      <c r="W377" s="57" t="str">
        <f>IF(Dealps[[#This Row],[TRANSACTION_STATUS]]&lt;&gt;"V","Ngoai BS",IF(Dealps[[#This Row],[POSTED_DT]]&gt;=Dealps[[#This Row],[VALUE_DATE]],"On BS","Off BS"))</f>
        <v>On BS</v>
      </c>
      <c r="X377" s="25">
        <f>SUMIFS(U:U,C:C,Dealps[[#This Row],[PAPER_CODE]])</f>
        <v>200000000000</v>
      </c>
      <c r="Y377" s="25">
        <f>_xlfn.XLOOKUP(Dealps[[#This Row],[DEAL_ID]],Ref!N:N,Ref!Q:Q,0,0)</f>
        <v>0</v>
      </c>
      <c r="Z377" s="25" t="str">
        <f>IF(Dealps[[#This Row],[CPTY_CODE]]=Dealps[[#This Row],[CPTY_CODE_ISSUER]],"Yes","No")</f>
        <v>No</v>
      </c>
      <c r="AA377" s="25"/>
      <c r="AC377" s="14"/>
      <c r="AG377" s="96"/>
      <c r="AH377" s="25"/>
      <c r="AI377" s="25"/>
      <c r="AN377" s="14"/>
      <c r="AV377" s="36"/>
      <c r="AW377" s="14"/>
      <c r="AX377" s="234"/>
      <c r="AY377" s="96"/>
      <c r="AZ377" s="14"/>
      <c r="BA377"/>
      <c r="BB377" s="93">
        <v>46262</v>
      </c>
      <c r="BC377">
        <v>2586</v>
      </c>
      <c r="BD377" s="56" t="s">
        <v>1019</v>
      </c>
      <c r="BE377" t="s">
        <v>1011</v>
      </c>
      <c r="BF377" t="s">
        <v>1012</v>
      </c>
      <c r="BG377" t="s">
        <v>364</v>
      </c>
      <c r="BH377" t="s">
        <v>1013</v>
      </c>
      <c r="BI377" t="s">
        <v>311</v>
      </c>
      <c r="BJ377" s="93">
        <v>45915</v>
      </c>
      <c r="BK377" s="93">
        <v>45915</v>
      </c>
      <c r="BL377" s="93">
        <v>45915</v>
      </c>
      <c r="BM377" s="93">
        <v>46606</v>
      </c>
      <c r="BN377" s="14">
        <v>1</v>
      </c>
      <c r="BO377" s="14">
        <v>10000000000</v>
      </c>
      <c r="BP377" s="56">
        <v>100</v>
      </c>
      <c r="BQ377" s="56">
        <v>0</v>
      </c>
      <c r="BR377" s="14">
        <v>10061972603</v>
      </c>
      <c r="BS377">
        <v>5.7476419999999999</v>
      </c>
      <c r="BT377" t="s">
        <v>1184</v>
      </c>
      <c r="BU377" s="25">
        <f>_xlfn.XLOOKUP(Dealps_MSB[[#This Row],[DEAL_ID]],Ref!V:V,Ref!X:X,0,0)</f>
        <v>0</v>
      </c>
      <c r="BV377"/>
    </row>
    <row r="378" spans="1:74" x14ac:dyDescent="0.3">
      <c r="A378" s="93">
        <v>46262</v>
      </c>
      <c r="B378">
        <v>4196</v>
      </c>
      <c r="C378" s="56" t="s">
        <v>1239</v>
      </c>
      <c r="D378" t="s">
        <v>384</v>
      </c>
      <c r="E378" t="s">
        <v>315</v>
      </c>
      <c r="F378" t="s">
        <v>364</v>
      </c>
      <c r="G378" t="s">
        <v>310</v>
      </c>
      <c r="H378" t="s">
        <v>311</v>
      </c>
      <c r="I378" s="93">
        <v>46147</v>
      </c>
      <c r="J378" s="93">
        <v>46153</v>
      </c>
      <c r="K378" s="93">
        <v>46155</v>
      </c>
      <c r="L378" s="93">
        <v>46493</v>
      </c>
      <c r="M378" s="14">
        <v>1</v>
      </c>
      <c r="N378" s="14">
        <v>200000000000</v>
      </c>
      <c r="O378" s="56">
        <v>100.678397025</v>
      </c>
      <c r="P378" s="56">
        <v>0</v>
      </c>
      <c r="Q378" s="14">
        <v>204185287200</v>
      </c>
      <c r="R378">
        <v>8</v>
      </c>
      <c r="S378" t="s">
        <v>1184</v>
      </c>
      <c r="T378" s="57">
        <f>IF(Dealps[[#This Row],[MATURITY_DATE]]-Dealps[[#This Row],[POSTED_DT]]&lt;0,0,IF(Dealps[[#This Row],[VALUE_DATE]]-Dealps[[#This Row],[POSTED_DT]]&gt;0,Dealps[[#This Row],[MATURITY_DATE]]-Dealps[[#This Row],[VALUE_DATE]],Dealps[[#This Row],[MATURITY_DATE]]-Dealps[[#This Row],[POSTED_DT]]))</f>
        <v>231</v>
      </c>
      <c r="U378" s="25">
        <f>IF(Dealps[[#This Row],[TENOR]]=0,0,IF(Dealps[[#This Row],[DEAL_TYPE]]="B",Dealps[[#This Row],[FACE_AMOUNT]],-Dealps[[#This Row],[FACE_AMOUNT]]))</f>
        <v>-200000000000</v>
      </c>
      <c r="V378" s="25">
        <f>_xlfn.XLOOKUP(Dealps[[#This Row],[PAPER_CODE]],FNRP!D:D,FNRP!H:H,0,0)/100*Dealps[[#This Row],[AMOUNT]]</f>
        <v>0</v>
      </c>
      <c r="W378" s="57" t="str">
        <f>IF(Dealps[[#This Row],[TRANSACTION_STATUS]]&lt;&gt;"V","Ngoai BS",IF(Dealps[[#This Row],[POSTED_DT]]&gt;=Dealps[[#This Row],[VALUE_DATE]],"On BS","Off BS"))</f>
        <v>On BS</v>
      </c>
      <c r="X378" s="25">
        <f>SUMIFS(U:U,C:C,Dealps[[#This Row],[PAPER_CODE]])</f>
        <v>300000000000</v>
      </c>
      <c r="Y378" s="25">
        <f>_xlfn.XLOOKUP(Dealps[[#This Row],[DEAL_ID]],Ref!N:N,Ref!Q:Q,0,0)</f>
        <v>0</v>
      </c>
      <c r="Z378" s="25" t="str">
        <f>IF(Dealps[[#This Row],[CPTY_CODE]]=Dealps[[#This Row],[CPTY_CODE_ISSUER]],"Yes","No")</f>
        <v>No</v>
      </c>
      <c r="AA378" s="25"/>
      <c r="AC378" s="14"/>
      <c r="AG378" s="96"/>
      <c r="AH378" s="25"/>
      <c r="AI378" s="25"/>
      <c r="AN378" s="14"/>
      <c r="AV378" s="36"/>
      <c r="AW378" s="14"/>
      <c r="AX378" s="234"/>
      <c r="AY378" s="96"/>
      <c r="AZ378" s="14"/>
      <c r="BA378"/>
      <c r="BB378" s="93">
        <v>46262</v>
      </c>
      <c r="BC378">
        <v>2587</v>
      </c>
      <c r="BD378" s="56" t="s">
        <v>1019</v>
      </c>
      <c r="BE378" t="s">
        <v>1011</v>
      </c>
      <c r="BF378" t="s">
        <v>1012</v>
      </c>
      <c r="BG378" t="s">
        <v>364</v>
      </c>
      <c r="BH378" t="s">
        <v>1013</v>
      </c>
      <c r="BI378" t="s">
        <v>311</v>
      </c>
      <c r="BJ378" s="93">
        <v>45915</v>
      </c>
      <c r="BK378" s="93">
        <v>45915</v>
      </c>
      <c r="BL378" s="93">
        <v>45915</v>
      </c>
      <c r="BM378" s="93">
        <v>46606</v>
      </c>
      <c r="BN378" s="14">
        <v>1</v>
      </c>
      <c r="BO378" s="14">
        <v>10000000000</v>
      </c>
      <c r="BP378" s="56">
        <v>100</v>
      </c>
      <c r="BQ378" s="56">
        <v>0</v>
      </c>
      <c r="BR378" s="14">
        <v>10061972603</v>
      </c>
      <c r="BS378">
        <v>5.7476419999999999</v>
      </c>
      <c r="BT378" t="s">
        <v>1184</v>
      </c>
      <c r="BU378" s="25">
        <f>_xlfn.XLOOKUP(Dealps_MSB[[#This Row],[DEAL_ID]],Ref!V:V,Ref!X:X,0,0)</f>
        <v>0</v>
      </c>
      <c r="BV378"/>
    </row>
    <row r="379" spans="1:74" x14ac:dyDescent="0.3">
      <c r="A379" s="93">
        <v>46262</v>
      </c>
      <c r="B379">
        <v>4199</v>
      </c>
      <c r="C379" s="56" t="s">
        <v>1158</v>
      </c>
      <c r="D379" t="s">
        <v>327</v>
      </c>
      <c r="E379" t="s">
        <v>384</v>
      </c>
      <c r="F379" t="s">
        <v>364</v>
      </c>
      <c r="G379" t="s">
        <v>310</v>
      </c>
      <c r="H379" t="s">
        <v>300</v>
      </c>
      <c r="I379" s="93">
        <v>46148</v>
      </c>
      <c r="J379" s="93">
        <v>46146</v>
      </c>
      <c r="K379" s="93">
        <v>46148</v>
      </c>
      <c r="L379" s="93">
        <v>46409</v>
      </c>
      <c r="M379" s="14">
        <v>1</v>
      </c>
      <c r="N379" s="14">
        <v>500000000000</v>
      </c>
      <c r="O379" s="56">
        <v>100.434660612</v>
      </c>
      <c r="P379" s="56">
        <v>0</v>
      </c>
      <c r="Q379" s="14">
        <v>512332207167</v>
      </c>
      <c r="R379">
        <v>6.4334639999999998</v>
      </c>
      <c r="S379" t="s">
        <v>1184</v>
      </c>
      <c r="T379" s="57">
        <f>IF(Dealps[[#This Row],[MATURITY_DATE]]-Dealps[[#This Row],[POSTED_DT]]&lt;0,0,IF(Dealps[[#This Row],[VALUE_DATE]]-Dealps[[#This Row],[POSTED_DT]]&gt;0,Dealps[[#This Row],[MATURITY_DATE]]-Dealps[[#This Row],[VALUE_DATE]],Dealps[[#This Row],[MATURITY_DATE]]-Dealps[[#This Row],[POSTED_DT]]))</f>
        <v>147</v>
      </c>
      <c r="U379" s="25">
        <f>IF(Dealps[[#This Row],[TENOR]]=0,0,IF(Dealps[[#This Row],[DEAL_TYPE]]="B",Dealps[[#This Row],[FACE_AMOUNT]],-Dealps[[#This Row],[FACE_AMOUNT]]))</f>
        <v>500000000000</v>
      </c>
      <c r="V379" s="25">
        <f>_xlfn.XLOOKUP(Dealps[[#This Row],[PAPER_CODE]],FNRP!D:D,FNRP!H:H,0,0)/100*Dealps[[#This Row],[AMOUNT]]</f>
        <v>0</v>
      </c>
      <c r="W379" s="57" t="str">
        <f>IF(Dealps[[#This Row],[TRANSACTION_STATUS]]&lt;&gt;"V","Ngoai BS",IF(Dealps[[#This Row],[POSTED_DT]]&gt;=Dealps[[#This Row],[VALUE_DATE]],"On BS","Off BS"))</f>
        <v>On BS</v>
      </c>
      <c r="X379" s="25">
        <f>SUMIFS(U:U,C:C,Dealps[[#This Row],[PAPER_CODE]])</f>
        <v>2000000000000</v>
      </c>
      <c r="Y379" s="25">
        <f>_xlfn.XLOOKUP(Dealps[[#This Row],[DEAL_ID]],Ref!N:N,Ref!Q:Q,0,0)</f>
        <v>0</v>
      </c>
      <c r="Z379" s="25" t="str">
        <f>IF(Dealps[[#This Row],[CPTY_CODE]]=Dealps[[#This Row],[CPTY_CODE_ISSUER]],"Yes","No")</f>
        <v>No</v>
      </c>
      <c r="AA379" s="25"/>
      <c r="AC379" s="14"/>
      <c r="AG379" s="96"/>
      <c r="AH379" s="25"/>
      <c r="AI379" s="25"/>
      <c r="AN379" s="14"/>
      <c r="AV379" s="36"/>
      <c r="AW379" s="14"/>
      <c r="AX379" s="234"/>
      <c r="AY379" s="96"/>
      <c r="AZ379" s="14"/>
      <c r="BA379"/>
      <c r="BB379" s="93">
        <v>46262</v>
      </c>
      <c r="BC379">
        <v>2588</v>
      </c>
      <c r="BD379" s="56" t="s">
        <v>1020</v>
      </c>
      <c r="BE379" t="s">
        <v>1011</v>
      </c>
      <c r="BF379" t="s">
        <v>1012</v>
      </c>
      <c r="BG379" t="s">
        <v>364</v>
      </c>
      <c r="BH379" t="s">
        <v>1013</v>
      </c>
      <c r="BI379" t="s">
        <v>311</v>
      </c>
      <c r="BJ379" s="93">
        <v>45916</v>
      </c>
      <c r="BK379" s="93">
        <v>45916</v>
      </c>
      <c r="BL379" s="93">
        <v>45916</v>
      </c>
      <c r="BM379" s="93">
        <v>46641</v>
      </c>
      <c r="BN379" s="14">
        <v>1</v>
      </c>
      <c r="BO379" s="14">
        <v>20000000000</v>
      </c>
      <c r="BP379" s="56">
        <v>100</v>
      </c>
      <c r="BQ379" s="56">
        <v>0</v>
      </c>
      <c r="BR379" s="14">
        <v>20013698630</v>
      </c>
      <c r="BS379">
        <v>4.9828320000000001</v>
      </c>
      <c r="BT379" t="s">
        <v>1184</v>
      </c>
      <c r="BU379" s="25">
        <f>_xlfn.XLOOKUP(Dealps_MSB[[#This Row],[DEAL_ID]],Ref!V:V,Ref!X:X,0,0)</f>
        <v>0</v>
      </c>
      <c r="BV379"/>
    </row>
    <row r="380" spans="1:74" x14ac:dyDescent="0.3">
      <c r="A380" s="93">
        <v>46262</v>
      </c>
      <c r="B380">
        <v>4202</v>
      </c>
      <c r="C380" s="56" t="s">
        <v>1071</v>
      </c>
      <c r="D380" t="s">
        <v>328</v>
      </c>
      <c r="E380" t="s">
        <v>322</v>
      </c>
      <c r="F380" t="s">
        <v>364</v>
      </c>
      <c r="G380" t="s">
        <v>310</v>
      </c>
      <c r="H380" t="s">
        <v>311</v>
      </c>
      <c r="I380" s="93">
        <v>46148</v>
      </c>
      <c r="J380" s="93">
        <v>46148</v>
      </c>
      <c r="K380" s="93">
        <v>46149</v>
      </c>
      <c r="L380" s="93">
        <v>46352</v>
      </c>
      <c r="M380" s="14">
        <v>1</v>
      </c>
      <c r="N380" s="14">
        <v>500000000000</v>
      </c>
      <c r="O380" s="56">
        <v>99.952104822999999</v>
      </c>
      <c r="P380" s="56">
        <v>0</v>
      </c>
      <c r="Q380" s="14">
        <v>514316688500</v>
      </c>
      <c r="R380">
        <v>6.5</v>
      </c>
      <c r="S380" t="s">
        <v>1184</v>
      </c>
      <c r="T380" s="57">
        <f>IF(Dealps[[#This Row],[MATURITY_DATE]]-Dealps[[#This Row],[POSTED_DT]]&lt;0,0,IF(Dealps[[#This Row],[VALUE_DATE]]-Dealps[[#This Row],[POSTED_DT]]&gt;0,Dealps[[#This Row],[MATURITY_DATE]]-Dealps[[#This Row],[VALUE_DATE]],Dealps[[#This Row],[MATURITY_DATE]]-Dealps[[#This Row],[POSTED_DT]]))</f>
        <v>90</v>
      </c>
      <c r="U380" s="25">
        <f>IF(Dealps[[#This Row],[TENOR]]=0,0,IF(Dealps[[#This Row],[DEAL_TYPE]]="B",Dealps[[#This Row],[FACE_AMOUNT]],-Dealps[[#This Row],[FACE_AMOUNT]]))</f>
        <v>-500000000000</v>
      </c>
      <c r="V380" s="25">
        <f>_xlfn.XLOOKUP(Dealps[[#This Row],[PAPER_CODE]],FNRP!D:D,FNRP!H:H,0,0)/100*Dealps[[#This Row],[AMOUNT]]</f>
        <v>0</v>
      </c>
      <c r="W380" s="57" t="str">
        <f>IF(Dealps[[#This Row],[TRANSACTION_STATUS]]&lt;&gt;"V","Ngoai BS",IF(Dealps[[#This Row],[POSTED_DT]]&gt;=Dealps[[#This Row],[VALUE_DATE]],"On BS","Off BS"))</f>
        <v>On BS</v>
      </c>
      <c r="X380" s="25">
        <f>SUMIFS(U:U,C:C,Dealps[[#This Row],[PAPER_CODE]])</f>
        <v>1500000000000</v>
      </c>
      <c r="Y380" s="25">
        <f>_xlfn.XLOOKUP(Dealps[[#This Row],[DEAL_ID]],Ref!N:N,Ref!Q:Q,0,0)</f>
        <v>0</v>
      </c>
      <c r="Z380" s="25" t="str">
        <f>IF(Dealps[[#This Row],[CPTY_CODE]]=Dealps[[#This Row],[CPTY_CODE_ISSUER]],"Yes","No")</f>
        <v>No</v>
      </c>
      <c r="AA380" s="25"/>
      <c r="AC380" s="14"/>
      <c r="AG380" s="96"/>
      <c r="AH380" s="25"/>
      <c r="AI380" s="25"/>
      <c r="AN380" s="14"/>
      <c r="AV380" s="36"/>
      <c r="AW380" s="14"/>
      <c r="AX380" s="234"/>
      <c r="AY380" s="96"/>
      <c r="AZ380" s="14"/>
      <c r="BA380"/>
      <c r="BB380" s="93">
        <v>46262</v>
      </c>
      <c r="BC380">
        <v>2589</v>
      </c>
      <c r="BD380" s="56" t="s">
        <v>1020</v>
      </c>
      <c r="BE380" t="s">
        <v>1011</v>
      </c>
      <c r="BF380" t="s">
        <v>1012</v>
      </c>
      <c r="BG380" t="s">
        <v>364</v>
      </c>
      <c r="BH380" t="s">
        <v>1013</v>
      </c>
      <c r="BI380" t="s">
        <v>311</v>
      </c>
      <c r="BJ380" s="93">
        <v>45916</v>
      </c>
      <c r="BK380" s="93">
        <v>45916</v>
      </c>
      <c r="BL380" s="93">
        <v>45916</v>
      </c>
      <c r="BM380" s="93">
        <v>46641</v>
      </c>
      <c r="BN380" s="14">
        <v>1</v>
      </c>
      <c r="BO380" s="14">
        <v>20000000000</v>
      </c>
      <c r="BP380" s="56">
        <v>100</v>
      </c>
      <c r="BQ380" s="56">
        <v>0</v>
      </c>
      <c r="BR380" s="14">
        <v>20013698630</v>
      </c>
      <c r="BS380">
        <v>4.9828320000000001</v>
      </c>
      <c r="BT380" t="s">
        <v>1184</v>
      </c>
      <c r="BU380" s="25">
        <f>_xlfn.XLOOKUP(Dealps_MSB[[#This Row],[DEAL_ID]],Ref!V:V,Ref!X:X,0,0)</f>
        <v>0</v>
      </c>
      <c r="BV380"/>
    </row>
    <row r="381" spans="1:74" x14ac:dyDescent="0.3">
      <c r="A381" s="93">
        <v>46262</v>
      </c>
      <c r="B381">
        <v>4203</v>
      </c>
      <c r="C381" s="56" t="s">
        <v>1158</v>
      </c>
      <c r="D381" t="s">
        <v>327</v>
      </c>
      <c r="E381" t="s">
        <v>322</v>
      </c>
      <c r="F381" t="s">
        <v>364</v>
      </c>
      <c r="G381" t="s">
        <v>310</v>
      </c>
      <c r="H381" t="s">
        <v>311</v>
      </c>
      <c r="I381" s="93">
        <v>46148</v>
      </c>
      <c r="J381" s="93">
        <v>46148</v>
      </c>
      <c r="K381" s="93">
        <v>46150</v>
      </c>
      <c r="L381" s="93">
        <v>46409</v>
      </c>
      <c r="M381" s="14">
        <v>1</v>
      </c>
      <c r="N381" s="14">
        <v>500000000000</v>
      </c>
      <c r="O381" s="56">
        <v>100.037189852</v>
      </c>
      <c r="P381" s="56">
        <v>0</v>
      </c>
      <c r="Q381" s="14">
        <v>510542113643</v>
      </c>
      <c r="R381">
        <v>7</v>
      </c>
      <c r="S381" t="s">
        <v>1184</v>
      </c>
      <c r="T381" s="57">
        <f>IF(Dealps[[#This Row],[MATURITY_DATE]]-Dealps[[#This Row],[POSTED_DT]]&lt;0,0,IF(Dealps[[#This Row],[VALUE_DATE]]-Dealps[[#This Row],[POSTED_DT]]&gt;0,Dealps[[#This Row],[MATURITY_DATE]]-Dealps[[#This Row],[VALUE_DATE]],Dealps[[#This Row],[MATURITY_DATE]]-Dealps[[#This Row],[POSTED_DT]]))</f>
        <v>147</v>
      </c>
      <c r="U381" s="25">
        <f>IF(Dealps[[#This Row],[TENOR]]=0,0,IF(Dealps[[#This Row],[DEAL_TYPE]]="B",Dealps[[#This Row],[FACE_AMOUNT]],-Dealps[[#This Row],[FACE_AMOUNT]]))</f>
        <v>-500000000000</v>
      </c>
      <c r="V381" s="25">
        <f>_xlfn.XLOOKUP(Dealps[[#This Row],[PAPER_CODE]],FNRP!D:D,FNRP!H:H,0,0)/100*Dealps[[#This Row],[AMOUNT]]</f>
        <v>0</v>
      </c>
      <c r="W381" s="57" t="str">
        <f>IF(Dealps[[#This Row],[TRANSACTION_STATUS]]&lt;&gt;"V","Ngoai BS",IF(Dealps[[#This Row],[POSTED_DT]]&gt;=Dealps[[#This Row],[VALUE_DATE]],"On BS","Off BS"))</f>
        <v>On BS</v>
      </c>
      <c r="X381" s="25">
        <f>SUMIFS(U:U,C:C,Dealps[[#This Row],[PAPER_CODE]])</f>
        <v>2000000000000</v>
      </c>
      <c r="Y381" s="25">
        <f>_xlfn.XLOOKUP(Dealps[[#This Row],[DEAL_ID]],Ref!N:N,Ref!Q:Q,0,0)</f>
        <v>0</v>
      </c>
      <c r="Z381" s="25" t="str">
        <f>IF(Dealps[[#This Row],[CPTY_CODE]]=Dealps[[#This Row],[CPTY_CODE_ISSUER]],"Yes","No")</f>
        <v>No</v>
      </c>
      <c r="AA381" s="25"/>
      <c r="AC381" s="14"/>
      <c r="AG381" s="96"/>
      <c r="AH381" s="25"/>
      <c r="AI381" s="25"/>
      <c r="AN381" s="14"/>
      <c r="AV381" s="36"/>
      <c r="AW381" s="14"/>
      <c r="AX381" s="234"/>
      <c r="AY381" s="96"/>
      <c r="AZ381" s="14"/>
      <c r="BA381"/>
      <c r="BB381" s="93">
        <v>46262</v>
      </c>
      <c r="BC381">
        <v>2590</v>
      </c>
      <c r="BD381" s="56" t="s">
        <v>1020</v>
      </c>
      <c r="BE381" t="s">
        <v>1011</v>
      </c>
      <c r="BF381" t="s">
        <v>1012</v>
      </c>
      <c r="BG381" t="s">
        <v>364</v>
      </c>
      <c r="BH381" t="s">
        <v>1013</v>
      </c>
      <c r="BI381" t="s">
        <v>311</v>
      </c>
      <c r="BJ381" s="93">
        <v>45916</v>
      </c>
      <c r="BK381" s="93">
        <v>45916</v>
      </c>
      <c r="BL381" s="93">
        <v>45916</v>
      </c>
      <c r="BM381" s="93">
        <v>46641</v>
      </c>
      <c r="BN381" s="14">
        <v>1</v>
      </c>
      <c r="BO381" s="14">
        <v>20000000000</v>
      </c>
      <c r="BP381" s="56">
        <v>100</v>
      </c>
      <c r="BQ381" s="56">
        <v>0</v>
      </c>
      <c r="BR381" s="14">
        <v>20013698630</v>
      </c>
      <c r="BS381">
        <v>4.9828320000000001</v>
      </c>
      <c r="BT381" t="s">
        <v>1184</v>
      </c>
      <c r="BU381" s="25">
        <f>_xlfn.XLOOKUP(Dealps_MSB[[#This Row],[DEAL_ID]],Ref!V:V,Ref!X:X,0,0)</f>
        <v>0</v>
      </c>
      <c r="BV381"/>
    </row>
    <row r="382" spans="1:74" x14ac:dyDescent="0.3">
      <c r="A382" s="93">
        <v>46262</v>
      </c>
      <c r="B382">
        <v>4214</v>
      </c>
      <c r="C382" s="56" t="s">
        <v>1061</v>
      </c>
      <c r="D382" t="s">
        <v>312</v>
      </c>
      <c r="E382" t="s">
        <v>320</v>
      </c>
      <c r="F382" t="s">
        <v>364</v>
      </c>
      <c r="G382" t="s">
        <v>310</v>
      </c>
      <c r="H382" t="s">
        <v>300</v>
      </c>
      <c r="I382" s="93">
        <v>46149</v>
      </c>
      <c r="J382" s="93">
        <v>46149</v>
      </c>
      <c r="K382" s="93">
        <v>46149</v>
      </c>
      <c r="L382" s="93">
        <v>46343</v>
      </c>
      <c r="M382" s="14">
        <v>1</v>
      </c>
      <c r="N382" s="14">
        <v>100000000000</v>
      </c>
      <c r="O382" s="56">
        <v>102.442249625</v>
      </c>
      <c r="P382" s="56">
        <v>0</v>
      </c>
      <c r="Q382" s="14">
        <v>105376496200</v>
      </c>
      <c r="R382">
        <v>1.6180509999999999</v>
      </c>
      <c r="S382" t="s">
        <v>1184</v>
      </c>
      <c r="T382" s="57">
        <f>IF(Dealps[[#This Row],[MATURITY_DATE]]-Dealps[[#This Row],[POSTED_DT]]&lt;0,0,IF(Dealps[[#This Row],[VALUE_DATE]]-Dealps[[#This Row],[POSTED_DT]]&gt;0,Dealps[[#This Row],[MATURITY_DATE]]-Dealps[[#This Row],[VALUE_DATE]],Dealps[[#This Row],[MATURITY_DATE]]-Dealps[[#This Row],[POSTED_DT]]))</f>
        <v>81</v>
      </c>
      <c r="U382" s="25">
        <f>IF(Dealps[[#This Row],[TENOR]]=0,0,IF(Dealps[[#This Row],[DEAL_TYPE]]="B",Dealps[[#This Row],[FACE_AMOUNT]],-Dealps[[#This Row],[FACE_AMOUNT]]))</f>
        <v>100000000000</v>
      </c>
      <c r="V382" s="25">
        <f>_xlfn.XLOOKUP(Dealps[[#This Row],[PAPER_CODE]],FNRP!D:D,FNRP!H:H,0,0)/100*Dealps[[#This Row],[AMOUNT]]</f>
        <v>0</v>
      </c>
      <c r="W382" s="57" t="str">
        <f>IF(Dealps[[#This Row],[TRANSACTION_STATUS]]&lt;&gt;"V","Ngoai BS",IF(Dealps[[#This Row],[POSTED_DT]]&gt;=Dealps[[#This Row],[VALUE_DATE]],"On BS","Off BS"))</f>
        <v>On BS</v>
      </c>
      <c r="X382" s="25">
        <f>SUMIFS(U:U,C:C,Dealps[[#This Row],[PAPER_CODE]])</f>
        <v>1500000000000</v>
      </c>
      <c r="Y382" s="25">
        <f>_xlfn.XLOOKUP(Dealps[[#This Row],[DEAL_ID]],Ref!N:N,Ref!Q:Q,0,0)</f>
        <v>0</v>
      </c>
      <c r="Z382" s="25" t="str">
        <f>IF(Dealps[[#This Row],[CPTY_CODE]]=Dealps[[#This Row],[CPTY_CODE_ISSUER]],"Yes","No")</f>
        <v>No</v>
      </c>
      <c r="AA382" s="25"/>
      <c r="AC382" s="14"/>
      <c r="AG382" s="96"/>
      <c r="AH382" s="25"/>
      <c r="AI382" s="25"/>
      <c r="AN382" s="14"/>
      <c r="AV382" s="36"/>
      <c r="AW382" s="14"/>
      <c r="AX382" s="234"/>
      <c r="AY382" s="96"/>
      <c r="AZ382" s="14"/>
      <c r="BA382"/>
      <c r="BB382" s="93">
        <v>46262</v>
      </c>
      <c r="BC382">
        <v>2591</v>
      </c>
      <c r="BD382" s="56" t="s">
        <v>1020</v>
      </c>
      <c r="BE382" t="s">
        <v>1011</v>
      </c>
      <c r="BF382" t="s">
        <v>1012</v>
      </c>
      <c r="BG382" t="s">
        <v>364</v>
      </c>
      <c r="BH382" t="s">
        <v>1013</v>
      </c>
      <c r="BI382" t="s">
        <v>311</v>
      </c>
      <c r="BJ382" s="93">
        <v>45916</v>
      </c>
      <c r="BK382" s="93">
        <v>45916</v>
      </c>
      <c r="BL382" s="93">
        <v>45916</v>
      </c>
      <c r="BM382" s="93">
        <v>46641</v>
      </c>
      <c r="BN382" s="14">
        <v>1</v>
      </c>
      <c r="BO382" s="14">
        <v>20000000000</v>
      </c>
      <c r="BP382" s="56">
        <v>100</v>
      </c>
      <c r="BQ382" s="56">
        <v>0</v>
      </c>
      <c r="BR382" s="14">
        <v>20013698630</v>
      </c>
      <c r="BS382">
        <v>4.9828320000000001</v>
      </c>
      <c r="BT382" t="s">
        <v>1184</v>
      </c>
      <c r="BU382" s="25">
        <f>_xlfn.XLOOKUP(Dealps_MSB[[#This Row],[DEAL_ID]],Ref!V:V,Ref!X:X,0,0)</f>
        <v>0</v>
      </c>
      <c r="BV382"/>
    </row>
    <row r="383" spans="1:74" x14ac:dyDescent="0.3">
      <c r="A383" s="93">
        <v>46262</v>
      </c>
      <c r="B383">
        <v>4223</v>
      </c>
      <c r="C383" s="56" t="s">
        <v>1061</v>
      </c>
      <c r="D383" t="s">
        <v>312</v>
      </c>
      <c r="E383" t="s">
        <v>954</v>
      </c>
      <c r="F383" t="s">
        <v>364</v>
      </c>
      <c r="G383" t="s">
        <v>310</v>
      </c>
      <c r="H383" t="s">
        <v>311</v>
      </c>
      <c r="I383" s="93">
        <v>46150</v>
      </c>
      <c r="J383" s="93">
        <v>46150</v>
      </c>
      <c r="K383" s="93">
        <v>46150</v>
      </c>
      <c r="L383" s="93">
        <v>46343</v>
      </c>
      <c r="M383" s="14">
        <v>1</v>
      </c>
      <c r="N383" s="14">
        <v>400000000000</v>
      </c>
      <c r="O383" s="56">
        <v>101.291777251</v>
      </c>
      <c r="P383" s="56">
        <v>0</v>
      </c>
      <c r="Q383" s="14">
        <v>416973136400</v>
      </c>
      <c r="R383">
        <v>3.7</v>
      </c>
      <c r="S383" t="s">
        <v>1184</v>
      </c>
      <c r="T383" s="57">
        <f>IF(Dealps[[#This Row],[MATURITY_DATE]]-Dealps[[#This Row],[POSTED_DT]]&lt;0,0,IF(Dealps[[#This Row],[VALUE_DATE]]-Dealps[[#This Row],[POSTED_DT]]&gt;0,Dealps[[#This Row],[MATURITY_DATE]]-Dealps[[#This Row],[VALUE_DATE]],Dealps[[#This Row],[MATURITY_DATE]]-Dealps[[#This Row],[POSTED_DT]]))</f>
        <v>81</v>
      </c>
      <c r="U383" s="25">
        <f>IF(Dealps[[#This Row],[TENOR]]=0,0,IF(Dealps[[#This Row],[DEAL_TYPE]]="B",Dealps[[#This Row],[FACE_AMOUNT]],-Dealps[[#This Row],[FACE_AMOUNT]]))</f>
        <v>-400000000000</v>
      </c>
      <c r="V383" s="25">
        <f>_xlfn.XLOOKUP(Dealps[[#This Row],[PAPER_CODE]],FNRP!D:D,FNRP!H:H,0,0)/100*Dealps[[#This Row],[AMOUNT]]</f>
        <v>0</v>
      </c>
      <c r="W383" s="57" t="str">
        <f>IF(Dealps[[#This Row],[TRANSACTION_STATUS]]&lt;&gt;"V","Ngoai BS",IF(Dealps[[#This Row],[POSTED_DT]]&gt;=Dealps[[#This Row],[VALUE_DATE]],"On BS","Off BS"))</f>
        <v>On BS</v>
      </c>
      <c r="X383" s="25">
        <f>SUMIFS(U:U,C:C,Dealps[[#This Row],[PAPER_CODE]])</f>
        <v>1500000000000</v>
      </c>
      <c r="Y383" s="25">
        <f>_xlfn.XLOOKUP(Dealps[[#This Row],[DEAL_ID]],Ref!N:N,Ref!Q:Q,0,0)</f>
        <v>0</v>
      </c>
      <c r="Z383" s="25" t="str">
        <f>IF(Dealps[[#This Row],[CPTY_CODE]]=Dealps[[#This Row],[CPTY_CODE_ISSUER]],"Yes","No")</f>
        <v>No</v>
      </c>
      <c r="AA383" s="25"/>
      <c r="AC383" s="14"/>
      <c r="AG383" s="96"/>
      <c r="AH383" s="25"/>
      <c r="AI383" s="25"/>
      <c r="AN383" s="14"/>
      <c r="AV383" s="36"/>
      <c r="AW383" s="14"/>
      <c r="AX383" s="234"/>
      <c r="AY383" s="96"/>
      <c r="AZ383" s="14"/>
      <c r="BA383"/>
      <c r="BB383" s="93">
        <v>46262</v>
      </c>
      <c r="BC383">
        <v>2592</v>
      </c>
      <c r="BD383" s="56" t="s">
        <v>1019</v>
      </c>
      <c r="BE383" t="s">
        <v>1011</v>
      </c>
      <c r="BF383" t="s">
        <v>1012</v>
      </c>
      <c r="BG383" t="s">
        <v>364</v>
      </c>
      <c r="BH383" t="s">
        <v>1013</v>
      </c>
      <c r="BI383" t="s">
        <v>311</v>
      </c>
      <c r="BJ383" s="93">
        <v>45916</v>
      </c>
      <c r="BK383" s="93">
        <v>45916</v>
      </c>
      <c r="BL383" s="93">
        <v>45916</v>
      </c>
      <c r="BM383" s="93">
        <v>46606</v>
      </c>
      <c r="BN383" s="14">
        <v>1</v>
      </c>
      <c r="BO383" s="14">
        <v>10000000000</v>
      </c>
      <c r="BP383" s="56">
        <v>100</v>
      </c>
      <c r="BQ383" s="56">
        <v>0</v>
      </c>
      <c r="BR383" s="14">
        <v>10063561644</v>
      </c>
      <c r="BS383">
        <v>5.7467100000000002</v>
      </c>
      <c r="BT383" t="s">
        <v>1184</v>
      </c>
      <c r="BU383" s="25">
        <f>_xlfn.XLOOKUP(Dealps_MSB[[#This Row],[DEAL_ID]],Ref!V:V,Ref!X:X,0,0)</f>
        <v>0</v>
      </c>
      <c r="BV383"/>
    </row>
    <row r="384" spans="1:74" x14ac:dyDescent="0.3">
      <c r="A384" s="93">
        <v>46262</v>
      </c>
      <c r="B384">
        <v>4225</v>
      </c>
      <c r="C384" s="56" t="s">
        <v>963</v>
      </c>
      <c r="D384" t="s">
        <v>308</v>
      </c>
      <c r="E384" t="s">
        <v>315</v>
      </c>
      <c r="F384" t="s">
        <v>364</v>
      </c>
      <c r="G384" t="s">
        <v>310</v>
      </c>
      <c r="H384" t="s">
        <v>300</v>
      </c>
      <c r="I384" s="93">
        <v>46150</v>
      </c>
      <c r="J384" s="93">
        <v>46148</v>
      </c>
      <c r="K384" s="93">
        <v>46150</v>
      </c>
      <c r="L384" s="93">
        <v>46295</v>
      </c>
      <c r="M384" s="14">
        <v>1</v>
      </c>
      <c r="N384" s="14">
        <v>200000000000</v>
      </c>
      <c r="O384" s="56">
        <v>100.79776099999999</v>
      </c>
      <c r="P384" s="56">
        <v>0</v>
      </c>
      <c r="Q384" s="14">
        <v>208915522000</v>
      </c>
      <c r="R384">
        <v>3.9172229999999999</v>
      </c>
      <c r="S384" t="s">
        <v>1184</v>
      </c>
      <c r="T384" s="57">
        <f>IF(Dealps[[#This Row],[MATURITY_DATE]]-Dealps[[#This Row],[POSTED_DT]]&lt;0,0,IF(Dealps[[#This Row],[VALUE_DATE]]-Dealps[[#This Row],[POSTED_DT]]&gt;0,Dealps[[#This Row],[MATURITY_DATE]]-Dealps[[#This Row],[VALUE_DATE]],Dealps[[#This Row],[MATURITY_DATE]]-Dealps[[#This Row],[POSTED_DT]]))</f>
        <v>33</v>
      </c>
      <c r="U384" s="25">
        <f>IF(Dealps[[#This Row],[TENOR]]=0,0,IF(Dealps[[#This Row],[DEAL_TYPE]]="B",Dealps[[#This Row],[FACE_AMOUNT]],-Dealps[[#This Row],[FACE_AMOUNT]]))</f>
        <v>200000000000</v>
      </c>
      <c r="V384" s="25">
        <f>_xlfn.XLOOKUP(Dealps[[#This Row],[PAPER_CODE]],FNRP!D:D,FNRP!H:H,0,0)/100*Dealps[[#This Row],[AMOUNT]]</f>
        <v>0</v>
      </c>
      <c r="W384" s="57" t="str">
        <f>IF(Dealps[[#This Row],[TRANSACTION_STATUS]]&lt;&gt;"V","Ngoai BS",IF(Dealps[[#This Row],[POSTED_DT]]&gt;=Dealps[[#This Row],[VALUE_DATE]],"On BS","Off BS"))</f>
        <v>On BS</v>
      </c>
      <c r="X384" s="25">
        <f>SUMIFS(U:U,C:C,Dealps[[#This Row],[PAPER_CODE]])</f>
        <v>400000000000</v>
      </c>
      <c r="Y384" s="25">
        <f>_xlfn.XLOOKUP(Dealps[[#This Row],[DEAL_ID]],Ref!N:N,Ref!Q:Q,0,0)</f>
        <v>0</v>
      </c>
      <c r="Z384" s="25" t="str">
        <f>IF(Dealps[[#This Row],[CPTY_CODE]]=Dealps[[#This Row],[CPTY_CODE_ISSUER]],"Yes","No")</f>
        <v>No</v>
      </c>
      <c r="AA384" s="25"/>
      <c r="AC384" s="14"/>
      <c r="AG384" s="96"/>
      <c r="AH384" s="25"/>
      <c r="AI384" s="25"/>
      <c r="AN384" s="14"/>
      <c r="AV384" s="36"/>
      <c r="AW384" s="14"/>
      <c r="AX384" s="234"/>
      <c r="AY384" s="96"/>
      <c r="AZ384" s="14"/>
      <c r="BA384"/>
      <c r="BB384" s="93">
        <v>46262</v>
      </c>
      <c r="BC384">
        <v>2593</v>
      </c>
      <c r="BD384" s="56" t="s">
        <v>1019</v>
      </c>
      <c r="BE384" t="s">
        <v>1011</v>
      </c>
      <c r="BF384" t="s">
        <v>1012</v>
      </c>
      <c r="BG384" t="s">
        <v>364</v>
      </c>
      <c r="BH384" t="s">
        <v>1013</v>
      </c>
      <c r="BI384" t="s">
        <v>311</v>
      </c>
      <c r="BJ384" s="93">
        <v>45916</v>
      </c>
      <c r="BK384" s="93">
        <v>45916</v>
      </c>
      <c r="BL384" s="93">
        <v>45916</v>
      </c>
      <c r="BM384" s="93">
        <v>46606</v>
      </c>
      <c r="BN384" s="14">
        <v>1</v>
      </c>
      <c r="BO384" s="14">
        <v>10000000000</v>
      </c>
      <c r="BP384" s="56">
        <v>100</v>
      </c>
      <c r="BQ384" s="56">
        <v>0</v>
      </c>
      <c r="BR384" s="14">
        <v>10063561644</v>
      </c>
      <c r="BS384">
        <v>5.7467100000000002</v>
      </c>
      <c r="BT384" t="s">
        <v>1184</v>
      </c>
      <c r="BU384" s="25">
        <f>_xlfn.XLOOKUP(Dealps_MSB[[#This Row],[DEAL_ID]],Ref!V:V,Ref!X:X,0,0)</f>
        <v>0</v>
      </c>
      <c r="BV384"/>
    </row>
    <row r="385" spans="1:74" x14ac:dyDescent="0.3">
      <c r="A385" s="93">
        <v>46262</v>
      </c>
      <c r="B385">
        <v>4226</v>
      </c>
      <c r="C385" s="56" t="s">
        <v>1204</v>
      </c>
      <c r="D385" t="s">
        <v>315</v>
      </c>
      <c r="E385" t="s">
        <v>322</v>
      </c>
      <c r="F385" t="s">
        <v>364</v>
      </c>
      <c r="G385" t="s">
        <v>310</v>
      </c>
      <c r="H385" t="s">
        <v>300</v>
      </c>
      <c r="I385" s="93">
        <v>46150</v>
      </c>
      <c r="J385" s="93">
        <v>46121</v>
      </c>
      <c r="K385" s="93">
        <v>46150</v>
      </c>
      <c r="L385" s="93">
        <v>46422</v>
      </c>
      <c r="M385" s="14">
        <v>1</v>
      </c>
      <c r="N385" s="14">
        <v>900000000000</v>
      </c>
      <c r="O385" s="56">
        <v>100.566239571</v>
      </c>
      <c r="P385" s="56">
        <v>0</v>
      </c>
      <c r="Q385" s="14">
        <v>921698567100</v>
      </c>
      <c r="R385">
        <v>6.3276009999999996</v>
      </c>
      <c r="S385" t="s">
        <v>1184</v>
      </c>
      <c r="T385" s="57">
        <f>IF(Dealps[[#This Row],[MATURITY_DATE]]-Dealps[[#This Row],[POSTED_DT]]&lt;0,0,IF(Dealps[[#This Row],[VALUE_DATE]]-Dealps[[#This Row],[POSTED_DT]]&gt;0,Dealps[[#This Row],[MATURITY_DATE]]-Dealps[[#This Row],[VALUE_DATE]],Dealps[[#This Row],[MATURITY_DATE]]-Dealps[[#This Row],[POSTED_DT]]))</f>
        <v>160</v>
      </c>
      <c r="U385" s="25">
        <f>IF(Dealps[[#This Row],[TENOR]]=0,0,IF(Dealps[[#This Row],[DEAL_TYPE]]="B",Dealps[[#This Row],[FACE_AMOUNT]],-Dealps[[#This Row],[FACE_AMOUNT]]))</f>
        <v>900000000000</v>
      </c>
      <c r="V385" s="25">
        <f>_xlfn.XLOOKUP(Dealps[[#This Row],[PAPER_CODE]],FNRP!D:D,FNRP!H:H,0,0)/100*Dealps[[#This Row],[AMOUNT]]</f>
        <v>0</v>
      </c>
      <c r="W385" s="57" t="str">
        <f>IF(Dealps[[#This Row],[TRANSACTION_STATUS]]&lt;&gt;"V","Ngoai BS",IF(Dealps[[#This Row],[POSTED_DT]]&gt;=Dealps[[#This Row],[VALUE_DATE]],"On BS","Off BS"))</f>
        <v>On BS</v>
      </c>
      <c r="X385" s="25">
        <f>SUMIFS(U:U,C:C,Dealps[[#This Row],[PAPER_CODE]])</f>
        <v>1000000000000</v>
      </c>
      <c r="Y385" s="25">
        <f>_xlfn.XLOOKUP(Dealps[[#This Row],[DEAL_ID]],Ref!N:N,Ref!Q:Q,0,0)</f>
        <v>0</v>
      </c>
      <c r="Z385" s="25" t="str">
        <f>IF(Dealps[[#This Row],[CPTY_CODE]]=Dealps[[#This Row],[CPTY_CODE_ISSUER]],"Yes","No")</f>
        <v>No</v>
      </c>
      <c r="AA385" s="25"/>
      <c r="AC385" s="14"/>
      <c r="AG385" s="96"/>
      <c r="AH385" s="25"/>
      <c r="AI385" s="25"/>
      <c r="AN385" s="14"/>
      <c r="AV385" s="36"/>
      <c r="AW385" s="14"/>
      <c r="AX385" s="234"/>
      <c r="AY385" s="96"/>
      <c r="AZ385" s="14"/>
      <c r="BA385"/>
      <c r="BB385" s="93">
        <v>46262</v>
      </c>
      <c r="BC385">
        <v>2601</v>
      </c>
      <c r="BD385" s="56" t="s">
        <v>1019</v>
      </c>
      <c r="BE385" t="s">
        <v>1011</v>
      </c>
      <c r="BF385" t="s">
        <v>1012</v>
      </c>
      <c r="BG385" t="s">
        <v>364</v>
      </c>
      <c r="BH385" t="s">
        <v>1013</v>
      </c>
      <c r="BI385" t="s">
        <v>311</v>
      </c>
      <c r="BJ385" s="93">
        <v>45917</v>
      </c>
      <c r="BK385" s="93">
        <v>45917</v>
      </c>
      <c r="BL385" s="93">
        <v>45917</v>
      </c>
      <c r="BM385" s="93">
        <v>46606</v>
      </c>
      <c r="BN385" s="14">
        <v>1</v>
      </c>
      <c r="BO385" s="14">
        <v>10000000000</v>
      </c>
      <c r="BP385" s="56">
        <v>100</v>
      </c>
      <c r="BQ385" s="56">
        <v>0</v>
      </c>
      <c r="BR385" s="14">
        <v>10065150685</v>
      </c>
      <c r="BS385">
        <v>5.7457789999999997</v>
      </c>
      <c r="BT385" t="s">
        <v>1184</v>
      </c>
      <c r="BU385" s="25">
        <f>_xlfn.XLOOKUP(Dealps_MSB[[#This Row],[DEAL_ID]],Ref!V:V,Ref!X:X,0,0)</f>
        <v>0</v>
      </c>
      <c r="BV385"/>
    </row>
    <row r="386" spans="1:74" x14ac:dyDescent="0.3">
      <c r="A386" s="93">
        <v>46262</v>
      </c>
      <c r="B386">
        <v>4227</v>
      </c>
      <c r="C386" s="56" t="s">
        <v>1010</v>
      </c>
      <c r="D386" t="s">
        <v>328</v>
      </c>
      <c r="E386" t="s">
        <v>345</v>
      </c>
      <c r="F386" t="s">
        <v>364</v>
      </c>
      <c r="G386" t="s">
        <v>310</v>
      </c>
      <c r="H386" t="s">
        <v>311</v>
      </c>
      <c r="I386" s="93">
        <v>46150</v>
      </c>
      <c r="J386" s="93">
        <v>46150</v>
      </c>
      <c r="K386" s="93">
        <v>46153</v>
      </c>
      <c r="L386" s="93">
        <v>46329</v>
      </c>
      <c r="M386" s="14">
        <v>1</v>
      </c>
      <c r="N386" s="14">
        <v>500000000000</v>
      </c>
      <c r="O386" s="56">
        <v>100.780596793</v>
      </c>
      <c r="P386" s="56">
        <v>0</v>
      </c>
      <c r="Q386" s="14">
        <v>520127641500.00006</v>
      </c>
      <c r="R386">
        <v>4.5</v>
      </c>
      <c r="S386" t="s">
        <v>1184</v>
      </c>
      <c r="T386" s="57">
        <f>IF(Dealps[[#This Row],[MATURITY_DATE]]-Dealps[[#This Row],[POSTED_DT]]&lt;0,0,IF(Dealps[[#This Row],[VALUE_DATE]]-Dealps[[#This Row],[POSTED_DT]]&gt;0,Dealps[[#This Row],[MATURITY_DATE]]-Dealps[[#This Row],[VALUE_DATE]],Dealps[[#This Row],[MATURITY_DATE]]-Dealps[[#This Row],[POSTED_DT]]))</f>
        <v>67</v>
      </c>
      <c r="U386" s="25">
        <f>IF(Dealps[[#This Row],[TENOR]]=0,0,IF(Dealps[[#This Row],[DEAL_TYPE]]="B",Dealps[[#This Row],[FACE_AMOUNT]],-Dealps[[#This Row],[FACE_AMOUNT]]))</f>
        <v>-500000000000</v>
      </c>
      <c r="V386" s="25">
        <f>_xlfn.XLOOKUP(Dealps[[#This Row],[PAPER_CODE]],FNRP!D:D,FNRP!H:H,0,0)/100*Dealps[[#This Row],[AMOUNT]]</f>
        <v>0</v>
      </c>
      <c r="W386" s="57" t="str">
        <f>IF(Dealps[[#This Row],[TRANSACTION_STATUS]]&lt;&gt;"V","Ngoai BS",IF(Dealps[[#This Row],[POSTED_DT]]&gt;=Dealps[[#This Row],[VALUE_DATE]],"On BS","Off BS"))</f>
        <v>On BS</v>
      </c>
      <c r="X386" s="25">
        <f>SUMIFS(U:U,C:C,Dealps[[#This Row],[PAPER_CODE]])</f>
        <v>2000000000000</v>
      </c>
      <c r="Y386" s="25">
        <f>_xlfn.XLOOKUP(Dealps[[#This Row],[DEAL_ID]],Ref!N:N,Ref!Q:Q,0,0)</f>
        <v>0</v>
      </c>
      <c r="Z386" s="25" t="str">
        <f>IF(Dealps[[#This Row],[CPTY_CODE]]=Dealps[[#This Row],[CPTY_CODE_ISSUER]],"Yes","No")</f>
        <v>No</v>
      </c>
      <c r="AA386" s="25"/>
      <c r="AC386" s="14"/>
      <c r="AG386" s="96"/>
      <c r="AH386" s="25"/>
      <c r="AI386" s="25"/>
      <c r="AN386" s="14"/>
      <c r="AV386" s="36"/>
      <c r="AW386" s="14"/>
      <c r="AX386" s="234"/>
      <c r="AY386" s="96"/>
      <c r="AZ386" s="14"/>
      <c r="BA386"/>
      <c r="BB386" s="93">
        <v>46262</v>
      </c>
      <c r="BC386">
        <v>2603</v>
      </c>
      <c r="BD386" s="56" t="s">
        <v>1020</v>
      </c>
      <c r="BE386" t="s">
        <v>1011</v>
      </c>
      <c r="BF386" t="s">
        <v>1012</v>
      </c>
      <c r="BG386" t="s">
        <v>364</v>
      </c>
      <c r="BH386" t="s">
        <v>1013</v>
      </c>
      <c r="BI386" t="s">
        <v>311</v>
      </c>
      <c r="BJ386" s="93">
        <v>45917</v>
      </c>
      <c r="BK386" s="93">
        <v>45917</v>
      </c>
      <c r="BL386" s="93">
        <v>45917</v>
      </c>
      <c r="BM386" s="93">
        <v>46641</v>
      </c>
      <c r="BN386" s="14">
        <v>1</v>
      </c>
      <c r="BO386" s="14">
        <v>20000000000</v>
      </c>
      <c r="BP386" s="56">
        <v>100</v>
      </c>
      <c r="BQ386" s="56">
        <v>0</v>
      </c>
      <c r="BR386" s="14">
        <v>20016438356</v>
      </c>
      <c r="BS386">
        <v>4.9821309999999999</v>
      </c>
      <c r="BT386" t="s">
        <v>1184</v>
      </c>
      <c r="BU386" s="25">
        <f>_xlfn.XLOOKUP(Dealps_MSB[[#This Row],[DEAL_ID]],Ref!V:V,Ref!X:X,0,0)</f>
        <v>0</v>
      </c>
      <c r="BV386"/>
    </row>
    <row r="387" spans="1:74" x14ac:dyDescent="0.3">
      <c r="A387" s="93">
        <v>46262</v>
      </c>
      <c r="B387">
        <v>4228</v>
      </c>
      <c r="C387" s="56" t="s">
        <v>1204</v>
      </c>
      <c r="D387" t="s">
        <v>315</v>
      </c>
      <c r="E387" t="s">
        <v>322</v>
      </c>
      <c r="F387" t="s">
        <v>364</v>
      </c>
      <c r="G387" t="s">
        <v>310</v>
      </c>
      <c r="H387" t="s">
        <v>311</v>
      </c>
      <c r="I387" s="93">
        <v>46150</v>
      </c>
      <c r="J387" s="93">
        <v>46150</v>
      </c>
      <c r="K387" s="93">
        <v>46153</v>
      </c>
      <c r="L387" s="93">
        <v>46422</v>
      </c>
      <c r="M387" s="14">
        <v>1</v>
      </c>
      <c r="N387" s="14">
        <v>500000000000</v>
      </c>
      <c r="O387" s="56">
        <v>100.433388822</v>
      </c>
      <c r="P387" s="56">
        <v>0</v>
      </c>
      <c r="Q387" s="14">
        <v>511688040000</v>
      </c>
      <c r="R387">
        <v>6.5</v>
      </c>
      <c r="S387" t="s">
        <v>1184</v>
      </c>
      <c r="T387" s="57">
        <f>IF(Dealps[[#This Row],[MATURITY_DATE]]-Dealps[[#This Row],[POSTED_DT]]&lt;0,0,IF(Dealps[[#This Row],[VALUE_DATE]]-Dealps[[#This Row],[POSTED_DT]]&gt;0,Dealps[[#This Row],[MATURITY_DATE]]-Dealps[[#This Row],[VALUE_DATE]],Dealps[[#This Row],[MATURITY_DATE]]-Dealps[[#This Row],[POSTED_DT]]))</f>
        <v>160</v>
      </c>
      <c r="U387" s="25">
        <f>IF(Dealps[[#This Row],[TENOR]]=0,0,IF(Dealps[[#This Row],[DEAL_TYPE]]="B",Dealps[[#This Row],[FACE_AMOUNT]],-Dealps[[#This Row],[FACE_AMOUNT]]))</f>
        <v>-500000000000</v>
      </c>
      <c r="V387" s="25">
        <f>_xlfn.XLOOKUP(Dealps[[#This Row],[PAPER_CODE]],FNRP!D:D,FNRP!H:H,0,0)/100*Dealps[[#This Row],[AMOUNT]]</f>
        <v>0</v>
      </c>
      <c r="W387" s="57" t="str">
        <f>IF(Dealps[[#This Row],[TRANSACTION_STATUS]]&lt;&gt;"V","Ngoai BS",IF(Dealps[[#This Row],[POSTED_DT]]&gt;=Dealps[[#This Row],[VALUE_DATE]],"On BS","Off BS"))</f>
        <v>On BS</v>
      </c>
      <c r="X387" s="25">
        <f>SUMIFS(U:U,C:C,Dealps[[#This Row],[PAPER_CODE]])</f>
        <v>1000000000000</v>
      </c>
      <c r="Y387" s="25">
        <f>_xlfn.XLOOKUP(Dealps[[#This Row],[DEAL_ID]],Ref!N:N,Ref!Q:Q,0,0)</f>
        <v>0</v>
      </c>
      <c r="Z387" s="25" t="str">
        <f>IF(Dealps[[#This Row],[CPTY_CODE]]=Dealps[[#This Row],[CPTY_CODE_ISSUER]],"Yes","No")</f>
        <v>No</v>
      </c>
      <c r="AA387" s="25"/>
      <c r="AC387" s="14"/>
      <c r="AG387" s="96"/>
      <c r="AH387" s="25"/>
      <c r="AI387" s="25"/>
      <c r="AN387" s="14"/>
      <c r="AV387" s="36"/>
      <c r="AW387" s="14"/>
      <c r="AX387" s="234"/>
      <c r="AY387" s="96"/>
      <c r="AZ387" s="14"/>
      <c r="BA387"/>
      <c r="BB387" s="93">
        <v>46262</v>
      </c>
      <c r="BC387">
        <v>2614</v>
      </c>
      <c r="BD387" s="56" t="s">
        <v>1019</v>
      </c>
      <c r="BE387" t="s">
        <v>1011</v>
      </c>
      <c r="BF387" t="s">
        <v>1012</v>
      </c>
      <c r="BG387" t="s">
        <v>364</v>
      </c>
      <c r="BH387" t="s">
        <v>1013</v>
      </c>
      <c r="BI387" t="s">
        <v>311</v>
      </c>
      <c r="BJ387" s="93">
        <v>45918</v>
      </c>
      <c r="BK387" s="93">
        <v>45918</v>
      </c>
      <c r="BL387" s="93">
        <v>45918</v>
      </c>
      <c r="BM387" s="93">
        <v>46606</v>
      </c>
      <c r="BN387" s="14">
        <v>1</v>
      </c>
      <c r="BO387" s="14">
        <v>10000000000</v>
      </c>
      <c r="BP387" s="56">
        <v>100</v>
      </c>
      <c r="BQ387" s="56">
        <v>0</v>
      </c>
      <c r="BR387" s="14">
        <v>10066739726</v>
      </c>
      <c r="BS387">
        <v>5.744847</v>
      </c>
      <c r="BT387" t="s">
        <v>1184</v>
      </c>
      <c r="BU387" s="25">
        <f>_xlfn.XLOOKUP(Dealps_MSB[[#This Row],[DEAL_ID]],Ref!V:V,Ref!X:X,0,0)</f>
        <v>0</v>
      </c>
      <c r="BV387"/>
    </row>
    <row r="388" spans="1:74" x14ac:dyDescent="0.3">
      <c r="A388" s="93">
        <v>46262</v>
      </c>
      <c r="B388">
        <v>4229</v>
      </c>
      <c r="C388" s="56" t="s">
        <v>1204</v>
      </c>
      <c r="D388" t="s">
        <v>315</v>
      </c>
      <c r="E388" t="s">
        <v>318</v>
      </c>
      <c r="F388" t="s">
        <v>364</v>
      </c>
      <c r="G388" t="s">
        <v>310</v>
      </c>
      <c r="H388" t="s">
        <v>311</v>
      </c>
      <c r="I388" s="93">
        <v>46150</v>
      </c>
      <c r="J388" s="93">
        <v>46150</v>
      </c>
      <c r="K388" s="93">
        <v>46153</v>
      </c>
      <c r="L388" s="93">
        <v>46422</v>
      </c>
      <c r="M388" s="14">
        <v>1</v>
      </c>
      <c r="N388" s="14">
        <v>400000000000</v>
      </c>
      <c r="O388" s="56">
        <v>100.217922722</v>
      </c>
      <c r="P388" s="56">
        <v>0</v>
      </c>
      <c r="Q388" s="14">
        <v>408488567600</v>
      </c>
      <c r="R388">
        <v>6.8</v>
      </c>
      <c r="S388" t="s">
        <v>1184</v>
      </c>
      <c r="T388" s="57">
        <f>IF(Dealps[[#This Row],[MATURITY_DATE]]-Dealps[[#This Row],[POSTED_DT]]&lt;0,0,IF(Dealps[[#This Row],[VALUE_DATE]]-Dealps[[#This Row],[POSTED_DT]]&gt;0,Dealps[[#This Row],[MATURITY_DATE]]-Dealps[[#This Row],[VALUE_DATE]],Dealps[[#This Row],[MATURITY_DATE]]-Dealps[[#This Row],[POSTED_DT]]))</f>
        <v>160</v>
      </c>
      <c r="U388" s="25">
        <f>IF(Dealps[[#This Row],[TENOR]]=0,0,IF(Dealps[[#This Row],[DEAL_TYPE]]="B",Dealps[[#This Row],[FACE_AMOUNT]],-Dealps[[#This Row],[FACE_AMOUNT]]))</f>
        <v>-400000000000</v>
      </c>
      <c r="V388" s="25">
        <f>_xlfn.XLOOKUP(Dealps[[#This Row],[PAPER_CODE]],FNRP!D:D,FNRP!H:H,0,0)/100*Dealps[[#This Row],[AMOUNT]]</f>
        <v>0</v>
      </c>
      <c r="W388" s="57" t="str">
        <f>IF(Dealps[[#This Row],[TRANSACTION_STATUS]]&lt;&gt;"V","Ngoai BS",IF(Dealps[[#This Row],[POSTED_DT]]&gt;=Dealps[[#This Row],[VALUE_DATE]],"On BS","Off BS"))</f>
        <v>On BS</v>
      </c>
      <c r="X388" s="25">
        <f>SUMIFS(U:U,C:C,Dealps[[#This Row],[PAPER_CODE]])</f>
        <v>1000000000000</v>
      </c>
      <c r="Y388" s="25">
        <f>_xlfn.XLOOKUP(Dealps[[#This Row],[DEAL_ID]],Ref!N:N,Ref!Q:Q,0,0)</f>
        <v>0</v>
      </c>
      <c r="Z388" s="25" t="str">
        <f>IF(Dealps[[#This Row],[CPTY_CODE]]=Dealps[[#This Row],[CPTY_CODE_ISSUER]],"Yes","No")</f>
        <v>No</v>
      </c>
      <c r="AA388" s="25"/>
      <c r="AC388" s="14"/>
      <c r="AG388" s="96"/>
      <c r="AH388" s="25"/>
      <c r="AI388" s="25"/>
      <c r="AN388" s="14"/>
      <c r="AV388" s="36"/>
      <c r="AW388" s="14"/>
      <c r="AX388" s="234"/>
      <c r="AY388" s="96"/>
      <c r="AZ388" s="14"/>
      <c r="BA388"/>
      <c r="BB388" s="93">
        <v>46262</v>
      </c>
      <c r="BC388">
        <v>2626</v>
      </c>
      <c r="BD388" s="56" t="s">
        <v>1019</v>
      </c>
      <c r="BE388" t="s">
        <v>1011</v>
      </c>
      <c r="BF388" t="s">
        <v>1012</v>
      </c>
      <c r="BG388" t="s">
        <v>364</v>
      </c>
      <c r="BH388" t="s">
        <v>1013</v>
      </c>
      <c r="BI388" t="s">
        <v>311</v>
      </c>
      <c r="BJ388" s="93">
        <v>45919</v>
      </c>
      <c r="BK388" s="93">
        <v>45919</v>
      </c>
      <c r="BL388" s="93">
        <v>45919</v>
      </c>
      <c r="BM388" s="93">
        <v>46606</v>
      </c>
      <c r="BN388" s="14">
        <v>1</v>
      </c>
      <c r="BO388" s="14">
        <v>10000000000</v>
      </c>
      <c r="BP388" s="56">
        <v>100</v>
      </c>
      <c r="BQ388" s="56">
        <v>0</v>
      </c>
      <c r="BR388" s="14">
        <v>10068328767</v>
      </c>
      <c r="BS388">
        <v>5.7439169999999997</v>
      </c>
      <c r="BT388" t="s">
        <v>1184</v>
      </c>
      <c r="BU388" s="25">
        <f>_xlfn.XLOOKUP(Dealps_MSB[[#This Row],[DEAL_ID]],Ref!V:V,Ref!X:X,0,0)</f>
        <v>0</v>
      </c>
      <c r="BV388"/>
    </row>
    <row r="389" spans="1:74" x14ac:dyDescent="0.3">
      <c r="A389" s="93">
        <v>46262</v>
      </c>
      <c r="B389">
        <v>4241</v>
      </c>
      <c r="C389" s="56" t="s">
        <v>1071</v>
      </c>
      <c r="D389" t="s">
        <v>328</v>
      </c>
      <c r="E389" t="s">
        <v>703</v>
      </c>
      <c r="F389" t="s">
        <v>364</v>
      </c>
      <c r="G389" t="s">
        <v>310</v>
      </c>
      <c r="H389" t="s">
        <v>300</v>
      </c>
      <c r="I389" s="93">
        <v>46154</v>
      </c>
      <c r="J389" s="93">
        <v>46154</v>
      </c>
      <c r="K389" s="93">
        <v>46154</v>
      </c>
      <c r="L389" s="93">
        <v>46352</v>
      </c>
      <c r="M389" s="14">
        <v>1</v>
      </c>
      <c r="N389" s="14">
        <v>300000000000</v>
      </c>
      <c r="O389" s="56">
        <v>100.308744064</v>
      </c>
      <c r="P389" s="56">
        <v>0</v>
      </c>
      <c r="Q389" s="14">
        <v>309931163700</v>
      </c>
      <c r="R389">
        <v>5.8376029999999997</v>
      </c>
      <c r="S389" t="s">
        <v>1184</v>
      </c>
      <c r="T389" s="57">
        <f>IF(Dealps[[#This Row],[MATURITY_DATE]]-Dealps[[#This Row],[POSTED_DT]]&lt;0,0,IF(Dealps[[#This Row],[VALUE_DATE]]-Dealps[[#This Row],[POSTED_DT]]&gt;0,Dealps[[#This Row],[MATURITY_DATE]]-Dealps[[#This Row],[VALUE_DATE]],Dealps[[#This Row],[MATURITY_DATE]]-Dealps[[#This Row],[POSTED_DT]]))</f>
        <v>90</v>
      </c>
      <c r="U389" s="25">
        <f>IF(Dealps[[#This Row],[TENOR]]=0,0,IF(Dealps[[#This Row],[DEAL_TYPE]]="B",Dealps[[#This Row],[FACE_AMOUNT]],-Dealps[[#This Row],[FACE_AMOUNT]]))</f>
        <v>300000000000</v>
      </c>
      <c r="V389" s="25">
        <f>_xlfn.XLOOKUP(Dealps[[#This Row],[PAPER_CODE]],FNRP!D:D,FNRP!H:H,0,0)/100*Dealps[[#This Row],[AMOUNT]]</f>
        <v>0</v>
      </c>
      <c r="W389" s="57" t="str">
        <f>IF(Dealps[[#This Row],[TRANSACTION_STATUS]]&lt;&gt;"V","Ngoai BS",IF(Dealps[[#This Row],[POSTED_DT]]&gt;=Dealps[[#This Row],[VALUE_DATE]],"On BS","Off BS"))</f>
        <v>On BS</v>
      </c>
      <c r="X389" s="25">
        <f>SUMIFS(U:U,C:C,Dealps[[#This Row],[PAPER_CODE]])</f>
        <v>1500000000000</v>
      </c>
      <c r="Y389" s="25">
        <f>_xlfn.XLOOKUP(Dealps[[#This Row],[DEAL_ID]],Ref!N:N,Ref!Q:Q,0,0)</f>
        <v>0</v>
      </c>
      <c r="Z389" s="25" t="str">
        <f>IF(Dealps[[#This Row],[CPTY_CODE]]=Dealps[[#This Row],[CPTY_CODE_ISSUER]],"Yes","No")</f>
        <v>No</v>
      </c>
      <c r="AA389" s="25"/>
      <c r="AC389" s="14"/>
      <c r="AG389" s="96"/>
      <c r="AH389" s="25"/>
      <c r="AI389" s="25"/>
      <c r="AN389" s="14"/>
      <c r="AV389" s="36"/>
      <c r="AW389" s="14"/>
      <c r="AX389" s="234"/>
      <c r="AY389" s="96"/>
      <c r="AZ389" s="14"/>
      <c r="BA389"/>
      <c r="BB389" s="93">
        <v>46262</v>
      </c>
      <c r="BC389">
        <v>2628</v>
      </c>
      <c r="BD389" s="56" t="s">
        <v>1020</v>
      </c>
      <c r="BE389" t="s">
        <v>1011</v>
      </c>
      <c r="BF389" t="s">
        <v>1012</v>
      </c>
      <c r="BG389" t="s">
        <v>364</v>
      </c>
      <c r="BH389" t="s">
        <v>1013</v>
      </c>
      <c r="BI389" t="s">
        <v>311</v>
      </c>
      <c r="BJ389" s="93">
        <v>45919</v>
      </c>
      <c r="BK389" s="93">
        <v>45919</v>
      </c>
      <c r="BL389" s="93">
        <v>45919</v>
      </c>
      <c r="BM389" s="93">
        <v>46641</v>
      </c>
      <c r="BN389" s="14">
        <v>1</v>
      </c>
      <c r="BO389" s="14">
        <v>20000000000</v>
      </c>
      <c r="BP389" s="56">
        <v>100</v>
      </c>
      <c r="BQ389" s="56">
        <v>0</v>
      </c>
      <c r="BR389" s="14">
        <v>20021917808</v>
      </c>
      <c r="BS389">
        <v>4.9807300000000003</v>
      </c>
      <c r="BT389" t="s">
        <v>1184</v>
      </c>
      <c r="BU389" s="25">
        <f>_xlfn.XLOOKUP(Dealps_MSB[[#This Row],[DEAL_ID]],Ref!V:V,Ref!X:X,0,0)</f>
        <v>0</v>
      </c>
      <c r="BV389"/>
    </row>
    <row r="390" spans="1:74" x14ac:dyDescent="0.3">
      <c r="A390" s="93">
        <v>46262</v>
      </c>
      <c r="B390">
        <v>4242</v>
      </c>
      <c r="C390" s="56" t="s">
        <v>1004</v>
      </c>
      <c r="D390" t="s">
        <v>324</v>
      </c>
      <c r="E390" t="s">
        <v>345</v>
      </c>
      <c r="F390" t="s">
        <v>364</v>
      </c>
      <c r="G390" t="s">
        <v>310</v>
      </c>
      <c r="H390" t="s">
        <v>300</v>
      </c>
      <c r="I390" s="93">
        <v>46154</v>
      </c>
      <c r="J390" s="93">
        <v>46154</v>
      </c>
      <c r="K390" s="93">
        <v>46154</v>
      </c>
      <c r="L390" s="93">
        <v>46323</v>
      </c>
      <c r="M390" s="14">
        <v>1</v>
      </c>
      <c r="N390" s="14">
        <v>300000000000</v>
      </c>
      <c r="O390" s="56">
        <v>100.258359634</v>
      </c>
      <c r="P390" s="56">
        <v>0</v>
      </c>
      <c r="Q390" s="14">
        <v>310872339177</v>
      </c>
      <c r="R390">
        <v>5.5411859999999997</v>
      </c>
      <c r="S390" t="s">
        <v>1184</v>
      </c>
      <c r="T390" s="57">
        <f>IF(Dealps[[#This Row],[MATURITY_DATE]]-Dealps[[#This Row],[POSTED_DT]]&lt;0,0,IF(Dealps[[#This Row],[VALUE_DATE]]-Dealps[[#This Row],[POSTED_DT]]&gt;0,Dealps[[#This Row],[MATURITY_DATE]]-Dealps[[#This Row],[VALUE_DATE]],Dealps[[#This Row],[MATURITY_DATE]]-Dealps[[#This Row],[POSTED_DT]]))</f>
        <v>61</v>
      </c>
      <c r="U390" s="25">
        <f>IF(Dealps[[#This Row],[TENOR]]=0,0,IF(Dealps[[#This Row],[DEAL_TYPE]]="B",Dealps[[#This Row],[FACE_AMOUNT]],-Dealps[[#This Row],[FACE_AMOUNT]]))</f>
        <v>300000000000</v>
      </c>
      <c r="V390" s="25">
        <f>_xlfn.XLOOKUP(Dealps[[#This Row],[PAPER_CODE]],FNRP!D:D,FNRP!H:H,0,0)/100*Dealps[[#This Row],[AMOUNT]]</f>
        <v>0</v>
      </c>
      <c r="W390" s="57" t="str">
        <f>IF(Dealps[[#This Row],[TRANSACTION_STATUS]]&lt;&gt;"V","Ngoai BS",IF(Dealps[[#This Row],[POSTED_DT]]&gt;=Dealps[[#This Row],[VALUE_DATE]],"On BS","Off BS"))</f>
        <v>On BS</v>
      </c>
      <c r="X390" s="25">
        <f>SUMIFS(U:U,C:C,Dealps[[#This Row],[PAPER_CODE]])</f>
        <v>500000000000</v>
      </c>
      <c r="Y390" s="25">
        <f>_xlfn.XLOOKUP(Dealps[[#This Row],[DEAL_ID]],Ref!N:N,Ref!Q:Q,0,0)</f>
        <v>0</v>
      </c>
      <c r="Z390" s="25" t="str">
        <f>IF(Dealps[[#This Row],[CPTY_CODE]]=Dealps[[#This Row],[CPTY_CODE_ISSUER]],"Yes","No")</f>
        <v>No</v>
      </c>
      <c r="AA390" s="25"/>
      <c r="AC390" s="14"/>
      <c r="AG390" s="96"/>
      <c r="AH390" s="25"/>
      <c r="AI390" s="25"/>
      <c r="AN390" s="14"/>
      <c r="AV390" s="36"/>
      <c r="AW390" s="14"/>
      <c r="AX390" s="234"/>
      <c r="AY390" s="96"/>
      <c r="AZ390" s="14"/>
      <c r="BA390"/>
      <c r="BB390" s="93">
        <v>46262</v>
      </c>
      <c r="BC390">
        <v>2629</v>
      </c>
      <c r="BD390" s="56" t="s">
        <v>1020</v>
      </c>
      <c r="BE390" t="s">
        <v>1011</v>
      </c>
      <c r="BF390" t="s">
        <v>1012</v>
      </c>
      <c r="BG390" t="s">
        <v>364</v>
      </c>
      <c r="BH390" t="s">
        <v>1013</v>
      </c>
      <c r="BI390" t="s">
        <v>311</v>
      </c>
      <c r="BJ390" s="93">
        <v>45919</v>
      </c>
      <c r="BK390" s="93">
        <v>45919</v>
      </c>
      <c r="BL390" s="93">
        <v>45919</v>
      </c>
      <c r="BM390" s="93">
        <v>46641</v>
      </c>
      <c r="BN390" s="14">
        <v>1</v>
      </c>
      <c r="BO390" s="14">
        <v>20000000000</v>
      </c>
      <c r="BP390" s="56">
        <v>100</v>
      </c>
      <c r="BQ390" s="56">
        <v>0</v>
      </c>
      <c r="BR390" s="14">
        <v>20021917808</v>
      </c>
      <c r="BS390">
        <v>4.9807300000000003</v>
      </c>
      <c r="BT390" t="s">
        <v>1184</v>
      </c>
      <c r="BU390" s="25">
        <f>_xlfn.XLOOKUP(Dealps_MSB[[#This Row],[DEAL_ID]],Ref!V:V,Ref!X:X,0,0)</f>
        <v>0</v>
      </c>
      <c r="BV390"/>
    </row>
    <row r="391" spans="1:74" x14ac:dyDescent="0.3">
      <c r="A391" s="93">
        <v>46262</v>
      </c>
      <c r="B391">
        <v>4244</v>
      </c>
      <c r="C391" s="56" t="s">
        <v>1071</v>
      </c>
      <c r="D391" t="s">
        <v>328</v>
      </c>
      <c r="E391" t="s">
        <v>345</v>
      </c>
      <c r="F391" t="s">
        <v>364</v>
      </c>
      <c r="G391" t="s">
        <v>310</v>
      </c>
      <c r="H391" t="s">
        <v>300</v>
      </c>
      <c r="I391" s="93">
        <v>46154</v>
      </c>
      <c r="J391" s="93">
        <v>46154</v>
      </c>
      <c r="K391" s="93">
        <v>46154</v>
      </c>
      <c r="L391" s="93">
        <v>46352</v>
      </c>
      <c r="M391" s="14">
        <v>1</v>
      </c>
      <c r="N391" s="14">
        <v>200000000000</v>
      </c>
      <c r="O391" s="56">
        <v>100.381690964</v>
      </c>
      <c r="P391" s="56">
        <v>0</v>
      </c>
      <c r="Q391" s="14">
        <v>206766669600</v>
      </c>
      <c r="R391">
        <v>5.7034120000000001</v>
      </c>
      <c r="S391" t="s">
        <v>1184</v>
      </c>
      <c r="T391" s="57">
        <f>IF(Dealps[[#This Row],[MATURITY_DATE]]-Dealps[[#This Row],[POSTED_DT]]&lt;0,0,IF(Dealps[[#This Row],[VALUE_DATE]]-Dealps[[#This Row],[POSTED_DT]]&gt;0,Dealps[[#This Row],[MATURITY_DATE]]-Dealps[[#This Row],[VALUE_DATE]],Dealps[[#This Row],[MATURITY_DATE]]-Dealps[[#This Row],[POSTED_DT]]))</f>
        <v>90</v>
      </c>
      <c r="U391" s="25">
        <f>IF(Dealps[[#This Row],[TENOR]]=0,0,IF(Dealps[[#This Row],[DEAL_TYPE]]="B",Dealps[[#This Row],[FACE_AMOUNT]],-Dealps[[#This Row],[FACE_AMOUNT]]))</f>
        <v>200000000000</v>
      </c>
      <c r="V391" s="25">
        <f>_xlfn.XLOOKUP(Dealps[[#This Row],[PAPER_CODE]],FNRP!D:D,FNRP!H:H,0,0)/100*Dealps[[#This Row],[AMOUNT]]</f>
        <v>0</v>
      </c>
      <c r="W391" s="57" t="str">
        <f>IF(Dealps[[#This Row],[TRANSACTION_STATUS]]&lt;&gt;"V","Ngoai BS",IF(Dealps[[#This Row],[POSTED_DT]]&gt;=Dealps[[#This Row],[VALUE_DATE]],"On BS","Off BS"))</f>
        <v>On BS</v>
      </c>
      <c r="X391" s="25">
        <f>SUMIFS(U:U,C:C,Dealps[[#This Row],[PAPER_CODE]])</f>
        <v>1500000000000</v>
      </c>
      <c r="Y391" s="25">
        <f>_xlfn.XLOOKUP(Dealps[[#This Row],[DEAL_ID]],Ref!N:N,Ref!Q:Q,0,0)</f>
        <v>0</v>
      </c>
      <c r="Z391" s="25" t="str">
        <f>IF(Dealps[[#This Row],[CPTY_CODE]]=Dealps[[#This Row],[CPTY_CODE_ISSUER]],"Yes","No")</f>
        <v>No</v>
      </c>
      <c r="AA391" s="25"/>
      <c r="AC391" s="14"/>
      <c r="AG391" s="96"/>
      <c r="AH391" s="25"/>
      <c r="AI391" s="25"/>
      <c r="AN391" s="14"/>
      <c r="AV391" s="36"/>
      <c r="AW391" s="14"/>
      <c r="AX391" s="234"/>
      <c r="AY391" s="96"/>
      <c r="AZ391" s="14"/>
      <c r="BA391"/>
      <c r="BB391" s="93">
        <v>46262</v>
      </c>
      <c r="BC391">
        <v>2633</v>
      </c>
      <c r="BD391" s="56" t="s">
        <v>1020</v>
      </c>
      <c r="BE391" t="s">
        <v>1011</v>
      </c>
      <c r="BF391" t="s">
        <v>1012</v>
      </c>
      <c r="BG391" t="s">
        <v>364</v>
      </c>
      <c r="BH391" t="s">
        <v>1013</v>
      </c>
      <c r="BI391" t="s">
        <v>311</v>
      </c>
      <c r="BJ391" s="93">
        <v>45919</v>
      </c>
      <c r="BK391" s="93">
        <v>45919</v>
      </c>
      <c r="BL391" s="93">
        <v>45919</v>
      </c>
      <c r="BM391" s="93">
        <v>46641</v>
      </c>
      <c r="BN391" s="14">
        <v>1</v>
      </c>
      <c r="BO391" s="14">
        <v>20000000000</v>
      </c>
      <c r="BP391" s="56">
        <v>100</v>
      </c>
      <c r="BQ391" s="56">
        <v>0</v>
      </c>
      <c r="BR391" s="14">
        <v>20021917808</v>
      </c>
      <c r="BS391">
        <v>4.9807300000000003</v>
      </c>
      <c r="BT391" t="s">
        <v>1184</v>
      </c>
      <c r="BU391" s="25">
        <f>_xlfn.XLOOKUP(Dealps_MSB[[#This Row],[DEAL_ID]],Ref!V:V,Ref!X:X,0,0)</f>
        <v>0</v>
      </c>
      <c r="BV391"/>
    </row>
    <row r="392" spans="1:74" x14ac:dyDescent="0.3">
      <c r="A392" s="93">
        <v>46262</v>
      </c>
      <c r="B392">
        <v>4246</v>
      </c>
      <c r="C392" s="56" t="s">
        <v>1008</v>
      </c>
      <c r="D392" t="s">
        <v>473</v>
      </c>
      <c r="E392" t="s">
        <v>345</v>
      </c>
      <c r="F392" t="s">
        <v>364</v>
      </c>
      <c r="G392" t="s">
        <v>310</v>
      </c>
      <c r="H392" t="s">
        <v>300</v>
      </c>
      <c r="I392" s="93">
        <v>46154</v>
      </c>
      <c r="J392" s="93">
        <v>46154</v>
      </c>
      <c r="K392" s="93">
        <v>46154</v>
      </c>
      <c r="L392" s="93">
        <v>46324</v>
      </c>
      <c r="M392" s="14">
        <v>1</v>
      </c>
      <c r="N392" s="14">
        <v>500000000000</v>
      </c>
      <c r="O392" s="56">
        <v>100.206119919</v>
      </c>
      <c r="P392" s="56">
        <v>0</v>
      </c>
      <c r="Q392" s="14">
        <v>517341558500</v>
      </c>
      <c r="R392">
        <v>5.6611039999999999</v>
      </c>
      <c r="S392" t="s">
        <v>1184</v>
      </c>
      <c r="T392" s="57">
        <f>IF(Dealps[[#This Row],[MATURITY_DATE]]-Dealps[[#This Row],[POSTED_DT]]&lt;0,0,IF(Dealps[[#This Row],[VALUE_DATE]]-Dealps[[#This Row],[POSTED_DT]]&gt;0,Dealps[[#This Row],[MATURITY_DATE]]-Dealps[[#This Row],[VALUE_DATE]],Dealps[[#This Row],[MATURITY_DATE]]-Dealps[[#This Row],[POSTED_DT]]))</f>
        <v>62</v>
      </c>
      <c r="U392" s="25">
        <f>IF(Dealps[[#This Row],[TENOR]]=0,0,IF(Dealps[[#This Row],[DEAL_TYPE]]="B",Dealps[[#This Row],[FACE_AMOUNT]],-Dealps[[#This Row],[FACE_AMOUNT]]))</f>
        <v>500000000000</v>
      </c>
      <c r="V392" s="25">
        <f>_xlfn.XLOOKUP(Dealps[[#This Row],[PAPER_CODE]],FNRP!D:D,FNRP!H:H,0,0)/100*Dealps[[#This Row],[AMOUNT]]</f>
        <v>0</v>
      </c>
      <c r="W392" s="57" t="str">
        <f>IF(Dealps[[#This Row],[TRANSACTION_STATUS]]&lt;&gt;"V","Ngoai BS",IF(Dealps[[#This Row],[POSTED_DT]]&gt;=Dealps[[#This Row],[VALUE_DATE]],"On BS","Off BS"))</f>
        <v>On BS</v>
      </c>
      <c r="X392" s="25">
        <f>SUMIFS(U:U,C:C,Dealps[[#This Row],[PAPER_CODE]])</f>
        <v>500000000000</v>
      </c>
      <c r="Y392" s="25">
        <f>_xlfn.XLOOKUP(Dealps[[#This Row],[DEAL_ID]],Ref!N:N,Ref!Q:Q,0,0)</f>
        <v>0</v>
      </c>
      <c r="Z392" s="25" t="str">
        <f>IF(Dealps[[#This Row],[CPTY_CODE]]=Dealps[[#This Row],[CPTY_CODE_ISSUER]],"Yes","No")</f>
        <v>No</v>
      </c>
      <c r="AA392" s="25"/>
      <c r="AC392" s="14"/>
      <c r="AG392" s="96"/>
      <c r="AH392" s="25"/>
      <c r="AI392" s="25"/>
      <c r="AN392" s="14"/>
      <c r="AV392" s="36"/>
      <c r="AW392" s="14"/>
      <c r="AX392" s="234"/>
      <c r="AY392" s="96"/>
      <c r="AZ392" s="14"/>
      <c r="BA392"/>
      <c r="BB392" s="93">
        <v>46262</v>
      </c>
      <c r="BC392">
        <v>2634</v>
      </c>
      <c r="BD392" s="56" t="s">
        <v>1020</v>
      </c>
      <c r="BE392" t="s">
        <v>1011</v>
      </c>
      <c r="BF392" t="s">
        <v>1012</v>
      </c>
      <c r="BG392" t="s">
        <v>364</v>
      </c>
      <c r="BH392" t="s">
        <v>1013</v>
      </c>
      <c r="BI392" t="s">
        <v>311</v>
      </c>
      <c r="BJ392" s="93">
        <v>45919</v>
      </c>
      <c r="BK392" s="93">
        <v>45919</v>
      </c>
      <c r="BL392" s="93">
        <v>45919</v>
      </c>
      <c r="BM392" s="93">
        <v>46641</v>
      </c>
      <c r="BN392" s="14">
        <v>1</v>
      </c>
      <c r="BO392" s="14">
        <v>20000000000</v>
      </c>
      <c r="BP392" s="56">
        <v>100</v>
      </c>
      <c r="BQ392" s="56">
        <v>0</v>
      </c>
      <c r="BR392" s="14">
        <v>20021917808</v>
      </c>
      <c r="BS392">
        <v>4.9807300000000003</v>
      </c>
      <c r="BT392" t="s">
        <v>1184</v>
      </c>
      <c r="BU392" s="25">
        <f>_xlfn.XLOOKUP(Dealps_MSB[[#This Row],[DEAL_ID]],Ref!V:V,Ref!X:X,0,0)</f>
        <v>0</v>
      </c>
      <c r="BV392"/>
    </row>
    <row r="393" spans="1:74" x14ac:dyDescent="0.3">
      <c r="A393" s="93">
        <v>46262</v>
      </c>
      <c r="B393">
        <v>4247</v>
      </c>
      <c r="C393" s="56" t="s">
        <v>1008</v>
      </c>
      <c r="D393" t="s">
        <v>473</v>
      </c>
      <c r="E393" t="s">
        <v>345</v>
      </c>
      <c r="F393" t="s">
        <v>364</v>
      </c>
      <c r="G393" t="s">
        <v>310</v>
      </c>
      <c r="H393" t="s">
        <v>311</v>
      </c>
      <c r="I393" s="93">
        <v>46154</v>
      </c>
      <c r="J393" s="93">
        <v>46154</v>
      </c>
      <c r="K393" s="93">
        <v>46155</v>
      </c>
      <c r="L393" s="93">
        <v>46324</v>
      </c>
      <c r="M393" s="14">
        <v>1</v>
      </c>
      <c r="N393" s="14">
        <v>500000000000</v>
      </c>
      <c r="O393" s="56">
        <v>100.27977264499999</v>
      </c>
      <c r="P393" s="56">
        <v>0</v>
      </c>
      <c r="Q393" s="14">
        <v>517796123500</v>
      </c>
      <c r="R393">
        <v>5.5</v>
      </c>
      <c r="S393" t="s">
        <v>1184</v>
      </c>
      <c r="T393" s="57">
        <f>IF(Dealps[[#This Row],[MATURITY_DATE]]-Dealps[[#This Row],[POSTED_DT]]&lt;0,0,IF(Dealps[[#This Row],[VALUE_DATE]]-Dealps[[#This Row],[POSTED_DT]]&gt;0,Dealps[[#This Row],[MATURITY_DATE]]-Dealps[[#This Row],[VALUE_DATE]],Dealps[[#This Row],[MATURITY_DATE]]-Dealps[[#This Row],[POSTED_DT]]))</f>
        <v>62</v>
      </c>
      <c r="U393" s="25">
        <f>IF(Dealps[[#This Row],[TENOR]]=0,0,IF(Dealps[[#This Row],[DEAL_TYPE]]="B",Dealps[[#This Row],[FACE_AMOUNT]],-Dealps[[#This Row],[FACE_AMOUNT]]))</f>
        <v>-500000000000</v>
      </c>
      <c r="V393" s="25">
        <f>_xlfn.XLOOKUP(Dealps[[#This Row],[PAPER_CODE]],FNRP!D:D,FNRP!H:H,0,0)/100*Dealps[[#This Row],[AMOUNT]]</f>
        <v>0</v>
      </c>
      <c r="W393" s="57" t="str">
        <f>IF(Dealps[[#This Row],[TRANSACTION_STATUS]]&lt;&gt;"V","Ngoai BS",IF(Dealps[[#This Row],[POSTED_DT]]&gt;=Dealps[[#This Row],[VALUE_DATE]],"On BS","Off BS"))</f>
        <v>On BS</v>
      </c>
      <c r="X393" s="25">
        <f>SUMIFS(U:U,C:C,Dealps[[#This Row],[PAPER_CODE]])</f>
        <v>500000000000</v>
      </c>
      <c r="Y393" s="25">
        <f>_xlfn.XLOOKUP(Dealps[[#This Row],[DEAL_ID]],Ref!N:N,Ref!Q:Q,0,0)</f>
        <v>0</v>
      </c>
      <c r="Z393" s="25" t="str">
        <f>IF(Dealps[[#This Row],[CPTY_CODE]]=Dealps[[#This Row],[CPTY_CODE_ISSUER]],"Yes","No")</f>
        <v>No</v>
      </c>
      <c r="AA393" s="25"/>
      <c r="AC393" s="14"/>
      <c r="AG393" s="96"/>
      <c r="AH393" s="25"/>
      <c r="AI393" s="25"/>
      <c r="AN393" s="14"/>
      <c r="AV393" s="36"/>
      <c r="AW393" s="14"/>
      <c r="AX393" s="234"/>
      <c r="AY393" s="96"/>
      <c r="AZ393" s="14"/>
      <c r="BA393"/>
      <c r="BB393" s="93">
        <v>46262</v>
      </c>
      <c r="BC393">
        <v>2635</v>
      </c>
      <c r="BD393" s="56" t="s">
        <v>1020</v>
      </c>
      <c r="BE393" t="s">
        <v>1011</v>
      </c>
      <c r="BF393" t="s">
        <v>1012</v>
      </c>
      <c r="BG393" t="s">
        <v>364</v>
      </c>
      <c r="BH393" t="s">
        <v>1013</v>
      </c>
      <c r="BI393" t="s">
        <v>311</v>
      </c>
      <c r="BJ393" s="93">
        <v>45919</v>
      </c>
      <c r="BK393" s="93">
        <v>45919</v>
      </c>
      <c r="BL393" s="93">
        <v>45919</v>
      </c>
      <c r="BM393" s="93">
        <v>46641</v>
      </c>
      <c r="BN393" s="14">
        <v>1</v>
      </c>
      <c r="BO393" s="14">
        <v>20000000000</v>
      </c>
      <c r="BP393" s="56">
        <v>100</v>
      </c>
      <c r="BQ393" s="56">
        <v>0</v>
      </c>
      <c r="BR393" s="14">
        <v>20021917808</v>
      </c>
      <c r="BS393">
        <v>4.9807300000000003</v>
      </c>
      <c r="BT393" t="s">
        <v>1184</v>
      </c>
      <c r="BU393" s="25">
        <f>_xlfn.XLOOKUP(Dealps_MSB[[#This Row],[DEAL_ID]],Ref!V:V,Ref!X:X,0,0)</f>
        <v>0</v>
      </c>
      <c r="BV393"/>
    </row>
    <row r="394" spans="1:74" x14ac:dyDescent="0.3">
      <c r="A394" s="93">
        <v>46262</v>
      </c>
      <c r="B394">
        <v>4251</v>
      </c>
      <c r="C394" s="56" t="s">
        <v>963</v>
      </c>
      <c r="D394" t="s">
        <v>308</v>
      </c>
      <c r="E394" t="s">
        <v>1228</v>
      </c>
      <c r="F394" t="s">
        <v>364</v>
      </c>
      <c r="G394" t="s">
        <v>310</v>
      </c>
      <c r="H394" t="s">
        <v>311</v>
      </c>
      <c r="I394" s="93">
        <v>46154</v>
      </c>
      <c r="J394" s="93">
        <v>46154</v>
      </c>
      <c r="K394" s="93">
        <v>46155</v>
      </c>
      <c r="L394" s="93">
        <v>46295</v>
      </c>
      <c r="M394" s="14">
        <v>1</v>
      </c>
      <c r="N394" s="14">
        <v>200000000000</v>
      </c>
      <c r="O394" s="56">
        <v>100.776224556</v>
      </c>
      <c r="P394" s="56">
        <v>0</v>
      </c>
      <c r="Q394" s="14">
        <v>209039572400</v>
      </c>
      <c r="R394">
        <v>3.9</v>
      </c>
      <c r="S394" t="s">
        <v>1184</v>
      </c>
      <c r="T394" s="57">
        <f>IF(Dealps[[#This Row],[MATURITY_DATE]]-Dealps[[#This Row],[POSTED_DT]]&lt;0,0,IF(Dealps[[#This Row],[VALUE_DATE]]-Dealps[[#This Row],[POSTED_DT]]&gt;0,Dealps[[#This Row],[MATURITY_DATE]]-Dealps[[#This Row],[VALUE_DATE]],Dealps[[#This Row],[MATURITY_DATE]]-Dealps[[#This Row],[POSTED_DT]]))</f>
        <v>33</v>
      </c>
      <c r="U394" s="25">
        <f>IF(Dealps[[#This Row],[TENOR]]=0,0,IF(Dealps[[#This Row],[DEAL_TYPE]]="B",Dealps[[#This Row],[FACE_AMOUNT]],-Dealps[[#This Row],[FACE_AMOUNT]]))</f>
        <v>-200000000000</v>
      </c>
      <c r="V394" s="25">
        <f>_xlfn.XLOOKUP(Dealps[[#This Row],[PAPER_CODE]],FNRP!D:D,FNRP!H:H,0,0)/100*Dealps[[#This Row],[AMOUNT]]</f>
        <v>0</v>
      </c>
      <c r="W394" s="57" t="str">
        <f>IF(Dealps[[#This Row],[TRANSACTION_STATUS]]&lt;&gt;"V","Ngoai BS",IF(Dealps[[#This Row],[POSTED_DT]]&gt;=Dealps[[#This Row],[VALUE_DATE]],"On BS","Off BS"))</f>
        <v>On BS</v>
      </c>
      <c r="X394" s="25">
        <f>SUMIFS(U:U,C:C,Dealps[[#This Row],[PAPER_CODE]])</f>
        <v>400000000000</v>
      </c>
      <c r="Y394" s="25">
        <f>_xlfn.XLOOKUP(Dealps[[#This Row],[DEAL_ID]],Ref!N:N,Ref!Q:Q,0,0)</f>
        <v>0</v>
      </c>
      <c r="Z394" s="25" t="str">
        <f>IF(Dealps[[#This Row],[CPTY_CODE]]=Dealps[[#This Row],[CPTY_CODE_ISSUER]],"Yes","No")</f>
        <v>No</v>
      </c>
      <c r="AA394" s="25"/>
      <c r="AC394" s="14"/>
      <c r="AG394" s="96"/>
      <c r="AH394" s="25"/>
      <c r="AI394" s="25"/>
      <c r="AN394" s="14"/>
      <c r="AV394" s="36"/>
      <c r="AW394" s="14"/>
      <c r="AX394" s="234"/>
      <c r="AY394" s="96"/>
      <c r="AZ394" s="14"/>
      <c r="BA394"/>
      <c r="BB394" s="93">
        <v>46262</v>
      </c>
      <c r="BC394">
        <v>2636</v>
      </c>
      <c r="BD394" s="56" t="s">
        <v>1019</v>
      </c>
      <c r="BE394" t="s">
        <v>1011</v>
      </c>
      <c r="BF394" t="s">
        <v>1012</v>
      </c>
      <c r="BG394" t="s">
        <v>364</v>
      </c>
      <c r="BH394" t="s">
        <v>1013</v>
      </c>
      <c r="BI394" t="s">
        <v>311</v>
      </c>
      <c r="BJ394" s="93">
        <v>45922</v>
      </c>
      <c r="BK394" s="93">
        <v>45922</v>
      </c>
      <c r="BL394" s="93">
        <v>45922</v>
      </c>
      <c r="BM394" s="93">
        <v>46606</v>
      </c>
      <c r="BN394" s="14">
        <v>1</v>
      </c>
      <c r="BO394" s="14">
        <v>10000000000</v>
      </c>
      <c r="BP394" s="56">
        <v>100</v>
      </c>
      <c r="BQ394" s="56">
        <v>0</v>
      </c>
      <c r="BR394" s="14">
        <v>10073095890</v>
      </c>
      <c r="BS394">
        <v>5.7411250000000003</v>
      </c>
      <c r="BT394" t="s">
        <v>1184</v>
      </c>
      <c r="BU394" s="25">
        <f>_xlfn.XLOOKUP(Dealps_MSB[[#This Row],[DEAL_ID]],Ref!V:V,Ref!X:X,0,0)</f>
        <v>0</v>
      </c>
      <c r="BV394"/>
    </row>
    <row r="395" spans="1:74" x14ac:dyDescent="0.3">
      <c r="A395" s="93">
        <v>46262</v>
      </c>
      <c r="B395">
        <v>4252</v>
      </c>
      <c r="C395" s="56" t="s">
        <v>1275</v>
      </c>
      <c r="D395" t="s">
        <v>325</v>
      </c>
      <c r="E395" t="s">
        <v>325</v>
      </c>
      <c r="F395" t="s">
        <v>364</v>
      </c>
      <c r="G395" t="s">
        <v>310</v>
      </c>
      <c r="H395" t="s">
        <v>300</v>
      </c>
      <c r="I395" s="93">
        <v>46154</v>
      </c>
      <c r="J395" s="93">
        <v>46155</v>
      </c>
      <c r="K395" s="93">
        <v>46156</v>
      </c>
      <c r="L395" s="93">
        <v>46520</v>
      </c>
      <c r="M395" s="14">
        <v>1</v>
      </c>
      <c r="N395" s="14">
        <v>400000000000</v>
      </c>
      <c r="O395" s="56">
        <v>100</v>
      </c>
      <c r="P395" s="56">
        <v>0</v>
      </c>
      <c r="Q395" s="14">
        <v>400000000000</v>
      </c>
      <c r="R395">
        <v>8.6999999999999993</v>
      </c>
      <c r="S395" t="s">
        <v>1184</v>
      </c>
      <c r="T395" s="57">
        <f>IF(Dealps[[#This Row],[MATURITY_DATE]]-Dealps[[#This Row],[POSTED_DT]]&lt;0,0,IF(Dealps[[#This Row],[VALUE_DATE]]-Dealps[[#This Row],[POSTED_DT]]&gt;0,Dealps[[#This Row],[MATURITY_DATE]]-Dealps[[#This Row],[VALUE_DATE]],Dealps[[#This Row],[MATURITY_DATE]]-Dealps[[#This Row],[POSTED_DT]]))</f>
        <v>258</v>
      </c>
      <c r="U395" s="25">
        <f>IF(Dealps[[#This Row],[TENOR]]=0,0,IF(Dealps[[#This Row],[DEAL_TYPE]]="B",Dealps[[#This Row],[FACE_AMOUNT]],-Dealps[[#This Row],[FACE_AMOUNT]]))</f>
        <v>400000000000</v>
      </c>
      <c r="V395" s="25">
        <f>_xlfn.XLOOKUP(Dealps[[#This Row],[PAPER_CODE]],FNRP!D:D,FNRP!H:H,0,0)/100*Dealps[[#This Row],[AMOUNT]]</f>
        <v>0</v>
      </c>
      <c r="W395" s="57" t="str">
        <f>IF(Dealps[[#This Row],[TRANSACTION_STATUS]]&lt;&gt;"V","Ngoai BS",IF(Dealps[[#This Row],[POSTED_DT]]&gt;=Dealps[[#This Row],[VALUE_DATE]],"On BS","Off BS"))</f>
        <v>On BS</v>
      </c>
      <c r="X395" s="25">
        <f>SUMIFS(U:U,C:C,Dealps[[#This Row],[PAPER_CODE]])</f>
        <v>800000000000</v>
      </c>
      <c r="Y395" s="25">
        <f>_xlfn.XLOOKUP(Dealps[[#This Row],[DEAL_ID]],Ref!N:N,Ref!Q:Q,0,0)</f>
        <v>0</v>
      </c>
      <c r="Z395" s="25" t="str">
        <f>IF(Dealps[[#This Row],[CPTY_CODE]]=Dealps[[#This Row],[CPTY_CODE_ISSUER]],"Yes","No")</f>
        <v>Yes</v>
      </c>
      <c r="AA395" s="25"/>
      <c r="AC395" s="14"/>
      <c r="AG395" s="96"/>
      <c r="AH395" s="25"/>
      <c r="AI395" s="25"/>
      <c r="AN395" s="14"/>
      <c r="AV395" s="36"/>
      <c r="AW395" s="14"/>
      <c r="AX395" s="234"/>
      <c r="AY395" s="96"/>
      <c r="AZ395" s="14"/>
      <c r="BA395"/>
      <c r="BB395" s="93">
        <v>46262</v>
      </c>
      <c r="BC395">
        <v>2637</v>
      </c>
      <c r="BD395" s="56" t="s">
        <v>1019</v>
      </c>
      <c r="BE395" t="s">
        <v>1011</v>
      </c>
      <c r="BF395" t="s">
        <v>1012</v>
      </c>
      <c r="BG395" t="s">
        <v>364</v>
      </c>
      <c r="BH395" t="s">
        <v>1013</v>
      </c>
      <c r="BI395" t="s">
        <v>311</v>
      </c>
      <c r="BJ395" s="93">
        <v>45922</v>
      </c>
      <c r="BK395" s="93">
        <v>45922</v>
      </c>
      <c r="BL395" s="93">
        <v>45922</v>
      </c>
      <c r="BM395" s="93">
        <v>46606</v>
      </c>
      <c r="BN395" s="14">
        <v>1</v>
      </c>
      <c r="BO395" s="14">
        <v>10000000000</v>
      </c>
      <c r="BP395" s="56">
        <v>100</v>
      </c>
      <c r="BQ395" s="56">
        <v>0</v>
      </c>
      <c r="BR395" s="14">
        <v>10073095890</v>
      </c>
      <c r="BS395">
        <v>5.7411250000000003</v>
      </c>
      <c r="BT395" t="s">
        <v>1184</v>
      </c>
      <c r="BU395" s="25">
        <f>_xlfn.XLOOKUP(Dealps_MSB[[#This Row],[DEAL_ID]],Ref!V:V,Ref!X:X,0,0)</f>
        <v>0</v>
      </c>
      <c r="BV395"/>
    </row>
    <row r="396" spans="1:74" x14ac:dyDescent="0.3">
      <c r="A396" s="93">
        <v>46262</v>
      </c>
      <c r="B396">
        <v>4253</v>
      </c>
      <c r="C396" s="56" t="s">
        <v>1275</v>
      </c>
      <c r="D396" t="s">
        <v>325</v>
      </c>
      <c r="E396" t="s">
        <v>325</v>
      </c>
      <c r="F396" t="s">
        <v>364</v>
      </c>
      <c r="G396" t="s">
        <v>310</v>
      </c>
      <c r="H396" t="s">
        <v>300</v>
      </c>
      <c r="I396" s="93">
        <v>46154</v>
      </c>
      <c r="J396" s="93">
        <v>46155</v>
      </c>
      <c r="K396" s="93">
        <v>46156</v>
      </c>
      <c r="L396" s="93">
        <v>46520</v>
      </c>
      <c r="M396" s="14">
        <v>1</v>
      </c>
      <c r="N396" s="14">
        <v>400000000000</v>
      </c>
      <c r="O396" s="56">
        <v>100</v>
      </c>
      <c r="P396" s="56">
        <v>0</v>
      </c>
      <c r="Q396" s="14">
        <v>400000000000</v>
      </c>
      <c r="R396">
        <v>8.6999999999999993</v>
      </c>
      <c r="S396" t="s">
        <v>1184</v>
      </c>
      <c r="T396" s="57">
        <f>IF(Dealps[[#This Row],[MATURITY_DATE]]-Dealps[[#This Row],[POSTED_DT]]&lt;0,0,IF(Dealps[[#This Row],[VALUE_DATE]]-Dealps[[#This Row],[POSTED_DT]]&gt;0,Dealps[[#This Row],[MATURITY_DATE]]-Dealps[[#This Row],[VALUE_DATE]],Dealps[[#This Row],[MATURITY_DATE]]-Dealps[[#This Row],[POSTED_DT]]))</f>
        <v>258</v>
      </c>
      <c r="U396" s="25">
        <f>IF(Dealps[[#This Row],[TENOR]]=0,0,IF(Dealps[[#This Row],[DEAL_TYPE]]="B",Dealps[[#This Row],[FACE_AMOUNT]],-Dealps[[#This Row],[FACE_AMOUNT]]))</f>
        <v>400000000000</v>
      </c>
      <c r="V396" s="25">
        <f>_xlfn.XLOOKUP(Dealps[[#This Row],[PAPER_CODE]],FNRP!D:D,FNRP!H:H,0,0)/100*Dealps[[#This Row],[AMOUNT]]</f>
        <v>0</v>
      </c>
      <c r="W396" s="57" t="str">
        <f>IF(Dealps[[#This Row],[TRANSACTION_STATUS]]&lt;&gt;"V","Ngoai BS",IF(Dealps[[#This Row],[POSTED_DT]]&gt;=Dealps[[#This Row],[VALUE_DATE]],"On BS","Off BS"))</f>
        <v>On BS</v>
      </c>
      <c r="X396" s="25">
        <f>SUMIFS(U:U,C:C,Dealps[[#This Row],[PAPER_CODE]])</f>
        <v>800000000000</v>
      </c>
      <c r="Y396" s="25">
        <f>_xlfn.XLOOKUP(Dealps[[#This Row],[DEAL_ID]],Ref!N:N,Ref!Q:Q,0,0)</f>
        <v>0</v>
      </c>
      <c r="Z396" s="25" t="str">
        <f>IF(Dealps[[#This Row],[CPTY_CODE]]=Dealps[[#This Row],[CPTY_CODE_ISSUER]],"Yes","No")</f>
        <v>Yes</v>
      </c>
      <c r="AA396" s="25"/>
      <c r="AC396" s="14"/>
      <c r="AG396" s="96"/>
      <c r="AH396" s="25"/>
      <c r="AI396" s="25"/>
      <c r="AN396" s="14"/>
      <c r="AV396" s="36"/>
      <c r="AW396" s="14"/>
      <c r="AX396" s="234"/>
      <c r="AY396" s="96"/>
      <c r="AZ396" s="14"/>
      <c r="BA396"/>
      <c r="BB396" s="93">
        <v>46262</v>
      </c>
      <c r="BC396">
        <v>2638</v>
      </c>
      <c r="BD396" s="56" t="s">
        <v>1020</v>
      </c>
      <c r="BE396" t="s">
        <v>1011</v>
      </c>
      <c r="BF396" t="s">
        <v>1012</v>
      </c>
      <c r="BG396" t="s">
        <v>364</v>
      </c>
      <c r="BH396" t="s">
        <v>1013</v>
      </c>
      <c r="BI396" t="s">
        <v>311</v>
      </c>
      <c r="BJ396" s="93">
        <v>45922</v>
      </c>
      <c r="BK396" s="93">
        <v>45922</v>
      </c>
      <c r="BL396" s="93">
        <v>45922</v>
      </c>
      <c r="BM396" s="93">
        <v>46641</v>
      </c>
      <c r="BN396" s="14">
        <v>1</v>
      </c>
      <c r="BO396" s="14">
        <v>20000000000</v>
      </c>
      <c r="BP396" s="56">
        <v>100</v>
      </c>
      <c r="BQ396" s="56">
        <v>0</v>
      </c>
      <c r="BR396" s="14">
        <v>20030136986</v>
      </c>
      <c r="BS396">
        <v>4.9786279999999996</v>
      </c>
      <c r="BT396" t="s">
        <v>1184</v>
      </c>
      <c r="BU396" s="25">
        <f>_xlfn.XLOOKUP(Dealps_MSB[[#This Row],[DEAL_ID]],Ref!V:V,Ref!X:X,0,0)</f>
        <v>0</v>
      </c>
      <c r="BV396"/>
    </row>
    <row r="397" spans="1:74" x14ac:dyDescent="0.3">
      <c r="A397" s="93">
        <v>46262</v>
      </c>
      <c r="B397">
        <v>49767</v>
      </c>
      <c r="C397" s="56" t="s">
        <v>1274</v>
      </c>
      <c r="D397" t="s">
        <v>318</v>
      </c>
      <c r="E397" t="s">
        <v>318</v>
      </c>
      <c r="F397" t="s">
        <v>35</v>
      </c>
      <c r="G397" t="s">
        <v>310</v>
      </c>
      <c r="H397" t="s">
        <v>300</v>
      </c>
      <c r="I397" s="93">
        <v>46154</v>
      </c>
      <c r="J397" s="93">
        <v>46154</v>
      </c>
      <c r="K397" s="93">
        <v>46155</v>
      </c>
      <c r="L397" s="93">
        <v>46520</v>
      </c>
      <c r="M397" s="14">
        <v>500</v>
      </c>
      <c r="N397" s="14">
        <v>500000000000</v>
      </c>
      <c r="O397" s="56">
        <v>100</v>
      </c>
      <c r="P397" s="56">
        <v>0</v>
      </c>
      <c r="Q397" s="14">
        <v>500000000000</v>
      </c>
      <c r="R397">
        <v>8.4</v>
      </c>
      <c r="S397" t="s">
        <v>1184</v>
      </c>
      <c r="T397" s="57">
        <f>IF(Dealps[[#This Row],[MATURITY_DATE]]-Dealps[[#This Row],[POSTED_DT]]&lt;0,0,IF(Dealps[[#This Row],[VALUE_DATE]]-Dealps[[#This Row],[POSTED_DT]]&gt;0,Dealps[[#This Row],[MATURITY_DATE]]-Dealps[[#This Row],[VALUE_DATE]],Dealps[[#This Row],[MATURITY_DATE]]-Dealps[[#This Row],[POSTED_DT]]))</f>
        <v>258</v>
      </c>
      <c r="U397" s="25">
        <f>IF(Dealps[[#This Row],[TENOR]]=0,0,IF(Dealps[[#This Row],[DEAL_TYPE]]="B",Dealps[[#This Row],[FACE_AMOUNT]],-Dealps[[#This Row],[FACE_AMOUNT]]))</f>
        <v>500000000000</v>
      </c>
      <c r="V397" s="25">
        <f>_xlfn.XLOOKUP(Dealps[[#This Row],[PAPER_CODE]],FNRP!D:D,FNRP!H:H,0,0)/100*Dealps[[#This Row],[AMOUNT]]</f>
        <v>28443756035</v>
      </c>
      <c r="W397" s="57" t="str">
        <f>IF(Dealps[[#This Row],[TRANSACTION_STATUS]]&lt;&gt;"V","Ngoai BS",IF(Dealps[[#This Row],[POSTED_DT]]&gt;=Dealps[[#This Row],[VALUE_DATE]],"On BS","Off BS"))</f>
        <v>On BS</v>
      </c>
      <c r="X397" s="25">
        <f>SUMIFS(U:U,C:C,Dealps[[#This Row],[PAPER_CODE]])</f>
        <v>1000000000000</v>
      </c>
      <c r="Y397" s="25">
        <f>_xlfn.XLOOKUP(Dealps[[#This Row],[DEAL_ID]],Ref!N:N,Ref!Q:Q,0,0)</f>
        <v>0</v>
      </c>
      <c r="Z397" s="25" t="str">
        <f>IF(Dealps[[#This Row],[CPTY_CODE]]=Dealps[[#This Row],[CPTY_CODE_ISSUER]],"Yes","No")</f>
        <v>Yes</v>
      </c>
      <c r="AA397" s="25"/>
      <c r="AC397" s="14"/>
      <c r="AG397" s="96"/>
      <c r="AH397" s="25"/>
      <c r="AI397" s="25"/>
      <c r="AN397" s="14"/>
      <c r="AV397" s="36"/>
      <c r="AW397" s="14"/>
      <c r="AX397" s="234"/>
      <c r="AY397" s="96"/>
      <c r="AZ397" s="14"/>
      <c r="BA397"/>
      <c r="BB397" s="93">
        <v>46262</v>
      </c>
      <c r="BC397">
        <v>2639</v>
      </c>
      <c r="BD397" s="56" t="s">
        <v>1020</v>
      </c>
      <c r="BE397" t="s">
        <v>1011</v>
      </c>
      <c r="BF397" t="s">
        <v>1012</v>
      </c>
      <c r="BG397" t="s">
        <v>364</v>
      </c>
      <c r="BH397" t="s">
        <v>1013</v>
      </c>
      <c r="BI397" t="s">
        <v>311</v>
      </c>
      <c r="BJ397" s="93">
        <v>45922</v>
      </c>
      <c r="BK397" s="93">
        <v>45922</v>
      </c>
      <c r="BL397" s="93">
        <v>45922</v>
      </c>
      <c r="BM397" s="93">
        <v>46641</v>
      </c>
      <c r="BN397" s="14">
        <v>1</v>
      </c>
      <c r="BO397" s="14">
        <v>20000000000</v>
      </c>
      <c r="BP397" s="56">
        <v>100</v>
      </c>
      <c r="BQ397" s="56">
        <v>0</v>
      </c>
      <c r="BR397" s="14">
        <v>20030136986</v>
      </c>
      <c r="BS397">
        <v>4.9786279999999996</v>
      </c>
      <c r="BT397" t="s">
        <v>1184</v>
      </c>
      <c r="BU397" s="25">
        <f>_xlfn.XLOOKUP(Dealps_MSB[[#This Row],[DEAL_ID]],Ref!V:V,Ref!X:X,0,0)</f>
        <v>0</v>
      </c>
      <c r="BV397"/>
    </row>
    <row r="398" spans="1:74" x14ac:dyDescent="0.3">
      <c r="A398" s="93">
        <v>46262</v>
      </c>
      <c r="B398">
        <v>49768</v>
      </c>
      <c r="C398" s="56" t="s">
        <v>1274</v>
      </c>
      <c r="D398" t="s">
        <v>318</v>
      </c>
      <c r="E398" t="s">
        <v>318</v>
      </c>
      <c r="F398" t="s">
        <v>35</v>
      </c>
      <c r="G398" t="s">
        <v>310</v>
      </c>
      <c r="H398" t="s">
        <v>300</v>
      </c>
      <c r="I398" s="93">
        <v>46154</v>
      </c>
      <c r="J398" s="93">
        <v>46154</v>
      </c>
      <c r="K398" s="93">
        <v>46155</v>
      </c>
      <c r="L398" s="93">
        <v>46520</v>
      </c>
      <c r="M398" s="14">
        <v>500</v>
      </c>
      <c r="N398" s="14">
        <v>500000000000</v>
      </c>
      <c r="O398" s="56">
        <v>100</v>
      </c>
      <c r="P398" s="56">
        <v>0</v>
      </c>
      <c r="Q398" s="14">
        <v>500000000000</v>
      </c>
      <c r="R398">
        <v>8.4</v>
      </c>
      <c r="S398" t="s">
        <v>1184</v>
      </c>
      <c r="T398" s="57">
        <f>IF(Dealps[[#This Row],[MATURITY_DATE]]-Dealps[[#This Row],[POSTED_DT]]&lt;0,0,IF(Dealps[[#This Row],[VALUE_DATE]]-Dealps[[#This Row],[POSTED_DT]]&gt;0,Dealps[[#This Row],[MATURITY_DATE]]-Dealps[[#This Row],[VALUE_DATE]],Dealps[[#This Row],[MATURITY_DATE]]-Dealps[[#This Row],[POSTED_DT]]))</f>
        <v>258</v>
      </c>
      <c r="U398" s="25">
        <f>IF(Dealps[[#This Row],[TENOR]]=0,0,IF(Dealps[[#This Row],[DEAL_TYPE]]="B",Dealps[[#This Row],[FACE_AMOUNT]],-Dealps[[#This Row],[FACE_AMOUNT]]))</f>
        <v>500000000000</v>
      </c>
      <c r="V398" s="25">
        <f>_xlfn.XLOOKUP(Dealps[[#This Row],[PAPER_CODE]],FNRP!D:D,FNRP!H:H,0,0)/100*Dealps[[#This Row],[AMOUNT]]</f>
        <v>28443756035</v>
      </c>
      <c r="W398" s="57" t="str">
        <f>IF(Dealps[[#This Row],[TRANSACTION_STATUS]]&lt;&gt;"V","Ngoai BS",IF(Dealps[[#This Row],[POSTED_DT]]&gt;=Dealps[[#This Row],[VALUE_DATE]],"On BS","Off BS"))</f>
        <v>On BS</v>
      </c>
      <c r="X398" s="25">
        <f>SUMIFS(U:U,C:C,Dealps[[#This Row],[PAPER_CODE]])</f>
        <v>1000000000000</v>
      </c>
      <c r="Y398" s="25">
        <f>_xlfn.XLOOKUP(Dealps[[#This Row],[DEAL_ID]],Ref!N:N,Ref!Q:Q,0,0)</f>
        <v>0</v>
      </c>
      <c r="Z398" s="25" t="str">
        <f>IF(Dealps[[#This Row],[CPTY_CODE]]=Dealps[[#This Row],[CPTY_CODE_ISSUER]],"Yes","No")</f>
        <v>Yes</v>
      </c>
      <c r="AA398" s="25"/>
      <c r="AC398" s="14"/>
      <c r="AG398" s="96"/>
      <c r="AH398" s="25"/>
      <c r="AI398" s="25"/>
      <c r="AN398" s="14"/>
      <c r="AV398" s="36"/>
      <c r="AW398" s="14"/>
      <c r="AX398" s="234"/>
      <c r="AY398" s="96"/>
      <c r="AZ398" s="14"/>
      <c r="BA398"/>
      <c r="BB398" s="93">
        <v>46262</v>
      </c>
      <c r="BC398">
        <v>2640</v>
      </c>
      <c r="BD398" s="56" t="s">
        <v>1020</v>
      </c>
      <c r="BE398" t="s">
        <v>1011</v>
      </c>
      <c r="BF398" t="s">
        <v>1012</v>
      </c>
      <c r="BG398" t="s">
        <v>364</v>
      </c>
      <c r="BH398" t="s">
        <v>1013</v>
      </c>
      <c r="BI398" t="s">
        <v>311</v>
      </c>
      <c r="BJ398" s="93">
        <v>45922</v>
      </c>
      <c r="BK398" s="93">
        <v>45922</v>
      </c>
      <c r="BL398" s="93">
        <v>45922</v>
      </c>
      <c r="BM398" s="93">
        <v>46641</v>
      </c>
      <c r="BN398" s="14">
        <v>1</v>
      </c>
      <c r="BO398" s="14">
        <v>20000000000</v>
      </c>
      <c r="BP398" s="56">
        <v>100</v>
      </c>
      <c r="BQ398" s="56">
        <v>0</v>
      </c>
      <c r="BR398" s="14">
        <v>20030136986</v>
      </c>
      <c r="BS398">
        <v>4.9786279999999996</v>
      </c>
      <c r="BT398" t="s">
        <v>1184</v>
      </c>
      <c r="BU398" s="25">
        <f>_xlfn.XLOOKUP(Dealps_MSB[[#This Row],[DEAL_ID]],Ref!V:V,Ref!X:X,0,0)</f>
        <v>0</v>
      </c>
      <c r="BV398"/>
    </row>
    <row r="399" spans="1:74" x14ac:dyDescent="0.3">
      <c r="A399" s="93">
        <v>46262</v>
      </c>
      <c r="B399">
        <v>4260</v>
      </c>
      <c r="C399" s="56" t="s">
        <v>1159</v>
      </c>
      <c r="D399" t="s">
        <v>334</v>
      </c>
      <c r="E399" t="s">
        <v>335</v>
      </c>
      <c r="F399" t="s">
        <v>364</v>
      </c>
      <c r="G399" t="s">
        <v>310</v>
      </c>
      <c r="H399" t="s">
        <v>311</v>
      </c>
      <c r="I399" s="93">
        <v>46156</v>
      </c>
      <c r="J399" s="93">
        <v>46156</v>
      </c>
      <c r="K399" s="93">
        <v>46157</v>
      </c>
      <c r="L399" s="93">
        <v>46412</v>
      </c>
      <c r="M399" s="14">
        <v>1</v>
      </c>
      <c r="N399" s="14">
        <v>600000000000</v>
      </c>
      <c r="O399" s="56">
        <v>99.888487472999998</v>
      </c>
      <c r="P399" s="56">
        <v>0</v>
      </c>
      <c r="Q399" s="14">
        <v>612769281000</v>
      </c>
      <c r="R399">
        <v>7.5</v>
      </c>
      <c r="S399" t="s">
        <v>1184</v>
      </c>
      <c r="T399" s="57">
        <f>IF(Dealps[[#This Row],[MATURITY_DATE]]-Dealps[[#This Row],[POSTED_DT]]&lt;0,0,IF(Dealps[[#This Row],[VALUE_DATE]]-Dealps[[#This Row],[POSTED_DT]]&gt;0,Dealps[[#This Row],[MATURITY_DATE]]-Dealps[[#This Row],[VALUE_DATE]],Dealps[[#This Row],[MATURITY_DATE]]-Dealps[[#This Row],[POSTED_DT]]))</f>
        <v>150</v>
      </c>
      <c r="U399" s="25">
        <f>IF(Dealps[[#This Row],[TENOR]]=0,0,IF(Dealps[[#This Row],[DEAL_TYPE]]="B",Dealps[[#This Row],[FACE_AMOUNT]],-Dealps[[#This Row],[FACE_AMOUNT]]))</f>
        <v>-600000000000</v>
      </c>
      <c r="V399" s="25">
        <f>_xlfn.XLOOKUP(Dealps[[#This Row],[PAPER_CODE]],FNRP!D:D,FNRP!H:H,0,0)/100*Dealps[[#This Row],[AMOUNT]]</f>
        <v>0</v>
      </c>
      <c r="W399" s="57" t="str">
        <f>IF(Dealps[[#This Row],[TRANSACTION_STATUS]]&lt;&gt;"V","Ngoai BS",IF(Dealps[[#This Row],[POSTED_DT]]&gt;=Dealps[[#This Row],[VALUE_DATE]],"On BS","Off BS"))</f>
        <v>On BS</v>
      </c>
      <c r="X399" s="25">
        <f>SUMIFS(U:U,C:C,Dealps[[#This Row],[PAPER_CODE]])</f>
        <v>1000000000000</v>
      </c>
      <c r="Y399" s="25">
        <f>_xlfn.XLOOKUP(Dealps[[#This Row],[DEAL_ID]],Ref!N:N,Ref!Q:Q,0,0)</f>
        <v>0</v>
      </c>
      <c r="Z399" s="25" t="str">
        <f>IF(Dealps[[#This Row],[CPTY_CODE]]=Dealps[[#This Row],[CPTY_CODE_ISSUER]],"Yes","No")</f>
        <v>No</v>
      </c>
      <c r="AA399" s="25"/>
      <c r="AC399" s="14"/>
      <c r="AG399" s="96"/>
      <c r="AH399" s="25"/>
      <c r="AI399" s="25"/>
      <c r="AN399" s="14"/>
      <c r="AV399" s="36"/>
      <c r="AW399" s="14"/>
      <c r="AX399" s="234"/>
      <c r="AY399" s="96"/>
      <c r="AZ399" s="14"/>
      <c r="BA399"/>
      <c r="BB399" s="93">
        <v>46262</v>
      </c>
      <c r="BC399">
        <v>2641</v>
      </c>
      <c r="BD399" s="56" t="s">
        <v>1020</v>
      </c>
      <c r="BE399" t="s">
        <v>1011</v>
      </c>
      <c r="BF399" t="s">
        <v>1012</v>
      </c>
      <c r="BG399" t="s">
        <v>364</v>
      </c>
      <c r="BH399" t="s">
        <v>1013</v>
      </c>
      <c r="BI399" t="s">
        <v>311</v>
      </c>
      <c r="BJ399" s="93">
        <v>45922</v>
      </c>
      <c r="BK399" s="93">
        <v>45922</v>
      </c>
      <c r="BL399" s="93">
        <v>45922</v>
      </c>
      <c r="BM399" s="93">
        <v>46641</v>
      </c>
      <c r="BN399" s="14">
        <v>1</v>
      </c>
      <c r="BO399" s="14">
        <v>20000000000</v>
      </c>
      <c r="BP399" s="56">
        <v>100</v>
      </c>
      <c r="BQ399" s="56">
        <v>0</v>
      </c>
      <c r="BR399" s="14">
        <v>20030136986</v>
      </c>
      <c r="BS399">
        <v>4.9786279999999996</v>
      </c>
      <c r="BT399" t="s">
        <v>1184</v>
      </c>
      <c r="BU399" s="25">
        <f>_xlfn.XLOOKUP(Dealps_MSB[[#This Row],[DEAL_ID]],Ref!V:V,Ref!X:X,0,0)</f>
        <v>0</v>
      </c>
      <c r="BV399"/>
    </row>
    <row r="400" spans="1:74" x14ac:dyDescent="0.3">
      <c r="A400" s="93">
        <v>46262</v>
      </c>
      <c r="B400">
        <v>4261</v>
      </c>
      <c r="C400" s="56" t="s">
        <v>1004</v>
      </c>
      <c r="D400" t="s">
        <v>324</v>
      </c>
      <c r="E400" t="s">
        <v>315</v>
      </c>
      <c r="F400" t="s">
        <v>364</v>
      </c>
      <c r="G400" t="s">
        <v>310</v>
      </c>
      <c r="H400" t="s">
        <v>311</v>
      </c>
      <c r="I400" s="93">
        <v>46156</v>
      </c>
      <c r="J400" s="93">
        <v>46156</v>
      </c>
      <c r="K400" s="93">
        <v>46157</v>
      </c>
      <c r="L400" s="93">
        <v>46323</v>
      </c>
      <c r="M400" s="14">
        <v>1</v>
      </c>
      <c r="N400" s="14">
        <v>500000000000</v>
      </c>
      <c r="O400" s="56">
        <v>99.586023753000006</v>
      </c>
      <c r="P400" s="56">
        <v>0</v>
      </c>
      <c r="Q400" s="14">
        <v>515017790000</v>
      </c>
      <c r="R400">
        <v>7</v>
      </c>
      <c r="S400" t="s">
        <v>1184</v>
      </c>
      <c r="T400" s="57">
        <f>IF(Dealps[[#This Row],[MATURITY_DATE]]-Dealps[[#This Row],[POSTED_DT]]&lt;0,0,IF(Dealps[[#This Row],[VALUE_DATE]]-Dealps[[#This Row],[POSTED_DT]]&gt;0,Dealps[[#This Row],[MATURITY_DATE]]-Dealps[[#This Row],[VALUE_DATE]],Dealps[[#This Row],[MATURITY_DATE]]-Dealps[[#This Row],[POSTED_DT]]))</f>
        <v>61</v>
      </c>
      <c r="U400" s="25">
        <f>IF(Dealps[[#This Row],[TENOR]]=0,0,IF(Dealps[[#This Row],[DEAL_TYPE]]="B",Dealps[[#This Row],[FACE_AMOUNT]],-Dealps[[#This Row],[FACE_AMOUNT]]))</f>
        <v>-500000000000</v>
      </c>
      <c r="V400" s="25">
        <f>_xlfn.XLOOKUP(Dealps[[#This Row],[PAPER_CODE]],FNRP!D:D,FNRP!H:H,0,0)/100*Dealps[[#This Row],[AMOUNT]]</f>
        <v>0</v>
      </c>
      <c r="W400" s="57" t="str">
        <f>IF(Dealps[[#This Row],[TRANSACTION_STATUS]]&lt;&gt;"V","Ngoai BS",IF(Dealps[[#This Row],[POSTED_DT]]&gt;=Dealps[[#This Row],[VALUE_DATE]],"On BS","Off BS"))</f>
        <v>On BS</v>
      </c>
      <c r="X400" s="25">
        <f>SUMIFS(U:U,C:C,Dealps[[#This Row],[PAPER_CODE]])</f>
        <v>500000000000</v>
      </c>
      <c r="Y400" s="25">
        <f>_xlfn.XLOOKUP(Dealps[[#This Row],[DEAL_ID]],Ref!N:N,Ref!Q:Q,0,0)</f>
        <v>0</v>
      </c>
      <c r="Z400" s="25" t="str">
        <f>IF(Dealps[[#This Row],[CPTY_CODE]]=Dealps[[#This Row],[CPTY_CODE_ISSUER]],"Yes","No")</f>
        <v>No</v>
      </c>
      <c r="AA400" s="25"/>
      <c r="AC400" s="14"/>
      <c r="AG400" s="96"/>
      <c r="AH400" s="25"/>
      <c r="AI400" s="25"/>
      <c r="AN400" s="14"/>
      <c r="AV400" s="36"/>
      <c r="AW400" s="14"/>
      <c r="AX400" s="234"/>
      <c r="AY400" s="96"/>
      <c r="AZ400" s="14"/>
      <c r="BA400"/>
      <c r="BB400" s="93">
        <v>46262</v>
      </c>
      <c r="BC400">
        <v>2645</v>
      </c>
      <c r="BD400" s="56" t="s">
        <v>1019</v>
      </c>
      <c r="BE400" t="s">
        <v>1011</v>
      </c>
      <c r="BF400" t="s">
        <v>1012</v>
      </c>
      <c r="BG400" t="s">
        <v>364</v>
      </c>
      <c r="BH400" t="s">
        <v>1013</v>
      </c>
      <c r="BI400" t="s">
        <v>311</v>
      </c>
      <c r="BJ400" s="93">
        <v>45923</v>
      </c>
      <c r="BK400" s="93">
        <v>45923</v>
      </c>
      <c r="BL400" s="93">
        <v>45923</v>
      </c>
      <c r="BM400" s="93">
        <v>46606</v>
      </c>
      <c r="BN400" s="14">
        <v>1</v>
      </c>
      <c r="BO400" s="14">
        <v>10000000000</v>
      </c>
      <c r="BP400" s="56">
        <v>100</v>
      </c>
      <c r="BQ400" s="56">
        <v>0</v>
      </c>
      <c r="BR400" s="14">
        <v>10074684932</v>
      </c>
      <c r="BS400">
        <v>5.7401949999999999</v>
      </c>
      <c r="BT400" t="s">
        <v>1184</v>
      </c>
      <c r="BU400" s="25">
        <f>_xlfn.XLOOKUP(Dealps_MSB[[#This Row],[DEAL_ID]],Ref!V:V,Ref!X:X,0,0)</f>
        <v>0</v>
      </c>
      <c r="BV400"/>
    </row>
    <row r="401" spans="1:74" x14ac:dyDescent="0.3">
      <c r="A401" s="93">
        <v>46262</v>
      </c>
      <c r="B401">
        <v>4262</v>
      </c>
      <c r="C401" s="56" t="s">
        <v>1071</v>
      </c>
      <c r="D401" t="s">
        <v>328</v>
      </c>
      <c r="E401" t="s">
        <v>315</v>
      </c>
      <c r="F401" t="s">
        <v>364</v>
      </c>
      <c r="G401" t="s">
        <v>310</v>
      </c>
      <c r="H401" t="s">
        <v>311</v>
      </c>
      <c r="I401" s="93">
        <v>46156</v>
      </c>
      <c r="J401" s="93">
        <v>46156</v>
      </c>
      <c r="K401" s="93">
        <v>46157</v>
      </c>
      <c r="L401" s="93">
        <v>46352</v>
      </c>
      <c r="M401" s="14">
        <v>1</v>
      </c>
      <c r="N401" s="14">
        <v>500000000000</v>
      </c>
      <c r="O401" s="56">
        <v>99.683842889000005</v>
      </c>
      <c r="P401" s="56">
        <v>0</v>
      </c>
      <c r="Q401" s="14">
        <v>513698666500</v>
      </c>
      <c r="R401">
        <v>7</v>
      </c>
      <c r="S401" t="s">
        <v>1184</v>
      </c>
      <c r="T401" s="57">
        <f>IF(Dealps[[#This Row],[MATURITY_DATE]]-Dealps[[#This Row],[POSTED_DT]]&lt;0,0,IF(Dealps[[#This Row],[VALUE_DATE]]-Dealps[[#This Row],[POSTED_DT]]&gt;0,Dealps[[#This Row],[MATURITY_DATE]]-Dealps[[#This Row],[VALUE_DATE]],Dealps[[#This Row],[MATURITY_DATE]]-Dealps[[#This Row],[POSTED_DT]]))</f>
        <v>90</v>
      </c>
      <c r="U401" s="25">
        <f>IF(Dealps[[#This Row],[TENOR]]=0,0,IF(Dealps[[#This Row],[DEAL_TYPE]]="B",Dealps[[#This Row],[FACE_AMOUNT]],-Dealps[[#This Row],[FACE_AMOUNT]]))</f>
        <v>-500000000000</v>
      </c>
      <c r="V401" s="25">
        <f>_xlfn.XLOOKUP(Dealps[[#This Row],[PAPER_CODE]],FNRP!D:D,FNRP!H:H,0,0)/100*Dealps[[#This Row],[AMOUNT]]</f>
        <v>0</v>
      </c>
      <c r="W401" s="57" t="str">
        <f>IF(Dealps[[#This Row],[TRANSACTION_STATUS]]&lt;&gt;"V","Ngoai BS",IF(Dealps[[#This Row],[POSTED_DT]]&gt;=Dealps[[#This Row],[VALUE_DATE]],"On BS","Off BS"))</f>
        <v>On BS</v>
      </c>
      <c r="X401" s="25">
        <f>SUMIFS(U:U,C:C,Dealps[[#This Row],[PAPER_CODE]])</f>
        <v>1500000000000</v>
      </c>
      <c r="Y401" s="25">
        <f>_xlfn.XLOOKUP(Dealps[[#This Row],[DEAL_ID]],Ref!N:N,Ref!Q:Q,0,0)</f>
        <v>0</v>
      </c>
      <c r="Z401" s="25" t="str">
        <f>IF(Dealps[[#This Row],[CPTY_CODE]]=Dealps[[#This Row],[CPTY_CODE_ISSUER]],"Yes","No")</f>
        <v>No</v>
      </c>
      <c r="AA401" s="25"/>
      <c r="AC401" s="14"/>
      <c r="AG401" s="96"/>
      <c r="AH401" s="25"/>
      <c r="AI401" s="25"/>
      <c r="AN401" s="14"/>
      <c r="AV401" s="36"/>
      <c r="AW401" s="14"/>
      <c r="AX401" s="234"/>
      <c r="AY401" s="96"/>
      <c r="AZ401" s="14"/>
      <c r="BA401"/>
      <c r="BB401" s="93">
        <v>46262</v>
      </c>
      <c r="BC401">
        <v>2646</v>
      </c>
      <c r="BD401" s="56" t="s">
        <v>1019</v>
      </c>
      <c r="BE401" t="s">
        <v>1011</v>
      </c>
      <c r="BF401" t="s">
        <v>1012</v>
      </c>
      <c r="BG401" t="s">
        <v>364</v>
      </c>
      <c r="BH401" t="s">
        <v>1013</v>
      </c>
      <c r="BI401" t="s">
        <v>311</v>
      </c>
      <c r="BJ401" s="93">
        <v>45923</v>
      </c>
      <c r="BK401" s="93">
        <v>45923</v>
      </c>
      <c r="BL401" s="93">
        <v>45923</v>
      </c>
      <c r="BM401" s="93">
        <v>46606</v>
      </c>
      <c r="BN401" s="14">
        <v>1</v>
      </c>
      <c r="BO401" s="14">
        <v>10000000000</v>
      </c>
      <c r="BP401" s="56">
        <v>100</v>
      </c>
      <c r="BQ401" s="56">
        <v>0</v>
      </c>
      <c r="BR401" s="14">
        <v>10074684932</v>
      </c>
      <c r="BS401">
        <v>5.7401949999999999</v>
      </c>
      <c r="BT401" t="s">
        <v>1184</v>
      </c>
      <c r="BU401" s="25">
        <f>_xlfn.XLOOKUP(Dealps_MSB[[#This Row],[DEAL_ID]],Ref!V:V,Ref!X:X,0,0)</f>
        <v>0</v>
      </c>
      <c r="BV401"/>
    </row>
    <row r="402" spans="1:74" x14ac:dyDescent="0.3">
      <c r="A402" s="93">
        <v>46262</v>
      </c>
      <c r="B402">
        <v>4268</v>
      </c>
      <c r="C402" s="56" t="s">
        <v>1061</v>
      </c>
      <c r="D402" t="s">
        <v>312</v>
      </c>
      <c r="E402" t="s">
        <v>315</v>
      </c>
      <c r="F402" t="s">
        <v>364</v>
      </c>
      <c r="G402" t="s">
        <v>310</v>
      </c>
      <c r="H402" t="s">
        <v>300</v>
      </c>
      <c r="I402" s="93">
        <v>46157</v>
      </c>
      <c r="J402" s="93">
        <v>46157</v>
      </c>
      <c r="K402" s="93">
        <v>46157</v>
      </c>
      <c r="L402" s="93">
        <v>46343</v>
      </c>
      <c r="M402" s="14">
        <v>1</v>
      </c>
      <c r="N402" s="14">
        <v>1000000000000</v>
      </c>
      <c r="O402" s="56">
        <v>99.346091032999993</v>
      </c>
      <c r="P402" s="56">
        <v>0</v>
      </c>
      <c r="Q402" s="14">
        <v>1024184198000</v>
      </c>
      <c r="R402">
        <v>7.4041449999999998</v>
      </c>
      <c r="S402" t="s">
        <v>1184</v>
      </c>
      <c r="T402" s="57">
        <f>IF(Dealps[[#This Row],[MATURITY_DATE]]-Dealps[[#This Row],[POSTED_DT]]&lt;0,0,IF(Dealps[[#This Row],[VALUE_DATE]]-Dealps[[#This Row],[POSTED_DT]]&gt;0,Dealps[[#This Row],[MATURITY_DATE]]-Dealps[[#This Row],[VALUE_DATE]],Dealps[[#This Row],[MATURITY_DATE]]-Dealps[[#This Row],[POSTED_DT]]))</f>
        <v>81</v>
      </c>
      <c r="U402" s="25">
        <f>IF(Dealps[[#This Row],[TENOR]]=0,0,IF(Dealps[[#This Row],[DEAL_TYPE]]="B",Dealps[[#This Row],[FACE_AMOUNT]],-Dealps[[#This Row],[FACE_AMOUNT]]))</f>
        <v>1000000000000</v>
      </c>
      <c r="V402" s="25">
        <f>_xlfn.XLOOKUP(Dealps[[#This Row],[PAPER_CODE]],FNRP!D:D,FNRP!H:H,0,0)/100*Dealps[[#This Row],[AMOUNT]]</f>
        <v>0</v>
      </c>
      <c r="W402" s="57" t="str">
        <f>IF(Dealps[[#This Row],[TRANSACTION_STATUS]]&lt;&gt;"V","Ngoai BS",IF(Dealps[[#This Row],[POSTED_DT]]&gt;=Dealps[[#This Row],[VALUE_DATE]],"On BS","Off BS"))</f>
        <v>On BS</v>
      </c>
      <c r="X402" s="25">
        <f>SUMIFS(U:U,C:C,Dealps[[#This Row],[PAPER_CODE]])</f>
        <v>1500000000000</v>
      </c>
      <c r="Y402" s="25">
        <f>_xlfn.XLOOKUP(Dealps[[#This Row],[DEAL_ID]],Ref!N:N,Ref!Q:Q,0,0)</f>
        <v>0</v>
      </c>
      <c r="Z402" s="25" t="str">
        <f>IF(Dealps[[#This Row],[CPTY_CODE]]=Dealps[[#This Row],[CPTY_CODE_ISSUER]],"Yes","No")</f>
        <v>No</v>
      </c>
      <c r="AA402" s="25"/>
      <c r="AC402" s="14"/>
      <c r="AG402" s="96"/>
      <c r="AH402" s="25"/>
      <c r="AI402" s="25"/>
      <c r="AN402" s="14"/>
      <c r="AV402" s="36"/>
      <c r="AW402" s="14"/>
      <c r="AX402" s="234"/>
      <c r="AY402" s="96"/>
      <c r="AZ402" s="14"/>
      <c r="BA402"/>
      <c r="BB402" s="93">
        <v>46262</v>
      </c>
      <c r="BC402">
        <v>2653</v>
      </c>
      <c r="BD402" s="56" t="s">
        <v>1019</v>
      </c>
      <c r="BE402" t="s">
        <v>1011</v>
      </c>
      <c r="BF402" t="s">
        <v>1012</v>
      </c>
      <c r="BG402" t="s">
        <v>364</v>
      </c>
      <c r="BH402" t="s">
        <v>1013</v>
      </c>
      <c r="BI402" t="s">
        <v>311</v>
      </c>
      <c r="BJ402" s="93">
        <v>45924</v>
      </c>
      <c r="BK402" s="93">
        <v>45924</v>
      </c>
      <c r="BL402" s="93">
        <v>45924</v>
      </c>
      <c r="BM402" s="93">
        <v>46606</v>
      </c>
      <c r="BN402" s="14">
        <v>1</v>
      </c>
      <c r="BO402" s="14">
        <v>10000000000</v>
      </c>
      <c r="BP402" s="56">
        <v>100</v>
      </c>
      <c r="BQ402" s="56">
        <v>0</v>
      </c>
      <c r="BR402" s="14">
        <v>10076273973</v>
      </c>
      <c r="BS402">
        <v>5.7392649999999996</v>
      </c>
      <c r="BT402" t="s">
        <v>1184</v>
      </c>
      <c r="BU402" s="25">
        <f>_xlfn.XLOOKUP(Dealps_MSB[[#This Row],[DEAL_ID]],Ref!V:V,Ref!X:X,0,0)</f>
        <v>0</v>
      </c>
      <c r="BV402"/>
    </row>
    <row r="403" spans="1:74" x14ac:dyDescent="0.3">
      <c r="A403" s="93">
        <v>46262</v>
      </c>
      <c r="B403">
        <v>4270</v>
      </c>
      <c r="C403" s="56" t="s">
        <v>1258</v>
      </c>
      <c r="D403" t="s">
        <v>321</v>
      </c>
      <c r="E403" t="s">
        <v>322</v>
      </c>
      <c r="F403" t="s">
        <v>364</v>
      </c>
      <c r="G403" t="s">
        <v>310</v>
      </c>
      <c r="H403" t="s">
        <v>300</v>
      </c>
      <c r="I403" s="93">
        <v>46160</v>
      </c>
      <c r="J403" s="93">
        <v>46132</v>
      </c>
      <c r="K403" s="93">
        <v>46160</v>
      </c>
      <c r="L403" s="93">
        <v>46485</v>
      </c>
      <c r="M403" s="14">
        <v>1</v>
      </c>
      <c r="N403" s="14">
        <v>1000000000000</v>
      </c>
      <c r="O403" s="56">
        <v>99.955648346999993</v>
      </c>
      <c r="P403" s="56">
        <v>0</v>
      </c>
      <c r="Q403" s="14">
        <v>1007381141000</v>
      </c>
      <c r="R403">
        <v>8.3878979999999999</v>
      </c>
      <c r="S403" t="s">
        <v>1184</v>
      </c>
      <c r="T403" s="57">
        <f>IF(Dealps[[#This Row],[MATURITY_DATE]]-Dealps[[#This Row],[POSTED_DT]]&lt;0,0,IF(Dealps[[#This Row],[VALUE_DATE]]-Dealps[[#This Row],[POSTED_DT]]&gt;0,Dealps[[#This Row],[MATURITY_DATE]]-Dealps[[#This Row],[VALUE_DATE]],Dealps[[#This Row],[MATURITY_DATE]]-Dealps[[#This Row],[POSTED_DT]]))</f>
        <v>223</v>
      </c>
      <c r="U403" s="25">
        <f>IF(Dealps[[#This Row],[TENOR]]=0,0,IF(Dealps[[#This Row],[DEAL_TYPE]]="B",Dealps[[#This Row],[FACE_AMOUNT]],-Dealps[[#This Row],[FACE_AMOUNT]]))</f>
        <v>1000000000000</v>
      </c>
      <c r="V403" s="25">
        <f>_xlfn.XLOOKUP(Dealps[[#This Row],[PAPER_CODE]],FNRP!D:D,FNRP!H:H,0,0)/100*Dealps[[#This Row],[AMOUNT]]</f>
        <v>0</v>
      </c>
      <c r="W403" s="57" t="str">
        <f>IF(Dealps[[#This Row],[TRANSACTION_STATUS]]&lt;&gt;"V","Ngoai BS",IF(Dealps[[#This Row],[POSTED_DT]]&gt;=Dealps[[#This Row],[VALUE_DATE]],"On BS","Off BS"))</f>
        <v>On BS</v>
      </c>
      <c r="X403" s="25">
        <f>SUMIFS(U:U,C:C,Dealps[[#This Row],[PAPER_CODE]])</f>
        <v>2000000000000</v>
      </c>
      <c r="Y403" s="25">
        <f>_xlfn.XLOOKUP(Dealps[[#This Row],[DEAL_ID]],Ref!N:N,Ref!Q:Q,0,0)</f>
        <v>0</v>
      </c>
      <c r="Z403" s="25" t="str">
        <f>IF(Dealps[[#This Row],[CPTY_CODE]]=Dealps[[#This Row],[CPTY_CODE_ISSUER]],"Yes","No")</f>
        <v>No</v>
      </c>
      <c r="AA403" s="25"/>
      <c r="AC403" s="14"/>
      <c r="AG403" s="96"/>
      <c r="AH403" s="25"/>
      <c r="AI403" s="25"/>
      <c r="AN403" s="14"/>
      <c r="AV403" s="36"/>
      <c r="AW403" s="14"/>
      <c r="AX403" s="234"/>
      <c r="AY403" s="96"/>
      <c r="AZ403" s="14"/>
      <c r="BA403"/>
      <c r="BB403" s="93">
        <v>46262</v>
      </c>
      <c r="BC403">
        <v>2654</v>
      </c>
      <c r="BD403" s="56" t="s">
        <v>1019</v>
      </c>
      <c r="BE403" t="s">
        <v>1011</v>
      </c>
      <c r="BF403" t="s">
        <v>1012</v>
      </c>
      <c r="BG403" t="s">
        <v>364</v>
      </c>
      <c r="BH403" t="s">
        <v>1013</v>
      </c>
      <c r="BI403" t="s">
        <v>311</v>
      </c>
      <c r="BJ403" s="93">
        <v>45924</v>
      </c>
      <c r="BK403" s="93">
        <v>45924</v>
      </c>
      <c r="BL403" s="93">
        <v>45924</v>
      </c>
      <c r="BM403" s="93">
        <v>46606</v>
      </c>
      <c r="BN403" s="14">
        <v>1</v>
      </c>
      <c r="BO403" s="14">
        <v>10000000000</v>
      </c>
      <c r="BP403" s="56">
        <v>100</v>
      </c>
      <c r="BQ403" s="56">
        <v>0</v>
      </c>
      <c r="BR403" s="14">
        <v>10076273973</v>
      </c>
      <c r="BS403">
        <v>5.7392649999999996</v>
      </c>
      <c r="BT403" t="s">
        <v>1184</v>
      </c>
      <c r="BU403" s="25">
        <f>_xlfn.XLOOKUP(Dealps_MSB[[#This Row],[DEAL_ID]],Ref!V:V,Ref!X:X,0,0)</f>
        <v>0</v>
      </c>
      <c r="BV403"/>
    </row>
    <row r="404" spans="1:74" x14ac:dyDescent="0.3">
      <c r="A404" s="93">
        <v>46262</v>
      </c>
      <c r="B404">
        <v>4273</v>
      </c>
      <c r="C404" s="56" t="s">
        <v>1158</v>
      </c>
      <c r="D404" t="s">
        <v>327</v>
      </c>
      <c r="E404" t="s">
        <v>315</v>
      </c>
      <c r="F404" t="s">
        <v>364</v>
      </c>
      <c r="G404" t="s">
        <v>310</v>
      </c>
      <c r="H404" t="s">
        <v>300</v>
      </c>
      <c r="I404" s="93">
        <v>46160</v>
      </c>
      <c r="J404" s="93">
        <v>46160</v>
      </c>
      <c r="K404" s="93">
        <v>46160</v>
      </c>
      <c r="L404" s="93">
        <v>46409</v>
      </c>
      <c r="M404" s="14">
        <v>1</v>
      </c>
      <c r="N404" s="14">
        <v>500000000000</v>
      </c>
      <c r="O404" s="56">
        <v>99.745085027000002</v>
      </c>
      <c r="P404" s="56">
        <v>0</v>
      </c>
      <c r="Q404" s="14">
        <v>510067890890.00006</v>
      </c>
      <c r="R404">
        <v>7.4241789999999996</v>
      </c>
      <c r="S404" t="s">
        <v>1184</v>
      </c>
      <c r="T404" s="57">
        <f>IF(Dealps[[#This Row],[MATURITY_DATE]]-Dealps[[#This Row],[POSTED_DT]]&lt;0,0,IF(Dealps[[#This Row],[VALUE_DATE]]-Dealps[[#This Row],[POSTED_DT]]&gt;0,Dealps[[#This Row],[MATURITY_DATE]]-Dealps[[#This Row],[VALUE_DATE]],Dealps[[#This Row],[MATURITY_DATE]]-Dealps[[#This Row],[POSTED_DT]]))</f>
        <v>147</v>
      </c>
      <c r="U404" s="25">
        <f>IF(Dealps[[#This Row],[TENOR]]=0,0,IF(Dealps[[#This Row],[DEAL_TYPE]]="B",Dealps[[#This Row],[FACE_AMOUNT]],-Dealps[[#This Row],[FACE_AMOUNT]]))</f>
        <v>500000000000</v>
      </c>
      <c r="V404" s="25">
        <f>_xlfn.XLOOKUP(Dealps[[#This Row],[PAPER_CODE]],FNRP!D:D,FNRP!H:H,0,0)/100*Dealps[[#This Row],[AMOUNT]]</f>
        <v>0</v>
      </c>
      <c r="W404" s="57" t="str">
        <f>IF(Dealps[[#This Row],[TRANSACTION_STATUS]]&lt;&gt;"V","Ngoai BS",IF(Dealps[[#This Row],[POSTED_DT]]&gt;=Dealps[[#This Row],[VALUE_DATE]],"On BS","Off BS"))</f>
        <v>On BS</v>
      </c>
      <c r="X404" s="25">
        <f>SUMIFS(U:U,C:C,Dealps[[#This Row],[PAPER_CODE]])</f>
        <v>2000000000000</v>
      </c>
      <c r="Y404" s="25">
        <f>_xlfn.XLOOKUP(Dealps[[#This Row],[DEAL_ID]],Ref!N:N,Ref!Q:Q,0,0)</f>
        <v>0</v>
      </c>
      <c r="Z404" s="25" t="str">
        <f>IF(Dealps[[#This Row],[CPTY_CODE]]=Dealps[[#This Row],[CPTY_CODE_ISSUER]],"Yes","No")</f>
        <v>No</v>
      </c>
      <c r="AA404" s="25"/>
      <c r="AC404" s="14"/>
      <c r="AG404" s="96"/>
      <c r="AH404" s="25"/>
      <c r="AI404" s="25"/>
      <c r="AN404" s="14"/>
      <c r="AV404" s="36"/>
      <c r="AW404" s="14"/>
      <c r="AX404" s="234"/>
      <c r="AY404" s="96"/>
      <c r="AZ404" s="14"/>
      <c r="BA404"/>
      <c r="BB404" s="93">
        <v>46262</v>
      </c>
      <c r="BC404">
        <v>2656</v>
      </c>
      <c r="BD404" s="56" t="s">
        <v>1020</v>
      </c>
      <c r="BE404" t="s">
        <v>1011</v>
      </c>
      <c r="BF404" t="s">
        <v>1012</v>
      </c>
      <c r="BG404" t="s">
        <v>364</v>
      </c>
      <c r="BH404" t="s">
        <v>1013</v>
      </c>
      <c r="BI404" t="s">
        <v>311</v>
      </c>
      <c r="BJ404" s="93">
        <v>45924</v>
      </c>
      <c r="BK404" s="93">
        <v>45922</v>
      </c>
      <c r="BL404" s="93">
        <v>45922</v>
      </c>
      <c r="BM404" s="93">
        <v>46641</v>
      </c>
      <c r="BN404" s="14">
        <v>1</v>
      </c>
      <c r="BO404" s="14">
        <v>10000000000</v>
      </c>
      <c r="BP404" s="56">
        <v>100</v>
      </c>
      <c r="BQ404" s="56">
        <v>0</v>
      </c>
      <c r="BR404" s="14">
        <v>10015068493</v>
      </c>
      <c r="BS404">
        <v>4.9786279999999996</v>
      </c>
      <c r="BT404" t="s">
        <v>1184</v>
      </c>
      <c r="BU404" s="25">
        <f>_xlfn.XLOOKUP(Dealps_MSB[[#This Row],[DEAL_ID]],Ref!V:V,Ref!X:X,0,0)</f>
        <v>0</v>
      </c>
      <c r="BV404"/>
    </row>
    <row r="405" spans="1:74" x14ac:dyDescent="0.3">
      <c r="A405" s="93">
        <v>46262</v>
      </c>
      <c r="B405">
        <v>4274</v>
      </c>
      <c r="C405" s="56" t="s">
        <v>1158</v>
      </c>
      <c r="D405" t="s">
        <v>327</v>
      </c>
      <c r="E405" t="s">
        <v>315</v>
      </c>
      <c r="F405" t="s">
        <v>364</v>
      </c>
      <c r="G405" t="s">
        <v>310</v>
      </c>
      <c r="H405" t="s">
        <v>300</v>
      </c>
      <c r="I405" s="93">
        <v>46160</v>
      </c>
      <c r="J405" s="93">
        <v>46160</v>
      </c>
      <c r="K405" s="93">
        <v>46160</v>
      </c>
      <c r="L405" s="93">
        <v>46409</v>
      </c>
      <c r="M405" s="14">
        <v>1</v>
      </c>
      <c r="N405" s="14">
        <v>1000000000000</v>
      </c>
      <c r="O405" s="56">
        <v>99.948751986000005</v>
      </c>
      <c r="P405" s="56">
        <v>0</v>
      </c>
      <c r="Q405" s="14">
        <v>1022172451370</v>
      </c>
      <c r="R405">
        <v>7.1173140000000004</v>
      </c>
      <c r="S405" t="s">
        <v>1184</v>
      </c>
      <c r="T405" s="57">
        <f>IF(Dealps[[#This Row],[MATURITY_DATE]]-Dealps[[#This Row],[POSTED_DT]]&lt;0,0,IF(Dealps[[#This Row],[VALUE_DATE]]-Dealps[[#This Row],[POSTED_DT]]&gt;0,Dealps[[#This Row],[MATURITY_DATE]]-Dealps[[#This Row],[VALUE_DATE]],Dealps[[#This Row],[MATURITY_DATE]]-Dealps[[#This Row],[POSTED_DT]]))</f>
        <v>147</v>
      </c>
      <c r="U405" s="25">
        <f>IF(Dealps[[#This Row],[TENOR]]=0,0,IF(Dealps[[#This Row],[DEAL_TYPE]]="B",Dealps[[#This Row],[FACE_AMOUNT]],-Dealps[[#This Row],[FACE_AMOUNT]]))</f>
        <v>1000000000000</v>
      </c>
      <c r="V405" s="25">
        <f>_xlfn.XLOOKUP(Dealps[[#This Row],[PAPER_CODE]],FNRP!D:D,FNRP!H:H,0,0)/100*Dealps[[#This Row],[AMOUNT]]</f>
        <v>0</v>
      </c>
      <c r="W405" s="57" t="str">
        <f>IF(Dealps[[#This Row],[TRANSACTION_STATUS]]&lt;&gt;"V","Ngoai BS",IF(Dealps[[#This Row],[POSTED_DT]]&gt;=Dealps[[#This Row],[VALUE_DATE]],"On BS","Off BS"))</f>
        <v>On BS</v>
      </c>
      <c r="X405" s="25">
        <f>SUMIFS(U:U,C:C,Dealps[[#This Row],[PAPER_CODE]])</f>
        <v>2000000000000</v>
      </c>
      <c r="Y405" s="25">
        <f>_xlfn.XLOOKUP(Dealps[[#This Row],[DEAL_ID]],Ref!N:N,Ref!Q:Q,0,0)</f>
        <v>0</v>
      </c>
      <c r="Z405" s="25" t="str">
        <f>IF(Dealps[[#This Row],[CPTY_CODE]]=Dealps[[#This Row],[CPTY_CODE_ISSUER]],"Yes","No")</f>
        <v>No</v>
      </c>
      <c r="AA405" s="25"/>
      <c r="AC405" s="14"/>
      <c r="AG405" s="96"/>
      <c r="AH405" s="25"/>
      <c r="AI405" s="25"/>
      <c r="AN405" s="14"/>
      <c r="AV405" s="36"/>
      <c r="AW405" s="14"/>
      <c r="AX405" s="234"/>
      <c r="AY405" s="96"/>
      <c r="AZ405" s="14"/>
      <c r="BA405"/>
      <c r="BB405" s="93">
        <v>46262</v>
      </c>
      <c r="BC405">
        <v>2662</v>
      </c>
      <c r="BD405" s="56" t="s">
        <v>1019</v>
      </c>
      <c r="BE405" t="s">
        <v>1011</v>
      </c>
      <c r="BF405" t="s">
        <v>1012</v>
      </c>
      <c r="BG405" t="s">
        <v>364</v>
      </c>
      <c r="BH405" t="s">
        <v>1013</v>
      </c>
      <c r="BI405" t="s">
        <v>311</v>
      </c>
      <c r="BJ405" s="93">
        <v>45925</v>
      </c>
      <c r="BK405" s="93">
        <v>45925</v>
      </c>
      <c r="BL405" s="93">
        <v>45925</v>
      </c>
      <c r="BM405" s="93">
        <v>46606</v>
      </c>
      <c r="BN405" s="14">
        <v>1</v>
      </c>
      <c r="BO405" s="14">
        <v>10000000000</v>
      </c>
      <c r="BP405" s="56">
        <v>100</v>
      </c>
      <c r="BQ405" s="56">
        <v>0</v>
      </c>
      <c r="BR405" s="14">
        <v>10077863014</v>
      </c>
      <c r="BS405">
        <v>5.7383360000000003</v>
      </c>
      <c r="BT405" t="s">
        <v>1184</v>
      </c>
      <c r="BU405" s="25">
        <f>_xlfn.XLOOKUP(Dealps_MSB[[#This Row],[DEAL_ID]],Ref!V:V,Ref!X:X,0,0)</f>
        <v>0</v>
      </c>
      <c r="BV405"/>
    </row>
    <row r="406" spans="1:74" x14ac:dyDescent="0.3">
      <c r="A406" s="93">
        <v>46262</v>
      </c>
      <c r="B406">
        <v>4275</v>
      </c>
      <c r="C406" s="56" t="s">
        <v>1010</v>
      </c>
      <c r="D406" t="s">
        <v>328</v>
      </c>
      <c r="E406" t="s">
        <v>321</v>
      </c>
      <c r="F406" t="s">
        <v>364</v>
      </c>
      <c r="G406" t="s">
        <v>310</v>
      </c>
      <c r="H406" t="s">
        <v>300</v>
      </c>
      <c r="I406" s="93">
        <v>46160</v>
      </c>
      <c r="J406" s="93">
        <v>46135</v>
      </c>
      <c r="K406" s="93">
        <v>46160</v>
      </c>
      <c r="L406" s="93">
        <v>46329</v>
      </c>
      <c r="M406" s="14">
        <v>1</v>
      </c>
      <c r="N406" s="14">
        <v>800000000000</v>
      </c>
      <c r="O406" s="56">
        <v>99.417323475000003</v>
      </c>
      <c r="P406" s="56">
        <v>0</v>
      </c>
      <c r="Q406" s="14">
        <v>822264615200</v>
      </c>
      <c r="R406">
        <v>7.3537819999999998</v>
      </c>
      <c r="S406" t="s">
        <v>1184</v>
      </c>
      <c r="T406" s="57">
        <f>IF(Dealps[[#This Row],[MATURITY_DATE]]-Dealps[[#This Row],[POSTED_DT]]&lt;0,0,IF(Dealps[[#This Row],[VALUE_DATE]]-Dealps[[#This Row],[POSTED_DT]]&gt;0,Dealps[[#This Row],[MATURITY_DATE]]-Dealps[[#This Row],[VALUE_DATE]],Dealps[[#This Row],[MATURITY_DATE]]-Dealps[[#This Row],[POSTED_DT]]))</f>
        <v>67</v>
      </c>
      <c r="U406" s="25">
        <f>IF(Dealps[[#This Row],[TENOR]]=0,0,IF(Dealps[[#This Row],[DEAL_TYPE]]="B",Dealps[[#This Row],[FACE_AMOUNT]],-Dealps[[#This Row],[FACE_AMOUNT]]))</f>
        <v>800000000000</v>
      </c>
      <c r="V406" s="25">
        <f>_xlfn.XLOOKUP(Dealps[[#This Row],[PAPER_CODE]],FNRP!D:D,FNRP!H:H,0,0)/100*Dealps[[#This Row],[AMOUNT]]</f>
        <v>0</v>
      </c>
      <c r="W406" s="57" t="str">
        <f>IF(Dealps[[#This Row],[TRANSACTION_STATUS]]&lt;&gt;"V","Ngoai BS",IF(Dealps[[#This Row],[POSTED_DT]]&gt;=Dealps[[#This Row],[VALUE_DATE]],"On BS","Off BS"))</f>
        <v>On BS</v>
      </c>
      <c r="X406" s="25">
        <f>SUMIFS(U:U,C:C,Dealps[[#This Row],[PAPER_CODE]])</f>
        <v>2000000000000</v>
      </c>
      <c r="Y406" s="25">
        <f>_xlfn.XLOOKUP(Dealps[[#This Row],[DEAL_ID]],Ref!N:N,Ref!Q:Q,0,0)</f>
        <v>0</v>
      </c>
      <c r="Z406" s="25" t="str">
        <f>IF(Dealps[[#This Row],[CPTY_CODE]]=Dealps[[#This Row],[CPTY_CODE_ISSUER]],"Yes","No")</f>
        <v>No</v>
      </c>
      <c r="AA406" s="25"/>
      <c r="AC406" s="14"/>
      <c r="AG406" s="96"/>
      <c r="AH406" s="25"/>
      <c r="AI406" s="25"/>
      <c r="AN406" s="14"/>
      <c r="AV406" s="36"/>
      <c r="AW406" s="14"/>
      <c r="AX406" s="234"/>
      <c r="AY406" s="96"/>
      <c r="AZ406" s="14"/>
      <c r="BA406"/>
      <c r="BB406" s="93">
        <v>46262</v>
      </c>
      <c r="BC406">
        <v>2666</v>
      </c>
      <c r="BD406" s="56" t="s">
        <v>1019</v>
      </c>
      <c r="BE406" t="s">
        <v>1011</v>
      </c>
      <c r="BF406" t="s">
        <v>1012</v>
      </c>
      <c r="BG406" t="s">
        <v>364</v>
      </c>
      <c r="BH406" t="s">
        <v>1013</v>
      </c>
      <c r="BI406" t="s">
        <v>311</v>
      </c>
      <c r="BJ406" s="93">
        <v>45926</v>
      </c>
      <c r="BK406" s="93">
        <v>45926</v>
      </c>
      <c r="BL406" s="93">
        <v>45926</v>
      </c>
      <c r="BM406" s="93">
        <v>46606</v>
      </c>
      <c r="BN406" s="14">
        <v>1</v>
      </c>
      <c r="BO406" s="14">
        <v>10000000000</v>
      </c>
      <c r="BP406" s="56">
        <v>100</v>
      </c>
      <c r="BQ406" s="56">
        <v>0</v>
      </c>
      <c r="BR406" s="14">
        <v>10079452055</v>
      </c>
      <c r="BS406">
        <v>5.737406</v>
      </c>
      <c r="BT406" t="s">
        <v>1184</v>
      </c>
      <c r="BU406" s="25">
        <f>_xlfn.XLOOKUP(Dealps_MSB[[#This Row],[DEAL_ID]],Ref!V:V,Ref!X:X,0,0)</f>
        <v>0</v>
      </c>
      <c r="BV406"/>
    </row>
    <row r="407" spans="1:74" x14ac:dyDescent="0.3">
      <c r="A407" s="93">
        <v>46262</v>
      </c>
      <c r="B407">
        <v>4276</v>
      </c>
      <c r="C407" s="56" t="s">
        <v>1256</v>
      </c>
      <c r="D407" t="s">
        <v>316</v>
      </c>
      <c r="E407" t="s">
        <v>321</v>
      </c>
      <c r="F407" t="s">
        <v>364</v>
      </c>
      <c r="G407" t="s">
        <v>310</v>
      </c>
      <c r="H407" t="s">
        <v>300</v>
      </c>
      <c r="I407" s="93">
        <v>46160</v>
      </c>
      <c r="J407" s="93">
        <v>46135</v>
      </c>
      <c r="K407" s="93">
        <v>46160</v>
      </c>
      <c r="L407" s="93">
        <v>46486</v>
      </c>
      <c r="M407" s="14">
        <v>1</v>
      </c>
      <c r="N407" s="14">
        <v>200000000000</v>
      </c>
      <c r="O407" s="56">
        <v>101.07097765899999</v>
      </c>
      <c r="P407" s="56">
        <v>0</v>
      </c>
      <c r="Q407" s="14">
        <v>204001133400.00003</v>
      </c>
      <c r="R407">
        <v>7.3537819999999998</v>
      </c>
      <c r="S407" t="s">
        <v>1184</v>
      </c>
      <c r="T407" s="57">
        <f>IF(Dealps[[#This Row],[MATURITY_DATE]]-Dealps[[#This Row],[POSTED_DT]]&lt;0,0,IF(Dealps[[#This Row],[VALUE_DATE]]-Dealps[[#This Row],[POSTED_DT]]&gt;0,Dealps[[#This Row],[MATURITY_DATE]]-Dealps[[#This Row],[VALUE_DATE]],Dealps[[#This Row],[MATURITY_DATE]]-Dealps[[#This Row],[POSTED_DT]]))</f>
        <v>224</v>
      </c>
      <c r="U407" s="25">
        <f>IF(Dealps[[#This Row],[TENOR]]=0,0,IF(Dealps[[#This Row],[DEAL_TYPE]]="B",Dealps[[#This Row],[FACE_AMOUNT]],-Dealps[[#This Row],[FACE_AMOUNT]]))</f>
        <v>200000000000</v>
      </c>
      <c r="V407" s="25">
        <f>_xlfn.XLOOKUP(Dealps[[#This Row],[PAPER_CODE]],FNRP!D:D,FNRP!H:H,0,0)/100*Dealps[[#This Row],[AMOUNT]]</f>
        <v>0</v>
      </c>
      <c r="W407" s="57" t="str">
        <f>IF(Dealps[[#This Row],[TRANSACTION_STATUS]]&lt;&gt;"V","Ngoai BS",IF(Dealps[[#This Row],[POSTED_DT]]&gt;=Dealps[[#This Row],[VALUE_DATE]],"On BS","Off BS"))</f>
        <v>On BS</v>
      </c>
      <c r="X407" s="25">
        <f>SUMIFS(U:U,C:C,Dealps[[#This Row],[PAPER_CODE]])</f>
        <v>200000000000</v>
      </c>
      <c r="Y407" s="25">
        <f>_xlfn.XLOOKUP(Dealps[[#This Row],[DEAL_ID]],Ref!N:N,Ref!Q:Q,0,0)</f>
        <v>0</v>
      </c>
      <c r="Z407" s="25" t="str">
        <f>IF(Dealps[[#This Row],[CPTY_CODE]]=Dealps[[#This Row],[CPTY_CODE_ISSUER]],"Yes","No")</f>
        <v>No</v>
      </c>
      <c r="AA407" s="25"/>
      <c r="AC407" s="14"/>
      <c r="AG407" s="96"/>
      <c r="AH407" s="25"/>
      <c r="AI407" s="25"/>
      <c r="AN407" s="14"/>
      <c r="AV407" s="36"/>
      <c r="AW407" s="14"/>
      <c r="AX407" s="234"/>
      <c r="AY407" s="96"/>
      <c r="AZ407" s="14"/>
      <c r="BA407"/>
      <c r="BB407" s="93">
        <v>46262</v>
      </c>
      <c r="BC407">
        <v>2683</v>
      </c>
      <c r="BD407" s="56" t="s">
        <v>1019</v>
      </c>
      <c r="BE407" t="s">
        <v>1011</v>
      </c>
      <c r="BF407" t="s">
        <v>1012</v>
      </c>
      <c r="BG407" t="s">
        <v>364</v>
      </c>
      <c r="BH407" t="s">
        <v>1013</v>
      </c>
      <c r="BI407" t="s">
        <v>311</v>
      </c>
      <c r="BJ407" s="93">
        <v>45930</v>
      </c>
      <c r="BK407" s="93">
        <v>45930</v>
      </c>
      <c r="BL407" s="93">
        <v>45930</v>
      </c>
      <c r="BM407" s="93">
        <v>46606</v>
      </c>
      <c r="BN407" s="14">
        <v>1</v>
      </c>
      <c r="BO407" s="14">
        <v>10000000000</v>
      </c>
      <c r="BP407" s="56">
        <v>100</v>
      </c>
      <c r="BQ407" s="56">
        <v>0</v>
      </c>
      <c r="BR407" s="14">
        <v>10085808219</v>
      </c>
      <c r="BS407">
        <v>5.7336910000000003</v>
      </c>
      <c r="BT407" t="s">
        <v>1184</v>
      </c>
      <c r="BU407" s="25">
        <f>_xlfn.XLOOKUP(Dealps_MSB[[#This Row],[DEAL_ID]],Ref!V:V,Ref!X:X,0,0)</f>
        <v>0</v>
      </c>
      <c r="BV407"/>
    </row>
    <row r="408" spans="1:74" x14ac:dyDescent="0.3">
      <c r="A408" s="93">
        <v>46262</v>
      </c>
      <c r="B408">
        <v>4279</v>
      </c>
      <c r="C408" s="56" t="s">
        <v>1061</v>
      </c>
      <c r="D408" t="s">
        <v>312</v>
      </c>
      <c r="E408" t="s">
        <v>1144</v>
      </c>
      <c r="F408" t="s">
        <v>364</v>
      </c>
      <c r="G408" t="s">
        <v>310</v>
      </c>
      <c r="H408" t="s">
        <v>311</v>
      </c>
      <c r="I408" s="93">
        <v>46160</v>
      </c>
      <c r="J408" s="93">
        <v>46160</v>
      </c>
      <c r="K408" s="93">
        <v>46162</v>
      </c>
      <c r="L408" s="93">
        <v>46343</v>
      </c>
      <c r="M408" s="14">
        <v>1</v>
      </c>
      <c r="N408" s="14">
        <v>200000000000</v>
      </c>
      <c r="O408" s="56">
        <v>99.558556863000007</v>
      </c>
      <c r="P408" s="56">
        <v>0</v>
      </c>
      <c r="Q408" s="14">
        <v>205434374000</v>
      </c>
      <c r="R408">
        <v>7</v>
      </c>
      <c r="S408" t="s">
        <v>1184</v>
      </c>
      <c r="T408" s="57">
        <f>IF(Dealps[[#This Row],[MATURITY_DATE]]-Dealps[[#This Row],[POSTED_DT]]&lt;0,0,IF(Dealps[[#This Row],[VALUE_DATE]]-Dealps[[#This Row],[POSTED_DT]]&gt;0,Dealps[[#This Row],[MATURITY_DATE]]-Dealps[[#This Row],[VALUE_DATE]],Dealps[[#This Row],[MATURITY_DATE]]-Dealps[[#This Row],[POSTED_DT]]))</f>
        <v>81</v>
      </c>
      <c r="U408" s="25">
        <f>IF(Dealps[[#This Row],[TENOR]]=0,0,IF(Dealps[[#This Row],[DEAL_TYPE]]="B",Dealps[[#This Row],[FACE_AMOUNT]],-Dealps[[#This Row],[FACE_AMOUNT]]))</f>
        <v>-200000000000</v>
      </c>
      <c r="V408" s="25">
        <f>_xlfn.XLOOKUP(Dealps[[#This Row],[PAPER_CODE]],FNRP!D:D,FNRP!H:H,0,0)/100*Dealps[[#This Row],[AMOUNT]]</f>
        <v>0</v>
      </c>
      <c r="W408" s="57" t="str">
        <f>IF(Dealps[[#This Row],[TRANSACTION_STATUS]]&lt;&gt;"V","Ngoai BS",IF(Dealps[[#This Row],[POSTED_DT]]&gt;=Dealps[[#This Row],[VALUE_DATE]],"On BS","Off BS"))</f>
        <v>On BS</v>
      </c>
      <c r="X408" s="25">
        <f>SUMIFS(U:U,C:C,Dealps[[#This Row],[PAPER_CODE]])</f>
        <v>1500000000000</v>
      </c>
      <c r="Y408" s="25">
        <f>_xlfn.XLOOKUP(Dealps[[#This Row],[DEAL_ID]],Ref!N:N,Ref!Q:Q,0,0)</f>
        <v>0</v>
      </c>
      <c r="Z408" s="25" t="str">
        <f>IF(Dealps[[#This Row],[CPTY_CODE]]=Dealps[[#This Row],[CPTY_CODE_ISSUER]],"Yes","No")</f>
        <v>No</v>
      </c>
      <c r="AA408" s="25"/>
      <c r="AC408" s="14"/>
      <c r="AG408" s="96"/>
      <c r="AH408" s="25"/>
      <c r="AI408" s="25"/>
      <c r="AN408" s="14"/>
      <c r="AV408" s="36"/>
      <c r="AW408" s="14"/>
      <c r="AX408" s="234"/>
      <c r="AY408" s="96"/>
      <c r="AZ408" s="14"/>
      <c r="BA408"/>
      <c r="BB408" s="93">
        <v>46262</v>
      </c>
      <c r="BC408">
        <v>2691</v>
      </c>
      <c r="BD408" s="56" t="s">
        <v>1019</v>
      </c>
      <c r="BE408" t="s">
        <v>1011</v>
      </c>
      <c r="BF408" t="s">
        <v>1012</v>
      </c>
      <c r="BG408" t="s">
        <v>364</v>
      </c>
      <c r="BH408" t="s">
        <v>1013</v>
      </c>
      <c r="BI408" t="s">
        <v>311</v>
      </c>
      <c r="BJ408" s="93">
        <v>45931</v>
      </c>
      <c r="BK408" s="93">
        <v>45931</v>
      </c>
      <c r="BL408" s="93">
        <v>45931</v>
      </c>
      <c r="BM408" s="93">
        <v>46606</v>
      </c>
      <c r="BN408" s="14">
        <v>1</v>
      </c>
      <c r="BO408" s="14">
        <v>10000000000</v>
      </c>
      <c r="BP408" s="56">
        <v>100</v>
      </c>
      <c r="BQ408" s="56">
        <v>0</v>
      </c>
      <c r="BR408" s="14">
        <v>10087397260</v>
      </c>
      <c r="BS408">
        <v>5.7327630000000003</v>
      </c>
      <c r="BT408" t="s">
        <v>1184</v>
      </c>
      <c r="BU408" s="25">
        <f>_xlfn.XLOOKUP(Dealps_MSB[[#This Row],[DEAL_ID]],Ref!V:V,Ref!X:X,0,0)</f>
        <v>0</v>
      </c>
      <c r="BV408"/>
    </row>
    <row r="409" spans="1:74" x14ac:dyDescent="0.3">
      <c r="A409" s="93">
        <v>46262</v>
      </c>
      <c r="B409">
        <v>4280</v>
      </c>
      <c r="C409" s="56" t="s">
        <v>1159</v>
      </c>
      <c r="D409" t="s">
        <v>334</v>
      </c>
      <c r="E409" t="s">
        <v>320</v>
      </c>
      <c r="F409" t="s">
        <v>364</v>
      </c>
      <c r="G409" t="s">
        <v>310</v>
      </c>
      <c r="H409" t="s">
        <v>311</v>
      </c>
      <c r="I409" s="93">
        <v>46160</v>
      </c>
      <c r="J409" s="93">
        <v>46160</v>
      </c>
      <c r="K409" s="93">
        <v>46162</v>
      </c>
      <c r="L409" s="93">
        <v>46412</v>
      </c>
      <c r="M409" s="14">
        <v>1</v>
      </c>
      <c r="N409" s="14">
        <v>400000000000</v>
      </c>
      <c r="O409" s="56">
        <v>99.018917146999996</v>
      </c>
      <c r="P409" s="56">
        <v>0</v>
      </c>
      <c r="Q409" s="14">
        <v>405445531600</v>
      </c>
      <c r="R409">
        <v>8.8124099999999999</v>
      </c>
      <c r="S409" t="s">
        <v>1184</v>
      </c>
      <c r="T409" s="57">
        <f>IF(Dealps[[#This Row],[MATURITY_DATE]]-Dealps[[#This Row],[POSTED_DT]]&lt;0,0,IF(Dealps[[#This Row],[VALUE_DATE]]-Dealps[[#This Row],[POSTED_DT]]&gt;0,Dealps[[#This Row],[MATURITY_DATE]]-Dealps[[#This Row],[VALUE_DATE]],Dealps[[#This Row],[MATURITY_DATE]]-Dealps[[#This Row],[POSTED_DT]]))</f>
        <v>150</v>
      </c>
      <c r="U409" s="25">
        <f>IF(Dealps[[#This Row],[TENOR]]=0,0,IF(Dealps[[#This Row],[DEAL_TYPE]]="B",Dealps[[#This Row],[FACE_AMOUNT]],-Dealps[[#This Row],[FACE_AMOUNT]]))</f>
        <v>-400000000000</v>
      </c>
      <c r="V409" s="25">
        <f>_xlfn.XLOOKUP(Dealps[[#This Row],[PAPER_CODE]],FNRP!D:D,FNRP!H:H,0,0)/100*Dealps[[#This Row],[AMOUNT]]</f>
        <v>0</v>
      </c>
      <c r="W409" s="57" t="str">
        <f>IF(Dealps[[#This Row],[TRANSACTION_STATUS]]&lt;&gt;"V","Ngoai BS",IF(Dealps[[#This Row],[POSTED_DT]]&gt;=Dealps[[#This Row],[VALUE_DATE]],"On BS","Off BS"))</f>
        <v>On BS</v>
      </c>
      <c r="X409" s="25">
        <f>SUMIFS(U:U,C:C,Dealps[[#This Row],[PAPER_CODE]])</f>
        <v>1000000000000</v>
      </c>
      <c r="Y409" s="25">
        <f>_xlfn.XLOOKUP(Dealps[[#This Row],[DEAL_ID]],Ref!N:N,Ref!Q:Q,0,0)</f>
        <v>0</v>
      </c>
      <c r="Z409" s="25" t="str">
        <f>IF(Dealps[[#This Row],[CPTY_CODE]]=Dealps[[#This Row],[CPTY_CODE_ISSUER]],"Yes","No")</f>
        <v>No</v>
      </c>
      <c r="AA409" s="25"/>
      <c r="AC409" s="14"/>
      <c r="AG409" s="96"/>
      <c r="AH409" s="25"/>
      <c r="AI409" s="25"/>
      <c r="AN409" s="14"/>
      <c r="AV409" s="36"/>
      <c r="AW409" s="14"/>
      <c r="AX409" s="234"/>
      <c r="AY409" s="96"/>
      <c r="AZ409" s="14"/>
      <c r="BA409"/>
      <c r="BB409" s="93">
        <v>46262</v>
      </c>
      <c r="BC409">
        <v>2716</v>
      </c>
      <c r="BD409" s="56" t="s">
        <v>1018</v>
      </c>
      <c r="BE409" t="s">
        <v>1011</v>
      </c>
      <c r="BF409" t="s">
        <v>1012</v>
      </c>
      <c r="BG409" t="s">
        <v>364</v>
      </c>
      <c r="BH409" t="s">
        <v>1013</v>
      </c>
      <c r="BI409" t="s">
        <v>300</v>
      </c>
      <c r="BJ409" s="93">
        <v>45936</v>
      </c>
      <c r="BK409" s="93">
        <v>45936</v>
      </c>
      <c r="BL409" s="93">
        <v>45936</v>
      </c>
      <c r="BM409" s="93">
        <v>46606</v>
      </c>
      <c r="BN409" s="14">
        <v>1</v>
      </c>
      <c r="BO409" s="14">
        <v>24190100000</v>
      </c>
      <c r="BP409" s="56">
        <v>99.178082192000005</v>
      </c>
      <c r="BQ409" s="56">
        <v>0</v>
      </c>
      <c r="BR409" s="14">
        <v>24190100000</v>
      </c>
      <c r="BS409">
        <v>5.4315480000000003</v>
      </c>
      <c r="BT409" t="s">
        <v>1184</v>
      </c>
      <c r="BU409" s="25">
        <f>_xlfn.XLOOKUP(Dealps_MSB[[#This Row],[DEAL_ID]],Ref!V:V,Ref!X:X,0,0)</f>
        <v>0</v>
      </c>
      <c r="BV409"/>
    </row>
    <row r="410" spans="1:74" x14ac:dyDescent="0.3">
      <c r="A410" s="93">
        <v>46262</v>
      </c>
      <c r="B410">
        <v>4281</v>
      </c>
      <c r="C410" s="56" t="s">
        <v>1061</v>
      </c>
      <c r="D410" t="s">
        <v>312</v>
      </c>
      <c r="E410" t="s">
        <v>322</v>
      </c>
      <c r="F410" t="s">
        <v>364</v>
      </c>
      <c r="G410" t="s">
        <v>310</v>
      </c>
      <c r="H410" t="s">
        <v>311</v>
      </c>
      <c r="I410" s="93">
        <v>46161</v>
      </c>
      <c r="J410" s="93">
        <v>46161</v>
      </c>
      <c r="K410" s="93">
        <v>46162</v>
      </c>
      <c r="L410" s="93">
        <v>46343</v>
      </c>
      <c r="M410" s="14">
        <v>1</v>
      </c>
      <c r="N410" s="14">
        <v>500000000000</v>
      </c>
      <c r="O410" s="56">
        <v>99.509352762999995</v>
      </c>
      <c r="P410" s="56">
        <v>0</v>
      </c>
      <c r="Q410" s="14">
        <v>513339914500</v>
      </c>
      <c r="R410">
        <v>7.1</v>
      </c>
      <c r="S410" t="s">
        <v>1184</v>
      </c>
      <c r="T410" s="57">
        <f>IF(Dealps[[#This Row],[MATURITY_DATE]]-Dealps[[#This Row],[POSTED_DT]]&lt;0,0,IF(Dealps[[#This Row],[VALUE_DATE]]-Dealps[[#This Row],[POSTED_DT]]&gt;0,Dealps[[#This Row],[MATURITY_DATE]]-Dealps[[#This Row],[VALUE_DATE]],Dealps[[#This Row],[MATURITY_DATE]]-Dealps[[#This Row],[POSTED_DT]]))</f>
        <v>81</v>
      </c>
      <c r="U410" s="25">
        <f>IF(Dealps[[#This Row],[TENOR]]=0,0,IF(Dealps[[#This Row],[DEAL_TYPE]]="B",Dealps[[#This Row],[FACE_AMOUNT]],-Dealps[[#This Row],[FACE_AMOUNT]]))</f>
        <v>-500000000000</v>
      </c>
      <c r="V410" s="25">
        <f>_xlfn.XLOOKUP(Dealps[[#This Row],[PAPER_CODE]],FNRP!D:D,FNRP!H:H,0,0)/100*Dealps[[#This Row],[AMOUNT]]</f>
        <v>0</v>
      </c>
      <c r="W410" s="57" t="str">
        <f>IF(Dealps[[#This Row],[TRANSACTION_STATUS]]&lt;&gt;"V","Ngoai BS",IF(Dealps[[#This Row],[POSTED_DT]]&gt;=Dealps[[#This Row],[VALUE_DATE]],"On BS","Off BS"))</f>
        <v>On BS</v>
      </c>
      <c r="X410" s="25">
        <f>SUMIFS(U:U,C:C,Dealps[[#This Row],[PAPER_CODE]])</f>
        <v>1500000000000</v>
      </c>
      <c r="Y410" s="25">
        <f>_xlfn.XLOOKUP(Dealps[[#This Row],[DEAL_ID]],Ref!N:N,Ref!Q:Q,0,0)</f>
        <v>0</v>
      </c>
      <c r="Z410" s="25" t="str">
        <f>IF(Dealps[[#This Row],[CPTY_CODE]]=Dealps[[#This Row],[CPTY_CODE_ISSUER]],"Yes","No")</f>
        <v>No</v>
      </c>
      <c r="AA410" s="25"/>
      <c r="AC410" s="14"/>
      <c r="AG410" s="96"/>
      <c r="AH410" s="25"/>
      <c r="AI410" s="25"/>
      <c r="AN410" s="14"/>
      <c r="AV410" s="36"/>
      <c r="AW410" s="14"/>
      <c r="AX410" s="234"/>
      <c r="AY410" s="96"/>
      <c r="AZ410" s="14"/>
      <c r="BA410"/>
      <c r="BB410" s="93">
        <v>46262</v>
      </c>
      <c r="BC410">
        <v>2717</v>
      </c>
      <c r="BD410" s="56" t="s">
        <v>1020</v>
      </c>
      <c r="BE410" t="s">
        <v>1011</v>
      </c>
      <c r="BF410" t="s">
        <v>1012</v>
      </c>
      <c r="BG410" t="s">
        <v>364</v>
      </c>
      <c r="BH410" t="s">
        <v>1013</v>
      </c>
      <c r="BI410" t="s">
        <v>300</v>
      </c>
      <c r="BJ410" s="93">
        <v>45936</v>
      </c>
      <c r="BK410" s="93">
        <v>45936</v>
      </c>
      <c r="BL410" s="93">
        <v>45936</v>
      </c>
      <c r="BM410" s="93">
        <v>46641</v>
      </c>
      <c r="BN410" s="14">
        <v>1</v>
      </c>
      <c r="BO410" s="14">
        <v>22629800000</v>
      </c>
      <c r="BP410" s="56">
        <v>99.657534247000001</v>
      </c>
      <c r="BQ410" s="56">
        <v>0</v>
      </c>
      <c r="BR410" s="14">
        <v>22629800000</v>
      </c>
      <c r="BS410">
        <v>5.1626589999999997</v>
      </c>
      <c r="BT410" t="s">
        <v>1184</v>
      </c>
      <c r="BU410" s="25">
        <f>_xlfn.XLOOKUP(Dealps_MSB[[#This Row],[DEAL_ID]],Ref!V:V,Ref!X:X,0,0)</f>
        <v>0</v>
      </c>
      <c r="BV410"/>
    </row>
    <row r="411" spans="1:74" x14ac:dyDescent="0.3">
      <c r="A411" s="93">
        <v>46262</v>
      </c>
      <c r="B411">
        <v>4282</v>
      </c>
      <c r="C411" s="56" t="s">
        <v>1158</v>
      </c>
      <c r="D411" t="s">
        <v>327</v>
      </c>
      <c r="E411" t="s">
        <v>315</v>
      </c>
      <c r="F411" t="s">
        <v>364</v>
      </c>
      <c r="G411" t="s">
        <v>310</v>
      </c>
      <c r="H411" t="s">
        <v>311</v>
      </c>
      <c r="I411" s="93">
        <v>46161</v>
      </c>
      <c r="J411" s="93">
        <v>46161</v>
      </c>
      <c r="K411" s="93">
        <v>46162</v>
      </c>
      <c r="L411" s="93">
        <v>46409</v>
      </c>
      <c r="M411" s="14">
        <v>1</v>
      </c>
      <c r="N411" s="14">
        <v>500000000000</v>
      </c>
      <c r="O411" s="56">
        <v>100.02483880699999</v>
      </c>
      <c r="P411" s="56">
        <v>0</v>
      </c>
      <c r="Q411" s="14">
        <v>511663920061</v>
      </c>
      <c r="R411">
        <v>7</v>
      </c>
      <c r="S411" t="s">
        <v>1184</v>
      </c>
      <c r="T411" s="57">
        <f>IF(Dealps[[#This Row],[MATURITY_DATE]]-Dealps[[#This Row],[POSTED_DT]]&lt;0,0,IF(Dealps[[#This Row],[VALUE_DATE]]-Dealps[[#This Row],[POSTED_DT]]&gt;0,Dealps[[#This Row],[MATURITY_DATE]]-Dealps[[#This Row],[VALUE_DATE]],Dealps[[#This Row],[MATURITY_DATE]]-Dealps[[#This Row],[POSTED_DT]]))</f>
        <v>147</v>
      </c>
      <c r="U411" s="25">
        <f>IF(Dealps[[#This Row],[TENOR]]=0,0,IF(Dealps[[#This Row],[DEAL_TYPE]]="B",Dealps[[#This Row],[FACE_AMOUNT]],-Dealps[[#This Row],[FACE_AMOUNT]]))</f>
        <v>-500000000000</v>
      </c>
      <c r="V411" s="25">
        <f>_xlfn.XLOOKUP(Dealps[[#This Row],[PAPER_CODE]],FNRP!D:D,FNRP!H:H,0,0)/100*Dealps[[#This Row],[AMOUNT]]</f>
        <v>0</v>
      </c>
      <c r="W411" s="57" t="str">
        <f>IF(Dealps[[#This Row],[TRANSACTION_STATUS]]&lt;&gt;"V","Ngoai BS",IF(Dealps[[#This Row],[POSTED_DT]]&gt;=Dealps[[#This Row],[VALUE_DATE]],"On BS","Off BS"))</f>
        <v>On BS</v>
      </c>
      <c r="X411" s="25">
        <f>SUMIFS(U:U,C:C,Dealps[[#This Row],[PAPER_CODE]])</f>
        <v>2000000000000</v>
      </c>
      <c r="Y411" s="25">
        <f>_xlfn.XLOOKUP(Dealps[[#This Row],[DEAL_ID]],Ref!N:N,Ref!Q:Q,0,0)</f>
        <v>0</v>
      </c>
      <c r="Z411" s="25" t="str">
        <f>IF(Dealps[[#This Row],[CPTY_CODE]]=Dealps[[#This Row],[CPTY_CODE_ISSUER]],"Yes","No")</f>
        <v>No</v>
      </c>
      <c r="AA411" s="25"/>
      <c r="AC411" s="14"/>
      <c r="AG411" s="96"/>
      <c r="AH411" s="25"/>
      <c r="AI411" s="25"/>
      <c r="AN411" s="14"/>
      <c r="AV411" s="36"/>
      <c r="AW411" s="14"/>
      <c r="AX411" s="234"/>
      <c r="AY411" s="96"/>
      <c r="AZ411" s="14"/>
      <c r="BA411"/>
      <c r="BB411" s="93">
        <v>46262</v>
      </c>
      <c r="BC411">
        <v>2729</v>
      </c>
      <c r="BD411" s="56" t="s">
        <v>1018</v>
      </c>
      <c r="BE411" t="s">
        <v>1011</v>
      </c>
      <c r="BF411" t="s">
        <v>1012</v>
      </c>
      <c r="BG411" t="s">
        <v>364</v>
      </c>
      <c r="BH411" t="s">
        <v>1013</v>
      </c>
      <c r="BI411" t="s">
        <v>300</v>
      </c>
      <c r="BJ411" s="93">
        <v>45938</v>
      </c>
      <c r="BK411" s="93">
        <v>45938</v>
      </c>
      <c r="BL411" s="93">
        <v>45938</v>
      </c>
      <c r="BM411" s="93">
        <v>46606</v>
      </c>
      <c r="BN411" s="14">
        <v>1</v>
      </c>
      <c r="BO411" s="14">
        <v>25809900000</v>
      </c>
      <c r="BP411" s="56">
        <v>99.150684932000004</v>
      </c>
      <c r="BQ411" s="56">
        <v>0</v>
      </c>
      <c r="BR411" s="14">
        <v>25809900000</v>
      </c>
      <c r="BS411">
        <v>5.4477609999999999</v>
      </c>
      <c r="BT411" t="s">
        <v>1184</v>
      </c>
      <c r="BU411" s="25">
        <f>_xlfn.XLOOKUP(Dealps_MSB[[#This Row],[DEAL_ID]],Ref!V:V,Ref!X:X,0,0)</f>
        <v>0</v>
      </c>
      <c r="BV411"/>
    </row>
    <row r="412" spans="1:74" x14ac:dyDescent="0.3">
      <c r="A412" s="93">
        <v>46262</v>
      </c>
      <c r="B412">
        <v>4283</v>
      </c>
      <c r="C412" s="56" t="s">
        <v>1158</v>
      </c>
      <c r="D412" t="s">
        <v>327</v>
      </c>
      <c r="E412" t="s">
        <v>315</v>
      </c>
      <c r="F412" t="s">
        <v>364</v>
      </c>
      <c r="G412" t="s">
        <v>310</v>
      </c>
      <c r="H412" t="s">
        <v>311</v>
      </c>
      <c r="I412" s="93">
        <v>46161</v>
      </c>
      <c r="J412" s="93">
        <v>46161</v>
      </c>
      <c r="K412" s="93">
        <v>46162</v>
      </c>
      <c r="L412" s="93">
        <v>46409</v>
      </c>
      <c r="M412" s="14">
        <v>1</v>
      </c>
      <c r="N412" s="14">
        <v>500000000000</v>
      </c>
      <c r="O412" s="56">
        <v>100.02483880699999</v>
      </c>
      <c r="P412" s="56">
        <v>0</v>
      </c>
      <c r="Q412" s="14">
        <v>511663920061</v>
      </c>
      <c r="R412">
        <v>7</v>
      </c>
      <c r="S412" t="s">
        <v>1184</v>
      </c>
      <c r="T412" s="57">
        <f>IF(Dealps[[#This Row],[MATURITY_DATE]]-Dealps[[#This Row],[POSTED_DT]]&lt;0,0,IF(Dealps[[#This Row],[VALUE_DATE]]-Dealps[[#This Row],[POSTED_DT]]&gt;0,Dealps[[#This Row],[MATURITY_DATE]]-Dealps[[#This Row],[VALUE_DATE]],Dealps[[#This Row],[MATURITY_DATE]]-Dealps[[#This Row],[POSTED_DT]]))</f>
        <v>147</v>
      </c>
      <c r="U412" s="25">
        <f>IF(Dealps[[#This Row],[TENOR]]=0,0,IF(Dealps[[#This Row],[DEAL_TYPE]]="B",Dealps[[#This Row],[FACE_AMOUNT]],-Dealps[[#This Row],[FACE_AMOUNT]]))</f>
        <v>-500000000000</v>
      </c>
      <c r="V412" s="25">
        <f>_xlfn.XLOOKUP(Dealps[[#This Row],[PAPER_CODE]],FNRP!D:D,FNRP!H:H,0,0)/100*Dealps[[#This Row],[AMOUNT]]</f>
        <v>0</v>
      </c>
      <c r="W412" s="57" t="str">
        <f>IF(Dealps[[#This Row],[TRANSACTION_STATUS]]&lt;&gt;"V","Ngoai BS",IF(Dealps[[#This Row],[POSTED_DT]]&gt;=Dealps[[#This Row],[VALUE_DATE]],"On BS","Off BS"))</f>
        <v>On BS</v>
      </c>
      <c r="X412" s="25">
        <f>SUMIFS(U:U,C:C,Dealps[[#This Row],[PAPER_CODE]])</f>
        <v>2000000000000</v>
      </c>
      <c r="Y412" s="25">
        <f>_xlfn.XLOOKUP(Dealps[[#This Row],[DEAL_ID]],Ref!N:N,Ref!Q:Q,0,0)</f>
        <v>0</v>
      </c>
      <c r="Z412" s="25" t="str">
        <f>IF(Dealps[[#This Row],[CPTY_CODE]]=Dealps[[#This Row],[CPTY_CODE_ISSUER]],"Yes","No")</f>
        <v>No</v>
      </c>
      <c r="AA412" s="25"/>
      <c r="AC412" s="14"/>
      <c r="AG412" s="96"/>
      <c r="AH412" s="25"/>
      <c r="AI412" s="25"/>
      <c r="AN412" s="14"/>
      <c r="AV412" s="36"/>
      <c r="AW412" s="14"/>
      <c r="AX412" s="234"/>
      <c r="AY412" s="96"/>
      <c r="AZ412" s="14"/>
      <c r="BA412"/>
      <c r="BB412" s="93">
        <v>46262</v>
      </c>
      <c r="BC412">
        <v>2730</v>
      </c>
      <c r="BD412" s="56" t="s">
        <v>1020</v>
      </c>
      <c r="BE412" t="s">
        <v>1011</v>
      </c>
      <c r="BF412" t="s">
        <v>1012</v>
      </c>
      <c r="BG412" t="s">
        <v>364</v>
      </c>
      <c r="BH412" t="s">
        <v>1013</v>
      </c>
      <c r="BI412" t="s">
        <v>300</v>
      </c>
      <c r="BJ412" s="93">
        <v>45938</v>
      </c>
      <c r="BK412" s="93">
        <v>45938</v>
      </c>
      <c r="BL412" s="93">
        <v>45938</v>
      </c>
      <c r="BM412" s="93">
        <v>46641</v>
      </c>
      <c r="BN412" s="14">
        <v>1</v>
      </c>
      <c r="BO412" s="14">
        <v>27370200000</v>
      </c>
      <c r="BP412" s="56">
        <v>99.630136985999997</v>
      </c>
      <c r="BQ412" s="56">
        <v>0</v>
      </c>
      <c r="BR412" s="14">
        <v>27370200000</v>
      </c>
      <c r="BS412">
        <v>5.1773049999999996</v>
      </c>
      <c r="BT412" t="s">
        <v>1184</v>
      </c>
      <c r="BU412" s="25">
        <f>_xlfn.XLOOKUP(Dealps_MSB[[#This Row],[DEAL_ID]],Ref!V:V,Ref!X:X,0,0)</f>
        <v>0</v>
      </c>
      <c r="BV412"/>
    </row>
    <row r="413" spans="1:74" x14ac:dyDescent="0.3">
      <c r="A413" s="93">
        <v>46262</v>
      </c>
      <c r="B413">
        <v>4285</v>
      </c>
      <c r="C413" s="56" t="s">
        <v>1158</v>
      </c>
      <c r="D413" t="s">
        <v>327</v>
      </c>
      <c r="E413" t="s">
        <v>322</v>
      </c>
      <c r="F413" t="s">
        <v>364</v>
      </c>
      <c r="G413" t="s">
        <v>310</v>
      </c>
      <c r="H413" t="s">
        <v>311</v>
      </c>
      <c r="I413" s="93">
        <v>46161</v>
      </c>
      <c r="J413" s="93">
        <v>46161</v>
      </c>
      <c r="K413" s="93">
        <v>46162</v>
      </c>
      <c r="L413" s="93">
        <v>46409</v>
      </c>
      <c r="M413" s="14">
        <v>1</v>
      </c>
      <c r="N413" s="14">
        <v>500000000000</v>
      </c>
      <c r="O413" s="56">
        <v>100.02483880699999</v>
      </c>
      <c r="P413" s="56">
        <v>0</v>
      </c>
      <c r="Q413" s="14">
        <v>511663920061</v>
      </c>
      <c r="R413">
        <v>7</v>
      </c>
      <c r="S413" t="s">
        <v>1184</v>
      </c>
      <c r="T413" s="57">
        <f>IF(Dealps[[#This Row],[MATURITY_DATE]]-Dealps[[#This Row],[POSTED_DT]]&lt;0,0,IF(Dealps[[#This Row],[VALUE_DATE]]-Dealps[[#This Row],[POSTED_DT]]&gt;0,Dealps[[#This Row],[MATURITY_DATE]]-Dealps[[#This Row],[VALUE_DATE]],Dealps[[#This Row],[MATURITY_DATE]]-Dealps[[#This Row],[POSTED_DT]]))</f>
        <v>147</v>
      </c>
      <c r="U413" s="25">
        <f>IF(Dealps[[#This Row],[TENOR]]=0,0,IF(Dealps[[#This Row],[DEAL_TYPE]]="B",Dealps[[#This Row],[FACE_AMOUNT]],-Dealps[[#This Row],[FACE_AMOUNT]]))</f>
        <v>-500000000000</v>
      </c>
      <c r="V413" s="25">
        <f>_xlfn.XLOOKUP(Dealps[[#This Row],[PAPER_CODE]],FNRP!D:D,FNRP!H:H,0,0)/100*Dealps[[#This Row],[AMOUNT]]</f>
        <v>0</v>
      </c>
      <c r="W413" s="57" t="str">
        <f>IF(Dealps[[#This Row],[TRANSACTION_STATUS]]&lt;&gt;"V","Ngoai BS",IF(Dealps[[#This Row],[POSTED_DT]]&gt;=Dealps[[#This Row],[VALUE_DATE]],"On BS","Off BS"))</f>
        <v>On BS</v>
      </c>
      <c r="X413" s="25">
        <f>SUMIFS(U:U,C:C,Dealps[[#This Row],[PAPER_CODE]])</f>
        <v>2000000000000</v>
      </c>
      <c r="Y413" s="25">
        <f>_xlfn.XLOOKUP(Dealps[[#This Row],[DEAL_ID]],Ref!N:N,Ref!Q:Q,0,0)</f>
        <v>0</v>
      </c>
      <c r="Z413" s="25" t="str">
        <f>IF(Dealps[[#This Row],[CPTY_CODE]]=Dealps[[#This Row],[CPTY_CODE_ISSUER]],"Yes","No")</f>
        <v>No</v>
      </c>
      <c r="AA413" s="25"/>
      <c r="AC413" s="14"/>
      <c r="AG413" s="96"/>
      <c r="AH413" s="25"/>
      <c r="AI413" s="25"/>
      <c r="AN413" s="14"/>
      <c r="AV413" s="36"/>
      <c r="AW413" s="14"/>
      <c r="AX413" s="234"/>
      <c r="AY413" s="96"/>
      <c r="AZ413" s="14"/>
      <c r="BA413"/>
      <c r="BB413" s="93">
        <v>46262</v>
      </c>
      <c r="BC413">
        <v>2784</v>
      </c>
      <c r="BD413" s="56" t="s">
        <v>1019</v>
      </c>
      <c r="BE413" t="s">
        <v>1011</v>
      </c>
      <c r="BF413" t="s">
        <v>1012</v>
      </c>
      <c r="BG413" t="s">
        <v>364</v>
      </c>
      <c r="BH413" t="s">
        <v>1013</v>
      </c>
      <c r="BI413" t="s">
        <v>311</v>
      </c>
      <c r="BJ413" s="93">
        <v>45950</v>
      </c>
      <c r="BK413" s="93">
        <v>45950</v>
      </c>
      <c r="BL413" s="93">
        <v>45950</v>
      </c>
      <c r="BM413" s="93">
        <v>46606</v>
      </c>
      <c r="BN413" s="14">
        <v>1</v>
      </c>
      <c r="BO413" s="14">
        <v>10000000000</v>
      </c>
      <c r="BP413" s="56">
        <v>100</v>
      </c>
      <c r="BQ413" s="56">
        <v>0</v>
      </c>
      <c r="BR413" s="14">
        <v>10117589041</v>
      </c>
      <c r="BS413">
        <v>5.7151670000000001</v>
      </c>
      <c r="BT413" t="s">
        <v>1184</v>
      </c>
      <c r="BU413" s="25">
        <f>_xlfn.XLOOKUP(Dealps_MSB[[#This Row],[DEAL_ID]],Ref!V:V,Ref!X:X,0,0)</f>
        <v>0</v>
      </c>
      <c r="BV413"/>
    </row>
    <row r="414" spans="1:74" x14ac:dyDescent="0.3">
      <c r="A414" s="93">
        <v>46262</v>
      </c>
      <c r="B414">
        <v>4286</v>
      </c>
      <c r="C414" s="56" t="s">
        <v>1258</v>
      </c>
      <c r="D414" t="s">
        <v>321</v>
      </c>
      <c r="E414" t="s">
        <v>315</v>
      </c>
      <c r="F414" t="s">
        <v>364</v>
      </c>
      <c r="G414" t="s">
        <v>310</v>
      </c>
      <c r="H414" t="s">
        <v>300</v>
      </c>
      <c r="I414" s="93">
        <v>46162</v>
      </c>
      <c r="J414" s="93">
        <v>46162</v>
      </c>
      <c r="K414" s="93">
        <v>46162</v>
      </c>
      <c r="L414" s="93">
        <v>46485</v>
      </c>
      <c r="M414" s="14">
        <v>1</v>
      </c>
      <c r="N414" s="14">
        <v>1000000000000</v>
      </c>
      <c r="O414" s="56">
        <v>100.721586749</v>
      </c>
      <c r="P414" s="56">
        <v>0</v>
      </c>
      <c r="Q414" s="14">
        <v>1015500798999.9999</v>
      </c>
      <c r="R414">
        <v>7.4688119999999998</v>
      </c>
      <c r="S414" t="s">
        <v>1184</v>
      </c>
      <c r="T414" s="57">
        <f>IF(Dealps[[#This Row],[MATURITY_DATE]]-Dealps[[#This Row],[POSTED_DT]]&lt;0,0,IF(Dealps[[#This Row],[VALUE_DATE]]-Dealps[[#This Row],[POSTED_DT]]&gt;0,Dealps[[#This Row],[MATURITY_DATE]]-Dealps[[#This Row],[VALUE_DATE]],Dealps[[#This Row],[MATURITY_DATE]]-Dealps[[#This Row],[POSTED_DT]]))</f>
        <v>223</v>
      </c>
      <c r="U414" s="25">
        <f>IF(Dealps[[#This Row],[TENOR]]=0,0,IF(Dealps[[#This Row],[DEAL_TYPE]]="B",Dealps[[#This Row],[FACE_AMOUNT]],-Dealps[[#This Row],[FACE_AMOUNT]]))</f>
        <v>1000000000000</v>
      </c>
      <c r="V414" s="25">
        <f>_xlfn.XLOOKUP(Dealps[[#This Row],[PAPER_CODE]],FNRP!D:D,FNRP!H:H,0,0)/100*Dealps[[#This Row],[AMOUNT]]</f>
        <v>0</v>
      </c>
      <c r="W414" s="57" t="str">
        <f>IF(Dealps[[#This Row],[TRANSACTION_STATUS]]&lt;&gt;"V","Ngoai BS",IF(Dealps[[#This Row],[POSTED_DT]]&gt;=Dealps[[#This Row],[VALUE_DATE]],"On BS","Off BS"))</f>
        <v>On BS</v>
      </c>
      <c r="X414" s="25">
        <f>SUMIFS(U:U,C:C,Dealps[[#This Row],[PAPER_CODE]])</f>
        <v>2000000000000</v>
      </c>
      <c r="Y414" s="25">
        <f>_xlfn.XLOOKUP(Dealps[[#This Row],[DEAL_ID]],Ref!N:N,Ref!Q:Q,0,0)</f>
        <v>0</v>
      </c>
      <c r="Z414" s="25" t="str">
        <f>IF(Dealps[[#This Row],[CPTY_CODE]]=Dealps[[#This Row],[CPTY_CODE_ISSUER]],"Yes","No")</f>
        <v>No</v>
      </c>
      <c r="AA414" s="25"/>
      <c r="AC414" s="14"/>
      <c r="AG414" s="96"/>
      <c r="AH414" s="25"/>
      <c r="AI414" s="25"/>
      <c r="AN414" s="14"/>
      <c r="AV414" s="36"/>
      <c r="AW414" s="14"/>
      <c r="AX414" s="234"/>
      <c r="AY414" s="96"/>
      <c r="AZ414" s="14"/>
      <c r="BA414"/>
      <c r="BB414" s="93">
        <v>46262</v>
      </c>
      <c r="BC414">
        <v>2785</v>
      </c>
      <c r="BD414" s="56" t="s">
        <v>1019</v>
      </c>
      <c r="BE414" t="s">
        <v>1011</v>
      </c>
      <c r="BF414" t="s">
        <v>1012</v>
      </c>
      <c r="BG414" t="s">
        <v>364</v>
      </c>
      <c r="BH414" t="s">
        <v>1013</v>
      </c>
      <c r="BI414" t="s">
        <v>311</v>
      </c>
      <c r="BJ414" s="93">
        <v>45950</v>
      </c>
      <c r="BK414" s="93">
        <v>45950</v>
      </c>
      <c r="BL414" s="93">
        <v>45950</v>
      </c>
      <c r="BM414" s="93">
        <v>46606</v>
      </c>
      <c r="BN414" s="14">
        <v>1</v>
      </c>
      <c r="BO414" s="14">
        <v>10000000000</v>
      </c>
      <c r="BP414" s="56">
        <v>100</v>
      </c>
      <c r="BQ414" s="56">
        <v>0</v>
      </c>
      <c r="BR414" s="14">
        <v>10117589041</v>
      </c>
      <c r="BS414">
        <v>5.7151670000000001</v>
      </c>
      <c r="BT414" t="s">
        <v>1184</v>
      </c>
      <c r="BU414" s="25">
        <f>_xlfn.XLOOKUP(Dealps_MSB[[#This Row],[DEAL_ID]],Ref!V:V,Ref!X:X,0,0)</f>
        <v>0</v>
      </c>
      <c r="BV414"/>
    </row>
    <row r="415" spans="1:74" x14ac:dyDescent="0.3">
      <c r="A415" s="93">
        <v>46262</v>
      </c>
      <c r="B415">
        <v>4289</v>
      </c>
      <c r="C415" s="56" t="s">
        <v>963</v>
      </c>
      <c r="D415" t="s">
        <v>308</v>
      </c>
      <c r="E415" t="s">
        <v>1228</v>
      </c>
      <c r="F415" t="s">
        <v>364</v>
      </c>
      <c r="G415" t="s">
        <v>310</v>
      </c>
      <c r="H415" t="s">
        <v>300</v>
      </c>
      <c r="I415" s="93">
        <v>46162</v>
      </c>
      <c r="J415" s="93">
        <v>46162</v>
      </c>
      <c r="K415" s="93">
        <v>46162</v>
      </c>
      <c r="L415" s="93">
        <v>46295</v>
      </c>
      <c r="M415" s="14">
        <v>1</v>
      </c>
      <c r="N415" s="14">
        <v>200000000000</v>
      </c>
      <c r="O415" s="56">
        <v>100.789530055</v>
      </c>
      <c r="P415" s="56">
        <v>0</v>
      </c>
      <c r="Q415" s="14">
        <v>209300156000</v>
      </c>
      <c r="R415">
        <v>3.758473</v>
      </c>
      <c r="S415" t="s">
        <v>1184</v>
      </c>
      <c r="T415" s="57">
        <f>IF(Dealps[[#This Row],[MATURITY_DATE]]-Dealps[[#This Row],[POSTED_DT]]&lt;0,0,IF(Dealps[[#This Row],[VALUE_DATE]]-Dealps[[#This Row],[POSTED_DT]]&gt;0,Dealps[[#This Row],[MATURITY_DATE]]-Dealps[[#This Row],[VALUE_DATE]],Dealps[[#This Row],[MATURITY_DATE]]-Dealps[[#This Row],[POSTED_DT]]))</f>
        <v>33</v>
      </c>
      <c r="U415" s="25">
        <f>IF(Dealps[[#This Row],[TENOR]]=0,0,IF(Dealps[[#This Row],[DEAL_TYPE]]="B",Dealps[[#This Row],[FACE_AMOUNT]],-Dealps[[#This Row],[FACE_AMOUNT]]))</f>
        <v>200000000000</v>
      </c>
      <c r="V415" s="25">
        <f>_xlfn.XLOOKUP(Dealps[[#This Row],[PAPER_CODE]],FNRP!D:D,FNRP!H:H,0,0)/100*Dealps[[#This Row],[AMOUNT]]</f>
        <v>0</v>
      </c>
      <c r="W415" s="57" t="str">
        <f>IF(Dealps[[#This Row],[TRANSACTION_STATUS]]&lt;&gt;"V","Ngoai BS",IF(Dealps[[#This Row],[POSTED_DT]]&gt;=Dealps[[#This Row],[VALUE_DATE]],"On BS","Off BS"))</f>
        <v>On BS</v>
      </c>
      <c r="X415" s="25">
        <f>SUMIFS(U:U,C:C,Dealps[[#This Row],[PAPER_CODE]])</f>
        <v>400000000000</v>
      </c>
      <c r="Y415" s="25">
        <f>_xlfn.XLOOKUP(Dealps[[#This Row],[DEAL_ID]],Ref!N:N,Ref!Q:Q,0,0)</f>
        <v>0</v>
      </c>
      <c r="Z415" s="25" t="str">
        <f>IF(Dealps[[#This Row],[CPTY_CODE]]=Dealps[[#This Row],[CPTY_CODE_ISSUER]],"Yes","No")</f>
        <v>No</v>
      </c>
      <c r="AA415" s="25"/>
      <c r="AC415" s="14"/>
      <c r="AG415" s="96"/>
      <c r="AH415" s="25"/>
      <c r="AI415" s="25"/>
      <c r="AN415" s="14"/>
      <c r="AV415" s="36"/>
      <c r="AW415" s="14"/>
      <c r="AX415" s="234"/>
      <c r="AY415" s="96"/>
      <c r="AZ415" s="14"/>
      <c r="BA415"/>
      <c r="BB415" s="93">
        <v>46262</v>
      </c>
      <c r="BC415">
        <v>2795</v>
      </c>
      <c r="BD415" s="56" t="s">
        <v>1019</v>
      </c>
      <c r="BE415" t="s">
        <v>1011</v>
      </c>
      <c r="BF415" t="s">
        <v>1012</v>
      </c>
      <c r="BG415" t="s">
        <v>364</v>
      </c>
      <c r="BH415" t="s">
        <v>1013</v>
      </c>
      <c r="BI415" t="s">
        <v>311</v>
      </c>
      <c r="BJ415" s="93">
        <v>45951</v>
      </c>
      <c r="BK415" s="93">
        <v>45951</v>
      </c>
      <c r="BL415" s="93">
        <v>45951</v>
      </c>
      <c r="BM415" s="93">
        <v>46606</v>
      </c>
      <c r="BN415" s="14">
        <v>1</v>
      </c>
      <c r="BO415" s="14">
        <v>10000000000</v>
      </c>
      <c r="BP415" s="56">
        <v>100</v>
      </c>
      <c r="BQ415" s="56">
        <v>0</v>
      </c>
      <c r="BR415" s="14">
        <v>10119178082</v>
      </c>
      <c r="BS415">
        <v>5.7142429999999997</v>
      </c>
      <c r="BT415" t="s">
        <v>1184</v>
      </c>
      <c r="BU415" s="25">
        <f>_xlfn.XLOOKUP(Dealps_MSB[[#This Row],[DEAL_ID]],Ref!V:V,Ref!X:X,0,0)</f>
        <v>0</v>
      </c>
      <c r="BV415"/>
    </row>
    <row r="416" spans="1:74" x14ac:dyDescent="0.3">
      <c r="A416" s="93">
        <v>46262</v>
      </c>
      <c r="B416">
        <v>4290</v>
      </c>
      <c r="C416" s="56" t="s">
        <v>1104</v>
      </c>
      <c r="D416" t="s">
        <v>334</v>
      </c>
      <c r="E416" t="s">
        <v>320</v>
      </c>
      <c r="F416" t="s">
        <v>364</v>
      </c>
      <c r="G416" t="s">
        <v>310</v>
      </c>
      <c r="H416" t="s">
        <v>300</v>
      </c>
      <c r="I416" s="93">
        <v>46162</v>
      </c>
      <c r="J416" s="93">
        <v>46162</v>
      </c>
      <c r="K416" s="93">
        <v>46162</v>
      </c>
      <c r="L416" s="93">
        <v>46360</v>
      </c>
      <c r="M416" s="14">
        <v>1</v>
      </c>
      <c r="N416" s="14">
        <v>1000000000000</v>
      </c>
      <c r="O416" s="56">
        <v>101.16943430800001</v>
      </c>
      <c r="P416" s="56">
        <v>0</v>
      </c>
      <c r="Q416" s="14">
        <v>1043075165000</v>
      </c>
      <c r="R416">
        <v>4.5483060000000002</v>
      </c>
      <c r="S416" t="s">
        <v>1184</v>
      </c>
      <c r="T416" s="57">
        <f>IF(Dealps[[#This Row],[MATURITY_DATE]]-Dealps[[#This Row],[POSTED_DT]]&lt;0,0,IF(Dealps[[#This Row],[VALUE_DATE]]-Dealps[[#This Row],[POSTED_DT]]&gt;0,Dealps[[#This Row],[MATURITY_DATE]]-Dealps[[#This Row],[VALUE_DATE]],Dealps[[#This Row],[MATURITY_DATE]]-Dealps[[#This Row],[POSTED_DT]]))</f>
        <v>98</v>
      </c>
      <c r="U416" s="25">
        <f>IF(Dealps[[#This Row],[TENOR]]=0,0,IF(Dealps[[#This Row],[DEAL_TYPE]]="B",Dealps[[#This Row],[FACE_AMOUNT]],-Dealps[[#This Row],[FACE_AMOUNT]]))</f>
        <v>1000000000000</v>
      </c>
      <c r="V416" s="25">
        <f>_xlfn.XLOOKUP(Dealps[[#This Row],[PAPER_CODE]],FNRP!D:D,FNRP!H:H,0,0)/100*Dealps[[#This Row],[AMOUNT]]</f>
        <v>0</v>
      </c>
      <c r="W416" s="57" t="str">
        <f>IF(Dealps[[#This Row],[TRANSACTION_STATUS]]&lt;&gt;"V","Ngoai BS",IF(Dealps[[#This Row],[POSTED_DT]]&gt;=Dealps[[#This Row],[VALUE_DATE]],"On BS","Off BS"))</f>
        <v>On BS</v>
      </c>
      <c r="X416" s="25">
        <f>SUMIFS(U:U,C:C,Dealps[[#This Row],[PAPER_CODE]])</f>
        <v>1000000000000</v>
      </c>
      <c r="Y416" s="25">
        <f>_xlfn.XLOOKUP(Dealps[[#This Row],[DEAL_ID]],Ref!N:N,Ref!Q:Q,0,0)</f>
        <v>0</v>
      </c>
      <c r="Z416" s="25" t="str">
        <f>IF(Dealps[[#This Row],[CPTY_CODE]]=Dealps[[#This Row],[CPTY_CODE_ISSUER]],"Yes","No")</f>
        <v>No</v>
      </c>
      <c r="AA416" s="25"/>
      <c r="AC416" s="14"/>
      <c r="AG416" s="96"/>
      <c r="AH416" s="25"/>
      <c r="AI416" s="25"/>
      <c r="AN416" s="14"/>
      <c r="AV416" s="36"/>
      <c r="AW416" s="14"/>
      <c r="AX416" s="234"/>
      <c r="AY416" s="96"/>
      <c r="AZ416" s="14"/>
      <c r="BA416"/>
      <c r="BB416" s="93">
        <v>46262</v>
      </c>
      <c r="BC416">
        <v>2801</v>
      </c>
      <c r="BD416" s="56" t="s">
        <v>1023</v>
      </c>
      <c r="BE416" t="s">
        <v>1011</v>
      </c>
      <c r="BF416" t="s">
        <v>1012</v>
      </c>
      <c r="BG416" t="s">
        <v>364</v>
      </c>
      <c r="BH416" t="s">
        <v>1013</v>
      </c>
      <c r="BI416" t="s">
        <v>311</v>
      </c>
      <c r="BJ416" s="93">
        <v>45952</v>
      </c>
      <c r="BK416" s="93">
        <v>45952</v>
      </c>
      <c r="BL416" s="93">
        <v>45952</v>
      </c>
      <c r="BM416" s="93">
        <v>46682</v>
      </c>
      <c r="BN416" s="14">
        <v>1</v>
      </c>
      <c r="BO416" s="14">
        <v>10000000000</v>
      </c>
      <c r="BP416" s="56">
        <v>100</v>
      </c>
      <c r="BQ416" s="56">
        <v>0</v>
      </c>
      <c r="BR416" s="14">
        <v>10000000000</v>
      </c>
      <c r="BS416">
        <v>5.8</v>
      </c>
      <c r="BT416" t="s">
        <v>1184</v>
      </c>
      <c r="BU416" s="25">
        <f>_xlfn.XLOOKUP(Dealps_MSB[[#This Row],[DEAL_ID]],Ref!V:V,Ref!X:X,0,0)</f>
        <v>0</v>
      </c>
      <c r="BV416"/>
    </row>
    <row r="417" spans="1:74" x14ac:dyDescent="0.3">
      <c r="A417" s="93">
        <v>46262</v>
      </c>
      <c r="B417">
        <v>4291</v>
      </c>
      <c r="C417" s="56" t="s">
        <v>1010</v>
      </c>
      <c r="D417" t="s">
        <v>328</v>
      </c>
      <c r="E417" t="s">
        <v>347</v>
      </c>
      <c r="F417" t="s">
        <v>364</v>
      </c>
      <c r="G417" t="s">
        <v>310</v>
      </c>
      <c r="H417" t="s">
        <v>311</v>
      </c>
      <c r="I417" s="93">
        <v>46162</v>
      </c>
      <c r="J417" s="93">
        <v>46164</v>
      </c>
      <c r="K417" s="93">
        <v>46164</v>
      </c>
      <c r="L417" s="93">
        <v>46329</v>
      </c>
      <c r="M417" s="14">
        <v>1</v>
      </c>
      <c r="N417" s="14">
        <v>500000000000</v>
      </c>
      <c r="O417" s="56">
        <v>99.452659279000002</v>
      </c>
      <c r="P417" s="56">
        <v>0</v>
      </c>
      <c r="Q417" s="14">
        <v>514437268999.99994</v>
      </c>
      <c r="R417">
        <v>7.3</v>
      </c>
      <c r="S417" t="s">
        <v>1184</v>
      </c>
      <c r="T417" s="57">
        <f>IF(Dealps[[#This Row],[MATURITY_DATE]]-Dealps[[#This Row],[POSTED_DT]]&lt;0,0,IF(Dealps[[#This Row],[VALUE_DATE]]-Dealps[[#This Row],[POSTED_DT]]&gt;0,Dealps[[#This Row],[MATURITY_DATE]]-Dealps[[#This Row],[VALUE_DATE]],Dealps[[#This Row],[MATURITY_DATE]]-Dealps[[#This Row],[POSTED_DT]]))</f>
        <v>67</v>
      </c>
      <c r="U417" s="25">
        <f>IF(Dealps[[#This Row],[TENOR]]=0,0,IF(Dealps[[#This Row],[DEAL_TYPE]]="B",Dealps[[#This Row],[FACE_AMOUNT]],-Dealps[[#This Row],[FACE_AMOUNT]]))</f>
        <v>-500000000000</v>
      </c>
      <c r="V417" s="25">
        <f>_xlfn.XLOOKUP(Dealps[[#This Row],[PAPER_CODE]],FNRP!D:D,FNRP!H:H,0,0)/100*Dealps[[#This Row],[AMOUNT]]</f>
        <v>0</v>
      </c>
      <c r="W417" s="57" t="str">
        <f>IF(Dealps[[#This Row],[TRANSACTION_STATUS]]&lt;&gt;"V","Ngoai BS",IF(Dealps[[#This Row],[POSTED_DT]]&gt;=Dealps[[#This Row],[VALUE_DATE]],"On BS","Off BS"))</f>
        <v>On BS</v>
      </c>
      <c r="X417" s="25">
        <f>SUMIFS(U:U,C:C,Dealps[[#This Row],[PAPER_CODE]])</f>
        <v>2000000000000</v>
      </c>
      <c r="Y417" s="25">
        <f>_xlfn.XLOOKUP(Dealps[[#This Row],[DEAL_ID]],Ref!N:N,Ref!Q:Q,0,0)</f>
        <v>0</v>
      </c>
      <c r="Z417" s="25" t="str">
        <f>IF(Dealps[[#This Row],[CPTY_CODE]]=Dealps[[#This Row],[CPTY_CODE_ISSUER]],"Yes","No")</f>
        <v>No</v>
      </c>
      <c r="AA417" s="25"/>
      <c r="AC417" s="14"/>
      <c r="AG417" s="96"/>
      <c r="AH417" s="25"/>
      <c r="AI417" s="25"/>
      <c r="AN417" s="14"/>
      <c r="AV417" s="36"/>
      <c r="AW417" s="14"/>
      <c r="AX417" s="234"/>
      <c r="AY417" s="96"/>
      <c r="AZ417" s="14"/>
      <c r="BA417"/>
      <c r="BB417" s="93">
        <v>46262</v>
      </c>
      <c r="BC417">
        <v>2810</v>
      </c>
      <c r="BD417" s="56" t="s">
        <v>1019</v>
      </c>
      <c r="BE417" t="s">
        <v>1011</v>
      </c>
      <c r="BF417" t="s">
        <v>1012</v>
      </c>
      <c r="BG417" t="s">
        <v>364</v>
      </c>
      <c r="BH417" t="s">
        <v>1013</v>
      </c>
      <c r="BI417" t="s">
        <v>311</v>
      </c>
      <c r="BJ417" s="93">
        <v>45953</v>
      </c>
      <c r="BK417" s="93">
        <v>45953</v>
      </c>
      <c r="BL417" s="93">
        <v>45953</v>
      </c>
      <c r="BM417" s="93">
        <v>46606</v>
      </c>
      <c r="BN417" s="14">
        <v>1</v>
      </c>
      <c r="BO417" s="14">
        <v>10000000000</v>
      </c>
      <c r="BP417" s="56">
        <v>100</v>
      </c>
      <c r="BQ417" s="56">
        <v>0</v>
      </c>
      <c r="BR417" s="14">
        <v>10122356164</v>
      </c>
      <c r="BS417">
        <v>5.7123949999999999</v>
      </c>
      <c r="BT417" t="s">
        <v>1184</v>
      </c>
      <c r="BU417" s="25">
        <f>_xlfn.XLOOKUP(Dealps_MSB[[#This Row],[DEAL_ID]],Ref!V:V,Ref!X:X,0,0)</f>
        <v>0</v>
      </c>
      <c r="BV417"/>
    </row>
    <row r="418" spans="1:74" x14ac:dyDescent="0.3">
      <c r="A418" s="93">
        <v>46262</v>
      </c>
      <c r="B418">
        <v>4302</v>
      </c>
      <c r="C418" s="56" t="s">
        <v>963</v>
      </c>
      <c r="D418" t="s">
        <v>308</v>
      </c>
      <c r="E418" t="s">
        <v>1228</v>
      </c>
      <c r="F418" t="s">
        <v>364</v>
      </c>
      <c r="G418" t="s">
        <v>310</v>
      </c>
      <c r="H418" t="s">
        <v>311</v>
      </c>
      <c r="I418" s="93">
        <v>46162</v>
      </c>
      <c r="J418" s="93">
        <v>46162</v>
      </c>
      <c r="K418" s="93">
        <v>46163</v>
      </c>
      <c r="L418" s="93">
        <v>46295</v>
      </c>
      <c r="M418" s="14">
        <v>1</v>
      </c>
      <c r="N418" s="14">
        <v>200000000000</v>
      </c>
      <c r="O418" s="56">
        <v>100.80528882599999</v>
      </c>
      <c r="P418" s="56">
        <v>0</v>
      </c>
      <c r="Q418" s="14">
        <v>209365098200</v>
      </c>
      <c r="R418">
        <v>3.7</v>
      </c>
      <c r="S418" t="s">
        <v>1184</v>
      </c>
      <c r="T418" s="57">
        <f>IF(Dealps[[#This Row],[MATURITY_DATE]]-Dealps[[#This Row],[POSTED_DT]]&lt;0,0,IF(Dealps[[#This Row],[VALUE_DATE]]-Dealps[[#This Row],[POSTED_DT]]&gt;0,Dealps[[#This Row],[MATURITY_DATE]]-Dealps[[#This Row],[VALUE_DATE]],Dealps[[#This Row],[MATURITY_DATE]]-Dealps[[#This Row],[POSTED_DT]]))</f>
        <v>33</v>
      </c>
      <c r="U418" s="25">
        <f>IF(Dealps[[#This Row],[TENOR]]=0,0,IF(Dealps[[#This Row],[DEAL_TYPE]]="B",Dealps[[#This Row],[FACE_AMOUNT]],-Dealps[[#This Row],[FACE_AMOUNT]]))</f>
        <v>-200000000000</v>
      </c>
      <c r="V418" s="25">
        <f>_xlfn.XLOOKUP(Dealps[[#This Row],[PAPER_CODE]],FNRP!D:D,FNRP!H:H,0,0)/100*Dealps[[#This Row],[AMOUNT]]</f>
        <v>0</v>
      </c>
      <c r="W418" s="57" t="str">
        <f>IF(Dealps[[#This Row],[TRANSACTION_STATUS]]&lt;&gt;"V","Ngoai BS",IF(Dealps[[#This Row],[POSTED_DT]]&gt;=Dealps[[#This Row],[VALUE_DATE]],"On BS","Off BS"))</f>
        <v>On BS</v>
      </c>
      <c r="X418" s="25">
        <f>SUMIFS(U:U,C:C,Dealps[[#This Row],[PAPER_CODE]])</f>
        <v>400000000000</v>
      </c>
      <c r="Y418" s="25">
        <f>_xlfn.XLOOKUP(Dealps[[#This Row],[DEAL_ID]],Ref!N:N,Ref!Q:Q,0,0)</f>
        <v>0</v>
      </c>
      <c r="Z418" s="25" t="str">
        <f>IF(Dealps[[#This Row],[CPTY_CODE]]=Dealps[[#This Row],[CPTY_CODE_ISSUER]],"Yes","No")</f>
        <v>No</v>
      </c>
      <c r="AA418" s="25"/>
      <c r="AC418" s="14"/>
      <c r="AG418" s="96"/>
      <c r="AH418" s="25"/>
      <c r="AI418" s="25"/>
      <c r="AN418" s="14"/>
      <c r="AV418" s="36"/>
      <c r="AW418" s="14"/>
      <c r="AX418" s="234"/>
      <c r="AY418" s="96"/>
      <c r="AZ418" s="14"/>
      <c r="BA418"/>
      <c r="BB418" s="93">
        <v>46262</v>
      </c>
      <c r="BC418">
        <v>2820</v>
      </c>
      <c r="BD418" s="56" t="s">
        <v>1023</v>
      </c>
      <c r="BE418" t="s">
        <v>1011</v>
      </c>
      <c r="BF418" t="s">
        <v>1012</v>
      </c>
      <c r="BG418" t="s">
        <v>364</v>
      </c>
      <c r="BH418" t="s">
        <v>1013</v>
      </c>
      <c r="BI418" t="s">
        <v>311</v>
      </c>
      <c r="BJ418" s="93">
        <v>45957</v>
      </c>
      <c r="BK418" s="93">
        <v>45957</v>
      </c>
      <c r="BL418" s="93">
        <v>45957</v>
      </c>
      <c r="BM418" s="93">
        <v>46682</v>
      </c>
      <c r="BN418" s="14">
        <v>1</v>
      </c>
      <c r="BO418" s="14">
        <v>10000000000</v>
      </c>
      <c r="BP418" s="56">
        <v>100</v>
      </c>
      <c r="BQ418" s="56">
        <v>0</v>
      </c>
      <c r="BR418" s="14">
        <v>10007945206</v>
      </c>
      <c r="BS418">
        <v>5.7953950000000001</v>
      </c>
      <c r="BT418" t="s">
        <v>1184</v>
      </c>
      <c r="BU418" s="25">
        <f>_xlfn.XLOOKUP(Dealps_MSB[[#This Row],[DEAL_ID]],Ref!V:V,Ref!X:X,0,0)</f>
        <v>0</v>
      </c>
      <c r="BV418"/>
    </row>
    <row r="419" spans="1:74" x14ac:dyDescent="0.3">
      <c r="A419" s="93">
        <v>46262</v>
      </c>
      <c r="B419">
        <v>4304</v>
      </c>
      <c r="C419" s="56" t="s">
        <v>1292</v>
      </c>
      <c r="D419" t="s">
        <v>334</v>
      </c>
      <c r="E419" t="s">
        <v>334</v>
      </c>
      <c r="F419" t="s">
        <v>364</v>
      </c>
      <c r="G419" t="s">
        <v>310</v>
      </c>
      <c r="H419" t="s">
        <v>300</v>
      </c>
      <c r="I419" s="93">
        <v>46162</v>
      </c>
      <c r="J419" s="93">
        <v>46162</v>
      </c>
      <c r="K419" s="93">
        <v>46163</v>
      </c>
      <c r="L419" s="93">
        <v>46527</v>
      </c>
      <c r="M419" s="14">
        <v>1</v>
      </c>
      <c r="N419" s="14">
        <v>500000000000</v>
      </c>
      <c r="O419" s="56">
        <v>100</v>
      </c>
      <c r="P419" s="56">
        <v>0</v>
      </c>
      <c r="Q419" s="14">
        <v>500000000000</v>
      </c>
      <c r="R419">
        <v>8.5</v>
      </c>
      <c r="S419" t="s">
        <v>1184</v>
      </c>
      <c r="T419" s="57">
        <f>IF(Dealps[[#This Row],[MATURITY_DATE]]-Dealps[[#This Row],[POSTED_DT]]&lt;0,0,IF(Dealps[[#This Row],[VALUE_DATE]]-Dealps[[#This Row],[POSTED_DT]]&gt;0,Dealps[[#This Row],[MATURITY_DATE]]-Dealps[[#This Row],[VALUE_DATE]],Dealps[[#This Row],[MATURITY_DATE]]-Dealps[[#This Row],[POSTED_DT]]))</f>
        <v>265</v>
      </c>
      <c r="U419" s="25">
        <f>IF(Dealps[[#This Row],[TENOR]]=0,0,IF(Dealps[[#This Row],[DEAL_TYPE]]="B",Dealps[[#This Row],[FACE_AMOUNT]],-Dealps[[#This Row],[FACE_AMOUNT]]))</f>
        <v>500000000000</v>
      </c>
      <c r="V419" s="25">
        <f>_xlfn.XLOOKUP(Dealps[[#This Row],[PAPER_CODE]],FNRP!D:D,FNRP!H:H,0,0)/100*Dealps[[#This Row],[AMOUNT]]</f>
        <v>0</v>
      </c>
      <c r="W419" s="57" t="str">
        <f>IF(Dealps[[#This Row],[TRANSACTION_STATUS]]&lt;&gt;"V","Ngoai BS",IF(Dealps[[#This Row],[POSTED_DT]]&gt;=Dealps[[#This Row],[VALUE_DATE]],"On BS","Off BS"))</f>
        <v>On BS</v>
      </c>
      <c r="X419" s="25">
        <f>SUMIFS(U:U,C:C,Dealps[[#This Row],[PAPER_CODE]])</f>
        <v>2000000000000</v>
      </c>
      <c r="Y419" s="25">
        <f>_xlfn.XLOOKUP(Dealps[[#This Row],[DEAL_ID]],Ref!N:N,Ref!Q:Q,0,0)</f>
        <v>0</v>
      </c>
      <c r="Z419" s="25" t="str">
        <f>IF(Dealps[[#This Row],[CPTY_CODE]]=Dealps[[#This Row],[CPTY_CODE_ISSUER]],"Yes","No")</f>
        <v>Yes</v>
      </c>
      <c r="AA419" s="25"/>
      <c r="AC419" s="14"/>
      <c r="AG419" s="96"/>
      <c r="AH419" s="25"/>
      <c r="AI419" s="25"/>
      <c r="AN419" s="14"/>
      <c r="AV419" s="36"/>
      <c r="AW419" s="14"/>
      <c r="AX419" s="234"/>
      <c r="AY419" s="96"/>
      <c r="AZ419" s="14"/>
      <c r="BA419"/>
      <c r="BB419" s="93">
        <v>46262</v>
      </c>
      <c r="BC419">
        <v>2838</v>
      </c>
      <c r="BD419" s="56" t="s">
        <v>1023</v>
      </c>
      <c r="BE419" t="s">
        <v>1011</v>
      </c>
      <c r="BF419" t="s">
        <v>1012</v>
      </c>
      <c r="BG419" t="s">
        <v>364</v>
      </c>
      <c r="BH419" t="s">
        <v>1013</v>
      </c>
      <c r="BI419" t="s">
        <v>311</v>
      </c>
      <c r="BJ419" s="93">
        <v>45958</v>
      </c>
      <c r="BK419" s="93">
        <v>45958</v>
      </c>
      <c r="BL419" s="93">
        <v>45958</v>
      </c>
      <c r="BM419" s="93">
        <v>46682</v>
      </c>
      <c r="BN419" s="14">
        <v>1</v>
      </c>
      <c r="BO419" s="14">
        <v>10000000000</v>
      </c>
      <c r="BP419" s="56">
        <v>100</v>
      </c>
      <c r="BQ419" s="56">
        <v>0</v>
      </c>
      <c r="BR419" s="14">
        <v>10009534247</v>
      </c>
      <c r="BS419">
        <v>5.7944750000000003</v>
      </c>
      <c r="BT419" t="s">
        <v>1184</v>
      </c>
      <c r="BU419" s="25">
        <f>_xlfn.XLOOKUP(Dealps_MSB[[#This Row],[DEAL_ID]],Ref!V:V,Ref!X:X,0,0)</f>
        <v>0</v>
      </c>
      <c r="BV419"/>
    </row>
    <row r="420" spans="1:74" x14ac:dyDescent="0.3">
      <c r="A420" s="93">
        <v>46262</v>
      </c>
      <c r="B420">
        <v>4305</v>
      </c>
      <c r="C420" s="56" t="s">
        <v>1292</v>
      </c>
      <c r="D420" t="s">
        <v>334</v>
      </c>
      <c r="E420" t="s">
        <v>334</v>
      </c>
      <c r="F420" t="s">
        <v>364</v>
      </c>
      <c r="G420" t="s">
        <v>310</v>
      </c>
      <c r="H420" t="s">
        <v>300</v>
      </c>
      <c r="I420" s="93">
        <v>46162</v>
      </c>
      <c r="J420" s="93">
        <v>46162</v>
      </c>
      <c r="K420" s="93">
        <v>46163</v>
      </c>
      <c r="L420" s="93">
        <v>46527</v>
      </c>
      <c r="M420" s="14">
        <v>1</v>
      </c>
      <c r="N420" s="14">
        <v>500000000000</v>
      </c>
      <c r="O420" s="56">
        <v>100</v>
      </c>
      <c r="P420" s="56">
        <v>0</v>
      </c>
      <c r="Q420" s="14">
        <v>500000000000</v>
      </c>
      <c r="R420">
        <v>8.5</v>
      </c>
      <c r="S420" t="s">
        <v>1184</v>
      </c>
      <c r="T420" s="57">
        <f>IF(Dealps[[#This Row],[MATURITY_DATE]]-Dealps[[#This Row],[POSTED_DT]]&lt;0,0,IF(Dealps[[#This Row],[VALUE_DATE]]-Dealps[[#This Row],[POSTED_DT]]&gt;0,Dealps[[#This Row],[MATURITY_DATE]]-Dealps[[#This Row],[VALUE_DATE]],Dealps[[#This Row],[MATURITY_DATE]]-Dealps[[#This Row],[POSTED_DT]]))</f>
        <v>265</v>
      </c>
      <c r="U420" s="25">
        <f>IF(Dealps[[#This Row],[TENOR]]=0,0,IF(Dealps[[#This Row],[DEAL_TYPE]]="B",Dealps[[#This Row],[FACE_AMOUNT]],-Dealps[[#This Row],[FACE_AMOUNT]]))</f>
        <v>500000000000</v>
      </c>
      <c r="V420" s="25">
        <f>_xlfn.XLOOKUP(Dealps[[#This Row],[PAPER_CODE]],FNRP!D:D,FNRP!H:H,0,0)/100*Dealps[[#This Row],[AMOUNT]]</f>
        <v>0</v>
      </c>
      <c r="W420" s="57" t="str">
        <f>IF(Dealps[[#This Row],[TRANSACTION_STATUS]]&lt;&gt;"V","Ngoai BS",IF(Dealps[[#This Row],[POSTED_DT]]&gt;=Dealps[[#This Row],[VALUE_DATE]],"On BS","Off BS"))</f>
        <v>On BS</v>
      </c>
      <c r="X420" s="25">
        <f>SUMIFS(U:U,C:C,Dealps[[#This Row],[PAPER_CODE]])</f>
        <v>2000000000000</v>
      </c>
      <c r="Y420" s="25">
        <f>_xlfn.XLOOKUP(Dealps[[#This Row],[DEAL_ID]],Ref!N:N,Ref!Q:Q,0,0)</f>
        <v>0</v>
      </c>
      <c r="Z420" s="25" t="str">
        <f>IF(Dealps[[#This Row],[CPTY_CODE]]=Dealps[[#This Row],[CPTY_CODE_ISSUER]],"Yes","No")</f>
        <v>Yes</v>
      </c>
      <c r="AA420" s="25"/>
      <c r="AC420" s="14"/>
      <c r="AG420" s="96"/>
      <c r="AH420" s="25"/>
      <c r="AI420" s="25"/>
      <c r="AN420" s="14"/>
      <c r="AV420" s="36"/>
      <c r="AW420" s="14"/>
      <c r="AX420" s="234"/>
      <c r="AY420" s="96"/>
      <c r="AZ420" s="14"/>
      <c r="BA420"/>
      <c r="BB420" s="93">
        <v>46262</v>
      </c>
      <c r="BC420">
        <v>2846</v>
      </c>
      <c r="BD420" s="56" t="s">
        <v>1023</v>
      </c>
      <c r="BE420" t="s">
        <v>1011</v>
      </c>
      <c r="BF420" t="s">
        <v>1012</v>
      </c>
      <c r="BG420" t="s">
        <v>364</v>
      </c>
      <c r="BH420" t="s">
        <v>1013</v>
      </c>
      <c r="BI420" t="s">
        <v>311</v>
      </c>
      <c r="BJ420" s="93">
        <v>45959</v>
      </c>
      <c r="BK420" s="93">
        <v>45959</v>
      </c>
      <c r="BL420" s="93">
        <v>45959</v>
      </c>
      <c r="BM420" s="93">
        <v>46682</v>
      </c>
      <c r="BN420" s="14">
        <v>1</v>
      </c>
      <c r="BO420" s="14">
        <v>10000000000</v>
      </c>
      <c r="BP420" s="56">
        <v>100</v>
      </c>
      <c r="BQ420" s="56">
        <v>0</v>
      </c>
      <c r="BR420" s="14">
        <v>10011123288</v>
      </c>
      <c r="BS420">
        <v>5.7935559999999997</v>
      </c>
      <c r="BT420" t="s">
        <v>1184</v>
      </c>
      <c r="BU420" s="25">
        <f>_xlfn.XLOOKUP(Dealps_MSB[[#This Row],[DEAL_ID]],Ref!V:V,Ref!X:X,0,0)</f>
        <v>0</v>
      </c>
      <c r="BV420"/>
    </row>
    <row r="421" spans="1:74" x14ac:dyDescent="0.3">
      <c r="A421" s="93">
        <v>46262</v>
      </c>
      <c r="B421">
        <v>4306</v>
      </c>
      <c r="C421" s="56" t="s">
        <v>1292</v>
      </c>
      <c r="D421" t="s">
        <v>334</v>
      </c>
      <c r="E421" t="s">
        <v>334</v>
      </c>
      <c r="F421" t="s">
        <v>364</v>
      </c>
      <c r="G421" t="s">
        <v>310</v>
      </c>
      <c r="H421" t="s">
        <v>300</v>
      </c>
      <c r="I421" s="93">
        <v>46162</v>
      </c>
      <c r="J421" s="93">
        <v>46162</v>
      </c>
      <c r="K421" s="93">
        <v>46163</v>
      </c>
      <c r="L421" s="93">
        <v>46527</v>
      </c>
      <c r="M421" s="14">
        <v>1</v>
      </c>
      <c r="N421" s="14">
        <v>500000000000</v>
      </c>
      <c r="O421" s="56">
        <v>100</v>
      </c>
      <c r="P421" s="56">
        <v>0</v>
      </c>
      <c r="Q421" s="14">
        <v>500000000000</v>
      </c>
      <c r="R421">
        <v>8.5</v>
      </c>
      <c r="S421" t="s">
        <v>1184</v>
      </c>
      <c r="T421" s="57">
        <f>IF(Dealps[[#This Row],[MATURITY_DATE]]-Dealps[[#This Row],[POSTED_DT]]&lt;0,0,IF(Dealps[[#This Row],[VALUE_DATE]]-Dealps[[#This Row],[POSTED_DT]]&gt;0,Dealps[[#This Row],[MATURITY_DATE]]-Dealps[[#This Row],[VALUE_DATE]],Dealps[[#This Row],[MATURITY_DATE]]-Dealps[[#This Row],[POSTED_DT]]))</f>
        <v>265</v>
      </c>
      <c r="U421" s="25">
        <f>IF(Dealps[[#This Row],[TENOR]]=0,0,IF(Dealps[[#This Row],[DEAL_TYPE]]="B",Dealps[[#This Row],[FACE_AMOUNT]],-Dealps[[#This Row],[FACE_AMOUNT]]))</f>
        <v>500000000000</v>
      </c>
      <c r="V421" s="25">
        <f>_xlfn.XLOOKUP(Dealps[[#This Row],[PAPER_CODE]],FNRP!D:D,FNRP!H:H,0,0)/100*Dealps[[#This Row],[AMOUNT]]</f>
        <v>0</v>
      </c>
      <c r="W421" s="57" t="str">
        <f>IF(Dealps[[#This Row],[TRANSACTION_STATUS]]&lt;&gt;"V","Ngoai BS",IF(Dealps[[#This Row],[POSTED_DT]]&gt;=Dealps[[#This Row],[VALUE_DATE]],"On BS","Off BS"))</f>
        <v>On BS</v>
      </c>
      <c r="X421" s="25">
        <f>SUMIFS(U:U,C:C,Dealps[[#This Row],[PAPER_CODE]])</f>
        <v>2000000000000</v>
      </c>
      <c r="Y421" s="25">
        <f>_xlfn.XLOOKUP(Dealps[[#This Row],[DEAL_ID]],Ref!N:N,Ref!Q:Q,0,0)</f>
        <v>0</v>
      </c>
      <c r="Z421" s="25" t="str">
        <f>IF(Dealps[[#This Row],[CPTY_CODE]]=Dealps[[#This Row],[CPTY_CODE_ISSUER]],"Yes","No")</f>
        <v>Yes</v>
      </c>
      <c r="AA421" s="25"/>
      <c r="AC421" s="14"/>
      <c r="AG421" s="96"/>
      <c r="AH421" s="25"/>
      <c r="AI421" s="25"/>
      <c r="AN421" s="14"/>
      <c r="AV421" s="36"/>
      <c r="AW421" s="14"/>
      <c r="AX421" s="234"/>
      <c r="AY421" s="96"/>
      <c r="AZ421" s="14"/>
      <c r="BA421"/>
      <c r="BB421" s="93">
        <v>46262</v>
      </c>
      <c r="BC421">
        <v>2847</v>
      </c>
      <c r="BD421" s="56" t="s">
        <v>1023</v>
      </c>
      <c r="BE421" t="s">
        <v>1011</v>
      </c>
      <c r="BF421" t="s">
        <v>1012</v>
      </c>
      <c r="BG421" t="s">
        <v>364</v>
      </c>
      <c r="BH421" t="s">
        <v>1013</v>
      </c>
      <c r="BI421" t="s">
        <v>311</v>
      </c>
      <c r="BJ421" s="93">
        <v>45959</v>
      </c>
      <c r="BK421" s="93">
        <v>45959</v>
      </c>
      <c r="BL421" s="93">
        <v>45959</v>
      </c>
      <c r="BM421" s="93">
        <v>46682</v>
      </c>
      <c r="BN421" s="14">
        <v>1</v>
      </c>
      <c r="BO421" s="14">
        <v>10000000000</v>
      </c>
      <c r="BP421" s="56">
        <v>100</v>
      </c>
      <c r="BQ421" s="56">
        <v>0</v>
      </c>
      <c r="BR421" s="14">
        <v>10011123288</v>
      </c>
      <c r="BS421">
        <v>5.7935559999999997</v>
      </c>
      <c r="BT421" t="s">
        <v>1184</v>
      </c>
      <c r="BU421" s="25">
        <f>_xlfn.XLOOKUP(Dealps_MSB[[#This Row],[DEAL_ID]],Ref!V:V,Ref!X:X,0,0)</f>
        <v>0</v>
      </c>
      <c r="BV421"/>
    </row>
    <row r="422" spans="1:74" x14ac:dyDescent="0.3">
      <c r="A422" s="93">
        <v>46262</v>
      </c>
      <c r="B422">
        <v>4307</v>
      </c>
      <c r="C422" s="56" t="s">
        <v>1292</v>
      </c>
      <c r="D422" t="s">
        <v>334</v>
      </c>
      <c r="E422" t="s">
        <v>334</v>
      </c>
      <c r="F422" t="s">
        <v>364</v>
      </c>
      <c r="G422" t="s">
        <v>310</v>
      </c>
      <c r="H422" t="s">
        <v>300</v>
      </c>
      <c r="I422" s="93">
        <v>46162</v>
      </c>
      <c r="J422" s="93">
        <v>46162</v>
      </c>
      <c r="K422" s="93">
        <v>46163</v>
      </c>
      <c r="L422" s="93">
        <v>46527</v>
      </c>
      <c r="M422" s="14">
        <v>1</v>
      </c>
      <c r="N422" s="14">
        <v>500000000000</v>
      </c>
      <c r="O422" s="56">
        <v>100</v>
      </c>
      <c r="P422" s="56">
        <v>0</v>
      </c>
      <c r="Q422" s="14">
        <v>500000000000</v>
      </c>
      <c r="R422">
        <v>8.5</v>
      </c>
      <c r="S422" t="s">
        <v>1184</v>
      </c>
      <c r="T422" s="57">
        <f>IF(Dealps[[#This Row],[MATURITY_DATE]]-Dealps[[#This Row],[POSTED_DT]]&lt;0,0,IF(Dealps[[#This Row],[VALUE_DATE]]-Dealps[[#This Row],[POSTED_DT]]&gt;0,Dealps[[#This Row],[MATURITY_DATE]]-Dealps[[#This Row],[VALUE_DATE]],Dealps[[#This Row],[MATURITY_DATE]]-Dealps[[#This Row],[POSTED_DT]]))</f>
        <v>265</v>
      </c>
      <c r="U422" s="25">
        <f>IF(Dealps[[#This Row],[TENOR]]=0,0,IF(Dealps[[#This Row],[DEAL_TYPE]]="B",Dealps[[#This Row],[FACE_AMOUNT]],-Dealps[[#This Row],[FACE_AMOUNT]]))</f>
        <v>500000000000</v>
      </c>
      <c r="V422" s="25">
        <f>_xlfn.XLOOKUP(Dealps[[#This Row],[PAPER_CODE]],FNRP!D:D,FNRP!H:H,0,0)/100*Dealps[[#This Row],[AMOUNT]]</f>
        <v>0</v>
      </c>
      <c r="W422" s="57" t="str">
        <f>IF(Dealps[[#This Row],[TRANSACTION_STATUS]]&lt;&gt;"V","Ngoai BS",IF(Dealps[[#This Row],[POSTED_DT]]&gt;=Dealps[[#This Row],[VALUE_DATE]],"On BS","Off BS"))</f>
        <v>On BS</v>
      </c>
      <c r="X422" s="25">
        <f>SUMIFS(U:U,C:C,Dealps[[#This Row],[PAPER_CODE]])</f>
        <v>2000000000000</v>
      </c>
      <c r="Y422" s="25">
        <f>_xlfn.XLOOKUP(Dealps[[#This Row],[DEAL_ID]],Ref!N:N,Ref!Q:Q,0,0)</f>
        <v>0</v>
      </c>
      <c r="Z422" s="25" t="str">
        <f>IF(Dealps[[#This Row],[CPTY_CODE]]=Dealps[[#This Row],[CPTY_CODE_ISSUER]],"Yes","No")</f>
        <v>Yes</v>
      </c>
      <c r="AA422" s="25"/>
      <c r="AC422" s="14"/>
      <c r="AG422" s="96"/>
      <c r="AH422" s="25"/>
      <c r="AI422" s="25"/>
      <c r="AN422" s="14"/>
      <c r="AV422" s="36"/>
      <c r="AW422" s="14"/>
      <c r="AX422" s="234"/>
      <c r="AY422" s="96"/>
      <c r="AZ422" s="14"/>
      <c r="BA422"/>
      <c r="BB422" s="93">
        <v>46262</v>
      </c>
      <c r="BC422">
        <v>2864</v>
      </c>
      <c r="BD422" s="56" t="s">
        <v>1023</v>
      </c>
      <c r="BE422" t="s">
        <v>1011</v>
      </c>
      <c r="BF422" t="s">
        <v>1012</v>
      </c>
      <c r="BG422" t="s">
        <v>364</v>
      </c>
      <c r="BH422" t="s">
        <v>1013</v>
      </c>
      <c r="BI422" t="s">
        <v>311</v>
      </c>
      <c r="BJ422" s="93">
        <v>45961</v>
      </c>
      <c r="BK422" s="93">
        <v>45961</v>
      </c>
      <c r="BL422" s="93">
        <v>45961</v>
      </c>
      <c r="BM422" s="93">
        <v>46682</v>
      </c>
      <c r="BN422" s="14">
        <v>1</v>
      </c>
      <c r="BO422" s="14">
        <v>20000000000</v>
      </c>
      <c r="BP422" s="56">
        <v>100</v>
      </c>
      <c r="BQ422" s="56">
        <v>0</v>
      </c>
      <c r="BR422" s="14">
        <v>20028602740</v>
      </c>
      <c r="BS422">
        <v>5.7917170000000002</v>
      </c>
      <c r="BT422" t="s">
        <v>1184</v>
      </c>
      <c r="BU422" s="25">
        <f>_xlfn.XLOOKUP(Dealps_MSB[[#This Row],[DEAL_ID]],Ref!V:V,Ref!X:X,0,0)</f>
        <v>0</v>
      </c>
      <c r="BV422"/>
    </row>
    <row r="423" spans="1:74" x14ac:dyDescent="0.3">
      <c r="A423" s="93">
        <v>46262</v>
      </c>
      <c r="B423">
        <v>4309</v>
      </c>
      <c r="C423" s="56" t="s">
        <v>1071</v>
      </c>
      <c r="D423" t="s">
        <v>328</v>
      </c>
      <c r="E423" t="s">
        <v>322</v>
      </c>
      <c r="F423" t="s">
        <v>364</v>
      </c>
      <c r="G423" t="s">
        <v>310</v>
      </c>
      <c r="H423" t="s">
        <v>300</v>
      </c>
      <c r="I423" s="93">
        <v>46163</v>
      </c>
      <c r="J423" s="93">
        <v>46150</v>
      </c>
      <c r="K423" s="93">
        <v>46163</v>
      </c>
      <c r="L423" s="93">
        <v>46352</v>
      </c>
      <c r="M423" s="14">
        <v>1</v>
      </c>
      <c r="N423" s="14">
        <v>500000000000</v>
      </c>
      <c r="O423" s="56">
        <v>99.983026038000006</v>
      </c>
      <c r="P423" s="56">
        <v>0</v>
      </c>
      <c r="Q423" s="14">
        <v>515737047999.99994</v>
      </c>
      <c r="R423">
        <v>6.4303900000000001</v>
      </c>
      <c r="S423" t="s">
        <v>1184</v>
      </c>
      <c r="T423" s="57">
        <f>IF(Dealps[[#This Row],[MATURITY_DATE]]-Dealps[[#This Row],[POSTED_DT]]&lt;0,0,IF(Dealps[[#This Row],[VALUE_DATE]]-Dealps[[#This Row],[POSTED_DT]]&gt;0,Dealps[[#This Row],[MATURITY_DATE]]-Dealps[[#This Row],[VALUE_DATE]],Dealps[[#This Row],[MATURITY_DATE]]-Dealps[[#This Row],[POSTED_DT]]))</f>
        <v>90</v>
      </c>
      <c r="U423" s="25">
        <f>IF(Dealps[[#This Row],[TENOR]]=0,0,IF(Dealps[[#This Row],[DEAL_TYPE]]="B",Dealps[[#This Row],[FACE_AMOUNT]],-Dealps[[#This Row],[FACE_AMOUNT]]))</f>
        <v>500000000000</v>
      </c>
      <c r="V423" s="25">
        <f>_xlfn.XLOOKUP(Dealps[[#This Row],[PAPER_CODE]],FNRP!D:D,FNRP!H:H,0,0)/100*Dealps[[#This Row],[AMOUNT]]</f>
        <v>0</v>
      </c>
      <c r="W423" s="57" t="str">
        <f>IF(Dealps[[#This Row],[TRANSACTION_STATUS]]&lt;&gt;"V","Ngoai BS",IF(Dealps[[#This Row],[POSTED_DT]]&gt;=Dealps[[#This Row],[VALUE_DATE]],"On BS","Off BS"))</f>
        <v>On BS</v>
      </c>
      <c r="X423" s="25">
        <f>SUMIFS(U:U,C:C,Dealps[[#This Row],[PAPER_CODE]])</f>
        <v>1500000000000</v>
      </c>
      <c r="Y423" s="25">
        <f>_xlfn.XLOOKUP(Dealps[[#This Row],[DEAL_ID]],Ref!N:N,Ref!Q:Q,0,0)</f>
        <v>0</v>
      </c>
      <c r="Z423" s="25" t="str">
        <f>IF(Dealps[[#This Row],[CPTY_CODE]]=Dealps[[#This Row],[CPTY_CODE_ISSUER]],"Yes","No")</f>
        <v>No</v>
      </c>
      <c r="AA423" s="25"/>
      <c r="AC423" s="14"/>
      <c r="AG423" s="96"/>
      <c r="AH423" s="25"/>
      <c r="AI423" s="25"/>
      <c r="AN423" s="14"/>
      <c r="AV423" s="36"/>
      <c r="AW423" s="14"/>
      <c r="AX423" s="234"/>
      <c r="AY423" s="96"/>
      <c r="AZ423" s="14"/>
      <c r="BA423"/>
      <c r="BB423" s="93">
        <v>46262</v>
      </c>
      <c r="BC423">
        <v>2865</v>
      </c>
      <c r="BD423" s="56" t="s">
        <v>1023</v>
      </c>
      <c r="BE423" t="s">
        <v>1011</v>
      </c>
      <c r="BF423" t="s">
        <v>1012</v>
      </c>
      <c r="BG423" t="s">
        <v>364</v>
      </c>
      <c r="BH423" t="s">
        <v>1013</v>
      </c>
      <c r="BI423" t="s">
        <v>311</v>
      </c>
      <c r="BJ423" s="93">
        <v>45961</v>
      </c>
      <c r="BK423" s="93">
        <v>45961</v>
      </c>
      <c r="BL423" s="93">
        <v>45961</v>
      </c>
      <c r="BM423" s="93">
        <v>46682</v>
      </c>
      <c r="BN423" s="14">
        <v>1</v>
      </c>
      <c r="BO423" s="14">
        <v>30000000000</v>
      </c>
      <c r="BP423" s="56">
        <v>100</v>
      </c>
      <c r="BQ423" s="56">
        <v>0</v>
      </c>
      <c r="BR423" s="14">
        <v>30042904110</v>
      </c>
      <c r="BS423">
        <v>5.7917170000000002</v>
      </c>
      <c r="BT423" t="s">
        <v>1184</v>
      </c>
      <c r="BU423" s="25">
        <f>_xlfn.XLOOKUP(Dealps_MSB[[#This Row],[DEAL_ID]],Ref!V:V,Ref!X:X,0,0)</f>
        <v>0</v>
      </c>
      <c r="BV423"/>
    </row>
    <row r="424" spans="1:74" x14ac:dyDescent="0.3">
      <c r="A424" s="93">
        <v>46262</v>
      </c>
      <c r="B424">
        <v>4310</v>
      </c>
      <c r="C424" s="56" t="s">
        <v>1061</v>
      </c>
      <c r="D424" t="s">
        <v>312</v>
      </c>
      <c r="E424" t="s">
        <v>322</v>
      </c>
      <c r="F424" t="s">
        <v>364</v>
      </c>
      <c r="G424" t="s">
        <v>310</v>
      </c>
      <c r="H424" t="s">
        <v>311</v>
      </c>
      <c r="I424" s="93">
        <v>46163</v>
      </c>
      <c r="J424" s="93">
        <v>46163</v>
      </c>
      <c r="K424" s="93">
        <v>46163</v>
      </c>
      <c r="L424" s="93">
        <v>46343</v>
      </c>
      <c r="M424" s="14">
        <v>1</v>
      </c>
      <c r="N424" s="14">
        <v>300000000000</v>
      </c>
      <c r="O424" s="56">
        <v>99.462483989000006</v>
      </c>
      <c r="P424" s="56">
        <v>0</v>
      </c>
      <c r="Q424" s="14">
        <v>307915123200</v>
      </c>
      <c r="R424">
        <v>7.2</v>
      </c>
      <c r="S424" t="s">
        <v>1184</v>
      </c>
      <c r="T424" s="57">
        <f>IF(Dealps[[#This Row],[MATURITY_DATE]]-Dealps[[#This Row],[POSTED_DT]]&lt;0,0,IF(Dealps[[#This Row],[VALUE_DATE]]-Dealps[[#This Row],[POSTED_DT]]&gt;0,Dealps[[#This Row],[MATURITY_DATE]]-Dealps[[#This Row],[VALUE_DATE]],Dealps[[#This Row],[MATURITY_DATE]]-Dealps[[#This Row],[POSTED_DT]]))</f>
        <v>81</v>
      </c>
      <c r="U424" s="25">
        <f>IF(Dealps[[#This Row],[TENOR]]=0,0,IF(Dealps[[#This Row],[DEAL_TYPE]]="B",Dealps[[#This Row],[FACE_AMOUNT]],-Dealps[[#This Row],[FACE_AMOUNT]]))</f>
        <v>-300000000000</v>
      </c>
      <c r="V424" s="25">
        <f>_xlfn.XLOOKUP(Dealps[[#This Row],[PAPER_CODE]],FNRP!D:D,FNRP!H:H,0,0)/100*Dealps[[#This Row],[AMOUNT]]</f>
        <v>0</v>
      </c>
      <c r="W424" s="57" t="str">
        <f>IF(Dealps[[#This Row],[TRANSACTION_STATUS]]&lt;&gt;"V","Ngoai BS",IF(Dealps[[#This Row],[POSTED_DT]]&gt;=Dealps[[#This Row],[VALUE_DATE]],"On BS","Off BS"))</f>
        <v>On BS</v>
      </c>
      <c r="X424" s="25">
        <f>SUMIFS(U:U,C:C,Dealps[[#This Row],[PAPER_CODE]])</f>
        <v>1500000000000</v>
      </c>
      <c r="Y424" s="25">
        <f>_xlfn.XLOOKUP(Dealps[[#This Row],[DEAL_ID]],Ref!N:N,Ref!Q:Q,0,0)</f>
        <v>0</v>
      </c>
      <c r="Z424" s="25" t="str">
        <f>IF(Dealps[[#This Row],[CPTY_CODE]]=Dealps[[#This Row],[CPTY_CODE_ISSUER]],"Yes","No")</f>
        <v>No</v>
      </c>
      <c r="AA424" s="25"/>
      <c r="AC424" s="14"/>
      <c r="AG424" s="96"/>
      <c r="AH424" s="25"/>
      <c r="AI424" s="25"/>
      <c r="AN424" s="14"/>
      <c r="AV424" s="36"/>
      <c r="AW424" s="14"/>
      <c r="AX424" s="234"/>
      <c r="AY424" s="96"/>
      <c r="AZ424" s="14"/>
      <c r="BA424"/>
      <c r="BB424" s="93">
        <v>46262</v>
      </c>
      <c r="BC424">
        <v>2867</v>
      </c>
      <c r="BD424" s="56" t="s">
        <v>1023</v>
      </c>
      <c r="BE424" t="s">
        <v>1011</v>
      </c>
      <c r="BF424" t="s">
        <v>1012</v>
      </c>
      <c r="BG424" t="s">
        <v>364</v>
      </c>
      <c r="BH424" t="s">
        <v>1013</v>
      </c>
      <c r="BI424" t="s">
        <v>311</v>
      </c>
      <c r="BJ424" s="93">
        <v>45964</v>
      </c>
      <c r="BK424" s="93">
        <v>45964</v>
      </c>
      <c r="BL424" s="93">
        <v>45964</v>
      </c>
      <c r="BM424" s="93">
        <v>46682</v>
      </c>
      <c r="BN424" s="14">
        <v>1</v>
      </c>
      <c r="BO424" s="14">
        <v>10000000000</v>
      </c>
      <c r="BP424" s="56">
        <v>100</v>
      </c>
      <c r="BQ424" s="56">
        <v>0</v>
      </c>
      <c r="BR424" s="14">
        <v>10019068493</v>
      </c>
      <c r="BS424">
        <v>5.7889609999999996</v>
      </c>
      <c r="BT424" t="s">
        <v>1184</v>
      </c>
      <c r="BU424" s="25">
        <f>_xlfn.XLOOKUP(Dealps_MSB[[#This Row],[DEAL_ID]],Ref!V:V,Ref!X:X,0,0)</f>
        <v>0</v>
      </c>
      <c r="BV424"/>
    </row>
    <row r="425" spans="1:74" x14ac:dyDescent="0.3">
      <c r="A425" s="93">
        <v>46262</v>
      </c>
      <c r="B425">
        <v>4311</v>
      </c>
      <c r="C425" s="56" t="s">
        <v>1258</v>
      </c>
      <c r="D425" t="s">
        <v>321</v>
      </c>
      <c r="E425" t="s">
        <v>347</v>
      </c>
      <c r="F425" t="s">
        <v>364</v>
      </c>
      <c r="G425" t="s">
        <v>310</v>
      </c>
      <c r="H425" t="s">
        <v>311</v>
      </c>
      <c r="I425" s="93">
        <v>46163</v>
      </c>
      <c r="J425" s="93">
        <v>46168</v>
      </c>
      <c r="K425" s="93">
        <v>46168</v>
      </c>
      <c r="L425" s="93">
        <v>46485</v>
      </c>
      <c r="M425" s="14">
        <v>1</v>
      </c>
      <c r="N425" s="14">
        <v>1000000000000</v>
      </c>
      <c r="O425" s="56">
        <v>101.090812458</v>
      </c>
      <c r="P425" s="56">
        <v>0</v>
      </c>
      <c r="Q425" s="14">
        <v>1020573878000</v>
      </c>
      <c r="R425">
        <v>7</v>
      </c>
      <c r="S425" t="s">
        <v>1184</v>
      </c>
      <c r="T425" s="57">
        <f>IF(Dealps[[#This Row],[MATURITY_DATE]]-Dealps[[#This Row],[POSTED_DT]]&lt;0,0,IF(Dealps[[#This Row],[VALUE_DATE]]-Dealps[[#This Row],[POSTED_DT]]&gt;0,Dealps[[#This Row],[MATURITY_DATE]]-Dealps[[#This Row],[VALUE_DATE]],Dealps[[#This Row],[MATURITY_DATE]]-Dealps[[#This Row],[POSTED_DT]]))</f>
        <v>223</v>
      </c>
      <c r="U425" s="25">
        <f>IF(Dealps[[#This Row],[TENOR]]=0,0,IF(Dealps[[#This Row],[DEAL_TYPE]]="B",Dealps[[#This Row],[FACE_AMOUNT]],-Dealps[[#This Row],[FACE_AMOUNT]]))</f>
        <v>-1000000000000</v>
      </c>
      <c r="V425" s="25">
        <f>_xlfn.XLOOKUP(Dealps[[#This Row],[PAPER_CODE]],FNRP!D:D,FNRP!H:H,0,0)/100*Dealps[[#This Row],[AMOUNT]]</f>
        <v>0</v>
      </c>
      <c r="W425" s="57" t="str">
        <f>IF(Dealps[[#This Row],[TRANSACTION_STATUS]]&lt;&gt;"V","Ngoai BS",IF(Dealps[[#This Row],[POSTED_DT]]&gt;=Dealps[[#This Row],[VALUE_DATE]],"On BS","Off BS"))</f>
        <v>On BS</v>
      </c>
      <c r="X425" s="25">
        <f>SUMIFS(U:U,C:C,Dealps[[#This Row],[PAPER_CODE]])</f>
        <v>2000000000000</v>
      </c>
      <c r="Y425" s="25">
        <f>_xlfn.XLOOKUP(Dealps[[#This Row],[DEAL_ID]],Ref!N:N,Ref!Q:Q,0,0)</f>
        <v>0</v>
      </c>
      <c r="Z425" s="25" t="str">
        <f>IF(Dealps[[#This Row],[CPTY_CODE]]=Dealps[[#This Row],[CPTY_CODE_ISSUER]],"Yes","No")</f>
        <v>No</v>
      </c>
      <c r="AA425" s="25"/>
      <c r="AC425" s="14"/>
      <c r="AG425" s="96"/>
      <c r="AH425" s="25"/>
      <c r="AI425" s="25"/>
      <c r="AN425" s="14"/>
      <c r="AV425" s="36"/>
      <c r="AW425" s="14"/>
      <c r="AX425" s="234"/>
      <c r="AY425" s="96"/>
      <c r="AZ425" s="14"/>
      <c r="BA425"/>
      <c r="BB425" s="93">
        <v>46262</v>
      </c>
      <c r="BC425">
        <v>2868</v>
      </c>
      <c r="BD425" s="56" t="s">
        <v>1023</v>
      </c>
      <c r="BE425" t="s">
        <v>1011</v>
      </c>
      <c r="BF425" t="s">
        <v>1012</v>
      </c>
      <c r="BG425" t="s">
        <v>364</v>
      </c>
      <c r="BH425" t="s">
        <v>1013</v>
      </c>
      <c r="BI425" t="s">
        <v>311</v>
      </c>
      <c r="BJ425" s="93">
        <v>45964</v>
      </c>
      <c r="BK425" s="93">
        <v>45964</v>
      </c>
      <c r="BL425" s="93">
        <v>45964</v>
      </c>
      <c r="BM425" s="93">
        <v>46682</v>
      </c>
      <c r="BN425" s="14">
        <v>1</v>
      </c>
      <c r="BO425" s="14">
        <v>10000000000</v>
      </c>
      <c r="BP425" s="56">
        <v>100</v>
      </c>
      <c r="BQ425" s="56">
        <v>0</v>
      </c>
      <c r="BR425" s="14">
        <v>10019068493</v>
      </c>
      <c r="BS425">
        <v>5.7889609999999996</v>
      </c>
      <c r="BT425" t="s">
        <v>1184</v>
      </c>
      <c r="BU425" s="25">
        <f>_xlfn.XLOOKUP(Dealps_MSB[[#This Row],[DEAL_ID]],Ref!V:V,Ref!X:X,0,0)</f>
        <v>0</v>
      </c>
      <c r="BV425"/>
    </row>
    <row r="426" spans="1:74" x14ac:dyDescent="0.3">
      <c r="A426" s="93">
        <v>46262</v>
      </c>
      <c r="B426">
        <v>4313</v>
      </c>
      <c r="C426" s="56" t="s">
        <v>1239</v>
      </c>
      <c r="D426" t="s">
        <v>384</v>
      </c>
      <c r="E426" t="s">
        <v>1015</v>
      </c>
      <c r="F426" t="s">
        <v>364</v>
      </c>
      <c r="G426" t="s">
        <v>310</v>
      </c>
      <c r="H426" t="s">
        <v>311</v>
      </c>
      <c r="I426" s="93">
        <v>46163</v>
      </c>
      <c r="J426" s="93">
        <v>46170</v>
      </c>
      <c r="K426" s="93">
        <v>46170</v>
      </c>
      <c r="L426" s="93">
        <v>46493</v>
      </c>
      <c r="M426" s="14">
        <v>1</v>
      </c>
      <c r="N426" s="14">
        <v>50000000000</v>
      </c>
      <c r="O426" s="56">
        <v>98.958708599999994</v>
      </c>
      <c r="P426" s="56">
        <v>0</v>
      </c>
      <c r="Q426" s="14">
        <v>50369354300</v>
      </c>
      <c r="R426">
        <v>10.002800000000001</v>
      </c>
      <c r="S426" t="s">
        <v>1184</v>
      </c>
      <c r="T426" s="57">
        <f>IF(Dealps[[#This Row],[MATURITY_DATE]]-Dealps[[#This Row],[POSTED_DT]]&lt;0,0,IF(Dealps[[#This Row],[VALUE_DATE]]-Dealps[[#This Row],[POSTED_DT]]&gt;0,Dealps[[#This Row],[MATURITY_DATE]]-Dealps[[#This Row],[VALUE_DATE]],Dealps[[#This Row],[MATURITY_DATE]]-Dealps[[#This Row],[POSTED_DT]]))</f>
        <v>231</v>
      </c>
      <c r="U426" s="25">
        <f>IF(Dealps[[#This Row],[TENOR]]=0,0,IF(Dealps[[#This Row],[DEAL_TYPE]]="B",Dealps[[#This Row],[FACE_AMOUNT]],-Dealps[[#This Row],[FACE_AMOUNT]]))</f>
        <v>-50000000000</v>
      </c>
      <c r="V426" s="25">
        <f>_xlfn.XLOOKUP(Dealps[[#This Row],[PAPER_CODE]],FNRP!D:D,FNRP!H:H,0,0)/100*Dealps[[#This Row],[AMOUNT]]</f>
        <v>0</v>
      </c>
      <c r="W426" s="57" t="str">
        <f>IF(Dealps[[#This Row],[TRANSACTION_STATUS]]&lt;&gt;"V","Ngoai BS",IF(Dealps[[#This Row],[POSTED_DT]]&gt;=Dealps[[#This Row],[VALUE_DATE]],"On BS","Off BS"))</f>
        <v>On BS</v>
      </c>
      <c r="X426" s="25">
        <f>SUMIFS(U:U,C:C,Dealps[[#This Row],[PAPER_CODE]])</f>
        <v>300000000000</v>
      </c>
      <c r="Y426" s="25">
        <f>_xlfn.XLOOKUP(Dealps[[#This Row],[DEAL_ID]],Ref!N:N,Ref!Q:Q,0,0)</f>
        <v>0</v>
      </c>
      <c r="Z426" s="25" t="str">
        <f>IF(Dealps[[#This Row],[CPTY_CODE]]=Dealps[[#This Row],[CPTY_CODE_ISSUER]],"Yes","No")</f>
        <v>No</v>
      </c>
      <c r="AA426" s="25"/>
      <c r="AC426" s="14"/>
      <c r="AG426" s="96"/>
      <c r="AH426" s="25"/>
      <c r="AI426" s="25"/>
      <c r="AN426" s="14"/>
      <c r="AV426" s="36"/>
      <c r="AW426" s="14"/>
      <c r="AX426" s="234"/>
      <c r="AY426" s="96"/>
      <c r="AZ426" s="14"/>
      <c r="BA426"/>
      <c r="BB426" s="93">
        <v>46262</v>
      </c>
      <c r="BC426">
        <v>2933</v>
      </c>
      <c r="BD426" s="56" t="s">
        <v>1023</v>
      </c>
      <c r="BE426" t="s">
        <v>1011</v>
      </c>
      <c r="BF426" t="s">
        <v>1012</v>
      </c>
      <c r="BG426" t="s">
        <v>364</v>
      </c>
      <c r="BH426" t="s">
        <v>1013</v>
      </c>
      <c r="BI426" t="s">
        <v>311</v>
      </c>
      <c r="BJ426" s="93">
        <v>45973</v>
      </c>
      <c r="BK426" s="93">
        <v>45973</v>
      </c>
      <c r="BL426" s="93">
        <v>45973</v>
      </c>
      <c r="BM426" s="93">
        <v>46682</v>
      </c>
      <c r="BN426" s="14">
        <v>1</v>
      </c>
      <c r="BO426" s="14">
        <v>40000000000</v>
      </c>
      <c r="BP426" s="56">
        <v>100</v>
      </c>
      <c r="BQ426" s="56">
        <v>0</v>
      </c>
      <c r="BR426" s="14">
        <v>40133479452</v>
      </c>
      <c r="BS426">
        <v>5.78071</v>
      </c>
      <c r="BT426" t="s">
        <v>1184</v>
      </c>
      <c r="BU426" s="25">
        <f>_xlfn.XLOOKUP(Dealps_MSB[[#This Row],[DEAL_ID]],Ref!V:V,Ref!X:X,0,0)</f>
        <v>0</v>
      </c>
      <c r="BV426"/>
    </row>
    <row r="427" spans="1:74" x14ac:dyDescent="0.3">
      <c r="A427" s="93">
        <v>46262</v>
      </c>
      <c r="B427">
        <v>4314</v>
      </c>
      <c r="C427" s="56" t="s">
        <v>1158</v>
      </c>
      <c r="D427" t="s">
        <v>327</v>
      </c>
      <c r="E427" t="s">
        <v>322</v>
      </c>
      <c r="F427" t="s">
        <v>364</v>
      </c>
      <c r="G427" t="s">
        <v>310</v>
      </c>
      <c r="H427" t="s">
        <v>300</v>
      </c>
      <c r="I427" s="93">
        <v>46164</v>
      </c>
      <c r="J427" s="93">
        <v>46153</v>
      </c>
      <c r="K427" s="93">
        <v>46164</v>
      </c>
      <c r="L427" s="93">
        <v>46409</v>
      </c>
      <c r="M427" s="14">
        <v>1</v>
      </c>
      <c r="N427" s="14">
        <v>500000000000</v>
      </c>
      <c r="O427" s="56">
        <v>100.043012565</v>
      </c>
      <c r="P427" s="56">
        <v>0</v>
      </c>
      <c r="Q427" s="14">
        <v>511952049124</v>
      </c>
      <c r="R427">
        <v>6.9693250000000004</v>
      </c>
      <c r="S427" t="s">
        <v>1184</v>
      </c>
      <c r="T427" s="57">
        <f>IF(Dealps[[#This Row],[MATURITY_DATE]]-Dealps[[#This Row],[POSTED_DT]]&lt;0,0,IF(Dealps[[#This Row],[VALUE_DATE]]-Dealps[[#This Row],[POSTED_DT]]&gt;0,Dealps[[#This Row],[MATURITY_DATE]]-Dealps[[#This Row],[VALUE_DATE]],Dealps[[#This Row],[MATURITY_DATE]]-Dealps[[#This Row],[POSTED_DT]]))</f>
        <v>147</v>
      </c>
      <c r="U427" s="25">
        <f>IF(Dealps[[#This Row],[TENOR]]=0,0,IF(Dealps[[#This Row],[DEAL_TYPE]]="B",Dealps[[#This Row],[FACE_AMOUNT]],-Dealps[[#This Row],[FACE_AMOUNT]]))</f>
        <v>500000000000</v>
      </c>
      <c r="V427" s="25">
        <f>_xlfn.XLOOKUP(Dealps[[#This Row],[PAPER_CODE]],FNRP!D:D,FNRP!H:H,0,0)/100*Dealps[[#This Row],[AMOUNT]]</f>
        <v>0</v>
      </c>
      <c r="W427" s="57" t="str">
        <f>IF(Dealps[[#This Row],[TRANSACTION_STATUS]]&lt;&gt;"V","Ngoai BS",IF(Dealps[[#This Row],[POSTED_DT]]&gt;=Dealps[[#This Row],[VALUE_DATE]],"On BS","Off BS"))</f>
        <v>On BS</v>
      </c>
      <c r="X427" s="25">
        <f>SUMIFS(U:U,C:C,Dealps[[#This Row],[PAPER_CODE]])</f>
        <v>2000000000000</v>
      </c>
      <c r="Y427" s="25">
        <f>_xlfn.XLOOKUP(Dealps[[#This Row],[DEAL_ID]],Ref!N:N,Ref!Q:Q,0,0)</f>
        <v>0</v>
      </c>
      <c r="Z427" s="25" t="str">
        <f>IF(Dealps[[#This Row],[CPTY_CODE]]=Dealps[[#This Row],[CPTY_CODE_ISSUER]],"Yes","No")</f>
        <v>No</v>
      </c>
      <c r="AA427" s="25"/>
      <c r="AC427" s="14"/>
      <c r="AG427" s="96"/>
      <c r="AH427" s="25"/>
      <c r="AI427" s="25"/>
      <c r="AN427" s="14"/>
      <c r="AV427" s="36"/>
      <c r="AW427" s="14"/>
      <c r="AX427" s="234"/>
      <c r="AY427" s="96"/>
      <c r="AZ427" s="14"/>
      <c r="BA427"/>
      <c r="BB427" s="93">
        <v>46262</v>
      </c>
      <c r="BC427">
        <v>2934</v>
      </c>
      <c r="BD427" s="56" t="s">
        <v>1023</v>
      </c>
      <c r="BE427" t="s">
        <v>1011</v>
      </c>
      <c r="BF427" t="s">
        <v>1012</v>
      </c>
      <c r="BG427" t="s">
        <v>364</v>
      </c>
      <c r="BH427" t="s">
        <v>1013</v>
      </c>
      <c r="BI427" t="s">
        <v>311</v>
      </c>
      <c r="BJ427" s="93">
        <v>45973</v>
      </c>
      <c r="BK427" s="93">
        <v>45973</v>
      </c>
      <c r="BL427" s="93">
        <v>45973</v>
      </c>
      <c r="BM427" s="93">
        <v>46682</v>
      </c>
      <c r="BN427" s="14">
        <v>1</v>
      </c>
      <c r="BO427" s="14">
        <v>40000000000</v>
      </c>
      <c r="BP427" s="56">
        <v>100</v>
      </c>
      <c r="BQ427" s="56">
        <v>0</v>
      </c>
      <c r="BR427" s="14">
        <v>40133479452</v>
      </c>
      <c r="BS427">
        <v>5.78071</v>
      </c>
      <c r="BT427" t="s">
        <v>1184</v>
      </c>
      <c r="BU427" s="25">
        <f>_xlfn.XLOOKUP(Dealps_MSB[[#This Row],[DEAL_ID]],Ref!V:V,Ref!X:X,0,0)</f>
        <v>0</v>
      </c>
      <c r="BV427"/>
    </row>
    <row r="428" spans="1:74" x14ac:dyDescent="0.3">
      <c r="A428" s="93">
        <v>46262</v>
      </c>
      <c r="B428">
        <v>4323</v>
      </c>
      <c r="C428" s="56" t="s">
        <v>1204</v>
      </c>
      <c r="D428" t="s">
        <v>315</v>
      </c>
      <c r="E428" t="s">
        <v>318</v>
      </c>
      <c r="F428" t="s">
        <v>364</v>
      </c>
      <c r="G428" t="s">
        <v>310</v>
      </c>
      <c r="H428" t="s">
        <v>300</v>
      </c>
      <c r="I428" s="93">
        <v>46167</v>
      </c>
      <c r="J428" s="93">
        <v>46155</v>
      </c>
      <c r="K428" s="93">
        <v>46167</v>
      </c>
      <c r="L428" s="93">
        <v>46422</v>
      </c>
      <c r="M428" s="14">
        <v>1</v>
      </c>
      <c r="N428" s="14">
        <v>400000000000</v>
      </c>
      <c r="O428" s="56">
        <v>100.198746992</v>
      </c>
      <c r="P428" s="56">
        <v>0</v>
      </c>
      <c r="Q428" s="14">
        <v>409522659200</v>
      </c>
      <c r="R428">
        <v>6.7937820000000002</v>
      </c>
      <c r="S428" t="s">
        <v>1184</v>
      </c>
      <c r="T428" s="57">
        <f>IF(Dealps[[#This Row],[MATURITY_DATE]]-Dealps[[#This Row],[POSTED_DT]]&lt;0,0,IF(Dealps[[#This Row],[VALUE_DATE]]-Dealps[[#This Row],[POSTED_DT]]&gt;0,Dealps[[#This Row],[MATURITY_DATE]]-Dealps[[#This Row],[VALUE_DATE]],Dealps[[#This Row],[MATURITY_DATE]]-Dealps[[#This Row],[POSTED_DT]]))</f>
        <v>160</v>
      </c>
      <c r="U428" s="25">
        <f>IF(Dealps[[#This Row],[TENOR]]=0,0,IF(Dealps[[#This Row],[DEAL_TYPE]]="B",Dealps[[#This Row],[FACE_AMOUNT]],-Dealps[[#This Row],[FACE_AMOUNT]]))</f>
        <v>400000000000</v>
      </c>
      <c r="V428" s="25">
        <f>_xlfn.XLOOKUP(Dealps[[#This Row],[PAPER_CODE]],FNRP!D:D,FNRP!H:H,0,0)/100*Dealps[[#This Row],[AMOUNT]]</f>
        <v>0</v>
      </c>
      <c r="W428" s="57" t="str">
        <f>IF(Dealps[[#This Row],[TRANSACTION_STATUS]]&lt;&gt;"V","Ngoai BS",IF(Dealps[[#This Row],[POSTED_DT]]&gt;=Dealps[[#This Row],[VALUE_DATE]],"On BS","Off BS"))</f>
        <v>On BS</v>
      </c>
      <c r="X428" s="25">
        <f>SUMIFS(U:U,C:C,Dealps[[#This Row],[PAPER_CODE]])</f>
        <v>1000000000000</v>
      </c>
      <c r="Y428" s="25">
        <f>_xlfn.XLOOKUP(Dealps[[#This Row],[DEAL_ID]],Ref!N:N,Ref!Q:Q,0,0)</f>
        <v>0</v>
      </c>
      <c r="Z428" s="25" t="str">
        <f>IF(Dealps[[#This Row],[CPTY_CODE]]=Dealps[[#This Row],[CPTY_CODE_ISSUER]],"Yes","No")</f>
        <v>No</v>
      </c>
      <c r="AA428" s="25"/>
      <c r="AC428" s="14"/>
      <c r="AG428" s="96"/>
      <c r="AH428" s="25"/>
      <c r="AI428" s="25"/>
      <c r="AN428" s="14"/>
      <c r="AV428" s="36"/>
      <c r="AW428" s="14"/>
      <c r="AX428" s="234"/>
      <c r="AY428" s="96"/>
      <c r="AZ428" s="14"/>
      <c r="BA428"/>
      <c r="BB428" s="93">
        <v>46262</v>
      </c>
      <c r="BC428">
        <v>2935</v>
      </c>
      <c r="BD428" s="56" t="s">
        <v>1023</v>
      </c>
      <c r="BE428" t="s">
        <v>1011</v>
      </c>
      <c r="BF428" t="s">
        <v>1012</v>
      </c>
      <c r="BG428" t="s">
        <v>364</v>
      </c>
      <c r="BH428" t="s">
        <v>1013</v>
      </c>
      <c r="BI428" t="s">
        <v>311</v>
      </c>
      <c r="BJ428" s="93">
        <v>45973</v>
      </c>
      <c r="BK428" s="93">
        <v>45973</v>
      </c>
      <c r="BL428" s="93">
        <v>45973</v>
      </c>
      <c r="BM428" s="93">
        <v>46682</v>
      </c>
      <c r="BN428" s="14">
        <v>1</v>
      </c>
      <c r="BO428" s="14">
        <v>40000000000</v>
      </c>
      <c r="BP428" s="56">
        <v>100</v>
      </c>
      <c r="BQ428" s="56">
        <v>0</v>
      </c>
      <c r="BR428" s="14">
        <v>40133479452</v>
      </c>
      <c r="BS428">
        <v>5.78071</v>
      </c>
      <c r="BT428" t="s">
        <v>1184</v>
      </c>
      <c r="BU428" s="25">
        <f>_xlfn.XLOOKUP(Dealps_MSB[[#This Row],[DEAL_ID]],Ref!V:V,Ref!X:X,0,0)</f>
        <v>0</v>
      </c>
      <c r="BV428"/>
    </row>
    <row r="429" spans="1:74" x14ac:dyDescent="0.3">
      <c r="A429" s="93">
        <v>46262</v>
      </c>
      <c r="B429">
        <v>4324</v>
      </c>
      <c r="C429" s="56" t="s">
        <v>1204</v>
      </c>
      <c r="D429" t="s">
        <v>315</v>
      </c>
      <c r="E429" t="s">
        <v>322</v>
      </c>
      <c r="F429" t="s">
        <v>364</v>
      </c>
      <c r="G429" t="s">
        <v>310</v>
      </c>
      <c r="H429" t="s">
        <v>300</v>
      </c>
      <c r="I429" s="93">
        <v>46167</v>
      </c>
      <c r="J429" s="93">
        <v>46167</v>
      </c>
      <c r="K429" s="93">
        <v>46167</v>
      </c>
      <c r="L429" s="93">
        <v>46422</v>
      </c>
      <c r="M429" s="14">
        <v>1</v>
      </c>
      <c r="N429" s="14">
        <v>500000000000</v>
      </c>
      <c r="O429" s="56">
        <v>100.42653439199999</v>
      </c>
      <c r="P429" s="56">
        <v>0</v>
      </c>
      <c r="Q429" s="14">
        <v>513042261000</v>
      </c>
      <c r="R429">
        <v>6.4609399999999999</v>
      </c>
      <c r="S429" t="s">
        <v>1184</v>
      </c>
      <c r="T429" s="57">
        <f>IF(Dealps[[#This Row],[MATURITY_DATE]]-Dealps[[#This Row],[POSTED_DT]]&lt;0,0,IF(Dealps[[#This Row],[VALUE_DATE]]-Dealps[[#This Row],[POSTED_DT]]&gt;0,Dealps[[#This Row],[MATURITY_DATE]]-Dealps[[#This Row],[VALUE_DATE]],Dealps[[#This Row],[MATURITY_DATE]]-Dealps[[#This Row],[POSTED_DT]]))</f>
        <v>160</v>
      </c>
      <c r="U429" s="25">
        <f>IF(Dealps[[#This Row],[TENOR]]=0,0,IF(Dealps[[#This Row],[DEAL_TYPE]]="B",Dealps[[#This Row],[FACE_AMOUNT]],-Dealps[[#This Row],[FACE_AMOUNT]]))</f>
        <v>500000000000</v>
      </c>
      <c r="V429" s="25">
        <f>_xlfn.XLOOKUP(Dealps[[#This Row],[PAPER_CODE]],FNRP!D:D,FNRP!H:H,0,0)/100*Dealps[[#This Row],[AMOUNT]]</f>
        <v>0</v>
      </c>
      <c r="W429" s="57" t="str">
        <f>IF(Dealps[[#This Row],[TRANSACTION_STATUS]]&lt;&gt;"V","Ngoai BS",IF(Dealps[[#This Row],[POSTED_DT]]&gt;=Dealps[[#This Row],[VALUE_DATE]],"On BS","Off BS"))</f>
        <v>On BS</v>
      </c>
      <c r="X429" s="25">
        <f>SUMIFS(U:U,C:C,Dealps[[#This Row],[PAPER_CODE]])</f>
        <v>1000000000000</v>
      </c>
      <c r="Y429" s="25">
        <f>_xlfn.XLOOKUP(Dealps[[#This Row],[DEAL_ID]],Ref!N:N,Ref!Q:Q,0,0)</f>
        <v>0</v>
      </c>
      <c r="Z429" s="25" t="str">
        <f>IF(Dealps[[#This Row],[CPTY_CODE]]=Dealps[[#This Row],[CPTY_CODE_ISSUER]],"Yes","No")</f>
        <v>No</v>
      </c>
      <c r="AA429" s="25"/>
      <c r="AC429" s="14"/>
      <c r="AG429" s="96"/>
      <c r="AH429" s="25"/>
      <c r="AI429" s="25"/>
      <c r="AN429" s="14"/>
      <c r="AV429" s="36"/>
      <c r="AW429" s="14"/>
      <c r="AX429" s="234"/>
      <c r="AY429" s="96"/>
      <c r="AZ429" s="14"/>
      <c r="BA429"/>
      <c r="BB429" s="93">
        <v>46262</v>
      </c>
      <c r="BC429">
        <v>2942</v>
      </c>
      <c r="BD429" s="56" t="s">
        <v>1023</v>
      </c>
      <c r="BE429" t="s">
        <v>1011</v>
      </c>
      <c r="BF429" t="s">
        <v>1012</v>
      </c>
      <c r="BG429" t="s">
        <v>364</v>
      </c>
      <c r="BH429" t="s">
        <v>1013</v>
      </c>
      <c r="BI429" t="s">
        <v>311</v>
      </c>
      <c r="BJ429" s="93">
        <v>45975</v>
      </c>
      <c r="BK429" s="93">
        <v>45975</v>
      </c>
      <c r="BL429" s="93">
        <v>45975</v>
      </c>
      <c r="BM429" s="93">
        <v>46682</v>
      </c>
      <c r="BN429" s="14">
        <v>1</v>
      </c>
      <c r="BO429" s="14">
        <v>20000000000</v>
      </c>
      <c r="BP429" s="56">
        <v>100</v>
      </c>
      <c r="BQ429" s="56">
        <v>0</v>
      </c>
      <c r="BR429" s="14">
        <v>20073095890</v>
      </c>
      <c r="BS429">
        <v>5.7788789999999999</v>
      </c>
      <c r="BT429" t="s">
        <v>1184</v>
      </c>
      <c r="BU429" s="25">
        <f>_xlfn.XLOOKUP(Dealps_MSB[[#This Row],[DEAL_ID]],Ref!V:V,Ref!X:X,0,0)</f>
        <v>0</v>
      </c>
      <c r="BV429"/>
    </row>
    <row r="430" spans="1:74" x14ac:dyDescent="0.3">
      <c r="A430" s="93">
        <v>46262</v>
      </c>
      <c r="B430">
        <v>4325</v>
      </c>
      <c r="C430" s="56" t="s">
        <v>1010</v>
      </c>
      <c r="D430" t="s">
        <v>328</v>
      </c>
      <c r="E430" t="s">
        <v>345</v>
      </c>
      <c r="F430" t="s">
        <v>364</v>
      </c>
      <c r="G430" t="s">
        <v>310</v>
      </c>
      <c r="H430" t="s">
        <v>300</v>
      </c>
      <c r="I430" s="93">
        <v>46167</v>
      </c>
      <c r="J430" s="93">
        <v>46167</v>
      </c>
      <c r="K430" s="93">
        <v>46167</v>
      </c>
      <c r="L430" s="93">
        <v>46329</v>
      </c>
      <c r="M430" s="14">
        <v>1</v>
      </c>
      <c r="N430" s="14">
        <v>500000000000</v>
      </c>
      <c r="O430" s="56">
        <v>100.806284358</v>
      </c>
      <c r="P430" s="56">
        <v>0</v>
      </c>
      <c r="Q430" s="14">
        <v>521464298500</v>
      </c>
      <c r="R430">
        <v>4.2988289999999996</v>
      </c>
      <c r="S430" t="s">
        <v>1184</v>
      </c>
      <c r="T430" s="57">
        <f>IF(Dealps[[#This Row],[MATURITY_DATE]]-Dealps[[#This Row],[POSTED_DT]]&lt;0,0,IF(Dealps[[#This Row],[VALUE_DATE]]-Dealps[[#This Row],[POSTED_DT]]&gt;0,Dealps[[#This Row],[MATURITY_DATE]]-Dealps[[#This Row],[VALUE_DATE]],Dealps[[#This Row],[MATURITY_DATE]]-Dealps[[#This Row],[POSTED_DT]]))</f>
        <v>67</v>
      </c>
      <c r="U430" s="25">
        <f>IF(Dealps[[#This Row],[TENOR]]=0,0,IF(Dealps[[#This Row],[DEAL_TYPE]]="B",Dealps[[#This Row],[FACE_AMOUNT]],-Dealps[[#This Row],[FACE_AMOUNT]]))</f>
        <v>500000000000</v>
      </c>
      <c r="V430" s="25">
        <f>_xlfn.XLOOKUP(Dealps[[#This Row],[PAPER_CODE]],FNRP!D:D,FNRP!H:H,0,0)/100*Dealps[[#This Row],[AMOUNT]]</f>
        <v>0</v>
      </c>
      <c r="W430" s="57" t="str">
        <f>IF(Dealps[[#This Row],[TRANSACTION_STATUS]]&lt;&gt;"V","Ngoai BS",IF(Dealps[[#This Row],[POSTED_DT]]&gt;=Dealps[[#This Row],[VALUE_DATE]],"On BS","Off BS"))</f>
        <v>On BS</v>
      </c>
      <c r="X430" s="25">
        <f>SUMIFS(U:U,C:C,Dealps[[#This Row],[PAPER_CODE]])</f>
        <v>2000000000000</v>
      </c>
      <c r="Y430" s="25">
        <f>_xlfn.XLOOKUP(Dealps[[#This Row],[DEAL_ID]],Ref!N:N,Ref!Q:Q,0,0)</f>
        <v>0</v>
      </c>
      <c r="Z430" s="25" t="str">
        <f>IF(Dealps[[#This Row],[CPTY_CODE]]=Dealps[[#This Row],[CPTY_CODE_ISSUER]],"Yes","No")</f>
        <v>No</v>
      </c>
      <c r="AA430" s="25"/>
      <c r="AC430" s="14"/>
      <c r="AG430" s="96"/>
      <c r="AH430" s="25"/>
      <c r="AI430" s="25"/>
      <c r="AN430" s="14"/>
      <c r="AV430" s="36"/>
      <c r="AW430" s="14"/>
      <c r="AX430" s="234"/>
      <c r="AY430" s="96"/>
      <c r="AZ430" s="14"/>
      <c r="BA430"/>
      <c r="BB430" s="93">
        <v>46262</v>
      </c>
      <c r="BC430">
        <v>2943</v>
      </c>
      <c r="BD430" s="56" t="s">
        <v>1023</v>
      </c>
      <c r="BE430" t="s">
        <v>1011</v>
      </c>
      <c r="BF430" t="s">
        <v>1012</v>
      </c>
      <c r="BG430" t="s">
        <v>364</v>
      </c>
      <c r="BH430" t="s">
        <v>1013</v>
      </c>
      <c r="BI430" t="s">
        <v>311</v>
      </c>
      <c r="BJ430" s="93">
        <v>45975</v>
      </c>
      <c r="BK430" s="93">
        <v>45975</v>
      </c>
      <c r="BL430" s="93">
        <v>45975</v>
      </c>
      <c r="BM430" s="93">
        <v>46682</v>
      </c>
      <c r="BN430" s="14">
        <v>1</v>
      </c>
      <c r="BO430" s="14">
        <v>20000000000</v>
      </c>
      <c r="BP430" s="56">
        <v>100</v>
      </c>
      <c r="BQ430" s="56">
        <v>0</v>
      </c>
      <c r="BR430" s="14">
        <v>20073095890</v>
      </c>
      <c r="BS430">
        <v>5.7788789999999999</v>
      </c>
      <c r="BT430" t="s">
        <v>1184</v>
      </c>
      <c r="BU430" s="25">
        <f>_xlfn.XLOOKUP(Dealps_MSB[[#This Row],[DEAL_ID]],Ref!V:V,Ref!X:X,0,0)</f>
        <v>0</v>
      </c>
      <c r="BV430"/>
    </row>
    <row r="431" spans="1:74" x14ac:dyDescent="0.3">
      <c r="A431" s="93">
        <v>46262</v>
      </c>
      <c r="B431">
        <v>4326</v>
      </c>
      <c r="C431" s="56" t="s">
        <v>1071</v>
      </c>
      <c r="D431" t="s">
        <v>328</v>
      </c>
      <c r="E431" t="s">
        <v>345</v>
      </c>
      <c r="F431" t="s">
        <v>364</v>
      </c>
      <c r="G431" t="s">
        <v>310</v>
      </c>
      <c r="H431" t="s">
        <v>311</v>
      </c>
      <c r="I431" s="93">
        <v>46167</v>
      </c>
      <c r="J431" s="93">
        <v>46167</v>
      </c>
      <c r="K431" s="93">
        <v>46170</v>
      </c>
      <c r="L431" s="93">
        <v>46352</v>
      </c>
      <c r="M431" s="14">
        <v>1</v>
      </c>
      <c r="N431" s="14">
        <v>500000000000</v>
      </c>
      <c r="O431" s="56">
        <v>100.446008096</v>
      </c>
      <c r="P431" s="56">
        <v>0</v>
      </c>
      <c r="Q431" s="14">
        <v>518684835000</v>
      </c>
      <c r="R431">
        <v>5.5</v>
      </c>
      <c r="S431" t="s">
        <v>1184</v>
      </c>
      <c r="T431" s="57">
        <f>IF(Dealps[[#This Row],[MATURITY_DATE]]-Dealps[[#This Row],[POSTED_DT]]&lt;0,0,IF(Dealps[[#This Row],[VALUE_DATE]]-Dealps[[#This Row],[POSTED_DT]]&gt;0,Dealps[[#This Row],[MATURITY_DATE]]-Dealps[[#This Row],[VALUE_DATE]],Dealps[[#This Row],[MATURITY_DATE]]-Dealps[[#This Row],[POSTED_DT]]))</f>
        <v>90</v>
      </c>
      <c r="U431" s="25">
        <f>IF(Dealps[[#This Row],[TENOR]]=0,0,IF(Dealps[[#This Row],[DEAL_TYPE]]="B",Dealps[[#This Row],[FACE_AMOUNT]],-Dealps[[#This Row],[FACE_AMOUNT]]))</f>
        <v>-500000000000</v>
      </c>
      <c r="V431" s="25">
        <f>_xlfn.XLOOKUP(Dealps[[#This Row],[PAPER_CODE]],FNRP!D:D,FNRP!H:H,0,0)/100*Dealps[[#This Row],[AMOUNT]]</f>
        <v>0</v>
      </c>
      <c r="W431" s="57" t="str">
        <f>IF(Dealps[[#This Row],[TRANSACTION_STATUS]]&lt;&gt;"V","Ngoai BS",IF(Dealps[[#This Row],[POSTED_DT]]&gt;=Dealps[[#This Row],[VALUE_DATE]],"On BS","Off BS"))</f>
        <v>On BS</v>
      </c>
      <c r="X431" s="25">
        <f>SUMIFS(U:U,C:C,Dealps[[#This Row],[PAPER_CODE]])</f>
        <v>1500000000000</v>
      </c>
      <c r="Y431" s="25">
        <f>_xlfn.XLOOKUP(Dealps[[#This Row],[DEAL_ID]],Ref!N:N,Ref!Q:Q,0,0)</f>
        <v>0</v>
      </c>
      <c r="Z431" s="25" t="str">
        <f>IF(Dealps[[#This Row],[CPTY_CODE]]=Dealps[[#This Row],[CPTY_CODE_ISSUER]],"Yes","No")</f>
        <v>No</v>
      </c>
      <c r="AA431" s="25"/>
      <c r="AC431" s="14"/>
      <c r="AG431" s="96"/>
      <c r="AH431" s="25"/>
      <c r="AI431" s="25"/>
      <c r="AN431" s="14"/>
      <c r="AV431" s="36"/>
      <c r="AW431" s="14"/>
      <c r="AX431" s="234"/>
      <c r="AY431" s="96"/>
      <c r="AZ431" s="14"/>
      <c r="BA431"/>
      <c r="BB431" s="93">
        <v>46262</v>
      </c>
      <c r="BC431">
        <v>3169</v>
      </c>
      <c r="BD431" s="56" t="s">
        <v>1023</v>
      </c>
      <c r="BE431" t="s">
        <v>1011</v>
      </c>
      <c r="BF431" t="s">
        <v>1012</v>
      </c>
      <c r="BG431" t="s">
        <v>364</v>
      </c>
      <c r="BH431" t="s">
        <v>1013</v>
      </c>
      <c r="BI431" t="s">
        <v>311</v>
      </c>
      <c r="BJ431" s="93">
        <v>46007</v>
      </c>
      <c r="BK431" s="93">
        <v>46007</v>
      </c>
      <c r="BL431" s="93">
        <v>46007</v>
      </c>
      <c r="BM431" s="93">
        <v>46682</v>
      </c>
      <c r="BN431" s="14">
        <v>1</v>
      </c>
      <c r="BO431" s="14">
        <v>40000000000</v>
      </c>
      <c r="BP431" s="56">
        <v>100</v>
      </c>
      <c r="BQ431" s="56">
        <v>0</v>
      </c>
      <c r="BR431" s="14">
        <v>40349589041</v>
      </c>
      <c r="BS431">
        <v>5.7497490000000004</v>
      </c>
      <c r="BT431" t="s">
        <v>1184</v>
      </c>
      <c r="BU431" s="25">
        <f>_xlfn.XLOOKUP(Dealps_MSB[[#This Row],[DEAL_ID]],Ref!V:V,Ref!X:X,0,0)</f>
        <v>0</v>
      </c>
      <c r="BV431"/>
    </row>
    <row r="432" spans="1:74" x14ac:dyDescent="0.3">
      <c r="A432" s="93">
        <v>46262</v>
      </c>
      <c r="B432">
        <v>4334</v>
      </c>
      <c r="C432" s="56" t="s">
        <v>1260</v>
      </c>
      <c r="D432" t="s">
        <v>384</v>
      </c>
      <c r="E432" t="s">
        <v>1022</v>
      </c>
      <c r="F432" t="s">
        <v>364</v>
      </c>
      <c r="G432" t="s">
        <v>310</v>
      </c>
      <c r="H432" t="s">
        <v>311</v>
      </c>
      <c r="I432" s="93">
        <v>46168</v>
      </c>
      <c r="J432" s="93">
        <v>46170</v>
      </c>
      <c r="K432" s="93">
        <v>46170</v>
      </c>
      <c r="L432" s="93">
        <v>46524</v>
      </c>
      <c r="M432" s="14">
        <v>1</v>
      </c>
      <c r="N432" s="14">
        <v>70000000000</v>
      </c>
      <c r="O432" s="56">
        <v>98.571299812000007</v>
      </c>
      <c r="P432" s="56">
        <v>0</v>
      </c>
      <c r="Q432" s="14">
        <v>69746896170</v>
      </c>
      <c r="R432">
        <v>11.012915</v>
      </c>
      <c r="S432" t="s">
        <v>1184</v>
      </c>
      <c r="T432" s="57">
        <f>IF(Dealps[[#This Row],[MATURITY_DATE]]-Dealps[[#This Row],[POSTED_DT]]&lt;0,0,IF(Dealps[[#This Row],[VALUE_DATE]]-Dealps[[#This Row],[POSTED_DT]]&gt;0,Dealps[[#This Row],[MATURITY_DATE]]-Dealps[[#This Row],[VALUE_DATE]],Dealps[[#This Row],[MATURITY_DATE]]-Dealps[[#This Row],[POSTED_DT]]))</f>
        <v>262</v>
      </c>
      <c r="U432" s="25">
        <f>IF(Dealps[[#This Row],[TENOR]]=0,0,IF(Dealps[[#This Row],[DEAL_TYPE]]="B",Dealps[[#This Row],[FACE_AMOUNT]],-Dealps[[#This Row],[FACE_AMOUNT]]))</f>
        <v>-70000000000</v>
      </c>
      <c r="V432" s="25">
        <f>_xlfn.XLOOKUP(Dealps[[#This Row],[PAPER_CODE]],FNRP!D:D,FNRP!H:H,0,0)/100*Dealps[[#This Row],[AMOUNT]]</f>
        <v>0</v>
      </c>
      <c r="W432" s="57" t="str">
        <f>IF(Dealps[[#This Row],[TRANSACTION_STATUS]]&lt;&gt;"V","Ngoai BS",IF(Dealps[[#This Row],[POSTED_DT]]&gt;=Dealps[[#This Row],[VALUE_DATE]],"On BS","Off BS"))</f>
        <v>On BS</v>
      </c>
      <c r="X432" s="25">
        <f>SUMIFS(U:U,C:C,Dealps[[#This Row],[PAPER_CODE]])</f>
        <v>400000000000</v>
      </c>
      <c r="Y432" s="25">
        <f>_xlfn.XLOOKUP(Dealps[[#This Row],[DEAL_ID]],Ref!N:N,Ref!Q:Q,0,0)</f>
        <v>0</v>
      </c>
      <c r="Z432" s="25" t="str">
        <f>IF(Dealps[[#This Row],[CPTY_CODE]]=Dealps[[#This Row],[CPTY_CODE_ISSUER]],"Yes","No")</f>
        <v>No</v>
      </c>
      <c r="AA432" s="25"/>
      <c r="AC432" s="14"/>
      <c r="AG432" s="96"/>
      <c r="AH432" s="25"/>
      <c r="AI432" s="25"/>
      <c r="AN432" s="14"/>
      <c r="AV432" s="36"/>
      <c r="AW432" s="14"/>
      <c r="AX432" s="234"/>
      <c r="AY432" s="96"/>
      <c r="AZ432" s="14"/>
      <c r="BA432"/>
      <c r="BB432" s="93">
        <v>46262</v>
      </c>
      <c r="BC432">
        <v>3170</v>
      </c>
      <c r="BD432" s="56" t="s">
        <v>1023</v>
      </c>
      <c r="BE432" t="s">
        <v>1011</v>
      </c>
      <c r="BF432" t="s">
        <v>1012</v>
      </c>
      <c r="BG432" t="s">
        <v>364</v>
      </c>
      <c r="BH432" t="s">
        <v>1013</v>
      </c>
      <c r="BI432" t="s">
        <v>311</v>
      </c>
      <c r="BJ432" s="93">
        <v>46007</v>
      </c>
      <c r="BK432" s="93">
        <v>46007</v>
      </c>
      <c r="BL432" s="93">
        <v>46007</v>
      </c>
      <c r="BM432" s="93">
        <v>46682</v>
      </c>
      <c r="BN432" s="14">
        <v>1</v>
      </c>
      <c r="BO432" s="14">
        <v>40000000000</v>
      </c>
      <c r="BP432" s="56">
        <v>100</v>
      </c>
      <c r="BQ432" s="56">
        <v>0</v>
      </c>
      <c r="BR432" s="14">
        <v>40349589041</v>
      </c>
      <c r="BS432">
        <v>5.7497490000000004</v>
      </c>
      <c r="BT432" t="s">
        <v>1184</v>
      </c>
      <c r="BU432" s="25">
        <f>_xlfn.XLOOKUP(Dealps_MSB[[#This Row],[DEAL_ID]],Ref!V:V,Ref!X:X,0,0)</f>
        <v>0</v>
      </c>
      <c r="BV432"/>
    </row>
    <row r="433" spans="1:74" x14ac:dyDescent="0.3">
      <c r="A433" s="93">
        <v>46262</v>
      </c>
      <c r="B433">
        <v>4337</v>
      </c>
      <c r="C433" s="56" t="s">
        <v>1158</v>
      </c>
      <c r="D433" t="s">
        <v>327</v>
      </c>
      <c r="E433" t="s">
        <v>344</v>
      </c>
      <c r="F433" t="s">
        <v>364</v>
      </c>
      <c r="G433" t="s">
        <v>310</v>
      </c>
      <c r="H433" t="s">
        <v>311</v>
      </c>
      <c r="I433" s="93">
        <v>46168</v>
      </c>
      <c r="J433" s="93">
        <v>46168</v>
      </c>
      <c r="K433" s="93">
        <v>46169</v>
      </c>
      <c r="L433" s="93">
        <v>46409</v>
      </c>
      <c r="M433" s="14">
        <v>1</v>
      </c>
      <c r="N433" s="14">
        <v>500000000000</v>
      </c>
      <c r="O433" s="56">
        <v>100.666255154</v>
      </c>
      <c r="P433" s="56">
        <v>0</v>
      </c>
      <c r="Q433" s="14">
        <v>515561412757</v>
      </c>
      <c r="R433">
        <v>6</v>
      </c>
      <c r="S433" t="s">
        <v>1184</v>
      </c>
      <c r="T433" s="57">
        <f>IF(Dealps[[#This Row],[MATURITY_DATE]]-Dealps[[#This Row],[POSTED_DT]]&lt;0,0,IF(Dealps[[#This Row],[VALUE_DATE]]-Dealps[[#This Row],[POSTED_DT]]&gt;0,Dealps[[#This Row],[MATURITY_DATE]]-Dealps[[#This Row],[VALUE_DATE]],Dealps[[#This Row],[MATURITY_DATE]]-Dealps[[#This Row],[POSTED_DT]]))</f>
        <v>147</v>
      </c>
      <c r="U433" s="25">
        <f>IF(Dealps[[#This Row],[TENOR]]=0,0,IF(Dealps[[#This Row],[DEAL_TYPE]]="B",Dealps[[#This Row],[FACE_AMOUNT]],-Dealps[[#This Row],[FACE_AMOUNT]]))</f>
        <v>-500000000000</v>
      </c>
      <c r="V433" s="25">
        <f>_xlfn.XLOOKUP(Dealps[[#This Row],[PAPER_CODE]],FNRP!D:D,FNRP!H:H,0,0)/100*Dealps[[#This Row],[AMOUNT]]</f>
        <v>0</v>
      </c>
      <c r="W433" s="57" t="str">
        <f>IF(Dealps[[#This Row],[TRANSACTION_STATUS]]&lt;&gt;"V","Ngoai BS",IF(Dealps[[#This Row],[POSTED_DT]]&gt;=Dealps[[#This Row],[VALUE_DATE]],"On BS","Off BS"))</f>
        <v>On BS</v>
      </c>
      <c r="X433" s="25">
        <f>SUMIFS(U:U,C:C,Dealps[[#This Row],[PAPER_CODE]])</f>
        <v>2000000000000</v>
      </c>
      <c r="Y433" s="25">
        <f>_xlfn.XLOOKUP(Dealps[[#This Row],[DEAL_ID]],Ref!N:N,Ref!Q:Q,0,0)</f>
        <v>0</v>
      </c>
      <c r="Z433" s="25" t="str">
        <f>IF(Dealps[[#This Row],[CPTY_CODE]]=Dealps[[#This Row],[CPTY_CODE_ISSUER]],"Yes","No")</f>
        <v>No</v>
      </c>
      <c r="AA433" s="25"/>
      <c r="AC433" s="14"/>
      <c r="AG433" s="96"/>
      <c r="AH433" s="25"/>
      <c r="AI433" s="25"/>
      <c r="AN433" s="14"/>
      <c r="AV433" s="36"/>
      <c r="AW433" s="14"/>
      <c r="AX433" s="234"/>
      <c r="AY433" s="96"/>
      <c r="AZ433" s="14"/>
      <c r="BA433"/>
      <c r="BB433" s="93">
        <v>46262</v>
      </c>
      <c r="BC433">
        <v>3171</v>
      </c>
      <c r="BD433" s="56" t="s">
        <v>1023</v>
      </c>
      <c r="BE433" t="s">
        <v>1011</v>
      </c>
      <c r="BF433" t="s">
        <v>1012</v>
      </c>
      <c r="BG433" t="s">
        <v>364</v>
      </c>
      <c r="BH433" t="s">
        <v>1013</v>
      </c>
      <c r="BI433" t="s">
        <v>311</v>
      </c>
      <c r="BJ433" s="93">
        <v>46007</v>
      </c>
      <c r="BK433" s="93">
        <v>46007</v>
      </c>
      <c r="BL433" s="93">
        <v>46007</v>
      </c>
      <c r="BM433" s="93">
        <v>46682</v>
      </c>
      <c r="BN433" s="14">
        <v>1</v>
      </c>
      <c r="BO433" s="14">
        <v>10000000000</v>
      </c>
      <c r="BP433" s="56">
        <v>100</v>
      </c>
      <c r="BQ433" s="56">
        <v>0</v>
      </c>
      <c r="BR433" s="14">
        <v>10087397260</v>
      </c>
      <c r="BS433">
        <v>5.7497490000000004</v>
      </c>
      <c r="BT433" t="s">
        <v>1184</v>
      </c>
      <c r="BU433" s="25">
        <f>_xlfn.XLOOKUP(Dealps_MSB[[#This Row],[DEAL_ID]],Ref!V:V,Ref!X:X,0,0)</f>
        <v>0</v>
      </c>
      <c r="BV433"/>
    </row>
    <row r="434" spans="1:74" x14ac:dyDescent="0.3">
      <c r="A434" s="93">
        <v>46262</v>
      </c>
      <c r="B434">
        <v>4339</v>
      </c>
      <c r="C434" s="56" t="s">
        <v>1008</v>
      </c>
      <c r="D434" t="s">
        <v>473</v>
      </c>
      <c r="E434" t="s">
        <v>345</v>
      </c>
      <c r="F434" t="s">
        <v>364</v>
      </c>
      <c r="G434" t="s">
        <v>310</v>
      </c>
      <c r="H434" t="s">
        <v>300</v>
      </c>
      <c r="I434" s="93">
        <v>46169</v>
      </c>
      <c r="J434" s="93">
        <v>46169</v>
      </c>
      <c r="K434" s="93">
        <v>46169</v>
      </c>
      <c r="L434" s="93">
        <v>46324</v>
      </c>
      <c r="M434" s="14">
        <v>1</v>
      </c>
      <c r="N434" s="14">
        <v>500000000000</v>
      </c>
      <c r="O434" s="56">
        <v>100.31220611000001</v>
      </c>
      <c r="P434" s="56">
        <v>0</v>
      </c>
      <c r="Q434" s="14">
        <v>519166510000.00006</v>
      </c>
      <c r="R434">
        <v>5.3593640000000002</v>
      </c>
      <c r="S434" t="s">
        <v>1184</v>
      </c>
      <c r="T434" s="57">
        <f>IF(Dealps[[#This Row],[MATURITY_DATE]]-Dealps[[#This Row],[POSTED_DT]]&lt;0,0,IF(Dealps[[#This Row],[VALUE_DATE]]-Dealps[[#This Row],[POSTED_DT]]&gt;0,Dealps[[#This Row],[MATURITY_DATE]]-Dealps[[#This Row],[VALUE_DATE]],Dealps[[#This Row],[MATURITY_DATE]]-Dealps[[#This Row],[POSTED_DT]]))</f>
        <v>62</v>
      </c>
      <c r="U434" s="25">
        <f>IF(Dealps[[#This Row],[TENOR]]=0,0,IF(Dealps[[#This Row],[DEAL_TYPE]]="B",Dealps[[#This Row],[FACE_AMOUNT]],-Dealps[[#This Row],[FACE_AMOUNT]]))</f>
        <v>500000000000</v>
      </c>
      <c r="V434" s="25">
        <f>_xlfn.XLOOKUP(Dealps[[#This Row],[PAPER_CODE]],FNRP!D:D,FNRP!H:H,0,0)/100*Dealps[[#This Row],[AMOUNT]]</f>
        <v>0</v>
      </c>
      <c r="W434" s="57" t="str">
        <f>IF(Dealps[[#This Row],[TRANSACTION_STATUS]]&lt;&gt;"V","Ngoai BS",IF(Dealps[[#This Row],[POSTED_DT]]&gt;=Dealps[[#This Row],[VALUE_DATE]],"On BS","Off BS"))</f>
        <v>On BS</v>
      </c>
      <c r="X434" s="25">
        <f>SUMIFS(U:U,C:C,Dealps[[#This Row],[PAPER_CODE]])</f>
        <v>500000000000</v>
      </c>
      <c r="Y434" s="25">
        <f>_xlfn.XLOOKUP(Dealps[[#This Row],[DEAL_ID]],Ref!N:N,Ref!Q:Q,0,0)</f>
        <v>0</v>
      </c>
      <c r="Z434" s="25" t="str">
        <f>IF(Dealps[[#This Row],[CPTY_CODE]]=Dealps[[#This Row],[CPTY_CODE_ISSUER]],"Yes","No")</f>
        <v>No</v>
      </c>
      <c r="AA434" s="25"/>
      <c r="AC434" s="14"/>
      <c r="AG434" s="96"/>
      <c r="AH434" s="25"/>
      <c r="AI434" s="25"/>
      <c r="AN434" s="14"/>
      <c r="AV434" s="36"/>
      <c r="AW434" s="14"/>
      <c r="AX434" s="234"/>
      <c r="AY434" s="96"/>
      <c r="AZ434" s="14"/>
      <c r="BA434"/>
      <c r="BB434" s="93">
        <v>46262</v>
      </c>
      <c r="BC434">
        <v>3180</v>
      </c>
      <c r="BD434" s="56" t="s">
        <v>1023</v>
      </c>
      <c r="BE434" t="s">
        <v>1011</v>
      </c>
      <c r="BF434" t="s">
        <v>1012</v>
      </c>
      <c r="BG434" t="s">
        <v>364</v>
      </c>
      <c r="BH434" t="s">
        <v>1013</v>
      </c>
      <c r="BI434" t="s">
        <v>311</v>
      </c>
      <c r="BJ434" s="93">
        <v>46008</v>
      </c>
      <c r="BK434" s="93">
        <v>46008</v>
      </c>
      <c r="BL434" s="93">
        <v>46008</v>
      </c>
      <c r="BM434" s="93">
        <v>46682</v>
      </c>
      <c r="BN434" s="14">
        <v>1</v>
      </c>
      <c r="BO434" s="14">
        <v>55000000000</v>
      </c>
      <c r="BP434" s="56">
        <v>100</v>
      </c>
      <c r="BQ434" s="56">
        <v>0</v>
      </c>
      <c r="BR434" s="14">
        <v>55489424658</v>
      </c>
      <c r="BS434">
        <v>5.7488429999999999</v>
      </c>
      <c r="BT434" t="s">
        <v>1184</v>
      </c>
      <c r="BU434" s="25">
        <f>_xlfn.XLOOKUP(Dealps_MSB[[#This Row],[DEAL_ID]],Ref!V:V,Ref!X:X,0,0)</f>
        <v>0</v>
      </c>
      <c r="BV434"/>
    </row>
    <row r="435" spans="1:74" x14ac:dyDescent="0.3">
      <c r="A435" s="93">
        <v>46262</v>
      </c>
      <c r="B435">
        <v>4340</v>
      </c>
      <c r="C435" s="56" t="s">
        <v>1204</v>
      </c>
      <c r="D435" t="s">
        <v>315</v>
      </c>
      <c r="E435" t="s">
        <v>1228</v>
      </c>
      <c r="F435" t="s">
        <v>364</v>
      </c>
      <c r="G435" t="s">
        <v>310</v>
      </c>
      <c r="H435" t="s">
        <v>311</v>
      </c>
      <c r="I435" s="93">
        <v>46169</v>
      </c>
      <c r="J435" s="93">
        <v>46169</v>
      </c>
      <c r="K435" s="93">
        <v>46170</v>
      </c>
      <c r="L435" s="93">
        <v>46422</v>
      </c>
      <c r="M435" s="14">
        <v>1</v>
      </c>
      <c r="N435" s="14">
        <v>100000000000</v>
      </c>
      <c r="O435" s="56">
        <v>100.732899242</v>
      </c>
      <c r="P435" s="56">
        <v>0</v>
      </c>
      <c r="Q435" s="14">
        <v>102974323900</v>
      </c>
      <c r="R435">
        <v>6</v>
      </c>
      <c r="S435" t="s">
        <v>1184</v>
      </c>
      <c r="T435" s="57">
        <f>IF(Dealps[[#This Row],[MATURITY_DATE]]-Dealps[[#This Row],[POSTED_DT]]&lt;0,0,IF(Dealps[[#This Row],[VALUE_DATE]]-Dealps[[#This Row],[POSTED_DT]]&gt;0,Dealps[[#This Row],[MATURITY_DATE]]-Dealps[[#This Row],[VALUE_DATE]],Dealps[[#This Row],[MATURITY_DATE]]-Dealps[[#This Row],[POSTED_DT]]))</f>
        <v>160</v>
      </c>
      <c r="U435" s="25">
        <f>IF(Dealps[[#This Row],[TENOR]]=0,0,IF(Dealps[[#This Row],[DEAL_TYPE]]="B",Dealps[[#This Row],[FACE_AMOUNT]],-Dealps[[#This Row],[FACE_AMOUNT]]))</f>
        <v>-100000000000</v>
      </c>
      <c r="V435" s="25">
        <f>_xlfn.XLOOKUP(Dealps[[#This Row],[PAPER_CODE]],FNRP!D:D,FNRP!H:H,0,0)/100*Dealps[[#This Row],[AMOUNT]]</f>
        <v>0</v>
      </c>
      <c r="W435" s="57" t="str">
        <f>IF(Dealps[[#This Row],[TRANSACTION_STATUS]]&lt;&gt;"V","Ngoai BS",IF(Dealps[[#This Row],[POSTED_DT]]&gt;=Dealps[[#This Row],[VALUE_DATE]],"On BS","Off BS"))</f>
        <v>On BS</v>
      </c>
      <c r="X435" s="25">
        <f>SUMIFS(U:U,C:C,Dealps[[#This Row],[PAPER_CODE]])</f>
        <v>1000000000000</v>
      </c>
      <c r="Y435" s="25">
        <f>_xlfn.XLOOKUP(Dealps[[#This Row],[DEAL_ID]],Ref!N:N,Ref!Q:Q,0,0)</f>
        <v>0</v>
      </c>
      <c r="Z435" s="25" t="str">
        <f>IF(Dealps[[#This Row],[CPTY_CODE]]=Dealps[[#This Row],[CPTY_CODE_ISSUER]],"Yes","No")</f>
        <v>No</v>
      </c>
      <c r="AA435" s="25"/>
      <c r="AC435" s="14"/>
      <c r="AG435" s="96"/>
      <c r="AH435" s="25"/>
      <c r="AI435" s="25"/>
      <c r="AN435" s="14"/>
      <c r="AV435" s="36"/>
      <c r="AW435" s="14"/>
      <c r="AX435" s="234"/>
      <c r="AY435" s="96"/>
      <c r="AZ435" s="14"/>
      <c r="BA435"/>
      <c r="BB435" s="93">
        <v>46262</v>
      </c>
      <c r="BC435">
        <v>3198</v>
      </c>
      <c r="BD435" s="56" t="s">
        <v>1023</v>
      </c>
      <c r="BE435" t="s">
        <v>1011</v>
      </c>
      <c r="BF435" t="s">
        <v>1012</v>
      </c>
      <c r="BG435" t="s">
        <v>364</v>
      </c>
      <c r="BH435" t="s">
        <v>1013</v>
      </c>
      <c r="BI435" t="s">
        <v>311</v>
      </c>
      <c r="BJ435" s="93">
        <v>46010</v>
      </c>
      <c r="BK435" s="93">
        <v>46010</v>
      </c>
      <c r="BL435" s="93">
        <v>46010</v>
      </c>
      <c r="BM435" s="93">
        <v>46682</v>
      </c>
      <c r="BN435" s="14">
        <v>1</v>
      </c>
      <c r="BO435" s="14">
        <v>30000000000</v>
      </c>
      <c r="BP435" s="56">
        <v>100</v>
      </c>
      <c r="BQ435" s="56">
        <v>0</v>
      </c>
      <c r="BR435" s="14">
        <v>30276493151.000004</v>
      </c>
      <c r="BS435">
        <v>5.7470330000000001</v>
      </c>
      <c r="BT435" t="s">
        <v>1184</v>
      </c>
      <c r="BU435" s="25">
        <f>_xlfn.XLOOKUP(Dealps_MSB[[#This Row],[DEAL_ID]],Ref!V:V,Ref!X:X,0,0)</f>
        <v>0</v>
      </c>
      <c r="BV435"/>
    </row>
    <row r="436" spans="1:74" x14ac:dyDescent="0.3">
      <c r="A436" s="93">
        <v>46262</v>
      </c>
      <c r="B436">
        <v>4342</v>
      </c>
      <c r="C436" s="56" t="s">
        <v>1260</v>
      </c>
      <c r="D436" t="s">
        <v>384</v>
      </c>
      <c r="E436" t="s">
        <v>1022</v>
      </c>
      <c r="F436" t="s">
        <v>364</v>
      </c>
      <c r="G436" t="s">
        <v>310</v>
      </c>
      <c r="H436" t="s">
        <v>311</v>
      </c>
      <c r="I436" s="93">
        <v>46169</v>
      </c>
      <c r="J436" s="93">
        <v>46169</v>
      </c>
      <c r="K436" s="93">
        <v>46169</v>
      </c>
      <c r="L436" s="93">
        <v>46524</v>
      </c>
      <c r="M436" s="14">
        <v>1</v>
      </c>
      <c r="N436" s="14">
        <v>70000000000</v>
      </c>
      <c r="O436" s="56">
        <v>98.571407809999997</v>
      </c>
      <c r="P436" s="56">
        <v>0</v>
      </c>
      <c r="Q436" s="14">
        <v>69728752590</v>
      </c>
      <c r="R436">
        <v>11.011502999999999</v>
      </c>
      <c r="S436" t="s">
        <v>1184</v>
      </c>
      <c r="T436" s="57">
        <f>IF(Dealps[[#This Row],[MATURITY_DATE]]-Dealps[[#This Row],[POSTED_DT]]&lt;0,0,IF(Dealps[[#This Row],[VALUE_DATE]]-Dealps[[#This Row],[POSTED_DT]]&gt;0,Dealps[[#This Row],[MATURITY_DATE]]-Dealps[[#This Row],[VALUE_DATE]],Dealps[[#This Row],[MATURITY_DATE]]-Dealps[[#This Row],[POSTED_DT]]))</f>
        <v>262</v>
      </c>
      <c r="U436" s="25">
        <f>IF(Dealps[[#This Row],[TENOR]]=0,0,IF(Dealps[[#This Row],[DEAL_TYPE]]="B",Dealps[[#This Row],[FACE_AMOUNT]],-Dealps[[#This Row],[FACE_AMOUNT]]))</f>
        <v>-70000000000</v>
      </c>
      <c r="V436" s="25">
        <f>_xlfn.XLOOKUP(Dealps[[#This Row],[PAPER_CODE]],FNRP!D:D,FNRP!H:H,0,0)/100*Dealps[[#This Row],[AMOUNT]]</f>
        <v>0</v>
      </c>
      <c r="W436" s="57" t="str">
        <f>IF(Dealps[[#This Row],[TRANSACTION_STATUS]]&lt;&gt;"V","Ngoai BS",IF(Dealps[[#This Row],[POSTED_DT]]&gt;=Dealps[[#This Row],[VALUE_DATE]],"On BS","Off BS"))</f>
        <v>On BS</v>
      </c>
      <c r="X436" s="25">
        <f>SUMIFS(U:U,C:C,Dealps[[#This Row],[PAPER_CODE]])</f>
        <v>400000000000</v>
      </c>
      <c r="Y436" s="25">
        <f>_xlfn.XLOOKUP(Dealps[[#This Row],[DEAL_ID]],Ref!N:N,Ref!Q:Q,0,0)</f>
        <v>0</v>
      </c>
      <c r="Z436" s="25" t="str">
        <f>IF(Dealps[[#This Row],[CPTY_CODE]]=Dealps[[#This Row],[CPTY_CODE_ISSUER]],"Yes","No")</f>
        <v>No</v>
      </c>
      <c r="AA436" s="25"/>
      <c r="AC436" s="14"/>
      <c r="AG436" s="96"/>
      <c r="AH436" s="25"/>
      <c r="AI436" s="25"/>
      <c r="AN436" s="14"/>
      <c r="AV436" s="36"/>
      <c r="AW436" s="14"/>
      <c r="AX436" s="234"/>
      <c r="AY436" s="96"/>
      <c r="AZ436" s="14"/>
      <c r="BA436"/>
      <c r="BB436" s="93">
        <v>46262</v>
      </c>
      <c r="BC436">
        <v>3199</v>
      </c>
      <c r="BD436" s="56" t="s">
        <v>1023</v>
      </c>
      <c r="BE436" t="s">
        <v>1011</v>
      </c>
      <c r="BF436" t="s">
        <v>1012</v>
      </c>
      <c r="BG436" t="s">
        <v>364</v>
      </c>
      <c r="BH436" t="s">
        <v>1013</v>
      </c>
      <c r="BI436" t="s">
        <v>311</v>
      </c>
      <c r="BJ436" s="93">
        <v>46010</v>
      </c>
      <c r="BK436" s="93">
        <v>46010</v>
      </c>
      <c r="BL436" s="93">
        <v>46010</v>
      </c>
      <c r="BM436" s="93">
        <v>46682</v>
      </c>
      <c r="BN436" s="14">
        <v>1</v>
      </c>
      <c r="BO436" s="14">
        <v>45000000000</v>
      </c>
      <c r="BP436" s="56">
        <v>100</v>
      </c>
      <c r="BQ436" s="56">
        <v>0</v>
      </c>
      <c r="BR436" s="14">
        <v>45414739726</v>
      </c>
      <c r="BS436">
        <v>5.7470330000000001</v>
      </c>
      <c r="BT436" t="s">
        <v>1184</v>
      </c>
      <c r="BU436" s="25">
        <f>_xlfn.XLOOKUP(Dealps_MSB[[#This Row],[DEAL_ID]],Ref!V:V,Ref!X:X,0,0)</f>
        <v>0</v>
      </c>
      <c r="BV436"/>
    </row>
    <row r="437" spans="1:74" x14ac:dyDescent="0.3">
      <c r="A437" s="93">
        <v>46262</v>
      </c>
      <c r="B437">
        <v>4343</v>
      </c>
      <c r="C437" s="56" t="s">
        <v>1239</v>
      </c>
      <c r="D437" t="s">
        <v>384</v>
      </c>
      <c r="E437" t="s">
        <v>1015</v>
      </c>
      <c r="F437" t="s">
        <v>364</v>
      </c>
      <c r="G437" t="s">
        <v>310</v>
      </c>
      <c r="H437" t="s">
        <v>311</v>
      </c>
      <c r="I437" s="93">
        <v>46169</v>
      </c>
      <c r="J437" s="93">
        <v>46169</v>
      </c>
      <c r="K437" s="93">
        <v>46169</v>
      </c>
      <c r="L437" s="93">
        <v>46493</v>
      </c>
      <c r="M437" s="14">
        <v>1</v>
      </c>
      <c r="N437" s="14">
        <v>50000000000</v>
      </c>
      <c r="O437" s="56">
        <v>98.958803661999994</v>
      </c>
      <c r="P437" s="56">
        <v>0</v>
      </c>
      <c r="Q437" s="14">
        <v>50357210050</v>
      </c>
      <c r="R437">
        <v>10.0015</v>
      </c>
      <c r="S437" t="s">
        <v>1184</v>
      </c>
      <c r="T437" s="57">
        <f>IF(Dealps[[#This Row],[MATURITY_DATE]]-Dealps[[#This Row],[POSTED_DT]]&lt;0,0,IF(Dealps[[#This Row],[VALUE_DATE]]-Dealps[[#This Row],[POSTED_DT]]&gt;0,Dealps[[#This Row],[MATURITY_DATE]]-Dealps[[#This Row],[VALUE_DATE]],Dealps[[#This Row],[MATURITY_DATE]]-Dealps[[#This Row],[POSTED_DT]]))</f>
        <v>231</v>
      </c>
      <c r="U437" s="25">
        <f>IF(Dealps[[#This Row],[TENOR]]=0,0,IF(Dealps[[#This Row],[DEAL_TYPE]]="B",Dealps[[#This Row],[FACE_AMOUNT]],-Dealps[[#This Row],[FACE_AMOUNT]]))</f>
        <v>-50000000000</v>
      </c>
      <c r="V437" s="25">
        <f>_xlfn.XLOOKUP(Dealps[[#This Row],[PAPER_CODE]],FNRP!D:D,FNRP!H:H,0,0)/100*Dealps[[#This Row],[AMOUNT]]</f>
        <v>0</v>
      </c>
      <c r="W437" s="57" t="str">
        <f>IF(Dealps[[#This Row],[TRANSACTION_STATUS]]&lt;&gt;"V","Ngoai BS",IF(Dealps[[#This Row],[POSTED_DT]]&gt;=Dealps[[#This Row],[VALUE_DATE]],"On BS","Off BS"))</f>
        <v>On BS</v>
      </c>
      <c r="X437" s="25">
        <f>SUMIFS(U:U,C:C,Dealps[[#This Row],[PAPER_CODE]])</f>
        <v>300000000000</v>
      </c>
      <c r="Y437" s="25">
        <f>_xlfn.XLOOKUP(Dealps[[#This Row],[DEAL_ID]],Ref!N:N,Ref!Q:Q,0,0)</f>
        <v>0</v>
      </c>
      <c r="Z437" s="25" t="str">
        <f>IF(Dealps[[#This Row],[CPTY_CODE]]=Dealps[[#This Row],[CPTY_CODE_ISSUER]],"Yes","No")</f>
        <v>No</v>
      </c>
      <c r="AA437" s="25"/>
      <c r="AC437" s="14"/>
      <c r="AG437" s="96"/>
      <c r="AH437" s="25"/>
      <c r="AI437" s="25"/>
      <c r="AN437" s="14"/>
      <c r="AV437" s="36"/>
      <c r="AW437" s="14"/>
      <c r="AX437" s="234"/>
      <c r="AY437" s="96"/>
      <c r="AZ437" s="14"/>
      <c r="BA437"/>
      <c r="BB437" s="93">
        <v>46262</v>
      </c>
      <c r="BC437">
        <v>3248</v>
      </c>
      <c r="BD437" s="56" t="s">
        <v>1067</v>
      </c>
      <c r="BE437" t="s">
        <v>1011</v>
      </c>
      <c r="BF437" t="s">
        <v>1012</v>
      </c>
      <c r="BG437" t="s">
        <v>364</v>
      </c>
      <c r="BH437" t="s">
        <v>1013</v>
      </c>
      <c r="BI437" t="s">
        <v>311</v>
      </c>
      <c r="BJ437" s="93">
        <v>46017</v>
      </c>
      <c r="BK437" s="93">
        <v>46017</v>
      </c>
      <c r="BL437" s="93">
        <v>46017</v>
      </c>
      <c r="BM437" s="93">
        <v>46716</v>
      </c>
      <c r="BN437" s="14">
        <v>1</v>
      </c>
      <c r="BO437" s="14">
        <v>10000000000</v>
      </c>
      <c r="BP437" s="56">
        <v>100</v>
      </c>
      <c r="BQ437" s="56">
        <v>0</v>
      </c>
      <c r="BR437" s="14">
        <v>10046712329</v>
      </c>
      <c r="BS437">
        <v>5.4744279999999996</v>
      </c>
      <c r="BT437" t="s">
        <v>1184</v>
      </c>
      <c r="BU437" s="25">
        <f>_xlfn.XLOOKUP(Dealps_MSB[[#This Row],[DEAL_ID]],Ref!V:V,Ref!X:X,0,0)</f>
        <v>0</v>
      </c>
      <c r="BV437"/>
    </row>
    <row r="438" spans="1:74" x14ac:dyDescent="0.3">
      <c r="A438" s="93">
        <v>46262</v>
      </c>
      <c r="B438">
        <v>4346</v>
      </c>
      <c r="C438" s="56" t="s">
        <v>1260</v>
      </c>
      <c r="D438" t="s">
        <v>384</v>
      </c>
      <c r="E438" t="s">
        <v>1299</v>
      </c>
      <c r="F438" t="s">
        <v>364</v>
      </c>
      <c r="G438" t="s">
        <v>310</v>
      </c>
      <c r="H438" t="s">
        <v>311</v>
      </c>
      <c r="I438" s="93">
        <v>46169</v>
      </c>
      <c r="J438" s="93">
        <v>46169</v>
      </c>
      <c r="K438" s="93">
        <v>46171</v>
      </c>
      <c r="L438" s="93">
        <v>46524</v>
      </c>
      <c r="M438" s="14">
        <v>1</v>
      </c>
      <c r="N438" s="14">
        <v>200000000000</v>
      </c>
      <c r="O438" s="56">
        <v>101.268002815</v>
      </c>
      <c r="P438" s="56">
        <v>0</v>
      </c>
      <c r="Q438" s="14">
        <v>204722307000</v>
      </c>
      <c r="R438">
        <v>8</v>
      </c>
      <c r="S438" t="s">
        <v>1184</v>
      </c>
      <c r="T438" s="57">
        <f>IF(Dealps[[#This Row],[MATURITY_DATE]]-Dealps[[#This Row],[POSTED_DT]]&lt;0,0,IF(Dealps[[#This Row],[VALUE_DATE]]-Dealps[[#This Row],[POSTED_DT]]&gt;0,Dealps[[#This Row],[MATURITY_DATE]]-Dealps[[#This Row],[VALUE_DATE]],Dealps[[#This Row],[MATURITY_DATE]]-Dealps[[#This Row],[POSTED_DT]]))</f>
        <v>262</v>
      </c>
      <c r="U438" s="25">
        <f>IF(Dealps[[#This Row],[TENOR]]=0,0,IF(Dealps[[#This Row],[DEAL_TYPE]]="B",Dealps[[#This Row],[FACE_AMOUNT]],-Dealps[[#This Row],[FACE_AMOUNT]]))</f>
        <v>-200000000000</v>
      </c>
      <c r="V438" s="25">
        <f>_xlfn.XLOOKUP(Dealps[[#This Row],[PAPER_CODE]],FNRP!D:D,FNRP!H:H,0,0)/100*Dealps[[#This Row],[AMOUNT]]</f>
        <v>0</v>
      </c>
      <c r="W438" s="57" t="str">
        <f>IF(Dealps[[#This Row],[TRANSACTION_STATUS]]&lt;&gt;"V","Ngoai BS",IF(Dealps[[#This Row],[POSTED_DT]]&gt;=Dealps[[#This Row],[VALUE_DATE]],"On BS","Off BS"))</f>
        <v>On BS</v>
      </c>
      <c r="X438" s="25">
        <f>SUMIFS(U:U,C:C,Dealps[[#This Row],[PAPER_CODE]])</f>
        <v>400000000000</v>
      </c>
      <c r="Y438" s="25">
        <f>_xlfn.XLOOKUP(Dealps[[#This Row],[DEAL_ID]],Ref!N:N,Ref!Q:Q,0,0)</f>
        <v>0</v>
      </c>
      <c r="Z438" s="25" t="str">
        <f>IF(Dealps[[#This Row],[CPTY_CODE]]=Dealps[[#This Row],[CPTY_CODE_ISSUER]],"Yes","No")</f>
        <v>No</v>
      </c>
      <c r="AA438" s="25"/>
      <c r="AC438" s="14"/>
      <c r="AG438" s="96"/>
      <c r="AH438" s="25"/>
      <c r="AI438" s="25"/>
      <c r="AN438" s="14"/>
      <c r="AV438" s="36"/>
      <c r="AW438" s="14"/>
      <c r="AX438" s="234"/>
      <c r="AY438" s="96"/>
      <c r="AZ438" s="14"/>
      <c r="BA438"/>
      <c r="BB438" s="93">
        <v>46262</v>
      </c>
      <c r="BC438">
        <v>3256</v>
      </c>
      <c r="BD438" s="56" t="s">
        <v>1023</v>
      </c>
      <c r="BE438" t="s">
        <v>1011</v>
      </c>
      <c r="BF438" t="s">
        <v>1012</v>
      </c>
      <c r="BG438" t="s">
        <v>364</v>
      </c>
      <c r="BH438" t="s">
        <v>1013</v>
      </c>
      <c r="BI438" t="s">
        <v>300</v>
      </c>
      <c r="BJ438" s="93">
        <v>46020</v>
      </c>
      <c r="BK438" s="93">
        <v>46020</v>
      </c>
      <c r="BL438" s="93">
        <v>46020</v>
      </c>
      <c r="BM438" s="93">
        <v>46682</v>
      </c>
      <c r="BN438" s="14">
        <v>1</v>
      </c>
      <c r="BO438" s="14">
        <v>30000000000</v>
      </c>
      <c r="BP438" s="56">
        <v>98.919452054999994</v>
      </c>
      <c r="BQ438" s="56">
        <v>0</v>
      </c>
      <c r="BR438" s="14">
        <v>30000000000</v>
      </c>
      <c r="BS438">
        <v>6.3957699999999997</v>
      </c>
      <c r="BT438" t="s">
        <v>1184</v>
      </c>
      <c r="BU438" s="25">
        <f>_xlfn.XLOOKUP(Dealps_MSB[[#This Row],[DEAL_ID]],Ref!V:V,Ref!X:X,0,0)</f>
        <v>0</v>
      </c>
      <c r="BV438"/>
    </row>
    <row r="439" spans="1:74" x14ac:dyDescent="0.3">
      <c r="A439" s="93">
        <v>46262</v>
      </c>
      <c r="B439">
        <v>4347</v>
      </c>
      <c r="C439" s="56" t="s">
        <v>1244</v>
      </c>
      <c r="D439" t="s">
        <v>384</v>
      </c>
      <c r="E439" t="s">
        <v>1299</v>
      </c>
      <c r="F439" t="s">
        <v>364</v>
      </c>
      <c r="G439" t="s">
        <v>310</v>
      </c>
      <c r="H439" t="s">
        <v>311</v>
      </c>
      <c r="I439" s="93">
        <v>46169</v>
      </c>
      <c r="J439" s="93">
        <v>46169</v>
      </c>
      <c r="K439" s="93">
        <v>46171</v>
      </c>
      <c r="L439" s="93">
        <v>46503</v>
      </c>
      <c r="M439" s="14">
        <v>1</v>
      </c>
      <c r="N439" s="14">
        <v>100000000000</v>
      </c>
      <c r="O439" s="56">
        <v>100.73750214</v>
      </c>
      <c r="P439" s="56">
        <v>0</v>
      </c>
      <c r="Q439" s="14">
        <v>102364899400</v>
      </c>
      <c r="R439">
        <v>8</v>
      </c>
      <c r="S439" t="s">
        <v>1184</v>
      </c>
      <c r="T439" s="57">
        <f>IF(Dealps[[#This Row],[MATURITY_DATE]]-Dealps[[#This Row],[POSTED_DT]]&lt;0,0,IF(Dealps[[#This Row],[VALUE_DATE]]-Dealps[[#This Row],[POSTED_DT]]&gt;0,Dealps[[#This Row],[MATURITY_DATE]]-Dealps[[#This Row],[VALUE_DATE]],Dealps[[#This Row],[MATURITY_DATE]]-Dealps[[#This Row],[POSTED_DT]]))</f>
        <v>241</v>
      </c>
      <c r="U439" s="25">
        <f>IF(Dealps[[#This Row],[TENOR]]=0,0,IF(Dealps[[#This Row],[DEAL_TYPE]]="B",Dealps[[#This Row],[FACE_AMOUNT]],-Dealps[[#This Row],[FACE_AMOUNT]]))</f>
        <v>-100000000000</v>
      </c>
      <c r="V439" s="25">
        <f>_xlfn.XLOOKUP(Dealps[[#This Row],[PAPER_CODE]],FNRP!D:D,FNRP!H:H,0,0)/100*Dealps[[#This Row],[AMOUNT]]</f>
        <v>0</v>
      </c>
      <c r="W439" s="57" t="str">
        <f>IF(Dealps[[#This Row],[TRANSACTION_STATUS]]&lt;&gt;"V","Ngoai BS",IF(Dealps[[#This Row],[POSTED_DT]]&gt;=Dealps[[#This Row],[VALUE_DATE]],"On BS","Off BS"))</f>
        <v>On BS</v>
      </c>
      <c r="X439" s="25">
        <f>SUMIFS(U:U,C:C,Dealps[[#This Row],[PAPER_CODE]])</f>
        <v>100000000000</v>
      </c>
      <c r="Y439" s="25">
        <f>_xlfn.XLOOKUP(Dealps[[#This Row],[DEAL_ID]],Ref!N:N,Ref!Q:Q,0,0)</f>
        <v>0</v>
      </c>
      <c r="Z439" s="25" t="str">
        <f>IF(Dealps[[#This Row],[CPTY_CODE]]=Dealps[[#This Row],[CPTY_CODE_ISSUER]],"Yes","No")</f>
        <v>No</v>
      </c>
      <c r="AA439" s="25"/>
      <c r="AC439" s="14"/>
      <c r="AG439" s="96"/>
      <c r="AH439" s="25"/>
      <c r="AI439" s="25"/>
      <c r="AN439" s="14"/>
      <c r="AV439" s="36"/>
      <c r="AW439" s="14"/>
      <c r="AX439" s="234"/>
      <c r="AY439" s="96"/>
      <c r="AZ439" s="14"/>
      <c r="BA439"/>
      <c r="BB439" s="93">
        <v>46262</v>
      </c>
      <c r="BC439">
        <v>3259</v>
      </c>
      <c r="BD439" s="56" t="s">
        <v>1023</v>
      </c>
      <c r="BE439" t="s">
        <v>1011</v>
      </c>
      <c r="BF439" t="s">
        <v>1012</v>
      </c>
      <c r="BG439" t="s">
        <v>364</v>
      </c>
      <c r="BH439" t="s">
        <v>1013</v>
      </c>
      <c r="BI439" t="s">
        <v>300</v>
      </c>
      <c r="BJ439" s="93">
        <v>46020</v>
      </c>
      <c r="BK439" s="93">
        <v>46020</v>
      </c>
      <c r="BL439" s="93">
        <v>46020</v>
      </c>
      <c r="BM439" s="93">
        <v>46682</v>
      </c>
      <c r="BN439" s="14">
        <v>1</v>
      </c>
      <c r="BO439" s="14">
        <v>27889400000</v>
      </c>
      <c r="BP439" s="56">
        <v>98.919452054999994</v>
      </c>
      <c r="BQ439" s="56">
        <v>0</v>
      </c>
      <c r="BR439" s="14">
        <v>27889400000</v>
      </c>
      <c r="BS439">
        <v>6.3957699999999997</v>
      </c>
      <c r="BT439" t="s">
        <v>1184</v>
      </c>
      <c r="BU439" s="25">
        <f>_xlfn.XLOOKUP(Dealps_MSB[[#This Row],[DEAL_ID]],Ref!V:V,Ref!X:X,0,0)</f>
        <v>0</v>
      </c>
      <c r="BV439"/>
    </row>
    <row r="440" spans="1:74" x14ac:dyDescent="0.3">
      <c r="A440" s="93">
        <v>46262</v>
      </c>
      <c r="B440">
        <v>49880</v>
      </c>
      <c r="C440" s="56" t="s">
        <v>1298</v>
      </c>
      <c r="D440" t="s">
        <v>343</v>
      </c>
      <c r="E440" t="s">
        <v>343</v>
      </c>
      <c r="F440" t="s">
        <v>35</v>
      </c>
      <c r="G440" t="s">
        <v>310</v>
      </c>
      <c r="H440" t="s">
        <v>300</v>
      </c>
      <c r="I440" s="93">
        <v>46169</v>
      </c>
      <c r="J440" s="93">
        <v>46169</v>
      </c>
      <c r="K440" s="93">
        <v>46169</v>
      </c>
      <c r="L440" s="93">
        <v>47265</v>
      </c>
      <c r="M440" s="14">
        <v>1000</v>
      </c>
      <c r="N440" s="14">
        <v>1000000000000</v>
      </c>
      <c r="O440" s="56">
        <v>100</v>
      </c>
      <c r="P440" s="56">
        <v>0</v>
      </c>
      <c r="Q440" s="14">
        <v>1000000000000</v>
      </c>
      <c r="R440">
        <v>9.7906615309999996</v>
      </c>
      <c r="S440" t="s">
        <v>1184</v>
      </c>
      <c r="T440" s="57">
        <f>IF(Dealps[[#This Row],[MATURITY_DATE]]-Dealps[[#This Row],[POSTED_DT]]&lt;0,0,IF(Dealps[[#This Row],[VALUE_DATE]]-Dealps[[#This Row],[POSTED_DT]]&gt;0,Dealps[[#This Row],[MATURITY_DATE]]-Dealps[[#This Row],[VALUE_DATE]],Dealps[[#This Row],[MATURITY_DATE]]-Dealps[[#This Row],[POSTED_DT]]))</f>
        <v>1003</v>
      </c>
      <c r="U440" s="25">
        <f>IF(Dealps[[#This Row],[TENOR]]=0,0,IF(Dealps[[#This Row],[DEAL_TYPE]]="B",Dealps[[#This Row],[FACE_AMOUNT]],-Dealps[[#This Row],[FACE_AMOUNT]]))</f>
        <v>1000000000000</v>
      </c>
      <c r="V440" s="25">
        <f>_xlfn.XLOOKUP(Dealps[[#This Row],[PAPER_CODE]],FNRP!D:D,FNRP!H:H,0,0)/100*Dealps[[#This Row],[AMOUNT]]</f>
        <v>1140497509150</v>
      </c>
      <c r="W440" s="57" t="str">
        <f>IF(Dealps[[#This Row],[TRANSACTION_STATUS]]&lt;&gt;"V","Ngoai BS",IF(Dealps[[#This Row],[POSTED_DT]]&gt;=Dealps[[#This Row],[VALUE_DATE]],"On BS","Off BS"))</f>
        <v>On BS</v>
      </c>
      <c r="X440" s="25">
        <f>SUMIFS(U:U,C:C,Dealps[[#This Row],[PAPER_CODE]])</f>
        <v>1000000000000</v>
      </c>
      <c r="Y440" s="25">
        <f>_xlfn.XLOOKUP(Dealps[[#This Row],[DEAL_ID]],Ref!N:N,Ref!Q:Q,0,0)</f>
        <v>0</v>
      </c>
      <c r="Z440" s="25" t="str">
        <f>IF(Dealps[[#This Row],[CPTY_CODE]]=Dealps[[#This Row],[CPTY_CODE_ISSUER]],"Yes","No")</f>
        <v>Yes</v>
      </c>
      <c r="AA440" s="25"/>
      <c r="AC440" s="14"/>
      <c r="AG440" s="96"/>
      <c r="AH440" s="25"/>
      <c r="AI440" s="25"/>
      <c r="AN440" s="14"/>
      <c r="AV440" s="36"/>
      <c r="AW440" s="14"/>
      <c r="AX440" s="234"/>
      <c r="AY440" s="96"/>
      <c r="AZ440" s="14"/>
      <c r="BA440"/>
      <c r="BB440" s="93">
        <v>46262</v>
      </c>
      <c r="BC440">
        <v>3260</v>
      </c>
      <c r="BD440" s="56" t="s">
        <v>1023</v>
      </c>
      <c r="BE440" t="s">
        <v>1011</v>
      </c>
      <c r="BF440" t="s">
        <v>1012</v>
      </c>
      <c r="BG440" t="s">
        <v>364</v>
      </c>
      <c r="BH440" t="s">
        <v>1013</v>
      </c>
      <c r="BI440" t="s">
        <v>300</v>
      </c>
      <c r="BJ440" s="93">
        <v>46020</v>
      </c>
      <c r="BK440" s="93">
        <v>46020</v>
      </c>
      <c r="BL440" s="93">
        <v>46020</v>
      </c>
      <c r="BM440" s="93">
        <v>46682</v>
      </c>
      <c r="BN440" s="14">
        <v>1</v>
      </c>
      <c r="BO440" s="14">
        <v>60065400000.000008</v>
      </c>
      <c r="BP440" s="56">
        <v>98.919452054999994</v>
      </c>
      <c r="BQ440" s="56">
        <v>0</v>
      </c>
      <c r="BR440" s="14">
        <v>60065400000.000008</v>
      </c>
      <c r="BS440">
        <v>6.3957699999999997</v>
      </c>
      <c r="BT440" t="s">
        <v>1184</v>
      </c>
      <c r="BU440" s="25">
        <f>_xlfn.XLOOKUP(Dealps_MSB[[#This Row],[DEAL_ID]],Ref!V:V,Ref!X:X,0,0)</f>
        <v>0</v>
      </c>
      <c r="BV440"/>
    </row>
    <row r="441" spans="1:74" x14ac:dyDescent="0.3">
      <c r="A441" s="93">
        <v>46262</v>
      </c>
      <c r="B441">
        <v>4348</v>
      </c>
      <c r="C441" s="56" t="s">
        <v>1258</v>
      </c>
      <c r="D441" t="s">
        <v>321</v>
      </c>
      <c r="E441" t="s">
        <v>347</v>
      </c>
      <c r="F441" t="s">
        <v>364</v>
      </c>
      <c r="G441" t="s">
        <v>310</v>
      </c>
      <c r="H441" t="s">
        <v>311</v>
      </c>
      <c r="I441" s="93">
        <v>46170</v>
      </c>
      <c r="J441" s="93">
        <v>46170</v>
      </c>
      <c r="K441" s="93">
        <v>46170</v>
      </c>
      <c r="L441" s="93">
        <v>46485</v>
      </c>
      <c r="M441" s="14">
        <v>1</v>
      </c>
      <c r="N441" s="14">
        <v>500000000000</v>
      </c>
      <c r="O441" s="56">
        <v>100.58558726</v>
      </c>
      <c r="P441" s="56">
        <v>0</v>
      </c>
      <c r="Q441" s="14">
        <v>507990950000</v>
      </c>
      <c r="R441">
        <v>7.6</v>
      </c>
      <c r="S441" t="s">
        <v>1184</v>
      </c>
      <c r="T441" s="57">
        <f>IF(Dealps[[#This Row],[MATURITY_DATE]]-Dealps[[#This Row],[POSTED_DT]]&lt;0,0,IF(Dealps[[#This Row],[VALUE_DATE]]-Dealps[[#This Row],[POSTED_DT]]&gt;0,Dealps[[#This Row],[MATURITY_DATE]]-Dealps[[#This Row],[VALUE_DATE]],Dealps[[#This Row],[MATURITY_DATE]]-Dealps[[#This Row],[POSTED_DT]]))</f>
        <v>223</v>
      </c>
      <c r="U441" s="25">
        <f>IF(Dealps[[#This Row],[TENOR]]=0,0,IF(Dealps[[#This Row],[DEAL_TYPE]]="B",Dealps[[#This Row],[FACE_AMOUNT]],-Dealps[[#This Row],[FACE_AMOUNT]]))</f>
        <v>-500000000000</v>
      </c>
      <c r="V441" s="25">
        <f>_xlfn.XLOOKUP(Dealps[[#This Row],[PAPER_CODE]],FNRP!D:D,FNRP!H:H,0,0)/100*Dealps[[#This Row],[AMOUNT]]</f>
        <v>0</v>
      </c>
      <c r="W441" s="57" t="str">
        <f>IF(Dealps[[#This Row],[TRANSACTION_STATUS]]&lt;&gt;"V","Ngoai BS",IF(Dealps[[#This Row],[POSTED_DT]]&gt;=Dealps[[#This Row],[VALUE_DATE]],"On BS","Off BS"))</f>
        <v>On BS</v>
      </c>
      <c r="X441" s="25">
        <f>SUMIFS(U:U,C:C,Dealps[[#This Row],[PAPER_CODE]])</f>
        <v>2000000000000</v>
      </c>
      <c r="Y441" s="25">
        <f>_xlfn.XLOOKUP(Dealps[[#This Row],[DEAL_ID]],Ref!N:N,Ref!Q:Q,0,0)</f>
        <v>0</v>
      </c>
      <c r="Z441" s="25" t="str">
        <f>IF(Dealps[[#This Row],[CPTY_CODE]]=Dealps[[#This Row],[CPTY_CODE_ISSUER]],"Yes","No")</f>
        <v>No</v>
      </c>
      <c r="AA441" s="25"/>
      <c r="AC441" s="14"/>
      <c r="AG441" s="96"/>
      <c r="AH441" s="25"/>
      <c r="AI441" s="25"/>
      <c r="AN441" s="14"/>
      <c r="AV441" s="36"/>
      <c r="AW441" s="14"/>
      <c r="AX441" s="234"/>
      <c r="AY441" s="96"/>
      <c r="AZ441" s="14"/>
      <c r="BA441"/>
      <c r="BB441" s="93">
        <v>46262</v>
      </c>
      <c r="BC441">
        <v>3273</v>
      </c>
      <c r="BD441" s="56" t="s">
        <v>1017</v>
      </c>
      <c r="BE441" t="s">
        <v>1011</v>
      </c>
      <c r="BF441" t="s">
        <v>1012</v>
      </c>
      <c r="BG441" t="s">
        <v>364</v>
      </c>
      <c r="BH441" t="s">
        <v>1013</v>
      </c>
      <c r="BI441" t="s">
        <v>300</v>
      </c>
      <c r="BJ441" s="93">
        <v>46021</v>
      </c>
      <c r="BK441" s="93">
        <v>46021</v>
      </c>
      <c r="BL441" s="93">
        <v>46021</v>
      </c>
      <c r="BM441" s="93">
        <v>46502</v>
      </c>
      <c r="BN441" s="14">
        <v>1</v>
      </c>
      <c r="BO441" s="14">
        <v>12619100000</v>
      </c>
      <c r="BP441" s="56">
        <v>96.043287671000002</v>
      </c>
      <c r="BQ441" s="56">
        <v>0</v>
      </c>
      <c r="BR441" s="14">
        <v>12619100000</v>
      </c>
      <c r="BS441">
        <v>8.7842319999999994</v>
      </c>
      <c r="BT441" t="s">
        <v>1184</v>
      </c>
      <c r="BU441" s="25">
        <f>_xlfn.XLOOKUP(Dealps_MSB[[#This Row],[DEAL_ID]],Ref!V:V,Ref!X:X,0,0)</f>
        <v>0</v>
      </c>
      <c r="BV441"/>
    </row>
    <row r="442" spans="1:74" x14ac:dyDescent="0.3">
      <c r="A442" s="93">
        <v>46262</v>
      </c>
      <c r="B442">
        <v>4349</v>
      </c>
      <c r="C442" s="56" t="s">
        <v>1239</v>
      </c>
      <c r="D442" t="s">
        <v>384</v>
      </c>
      <c r="E442" t="s">
        <v>1015</v>
      </c>
      <c r="F442" t="s">
        <v>364</v>
      </c>
      <c r="G442" t="s">
        <v>310</v>
      </c>
      <c r="H442" t="s">
        <v>300</v>
      </c>
      <c r="I442" s="93">
        <v>46170</v>
      </c>
      <c r="J442" s="93">
        <v>46170</v>
      </c>
      <c r="K442" s="93">
        <v>46170</v>
      </c>
      <c r="L442" s="93">
        <v>46493</v>
      </c>
      <c r="M442" s="14">
        <v>1</v>
      </c>
      <c r="N442" s="14">
        <v>50000000000</v>
      </c>
      <c r="O442" s="56">
        <v>99.953735199999997</v>
      </c>
      <c r="P442" s="56">
        <v>0</v>
      </c>
      <c r="Q442" s="14">
        <v>50866867600</v>
      </c>
      <c r="R442">
        <v>8.7997169999999993</v>
      </c>
      <c r="S442" t="s">
        <v>1184</v>
      </c>
      <c r="T442" s="57">
        <f>IF(Dealps[[#This Row],[MATURITY_DATE]]-Dealps[[#This Row],[POSTED_DT]]&lt;0,0,IF(Dealps[[#This Row],[VALUE_DATE]]-Dealps[[#This Row],[POSTED_DT]]&gt;0,Dealps[[#This Row],[MATURITY_DATE]]-Dealps[[#This Row],[VALUE_DATE]],Dealps[[#This Row],[MATURITY_DATE]]-Dealps[[#This Row],[POSTED_DT]]))</f>
        <v>231</v>
      </c>
      <c r="U442" s="25">
        <f>IF(Dealps[[#This Row],[TENOR]]=0,0,IF(Dealps[[#This Row],[DEAL_TYPE]]="B",Dealps[[#This Row],[FACE_AMOUNT]],-Dealps[[#This Row],[FACE_AMOUNT]]))</f>
        <v>50000000000</v>
      </c>
      <c r="V442" s="25">
        <f>_xlfn.XLOOKUP(Dealps[[#This Row],[PAPER_CODE]],FNRP!D:D,FNRP!H:H,0,0)/100*Dealps[[#This Row],[AMOUNT]]</f>
        <v>0</v>
      </c>
      <c r="W442" s="57" t="str">
        <f>IF(Dealps[[#This Row],[TRANSACTION_STATUS]]&lt;&gt;"V","Ngoai BS",IF(Dealps[[#This Row],[POSTED_DT]]&gt;=Dealps[[#This Row],[VALUE_DATE]],"On BS","Off BS"))</f>
        <v>On BS</v>
      </c>
      <c r="X442" s="25">
        <f>SUMIFS(U:U,C:C,Dealps[[#This Row],[PAPER_CODE]])</f>
        <v>300000000000</v>
      </c>
      <c r="Y442" s="25">
        <f>_xlfn.XLOOKUP(Dealps[[#This Row],[DEAL_ID]],Ref!N:N,Ref!Q:Q,0,0)</f>
        <v>0</v>
      </c>
      <c r="Z442" s="25" t="str">
        <f>IF(Dealps[[#This Row],[CPTY_CODE]]=Dealps[[#This Row],[CPTY_CODE_ISSUER]],"Yes","No")</f>
        <v>No</v>
      </c>
      <c r="AA442" s="25"/>
      <c r="AC442" s="14"/>
      <c r="AG442" s="96"/>
      <c r="AH442" s="25"/>
      <c r="AI442" s="25"/>
      <c r="AN442" s="14"/>
      <c r="AV442" s="36"/>
      <c r="AW442" s="14"/>
      <c r="AX442" s="234"/>
      <c r="AY442" s="96"/>
      <c r="AZ442" s="14"/>
      <c r="BA442"/>
      <c r="BB442" s="93">
        <v>46262</v>
      </c>
      <c r="BC442">
        <v>3276</v>
      </c>
      <c r="BD442" s="56" t="s">
        <v>1023</v>
      </c>
      <c r="BE442" t="s">
        <v>1011</v>
      </c>
      <c r="BF442" t="s">
        <v>1012</v>
      </c>
      <c r="BG442" t="s">
        <v>364</v>
      </c>
      <c r="BH442" t="s">
        <v>1013</v>
      </c>
      <c r="BI442" t="s">
        <v>300</v>
      </c>
      <c r="BJ442" s="93">
        <v>46021</v>
      </c>
      <c r="BK442" s="93">
        <v>46021</v>
      </c>
      <c r="BL442" s="93">
        <v>46021</v>
      </c>
      <c r="BM442" s="93">
        <v>46682</v>
      </c>
      <c r="BN442" s="14">
        <v>1</v>
      </c>
      <c r="BO442" s="14">
        <v>38461700000</v>
      </c>
      <c r="BP442" s="56">
        <v>98.903561644000007</v>
      </c>
      <c r="BQ442" s="56">
        <v>0</v>
      </c>
      <c r="BR442" s="14">
        <v>38461700000</v>
      </c>
      <c r="BS442">
        <v>6.4054460000000004</v>
      </c>
      <c r="BT442" t="s">
        <v>1184</v>
      </c>
      <c r="BU442" s="25">
        <f>_xlfn.XLOOKUP(Dealps_MSB[[#This Row],[DEAL_ID]],Ref!V:V,Ref!X:X,0,0)</f>
        <v>0</v>
      </c>
      <c r="BV442"/>
    </row>
    <row r="443" spans="1:74" x14ac:dyDescent="0.3">
      <c r="A443" s="93">
        <v>46262</v>
      </c>
      <c r="B443">
        <v>4350</v>
      </c>
      <c r="C443" s="56" t="s">
        <v>1260</v>
      </c>
      <c r="D443" t="s">
        <v>384</v>
      </c>
      <c r="E443" t="s">
        <v>1022</v>
      </c>
      <c r="F443" t="s">
        <v>364</v>
      </c>
      <c r="G443" t="s">
        <v>310</v>
      </c>
      <c r="H443" t="s">
        <v>300</v>
      </c>
      <c r="I443" s="93">
        <v>46170</v>
      </c>
      <c r="J443" s="93">
        <v>46170</v>
      </c>
      <c r="K443" s="93">
        <v>46170</v>
      </c>
      <c r="L443" s="93">
        <v>46524</v>
      </c>
      <c r="M443" s="14">
        <v>1</v>
      </c>
      <c r="N443" s="14">
        <v>70000000000</v>
      </c>
      <c r="O443" s="56">
        <v>99.973951912000004</v>
      </c>
      <c r="P443" s="56">
        <v>0</v>
      </c>
      <c r="Q443" s="14">
        <v>70728752640</v>
      </c>
      <c r="R443">
        <v>9.4286980000000007</v>
      </c>
      <c r="S443" t="s">
        <v>1184</v>
      </c>
      <c r="T443" s="57">
        <f>IF(Dealps[[#This Row],[MATURITY_DATE]]-Dealps[[#This Row],[POSTED_DT]]&lt;0,0,IF(Dealps[[#This Row],[VALUE_DATE]]-Dealps[[#This Row],[POSTED_DT]]&gt;0,Dealps[[#This Row],[MATURITY_DATE]]-Dealps[[#This Row],[VALUE_DATE]],Dealps[[#This Row],[MATURITY_DATE]]-Dealps[[#This Row],[POSTED_DT]]))</f>
        <v>262</v>
      </c>
      <c r="U443" s="25">
        <f>IF(Dealps[[#This Row],[TENOR]]=0,0,IF(Dealps[[#This Row],[DEAL_TYPE]]="B",Dealps[[#This Row],[FACE_AMOUNT]],-Dealps[[#This Row],[FACE_AMOUNT]]))</f>
        <v>70000000000</v>
      </c>
      <c r="V443" s="25">
        <f>_xlfn.XLOOKUP(Dealps[[#This Row],[PAPER_CODE]],FNRP!D:D,FNRP!H:H,0,0)/100*Dealps[[#This Row],[AMOUNT]]</f>
        <v>0</v>
      </c>
      <c r="W443" s="57" t="str">
        <f>IF(Dealps[[#This Row],[TRANSACTION_STATUS]]&lt;&gt;"V","Ngoai BS",IF(Dealps[[#This Row],[POSTED_DT]]&gt;=Dealps[[#This Row],[VALUE_DATE]],"On BS","Off BS"))</f>
        <v>On BS</v>
      </c>
      <c r="X443" s="25">
        <f>SUMIFS(U:U,C:C,Dealps[[#This Row],[PAPER_CODE]])</f>
        <v>400000000000</v>
      </c>
      <c r="Y443" s="25">
        <f>_xlfn.XLOOKUP(Dealps[[#This Row],[DEAL_ID]],Ref!N:N,Ref!Q:Q,0,0)</f>
        <v>0</v>
      </c>
      <c r="Z443" s="25" t="str">
        <f>IF(Dealps[[#This Row],[CPTY_CODE]]=Dealps[[#This Row],[CPTY_CODE_ISSUER]],"Yes","No")</f>
        <v>No</v>
      </c>
      <c r="AA443" s="25"/>
      <c r="AC443" s="14"/>
      <c r="AG443" s="96"/>
      <c r="AH443" s="25"/>
      <c r="AI443" s="25"/>
      <c r="AN443" s="14"/>
      <c r="AV443" s="36"/>
      <c r="AW443" s="14"/>
      <c r="AX443" s="234"/>
      <c r="AY443" s="96"/>
      <c r="AZ443" s="14"/>
      <c r="BA443"/>
      <c r="BB443" s="93">
        <v>46262</v>
      </c>
      <c r="BC443">
        <v>3277</v>
      </c>
      <c r="BD443" s="56" t="s">
        <v>1067</v>
      </c>
      <c r="BE443" t="s">
        <v>1011</v>
      </c>
      <c r="BF443" t="s">
        <v>1012</v>
      </c>
      <c r="BG443" t="s">
        <v>364</v>
      </c>
      <c r="BH443" t="s">
        <v>1013</v>
      </c>
      <c r="BI443" t="s">
        <v>300</v>
      </c>
      <c r="BJ443" s="93">
        <v>46021</v>
      </c>
      <c r="BK443" s="93">
        <v>46021</v>
      </c>
      <c r="BL443" s="93">
        <v>46021</v>
      </c>
      <c r="BM443" s="93">
        <v>46716</v>
      </c>
      <c r="BN443" s="14">
        <v>1</v>
      </c>
      <c r="BO443" s="14">
        <v>8759000000</v>
      </c>
      <c r="BP443" s="56">
        <v>99.472602739999999</v>
      </c>
      <c r="BQ443" s="56">
        <v>0</v>
      </c>
      <c r="BR443" s="14">
        <v>8759000000</v>
      </c>
      <c r="BS443">
        <v>5.7769779999999997</v>
      </c>
      <c r="BT443" t="s">
        <v>1184</v>
      </c>
      <c r="BU443" s="25">
        <f>_xlfn.XLOOKUP(Dealps_MSB[[#This Row],[DEAL_ID]],Ref!V:V,Ref!X:X,0,0)</f>
        <v>0</v>
      </c>
      <c r="BV443"/>
    </row>
    <row r="444" spans="1:74" x14ac:dyDescent="0.3">
      <c r="A444" s="93">
        <v>46262</v>
      </c>
      <c r="B444">
        <v>4353</v>
      </c>
      <c r="C444" s="56" t="s">
        <v>1204</v>
      </c>
      <c r="D444" t="s">
        <v>315</v>
      </c>
      <c r="E444" t="s">
        <v>1253</v>
      </c>
      <c r="F444" t="s">
        <v>364</v>
      </c>
      <c r="G444" t="s">
        <v>310</v>
      </c>
      <c r="H444" t="s">
        <v>311</v>
      </c>
      <c r="I444" s="93">
        <v>46170</v>
      </c>
      <c r="J444" s="93">
        <v>46171</v>
      </c>
      <c r="K444" s="93">
        <v>46171</v>
      </c>
      <c r="L444" s="93">
        <v>46422</v>
      </c>
      <c r="M444" s="14">
        <v>1</v>
      </c>
      <c r="N444" s="14">
        <v>90000000000</v>
      </c>
      <c r="O444" s="56">
        <v>100.457968026</v>
      </c>
      <c r="P444" s="56">
        <v>0</v>
      </c>
      <c r="Q444" s="14">
        <v>92447305470</v>
      </c>
      <c r="R444">
        <v>6.4</v>
      </c>
      <c r="S444" t="s">
        <v>1184</v>
      </c>
      <c r="T444" s="57">
        <f>IF(Dealps[[#This Row],[MATURITY_DATE]]-Dealps[[#This Row],[POSTED_DT]]&lt;0,0,IF(Dealps[[#This Row],[VALUE_DATE]]-Dealps[[#This Row],[POSTED_DT]]&gt;0,Dealps[[#This Row],[MATURITY_DATE]]-Dealps[[#This Row],[VALUE_DATE]],Dealps[[#This Row],[MATURITY_DATE]]-Dealps[[#This Row],[POSTED_DT]]))</f>
        <v>160</v>
      </c>
      <c r="U444" s="25">
        <f>IF(Dealps[[#This Row],[TENOR]]=0,0,IF(Dealps[[#This Row],[DEAL_TYPE]]="B",Dealps[[#This Row],[FACE_AMOUNT]],-Dealps[[#This Row],[FACE_AMOUNT]]))</f>
        <v>-90000000000</v>
      </c>
      <c r="V444" s="25">
        <f>_xlfn.XLOOKUP(Dealps[[#This Row],[PAPER_CODE]],FNRP!D:D,FNRP!H:H,0,0)/100*Dealps[[#This Row],[AMOUNT]]</f>
        <v>0</v>
      </c>
      <c r="W444" s="57" t="str">
        <f>IF(Dealps[[#This Row],[TRANSACTION_STATUS]]&lt;&gt;"V","Ngoai BS",IF(Dealps[[#This Row],[POSTED_DT]]&gt;=Dealps[[#This Row],[VALUE_DATE]],"On BS","Off BS"))</f>
        <v>On BS</v>
      </c>
      <c r="X444" s="25">
        <f>SUMIFS(U:U,C:C,Dealps[[#This Row],[PAPER_CODE]])</f>
        <v>1000000000000</v>
      </c>
      <c r="Y444" s="25">
        <f>_xlfn.XLOOKUP(Dealps[[#This Row],[DEAL_ID]],Ref!N:N,Ref!Q:Q,0,0)</f>
        <v>0</v>
      </c>
      <c r="Z444" s="25" t="str">
        <f>IF(Dealps[[#This Row],[CPTY_CODE]]=Dealps[[#This Row],[CPTY_CODE_ISSUER]],"Yes","No")</f>
        <v>No</v>
      </c>
      <c r="AA444" s="25"/>
      <c r="AC444" s="14"/>
      <c r="AG444" s="96"/>
      <c r="AH444" s="25"/>
      <c r="AI444" s="25"/>
      <c r="AN444" s="14"/>
      <c r="AV444" s="36"/>
      <c r="AW444" s="14"/>
      <c r="AX444" s="234"/>
      <c r="AY444" s="96"/>
      <c r="AZ444" s="14"/>
      <c r="BA444"/>
      <c r="BB444" s="93">
        <v>46262</v>
      </c>
      <c r="BC444">
        <v>3280</v>
      </c>
      <c r="BD444" s="56" t="s">
        <v>1023</v>
      </c>
      <c r="BE444" t="s">
        <v>1011</v>
      </c>
      <c r="BF444" t="s">
        <v>1012</v>
      </c>
      <c r="BG444" t="s">
        <v>364</v>
      </c>
      <c r="BH444" t="s">
        <v>1013</v>
      </c>
      <c r="BI444" t="s">
        <v>300</v>
      </c>
      <c r="BJ444" s="93">
        <v>46021</v>
      </c>
      <c r="BK444" s="93">
        <v>46021</v>
      </c>
      <c r="BL444" s="93">
        <v>46021</v>
      </c>
      <c r="BM444" s="93">
        <v>46682</v>
      </c>
      <c r="BN444" s="14">
        <v>1</v>
      </c>
      <c r="BO444" s="14">
        <v>48581000000</v>
      </c>
      <c r="BP444" s="56">
        <v>98.903561644000007</v>
      </c>
      <c r="BQ444" s="56">
        <v>0</v>
      </c>
      <c r="BR444" s="14">
        <v>48581000000</v>
      </c>
      <c r="BS444">
        <v>6.4054460000000004</v>
      </c>
      <c r="BT444" t="s">
        <v>1184</v>
      </c>
      <c r="BU444" s="25">
        <f>_xlfn.XLOOKUP(Dealps_MSB[[#This Row],[DEAL_ID]],Ref!V:V,Ref!X:X,0,0)</f>
        <v>0</v>
      </c>
      <c r="BV444"/>
    </row>
    <row r="445" spans="1:74" x14ac:dyDescent="0.3">
      <c r="A445" s="93">
        <v>46262</v>
      </c>
      <c r="B445">
        <v>4356</v>
      </c>
      <c r="C445" s="56" t="s">
        <v>1204</v>
      </c>
      <c r="D445" t="s">
        <v>315</v>
      </c>
      <c r="E445" t="s">
        <v>320</v>
      </c>
      <c r="F445" t="s">
        <v>364</v>
      </c>
      <c r="G445" t="s">
        <v>310</v>
      </c>
      <c r="H445" t="s">
        <v>311</v>
      </c>
      <c r="I445" s="93">
        <v>46170</v>
      </c>
      <c r="J445" s="93">
        <v>46170</v>
      </c>
      <c r="K445" s="93">
        <v>46171</v>
      </c>
      <c r="L445" s="93">
        <v>46422</v>
      </c>
      <c r="M445" s="14">
        <v>1</v>
      </c>
      <c r="N445" s="14">
        <v>200000000000</v>
      </c>
      <c r="O445" s="56">
        <v>100.188041926</v>
      </c>
      <c r="P445" s="56">
        <v>0</v>
      </c>
      <c r="Q445" s="14">
        <v>204898604400</v>
      </c>
      <c r="R445">
        <v>6.8</v>
      </c>
      <c r="S445" t="s">
        <v>1184</v>
      </c>
      <c r="T445" s="57">
        <f>IF(Dealps[[#This Row],[MATURITY_DATE]]-Dealps[[#This Row],[POSTED_DT]]&lt;0,0,IF(Dealps[[#This Row],[VALUE_DATE]]-Dealps[[#This Row],[POSTED_DT]]&gt;0,Dealps[[#This Row],[MATURITY_DATE]]-Dealps[[#This Row],[VALUE_DATE]],Dealps[[#This Row],[MATURITY_DATE]]-Dealps[[#This Row],[POSTED_DT]]))</f>
        <v>160</v>
      </c>
      <c r="U445" s="25">
        <f>IF(Dealps[[#This Row],[TENOR]]=0,0,IF(Dealps[[#This Row],[DEAL_TYPE]]="B",Dealps[[#This Row],[FACE_AMOUNT]],-Dealps[[#This Row],[FACE_AMOUNT]]))</f>
        <v>-200000000000</v>
      </c>
      <c r="V445" s="25">
        <f>_xlfn.XLOOKUP(Dealps[[#This Row],[PAPER_CODE]],FNRP!D:D,FNRP!H:H,0,0)/100*Dealps[[#This Row],[AMOUNT]]</f>
        <v>0</v>
      </c>
      <c r="W445" s="57" t="str">
        <f>IF(Dealps[[#This Row],[TRANSACTION_STATUS]]&lt;&gt;"V","Ngoai BS",IF(Dealps[[#This Row],[POSTED_DT]]&gt;=Dealps[[#This Row],[VALUE_DATE]],"On BS","Off BS"))</f>
        <v>On BS</v>
      </c>
      <c r="X445" s="25">
        <f>SUMIFS(U:U,C:C,Dealps[[#This Row],[PAPER_CODE]])</f>
        <v>1000000000000</v>
      </c>
      <c r="Y445" s="25">
        <f>_xlfn.XLOOKUP(Dealps[[#This Row],[DEAL_ID]],Ref!N:N,Ref!Q:Q,0,0)</f>
        <v>0</v>
      </c>
      <c r="Z445" s="25" t="str">
        <f>IF(Dealps[[#This Row],[CPTY_CODE]]=Dealps[[#This Row],[CPTY_CODE_ISSUER]],"Yes","No")</f>
        <v>No</v>
      </c>
      <c r="AA445" s="25"/>
      <c r="AC445" s="14"/>
      <c r="AG445" s="96"/>
      <c r="AH445" s="25"/>
      <c r="AI445" s="25"/>
      <c r="AN445" s="14"/>
      <c r="AV445" s="36"/>
      <c r="AW445" s="14"/>
      <c r="AX445" s="234"/>
      <c r="AY445" s="96"/>
      <c r="AZ445" s="14"/>
      <c r="BA445"/>
      <c r="BB445" s="93">
        <v>46262</v>
      </c>
      <c r="BC445">
        <v>3284</v>
      </c>
      <c r="BD445" s="56" t="s">
        <v>1017</v>
      </c>
      <c r="BE445" t="s">
        <v>1011</v>
      </c>
      <c r="BF445" t="s">
        <v>1012</v>
      </c>
      <c r="BG445" t="s">
        <v>364</v>
      </c>
      <c r="BH445" t="s">
        <v>1013</v>
      </c>
      <c r="BI445" t="s">
        <v>300</v>
      </c>
      <c r="BJ445" s="93">
        <v>46021</v>
      </c>
      <c r="BK445" s="93">
        <v>46021</v>
      </c>
      <c r="BL445" s="93">
        <v>46021</v>
      </c>
      <c r="BM445" s="93">
        <v>46502</v>
      </c>
      <c r="BN445" s="14">
        <v>1</v>
      </c>
      <c r="BO445" s="14">
        <v>11382700000</v>
      </c>
      <c r="BP445" s="56">
        <v>96.043287671000002</v>
      </c>
      <c r="BQ445" s="56">
        <v>0</v>
      </c>
      <c r="BR445" s="14">
        <v>11382700000</v>
      </c>
      <c r="BS445">
        <v>8.7842319999999994</v>
      </c>
      <c r="BT445" t="s">
        <v>1184</v>
      </c>
      <c r="BU445" s="25">
        <f>_xlfn.XLOOKUP(Dealps_MSB[[#This Row],[DEAL_ID]],Ref!V:V,Ref!X:X,0,0)</f>
        <v>0</v>
      </c>
      <c r="BV445"/>
    </row>
    <row r="446" spans="1:74" x14ac:dyDescent="0.3">
      <c r="A446" s="93">
        <v>46262</v>
      </c>
      <c r="B446">
        <v>4357</v>
      </c>
      <c r="C446" s="56" t="s">
        <v>1010</v>
      </c>
      <c r="D446" t="s">
        <v>328</v>
      </c>
      <c r="E446" t="s">
        <v>320</v>
      </c>
      <c r="F446" t="s">
        <v>364</v>
      </c>
      <c r="G446" t="s">
        <v>310</v>
      </c>
      <c r="H446" t="s">
        <v>311</v>
      </c>
      <c r="I446" s="93">
        <v>46170</v>
      </c>
      <c r="J446" s="93">
        <v>46170</v>
      </c>
      <c r="K446" s="93">
        <v>46171</v>
      </c>
      <c r="L446" s="93">
        <v>46329</v>
      </c>
      <c r="M446" s="14">
        <v>1</v>
      </c>
      <c r="N446" s="14">
        <v>800000000000</v>
      </c>
      <c r="O446" s="56">
        <v>100.29947496200001</v>
      </c>
      <c r="P446" s="56">
        <v>0</v>
      </c>
      <c r="Q446" s="14">
        <v>830840731200</v>
      </c>
      <c r="R446">
        <v>5.4</v>
      </c>
      <c r="S446" t="s">
        <v>1184</v>
      </c>
      <c r="T446" s="57">
        <f>IF(Dealps[[#This Row],[MATURITY_DATE]]-Dealps[[#This Row],[POSTED_DT]]&lt;0,0,IF(Dealps[[#This Row],[VALUE_DATE]]-Dealps[[#This Row],[POSTED_DT]]&gt;0,Dealps[[#This Row],[MATURITY_DATE]]-Dealps[[#This Row],[VALUE_DATE]],Dealps[[#This Row],[MATURITY_DATE]]-Dealps[[#This Row],[POSTED_DT]]))</f>
        <v>67</v>
      </c>
      <c r="U446" s="25">
        <f>IF(Dealps[[#This Row],[TENOR]]=0,0,IF(Dealps[[#This Row],[DEAL_TYPE]]="B",Dealps[[#This Row],[FACE_AMOUNT]],-Dealps[[#This Row],[FACE_AMOUNT]]))</f>
        <v>-800000000000</v>
      </c>
      <c r="V446" s="25">
        <f>_xlfn.XLOOKUP(Dealps[[#This Row],[PAPER_CODE]],FNRP!D:D,FNRP!H:H,0,0)/100*Dealps[[#This Row],[AMOUNT]]</f>
        <v>0</v>
      </c>
      <c r="W446" s="57" t="str">
        <f>IF(Dealps[[#This Row],[TRANSACTION_STATUS]]&lt;&gt;"V","Ngoai BS",IF(Dealps[[#This Row],[POSTED_DT]]&gt;=Dealps[[#This Row],[VALUE_DATE]],"On BS","Off BS"))</f>
        <v>On BS</v>
      </c>
      <c r="X446" s="25">
        <f>SUMIFS(U:U,C:C,Dealps[[#This Row],[PAPER_CODE]])</f>
        <v>2000000000000</v>
      </c>
      <c r="Y446" s="25">
        <f>_xlfn.XLOOKUP(Dealps[[#This Row],[DEAL_ID]],Ref!N:N,Ref!Q:Q,0,0)</f>
        <v>0</v>
      </c>
      <c r="Z446" s="25" t="str">
        <f>IF(Dealps[[#This Row],[CPTY_CODE]]=Dealps[[#This Row],[CPTY_CODE_ISSUER]],"Yes","No")</f>
        <v>No</v>
      </c>
      <c r="AA446" s="25"/>
      <c r="AC446" s="14"/>
      <c r="AG446" s="96"/>
      <c r="AH446" s="25"/>
      <c r="AI446" s="25"/>
      <c r="AN446" s="14"/>
      <c r="AV446" s="36"/>
      <c r="AW446" s="14"/>
      <c r="AX446" s="234"/>
      <c r="AY446" s="96"/>
      <c r="AZ446" s="14"/>
      <c r="BA446"/>
      <c r="BB446" s="93">
        <v>46262</v>
      </c>
      <c r="BC446">
        <v>3489</v>
      </c>
      <c r="BD446" s="56" t="s">
        <v>1023</v>
      </c>
      <c r="BE446" t="s">
        <v>1011</v>
      </c>
      <c r="BF446" t="s">
        <v>1012</v>
      </c>
      <c r="BG446" t="s">
        <v>364</v>
      </c>
      <c r="BH446" t="s">
        <v>1013</v>
      </c>
      <c r="BI446" t="s">
        <v>300</v>
      </c>
      <c r="BJ446" s="93">
        <v>46062</v>
      </c>
      <c r="BK446" s="93">
        <v>46062</v>
      </c>
      <c r="BL446" s="93">
        <v>46062</v>
      </c>
      <c r="BM446" s="93">
        <v>46682</v>
      </c>
      <c r="BN446" s="14">
        <v>1</v>
      </c>
      <c r="BO446" s="14">
        <v>7000000000</v>
      </c>
      <c r="BP446" s="56">
        <v>98.252054795000006</v>
      </c>
      <c r="BQ446" s="56">
        <v>0</v>
      </c>
      <c r="BR446" s="14">
        <v>7000000000</v>
      </c>
      <c r="BS446">
        <v>6.8290319999999998</v>
      </c>
      <c r="BT446" t="s">
        <v>1184</v>
      </c>
      <c r="BU446" s="25">
        <f>_xlfn.XLOOKUP(Dealps_MSB[[#This Row],[DEAL_ID]],Ref!V:V,Ref!X:X,0,0)</f>
        <v>0</v>
      </c>
      <c r="BV446"/>
    </row>
    <row r="447" spans="1:74" x14ac:dyDescent="0.3">
      <c r="A447" s="93">
        <v>46262</v>
      </c>
      <c r="B447">
        <v>4358</v>
      </c>
      <c r="C447" s="56" t="s">
        <v>1204</v>
      </c>
      <c r="D447" t="s">
        <v>315</v>
      </c>
      <c r="E447" t="s">
        <v>345</v>
      </c>
      <c r="F447" t="s">
        <v>364</v>
      </c>
      <c r="G447" t="s">
        <v>310</v>
      </c>
      <c r="H447" t="s">
        <v>311</v>
      </c>
      <c r="I447" s="93">
        <v>46170</v>
      </c>
      <c r="J447" s="93">
        <v>46170</v>
      </c>
      <c r="K447" s="93">
        <v>46171</v>
      </c>
      <c r="L447" s="93">
        <v>46422</v>
      </c>
      <c r="M447" s="14">
        <v>1</v>
      </c>
      <c r="N447" s="14">
        <v>500000000000</v>
      </c>
      <c r="O447" s="56">
        <v>100.42414952599999</v>
      </c>
      <c r="P447" s="56">
        <v>0</v>
      </c>
      <c r="Q447" s="14">
        <v>513427049000</v>
      </c>
      <c r="R447">
        <v>6.45</v>
      </c>
      <c r="S447" t="s">
        <v>1184</v>
      </c>
      <c r="T447" s="57">
        <f>IF(Dealps[[#This Row],[MATURITY_DATE]]-Dealps[[#This Row],[POSTED_DT]]&lt;0,0,IF(Dealps[[#This Row],[VALUE_DATE]]-Dealps[[#This Row],[POSTED_DT]]&gt;0,Dealps[[#This Row],[MATURITY_DATE]]-Dealps[[#This Row],[VALUE_DATE]],Dealps[[#This Row],[MATURITY_DATE]]-Dealps[[#This Row],[POSTED_DT]]))</f>
        <v>160</v>
      </c>
      <c r="U447" s="25">
        <f>IF(Dealps[[#This Row],[TENOR]]=0,0,IF(Dealps[[#This Row],[DEAL_TYPE]]="B",Dealps[[#This Row],[FACE_AMOUNT]],-Dealps[[#This Row],[FACE_AMOUNT]]))</f>
        <v>-500000000000</v>
      </c>
      <c r="V447" s="25">
        <f>_xlfn.XLOOKUP(Dealps[[#This Row],[PAPER_CODE]],FNRP!D:D,FNRP!H:H,0,0)/100*Dealps[[#This Row],[AMOUNT]]</f>
        <v>0</v>
      </c>
      <c r="W447" s="57" t="str">
        <f>IF(Dealps[[#This Row],[TRANSACTION_STATUS]]&lt;&gt;"V","Ngoai BS",IF(Dealps[[#This Row],[POSTED_DT]]&gt;=Dealps[[#This Row],[VALUE_DATE]],"On BS","Off BS"))</f>
        <v>On BS</v>
      </c>
      <c r="X447" s="25">
        <f>SUMIFS(U:U,C:C,Dealps[[#This Row],[PAPER_CODE]])</f>
        <v>1000000000000</v>
      </c>
      <c r="Y447" s="25">
        <f>_xlfn.XLOOKUP(Dealps[[#This Row],[DEAL_ID]],Ref!N:N,Ref!Q:Q,0,0)</f>
        <v>0</v>
      </c>
      <c r="Z447" s="25" t="str">
        <f>IF(Dealps[[#This Row],[CPTY_CODE]]=Dealps[[#This Row],[CPTY_CODE_ISSUER]],"Yes","No")</f>
        <v>No</v>
      </c>
      <c r="AA447" s="25"/>
      <c r="AC447" s="14"/>
      <c r="AG447" s="96"/>
      <c r="AH447" s="25"/>
      <c r="AI447" s="25"/>
      <c r="AN447" s="14"/>
      <c r="AV447" s="36"/>
      <c r="AW447" s="14"/>
      <c r="AX447" s="234"/>
      <c r="AY447" s="96"/>
      <c r="AZ447" s="14"/>
      <c r="BA447"/>
      <c r="BB447" s="93">
        <v>46262</v>
      </c>
      <c r="BC447">
        <v>3514</v>
      </c>
      <c r="BD447" s="56" t="s">
        <v>1211</v>
      </c>
      <c r="BE447" t="s">
        <v>1011</v>
      </c>
      <c r="BF447" t="s">
        <v>1012</v>
      </c>
      <c r="BG447" t="s">
        <v>364</v>
      </c>
      <c r="BH447" t="s">
        <v>1013</v>
      </c>
      <c r="BI447" t="s">
        <v>311</v>
      </c>
      <c r="BJ447" s="93">
        <v>46063</v>
      </c>
      <c r="BK447" s="93">
        <v>46063</v>
      </c>
      <c r="BL447" s="93">
        <v>46063</v>
      </c>
      <c r="BM447" s="93">
        <v>46793</v>
      </c>
      <c r="BN447" s="14">
        <v>1</v>
      </c>
      <c r="BO447" s="14">
        <v>20000000000</v>
      </c>
      <c r="BP447" s="56">
        <v>100</v>
      </c>
      <c r="BQ447" s="56">
        <v>0</v>
      </c>
      <c r="BR447" s="14">
        <v>20000000000</v>
      </c>
      <c r="BS447">
        <v>7</v>
      </c>
      <c r="BT447" t="s">
        <v>1184</v>
      </c>
      <c r="BU447" s="25">
        <f>_xlfn.XLOOKUP(Dealps_MSB[[#This Row],[DEAL_ID]],Ref!V:V,Ref!X:X,0,0)</f>
        <v>0</v>
      </c>
      <c r="BV447"/>
    </row>
    <row r="448" spans="1:74" x14ac:dyDescent="0.3">
      <c r="A448" s="93">
        <v>46262</v>
      </c>
      <c r="B448">
        <v>4359</v>
      </c>
      <c r="C448" s="56" t="s">
        <v>1258</v>
      </c>
      <c r="D448" t="s">
        <v>321</v>
      </c>
      <c r="E448" t="s">
        <v>322</v>
      </c>
      <c r="F448" t="s">
        <v>364</v>
      </c>
      <c r="G448" t="s">
        <v>310</v>
      </c>
      <c r="H448" t="s">
        <v>311</v>
      </c>
      <c r="I448" s="93">
        <v>46170</v>
      </c>
      <c r="J448" s="93">
        <v>46170</v>
      </c>
      <c r="K448" s="93">
        <v>46171</v>
      </c>
      <c r="L448" s="93">
        <v>46485</v>
      </c>
      <c r="M448" s="14">
        <v>1</v>
      </c>
      <c r="N448" s="14">
        <v>500000000000</v>
      </c>
      <c r="O448" s="56">
        <v>100.173806962</v>
      </c>
      <c r="P448" s="56">
        <v>0</v>
      </c>
      <c r="Q448" s="14">
        <v>506047117000</v>
      </c>
      <c r="R448">
        <v>8.1</v>
      </c>
      <c r="S448" t="s">
        <v>1184</v>
      </c>
      <c r="T448" s="57">
        <f>IF(Dealps[[#This Row],[MATURITY_DATE]]-Dealps[[#This Row],[POSTED_DT]]&lt;0,0,IF(Dealps[[#This Row],[VALUE_DATE]]-Dealps[[#This Row],[POSTED_DT]]&gt;0,Dealps[[#This Row],[MATURITY_DATE]]-Dealps[[#This Row],[VALUE_DATE]],Dealps[[#This Row],[MATURITY_DATE]]-Dealps[[#This Row],[POSTED_DT]]))</f>
        <v>223</v>
      </c>
      <c r="U448" s="25">
        <f>IF(Dealps[[#This Row],[TENOR]]=0,0,IF(Dealps[[#This Row],[DEAL_TYPE]]="B",Dealps[[#This Row],[FACE_AMOUNT]],-Dealps[[#This Row],[FACE_AMOUNT]]))</f>
        <v>-500000000000</v>
      </c>
      <c r="V448" s="25">
        <f>_xlfn.XLOOKUP(Dealps[[#This Row],[PAPER_CODE]],FNRP!D:D,FNRP!H:H,0,0)/100*Dealps[[#This Row],[AMOUNT]]</f>
        <v>0</v>
      </c>
      <c r="W448" s="57" t="str">
        <f>IF(Dealps[[#This Row],[TRANSACTION_STATUS]]&lt;&gt;"V","Ngoai BS",IF(Dealps[[#This Row],[POSTED_DT]]&gt;=Dealps[[#This Row],[VALUE_DATE]],"On BS","Off BS"))</f>
        <v>On BS</v>
      </c>
      <c r="X448" s="25">
        <f>SUMIFS(U:U,C:C,Dealps[[#This Row],[PAPER_CODE]])</f>
        <v>2000000000000</v>
      </c>
      <c r="Y448" s="25">
        <f>_xlfn.XLOOKUP(Dealps[[#This Row],[DEAL_ID]],Ref!N:N,Ref!Q:Q,0,0)</f>
        <v>0</v>
      </c>
      <c r="Z448" s="25" t="str">
        <f>IF(Dealps[[#This Row],[CPTY_CODE]]=Dealps[[#This Row],[CPTY_CODE_ISSUER]],"Yes","No")</f>
        <v>No</v>
      </c>
      <c r="AA448" s="25"/>
      <c r="AC448" s="14"/>
      <c r="AG448" s="96"/>
      <c r="AH448" s="25"/>
      <c r="AI448" s="25"/>
      <c r="AN448" s="14"/>
      <c r="AV448" s="36"/>
      <c r="AW448" s="14"/>
      <c r="AX448" s="234"/>
      <c r="AY448" s="96"/>
      <c r="AZ448" s="14"/>
      <c r="BA448"/>
      <c r="BB448" s="93">
        <v>46262</v>
      </c>
      <c r="BC448">
        <v>3515</v>
      </c>
      <c r="BD448" s="56" t="s">
        <v>1211</v>
      </c>
      <c r="BE448" t="s">
        <v>1011</v>
      </c>
      <c r="BF448" t="s">
        <v>1012</v>
      </c>
      <c r="BG448" t="s">
        <v>364</v>
      </c>
      <c r="BH448" t="s">
        <v>1013</v>
      </c>
      <c r="BI448" t="s">
        <v>311</v>
      </c>
      <c r="BJ448" s="93">
        <v>46063</v>
      </c>
      <c r="BK448" s="93">
        <v>46063</v>
      </c>
      <c r="BL448" s="93">
        <v>46063</v>
      </c>
      <c r="BM448" s="93">
        <v>46793</v>
      </c>
      <c r="BN448" s="14">
        <v>1</v>
      </c>
      <c r="BO448" s="14">
        <v>20000000000</v>
      </c>
      <c r="BP448" s="56">
        <v>100</v>
      </c>
      <c r="BQ448" s="56">
        <v>0</v>
      </c>
      <c r="BR448" s="14">
        <v>20000000000</v>
      </c>
      <c r="BS448">
        <v>7</v>
      </c>
      <c r="BT448" t="s">
        <v>1184</v>
      </c>
      <c r="BU448" s="25">
        <f>_xlfn.XLOOKUP(Dealps_MSB[[#This Row],[DEAL_ID]],Ref!V:V,Ref!X:X,0,0)</f>
        <v>0</v>
      </c>
      <c r="BV448"/>
    </row>
    <row r="449" spans="1:74" x14ac:dyDescent="0.3">
      <c r="A449" s="93">
        <v>46262</v>
      </c>
      <c r="B449">
        <v>4361</v>
      </c>
      <c r="C449" s="56" t="s">
        <v>1260</v>
      </c>
      <c r="D449" t="s">
        <v>384</v>
      </c>
      <c r="E449" t="s">
        <v>1022</v>
      </c>
      <c r="F449" t="s">
        <v>364</v>
      </c>
      <c r="G449" t="s">
        <v>310</v>
      </c>
      <c r="H449" t="s">
        <v>300</v>
      </c>
      <c r="I449" s="93">
        <v>46171</v>
      </c>
      <c r="J449" s="93">
        <v>46171</v>
      </c>
      <c r="K449" s="93">
        <v>46171</v>
      </c>
      <c r="L449" s="93">
        <v>46524</v>
      </c>
      <c r="M449" s="14">
        <v>1</v>
      </c>
      <c r="N449" s="14">
        <v>70000000000</v>
      </c>
      <c r="O449" s="56">
        <v>99.973843915000003</v>
      </c>
      <c r="P449" s="56">
        <v>0</v>
      </c>
      <c r="Q449" s="14">
        <v>70746896220</v>
      </c>
      <c r="R449">
        <v>9.4264650000000003</v>
      </c>
      <c r="S449" t="s">
        <v>1184</v>
      </c>
      <c r="T449" s="57">
        <f>IF(Dealps[[#This Row],[MATURITY_DATE]]-Dealps[[#This Row],[POSTED_DT]]&lt;0,0,IF(Dealps[[#This Row],[VALUE_DATE]]-Dealps[[#This Row],[POSTED_DT]]&gt;0,Dealps[[#This Row],[MATURITY_DATE]]-Dealps[[#This Row],[VALUE_DATE]],Dealps[[#This Row],[MATURITY_DATE]]-Dealps[[#This Row],[POSTED_DT]]))</f>
        <v>262</v>
      </c>
      <c r="U449" s="25">
        <f>IF(Dealps[[#This Row],[TENOR]]=0,0,IF(Dealps[[#This Row],[DEAL_TYPE]]="B",Dealps[[#This Row],[FACE_AMOUNT]],-Dealps[[#This Row],[FACE_AMOUNT]]))</f>
        <v>70000000000</v>
      </c>
      <c r="V449" s="25">
        <f>_xlfn.XLOOKUP(Dealps[[#This Row],[PAPER_CODE]],FNRP!D:D,FNRP!H:H,0,0)/100*Dealps[[#This Row],[AMOUNT]]</f>
        <v>0</v>
      </c>
      <c r="W449" s="57" t="str">
        <f>IF(Dealps[[#This Row],[TRANSACTION_STATUS]]&lt;&gt;"V","Ngoai BS",IF(Dealps[[#This Row],[POSTED_DT]]&gt;=Dealps[[#This Row],[VALUE_DATE]],"On BS","Off BS"))</f>
        <v>On BS</v>
      </c>
      <c r="X449" s="25">
        <f>SUMIFS(U:U,C:C,Dealps[[#This Row],[PAPER_CODE]])</f>
        <v>400000000000</v>
      </c>
      <c r="Y449" s="25">
        <f>_xlfn.XLOOKUP(Dealps[[#This Row],[DEAL_ID]],Ref!N:N,Ref!Q:Q,0,0)</f>
        <v>0</v>
      </c>
      <c r="Z449" s="25" t="str">
        <f>IF(Dealps[[#This Row],[CPTY_CODE]]=Dealps[[#This Row],[CPTY_CODE_ISSUER]],"Yes","No")</f>
        <v>No</v>
      </c>
      <c r="AA449" s="25"/>
      <c r="AC449" s="14"/>
      <c r="AG449" s="96"/>
      <c r="AH449" s="25"/>
      <c r="AI449" s="25"/>
      <c r="AN449" s="14"/>
      <c r="AV449" s="36"/>
      <c r="AW449" s="14"/>
      <c r="AX449" s="234"/>
      <c r="AY449" s="96"/>
      <c r="AZ449" s="14"/>
      <c r="BA449"/>
      <c r="BB449" s="93">
        <v>46262</v>
      </c>
      <c r="BC449">
        <v>3516</v>
      </c>
      <c r="BD449" s="56" t="s">
        <v>1211</v>
      </c>
      <c r="BE449" t="s">
        <v>1011</v>
      </c>
      <c r="BF449" t="s">
        <v>1012</v>
      </c>
      <c r="BG449" t="s">
        <v>364</v>
      </c>
      <c r="BH449" t="s">
        <v>1013</v>
      </c>
      <c r="BI449" t="s">
        <v>311</v>
      </c>
      <c r="BJ449" s="93">
        <v>46063</v>
      </c>
      <c r="BK449" s="93">
        <v>46063</v>
      </c>
      <c r="BL449" s="93">
        <v>46063</v>
      </c>
      <c r="BM449" s="93">
        <v>46793</v>
      </c>
      <c r="BN449" s="14">
        <v>1</v>
      </c>
      <c r="BO449" s="14">
        <v>10000000000</v>
      </c>
      <c r="BP449" s="56">
        <v>100</v>
      </c>
      <c r="BQ449" s="56">
        <v>0</v>
      </c>
      <c r="BR449" s="14">
        <v>10000000000</v>
      </c>
      <c r="BS449">
        <v>7</v>
      </c>
      <c r="BT449" t="s">
        <v>1184</v>
      </c>
      <c r="BU449" s="25">
        <f>_xlfn.XLOOKUP(Dealps_MSB[[#This Row],[DEAL_ID]],Ref!V:V,Ref!X:X,0,0)</f>
        <v>0</v>
      </c>
      <c r="BV449"/>
    </row>
    <row r="450" spans="1:74" x14ac:dyDescent="0.3">
      <c r="A450" s="93">
        <v>46262</v>
      </c>
      <c r="B450">
        <v>4362</v>
      </c>
      <c r="C450" s="56" t="s">
        <v>1239</v>
      </c>
      <c r="D450" t="s">
        <v>384</v>
      </c>
      <c r="E450" t="s">
        <v>1015</v>
      </c>
      <c r="F450" t="s">
        <v>364</v>
      </c>
      <c r="G450" t="s">
        <v>310</v>
      </c>
      <c r="H450" t="s">
        <v>300</v>
      </c>
      <c r="I450" s="93">
        <v>46171</v>
      </c>
      <c r="J450" s="93">
        <v>46171</v>
      </c>
      <c r="K450" s="93">
        <v>46171</v>
      </c>
      <c r="L450" s="93">
        <v>46493</v>
      </c>
      <c r="M450" s="14">
        <v>1</v>
      </c>
      <c r="N450" s="14">
        <v>50000000000</v>
      </c>
      <c r="O450" s="56">
        <v>99.953644838000002</v>
      </c>
      <c r="P450" s="56">
        <v>0</v>
      </c>
      <c r="Q450" s="14">
        <v>50879014200</v>
      </c>
      <c r="R450">
        <v>8.7978760000000005</v>
      </c>
      <c r="S450" t="s">
        <v>1184</v>
      </c>
      <c r="T450" s="57">
        <f>IF(Dealps[[#This Row],[MATURITY_DATE]]-Dealps[[#This Row],[POSTED_DT]]&lt;0,0,IF(Dealps[[#This Row],[VALUE_DATE]]-Dealps[[#This Row],[POSTED_DT]]&gt;0,Dealps[[#This Row],[MATURITY_DATE]]-Dealps[[#This Row],[VALUE_DATE]],Dealps[[#This Row],[MATURITY_DATE]]-Dealps[[#This Row],[POSTED_DT]]))</f>
        <v>231</v>
      </c>
      <c r="U450" s="25">
        <f>IF(Dealps[[#This Row],[TENOR]]=0,0,IF(Dealps[[#This Row],[DEAL_TYPE]]="B",Dealps[[#This Row],[FACE_AMOUNT]],-Dealps[[#This Row],[FACE_AMOUNT]]))</f>
        <v>50000000000</v>
      </c>
      <c r="V450" s="25">
        <f>_xlfn.XLOOKUP(Dealps[[#This Row],[PAPER_CODE]],FNRP!D:D,FNRP!H:H,0,0)/100*Dealps[[#This Row],[AMOUNT]]</f>
        <v>0</v>
      </c>
      <c r="W450" s="57" t="str">
        <f>IF(Dealps[[#This Row],[TRANSACTION_STATUS]]&lt;&gt;"V","Ngoai BS",IF(Dealps[[#This Row],[POSTED_DT]]&gt;=Dealps[[#This Row],[VALUE_DATE]],"On BS","Off BS"))</f>
        <v>On BS</v>
      </c>
      <c r="X450" s="25">
        <f>SUMIFS(U:U,C:C,Dealps[[#This Row],[PAPER_CODE]])</f>
        <v>300000000000</v>
      </c>
      <c r="Y450" s="25">
        <f>_xlfn.XLOOKUP(Dealps[[#This Row],[DEAL_ID]],Ref!N:N,Ref!Q:Q,0,0)</f>
        <v>0</v>
      </c>
      <c r="Z450" s="25" t="str">
        <f>IF(Dealps[[#This Row],[CPTY_CODE]]=Dealps[[#This Row],[CPTY_CODE_ISSUER]],"Yes","No")</f>
        <v>No</v>
      </c>
      <c r="AA450" s="25"/>
      <c r="AC450" s="14"/>
      <c r="AG450" s="96"/>
      <c r="AH450" s="25"/>
      <c r="AI450" s="25"/>
      <c r="AN450" s="14"/>
      <c r="AV450" s="36"/>
      <c r="AW450" s="14"/>
      <c r="AX450" s="234"/>
      <c r="AY450" s="96"/>
      <c r="AZ450" s="14"/>
      <c r="BA450"/>
      <c r="BB450" s="93">
        <v>46262</v>
      </c>
      <c r="BC450">
        <v>3526</v>
      </c>
      <c r="BD450" s="56" t="s">
        <v>1211</v>
      </c>
      <c r="BE450" t="s">
        <v>1011</v>
      </c>
      <c r="BF450" t="s">
        <v>1012</v>
      </c>
      <c r="BG450" t="s">
        <v>364</v>
      </c>
      <c r="BH450" t="s">
        <v>1013</v>
      </c>
      <c r="BI450" t="s">
        <v>311</v>
      </c>
      <c r="BJ450" s="93">
        <v>46064</v>
      </c>
      <c r="BK450" s="93">
        <v>46064</v>
      </c>
      <c r="BL450" s="93">
        <v>46064</v>
      </c>
      <c r="BM450" s="93">
        <v>46793</v>
      </c>
      <c r="BN450" s="14">
        <v>1</v>
      </c>
      <c r="BO450" s="14">
        <v>20000000000</v>
      </c>
      <c r="BP450" s="56">
        <v>100</v>
      </c>
      <c r="BQ450" s="56">
        <v>0</v>
      </c>
      <c r="BR450" s="14">
        <v>20003835616</v>
      </c>
      <c r="BS450">
        <v>6.9986579999999998</v>
      </c>
      <c r="BT450" t="s">
        <v>1184</v>
      </c>
      <c r="BU450" s="25">
        <f>_xlfn.XLOOKUP(Dealps_MSB[[#This Row],[DEAL_ID]],Ref!V:V,Ref!X:X,0,0)</f>
        <v>0</v>
      </c>
      <c r="BV450"/>
    </row>
    <row r="451" spans="1:74" x14ac:dyDescent="0.3">
      <c r="A451" s="93">
        <v>46262</v>
      </c>
      <c r="B451">
        <v>4363</v>
      </c>
      <c r="C451" s="56" t="s">
        <v>963</v>
      </c>
      <c r="D451" t="s">
        <v>308</v>
      </c>
      <c r="E451" t="s">
        <v>1270</v>
      </c>
      <c r="F451" t="s">
        <v>364</v>
      </c>
      <c r="G451" t="s">
        <v>310</v>
      </c>
      <c r="H451" t="s">
        <v>300</v>
      </c>
      <c r="I451" s="93">
        <v>46171</v>
      </c>
      <c r="J451" s="93">
        <v>46171</v>
      </c>
      <c r="K451" s="93">
        <v>46171</v>
      </c>
      <c r="L451" s="93">
        <v>46295</v>
      </c>
      <c r="M451" s="14">
        <v>1</v>
      </c>
      <c r="N451" s="14">
        <v>200000000000</v>
      </c>
      <c r="O451" s="56">
        <v>100.27998789599999</v>
      </c>
      <c r="P451" s="56">
        <v>0</v>
      </c>
      <c r="Q451" s="14">
        <v>208581893600</v>
      </c>
      <c r="R451">
        <v>5.0587730000000004</v>
      </c>
      <c r="S451" t="s">
        <v>1184</v>
      </c>
      <c r="T451" s="57">
        <f>IF(Dealps[[#This Row],[MATURITY_DATE]]-Dealps[[#This Row],[POSTED_DT]]&lt;0,0,IF(Dealps[[#This Row],[VALUE_DATE]]-Dealps[[#This Row],[POSTED_DT]]&gt;0,Dealps[[#This Row],[MATURITY_DATE]]-Dealps[[#This Row],[VALUE_DATE]],Dealps[[#This Row],[MATURITY_DATE]]-Dealps[[#This Row],[POSTED_DT]]))</f>
        <v>33</v>
      </c>
      <c r="U451" s="25">
        <f>IF(Dealps[[#This Row],[TENOR]]=0,0,IF(Dealps[[#This Row],[DEAL_TYPE]]="B",Dealps[[#This Row],[FACE_AMOUNT]],-Dealps[[#This Row],[FACE_AMOUNT]]))</f>
        <v>200000000000</v>
      </c>
      <c r="V451" s="25">
        <f>_xlfn.XLOOKUP(Dealps[[#This Row],[PAPER_CODE]],FNRP!D:D,FNRP!H:H,0,0)/100*Dealps[[#This Row],[AMOUNT]]</f>
        <v>0</v>
      </c>
      <c r="W451" s="57" t="str">
        <f>IF(Dealps[[#This Row],[TRANSACTION_STATUS]]&lt;&gt;"V","Ngoai BS",IF(Dealps[[#This Row],[POSTED_DT]]&gt;=Dealps[[#This Row],[VALUE_DATE]],"On BS","Off BS"))</f>
        <v>On BS</v>
      </c>
      <c r="X451" s="25">
        <f>SUMIFS(U:U,C:C,Dealps[[#This Row],[PAPER_CODE]])</f>
        <v>400000000000</v>
      </c>
      <c r="Y451" s="25">
        <f>_xlfn.XLOOKUP(Dealps[[#This Row],[DEAL_ID]],Ref!N:N,Ref!Q:Q,0,0)</f>
        <v>0</v>
      </c>
      <c r="Z451" s="25" t="str">
        <f>IF(Dealps[[#This Row],[CPTY_CODE]]=Dealps[[#This Row],[CPTY_CODE_ISSUER]],"Yes","No")</f>
        <v>No</v>
      </c>
      <c r="AA451" s="25"/>
      <c r="AC451" s="14"/>
      <c r="AG451" s="96"/>
      <c r="AH451" s="25"/>
      <c r="AI451" s="25"/>
      <c r="AN451" s="14"/>
      <c r="AV451" s="36"/>
      <c r="AW451" s="14"/>
      <c r="AX451" s="234"/>
      <c r="AY451" s="96"/>
      <c r="AZ451" s="14"/>
      <c r="BA451"/>
      <c r="BB451" s="93">
        <v>46262</v>
      </c>
      <c r="BC451">
        <v>3527</v>
      </c>
      <c r="BD451" s="56" t="s">
        <v>1211</v>
      </c>
      <c r="BE451" t="s">
        <v>1011</v>
      </c>
      <c r="BF451" t="s">
        <v>1012</v>
      </c>
      <c r="BG451" t="s">
        <v>364</v>
      </c>
      <c r="BH451" t="s">
        <v>1013</v>
      </c>
      <c r="BI451" t="s">
        <v>311</v>
      </c>
      <c r="BJ451" s="93">
        <v>46064</v>
      </c>
      <c r="BK451" s="93">
        <v>46064</v>
      </c>
      <c r="BL451" s="93">
        <v>46064</v>
      </c>
      <c r="BM451" s="93">
        <v>46793</v>
      </c>
      <c r="BN451" s="14">
        <v>1</v>
      </c>
      <c r="BO451" s="14">
        <v>20000000000</v>
      </c>
      <c r="BP451" s="56">
        <v>100</v>
      </c>
      <c r="BQ451" s="56">
        <v>0</v>
      </c>
      <c r="BR451" s="14">
        <v>20003835616</v>
      </c>
      <c r="BS451">
        <v>6.9986579999999998</v>
      </c>
      <c r="BT451" t="s">
        <v>1184</v>
      </c>
      <c r="BU451" s="25">
        <f>_xlfn.XLOOKUP(Dealps_MSB[[#This Row],[DEAL_ID]],Ref!V:V,Ref!X:X,0,0)</f>
        <v>0</v>
      </c>
      <c r="BV451"/>
    </row>
    <row r="452" spans="1:74" x14ac:dyDescent="0.3">
      <c r="A452" s="93">
        <v>46262</v>
      </c>
      <c r="B452">
        <v>4364</v>
      </c>
      <c r="C452" s="56" t="s">
        <v>1010</v>
      </c>
      <c r="D452" t="s">
        <v>328</v>
      </c>
      <c r="E452" t="s">
        <v>1270</v>
      </c>
      <c r="F452" t="s">
        <v>364</v>
      </c>
      <c r="G452" t="s">
        <v>310</v>
      </c>
      <c r="H452" t="s">
        <v>300</v>
      </c>
      <c r="I452" s="93">
        <v>46171</v>
      </c>
      <c r="J452" s="93">
        <v>46171</v>
      </c>
      <c r="K452" s="93">
        <v>46171</v>
      </c>
      <c r="L452" s="93">
        <v>46329</v>
      </c>
      <c r="M452" s="14">
        <v>1</v>
      </c>
      <c r="N452" s="14">
        <v>700000000000</v>
      </c>
      <c r="O452" s="56">
        <v>100.410842562</v>
      </c>
      <c r="P452" s="56">
        <v>0</v>
      </c>
      <c r="Q452" s="14">
        <v>727765213000</v>
      </c>
      <c r="R452">
        <v>5.1467580000000002</v>
      </c>
      <c r="S452" t="s">
        <v>1184</v>
      </c>
      <c r="T452" s="57">
        <f>IF(Dealps[[#This Row],[MATURITY_DATE]]-Dealps[[#This Row],[POSTED_DT]]&lt;0,0,IF(Dealps[[#This Row],[VALUE_DATE]]-Dealps[[#This Row],[POSTED_DT]]&gt;0,Dealps[[#This Row],[MATURITY_DATE]]-Dealps[[#This Row],[VALUE_DATE]],Dealps[[#This Row],[MATURITY_DATE]]-Dealps[[#This Row],[POSTED_DT]]))</f>
        <v>67</v>
      </c>
      <c r="U452" s="25">
        <f>IF(Dealps[[#This Row],[TENOR]]=0,0,IF(Dealps[[#This Row],[DEAL_TYPE]]="B",Dealps[[#This Row],[FACE_AMOUNT]],-Dealps[[#This Row],[FACE_AMOUNT]]))</f>
        <v>700000000000</v>
      </c>
      <c r="V452" s="25">
        <f>_xlfn.XLOOKUP(Dealps[[#This Row],[PAPER_CODE]],FNRP!D:D,FNRP!H:H,0,0)/100*Dealps[[#This Row],[AMOUNT]]</f>
        <v>0</v>
      </c>
      <c r="W452" s="57" t="str">
        <f>IF(Dealps[[#This Row],[TRANSACTION_STATUS]]&lt;&gt;"V","Ngoai BS",IF(Dealps[[#This Row],[POSTED_DT]]&gt;=Dealps[[#This Row],[VALUE_DATE]],"On BS","Off BS"))</f>
        <v>On BS</v>
      </c>
      <c r="X452" s="25">
        <f>SUMIFS(U:U,C:C,Dealps[[#This Row],[PAPER_CODE]])</f>
        <v>2000000000000</v>
      </c>
      <c r="Y452" s="25">
        <f>_xlfn.XLOOKUP(Dealps[[#This Row],[DEAL_ID]],Ref!N:N,Ref!Q:Q,0,0)</f>
        <v>0</v>
      </c>
      <c r="Z452" s="25" t="str">
        <f>IF(Dealps[[#This Row],[CPTY_CODE]]=Dealps[[#This Row],[CPTY_CODE_ISSUER]],"Yes","No")</f>
        <v>No</v>
      </c>
      <c r="AA452" s="25"/>
      <c r="AC452" s="14"/>
      <c r="AG452" s="96"/>
      <c r="AH452" s="25"/>
      <c r="AI452" s="25"/>
      <c r="AN452" s="14"/>
      <c r="AV452" s="36"/>
      <c r="AW452" s="14"/>
      <c r="AX452" s="234"/>
      <c r="AY452" s="96"/>
      <c r="AZ452" s="14"/>
      <c r="BA452"/>
      <c r="BB452" s="93">
        <v>46262</v>
      </c>
      <c r="BC452">
        <v>3528</v>
      </c>
      <c r="BD452" s="56" t="s">
        <v>1211</v>
      </c>
      <c r="BE452" t="s">
        <v>1011</v>
      </c>
      <c r="BF452" t="s">
        <v>1012</v>
      </c>
      <c r="BG452" t="s">
        <v>364</v>
      </c>
      <c r="BH452" t="s">
        <v>1013</v>
      </c>
      <c r="BI452" t="s">
        <v>311</v>
      </c>
      <c r="BJ452" s="93">
        <v>46064</v>
      </c>
      <c r="BK452" s="93">
        <v>46064</v>
      </c>
      <c r="BL452" s="93">
        <v>46064</v>
      </c>
      <c r="BM452" s="93">
        <v>46793</v>
      </c>
      <c r="BN452" s="14">
        <v>1</v>
      </c>
      <c r="BO452" s="14">
        <v>20000000000</v>
      </c>
      <c r="BP452" s="56">
        <v>100</v>
      </c>
      <c r="BQ452" s="56">
        <v>0</v>
      </c>
      <c r="BR452" s="14">
        <v>20003835616</v>
      </c>
      <c r="BS452">
        <v>6.9986579999999998</v>
      </c>
      <c r="BT452" t="s">
        <v>1184</v>
      </c>
      <c r="BU452" s="25">
        <f>_xlfn.XLOOKUP(Dealps_MSB[[#This Row],[DEAL_ID]],Ref!V:V,Ref!X:X,0,0)</f>
        <v>0</v>
      </c>
      <c r="BV452"/>
    </row>
    <row r="453" spans="1:74" x14ac:dyDescent="0.3">
      <c r="A453" s="93">
        <v>46262</v>
      </c>
      <c r="B453">
        <v>4365</v>
      </c>
      <c r="C453" s="56" t="s">
        <v>1204</v>
      </c>
      <c r="D453" t="s">
        <v>315</v>
      </c>
      <c r="E453" t="s">
        <v>1270</v>
      </c>
      <c r="F453" t="s">
        <v>364</v>
      </c>
      <c r="G453" t="s">
        <v>310</v>
      </c>
      <c r="H453" t="s">
        <v>300</v>
      </c>
      <c r="I453" s="93">
        <v>46171</v>
      </c>
      <c r="J453" s="93">
        <v>46171</v>
      </c>
      <c r="K453" s="93">
        <v>46171</v>
      </c>
      <c r="L453" s="93">
        <v>46422</v>
      </c>
      <c r="M453" s="14">
        <v>1</v>
      </c>
      <c r="N453" s="14">
        <v>100000000000</v>
      </c>
      <c r="O453" s="56">
        <v>100.47245762599999</v>
      </c>
      <c r="P453" s="56">
        <v>0</v>
      </c>
      <c r="Q453" s="14">
        <v>102733717900</v>
      </c>
      <c r="R453">
        <v>6.3785869999999996</v>
      </c>
      <c r="S453" t="s">
        <v>1184</v>
      </c>
      <c r="T453" s="57">
        <f>IF(Dealps[[#This Row],[MATURITY_DATE]]-Dealps[[#This Row],[POSTED_DT]]&lt;0,0,IF(Dealps[[#This Row],[VALUE_DATE]]-Dealps[[#This Row],[POSTED_DT]]&gt;0,Dealps[[#This Row],[MATURITY_DATE]]-Dealps[[#This Row],[VALUE_DATE]],Dealps[[#This Row],[MATURITY_DATE]]-Dealps[[#This Row],[POSTED_DT]]))</f>
        <v>160</v>
      </c>
      <c r="U453" s="25">
        <f>IF(Dealps[[#This Row],[TENOR]]=0,0,IF(Dealps[[#This Row],[DEAL_TYPE]]="B",Dealps[[#This Row],[FACE_AMOUNT]],-Dealps[[#This Row],[FACE_AMOUNT]]))</f>
        <v>100000000000</v>
      </c>
      <c r="V453" s="25">
        <f>_xlfn.XLOOKUP(Dealps[[#This Row],[PAPER_CODE]],FNRP!D:D,FNRP!H:H,0,0)/100*Dealps[[#This Row],[AMOUNT]]</f>
        <v>0</v>
      </c>
      <c r="W453" s="57" t="str">
        <f>IF(Dealps[[#This Row],[TRANSACTION_STATUS]]&lt;&gt;"V","Ngoai BS",IF(Dealps[[#This Row],[POSTED_DT]]&gt;=Dealps[[#This Row],[VALUE_DATE]],"On BS","Off BS"))</f>
        <v>On BS</v>
      </c>
      <c r="X453" s="25">
        <f>SUMIFS(U:U,C:C,Dealps[[#This Row],[PAPER_CODE]])</f>
        <v>1000000000000</v>
      </c>
      <c r="Y453" s="25">
        <f>_xlfn.XLOOKUP(Dealps[[#This Row],[DEAL_ID]],Ref!N:N,Ref!Q:Q,0,0)</f>
        <v>0</v>
      </c>
      <c r="Z453" s="25" t="str">
        <f>IF(Dealps[[#This Row],[CPTY_CODE]]=Dealps[[#This Row],[CPTY_CODE_ISSUER]],"Yes","No")</f>
        <v>No</v>
      </c>
      <c r="AA453" s="25"/>
      <c r="AC453" s="14"/>
      <c r="AG453" s="96"/>
      <c r="AH453" s="25"/>
      <c r="AI453" s="25"/>
      <c r="AN453" s="14"/>
      <c r="AV453" s="36"/>
      <c r="AW453" s="14"/>
      <c r="AX453" s="234"/>
      <c r="AY453" s="96"/>
      <c r="AZ453" s="14"/>
      <c r="BA453"/>
      <c r="BB453" s="93">
        <v>46262</v>
      </c>
      <c r="BC453">
        <v>3529</v>
      </c>
      <c r="BD453" s="56" t="s">
        <v>1211</v>
      </c>
      <c r="BE453" t="s">
        <v>1011</v>
      </c>
      <c r="BF453" t="s">
        <v>1012</v>
      </c>
      <c r="BG453" t="s">
        <v>364</v>
      </c>
      <c r="BH453" t="s">
        <v>1013</v>
      </c>
      <c r="BI453" t="s">
        <v>311</v>
      </c>
      <c r="BJ453" s="93">
        <v>46064</v>
      </c>
      <c r="BK453" s="93">
        <v>46064</v>
      </c>
      <c r="BL453" s="93">
        <v>46064</v>
      </c>
      <c r="BM453" s="93">
        <v>46793</v>
      </c>
      <c r="BN453" s="14">
        <v>1</v>
      </c>
      <c r="BO453" s="14">
        <v>20000000000</v>
      </c>
      <c r="BP453" s="56">
        <v>100</v>
      </c>
      <c r="BQ453" s="56">
        <v>0</v>
      </c>
      <c r="BR453" s="14">
        <v>20003835616</v>
      </c>
      <c r="BS453">
        <v>6.9986579999999998</v>
      </c>
      <c r="BT453" t="s">
        <v>1184</v>
      </c>
      <c r="BU453" s="25">
        <f>_xlfn.XLOOKUP(Dealps_MSB[[#This Row],[DEAL_ID]],Ref!V:V,Ref!X:X,0,0)</f>
        <v>0</v>
      </c>
      <c r="BV453"/>
    </row>
    <row r="454" spans="1:74" x14ac:dyDescent="0.3">
      <c r="A454" s="93">
        <v>46262</v>
      </c>
      <c r="B454">
        <v>4368</v>
      </c>
      <c r="C454" s="56" t="s">
        <v>1061</v>
      </c>
      <c r="D454" t="s">
        <v>312</v>
      </c>
      <c r="E454" t="s">
        <v>954</v>
      </c>
      <c r="F454" t="s">
        <v>364</v>
      </c>
      <c r="G454" t="s">
        <v>310</v>
      </c>
      <c r="H454" t="s">
        <v>300</v>
      </c>
      <c r="I454" s="93">
        <v>46171</v>
      </c>
      <c r="J454" s="93">
        <v>46171</v>
      </c>
      <c r="K454" s="93">
        <v>46171</v>
      </c>
      <c r="L454" s="93">
        <v>46343</v>
      </c>
      <c r="M454" s="14">
        <v>1</v>
      </c>
      <c r="N454" s="14">
        <v>400000000000</v>
      </c>
      <c r="O454" s="56">
        <v>101.34952639700001</v>
      </c>
      <c r="P454" s="56">
        <v>0</v>
      </c>
      <c r="Q454" s="14">
        <v>418653996000</v>
      </c>
      <c r="R454">
        <v>3.2830729999999999</v>
      </c>
      <c r="S454" t="s">
        <v>1184</v>
      </c>
      <c r="T454" s="57">
        <f>IF(Dealps[[#This Row],[MATURITY_DATE]]-Dealps[[#This Row],[POSTED_DT]]&lt;0,0,IF(Dealps[[#This Row],[VALUE_DATE]]-Dealps[[#This Row],[POSTED_DT]]&gt;0,Dealps[[#This Row],[MATURITY_DATE]]-Dealps[[#This Row],[VALUE_DATE]],Dealps[[#This Row],[MATURITY_DATE]]-Dealps[[#This Row],[POSTED_DT]]))</f>
        <v>81</v>
      </c>
      <c r="U454" s="25">
        <f>IF(Dealps[[#This Row],[TENOR]]=0,0,IF(Dealps[[#This Row],[DEAL_TYPE]]="B",Dealps[[#This Row],[FACE_AMOUNT]],-Dealps[[#This Row],[FACE_AMOUNT]]))</f>
        <v>400000000000</v>
      </c>
      <c r="V454" s="25">
        <f>_xlfn.XLOOKUP(Dealps[[#This Row],[PAPER_CODE]],FNRP!D:D,FNRP!H:H,0,0)/100*Dealps[[#This Row],[AMOUNT]]</f>
        <v>0</v>
      </c>
      <c r="W454" s="57" t="str">
        <f>IF(Dealps[[#This Row],[TRANSACTION_STATUS]]&lt;&gt;"V","Ngoai BS",IF(Dealps[[#This Row],[POSTED_DT]]&gt;=Dealps[[#This Row],[VALUE_DATE]],"On BS","Off BS"))</f>
        <v>On BS</v>
      </c>
      <c r="X454" s="25">
        <f>SUMIFS(U:U,C:C,Dealps[[#This Row],[PAPER_CODE]])</f>
        <v>1500000000000</v>
      </c>
      <c r="Y454" s="25">
        <f>_xlfn.XLOOKUP(Dealps[[#This Row],[DEAL_ID]],Ref!N:N,Ref!Q:Q,0,0)</f>
        <v>0</v>
      </c>
      <c r="Z454" s="25" t="str">
        <f>IF(Dealps[[#This Row],[CPTY_CODE]]=Dealps[[#This Row],[CPTY_CODE_ISSUER]],"Yes","No")</f>
        <v>No</v>
      </c>
      <c r="AA454" s="25"/>
      <c r="AC454" s="14"/>
      <c r="AG454" s="96"/>
      <c r="AH454" s="25"/>
      <c r="AI454" s="25"/>
      <c r="AN454" s="14"/>
      <c r="AV454" s="36"/>
      <c r="AW454" s="14"/>
      <c r="AX454" s="234"/>
      <c r="AY454" s="96"/>
      <c r="AZ454" s="14"/>
      <c r="BA454"/>
      <c r="BB454" s="93">
        <v>46262</v>
      </c>
      <c r="BC454">
        <v>3545</v>
      </c>
      <c r="BD454" s="56" t="s">
        <v>1211</v>
      </c>
      <c r="BE454" t="s">
        <v>1011</v>
      </c>
      <c r="BF454" t="s">
        <v>1012</v>
      </c>
      <c r="BG454" t="s">
        <v>364</v>
      </c>
      <c r="BH454" t="s">
        <v>1013</v>
      </c>
      <c r="BI454" t="s">
        <v>311</v>
      </c>
      <c r="BJ454" s="93">
        <v>46065</v>
      </c>
      <c r="BK454" s="93">
        <v>46065</v>
      </c>
      <c r="BL454" s="93">
        <v>46065</v>
      </c>
      <c r="BM454" s="93">
        <v>46793</v>
      </c>
      <c r="BN454" s="14">
        <v>1</v>
      </c>
      <c r="BO454" s="14">
        <v>20000000000</v>
      </c>
      <c r="BP454" s="56">
        <v>100</v>
      </c>
      <c r="BQ454" s="56">
        <v>0</v>
      </c>
      <c r="BR454" s="14">
        <v>20007671233</v>
      </c>
      <c r="BS454">
        <v>6.9973159999999996</v>
      </c>
      <c r="BT454" t="s">
        <v>1184</v>
      </c>
      <c r="BU454" s="25">
        <f>_xlfn.XLOOKUP(Dealps_MSB[[#This Row],[DEAL_ID]],Ref!V:V,Ref!X:X,0,0)</f>
        <v>0</v>
      </c>
      <c r="BV454"/>
    </row>
    <row r="455" spans="1:74" x14ac:dyDescent="0.3">
      <c r="A455" s="93">
        <v>46262</v>
      </c>
      <c r="B455">
        <v>4371</v>
      </c>
      <c r="C455" s="56" t="s">
        <v>1204</v>
      </c>
      <c r="D455" t="s">
        <v>315</v>
      </c>
      <c r="E455" t="s">
        <v>939</v>
      </c>
      <c r="F455" t="s">
        <v>364</v>
      </c>
      <c r="G455" t="s">
        <v>310</v>
      </c>
      <c r="H455" t="s">
        <v>311</v>
      </c>
      <c r="I455" s="93">
        <v>46171</v>
      </c>
      <c r="J455" s="93">
        <v>46174</v>
      </c>
      <c r="K455" s="93">
        <v>46174</v>
      </c>
      <c r="L455" s="93">
        <v>46422</v>
      </c>
      <c r="M455" s="14">
        <v>1</v>
      </c>
      <c r="N455" s="14">
        <v>30000000000</v>
      </c>
      <c r="O455" s="56">
        <v>100.483712477</v>
      </c>
      <c r="P455" s="56">
        <v>0</v>
      </c>
      <c r="Q455" s="14">
        <v>30841343880</v>
      </c>
      <c r="R455">
        <v>6.35</v>
      </c>
      <c r="S455" t="s">
        <v>1184</v>
      </c>
      <c r="T455" s="57">
        <f>IF(Dealps[[#This Row],[MATURITY_DATE]]-Dealps[[#This Row],[POSTED_DT]]&lt;0,0,IF(Dealps[[#This Row],[VALUE_DATE]]-Dealps[[#This Row],[POSTED_DT]]&gt;0,Dealps[[#This Row],[MATURITY_DATE]]-Dealps[[#This Row],[VALUE_DATE]],Dealps[[#This Row],[MATURITY_DATE]]-Dealps[[#This Row],[POSTED_DT]]))</f>
        <v>160</v>
      </c>
      <c r="U455" s="25">
        <f>IF(Dealps[[#This Row],[TENOR]]=0,0,IF(Dealps[[#This Row],[DEAL_TYPE]]="B",Dealps[[#This Row],[FACE_AMOUNT]],-Dealps[[#This Row],[FACE_AMOUNT]]))</f>
        <v>-30000000000</v>
      </c>
      <c r="V455" s="25">
        <f>_xlfn.XLOOKUP(Dealps[[#This Row],[PAPER_CODE]],FNRP!D:D,FNRP!H:H,0,0)/100*Dealps[[#This Row],[AMOUNT]]</f>
        <v>0</v>
      </c>
      <c r="W455" s="57" t="str">
        <f>IF(Dealps[[#This Row],[TRANSACTION_STATUS]]&lt;&gt;"V","Ngoai BS",IF(Dealps[[#This Row],[POSTED_DT]]&gt;=Dealps[[#This Row],[VALUE_DATE]],"On BS","Off BS"))</f>
        <v>On BS</v>
      </c>
      <c r="X455" s="25">
        <f>SUMIFS(U:U,C:C,Dealps[[#This Row],[PAPER_CODE]])</f>
        <v>1000000000000</v>
      </c>
      <c r="Y455" s="25">
        <f>_xlfn.XLOOKUP(Dealps[[#This Row],[DEAL_ID]],Ref!N:N,Ref!Q:Q,0,0)</f>
        <v>0</v>
      </c>
      <c r="Z455" s="25" t="str">
        <f>IF(Dealps[[#This Row],[CPTY_CODE]]=Dealps[[#This Row],[CPTY_CODE_ISSUER]],"Yes","No")</f>
        <v>No</v>
      </c>
      <c r="AA455" s="25"/>
      <c r="AC455" s="14"/>
      <c r="AG455" s="96"/>
      <c r="AH455" s="25"/>
      <c r="AI455" s="25"/>
      <c r="AN455" s="14"/>
      <c r="AV455" s="36"/>
      <c r="AW455" s="14"/>
      <c r="AX455" s="234"/>
      <c r="AY455" s="96"/>
      <c r="AZ455" s="14"/>
      <c r="BA455"/>
      <c r="BB455" s="93">
        <v>46262</v>
      </c>
      <c r="BC455">
        <v>3546</v>
      </c>
      <c r="BD455" s="56" t="s">
        <v>1211</v>
      </c>
      <c r="BE455" t="s">
        <v>1011</v>
      </c>
      <c r="BF455" t="s">
        <v>1012</v>
      </c>
      <c r="BG455" t="s">
        <v>364</v>
      </c>
      <c r="BH455" t="s">
        <v>1013</v>
      </c>
      <c r="BI455" t="s">
        <v>311</v>
      </c>
      <c r="BJ455" s="93">
        <v>46065</v>
      </c>
      <c r="BK455" s="93">
        <v>46065</v>
      </c>
      <c r="BL455" s="93">
        <v>46065</v>
      </c>
      <c r="BM455" s="93">
        <v>46793</v>
      </c>
      <c r="BN455" s="14">
        <v>1</v>
      </c>
      <c r="BO455" s="14">
        <v>20000000000</v>
      </c>
      <c r="BP455" s="56">
        <v>100</v>
      </c>
      <c r="BQ455" s="56">
        <v>0</v>
      </c>
      <c r="BR455" s="14">
        <v>20007671233</v>
      </c>
      <c r="BS455">
        <v>6.9973159999999996</v>
      </c>
      <c r="BT455" t="s">
        <v>1184</v>
      </c>
      <c r="BU455" s="25">
        <f>_xlfn.XLOOKUP(Dealps_MSB[[#This Row],[DEAL_ID]],Ref!V:V,Ref!X:X,0,0)</f>
        <v>0</v>
      </c>
      <c r="BV455"/>
    </row>
    <row r="456" spans="1:74" x14ac:dyDescent="0.3">
      <c r="A456" s="93">
        <v>46262</v>
      </c>
      <c r="B456">
        <v>4372</v>
      </c>
      <c r="C456" s="56" t="s">
        <v>1204</v>
      </c>
      <c r="D456" t="s">
        <v>315</v>
      </c>
      <c r="E456" t="s">
        <v>950</v>
      </c>
      <c r="F456" t="s">
        <v>364</v>
      </c>
      <c r="G456" t="s">
        <v>310</v>
      </c>
      <c r="H456" t="s">
        <v>311</v>
      </c>
      <c r="I456" s="93">
        <v>46171</v>
      </c>
      <c r="J456" s="93">
        <v>46174</v>
      </c>
      <c r="K456" s="93">
        <v>46174</v>
      </c>
      <c r="L456" s="93">
        <v>46422</v>
      </c>
      <c r="M456" s="14">
        <v>1</v>
      </c>
      <c r="N456" s="14">
        <v>30000000000</v>
      </c>
      <c r="O456" s="56">
        <v>100.483712477</v>
      </c>
      <c r="P456" s="56">
        <v>0</v>
      </c>
      <c r="Q456" s="14">
        <v>30841343880</v>
      </c>
      <c r="R456">
        <v>6.35</v>
      </c>
      <c r="S456" t="s">
        <v>1184</v>
      </c>
      <c r="T456" s="57">
        <f>IF(Dealps[[#This Row],[MATURITY_DATE]]-Dealps[[#This Row],[POSTED_DT]]&lt;0,0,IF(Dealps[[#This Row],[VALUE_DATE]]-Dealps[[#This Row],[POSTED_DT]]&gt;0,Dealps[[#This Row],[MATURITY_DATE]]-Dealps[[#This Row],[VALUE_DATE]],Dealps[[#This Row],[MATURITY_DATE]]-Dealps[[#This Row],[POSTED_DT]]))</f>
        <v>160</v>
      </c>
      <c r="U456" s="25">
        <f>IF(Dealps[[#This Row],[TENOR]]=0,0,IF(Dealps[[#This Row],[DEAL_TYPE]]="B",Dealps[[#This Row],[FACE_AMOUNT]],-Dealps[[#This Row],[FACE_AMOUNT]]))</f>
        <v>-30000000000</v>
      </c>
      <c r="V456" s="25">
        <f>_xlfn.XLOOKUP(Dealps[[#This Row],[PAPER_CODE]],FNRP!D:D,FNRP!H:H,0,0)/100*Dealps[[#This Row],[AMOUNT]]</f>
        <v>0</v>
      </c>
      <c r="W456" s="57" t="str">
        <f>IF(Dealps[[#This Row],[TRANSACTION_STATUS]]&lt;&gt;"V","Ngoai BS",IF(Dealps[[#This Row],[POSTED_DT]]&gt;=Dealps[[#This Row],[VALUE_DATE]],"On BS","Off BS"))</f>
        <v>On BS</v>
      </c>
      <c r="X456" s="25">
        <f>SUMIFS(U:U,C:C,Dealps[[#This Row],[PAPER_CODE]])</f>
        <v>1000000000000</v>
      </c>
      <c r="Y456" s="25">
        <f>_xlfn.XLOOKUP(Dealps[[#This Row],[DEAL_ID]],Ref!N:N,Ref!Q:Q,0,0)</f>
        <v>0</v>
      </c>
      <c r="Z456" s="25" t="str">
        <f>IF(Dealps[[#This Row],[CPTY_CODE]]=Dealps[[#This Row],[CPTY_CODE_ISSUER]],"Yes","No")</f>
        <v>No</v>
      </c>
      <c r="AA456" s="25"/>
      <c r="AC456" s="14"/>
      <c r="AG456" s="96"/>
      <c r="AH456" s="25"/>
      <c r="AI456" s="25"/>
      <c r="AN456" s="14"/>
      <c r="AV456" s="36"/>
      <c r="AW456" s="14"/>
      <c r="AX456" s="234"/>
      <c r="AY456" s="96"/>
      <c r="AZ456" s="14"/>
      <c r="BA456"/>
      <c r="BB456" s="93">
        <v>46262</v>
      </c>
      <c r="BC456">
        <v>3547</v>
      </c>
      <c r="BD456" s="56" t="s">
        <v>1211</v>
      </c>
      <c r="BE456" t="s">
        <v>1011</v>
      </c>
      <c r="BF456" t="s">
        <v>1012</v>
      </c>
      <c r="BG456" t="s">
        <v>364</v>
      </c>
      <c r="BH456" t="s">
        <v>1013</v>
      </c>
      <c r="BI456" t="s">
        <v>311</v>
      </c>
      <c r="BJ456" s="93">
        <v>46065</v>
      </c>
      <c r="BK456" s="93">
        <v>46065</v>
      </c>
      <c r="BL456" s="93">
        <v>46065</v>
      </c>
      <c r="BM456" s="93">
        <v>46793</v>
      </c>
      <c r="BN456" s="14">
        <v>1</v>
      </c>
      <c r="BO456" s="14">
        <v>20000000000</v>
      </c>
      <c r="BP456" s="56">
        <v>100</v>
      </c>
      <c r="BQ456" s="56">
        <v>0</v>
      </c>
      <c r="BR456" s="14">
        <v>20007671233</v>
      </c>
      <c r="BS456">
        <v>6.9973159999999996</v>
      </c>
      <c r="BT456" t="s">
        <v>1184</v>
      </c>
      <c r="BU456" s="25">
        <f>_xlfn.XLOOKUP(Dealps_MSB[[#This Row],[DEAL_ID]],Ref!V:V,Ref!X:X,0,0)</f>
        <v>0</v>
      </c>
      <c r="BV456"/>
    </row>
    <row r="457" spans="1:74" x14ac:dyDescent="0.3">
      <c r="A457" s="93">
        <v>46262</v>
      </c>
      <c r="B457">
        <v>4373</v>
      </c>
      <c r="C457" s="56" t="s">
        <v>1071</v>
      </c>
      <c r="D457" t="s">
        <v>328</v>
      </c>
      <c r="E457" t="s">
        <v>347</v>
      </c>
      <c r="F457" t="s">
        <v>364</v>
      </c>
      <c r="G457" t="s">
        <v>310</v>
      </c>
      <c r="H457" t="s">
        <v>300</v>
      </c>
      <c r="I457" s="93">
        <v>46174</v>
      </c>
      <c r="J457" s="93">
        <v>46174</v>
      </c>
      <c r="K457" s="93">
        <v>46174</v>
      </c>
      <c r="L457" s="93">
        <v>46352</v>
      </c>
      <c r="M457" s="14">
        <v>1</v>
      </c>
      <c r="N457" s="14">
        <v>500000000000</v>
      </c>
      <c r="O457" s="56">
        <v>100.596909829</v>
      </c>
      <c r="P457" s="56">
        <v>0</v>
      </c>
      <c r="Q457" s="14">
        <v>519800987500</v>
      </c>
      <c r="R457">
        <v>5.1712090000000002</v>
      </c>
      <c r="S457" t="s">
        <v>1184</v>
      </c>
      <c r="T457" s="57">
        <f>IF(Dealps[[#This Row],[MATURITY_DATE]]-Dealps[[#This Row],[POSTED_DT]]&lt;0,0,IF(Dealps[[#This Row],[VALUE_DATE]]-Dealps[[#This Row],[POSTED_DT]]&gt;0,Dealps[[#This Row],[MATURITY_DATE]]-Dealps[[#This Row],[VALUE_DATE]],Dealps[[#This Row],[MATURITY_DATE]]-Dealps[[#This Row],[POSTED_DT]]))</f>
        <v>90</v>
      </c>
      <c r="U457" s="25">
        <f>IF(Dealps[[#This Row],[TENOR]]=0,0,IF(Dealps[[#This Row],[DEAL_TYPE]]="B",Dealps[[#This Row],[FACE_AMOUNT]],-Dealps[[#This Row],[FACE_AMOUNT]]))</f>
        <v>500000000000</v>
      </c>
      <c r="V457" s="25">
        <f>_xlfn.XLOOKUP(Dealps[[#This Row],[PAPER_CODE]],FNRP!D:D,FNRP!H:H,0,0)/100*Dealps[[#This Row],[AMOUNT]]</f>
        <v>0</v>
      </c>
      <c r="W457" s="57" t="str">
        <f>IF(Dealps[[#This Row],[TRANSACTION_STATUS]]&lt;&gt;"V","Ngoai BS",IF(Dealps[[#This Row],[POSTED_DT]]&gt;=Dealps[[#This Row],[VALUE_DATE]],"On BS","Off BS"))</f>
        <v>On BS</v>
      </c>
      <c r="X457" s="25">
        <f>SUMIFS(U:U,C:C,Dealps[[#This Row],[PAPER_CODE]])</f>
        <v>1500000000000</v>
      </c>
      <c r="Y457" s="25">
        <f>_xlfn.XLOOKUP(Dealps[[#This Row],[DEAL_ID]],Ref!N:N,Ref!Q:Q,0,0)</f>
        <v>0</v>
      </c>
      <c r="Z457" s="25" t="str">
        <f>IF(Dealps[[#This Row],[CPTY_CODE]]=Dealps[[#This Row],[CPTY_CODE_ISSUER]],"Yes","No")</f>
        <v>No</v>
      </c>
      <c r="AA457" s="25"/>
      <c r="AC457" s="14"/>
      <c r="AG457" s="96"/>
      <c r="AH457" s="25"/>
      <c r="AI457" s="25"/>
      <c r="AN457" s="14"/>
      <c r="AV457" s="36"/>
      <c r="AW457" s="14"/>
      <c r="AX457" s="234"/>
      <c r="AY457" s="96"/>
      <c r="AZ457" s="14"/>
      <c r="BA457"/>
      <c r="BB457" s="93">
        <v>46262</v>
      </c>
      <c r="BC457">
        <v>3548</v>
      </c>
      <c r="BD457" s="56" t="s">
        <v>1211</v>
      </c>
      <c r="BE457" t="s">
        <v>1011</v>
      </c>
      <c r="BF457" t="s">
        <v>1012</v>
      </c>
      <c r="BG457" t="s">
        <v>364</v>
      </c>
      <c r="BH457" t="s">
        <v>1013</v>
      </c>
      <c r="BI457" t="s">
        <v>311</v>
      </c>
      <c r="BJ457" s="93">
        <v>46065</v>
      </c>
      <c r="BK457" s="93">
        <v>46065</v>
      </c>
      <c r="BL457" s="93">
        <v>46065</v>
      </c>
      <c r="BM457" s="93">
        <v>46793</v>
      </c>
      <c r="BN457" s="14">
        <v>1</v>
      </c>
      <c r="BO457" s="14">
        <v>20000000000</v>
      </c>
      <c r="BP457" s="56">
        <v>100</v>
      </c>
      <c r="BQ457" s="56">
        <v>0</v>
      </c>
      <c r="BR457" s="14">
        <v>20007671233</v>
      </c>
      <c r="BS457">
        <v>6.9973159999999996</v>
      </c>
      <c r="BT457" t="s">
        <v>1184</v>
      </c>
      <c r="BU457" s="25">
        <f>_xlfn.XLOOKUP(Dealps_MSB[[#This Row],[DEAL_ID]],Ref!V:V,Ref!X:X,0,0)</f>
        <v>0</v>
      </c>
      <c r="BV457"/>
    </row>
    <row r="458" spans="1:74" x14ac:dyDescent="0.3">
      <c r="A458" s="93">
        <v>46262</v>
      </c>
      <c r="B458">
        <v>4379</v>
      </c>
      <c r="C458" s="56" t="s">
        <v>1260</v>
      </c>
      <c r="D458" t="s">
        <v>384</v>
      </c>
      <c r="E458" t="s">
        <v>1299</v>
      </c>
      <c r="F458" t="s">
        <v>364</v>
      </c>
      <c r="G458" t="s">
        <v>310</v>
      </c>
      <c r="H458" t="s">
        <v>300</v>
      </c>
      <c r="I458" s="93">
        <v>46175</v>
      </c>
      <c r="J458" s="93">
        <v>46175</v>
      </c>
      <c r="K458" s="93">
        <v>46175</v>
      </c>
      <c r="L458" s="93">
        <v>46524</v>
      </c>
      <c r="M458" s="14">
        <v>1</v>
      </c>
      <c r="N458" s="14">
        <v>200000000000</v>
      </c>
      <c r="O458" s="56">
        <v>101.25251272600001</v>
      </c>
      <c r="P458" s="56">
        <v>0</v>
      </c>
      <c r="Q458" s="14">
        <v>204899546000</v>
      </c>
      <c r="R458">
        <v>7.9942250000000001</v>
      </c>
      <c r="S458" t="s">
        <v>1184</v>
      </c>
      <c r="T458" s="57">
        <f>IF(Dealps[[#This Row],[MATURITY_DATE]]-Dealps[[#This Row],[POSTED_DT]]&lt;0,0,IF(Dealps[[#This Row],[VALUE_DATE]]-Dealps[[#This Row],[POSTED_DT]]&gt;0,Dealps[[#This Row],[MATURITY_DATE]]-Dealps[[#This Row],[VALUE_DATE]],Dealps[[#This Row],[MATURITY_DATE]]-Dealps[[#This Row],[POSTED_DT]]))</f>
        <v>262</v>
      </c>
      <c r="U458" s="25">
        <f>IF(Dealps[[#This Row],[TENOR]]=0,0,IF(Dealps[[#This Row],[DEAL_TYPE]]="B",Dealps[[#This Row],[FACE_AMOUNT]],-Dealps[[#This Row],[FACE_AMOUNT]]))</f>
        <v>200000000000</v>
      </c>
      <c r="V458" s="25">
        <f>_xlfn.XLOOKUP(Dealps[[#This Row],[PAPER_CODE]],FNRP!D:D,FNRP!H:H,0,0)/100*Dealps[[#This Row],[AMOUNT]]</f>
        <v>0</v>
      </c>
      <c r="W458" s="57" t="str">
        <f>IF(Dealps[[#This Row],[TRANSACTION_STATUS]]&lt;&gt;"V","Ngoai BS",IF(Dealps[[#This Row],[POSTED_DT]]&gt;=Dealps[[#This Row],[VALUE_DATE]],"On BS","Off BS"))</f>
        <v>On BS</v>
      </c>
      <c r="X458" s="25">
        <f>SUMIFS(U:U,C:C,Dealps[[#This Row],[PAPER_CODE]])</f>
        <v>400000000000</v>
      </c>
      <c r="Y458" s="25">
        <f>_xlfn.XLOOKUP(Dealps[[#This Row],[DEAL_ID]],Ref!N:N,Ref!Q:Q,0,0)</f>
        <v>0</v>
      </c>
      <c r="Z458" s="25" t="str">
        <f>IF(Dealps[[#This Row],[CPTY_CODE]]=Dealps[[#This Row],[CPTY_CODE_ISSUER]],"Yes","No")</f>
        <v>No</v>
      </c>
      <c r="AA458" s="25"/>
      <c r="AC458" s="14"/>
      <c r="AG458" s="96"/>
      <c r="AH458" s="25"/>
      <c r="AI458" s="25"/>
      <c r="AN458" s="14"/>
      <c r="AV458" s="36"/>
      <c r="AW458" s="14"/>
      <c r="AX458" s="234"/>
      <c r="AY458" s="96"/>
      <c r="AZ458" s="14"/>
      <c r="BA458"/>
      <c r="BB458" s="93">
        <v>46262</v>
      </c>
      <c r="BC458">
        <v>3549</v>
      </c>
      <c r="BD458" s="56" t="s">
        <v>1211</v>
      </c>
      <c r="BE458" t="s">
        <v>1011</v>
      </c>
      <c r="BF458" t="s">
        <v>1012</v>
      </c>
      <c r="BG458" t="s">
        <v>364</v>
      </c>
      <c r="BH458" t="s">
        <v>1013</v>
      </c>
      <c r="BI458" t="s">
        <v>311</v>
      </c>
      <c r="BJ458" s="93">
        <v>46065</v>
      </c>
      <c r="BK458" s="93">
        <v>46065</v>
      </c>
      <c r="BL458" s="93">
        <v>46065</v>
      </c>
      <c r="BM458" s="93">
        <v>46793</v>
      </c>
      <c r="BN458" s="14">
        <v>1</v>
      </c>
      <c r="BO458" s="14">
        <v>20000000000</v>
      </c>
      <c r="BP458" s="56">
        <v>100</v>
      </c>
      <c r="BQ458" s="56">
        <v>0</v>
      </c>
      <c r="BR458" s="14">
        <v>20007671233</v>
      </c>
      <c r="BS458">
        <v>6.9973159999999996</v>
      </c>
      <c r="BT458" t="s">
        <v>1184</v>
      </c>
      <c r="BU458" s="25">
        <f>_xlfn.XLOOKUP(Dealps_MSB[[#This Row],[DEAL_ID]],Ref!V:V,Ref!X:X,0,0)</f>
        <v>0</v>
      </c>
      <c r="BV458"/>
    </row>
    <row r="459" spans="1:74" x14ac:dyDescent="0.3">
      <c r="A459" s="93">
        <v>46262</v>
      </c>
      <c r="B459">
        <v>4380</v>
      </c>
      <c r="C459" s="56" t="s">
        <v>1244</v>
      </c>
      <c r="D459" t="s">
        <v>384</v>
      </c>
      <c r="E459" t="s">
        <v>1299</v>
      </c>
      <c r="F459" t="s">
        <v>364</v>
      </c>
      <c r="G459" t="s">
        <v>310</v>
      </c>
      <c r="H459" t="s">
        <v>300</v>
      </c>
      <c r="I459" s="93">
        <v>46175</v>
      </c>
      <c r="J459" s="93">
        <v>46175</v>
      </c>
      <c r="K459" s="93">
        <v>46175</v>
      </c>
      <c r="L459" s="93">
        <v>46503</v>
      </c>
      <c r="M459" s="14">
        <v>1</v>
      </c>
      <c r="N459" s="14">
        <v>100000000000</v>
      </c>
      <c r="O459" s="56">
        <v>100.727494803</v>
      </c>
      <c r="P459" s="56">
        <v>0</v>
      </c>
      <c r="Q459" s="14">
        <v>102453522200</v>
      </c>
      <c r="R459">
        <v>7.9942979999999997</v>
      </c>
      <c r="S459" t="s">
        <v>1184</v>
      </c>
      <c r="T459" s="57">
        <f>IF(Dealps[[#This Row],[MATURITY_DATE]]-Dealps[[#This Row],[POSTED_DT]]&lt;0,0,IF(Dealps[[#This Row],[VALUE_DATE]]-Dealps[[#This Row],[POSTED_DT]]&gt;0,Dealps[[#This Row],[MATURITY_DATE]]-Dealps[[#This Row],[VALUE_DATE]],Dealps[[#This Row],[MATURITY_DATE]]-Dealps[[#This Row],[POSTED_DT]]))</f>
        <v>241</v>
      </c>
      <c r="U459" s="25">
        <f>IF(Dealps[[#This Row],[TENOR]]=0,0,IF(Dealps[[#This Row],[DEAL_TYPE]]="B",Dealps[[#This Row],[FACE_AMOUNT]],-Dealps[[#This Row],[FACE_AMOUNT]]))</f>
        <v>100000000000</v>
      </c>
      <c r="V459" s="25">
        <f>_xlfn.XLOOKUP(Dealps[[#This Row],[PAPER_CODE]],FNRP!D:D,FNRP!H:H,0,0)/100*Dealps[[#This Row],[AMOUNT]]</f>
        <v>0</v>
      </c>
      <c r="W459" s="57" t="str">
        <f>IF(Dealps[[#This Row],[TRANSACTION_STATUS]]&lt;&gt;"V","Ngoai BS",IF(Dealps[[#This Row],[POSTED_DT]]&gt;=Dealps[[#This Row],[VALUE_DATE]],"On BS","Off BS"))</f>
        <v>On BS</v>
      </c>
      <c r="X459" s="25">
        <f>SUMIFS(U:U,C:C,Dealps[[#This Row],[PAPER_CODE]])</f>
        <v>100000000000</v>
      </c>
      <c r="Y459" s="25">
        <f>_xlfn.XLOOKUP(Dealps[[#This Row],[DEAL_ID]],Ref!N:N,Ref!Q:Q,0,0)</f>
        <v>0</v>
      </c>
      <c r="Z459" s="25" t="str">
        <f>IF(Dealps[[#This Row],[CPTY_CODE]]=Dealps[[#This Row],[CPTY_CODE_ISSUER]],"Yes","No")</f>
        <v>No</v>
      </c>
      <c r="AA459" s="25"/>
      <c r="AC459" s="14"/>
      <c r="AG459" s="96"/>
      <c r="AH459" s="25"/>
      <c r="AI459" s="25"/>
      <c r="AN459" s="14"/>
      <c r="AV459" s="36"/>
      <c r="AW459" s="14"/>
      <c r="AX459" s="234"/>
      <c r="AY459" s="96"/>
      <c r="AZ459" s="14"/>
      <c r="BA459"/>
      <c r="BB459" s="93">
        <v>46262</v>
      </c>
      <c r="BC459">
        <v>3554</v>
      </c>
      <c r="BD459" s="56" t="s">
        <v>1211</v>
      </c>
      <c r="BE459" t="s">
        <v>1011</v>
      </c>
      <c r="BF459" t="s">
        <v>1012</v>
      </c>
      <c r="BG459" t="s">
        <v>364</v>
      </c>
      <c r="BH459" t="s">
        <v>1013</v>
      </c>
      <c r="BI459" t="s">
        <v>311</v>
      </c>
      <c r="BJ459" s="93">
        <v>46065</v>
      </c>
      <c r="BK459" s="93">
        <v>46065</v>
      </c>
      <c r="BL459" s="93">
        <v>46065</v>
      </c>
      <c r="BM459" s="93">
        <v>46793</v>
      </c>
      <c r="BN459" s="14">
        <v>1</v>
      </c>
      <c r="BO459" s="14">
        <v>20000000000</v>
      </c>
      <c r="BP459" s="56">
        <v>100</v>
      </c>
      <c r="BQ459" s="56">
        <v>0</v>
      </c>
      <c r="BR459" s="14">
        <v>20007671233</v>
      </c>
      <c r="BS459">
        <v>6.9973159999999996</v>
      </c>
      <c r="BT459" t="s">
        <v>1184</v>
      </c>
      <c r="BU459" s="25">
        <f>_xlfn.XLOOKUP(Dealps_MSB[[#This Row],[DEAL_ID]],Ref!V:V,Ref!X:X,0,0)</f>
        <v>0</v>
      </c>
      <c r="BV459"/>
    </row>
    <row r="460" spans="1:74" x14ac:dyDescent="0.3">
      <c r="A460" s="93">
        <v>46262</v>
      </c>
      <c r="B460">
        <v>4382</v>
      </c>
      <c r="C460" s="56" t="s">
        <v>1071</v>
      </c>
      <c r="D460" t="s">
        <v>328</v>
      </c>
      <c r="E460" t="s">
        <v>703</v>
      </c>
      <c r="F460" t="s">
        <v>364</v>
      </c>
      <c r="G460" t="s">
        <v>310</v>
      </c>
      <c r="H460" t="s">
        <v>311</v>
      </c>
      <c r="I460" s="93">
        <v>46175</v>
      </c>
      <c r="J460" s="93">
        <v>46175</v>
      </c>
      <c r="K460" s="93">
        <v>46177</v>
      </c>
      <c r="L460" s="93">
        <v>46352</v>
      </c>
      <c r="M460" s="14">
        <v>1</v>
      </c>
      <c r="N460" s="14">
        <v>500000000000</v>
      </c>
      <c r="O460" s="56">
        <v>100.669154753</v>
      </c>
      <c r="P460" s="56">
        <v>0</v>
      </c>
      <c r="Q460" s="14">
        <v>520433445000</v>
      </c>
      <c r="R460">
        <v>5</v>
      </c>
      <c r="S460" t="s">
        <v>1184</v>
      </c>
      <c r="T460" s="57">
        <f>IF(Dealps[[#This Row],[MATURITY_DATE]]-Dealps[[#This Row],[POSTED_DT]]&lt;0,0,IF(Dealps[[#This Row],[VALUE_DATE]]-Dealps[[#This Row],[POSTED_DT]]&gt;0,Dealps[[#This Row],[MATURITY_DATE]]-Dealps[[#This Row],[VALUE_DATE]],Dealps[[#This Row],[MATURITY_DATE]]-Dealps[[#This Row],[POSTED_DT]]))</f>
        <v>90</v>
      </c>
      <c r="U460" s="25">
        <f>IF(Dealps[[#This Row],[TENOR]]=0,0,IF(Dealps[[#This Row],[DEAL_TYPE]]="B",Dealps[[#This Row],[FACE_AMOUNT]],-Dealps[[#This Row],[FACE_AMOUNT]]))</f>
        <v>-500000000000</v>
      </c>
      <c r="V460" s="25">
        <f>_xlfn.XLOOKUP(Dealps[[#This Row],[PAPER_CODE]],FNRP!D:D,FNRP!H:H,0,0)/100*Dealps[[#This Row],[AMOUNT]]</f>
        <v>0</v>
      </c>
      <c r="W460" s="57" t="str">
        <f>IF(Dealps[[#This Row],[TRANSACTION_STATUS]]&lt;&gt;"V","Ngoai BS",IF(Dealps[[#This Row],[POSTED_DT]]&gt;=Dealps[[#This Row],[VALUE_DATE]],"On BS","Off BS"))</f>
        <v>On BS</v>
      </c>
      <c r="X460" s="25">
        <f>SUMIFS(U:U,C:C,Dealps[[#This Row],[PAPER_CODE]])</f>
        <v>1500000000000</v>
      </c>
      <c r="Y460" s="25">
        <f>_xlfn.XLOOKUP(Dealps[[#This Row],[DEAL_ID]],Ref!N:N,Ref!Q:Q,0,0)</f>
        <v>0</v>
      </c>
      <c r="Z460" s="25" t="str">
        <f>IF(Dealps[[#This Row],[CPTY_CODE]]=Dealps[[#This Row],[CPTY_CODE_ISSUER]],"Yes","No")</f>
        <v>No</v>
      </c>
      <c r="AA460" s="25"/>
      <c r="AC460" s="14"/>
      <c r="AG460" s="96"/>
      <c r="AH460" s="25"/>
      <c r="AI460" s="25"/>
      <c r="AN460" s="14"/>
      <c r="AV460" s="36"/>
      <c r="AW460" s="14"/>
      <c r="AX460" s="234"/>
      <c r="AY460" s="96"/>
      <c r="AZ460" s="14"/>
      <c r="BA460"/>
      <c r="BB460" s="93">
        <v>46262</v>
      </c>
      <c r="BC460">
        <v>3555</v>
      </c>
      <c r="BD460" s="56" t="s">
        <v>1211</v>
      </c>
      <c r="BE460" t="s">
        <v>1011</v>
      </c>
      <c r="BF460" t="s">
        <v>1012</v>
      </c>
      <c r="BG460" t="s">
        <v>364</v>
      </c>
      <c r="BH460" t="s">
        <v>1013</v>
      </c>
      <c r="BI460" t="s">
        <v>311</v>
      </c>
      <c r="BJ460" s="93">
        <v>46065</v>
      </c>
      <c r="BK460" s="93">
        <v>46065</v>
      </c>
      <c r="BL460" s="93">
        <v>46065</v>
      </c>
      <c r="BM460" s="93">
        <v>46793</v>
      </c>
      <c r="BN460" s="14">
        <v>1</v>
      </c>
      <c r="BO460" s="14">
        <v>20000000000</v>
      </c>
      <c r="BP460" s="56">
        <v>100</v>
      </c>
      <c r="BQ460" s="56">
        <v>0</v>
      </c>
      <c r="BR460" s="14">
        <v>20007671233</v>
      </c>
      <c r="BS460">
        <v>6.9973159999999996</v>
      </c>
      <c r="BT460" t="s">
        <v>1184</v>
      </c>
      <c r="BU460" s="25">
        <f>_xlfn.XLOOKUP(Dealps_MSB[[#This Row],[DEAL_ID]],Ref!V:V,Ref!X:X,0,0)</f>
        <v>0</v>
      </c>
      <c r="BV460"/>
    </row>
    <row r="461" spans="1:74" x14ac:dyDescent="0.3">
      <c r="A461" s="93">
        <v>46262</v>
      </c>
      <c r="B461">
        <v>4383</v>
      </c>
      <c r="C461" s="56" t="s">
        <v>1260</v>
      </c>
      <c r="D461" t="s">
        <v>384</v>
      </c>
      <c r="E461" t="s">
        <v>1254</v>
      </c>
      <c r="F461" t="s">
        <v>364</v>
      </c>
      <c r="G461" t="s">
        <v>310</v>
      </c>
      <c r="H461" t="s">
        <v>311</v>
      </c>
      <c r="I461" s="93">
        <v>46175</v>
      </c>
      <c r="J461" s="93">
        <v>46176</v>
      </c>
      <c r="K461" s="93">
        <v>46178</v>
      </c>
      <c r="L461" s="93">
        <v>46524</v>
      </c>
      <c r="M461" s="14">
        <v>1</v>
      </c>
      <c r="N461" s="14">
        <v>24000000000</v>
      </c>
      <c r="O461" s="56">
        <v>100.336461434</v>
      </c>
      <c r="P461" s="56">
        <v>0</v>
      </c>
      <c r="Q461" s="14">
        <v>24386832936</v>
      </c>
      <c r="R461">
        <v>9</v>
      </c>
      <c r="S461" t="s">
        <v>1184</v>
      </c>
      <c r="T461" s="57">
        <f>IF(Dealps[[#This Row],[MATURITY_DATE]]-Dealps[[#This Row],[POSTED_DT]]&lt;0,0,IF(Dealps[[#This Row],[VALUE_DATE]]-Dealps[[#This Row],[POSTED_DT]]&gt;0,Dealps[[#This Row],[MATURITY_DATE]]-Dealps[[#This Row],[VALUE_DATE]],Dealps[[#This Row],[MATURITY_DATE]]-Dealps[[#This Row],[POSTED_DT]]))</f>
        <v>262</v>
      </c>
      <c r="U461" s="25">
        <f>IF(Dealps[[#This Row],[TENOR]]=0,0,IF(Dealps[[#This Row],[DEAL_TYPE]]="B",Dealps[[#This Row],[FACE_AMOUNT]],-Dealps[[#This Row],[FACE_AMOUNT]]))</f>
        <v>-24000000000</v>
      </c>
      <c r="V461" s="25">
        <f>_xlfn.XLOOKUP(Dealps[[#This Row],[PAPER_CODE]],FNRP!D:D,FNRP!H:H,0,0)/100*Dealps[[#This Row],[AMOUNT]]</f>
        <v>0</v>
      </c>
      <c r="W461" s="57" t="str">
        <f>IF(Dealps[[#This Row],[TRANSACTION_STATUS]]&lt;&gt;"V","Ngoai BS",IF(Dealps[[#This Row],[POSTED_DT]]&gt;=Dealps[[#This Row],[VALUE_DATE]],"On BS","Off BS"))</f>
        <v>On BS</v>
      </c>
      <c r="X461" s="25">
        <f>SUMIFS(U:U,C:C,Dealps[[#This Row],[PAPER_CODE]])</f>
        <v>400000000000</v>
      </c>
      <c r="Y461" s="25">
        <f>_xlfn.XLOOKUP(Dealps[[#This Row],[DEAL_ID]],Ref!N:N,Ref!Q:Q,0,0)</f>
        <v>0</v>
      </c>
      <c r="Z461" s="25" t="str">
        <f>IF(Dealps[[#This Row],[CPTY_CODE]]=Dealps[[#This Row],[CPTY_CODE_ISSUER]],"Yes","No")</f>
        <v>No</v>
      </c>
      <c r="AA461" s="25"/>
      <c r="AC461" s="14"/>
      <c r="AG461" s="96"/>
      <c r="AH461" s="25"/>
      <c r="AI461" s="25"/>
      <c r="AN461" s="14"/>
      <c r="AV461" s="36"/>
      <c r="AW461" s="14"/>
      <c r="AX461" s="234"/>
      <c r="AY461" s="96"/>
      <c r="AZ461" s="14"/>
      <c r="BA461"/>
      <c r="BB461" s="93">
        <v>46262</v>
      </c>
      <c r="BC461">
        <v>3556</v>
      </c>
      <c r="BD461" s="56" t="s">
        <v>1211</v>
      </c>
      <c r="BE461" t="s">
        <v>1011</v>
      </c>
      <c r="BF461" t="s">
        <v>1012</v>
      </c>
      <c r="BG461" t="s">
        <v>364</v>
      </c>
      <c r="BH461" t="s">
        <v>1013</v>
      </c>
      <c r="BI461" t="s">
        <v>311</v>
      </c>
      <c r="BJ461" s="93">
        <v>46065</v>
      </c>
      <c r="BK461" s="93">
        <v>46065</v>
      </c>
      <c r="BL461" s="93">
        <v>46065</v>
      </c>
      <c r="BM461" s="93">
        <v>46793</v>
      </c>
      <c r="BN461" s="14">
        <v>1</v>
      </c>
      <c r="BO461" s="14">
        <v>20000000000</v>
      </c>
      <c r="BP461" s="56">
        <v>100</v>
      </c>
      <c r="BQ461" s="56">
        <v>0</v>
      </c>
      <c r="BR461" s="14">
        <v>20007671233</v>
      </c>
      <c r="BS461">
        <v>6.9973159999999996</v>
      </c>
      <c r="BT461" t="s">
        <v>1184</v>
      </c>
      <c r="BU461" s="25">
        <f>_xlfn.XLOOKUP(Dealps_MSB[[#This Row],[DEAL_ID]],Ref!V:V,Ref!X:X,0,0)</f>
        <v>0</v>
      </c>
      <c r="BV461"/>
    </row>
    <row r="462" spans="1:74" x14ac:dyDescent="0.3">
      <c r="A462" s="93">
        <v>46262</v>
      </c>
      <c r="B462">
        <v>4384</v>
      </c>
      <c r="C462" s="56" t="s">
        <v>1256</v>
      </c>
      <c r="D462" t="s">
        <v>316</v>
      </c>
      <c r="E462" t="s">
        <v>322</v>
      </c>
      <c r="F462" t="s">
        <v>364</v>
      </c>
      <c r="G462" t="s">
        <v>310</v>
      </c>
      <c r="H462" t="s">
        <v>311</v>
      </c>
      <c r="I462" s="93">
        <v>46175</v>
      </c>
      <c r="J462" s="93">
        <v>46175</v>
      </c>
      <c r="K462" s="93">
        <v>46176</v>
      </c>
      <c r="L462" s="93">
        <v>46486</v>
      </c>
      <c r="M462" s="14">
        <v>1</v>
      </c>
      <c r="N462" s="14">
        <v>200000000000</v>
      </c>
      <c r="O462" s="56">
        <v>100.961299696</v>
      </c>
      <c r="P462" s="56">
        <v>0</v>
      </c>
      <c r="Q462" s="14">
        <v>204544517200</v>
      </c>
      <c r="R462">
        <v>7.4</v>
      </c>
      <c r="S462" t="s">
        <v>1184</v>
      </c>
      <c r="T462" s="57">
        <f>IF(Dealps[[#This Row],[MATURITY_DATE]]-Dealps[[#This Row],[POSTED_DT]]&lt;0,0,IF(Dealps[[#This Row],[VALUE_DATE]]-Dealps[[#This Row],[POSTED_DT]]&gt;0,Dealps[[#This Row],[MATURITY_DATE]]-Dealps[[#This Row],[VALUE_DATE]],Dealps[[#This Row],[MATURITY_DATE]]-Dealps[[#This Row],[POSTED_DT]]))</f>
        <v>224</v>
      </c>
      <c r="U462" s="25">
        <f>IF(Dealps[[#This Row],[TENOR]]=0,0,IF(Dealps[[#This Row],[DEAL_TYPE]]="B",Dealps[[#This Row],[FACE_AMOUNT]],-Dealps[[#This Row],[FACE_AMOUNT]]))</f>
        <v>-200000000000</v>
      </c>
      <c r="V462" s="25">
        <f>_xlfn.XLOOKUP(Dealps[[#This Row],[PAPER_CODE]],FNRP!D:D,FNRP!H:H,0,0)/100*Dealps[[#This Row],[AMOUNT]]</f>
        <v>0</v>
      </c>
      <c r="W462" s="57" t="str">
        <f>IF(Dealps[[#This Row],[TRANSACTION_STATUS]]&lt;&gt;"V","Ngoai BS",IF(Dealps[[#This Row],[POSTED_DT]]&gt;=Dealps[[#This Row],[VALUE_DATE]],"On BS","Off BS"))</f>
        <v>On BS</v>
      </c>
      <c r="X462" s="25">
        <f>SUMIFS(U:U,C:C,Dealps[[#This Row],[PAPER_CODE]])</f>
        <v>200000000000</v>
      </c>
      <c r="Y462" s="25">
        <f>_xlfn.XLOOKUP(Dealps[[#This Row],[DEAL_ID]],Ref!N:N,Ref!Q:Q,0,0)</f>
        <v>0</v>
      </c>
      <c r="Z462" s="25" t="str">
        <f>IF(Dealps[[#This Row],[CPTY_CODE]]=Dealps[[#This Row],[CPTY_CODE_ISSUER]],"Yes","No")</f>
        <v>No</v>
      </c>
      <c r="AA462" s="25"/>
      <c r="AC462" s="14"/>
      <c r="AG462" s="96"/>
      <c r="AH462" s="25"/>
      <c r="AI462" s="25"/>
      <c r="AN462" s="14"/>
      <c r="AV462" s="36"/>
      <c r="AW462" s="14"/>
      <c r="AX462" s="234"/>
      <c r="AY462" s="96"/>
      <c r="AZ462" s="14"/>
      <c r="BA462"/>
      <c r="BB462" s="93">
        <v>46262</v>
      </c>
      <c r="BC462">
        <v>3557</v>
      </c>
      <c r="BD462" s="56" t="s">
        <v>1211</v>
      </c>
      <c r="BE462" t="s">
        <v>1011</v>
      </c>
      <c r="BF462" t="s">
        <v>1012</v>
      </c>
      <c r="BG462" t="s">
        <v>364</v>
      </c>
      <c r="BH462" t="s">
        <v>1013</v>
      </c>
      <c r="BI462" t="s">
        <v>311</v>
      </c>
      <c r="BJ462" s="93">
        <v>46065</v>
      </c>
      <c r="BK462" s="93">
        <v>46065</v>
      </c>
      <c r="BL462" s="93">
        <v>46065</v>
      </c>
      <c r="BM462" s="93">
        <v>46793</v>
      </c>
      <c r="BN462" s="14">
        <v>1</v>
      </c>
      <c r="BO462" s="14">
        <v>20000000000</v>
      </c>
      <c r="BP462" s="56">
        <v>100</v>
      </c>
      <c r="BQ462" s="56">
        <v>0</v>
      </c>
      <c r="BR462" s="14">
        <v>20007671233</v>
      </c>
      <c r="BS462">
        <v>6.9973159999999996</v>
      </c>
      <c r="BT462" t="s">
        <v>1184</v>
      </c>
      <c r="BU462" s="25">
        <f>_xlfn.XLOOKUP(Dealps_MSB[[#This Row],[DEAL_ID]],Ref!V:V,Ref!X:X,0,0)</f>
        <v>0</v>
      </c>
      <c r="BV462"/>
    </row>
    <row r="463" spans="1:74" x14ac:dyDescent="0.3">
      <c r="A463" s="93">
        <v>46262</v>
      </c>
      <c r="B463">
        <v>4385</v>
      </c>
      <c r="C463" s="56" t="s">
        <v>1010</v>
      </c>
      <c r="D463" t="s">
        <v>328</v>
      </c>
      <c r="E463" t="s">
        <v>322</v>
      </c>
      <c r="F463" t="s">
        <v>364</v>
      </c>
      <c r="G463" t="s">
        <v>310</v>
      </c>
      <c r="H463" t="s">
        <v>311</v>
      </c>
      <c r="I463" s="93">
        <v>46175</v>
      </c>
      <c r="J463" s="93">
        <v>46175</v>
      </c>
      <c r="K463" s="93">
        <v>46176</v>
      </c>
      <c r="L463" s="93">
        <v>46329</v>
      </c>
      <c r="M463" s="14">
        <v>1</v>
      </c>
      <c r="N463" s="14">
        <v>300000000000</v>
      </c>
      <c r="O463" s="56">
        <v>100.03331869199999</v>
      </c>
      <c r="P463" s="56">
        <v>0</v>
      </c>
      <c r="Q463" s="14">
        <v>311025709500</v>
      </c>
      <c r="R463">
        <v>6</v>
      </c>
      <c r="S463" t="s">
        <v>1184</v>
      </c>
      <c r="T463" s="57">
        <f>IF(Dealps[[#This Row],[MATURITY_DATE]]-Dealps[[#This Row],[POSTED_DT]]&lt;0,0,IF(Dealps[[#This Row],[VALUE_DATE]]-Dealps[[#This Row],[POSTED_DT]]&gt;0,Dealps[[#This Row],[MATURITY_DATE]]-Dealps[[#This Row],[VALUE_DATE]],Dealps[[#This Row],[MATURITY_DATE]]-Dealps[[#This Row],[POSTED_DT]]))</f>
        <v>67</v>
      </c>
      <c r="U463" s="25">
        <f>IF(Dealps[[#This Row],[TENOR]]=0,0,IF(Dealps[[#This Row],[DEAL_TYPE]]="B",Dealps[[#This Row],[FACE_AMOUNT]],-Dealps[[#This Row],[FACE_AMOUNT]]))</f>
        <v>-300000000000</v>
      </c>
      <c r="V463" s="25">
        <f>_xlfn.XLOOKUP(Dealps[[#This Row],[PAPER_CODE]],FNRP!D:D,FNRP!H:H,0,0)/100*Dealps[[#This Row],[AMOUNT]]</f>
        <v>0</v>
      </c>
      <c r="W463" s="57" t="str">
        <f>IF(Dealps[[#This Row],[TRANSACTION_STATUS]]&lt;&gt;"V","Ngoai BS",IF(Dealps[[#This Row],[POSTED_DT]]&gt;=Dealps[[#This Row],[VALUE_DATE]],"On BS","Off BS"))</f>
        <v>On BS</v>
      </c>
      <c r="X463" s="25">
        <f>SUMIFS(U:U,C:C,Dealps[[#This Row],[PAPER_CODE]])</f>
        <v>2000000000000</v>
      </c>
      <c r="Y463" s="25">
        <f>_xlfn.XLOOKUP(Dealps[[#This Row],[DEAL_ID]],Ref!N:N,Ref!Q:Q,0,0)</f>
        <v>0</v>
      </c>
      <c r="Z463" s="25" t="str">
        <f>IF(Dealps[[#This Row],[CPTY_CODE]]=Dealps[[#This Row],[CPTY_CODE_ISSUER]],"Yes","No")</f>
        <v>No</v>
      </c>
      <c r="AA463" s="25"/>
      <c r="AC463" s="14"/>
      <c r="AG463" s="96"/>
      <c r="AH463" s="25"/>
      <c r="AI463" s="25"/>
      <c r="AN463" s="14"/>
      <c r="AV463" s="36"/>
      <c r="AW463" s="14"/>
      <c r="AX463" s="234"/>
      <c r="AY463" s="96"/>
      <c r="AZ463" s="14"/>
      <c r="BA463"/>
      <c r="BB463" s="93">
        <v>46262</v>
      </c>
      <c r="BC463">
        <v>3558</v>
      </c>
      <c r="BD463" s="56" t="s">
        <v>1211</v>
      </c>
      <c r="BE463" t="s">
        <v>1011</v>
      </c>
      <c r="BF463" t="s">
        <v>1012</v>
      </c>
      <c r="BG463" t="s">
        <v>364</v>
      </c>
      <c r="BH463" t="s">
        <v>1013</v>
      </c>
      <c r="BI463" t="s">
        <v>311</v>
      </c>
      <c r="BJ463" s="93">
        <v>46065</v>
      </c>
      <c r="BK463" s="93">
        <v>46065</v>
      </c>
      <c r="BL463" s="93">
        <v>46065</v>
      </c>
      <c r="BM463" s="93">
        <v>46793</v>
      </c>
      <c r="BN463" s="14">
        <v>1</v>
      </c>
      <c r="BO463" s="14">
        <v>20000000000</v>
      </c>
      <c r="BP463" s="56">
        <v>100</v>
      </c>
      <c r="BQ463" s="56">
        <v>0</v>
      </c>
      <c r="BR463" s="14">
        <v>20007671233</v>
      </c>
      <c r="BS463">
        <v>6.9973159999999996</v>
      </c>
      <c r="BT463" t="s">
        <v>1184</v>
      </c>
      <c r="BU463" s="25">
        <f>_xlfn.XLOOKUP(Dealps_MSB[[#This Row],[DEAL_ID]],Ref!V:V,Ref!X:X,0,0)</f>
        <v>0</v>
      </c>
      <c r="BV463"/>
    </row>
    <row r="464" spans="1:74" x14ac:dyDescent="0.3">
      <c r="A464" s="93">
        <v>46262</v>
      </c>
      <c r="B464">
        <v>4386</v>
      </c>
      <c r="C464" s="56" t="s">
        <v>1158</v>
      </c>
      <c r="D464" t="s">
        <v>327</v>
      </c>
      <c r="E464" t="s">
        <v>344</v>
      </c>
      <c r="F464" t="s">
        <v>364</v>
      </c>
      <c r="G464" t="s">
        <v>310</v>
      </c>
      <c r="H464" t="s">
        <v>300</v>
      </c>
      <c r="I464" s="93">
        <v>46176</v>
      </c>
      <c r="J464" s="93">
        <v>46176</v>
      </c>
      <c r="K464" s="93">
        <v>46176</v>
      </c>
      <c r="L464" s="93">
        <v>46409</v>
      </c>
      <c r="M464" s="14">
        <v>1</v>
      </c>
      <c r="N464" s="14">
        <v>500000000000</v>
      </c>
      <c r="O464" s="56">
        <v>100.685183881</v>
      </c>
      <c r="P464" s="56">
        <v>0</v>
      </c>
      <c r="Q464" s="14">
        <v>516346467349.00006</v>
      </c>
      <c r="R464">
        <v>5.9326860000000003</v>
      </c>
      <c r="S464" t="s">
        <v>1184</v>
      </c>
      <c r="T464" s="57">
        <f>IF(Dealps[[#This Row],[MATURITY_DATE]]-Dealps[[#This Row],[POSTED_DT]]&lt;0,0,IF(Dealps[[#This Row],[VALUE_DATE]]-Dealps[[#This Row],[POSTED_DT]]&gt;0,Dealps[[#This Row],[MATURITY_DATE]]-Dealps[[#This Row],[VALUE_DATE]],Dealps[[#This Row],[MATURITY_DATE]]-Dealps[[#This Row],[POSTED_DT]]))</f>
        <v>147</v>
      </c>
      <c r="U464" s="25">
        <f>IF(Dealps[[#This Row],[TENOR]]=0,0,IF(Dealps[[#This Row],[DEAL_TYPE]]="B",Dealps[[#This Row],[FACE_AMOUNT]],-Dealps[[#This Row],[FACE_AMOUNT]]))</f>
        <v>500000000000</v>
      </c>
      <c r="V464" s="25">
        <f>_xlfn.XLOOKUP(Dealps[[#This Row],[PAPER_CODE]],FNRP!D:D,FNRP!H:H,0,0)/100*Dealps[[#This Row],[AMOUNT]]</f>
        <v>0</v>
      </c>
      <c r="W464" s="57" t="str">
        <f>IF(Dealps[[#This Row],[TRANSACTION_STATUS]]&lt;&gt;"V","Ngoai BS",IF(Dealps[[#This Row],[POSTED_DT]]&gt;=Dealps[[#This Row],[VALUE_DATE]],"On BS","Off BS"))</f>
        <v>On BS</v>
      </c>
      <c r="X464" s="25">
        <f>SUMIFS(U:U,C:C,Dealps[[#This Row],[PAPER_CODE]])</f>
        <v>2000000000000</v>
      </c>
      <c r="Y464" s="25">
        <f>_xlfn.XLOOKUP(Dealps[[#This Row],[DEAL_ID]],Ref!N:N,Ref!Q:Q,0,0)</f>
        <v>0</v>
      </c>
      <c r="Z464" s="25" t="str">
        <f>IF(Dealps[[#This Row],[CPTY_CODE]]=Dealps[[#This Row],[CPTY_CODE_ISSUER]],"Yes","No")</f>
        <v>No</v>
      </c>
      <c r="AA464" s="25"/>
      <c r="AC464" s="14"/>
      <c r="AG464" s="96"/>
      <c r="AH464" s="25"/>
      <c r="AI464" s="25"/>
      <c r="AN464" s="14"/>
      <c r="AV464" s="36"/>
      <c r="AW464" s="14"/>
      <c r="AX464" s="234"/>
      <c r="AY464" s="96"/>
      <c r="AZ464" s="14"/>
      <c r="BA464"/>
      <c r="BB464" s="93">
        <v>46262</v>
      </c>
      <c r="BC464">
        <v>3563</v>
      </c>
      <c r="BD464" s="56" t="s">
        <v>1211</v>
      </c>
      <c r="BE464" t="s">
        <v>1011</v>
      </c>
      <c r="BF464" t="s">
        <v>1012</v>
      </c>
      <c r="BG464" t="s">
        <v>364</v>
      </c>
      <c r="BH464" t="s">
        <v>1013</v>
      </c>
      <c r="BI464" t="s">
        <v>311</v>
      </c>
      <c r="BJ464" s="93">
        <v>46066</v>
      </c>
      <c r="BK464" s="93">
        <v>46066</v>
      </c>
      <c r="BL464" s="93">
        <v>46066</v>
      </c>
      <c r="BM464" s="93">
        <v>46793</v>
      </c>
      <c r="BN464" s="14">
        <v>1</v>
      </c>
      <c r="BO464" s="14">
        <v>20000000000</v>
      </c>
      <c r="BP464" s="56">
        <v>100</v>
      </c>
      <c r="BQ464" s="56">
        <v>0</v>
      </c>
      <c r="BR464" s="14">
        <v>20011506849</v>
      </c>
      <c r="BS464">
        <v>6.9959749999999996</v>
      </c>
      <c r="BT464" t="s">
        <v>1184</v>
      </c>
      <c r="BU464" s="25">
        <f>_xlfn.XLOOKUP(Dealps_MSB[[#This Row],[DEAL_ID]],Ref!V:V,Ref!X:X,0,0)</f>
        <v>0</v>
      </c>
      <c r="BV464"/>
    </row>
    <row r="465" spans="1:74" x14ac:dyDescent="0.3">
      <c r="A465" s="93">
        <v>46262</v>
      </c>
      <c r="B465">
        <v>4388</v>
      </c>
      <c r="C465" s="56" t="s">
        <v>1061</v>
      </c>
      <c r="D465" t="s">
        <v>312</v>
      </c>
      <c r="E465" t="s">
        <v>322</v>
      </c>
      <c r="F465" t="s">
        <v>364</v>
      </c>
      <c r="G465" t="s">
        <v>310</v>
      </c>
      <c r="H465" t="s">
        <v>300</v>
      </c>
      <c r="I465" s="93">
        <v>46176</v>
      </c>
      <c r="J465" s="93">
        <v>46163</v>
      </c>
      <c r="K465" s="93">
        <v>46176</v>
      </c>
      <c r="L465" s="93">
        <v>46343</v>
      </c>
      <c r="M465" s="14">
        <v>1</v>
      </c>
      <c r="N465" s="14">
        <v>500000000000</v>
      </c>
      <c r="O465" s="56">
        <v>99.539427527000001</v>
      </c>
      <c r="P465" s="56">
        <v>0</v>
      </c>
      <c r="Q465" s="14">
        <v>514698507499.99994</v>
      </c>
      <c r="R465">
        <v>7.0979809999999999</v>
      </c>
      <c r="S465" t="s">
        <v>1184</v>
      </c>
      <c r="T465" s="57">
        <f>IF(Dealps[[#This Row],[MATURITY_DATE]]-Dealps[[#This Row],[POSTED_DT]]&lt;0,0,IF(Dealps[[#This Row],[VALUE_DATE]]-Dealps[[#This Row],[POSTED_DT]]&gt;0,Dealps[[#This Row],[MATURITY_DATE]]-Dealps[[#This Row],[VALUE_DATE]],Dealps[[#This Row],[MATURITY_DATE]]-Dealps[[#This Row],[POSTED_DT]]))</f>
        <v>81</v>
      </c>
      <c r="U465" s="25">
        <f>IF(Dealps[[#This Row],[TENOR]]=0,0,IF(Dealps[[#This Row],[DEAL_TYPE]]="B",Dealps[[#This Row],[FACE_AMOUNT]],-Dealps[[#This Row],[FACE_AMOUNT]]))</f>
        <v>500000000000</v>
      </c>
      <c r="V465" s="25">
        <f>_xlfn.XLOOKUP(Dealps[[#This Row],[PAPER_CODE]],FNRP!D:D,FNRP!H:H,0,0)/100*Dealps[[#This Row],[AMOUNT]]</f>
        <v>0</v>
      </c>
      <c r="W465" s="57" t="str">
        <f>IF(Dealps[[#This Row],[TRANSACTION_STATUS]]&lt;&gt;"V","Ngoai BS",IF(Dealps[[#This Row],[POSTED_DT]]&gt;=Dealps[[#This Row],[VALUE_DATE]],"On BS","Off BS"))</f>
        <v>On BS</v>
      </c>
      <c r="X465" s="25">
        <f>SUMIFS(U:U,C:C,Dealps[[#This Row],[PAPER_CODE]])</f>
        <v>1500000000000</v>
      </c>
      <c r="Y465" s="25">
        <f>_xlfn.XLOOKUP(Dealps[[#This Row],[DEAL_ID]],Ref!N:N,Ref!Q:Q,0,0)</f>
        <v>0</v>
      </c>
      <c r="Z465" s="25" t="str">
        <f>IF(Dealps[[#This Row],[CPTY_CODE]]=Dealps[[#This Row],[CPTY_CODE_ISSUER]],"Yes","No")</f>
        <v>No</v>
      </c>
      <c r="AA465" s="25"/>
      <c r="AC465" s="14"/>
      <c r="AG465" s="96"/>
      <c r="AH465" s="25"/>
      <c r="AI465" s="25"/>
      <c r="AN465" s="14"/>
      <c r="AV465" s="36"/>
      <c r="AW465" s="14"/>
      <c r="AX465" s="234"/>
      <c r="AY465" s="96"/>
      <c r="AZ465" s="14"/>
      <c r="BA465"/>
      <c r="BB465" s="93">
        <v>46262</v>
      </c>
      <c r="BC465">
        <v>3564</v>
      </c>
      <c r="BD465" s="56" t="s">
        <v>1211</v>
      </c>
      <c r="BE465" t="s">
        <v>1011</v>
      </c>
      <c r="BF465" t="s">
        <v>1012</v>
      </c>
      <c r="BG465" t="s">
        <v>364</v>
      </c>
      <c r="BH465" t="s">
        <v>1013</v>
      </c>
      <c r="BI465" t="s">
        <v>311</v>
      </c>
      <c r="BJ465" s="93">
        <v>46066</v>
      </c>
      <c r="BK465" s="93">
        <v>46066</v>
      </c>
      <c r="BL465" s="93">
        <v>46066</v>
      </c>
      <c r="BM465" s="93">
        <v>46793</v>
      </c>
      <c r="BN465" s="14">
        <v>1</v>
      </c>
      <c r="BO465" s="14">
        <v>20000000000</v>
      </c>
      <c r="BP465" s="56">
        <v>100</v>
      </c>
      <c r="BQ465" s="56">
        <v>0</v>
      </c>
      <c r="BR465" s="14">
        <v>20011506849</v>
      </c>
      <c r="BS465">
        <v>6.9959749999999996</v>
      </c>
      <c r="BT465" t="s">
        <v>1184</v>
      </c>
      <c r="BU465" s="25">
        <f>_xlfn.XLOOKUP(Dealps_MSB[[#This Row],[DEAL_ID]],Ref!V:V,Ref!X:X,0,0)</f>
        <v>0</v>
      </c>
      <c r="BV465"/>
    </row>
    <row r="466" spans="1:74" x14ac:dyDescent="0.3">
      <c r="A466" s="93">
        <v>46262</v>
      </c>
      <c r="B466">
        <v>4389</v>
      </c>
      <c r="C466" s="56" t="s">
        <v>1061</v>
      </c>
      <c r="D466" t="s">
        <v>312</v>
      </c>
      <c r="E466" t="s">
        <v>1144</v>
      </c>
      <c r="F466" t="s">
        <v>364</v>
      </c>
      <c r="G466" t="s">
        <v>310</v>
      </c>
      <c r="H466" t="s">
        <v>300</v>
      </c>
      <c r="I466" s="93">
        <v>46176</v>
      </c>
      <c r="J466" s="93">
        <v>46176</v>
      </c>
      <c r="K466" s="93">
        <v>46176</v>
      </c>
      <c r="L466" s="93">
        <v>46343</v>
      </c>
      <c r="M466" s="14">
        <v>1</v>
      </c>
      <c r="N466" s="14">
        <v>200000000000</v>
      </c>
      <c r="O466" s="56">
        <v>99.584821926999993</v>
      </c>
      <c r="P466" s="56">
        <v>0</v>
      </c>
      <c r="Q466" s="14">
        <v>205970191800</v>
      </c>
      <c r="R466">
        <v>6.998513</v>
      </c>
      <c r="S466" t="s">
        <v>1184</v>
      </c>
      <c r="T466" s="57">
        <f>IF(Dealps[[#This Row],[MATURITY_DATE]]-Dealps[[#This Row],[POSTED_DT]]&lt;0,0,IF(Dealps[[#This Row],[VALUE_DATE]]-Dealps[[#This Row],[POSTED_DT]]&gt;0,Dealps[[#This Row],[MATURITY_DATE]]-Dealps[[#This Row],[VALUE_DATE]],Dealps[[#This Row],[MATURITY_DATE]]-Dealps[[#This Row],[POSTED_DT]]))</f>
        <v>81</v>
      </c>
      <c r="U466" s="25">
        <f>IF(Dealps[[#This Row],[TENOR]]=0,0,IF(Dealps[[#This Row],[DEAL_TYPE]]="B",Dealps[[#This Row],[FACE_AMOUNT]],-Dealps[[#This Row],[FACE_AMOUNT]]))</f>
        <v>200000000000</v>
      </c>
      <c r="V466" s="25">
        <f>_xlfn.XLOOKUP(Dealps[[#This Row],[PAPER_CODE]],FNRP!D:D,FNRP!H:H,0,0)/100*Dealps[[#This Row],[AMOUNT]]</f>
        <v>0</v>
      </c>
      <c r="W466" s="57" t="str">
        <f>IF(Dealps[[#This Row],[TRANSACTION_STATUS]]&lt;&gt;"V","Ngoai BS",IF(Dealps[[#This Row],[POSTED_DT]]&gt;=Dealps[[#This Row],[VALUE_DATE]],"On BS","Off BS"))</f>
        <v>On BS</v>
      </c>
      <c r="X466" s="25">
        <f>SUMIFS(U:U,C:C,Dealps[[#This Row],[PAPER_CODE]])</f>
        <v>1500000000000</v>
      </c>
      <c r="Y466" s="25">
        <f>_xlfn.XLOOKUP(Dealps[[#This Row],[DEAL_ID]],Ref!N:N,Ref!Q:Q,0,0)</f>
        <v>0</v>
      </c>
      <c r="Z466" s="25" t="str">
        <f>IF(Dealps[[#This Row],[CPTY_CODE]]=Dealps[[#This Row],[CPTY_CODE_ISSUER]],"Yes","No")</f>
        <v>No</v>
      </c>
      <c r="AA466" s="25"/>
      <c r="AC466" s="14"/>
      <c r="AG466" s="96"/>
      <c r="AH466" s="25"/>
      <c r="AI466" s="25"/>
      <c r="AN466" s="14"/>
      <c r="AV466" s="36"/>
      <c r="AW466" s="14"/>
      <c r="AX466" s="234"/>
      <c r="AY466" s="96"/>
      <c r="AZ466" s="14"/>
      <c r="BA466"/>
      <c r="BB466" s="93">
        <v>46262</v>
      </c>
      <c r="BC466">
        <v>3565</v>
      </c>
      <c r="BD466" s="56" t="s">
        <v>1211</v>
      </c>
      <c r="BE466" t="s">
        <v>1011</v>
      </c>
      <c r="BF466" t="s">
        <v>1012</v>
      </c>
      <c r="BG466" t="s">
        <v>364</v>
      </c>
      <c r="BH466" t="s">
        <v>1013</v>
      </c>
      <c r="BI466" t="s">
        <v>311</v>
      </c>
      <c r="BJ466" s="93">
        <v>46066</v>
      </c>
      <c r="BK466" s="93">
        <v>46066</v>
      </c>
      <c r="BL466" s="93">
        <v>46066</v>
      </c>
      <c r="BM466" s="93">
        <v>46793</v>
      </c>
      <c r="BN466" s="14">
        <v>1</v>
      </c>
      <c r="BO466" s="14">
        <v>20000000000</v>
      </c>
      <c r="BP466" s="56">
        <v>100</v>
      </c>
      <c r="BQ466" s="56">
        <v>0</v>
      </c>
      <c r="BR466" s="14">
        <v>20011506849</v>
      </c>
      <c r="BS466">
        <v>6.9959749999999996</v>
      </c>
      <c r="BT466" t="s">
        <v>1184</v>
      </c>
      <c r="BU466" s="25">
        <f>_xlfn.XLOOKUP(Dealps_MSB[[#This Row],[DEAL_ID]],Ref!V:V,Ref!X:X,0,0)</f>
        <v>0</v>
      </c>
      <c r="BV466"/>
    </row>
    <row r="467" spans="1:74" x14ac:dyDescent="0.3">
      <c r="A467" s="93">
        <v>46262</v>
      </c>
      <c r="B467">
        <v>4405</v>
      </c>
      <c r="C467" s="56" t="s">
        <v>1158</v>
      </c>
      <c r="D467" t="s">
        <v>327</v>
      </c>
      <c r="E467" t="s">
        <v>315</v>
      </c>
      <c r="F467" t="s">
        <v>364</v>
      </c>
      <c r="G467" t="s">
        <v>310</v>
      </c>
      <c r="H467" t="s">
        <v>300</v>
      </c>
      <c r="I467" s="93">
        <v>46177</v>
      </c>
      <c r="J467" s="93">
        <v>46177</v>
      </c>
      <c r="K467" s="93">
        <v>46177</v>
      </c>
      <c r="L467" s="93">
        <v>46409</v>
      </c>
      <c r="M467" s="14">
        <v>1</v>
      </c>
      <c r="N467" s="14">
        <v>500000000000</v>
      </c>
      <c r="O467" s="56">
        <v>100.023330378</v>
      </c>
      <c r="P467" s="56">
        <v>0</v>
      </c>
      <c r="Q467" s="14">
        <v>513135829967.99994</v>
      </c>
      <c r="R467">
        <v>6.979921</v>
      </c>
      <c r="S467" t="s">
        <v>1184</v>
      </c>
      <c r="T467" s="57">
        <f>IF(Dealps[[#This Row],[MATURITY_DATE]]-Dealps[[#This Row],[POSTED_DT]]&lt;0,0,IF(Dealps[[#This Row],[VALUE_DATE]]-Dealps[[#This Row],[POSTED_DT]]&gt;0,Dealps[[#This Row],[MATURITY_DATE]]-Dealps[[#This Row],[VALUE_DATE]],Dealps[[#This Row],[MATURITY_DATE]]-Dealps[[#This Row],[POSTED_DT]]))</f>
        <v>147</v>
      </c>
      <c r="U467" s="25">
        <f>IF(Dealps[[#This Row],[TENOR]]=0,0,IF(Dealps[[#This Row],[DEAL_TYPE]]="B",Dealps[[#This Row],[FACE_AMOUNT]],-Dealps[[#This Row],[FACE_AMOUNT]]))</f>
        <v>500000000000</v>
      </c>
      <c r="V467" s="25">
        <f>_xlfn.XLOOKUP(Dealps[[#This Row],[PAPER_CODE]],FNRP!D:D,FNRP!H:H,0,0)/100*Dealps[[#This Row],[AMOUNT]]</f>
        <v>0</v>
      </c>
      <c r="W467" s="57" t="str">
        <f>IF(Dealps[[#This Row],[TRANSACTION_STATUS]]&lt;&gt;"V","Ngoai BS",IF(Dealps[[#This Row],[POSTED_DT]]&gt;=Dealps[[#This Row],[VALUE_DATE]],"On BS","Off BS"))</f>
        <v>On BS</v>
      </c>
      <c r="X467" s="25">
        <f>SUMIFS(U:U,C:C,Dealps[[#This Row],[PAPER_CODE]])</f>
        <v>2000000000000</v>
      </c>
      <c r="Y467" s="25">
        <f>_xlfn.XLOOKUP(Dealps[[#This Row],[DEAL_ID]],Ref!N:N,Ref!Q:Q,0,0)</f>
        <v>0</v>
      </c>
      <c r="Z467" s="25" t="str">
        <f>IF(Dealps[[#This Row],[CPTY_CODE]]=Dealps[[#This Row],[CPTY_CODE_ISSUER]],"Yes","No")</f>
        <v>No</v>
      </c>
      <c r="AA467" s="25"/>
      <c r="AC467" s="14"/>
      <c r="AG467" s="96"/>
      <c r="AH467" s="25"/>
      <c r="AI467" s="25"/>
      <c r="AN467" s="14"/>
      <c r="AV467" s="36"/>
      <c r="AW467" s="14"/>
      <c r="AX467" s="234"/>
      <c r="AY467" s="96"/>
      <c r="AZ467" s="14"/>
      <c r="BA467"/>
      <c r="BB467" s="93">
        <v>46262</v>
      </c>
      <c r="BC467">
        <v>3566</v>
      </c>
      <c r="BD467" s="56" t="s">
        <v>1211</v>
      </c>
      <c r="BE467" t="s">
        <v>1011</v>
      </c>
      <c r="BF467" t="s">
        <v>1012</v>
      </c>
      <c r="BG467" t="s">
        <v>364</v>
      </c>
      <c r="BH467" t="s">
        <v>1013</v>
      </c>
      <c r="BI467" t="s">
        <v>311</v>
      </c>
      <c r="BJ467" s="93">
        <v>46066</v>
      </c>
      <c r="BK467" s="93">
        <v>46066</v>
      </c>
      <c r="BL467" s="93">
        <v>46066</v>
      </c>
      <c r="BM467" s="93">
        <v>46793</v>
      </c>
      <c r="BN467" s="14">
        <v>1</v>
      </c>
      <c r="BO467" s="14">
        <v>20000000000</v>
      </c>
      <c r="BP467" s="56">
        <v>100</v>
      </c>
      <c r="BQ467" s="56">
        <v>0</v>
      </c>
      <c r="BR467" s="14">
        <v>20011506849</v>
      </c>
      <c r="BS467">
        <v>6.9959749999999996</v>
      </c>
      <c r="BT467" t="s">
        <v>1184</v>
      </c>
      <c r="BU467" s="25">
        <f>_xlfn.XLOOKUP(Dealps_MSB[[#This Row],[DEAL_ID]],Ref!V:V,Ref!X:X,0,0)</f>
        <v>0</v>
      </c>
      <c r="BV467"/>
    </row>
    <row r="468" spans="1:74" x14ac:dyDescent="0.3">
      <c r="A468" s="93">
        <v>46262</v>
      </c>
      <c r="B468">
        <v>4406</v>
      </c>
      <c r="C468" s="56" t="s">
        <v>1158</v>
      </c>
      <c r="D468" t="s">
        <v>327</v>
      </c>
      <c r="E468" t="s">
        <v>315</v>
      </c>
      <c r="F468" t="s">
        <v>364</v>
      </c>
      <c r="G468" t="s">
        <v>310</v>
      </c>
      <c r="H468" t="s">
        <v>300</v>
      </c>
      <c r="I468" s="93">
        <v>46177</v>
      </c>
      <c r="J468" s="93">
        <v>46177</v>
      </c>
      <c r="K468" s="93">
        <v>46177</v>
      </c>
      <c r="L468" s="93">
        <v>46409</v>
      </c>
      <c r="M468" s="14">
        <v>1</v>
      </c>
      <c r="N468" s="14">
        <v>500000000000</v>
      </c>
      <c r="O468" s="56">
        <v>100.023330378</v>
      </c>
      <c r="P468" s="56">
        <v>0</v>
      </c>
      <c r="Q468" s="14">
        <v>513135829967.99994</v>
      </c>
      <c r="R468">
        <v>6.979921</v>
      </c>
      <c r="S468" t="s">
        <v>1184</v>
      </c>
      <c r="T468" s="57">
        <f>IF(Dealps[[#This Row],[MATURITY_DATE]]-Dealps[[#This Row],[POSTED_DT]]&lt;0,0,IF(Dealps[[#This Row],[VALUE_DATE]]-Dealps[[#This Row],[POSTED_DT]]&gt;0,Dealps[[#This Row],[MATURITY_DATE]]-Dealps[[#This Row],[VALUE_DATE]],Dealps[[#This Row],[MATURITY_DATE]]-Dealps[[#This Row],[POSTED_DT]]))</f>
        <v>147</v>
      </c>
      <c r="U468" s="25">
        <f>IF(Dealps[[#This Row],[TENOR]]=0,0,IF(Dealps[[#This Row],[DEAL_TYPE]]="B",Dealps[[#This Row],[FACE_AMOUNT]],-Dealps[[#This Row],[FACE_AMOUNT]]))</f>
        <v>500000000000</v>
      </c>
      <c r="V468" s="25">
        <f>_xlfn.XLOOKUP(Dealps[[#This Row],[PAPER_CODE]],FNRP!D:D,FNRP!H:H,0,0)/100*Dealps[[#This Row],[AMOUNT]]</f>
        <v>0</v>
      </c>
      <c r="W468" s="57" t="str">
        <f>IF(Dealps[[#This Row],[TRANSACTION_STATUS]]&lt;&gt;"V","Ngoai BS",IF(Dealps[[#This Row],[POSTED_DT]]&gt;=Dealps[[#This Row],[VALUE_DATE]],"On BS","Off BS"))</f>
        <v>On BS</v>
      </c>
      <c r="X468" s="25">
        <f>SUMIFS(U:U,C:C,Dealps[[#This Row],[PAPER_CODE]])</f>
        <v>2000000000000</v>
      </c>
      <c r="Y468" s="25">
        <f>_xlfn.XLOOKUP(Dealps[[#This Row],[DEAL_ID]],Ref!N:N,Ref!Q:Q,0,0)</f>
        <v>0</v>
      </c>
      <c r="Z468" s="25" t="str">
        <f>IF(Dealps[[#This Row],[CPTY_CODE]]=Dealps[[#This Row],[CPTY_CODE_ISSUER]],"Yes","No")</f>
        <v>No</v>
      </c>
      <c r="AA468" s="25"/>
      <c r="AC468" s="14"/>
      <c r="AG468" s="96"/>
      <c r="AH468" s="25"/>
      <c r="AI468" s="25"/>
      <c r="AN468" s="14"/>
      <c r="AV468" s="36"/>
      <c r="AW468" s="14"/>
      <c r="AX468" s="234"/>
      <c r="AY468" s="96"/>
      <c r="AZ468" s="14"/>
      <c r="BA468"/>
      <c r="BB468" s="93">
        <v>46262</v>
      </c>
      <c r="BC468">
        <v>3567</v>
      </c>
      <c r="BD468" s="56" t="s">
        <v>1211</v>
      </c>
      <c r="BE468" t="s">
        <v>1011</v>
      </c>
      <c r="BF468" t="s">
        <v>1012</v>
      </c>
      <c r="BG468" t="s">
        <v>364</v>
      </c>
      <c r="BH468" t="s">
        <v>1013</v>
      </c>
      <c r="BI468" t="s">
        <v>311</v>
      </c>
      <c r="BJ468" s="93">
        <v>46066</v>
      </c>
      <c r="BK468" s="93">
        <v>46066</v>
      </c>
      <c r="BL468" s="93">
        <v>46066</v>
      </c>
      <c r="BM468" s="93">
        <v>46793</v>
      </c>
      <c r="BN468" s="14">
        <v>1</v>
      </c>
      <c r="BO468" s="14">
        <v>20000000000</v>
      </c>
      <c r="BP468" s="56">
        <v>100</v>
      </c>
      <c r="BQ468" s="56">
        <v>0</v>
      </c>
      <c r="BR468" s="14">
        <v>20011506849</v>
      </c>
      <c r="BS468">
        <v>6.9959749999999996</v>
      </c>
      <c r="BT468" t="s">
        <v>1184</v>
      </c>
      <c r="BU468" s="25">
        <f>_xlfn.XLOOKUP(Dealps_MSB[[#This Row],[DEAL_ID]],Ref!V:V,Ref!X:X,0,0)</f>
        <v>0</v>
      </c>
      <c r="BV468"/>
    </row>
    <row r="469" spans="1:74" x14ac:dyDescent="0.3">
      <c r="A469" s="93">
        <v>46262</v>
      </c>
      <c r="B469">
        <v>4407</v>
      </c>
      <c r="C469" s="56" t="s">
        <v>1158</v>
      </c>
      <c r="D469" t="s">
        <v>327</v>
      </c>
      <c r="E469" t="s">
        <v>322</v>
      </c>
      <c r="F469" t="s">
        <v>364</v>
      </c>
      <c r="G469" t="s">
        <v>310</v>
      </c>
      <c r="H469" t="s">
        <v>300</v>
      </c>
      <c r="I469" s="93">
        <v>46177</v>
      </c>
      <c r="J469" s="93">
        <v>46163</v>
      </c>
      <c r="K469" s="93">
        <v>46177</v>
      </c>
      <c r="L469" s="93">
        <v>46409</v>
      </c>
      <c r="M469" s="14">
        <v>1</v>
      </c>
      <c r="N469" s="14">
        <v>500000000000</v>
      </c>
      <c r="O469" s="56">
        <v>100.023330378</v>
      </c>
      <c r="P469" s="56">
        <v>0</v>
      </c>
      <c r="Q469" s="14">
        <v>513135829967.99994</v>
      </c>
      <c r="R469">
        <v>6.979921</v>
      </c>
      <c r="S469" t="s">
        <v>1184</v>
      </c>
      <c r="T469" s="57">
        <f>IF(Dealps[[#This Row],[MATURITY_DATE]]-Dealps[[#This Row],[POSTED_DT]]&lt;0,0,IF(Dealps[[#This Row],[VALUE_DATE]]-Dealps[[#This Row],[POSTED_DT]]&gt;0,Dealps[[#This Row],[MATURITY_DATE]]-Dealps[[#This Row],[VALUE_DATE]],Dealps[[#This Row],[MATURITY_DATE]]-Dealps[[#This Row],[POSTED_DT]]))</f>
        <v>147</v>
      </c>
      <c r="U469" s="25">
        <f>IF(Dealps[[#This Row],[TENOR]]=0,0,IF(Dealps[[#This Row],[DEAL_TYPE]]="B",Dealps[[#This Row],[FACE_AMOUNT]],-Dealps[[#This Row],[FACE_AMOUNT]]))</f>
        <v>500000000000</v>
      </c>
      <c r="V469" s="25">
        <f>_xlfn.XLOOKUP(Dealps[[#This Row],[PAPER_CODE]],FNRP!D:D,FNRP!H:H,0,0)/100*Dealps[[#This Row],[AMOUNT]]</f>
        <v>0</v>
      </c>
      <c r="W469" s="57" t="str">
        <f>IF(Dealps[[#This Row],[TRANSACTION_STATUS]]&lt;&gt;"V","Ngoai BS",IF(Dealps[[#This Row],[POSTED_DT]]&gt;=Dealps[[#This Row],[VALUE_DATE]],"On BS","Off BS"))</f>
        <v>On BS</v>
      </c>
      <c r="X469" s="25">
        <f>SUMIFS(U:U,C:C,Dealps[[#This Row],[PAPER_CODE]])</f>
        <v>2000000000000</v>
      </c>
      <c r="Y469" s="25">
        <f>_xlfn.XLOOKUP(Dealps[[#This Row],[DEAL_ID]],Ref!N:N,Ref!Q:Q,0,0)</f>
        <v>0</v>
      </c>
      <c r="Z469" s="25" t="str">
        <f>IF(Dealps[[#This Row],[CPTY_CODE]]=Dealps[[#This Row],[CPTY_CODE_ISSUER]],"Yes","No")</f>
        <v>No</v>
      </c>
      <c r="AA469" s="25"/>
      <c r="AC469" s="14"/>
      <c r="AG469" s="96"/>
      <c r="AH469" s="25"/>
      <c r="AI469" s="25"/>
      <c r="AN469" s="14"/>
      <c r="AV469" s="36"/>
      <c r="AW469" s="14"/>
      <c r="AX469" s="234"/>
      <c r="AY469" s="96"/>
      <c r="AZ469" s="14"/>
      <c r="BA469"/>
      <c r="BB469" s="93">
        <v>46262</v>
      </c>
      <c r="BC469">
        <v>3568</v>
      </c>
      <c r="BD469" s="56" t="s">
        <v>1211</v>
      </c>
      <c r="BE469" t="s">
        <v>1011</v>
      </c>
      <c r="BF469" t="s">
        <v>1012</v>
      </c>
      <c r="BG469" t="s">
        <v>364</v>
      </c>
      <c r="BH469" t="s">
        <v>1013</v>
      </c>
      <c r="BI469" t="s">
        <v>311</v>
      </c>
      <c r="BJ469" s="93">
        <v>46066</v>
      </c>
      <c r="BK469" s="93">
        <v>46066</v>
      </c>
      <c r="BL469" s="93">
        <v>46066</v>
      </c>
      <c r="BM469" s="93">
        <v>46793</v>
      </c>
      <c r="BN469" s="14">
        <v>1</v>
      </c>
      <c r="BO469" s="14">
        <v>30000000000</v>
      </c>
      <c r="BP469" s="56">
        <v>100</v>
      </c>
      <c r="BQ469" s="56">
        <v>0</v>
      </c>
      <c r="BR469" s="14">
        <v>30017260274.000004</v>
      </c>
      <c r="BS469">
        <v>6.9959749999999996</v>
      </c>
      <c r="BT469" t="s">
        <v>1184</v>
      </c>
      <c r="BU469" s="25">
        <f>_xlfn.XLOOKUP(Dealps_MSB[[#This Row],[DEAL_ID]],Ref!V:V,Ref!X:X,0,0)</f>
        <v>0</v>
      </c>
      <c r="BV469"/>
    </row>
    <row r="470" spans="1:74" x14ac:dyDescent="0.3">
      <c r="A470" s="93">
        <v>46262</v>
      </c>
      <c r="B470">
        <v>4408</v>
      </c>
      <c r="C470" s="56" t="s">
        <v>963</v>
      </c>
      <c r="D470" t="s">
        <v>308</v>
      </c>
      <c r="E470" t="s">
        <v>1228</v>
      </c>
      <c r="F470" t="s">
        <v>364</v>
      </c>
      <c r="G470" t="s">
        <v>310</v>
      </c>
      <c r="H470" t="s">
        <v>300</v>
      </c>
      <c r="I470" s="93">
        <v>46177</v>
      </c>
      <c r="J470" s="93">
        <v>46177</v>
      </c>
      <c r="K470" s="93">
        <v>46177</v>
      </c>
      <c r="L470" s="93">
        <v>46295</v>
      </c>
      <c r="M470" s="14">
        <v>1</v>
      </c>
      <c r="N470" s="14">
        <v>200000000000</v>
      </c>
      <c r="O470" s="56">
        <v>100.848366523</v>
      </c>
      <c r="P470" s="56">
        <v>0</v>
      </c>
      <c r="Q470" s="14">
        <v>209919198800</v>
      </c>
      <c r="R470">
        <v>3.3115749999999999</v>
      </c>
      <c r="S470" t="s">
        <v>1184</v>
      </c>
      <c r="T470" s="57">
        <f>IF(Dealps[[#This Row],[MATURITY_DATE]]-Dealps[[#This Row],[POSTED_DT]]&lt;0,0,IF(Dealps[[#This Row],[VALUE_DATE]]-Dealps[[#This Row],[POSTED_DT]]&gt;0,Dealps[[#This Row],[MATURITY_DATE]]-Dealps[[#This Row],[VALUE_DATE]],Dealps[[#This Row],[MATURITY_DATE]]-Dealps[[#This Row],[POSTED_DT]]))</f>
        <v>33</v>
      </c>
      <c r="U470" s="25">
        <f>IF(Dealps[[#This Row],[TENOR]]=0,0,IF(Dealps[[#This Row],[DEAL_TYPE]]="B",Dealps[[#This Row],[FACE_AMOUNT]],-Dealps[[#This Row],[FACE_AMOUNT]]))</f>
        <v>200000000000</v>
      </c>
      <c r="V470" s="25">
        <f>_xlfn.XLOOKUP(Dealps[[#This Row],[PAPER_CODE]],FNRP!D:D,FNRP!H:H,0,0)/100*Dealps[[#This Row],[AMOUNT]]</f>
        <v>0</v>
      </c>
      <c r="W470" s="57" t="str">
        <f>IF(Dealps[[#This Row],[TRANSACTION_STATUS]]&lt;&gt;"V","Ngoai BS",IF(Dealps[[#This Row],[POSTED_DT]]&gt;=Dealps[[#This Row],[VALUE_DATE]],"On BS","Off BS"))</f>
        <v>On BS</v>
      </c>
      <c r="X470" s="25">
        <f>SUMIFS(U:U,C:C,Dealps[[#This Row],[PAPER_CODE]])</f>
        <v>400000000000</v>
      </c>
      <c r="Y470" s="25">
        <f>_xlfn.XLOOKUP(Dealps[[#This Row],[DEAL_ID]],Ref!N:N,Ref!Q:Q,0,0)</f>
        <v>0</v>
      </c>
      <c r="Z470" s="25" t="str">
        <f>IF(Dealps[[#This Row],[CPTY_CODE]]=Dealps[[#This Row],[CPTY_CODE_ISSUER]],"Yes","No")</f>
        <v>No</v>
      </c>
      <c r="AA470" s="25"/>
      <c r="AC470" s="14"/>
      <c r="AG470" s="96"/>
      <c r="AH470" s="25"/>
      <c r="AI470" s="25"/>
      <c r="AN470" s="14"/>
      <c r="AV470" s="36"/>
      <c r="AW470" s="14"/>
      <c r="AX470" s="234"/>
      <c r="AY470" s="96"/>
      <c r="AZ470" s="14"/>
      <c r="BA470"/>
      <c r="BB470" s="93">
        <v>46262</v>
      </c>
      <c r="BC470">
        <v>3583</v>
      </c>
      <c r="BD470" s="56" t="s">
        <v>1211</v>
      </c>
      <c r="BE470" t="s">
        <v>1011</v>
      </c>
      <c r="BF470" t="s">
        <v>1012</v>
      </c>
      <c r="BG470" t="s">
        <v>364</v>
      </c>
      <c r="BH470" t="s">
        <v>1013</v>
      </c>
      <c r="BI470" t="s">
        <v>311</v>
      </c>
      <c r="BJ470" s="93">
        <v>46076</v>
      </c>
      <c r="BK470" s="93">
        <v>46076</v>
      </c>
      <c r="BL470" s="93">
        <v>46076</v>
      </c>
      <c r="BM470" s="93">
        <v>46793</v>
      </c>
      <c r="BN470" s="14">
        <v>1</v>
      </c>
      <c r="BO470" s="14">
        <v>20000000000</v>
      </c>
      <c r="BP470" s="56">
        <v>100</v>
      </c>
      <c r="BQ470" s="56">
        <v>0</v>
      </c>
      <c r="BR470" s="14">
        <v>20049863014</v>
      </c>
      <c r="BS470">
        <v>6.9825910000000002</v>
      </c>
      <c r="BT470" t="s">
        <v>1184</v>
      </c>
      <c r="BU470" s="25">
        <f>_xlfn.XLOOKUP(Dealps_MSB[[#This Row],[DEAL_ID]],Ref!V:V,Ref!X:X,0,0)</f>
        <v>0</v>
      </c>
      <c r="BV470"/>
    </row>
    <row r="471" spans="1:74" x14ac:dyDescent="0.3">
      <c r="A471" s="93">
        <v>46262</v>
      </c>
      <c r="B471">
        <v>4409</v>
      </c>
      <c r="C471" s="56" t="s">
        <v>1292</v>
      </c>
      <c r="D471" t="s">
        <v>334</v>
      </c>
      <c r="E471" t="s">
        <v>321</v>
      </c>
      <c r="F471" t="s">
        <v>364</v>
      </c>
      <c r="G471" t="s">
        <v>310</v>
      </c>
      <c r="H471" t="s">
        <v>311</v>
      </c>
      <c r="I471" s="93">
        <v>46177</v>
      </c>
      <c r="J471" s="93">
        <v>46177</v>
      </c>
      <c r="K471" s="93">
        <v>46181</v>
      </c>
      <c r="L471" s="93">
        <v>46527</v>
      </c>
      <c r="M471" s="14">
        <v>1</v>
      </c>
      <c r="N471" s="14">
        <v>600000000000</v>
      </c>
      <c r="O471" s="56">
        <v>99.968743118000006</v>
      </c>
      <c r="P471" s="56">
        <v>0</v>
      </c>
      <c r="Q471" s="14">
        <v>602327527200</v>
      </c>
      <c r="R471">
        <v>8.5</v>
      </c>
      <c r="S471" t="s">
        <v>1184</v>
      </c>
      <c r="T471" s="57">
        <f>IF(Dealps[[#This Row],[MATURITY_DATE]]-Dealps[[#This Row],[POSTED_DT]]&lt;0,0,IF(Dealps[[#This Row],[VALUE_DATE]]-Dealps[[#This Row],[POSTED_DT]]&gt;0,Dealps[[#This Row],[MATURITY_DATE]]-Dealps[[#This Row],[VALUE_DATE]],Dealps[[#This Row],[MATURITY_DATE]]-Dealps[[#This Row],[POSTED_DT]]))</f>
        <v>265</v>
      </c>
      <c r="U471" s="25">
        <f>IF(Dealps[[#This Row],[TENOR]]=0,0,IF(Dealps[[#This Row],[DEAL_TYPE]]="B",Dealps[[#This Row],[FACE_AMOUNT]],-Dealps[[#This Row],[FACE_AMOUNT]]))</f>
        <v>-600000000000</v>
      </c>
      <c r="V471" s="25">
        <f>_xlfn.XLOOKUP(Dealps[[#This Row],[PAPER_CODE]],FNRP!D:D,FNRP!H:H,0,0)/100*Dealps[[#This Row],[AMOUNT]]</f>
        <v>0</v>
      </c>
      <c r="W471" s="57" t="str">
        <f>IF(Dealps[[#This Row],[TRANSACTION_STATUS]]&lt;&gt;"V","Ngoai BS",IF(Dealps[[#This Row],[POSTED_DT]]&gt;=Dealps[[#This Row],[VALUE_DATE]],"On BS","Off BS"))</f>
        <v>On BS</v>
      </c>
      <c r="X471" s="25">
        <f>SUMIFS(U:U,C:C,Dealps[[#This Row],[PAPER_CODE]])</f>
        <v>2000000000000</v>
      </c>
      <c r="Y471" s="25">
        <f>_xlfn.XLOOKUP(Dealps[[#This Row],[DEAL_ID]],Ref!N:N,Ref!Q:Q,0,0)</f>
        <v>0</v>
      </c>
      <c r="Z471" s="25" t="str">
        <f>IF(Dealps[[#This Row],[CPTY_CODE]]=Dealps[[#This Row],[CPTY_CODE_ISSUER]],"Yes","No")</f>
        <v>No</v>
      </c>
      <c r="AA471" s="25"/>
      <c r="AC471" s="14"/>
      <c r="AG471" s="96"/>
      <c r="AH471" s="25"/>
      <c r="AI471" s="25"/>
      <c r="AN471" s="14"/>
      <c r="AV471" s="36"/>
      <c r="AW471" s="14"/>
      <c r="AX471" s="234"/>
      <c r="AY471" s="96"/>
      <c r="AZ471" s="14"/>
      <c r="BA471"/>
      <c r="BB471" s="93">
        <v>46262</v>
      </c>
      <c r="BC471">
        <v>3584</v>
      </c>
      <c r="BD471" s="56" t="s">
        <v>1211</v>
      </c>
      <c r="BE471" t="s">
        <v>1011</v>
      </c>
      <c r="BF471" t="s">
        <v>1012</v>
      </c>
      <c r="BG471" t="s">
        <v>364</v>
      </c>
      <c r="BH471" t="s">
        <v>1013</v>
      </c>
      <c r="BI471" t="s">
        <v>311</v>
      </c>
      <c r="BJ471" s="93">
        <v>46076</v>
      </c>
      <c r="BK471" s="93">
        <v>46076</v>
      </c>
      <c r="BL471" s="93">
        <v>46076</v>
      </c>
      <c r="BM471" s="93">
        <v>46793</v>
      </c>
      <c r="BN471" s="14">
        <v>1</v>
      </c>
      <c r="BO471" s="14">
        <v>20000000000</v>
      </c>
      <c r="BP471" s="56">
        <v>100</v>
      </c>
      <c r="BQ471" s="56">
        <v>0</v>
      </c>
      <c r="BR471" s="14">
        <v>20049863014</v>
      </c>
      <c r="BS471">
        <v>6.9825910000000002</v>
      </c>
      <c r="BT471" t="s">
        <v>1184</v>
      </c>
      <c r="BU471" s="25">
        <f>_xlfn.XLOOKUP(Dealps_MSB[[#This Row],[DEAL_ID]],Ref!V:V,Ref!X:X,0,0)</f>
        <v>0</v>
      </c>
      <c r="BV471"/>
    </row>
    <row r="472" spans="1:74" x14ac:dyDescent="0.3">
      <c r="A472" s="93">
        <v>46262</v>
      </c>
      <c r="B472">
        <v>4410</v>
      </c>
      <c r="C472" s="56" t="s">
        <v>1207</v>
      </c>
      <c r="D472" t="s">
        <v>384</v>
      </c>
      <c r="E472" t="s">
        <v>1254</v>
      </c>
      <c r="F472" t="s">
        <v>364</v>
      </c>
      <c r="G472" t="s">
        <v>310</v>
      </c>
      <c r="H472" t="s">
        <v>300</v>
      </c>
      <c r="I472" s="93">
        <v>46178</v>
      </c>
      <c r="J472" s="93">
        <v>46178</v>
      </c>
      <c r="K472" s="93">
        <v>46178</v>
      </c>
      <c r="L472" s="93">
        <v>46419</v>
      </c>
      <c r="M472" s="14">
        <v>1</v>
      </c>
      <c r="N472" s="14">
        <v>49000000000</v>
      </c>
      <c r="O472" s="56">
        <v>99.728429254999995</v>
      </c>
      <c r="P472" s="56">
        <v>0</v>
      </c>
      <c r="Q472" s="14">
        <v>50101998828</v>
      </c>
      <c r="R472">
        <v>8.2262930000000001</v>
      </c>
      <c r="S472" t="s">
        <v>1184</v>
      </c>
      <c r="T472" s="57">
        <f>IF(Dealps[[#This Row],[MATURITY_DATE]]-Dealps[[#This Row],[POSTED_DT]]&lt;0,0,IF(Dealps[[#This Row],[VALUE_DATE]]-Dealps[[#This Row],[POSTED_DT]]&gt;0,Dealps[[#This Row],[MATURITY_DATE]]-Dealps[[#This Row],[VALUE_DATE]],Dealps[[#This Row],[MATURITY_DATE]]-Dealps[[#This Row],[POSTED_DT]]))</f>
        <v>157</v>
      </c>
      <c r="U472" s="25">
        <f>IF(Dealps[[#This Row],[TENOR]]=0,0,IF(Dealps[[#This Row],[DEAL_TYPE]]="B",Dealps[[#This Row],[FACE_AMOUNT]],-Dealps[[#This Row],[FACE_AMOUNT]]))</f>
        <v>49000000000</v>
      </c>
      <c r="V472" s="25">
        <f>_xlfn.XLOOKUP(Dealps[[#This Row],[PAPER_CODE]],FNRP!D:D,FNRP!H:H,0,0)/100*Dealps[[#This Row],[AMOUNT]]</f>
        <v>0</v>
      </c>
      <c r="W472" s="57" t="str">
        <f>IF(Dealps[[#This Row],[TRANSACTION_STATUS]]&lt;&gt;"V","Ngoai BS",IF(Dealps[[#This Row],[POSTED_DT]]&gt;=Dealps[[#This Row],[VALUE_DATE]],"On BS","Off BS"))</f>
        <v>On BS</v>
      </c>
      <c r="X472" s="25">
        <f>SUMIFS(U:U,C:C,Dealps[[#This Row],[PAPER_CODE]])</f>
        <v>200000000000</v>
      </c>
      <c r="Y472" s="25">
        <f>_xlfn.XLOOKUP(Dealps[[#This Row],[DEAL_ID]],Ref!N:N,Ref!Q:Q,0,0)</f>
        <v>0</v>
      </c>
      <c r="Z472" s="25" t="str">
        <f>IF(Dealps[[#This Row],[CPTY_CODE]]=Dealps[[#This Row],[CPTY_CODE_ISSUER]],"Yes","No")</f>
        <v>No</v>
      </c>
      <c r="AA472" s="25"/>
      <c r="AC472" s="14"/>
      <c r="AG472" s="96"/>
      <c r="AH472" s="25"/>
      <c r="AI472" s="25"/>
      <c r="AN472" s="14"/>
      <c r="AV472" s="36"/>
      <c r="AW472" s="14"/>
      <c r="AX472" s="234"/>
      <c r="AY472" s="96"/>
      <c r="AZ472" s="14"/>
      <c r="BA472"/>
      <c r="BB472" s="93">
        <v>46262</v>
      </c>
      <c r="BC472">
        <v>3639</v>
      </c>
      <c r="BD472" s="56" t="s">
        <v>1227</v>
      </c>
      <c r="BE472" t="s">
        <v>1011</v>
      </c>
      <c r="BF472" t="s">
        <v>1012</v>
      </c>
      <c r="BG472" t="s">
        <v>364</v>
      </c>
      <c r="BH472" t="s">
        <v>1013</v>
      </c>
      <c r="BI472" t="s">
        <v>311</v>
      </c>
      <c r="BJ472" s="93">
        <v>46079</v>
      </c>
      <c r="BK472" s="93">
        <v>46079</v>
      </c>
      <c r="BL472" s="93">
        <v>46079</v>
      </c>
      <c r="BM472" s="93">
        <v>46809</v>
      </c>
      <c r="BN472" s="14">
        <v>1</v>
      </c>
      <c r="BO472" s="14">
        <v>70000000000</v>
      </c>
      <c r="BP472" s="56">
        <v>100</v>
      </c>
      <c r="BQ472" s="56">
        <v>0</v>
      </c>
      <c r="BR472" s="14">
        <v>70000000000</v>
      </c>
      <c r="BS472">
        <v>7.479508</v>
      </c>
      <c r="BT472" t="s">
        <v>1184</v>
      </c>
      <c r="BU472" s="25">
        <f>_xlfn.XLOOKUP(Dealps_MSB[[#This Row],[DEAL_ID]],Ref!V:V,Ref!X:X,0,0)</f>
        <v>0</v>
      </c>
      <c r="BV472"/>
    </row>
    <row r="473" spans="1:74" x14ac:dyDescent="0.3">
      <c r="A473" s="93">
        <v>46262</v>
      </c>
      <c r="B473">
        <v>4411</v>
      </c>
      <c r="C473" s="56" t="s">
        <v>1004</v>
      </c>
      <c r="D473" t="s">
        <v>324</v>
      </c>
      <c r="E473" t="s">
        <v>315</v>
      </c>
      <c r="F473" t="s">
        <v>364</v>
      </c>
      <c r="G473" t="s">
        <v>310</v>
      </c>
      <c r="H473" t="s">
        <v>300</v>
      </c>
      <c r="I473" s="93">
        <v>46178</v>
      </c>
      <c r="J473" s="93">
        <v>46178</v>
      </c>
      <c r="K473" s="93">
        <v>46178</v>
      </c>
      <c r="L473" s="93">
        <v>46323</v>
      </c>
      <c r="M473" s="14">
        <v>1</v>
      </c>
      <c r="N473" s="14">
        <v>500000000000</v>
      </c>
      <c r="O473" s="56">
        <v>99.656172900000001</v>
      </c>
      <c r="P473" s="56">
        <v>0</v>
      </c>
      <c r="Q473" s="14">
        <v>517180864500</v>
      </c>
      <c r="R473">
        <v>6.9274560000000003</v>
      </c>
      <c r="S473" t="s">
        <v>1184</v>
      </c>
      <c r="T473" s="57">
        <f>IF(Dealps[[#This Row],[MATURITY_DATE]]-Dealps[[#This Row],[POSTED_DT]]&lt;0,0,IF(Dealps[[#This Row],[VALUE_DATE]]-Dealps[[#This Row],[POSTED_DT]]&gt;0,Dealps[[#This Row],[MATURITY_DATE]]-Dealps[[#This Row],[VALUE_DATE]],Dealps[[#This Row],[MATURITY_DATE]]-Dealps[[#This Row],[POSTED_DT]]))</f>
        <v>61</v>
      </c>
      <c r="U473" s="25">
        <f>IF(Dealps[[#This Row],[TENOR]]=0,0,IF(Dealps[[#This Row],[DEAL_TYPE]]="B",Dealps[[#This Row],[FACE_AMOUNT]],-Dealps[[#This Row],[FACE_AMOUNT]]))</f>
        <v>500000000000</v>
      </c>
      <c r="V473" s="25">
        <f>_xlfn.XLOOKUP(Dealps[[#This Row],[PAPER_CODE]],FNRP!D:D,FNRP!H:H,0,0)/100*Dealps[[#This Row],[AMOUNT]]</f>
        <v>0</v>
      </c>
      <c r="W473" s="57" t="str">
        <f>IF(Dealps[[#This Row],[TRANSACTION_STATUS]]&lt;&gt;"V","Ngoai BS",IF(Dealps[[#This Row],[POSTED_DT]]&gt;=Dealps[[#This Row],[VALUE_DATE]],"On BS","Off BS"))</f>
        <v>On BS</v>
      </c>
      <c r="X473" s="25">
        <f>SUMIFS(U:U,C:C,Dealps[[#This Row],[PAPER_CODE]])</f>
        <v>500000000000</v>
      </c>
      <c r="Y473" s="25">
        <f>_xlfn.XLOOKUP(Dealps[[#This Row],[DEAL_ID]],Ref!N:N,Ref!Q:Q,0,0)</f>
        <v>0</v>
      </c>
      <c r="Z473" s="25" t="str">
        <f>IF(Dealps[[#This Row],[CPTY_CODE]]=Dealps[[#This Row],[CPTY_CODE_ISSUER]],"Yes","No")</f>
        <v>No</v>
      </c>
      <c r="AA473" s="25"/>
      <c r="AC473" s="14"/>
      <c r="AG473" s="96"/>
      <c r="AH473" s="25"/>
      <c r="AI473" s="25"/>
      <c r="AN473" s="14"/>
      <c r="AV473" s="36"/>
      <c r="AW473" s="14"/>
      <c r="AX473" s="234"/>
      <c r="AY473" s="96"/>
      <c r="AZ473" s="14"/>
      <c r="BA473"/>
      <c r="BB473" s="93">
        <v>46262</v>
      </c>
      <c r="BC473">
        <v>3645</v>
      </c>
      <c r="BD473" s="56" t="s">
        <v>1227</v>
      </c>
      <c r="BE473" t="s">
        <v>1011</v>
      </c>
      <c r="BF473" t="s">
        <v>1012</v>
      </c>
      <c r="BG473" t="s">
        <v>364</v>
      </c>
      <c r="BH473" t="s">
        <v>1013</v>
      </c>
      <c r="BI473" t="s">
        <v>311</v>
      </c>
      <c r="BJ473" s="93">
        <v>46080</v>
      </c>
      <c r="BK473" s="93">
        <v>46080</v>
      </c>
      <c r="BL473" s="93">
        <v>46080</v>
      </c>
      <c r="BM473" s="93">
        <v>46809</v>
      </c>
      <c r="BN473" s="14">
        <v>1</v>
      </c>
      <c r="BO473" s="14">
        <v>50000000000</v>
      </c>
      <c r="BP473" s="56">
        <v>100</v>
      </c>
      <c r="BQ473" s="56">
        <v>0</v>
      </c>
      <c r="BR473" s="14">
        <v>50010273973</v>
      </c>
      <c r="BS473">
        <v>7.4779439999999999</v>
      </c>
      <c r="BT473" t="s">
        <v>1184</v>
      </c>
      <c r="BU473" s="25">
        <f>_xlfn.XLOOKUP(Dealps_MSB[[#This Row],[DEAL_ID]],Ref!V:V,Ref!X:X,0,0)</f>
        <v>0</v>
      </c>
      <c r="BV473"/>
    </row>
    <row r="474" spans="1:74" x14ac:dyDescent="0.3">
      <c r="A474" s="93">
        <v>46262</v>
      </c>
      <c r="B474">
        <v>4412</v>
      </c>
      <c r="C474" s="56" t="s">
        <v>1071</v>
      </c>
      <c r="D474" t="s">
        <v>328</v>
      </c>
      <c r="E474" t="s">
        <v>315</v>
      </c>
      <c r="F474" t="s">
        <v>364</v>
      </c>
      <c r="G474" t="s">
        <v>310</v>
      </c>
      <c r="H474" t="s">
        <v>300</v>
      </c>
      <c r="I474" s="93">
        <v>46178</v>
      </c>
      <c r="J474" s="93">
        <v>46178</v>
      </c>
      <c r="K474" s="93">
        <v>46178</v>
      </c>
      <c r="L474" s="93">
        <v>46352</v>
      </c>
      <c r="M474" s="14">
        <v>1</v>
      </c>
      <c r="N474" s="14">
        <v>500000000000</v>
      </c>
      <c r="O474" s="56">
        <v>99.735623762000003</v>
      </c>
      <c r="P474" s="56">
        <v>0</v>
      </c>
      <c r="Q474" s="14">
        <v>515856201000</v>
      </c>
      <c r="R474">
        <v>6.9346670000000001</v>
      </c>
      <c r="S474" t="s">
        <v>1184</v>
      </c>
      <c r="T474" s="57">
        <f>IF(Dealps[[#This Row],[MATURITY_DATE]]-Dealps[[#This Row],[POSTED_DT]]&lt;0,0,IF(Dealps[[#This Row],[VALUE_DATE]]-Dealps[[#This Row],[POSTED_DT]]&gt;0,Dealps[[#This Row],[MATURITY_DATE]]-Dealps[[#This Row],[VALUE_DATE]],Dealps[[#This Row],[MATURITY_DATE]]-Dealps[[#This Row],[POSTED_DT]]))</f>
        <v>90</v>
      </c>
      <c r="U474" s="25">
        <f>IF(Dealps[[#This Row],[TENOR]]=0,0,IF(Dealps[[#This Row],[DEAL_TYPE]]="B",Dealps[[#This Row],[FACE_AMOUNT]],-Dealps[[#This Row],[FACE_AMOUNT]]))</f>
        <v>500000000000</v>
      </c>
      <c r="V474" s="25">
        <f>_xlfn.XLOOKUP(Dealps[[#This Row],[PAPER_CODE]],FNRP!D:D,FNRP!H:H,0,0)/100*Dealps[[#This Row],[AMOUNT]]</f>
        <v>0</v>
      </c>
      <c r="W474" s="57" t="str">
        <f>IF(Dealps[[#This Row],[TRANSACTION_STATUS]]&lt;&gt;"V","Ngoai BS",IF(Dealps[[#This Row],[POSTED_DT]]&gt;=Dealps[[#This Row],[VALUE_DATE]],"On BS","Off BS"))</f>
        <v>On BS</v>
      </c>
      <c r="X474" s="25">
        <f>SUMIFS(U:U,C:C,Dealps[[#This Row],[PAPER_CODE]])</f>
        <v>1500000000000</v>
      </c>
      <c r="Y474" s="25">
        <f>_xlfn.XLOOKUP(Dealps[[#This Row],[DEAL_ID]],Ref!N:N,Ref!Q:Q,0,0)</f>
        <v>0</v>
      </c>
      <c r="Z474" s="25" t="str">
        <f>IF(Dealps[[#This Row],[CPTY_CODE]]=Dealps[[#This Row],[CPTY_CODE_ISSUER]],"Yes","No")</f>
        <v>No</v>
      </c>
      <c r="AA474" s="25"/>
      <c r="AC474" s="14"/>
      <c r="AG474" s="96"/>
      <c r="AH474" s="25"/>
      <c r="AI474" s="25"/>
      <c r="AN474" s="14"/>
      <c r="AV474" s="36"/>
      <c r="AW474" s="14"/>
      <c r="AX474" s="234"/>
      <c r="AY474" s="96"/>
      <c r="AZ474" s="14"/>
      <c r="BA474"/>
      <c r="BB474" s="93">
        <v>46262</v>
      </c>
      <c r="BC474">
        <v>3646</v>
      </c>
      <c r="BD474" s="56" t="s">
        <v>1227</v>
      </c>
      <c r="BE474" t="s">
        <v>1011</v>
      </c>
      <c r="BF474" t="s">
        <v>1012</v>
      </c>
      <c r="BG474" t="s">
        <v>364</v>
      </c>
      <c r="BH474" t="s">
        <v>1013</v>
      </c>
      <c r="BI474" t="s">
        <v>311</v>
      </c>
      <c r="BJ474" s="93">
        <v>46080</v>
      </c>
      <c r="BK474" s="93">
        <v>46080</v>
      </c>
      <c r="BL474" s="93">
        <v>46080</v>
      </c>
      <c r="BM474" s="93">
        <v>46809</v>
      </c>
      <c r="BN474" s="14">
        <v>1</v>
      </c>
      <c r="BO474" s="14">
        <v>50000000000</v>
      </c>
      <c r="BP474" s="56">
        <v>100</v>
      </c>
      <c r="BQ474" s="56">
        <v>0</v>
      </c>
      <c r="BR474" s="14">
        <v>50010273973</v>
      </c>
      <c r="BS474">
        <v>7.4779439999999999</v>
      </c>
      <c r="BT474" t="s">
        <v>1184</v>
      </c>
      <c r="BU474" s="25">
        <f>_xlfn.XLOOKUP(Dealps_MSB[[#This Row],[DEAL_ID]],Ref!V:V,Ref!X:X,0,0)</f>
        <v>0</v>
      </c>
      <c r="BV474"/>
    </row>
    <row r="475" spans="1:74" x14ac:dyDescent="0.3">
      <c r="A475" s="93">
        <v>46262</v>
      </c>
      <c r="B475">
        <v>4413</v>
      </c>
      <c r="C475" s="56" t="s">
        <v>1061</v>
      </c>
      <c r="D475" t="s">
        <v>312</v>
      </c>
      <c r="E475" t="s">
        <v>322</v>
      </c>
      <c r="F475" t="s">
        <v>364</v>
      </c>
      <c r="G475" t="s">
        <v>310</v>
      </c>
      <c r="H475" t="s">
        <v>300</v>
      </c>
      <c r="I475" s="93">
        <v>46178</v>
      </c>
      <c r="J475" s="93">
        <v>46164</v>
      </c>
      <c r="K475" s="93">
        <v>46178</v>
      </c>
      <c r="L475" s="93">
        <v>46343</v>
      </c>
      <c r="M475" s="14">
        <v>1</v>
      </c>
      <c r="N475" s="14">
        <v>300000000000</v>
      </c>
      <c r="O475" s="56">
        <v>99.507276978999997</v>
      </c>
      <c r="P475" s="56">
        <v>0</v>
      </c>
      <c r="Q475" s="14">
        <v>308826214500</v>
      </c>
      <c r="R475">
        <v>7.1787590000000003</v>
      </c>
      <c r="S475" t="s">
        <v>1184</v>
      </c>
      <c r="T475" s="57">
        <f>IF(Dealps[[#This Row],[MATURITY_DATE]]-Dealps[[#This Row],[POSTED_DT]]&lt;0,0,IF(Dealps[[#This Row],[VALUE_DATE]]-Dealps[[#This Row],[POSTED_DT]]&gt;0,Dealps[[#This Row],[MATURITY_DATE]]-Dealps[[#This Row],[VALUE_DATE]],Dealps[[#This Row],[MATURITY_DATE]]-Dealps[[#This Row],[POSTED_DT]]))</f>
        <v>81</v>
      </c>
      <c r="U475" s="25">
        <f>IF(Dealps[[#This Row],[TENOR]]=0,0,IF(Dealps[[#This Row],[DEAL_TYPE]]="B",Dealps[[#This Row],[FACE_AMOUNT]],-Dealps[[#This Row],[FACE_AMOUNT]]))</f>
        <v>300000000000</v>
      </c>
      <c r="V475" s="25">
        <f>_xlfn.XLOOKUP(Dealps[[#This Row],[PAPER_CODE]],FNRP!D:D,FNRP!H:H,0,0)/100*Dealps[[#This Row],[AMOUNT]]</f>
        <v>0</v>
      </c>
      <c r="W475" s="57" t="str">
        <f>IF(Dealps[[#This Row],[TRANSACTION_STATUS]]&lt;&gt;"V","Ngoai BS",IF(Dealps[[#This Row],[POSTED_DT]]&gt;=Dealps[[#This Row],[VALUE_DATE]],"On BS","Off BS"))</f>
        <v>On BS</v>
      </c>
      <c r="X475" s="25">
        <f>SUMIFS(U:U,C:C,Dealps[[#This Row],[PAPER_CODE]])</f>
        <v>1500000000000</v>
      </c>
      <c r="Y475" s="25">
        <f>_xlfn.XLOOKUP(Dealps[[#This Row],[DEAL_ID]],Ref!N:N,Ref!Q:Q,0,0)</f>
        <v>0</v>
      </c>
      <c r="Z475" s="25" t="str">
        <f>IF(Dealps[[#This Row],[CPTY_CODE]]=Dealps[[#This Row],[CPTY_CODE_ISSUER]],"Yes","No")</f>
        <v>No</v>
      </c>
      <c r="AA475" s="25"/>
      <c r="AC475" s="14"/>
      <c r="AG475" s="96"/>
      <c r="AH475" s="25"/>
      <c r="AI475" s="25"/>
      <c r="AN475" s="14"/>
      <c r="AV475" s="36"/>
      <c r="AW475" s="14"/>
      <c r="AX475" s="234"/>
      <c r="AY475" s="96"/>
      <c r="AZ475" s="14"/>
      <c r="BA475"/>
      <c r="BB475" s="93">
        <v>46262</v>
      </c>
      <c r="BC475">
        <v>3647</v>
      </c>
      <c r="BD475" s="56" t="s">
        <v>1227</v>
      </c>
      <c r="BE475" t="s">
        <v>1011</v>
      </c>
      <c r="BF475" t="s">
        <v>1012</v>
      </c>
      <c r="BG475" t="s">
        <v>364</v>
      </c>
      <c r="BH475" t="s">
        <v>1013</v>
      </c>
      <c r="BI475" t="s">
        <v>311</v>
      </c>
      <c r="BJ475" s="93">
        <v>46080</v>
      </c>
      <c r="BK475" s="93">
        <v>46080</v>
      </c>
      <c r="BL475" s="93">
        <v>46080</v>
      </c>
      <c r="BM475" s="93">
        <v>46809</v>
      </c>
      <c r="BN475" s="14">
        <v>1</v>
      </c>
      <c r="BO475" s="14">
        <v>50000000000</v>
      </c>
      <c r="BP475" s="56">
        <v>100</v>
      </c>
      <c r="BQ475" s="56">
        <v>0</v>
      </c>
      <c r="BR475" s="14">
        <v>50010273973</v>
      </c>
      <c r="BS475">
        <v>7.4779439999999999</v>
      </c>
      <c r="BT475" t="s">
        <v>1184</v>
      </c>
      <c r="BU475" s="25">
        <f>_xlfn.XLOOKUP(Dealps_MSB[[#This Row],[DEAL_ID]],Ref!V:V,Ref!X:X,0,0)</f>
        <v>0</v>
      </c>
      <c r="BV475"/>
    </row>
    <row r="476" spans="1:74" x14ac:dyDescent="0.3">
      <c r="A476" s="93">
        <v>46262</v>
      </c>
      <c r="B476">
        <v>4414</v>
      </c>
      <c r="C476" s="56" t="s">
        <v>1207</v>
      </c>
      <c r="D476" t="s">
        <v>384</v>
      </c>
      <c r="E476" t="s">
        <v>315</v>
      </c>
      <c r="F476" t="s">
        <v>364</v>
      </c>
      <c r="G476" t="s">
        <v>310</v>
      </c>
      <c r="H476" t="s">
        <v>300</v>
      </c>
      <c r="I476" s="93">
        <v>46178</v>
      </c>
      <c r="J476" s="93">
        <v>46176</v>
      </c>
      <c r="K476" s="93">
        <v>46178</v>
      </c>
      <c r="L476" s="93">
        <v>46419</v>
      </c>
      <c r="M476" s="14">
        <v>1</v>
      </c>
      <c r="N476" s="14">
        <v>102000000000</v>
      </c>
      <c r="O476" s="56">
        <v>99.899313855000003</v>
      </c>
      <c r="P476" s="56">
        <v>0</v>
      </c>
      <c r="Q476" s="14">
        <v>104468259036.00002</v>
      </c>
      <c r="R476">
        <v>7.9598740000000001</v>
      </c>
      <c r="S476" t="s">
        <v>1184</v>
      </c>
      <c r="T476" s="57">
        <f>IF(Dealps[[#This Row],[MATURITY_DATE]]-Dealps[[#This Row],[POSTED_DT]]&lt;0,0,IF(Dealps[[#This Row],[VALUE_DATE]]-Dealps[[#This Row],[POSTED_DT]]&gt;0,Dealps[[#This Row],[MATURITY_DATE]]-Dealps[[#This Row],[VALUE_DATE]],Dealps[[#This Row],[MATURITY_DATE]]-Dealps[[#This Row],[POSTED_DT]]))</f>
        <v>157</v>
      </c>
      <c r="U476" s="25">
        <f>IF(Dealps[[#This Row],[TENOR]]=0,0,IF(Dealps[[#This Row],[DEAL_TYPE]]="B",Dealps[[#This Row],[FACE_AMOUNT]],-Dealps[[#This Row],[FACE_AMOUNT]]))</f>
        <v>102000000000</v>
      </c>
      <c r="V476" s="25">
        <f>_xlfn.XLOOKUP(Dealps[[#This Row],[PAPER_CODE]],FNRP!D:D,FNRP!H:H,0,0)/100*Dealps[[#This Row],[AMOUNT]]</f>
        <v>0</v>
      </c>
      <c r="W476" s="57" t="str">
        <f>IF(Dealps[[#This Row],[TRANSACTION_STATUS]]&lt;&gt;"V","Ngoai BS",IF(Dealps[[#This Row],[POSTED_DT]]&gt;=Dealps[[#This Row],[VALUE_DATE]],"On BS","Off BS"))</f>
        <v>On BS</v>
      </c>
      <c r="X476" s="25">
        <f>SUMIFS(U:U,C:C,Dealps[[#This Row],[PAPER_CODE]])</f>
        <v>200000000000</v>
      </c>
      <c r="Y476" s="25">
        <f>_xlfn.XLOOKUP(Dealps[[#This Row],[DEAL_ID]],Ref!N:N,Ref!Q:Q,0,0)</f>
        <v>0</v>
      </c>
      <c r="Z476" s="25" t="str">
        <f>IF(Dealps[[#This Row],[CPTY_CODE]]=Dealps[[#This Row],[CPTY_CODE_ISSUER]],"Yes","No")</f>
        <v>No</v>
      </c>
      <c r="AA476" s="25"/>
      <c r="AC476" s="14"/>
      <c r="AG476" s="96"/>
      <c r="AH476" s="25"/>
      <c r="AI476" s="25"/>
      <c r="AN476" s="14"/>
      <c r="AV476" s="36"/>
      <c r="AW476" s="14"/>
      <c r="AX476" s="234"/>
      <c r="AY476" s="96"/>
      <c r="AZ476" s="14"/>
      <c r="BA476"/>
      <c r="BB476" s="93">
        <v>46262</v>
      </c>
      <c r="BC476">
        <v>3648</v>
      </c>
      <c r="BD476" s="56" t="s">
        <v>1227</v>
      </c>
      <c r="BE476" t="s">
        <v>1011</v>
      </c>
      <c r="BF476" t="s">
        <v>1012</v>
      </c>
      <c r="BG476" t="s">
        <v>364</v>
      </c>
      <c r="BH476" t="s">
        <v>1013</v>
      </c>
      <c r="BI476" t="s">
        <v>311</v>
      </c>
      <c r="BJ476" s="93">
        <v>46080</v>
      </c>
      <c r="BK476" s="93">
        <v>46080</v>
      </c>
      <c r="BL476" s="93">
        <v>46080</v>
      </c>
      <c r="BM476" s="93">
        <v>46809</v>
      </c>
      <c r="BN476" s="14">
        <v>1</v>
      </c>
      <c r="BO476" s="14">
        <v>50000000000</v>
      </c>
      <c r="BP476" s="56">
        <v>100</v>
      </c>
      <c r="BQ476" s="56">
        <v>0</v>
      </c>
      <c r="BR476" s="14">
        <v>50010273973</v>
      </c>
      <c r="BS476">
        <v>7.4779439999999999</v>
      </c>
      <c r="BT476" t="s">
        <v>1184</v>
      </c>
      <c r="BU476" s="25">
        <f>_xlfn.XLOOKUP(Dealps_MSB[[#This Row],[DEAL_ID]],Ref!V:V,Ref!X:X,0,0)</f>
        <v>0</v>
      </c>
      <c r="BV476"/>
    </row>
    <row r="477" spans="1:74" x14ac:dyDescent="0.3">
      <c r="A477" s="93">
        <v>46262</v>
      </c>
      <c r="B477">
        <v>4415</v>
      </c>
      <c r="C477" s="56" t="s">
        <v>1239</v>
      </c>
      <c r="D477" t="s">
        <v>384</v>
      </c>
      <c r="E477" t="s">
        <v>315</v>
      </c>
      <c r="F477" t="s">
        <v>364</v>
      </c>
      <c r="G477" t="s">
        <v>310</v>
      </c>
      <c r="H477" t="s">
        <v>300</v>
      </c>
      <c r="I477" s="93">
        <v>46178</v>
      </c>
      <c r="J477" s="93">
        <v>46176</v>
      </c>
      <c r="K477" s="93">
        <v>46178</v>
      </c>
      <c r="L477" s="93">
        <v>46493</v>
      </c>
      <c r="M477" s="14">
        <v>1</v>
      </c>
      <c r="N477" s="14">
        <v>200000000000</v>
      </c>
      <c r="O477" s="56">
        <v>100.632233907</v>
      </c>
      <c r="P477" s="56">
        <v>0</v>
      </c>
      <c r="Q477" s="14">
        <v>205214604800</v>
      </c>
      <c r="R477">
        <v>7.9598740000000001</v>
      </c>
      <c r="S477" t="s">
        <v>1184</v>
      </c>
      <c r="T477" s="57">
        <f>IF(Dealps[[#This Row],[MATURITY_DATE]]-Dealps[[#This Row],[POSTED_DT]]&lt;0,0,IF(Dealps[[#This Row],[VALUE_DATE]]-Dealps[[#This Row],[POSTED_DT]]&gt;0,Dealps[[#This Row],[MATURITY_DATE]]-Dealps[[#This Row],[VALUE_DATE]],Dealps[[#This Row],[MATURITY_DATE]]-Dealps[[#This Row],[POSTED_DT]]))</f>
        <v>231</v>
      </c>
      <c r="U477" s="25">
        <f>IF(Dealps[[#This Row],[TENOR]]=0,0,IF(Dealps[[#This Row],[DEAL_TYPE]]="B",Dealps[[#This Row],[FACE_AMOUNT]],-Dealps[[#This Row],[FACE_AMOUNT]]))</f>
        <v>200000000000</v>
      </c>
      <c r="V477" s="25">
        <f>_xlfn.XLOOKUP(Dealps[[#This Row],[PAPER_CODE]],FNRP!D:D,FNRP!H:H,0,0)/100*Dealps[[#This Row],[AMOUNT]]</f>
        <v>0</v>
      </c>
      <c r="W477" s="57" t="str">
        <f>IF(Dealps[[#This Row],[TRANSACTION_STATUS]]&lt;&gt;"V","Ngoai BS",IF(Dealps[[#This Row],[POSTED_DT]]&gt;=Dealps[[#This Row],[VALUE_DATE]],"On BS","Off BS"))</f>
        <v>On BS</v>
      </c>
      <c r="X477" s="25">
        <f>SUMIFS(U:U,C:C,Dealps[[#This Row],[PAPER_CODE]])</f>
        <v>300000000000</v>
      </c>
      <c r="Y477" s="25">
        <f>_xlfn.XLOOKUP(Dealps[[#This Row],[DEAL_ID]],Ref!N:N,Ref!Q:Q,0,0)</f>
        <v>0</v>
      </c>
      <c r="Z477" s="25" t="str">
        <f>IF(Dealps[[#This Row],[CPTY_CODE]]=Dealps[[#This Row],[CPTY_CODE_ISSUER]],"Yes","No")</f>
        <v>No</v>
      </c>
      <c r="AA477" s="25"/>
      <c r="AC477" s="14"/>
      <c r="AG477" s="96"/>
      <c r="AH477" s="25"/>
      <c r="AI477" s="25"/>
      <c r="AN477" s="14"/>
      <c r="AV477" s="36"/>
      <c r="AW477" s="14"/>
      <c r="AX477" s="234"/>
      <c r="AY477" s="96"/>
      <c r="AZ477" s="14"/>
      <c r="BA477"/>
      <c r="BB477" s="93">
        <v>46262</v>
      </c>
      <c r="BC477">
        <v>3651</v>
      </c>
      <c r="BD477" s="56" t="s">
        <v>1227</v>
      </c>
      <c r="BE477" t="s">
        <v>1011</v>
      </c>
      <c r="BF477" t="s">
        <v>1012</v>
      </c>
      <c r="BG477" t="s">
        <v>364</v>
      </c>
      <c r="BH477" t="s">
        <v>1013</v>
      </c>
      <c r="BI477" t="s">
        <v>311</v>
      </c>
      <c r="BJ477" s="93">
        <v>46083</v>
      </c>
      <c r="BK477" s="93">
        <v>46083</v>
      </c>
      <c r="BL477" s="93">
        <v>46083</v>
      </c>
      <c r="BM477" s="93">
        <v>46809</v>
      </c>
      <c r="BN477" s="14">
        <v>1</v>
      </c>
      <c r="BO477" s="14">
        <v>50000000000</v>
      </c>
      <c r="BP477" s="56">
        <v>100</v>
      </c>
      <c r="BQ477" s="56">
        <v>0</v>
      </c>
      <c r="BR477" s="14">
        <v>50041095891</v>
      </c>
      <c r="BS477">
        <v>7.4732529999999997</v>
      </c>
      <c r="BT477" t="s">
        <v>1184</v>
      </c>
      <c r="BU477" s="25">
        <f>_xlfn.XLOOKUP(Dealps_MSB[[#This Row],[DEAL_ID]],Ref!V:V,Ref!X:X,0,0)</f>
        <v>0</v>
      </c>
      <c r="BV477"/>
    </row>
    <row r="478" spans="1:74" x14ac:dyDescent="0.3">
      <c r="A478" s="93">
        <v>46262</v>
      </c>
      <c r="B478">
        <v>4416</v>
      </c>
      <c r="C478" s="56" t="s">
        <v>1158</v>
      </c>
      <c r="D478" t="s">
        <v>327</v>
      </c>
      <c r="E478" t="s">
        <v>314</v>
      </c>
      <c r="F478" t="s">
        <v>364</v>
      </c>
      <c r="G478" t="s">
        <v>310</v>
      </c>
      <c r="H478" t="s">
        <v>311</v>
      </c>
      <c r="I478" s="93">
        <v>46178</v>
      </c>
      <c r="J478" s="93">
        <v>46178</v>
      </c>
      <c r="K478" s="93">
        <v>46178</v>
      </c>
      <c r="L478" s="93">
        <v>46409</v>
      </c>
      <c r="M478" s="14">
        <v>1</v>
      </c>
      <c r="N478" s="14">
        <v>1000000000000</v>
      </c>
      <c r="O478" s="56">
        <v>99.607202862999998</v>
      </c>
      <c r="P478" s="56">
        <v>0</v>
      </c>
      <c r="Q478" s="14">
        <v>1022307645068</v>
      </c>
      <c r="R478">
        <v>7.65</v>
      </c>
      <c r="S478" t="s">
        <v>1184</v>
      </c>
      <c r="T478" s="57">
        <f>IF(Dealps[[#This Row],[MATURITY_DATE]]-Dealps[[#This Row],[POSTED_DT]]&lt;0,0,IF(Dealps[[#This Row],[VALUE_DATE]]-Dealps[[#This Row],[POSTED_DT]]&gt;0,Dealps[[#This Row],[MATURITY_DATE]]-Dealps[[#This Row],[VALUE_DATE]],Dealps[[#This Row],[MATURITY_DATE]]-Dealps[[#This Row],[POSTED_DT]]))</f>
        <v>147</v>
      </c>
      <c r="U478" s="25">
        <f>IF(Dealps[[#This Row],[TENOR]]=0,0,IF(Dealps[[#This Row],[DEAL_TYPE]]="B",Dealps[[#This Row],[FACE_AMOUNT]],-Dealps[[#This Row],[FACE_AMOUNT]]))</f>
        <v>-1000000000000</v>
      </c>
      <c r="V478" s="25">
        <f>_xlfn.XLOOKUP(Dealps[[#This Row],[PAPER_CODE]],FNRP!D:D,FNRP!H:H,0,0)/100*Dealps[[#This Row],[AMOUNT]]</f>
        <v>0</v>
      </c>
      <c r="W478" s="57" t="str">
        <f>IF(Dealps[[#This Row],[TRANSACTION_STATUS]]&lt;&gt;"V","Ngoai BS",IF(Dealps[[#This Row],[POSTED_DT]]&gt;=Dealps[[#This Row],[VALUE_DATE]],"On BS","Off BS"))</f>
        <v>On BS</v>
      </c>
      <c r="X478" s="25">
        <f>SUMIFS(U:U,C:C,Dealps[[#This Row],[PAPER_CODE]])</f>
        <v>2000000000000</v>
      </c>
      <c r="Y478" s="25">
        <f>_xlfn.XLOOKUP(Dealps[[#This Row],[DEAL_ID]],Ref!N:N,Ref!Q:Q,0,0)</f>
        <v>0</v>
      </c>
      <c r="Z478" s="25" t="str">
        <f>IF(Dealps[[#This Row],[CPTY_CODE]]=Dealps[[#This Row],[CPTY_CODE_ISSUER]],"Yes","No")</f>
        <v>No</v>
      </c>
      <c r="AA478" s="25"/>
      <c r="AC478" s="14"/>
      <c r="AG478" s="96"/>
      <c r="AH478" s="25"/>
      <c r="AI478" s="25"/>
      <c r="AN478" s="14"/>
      <c r="AV478" s="36"/>
      <c r="AW478" s="14"/>
      <c r="AX478" s="234"/>
      <c r="AY478" s="96"/>
      <c r="AZ478" s="14"/>
      <c r="BA478"/>
      <c r="BB478" s="93">
        <v>46262</v>
      </c>
      <c r="BC478">
        <v>3652</v>
      </c>
      <c r="BD478" s="56" t="s">
        <v>1227</v>
      </c>
      <c r="BE478" t="s">
        <v>1011</v>
      </c>
      <c r="BF478" t="s">
        <v>1012</v>
      </c>
      <c r="BG478" t="s">
        <v>364</v>
      </c>
      <c r="BH478" t="s">
        <v>1013</v>
      </c>
      <c r="BI478" t="s">
        <v>311</v>
      </c>
      <c r="BJ478" s="93">
        <v>46083</v>
      </c>
      <c r="BK478" s="93">
        <v>46083</v>
      </c>
      <c r="BL478" s="93">
        <v>46083</v>
      </c>
      <c r="BM478" s="93">
        <v>46809</v>
      </c>
      <c r="BN478" s="14">
        <v>1</v>
      </c>
      <c r="BO478" s="14">
        <v>50000000000</v>
      </c>
      <c r="BP478" s="56">
        <v>100</v>
      </c>
      <c r="BQ478" s="56">
        <v>0</v>
      </c>
      <c r="BR478" s="14">
        <v>50041095891</v>
      </c>
      <c r="BS478">
        <v>7.4732529999999997</v>
      </c>
      <c r="BT478" t="s">
        <v>1184</v>
      </c>
      <c r="BU478" s="25">
        <f>_xlfn.XLOOKUP(Dealps_MSB[[#This Row],[DEAL_ID]],Ref!V:V,Ref!X:X,0,0)</f>
        <v>0</v>
      </c>
      <c r="BV478"/>
    </row>
    <row r="479" spans="1:74" x14ac:dyDescent="0.3">
      <c r="A479" s="93">
        <v>46262</v>
      </c>
      <c r="B479">
        <v>4417</v>
      </c>
      <c r="C479" s="56" t="s">
        <v>1204</v>
      </c>
      <c r="D479" t="s">
        <v>315</v>
      </c>
      <c r="E479" t="s">
        <v>1253</v>
      </c>
      <c r="F479" t="s">
        <v>364</v>
      </c>
      <c r="G479" t="s">
        <v>310</v>
      </c>
      <c r="H479" t="s">
        <v>300</v>
      </c>
      <c r="I479" s="93">
        <v>46178</v>
      </c>
      <c r="J479" s="93">
        <v>46178</v>
      </c>
      <c r="K479" s="93">
        <v>46178</v>
      </c>
      <c r="L479" s="93">
        <v>46422</v>
      </c>
      <c r="M479" s="14">
        <v>1</v>
      </c>
      <c r="N479" s="14">
        <v>90000000000</v>
      </c>
      <c r="O479" s="56">
        <v>100.469108711</v>
      </c>
      <c r="P479" s="56">
        <v>0</v>
      </c>
      <c r="Q479" s="14">
        <v>92582296470</v>
      </c>
      <c r="R479">
        <v>6.3558950000000003</v>
      </c>
      <c r="S479" t="s">
        <v>1184</v>
      </c>
      <c r="T479" s="57">
        <f>IF(Dealps[[#This Row],[MATURITY_DATE]]-Dealps[[#This Row],[POSTED_DT]]&lt;0,0,IF(Dealps[[#This Row],[VALUE_DATE]]-Dealps[[#This Row],[POSTED_DT]]&gt;0,Dealps[[#This Row],[MATURITY_DATE]]-Dealps[[#This Row],[VALUE_DATE]],Dealps[[#This Row],[MATURITY_DATE]]-Dealps[[#This Row],[POSTED_DT]]))</f>
        <v>160</v>
      </c>
      <c r="U479" s="25">
        <f>IF(Dealps[[#This Row],[TENOR]]=0,0,IF(Dealps[[#This Row],[DEAL_TYPE]]="B",Dealps[[#This Row],[FACE_AMOUNT]],-Dealps[[#This Row],[FACE_AMOUNT]]))</f>
        <v>90000000000</v>
      </c>
      <c r="V479" s="25">
        <f>_xlfn.XLOOKUP(Dealps[[#This Row],[PAPER_CODE]],FNRP!D:D,FNRP!H:H,0,0)/100*Dealps[[#This Row],[AMOUNT]]</f>
        <v>0</v>
      </c>
      <c r="W479" s="57" t="str">
        <f>IF(Dealps[[#This Row],[TRANSACTION_STATUS]]&lt;&gt;"V","Ngoai BS",IF(Dealps[[#This Row],[POSTED_DT]]&gt;=Dealps[[#This Row],[VALUE_DATE]],"On BS","Off BS"))</f>
        <v>On BS</v>
      </c>
      <c r="X479" s="25">
        <f>SUMIFS(U:U,C:C,Dealps[[#This Row],[PAPER_CODE]])</f>
        <v>1000000000000</v>
      </c>
      <c r="Y479" s="25">
        <f>_xlfn.XLOOKUP(Dealps[[#This Row],[DEAL_ID]],Ref!N:N,Ref!Q:Q,0,0)</f>
        <v>0</v>
      </c>
      <c r="Z479" s="25" t="str">
        <f>IF(Dealps[[#This Row],[CPTY_CODE]]=Dealps[[#This Row],[CPTY_CODE_ISSUER]],"Yes","No")</f>
        <v>No</v>
      </c>
      <c r="AA479" s="25"/>
      <c r="AC479" s="14"/>
      <c r="AG479" s="96"/>
      <c r="AH479" s="25"/>
      <c r="AI479" s="25"/>
      <c r="AN479" s="14"/>
      <c r="AV479" s="36"/>
      <c r="AW479" s="14"/>
      <c r="AX479" s="234"/>
      <c r="AY479" s="96"/>
      <c r="AZ479" s="14"/>
      <c r="BA479"/>
      <c r="BB479" s="93">
        <v>46262</v>
      </c>
      <c r="BC479">
        <v>3653</v>
      </c>
      <c r="BD479" s="56" t="s">
        <v>1227</v>
      </c>
      <c r="BE479" t="s">
        <v>1011</v>
      </c>
      <c r="BF479" t="s">
        <v>1012</v>
      </c>
      <c r="BG479" t="s">
        <v>364</v>
      </c>
      <c r="BH479" t="s">
        <v>1013</v>
      </c>
      <c r="BI479" t="s">
        <v>311</v>
      </c>
      <c r="BJ479" s="93">
        <v>46083</v>
      </c>
      <c r="BK479" s="93">
        <v>46083</v>
      </c>
      <c r="BL479" s="93">
        <v>46083</v>
      </c>
      <c r="BM479" s="93">
        <v>46809</v>
      </c>
      <c r="BN479" s="14">
        <v>1</v>
      </c>
      <c r="BO479" s="14">
        <v>50000000000</v>
      </c>
      <c r="BP479" s="56">
        <v>100</v>
      </c>
      <c r="BQ479" s="56">
        <v>0</v>
      </c>
      <c r="BR479" s="14">
        <v>50041095891</v>
      </c>
      <c r="BS479">
        <v>7.4732529999999997</v>
      </c>
      <c r="BT479" t="s">
        <v>1184</v>
      </c>
      <c r="BU479" s="25">
        <f>_xlfn.XLOOKUP(Dealps_MSB[[#This Row],[DEAL_ID]],Ref!V:V,Ref!X:X,0,0)</f>
        <v>0</v>
      </c>
      <c r="BV479"/>
    </row>
    <row r="480" spans="1:74" x14ac:dyDescent="0.3">
      <c r="A480" s="93">
        <v>46262</v>
      </c>
      <c r="B480">
        <v>4418</v>
      </c>
      <c r="C480" s="56" t="s">
        <v>963</v>
      </c>
      <c r="D480" t="s">
        <v>308</v>
      </c>
      <c r="E480" t="s">
        <v>1228</v>
      </c>
      <c r="F480" t="s">
        <v>364</v>
      </c>
      <c r="G480" t="s">
        <v>310</v>
      </c>
      <c r="H480" t="s">
        <v>311</v>
      </c>
      <c r="I480" s="93">
        <v>46178</v>
      </c>
      <c r="J480" s="93">
        <v>46178</v>
      </c>
      <c r="K480" s="93">
        <v>46181</v>
      </c>
      <c r="L480" s="93">
        <v>46295</v>
      </c>
      <c r="M480" s="14">
        <v>1</v>
      </c>
      <c r="N480" s="14">
        <v>200000000000</v>
      </c>
      <c r="O480" s="56">
        <v>100.855445708</v>
      </c>
      <c r="P480" s="56">
        <v>0</v>
      </c>
      <c r="Q480" s="14">
        <v>210067055800</v>
      </c>
      <c r="R480">
        <v>3.2</v>
      </c>
      <c r="S480" t="s">
        <v>1184</v>
      </c>
      <c r="T480" s="57">
        <f>IF(Dealps[[#This Row],[MATURITY_DATE]]-Dealps[[#This Row],[POSTED_DT]]&lt;0,0,IF(Dealps[[#This Row],[VALUE_DATE]]-Dealps[[#This Row],[POSTED_DT]]&gt;0,Dealps[[#This Row],[MATURITY_DATE]]-Dealps[[#This Row],[VALUE_DATE]],Dealps[[#This Row],[MATURITY_DATE]]-Dealps[[#This Row],[POSTED_DT]]))</f>
        <v>33</v>
      </c>
      <c r="U480" s="25">
        <f>IF(Dealps[[#This Row],[TENOR]]=0,0,IF(Dealps[[#This Row],[DEAL_TYPE]]="B",Dealps[[#This Row],[FACE_AMOUNT]],-Dealps[[#This Row],[FACE_AMOUNT]]))</f>
        <v>-200000000000</v>
      </c>
      <c r="V480" s="25">
        <f>_xlfn.XLOOKUP(Dealps[[#This Row],[PAPER_CODE]],FNRP!D:D,FNRP!H:H,0,0)/100*Dealps[[#This Row],[AMOUNT]]</f>
        <v>0</v>
      </c>
      <c r="W480" s="57" t="str">
        <f>IF(Dealps[[#This Row],[TRANSACTION_STATUS]]&lt;&gt;"V","Ngoai BS",IF(Dealps[[#This Row],[POSTED_DT]]&gt;=Dealps[[#This Row],[VALUE_DATE]],"On BS","Off BS"))</f>
        <v>On BS</v>
      </c>
      <c r="X480" s="25">
        <f>SUMIFS(U:U,C:C,Dealps[[#This Row],[PAPER_CODE]])</f>
        <v>400000000000</v>
      </c>
      <c r="Y480" s="25">
        <f>_xlfn.XLOOKUP(Dealps[[#This Row],[DEAL_ID]],Ref!N:N,Ref!Q:Q,0,0)</f>
        <v>0</v>
      </c>
      <c r="Z480" s="25" t="str">
        <f>IF(Dealps[[#This Row],[CPTY_CODE]]=Dealps[[#This Row],[CPTY_CODE_ISSUER]],"Yes","No")</f>
        <v>No</v>
      </c>
      <c r="AA480" s="25"/>
      <c r="AC480" s="14"/>
      <c r="AG480" s="96"/>
      <c r="AH480" s="25"/>
      <c r="AI480" s="25"/>
      <c r="AN480" s="14"/>
      <c r="AV480" s="36"/>
      <c r="AW480" s="14"/>
      <c r="AX480" s="234"/>
      <c r="AY480" s="96"/>
      <c r="AZ480" s="14"/>
      <c r="BA480"/>
      <c r="BB480" s="93">
        <v>46262</v>
      </c>
      <c r="BC480">
        <v>3654</v>
      </c>
      <c r="BD480" s="56" t="s">
        <v>1227</v>
      </c>
      <c r="BE480" t="s">
        <v>1011</v>
      </c>
      <c r="BF480" t="s">
        <v>1012</v>
      </c>
      <c r="BG480" t="s">
        <v>364</v>
      </c>
      <c r="BH480" t="s">
        <v>1013</v>
      </c>
      <c r="BI480" t="s">
        <v>311</v>
      </c>
      <c r="BJ480" s="93">
        <v>46083</v>
      </c>
      <c r="BK480" s="93">
        <v>46083</v>
      </c>
      <c r="BL480" s="93">
        <v>46083</v>
      </c>
      <c r="BM480" s="93">
        <v>46809</v>
      </c>
      <c r="BN480" s="14">
        <v>1</v>
      </c>
      <c r="BO480" s="14">
        <v>50000000000</v>
      </c>
      <c r="BP480" s="56">
        <v>100</v>
      </c>
      <c r="BQ480" s="56">
        <v>0</v>
      </c>
      <c r="BR480" s="14">
        <v>50041095891</v>
      </c>
      <c r="BS480">
        <v>7.4732529999999997</v>
      </c>
      <c r="BT480" t="s">
        <v>1184</v>
      </c>
      <c r="BU480" s="25">
        <f>_xlfn.XLOOKUP(Dealps_MSB[[#This Row],[DEAL_ID]],Ref!V:V,Ref!X:X,0,0)</f>
        <v>0</v>
      </c>
      <c r="BV480"/>
    </row>
    <row r="481" spans="1:74" x14ac:dyDescent="0.3">
      <c r="A481" s="93">
        <v>46262</v>
      </c>
      <c r="B481">
        <v>4419</v>
      </c>
      <c r="C481" s="56" t="s">
        <v>1010</v>
      </c>
      <c r="D481" t="s">
        <v>328</v>
      </c>
      <c r="E481" t="s">
        <v>347</v>
      </c>
      <c r="F481" t="s">
        <v>364</v>
      </c>
      <c r="G481" t="s">
        <v>310</v>
      </c>
      <c r="H481" t="s">
        <v>300</v>
      </c>
      <c r="I481" s="93">
        <v>46178</v>
      </c>
      <c r="J481" s="93">
        <v>46178</v>
      </c>
      <c r="K481" s="93">
        <v>46178</v>
      </c>
      <c r="L481" s="93">
        <v>46329</v>
      </c>
      <c r="M481" s="14">
        <v>1</v>
      </c>
      <c r="N481" s="14">
        <v>500000000000</v>
      </c>
      <c r="O481" s="56">
        <v>99.495153943999995</v>
      </c>
      <c r="P481" s="56">
        <v>0</v>
      </c>
      <c r="Q481" s="14">
        <v>515857961499.99994</v>
      </c>
      <c r="R481">
        <v>7.2891409999999999</v>
      </c>
      <c r="S481" t="s">
        <v>1184</v>
      </c>
      <c r="T481" s="57">
        <f>IF(Dealps[[#This Row],[MATURITY_DATE]]-Dealps[[#This Row],[POSTED_DT]]&lt;0,0,IF(Dealps[[#This Row],[VALUE_DATE]]-Dealps[[#This Row],[POSTED_DT]]&gt;0,Dealps[[#This Row],[MATURITY_DATE]]-Dealps[[#This Row],[VALUE_DATE]],Dealps[[#This Row],[MATURITY_DATE]]-Dealps[[#This Row],[POSTED_DT]]))</f>
        <v>67</v>
      </c>
      <c r="U481" s="25">
        <f>IF(Dealps[[#This Row],[TENOR]]=0,0,IF(Dealps[[#This Row],[DEAL_TYPE]]="B",Dealps[[#This Row],[FACE_AMOUNT]],-Dealps[[#This Row],[FACE_AMOUNT]]))</f>
        <v>500000000000</v>
      </c>
      <c r="V481" s="25">
        <f>_xlfn.XLOOKUP(Dealps[[#This Row],[PAPER_CODE]],FNRP!D:D,FNRP!H:H,0,0)/100*Dealps[[#This Row],[AMOUNT]]</f>
        <v>0</v>
      </c>
      <c r="W481" s="57" t="str">
        <f>IF(Dealps[[#This Row],[TRANSACTION_STATUS]]&lt;&gt;"V","Ngoai BS",IF(Dealps[[#This Row],[POSTED_DT]]&gt;=Dealps[[#This Row],[VALUE_DATE]],"On BS","Off BS"))</f>
        <v>On BS</v>
      </c>
      <c r="X481" s="25">
        <f>SUMIFS(U:U,C:C,Dealps[[#This Row],[PAPER_CODE]])</f>
        <v>2000000000000</v>
      </c>
      <c r="Y481" s="25">
        <f>_xlfn.XLOOKUP(Dealps[[#This Row],[DEAL_ID]],Ref!N:N,Ref!Q:Q,0,0)</f>
        <v>0</v>
      </c>
      <c r="Z481" s="25" t="str">
        <f>IF(Dealps[[#This Row],[CPTY_CODE]]=Dealps[[#This Row],[CPTY_CODE_ISSUER]],"Yes","No")</f>
        <v>No</v>
      </c>
      <c r="AA481" s="25"/>
      <c r="AC481" s="14"/>
      <c r="AG481" s="96"/>
      <c r="AH481" s="25"/>
      <c r="AI481" s="25"/>
      <c r="AN481" s="14"/>
      <c r="AV481" s="36"/>
      <c r="AW481" s="14"/>
      <c r="AX481" s="234"/>
      <c r="AY481" s="96"/>
      <c r="AZ481" s="14"/>
      <c r="BA481"/>
      <c r="BB481" s="93">
        <v>46262</v>
      </c>
      <c r="BC481">
        <v>3663</v>
      </c>
      <c r="BD481" s="56" t="s">
        <v>1227</v>
      </c>
      <c r="BE481" t="s">
        <v>1011</v>
      </c>
      <c r="BF481" t="s">
        <v>1012</v>
      </c>
      <c r="BG481" t="s">
        <v>364</v>
      </c>
      <c r="BH481" t="s">
        <v>1013</v>
      </c>
      <c r="BI481" t="s">
        <v>311</v>
      </c>
      <c r="BJ481" s="93">
        <v>46084</v>
      </c>
      <c r="BK481" s="93">
        <v>46084</v>
      </c>
      <c r="BL481" s="93">
        <v>46084</v>
      </c>
      <c r="BM481" s="93">
        <v>46809</v>
      </c>
      <c r="BN481" s="14">
        <v>1</v>
      </c>
      <c r="BO481" s="14">
        <v>30000000000</v>
      </c>
      <c r="BP481" s="56">
        <v>100</v>
      </c>
      <c r="BQ481" s="56">
        <v>0</v>
      </c>
      <c r="BR481" s="14">
        <v>30030821918</v>
      </c>
      <c r="BS481">
        <v>7.4716909999999999</v>
      </c>
      <c r="BT481" t="s">
        <v>1184</v>
      </c>
      <c r="BU481" s="25">
        <f>_xlfn.XLOOKUP(Dealps_MSB[[#This Row],[DEAL_ID]],Ref!V:V,Ref!X:X,0,0)</f>
        <v>0</v>
      </c>
      <c r="BV481"/>
    </row>
    <row r="482" spans="1:74" x14ac:dyDescent="0.3">
      <c r="A482" s="93">
        <v>46262</v>
      </c>
      <c r="B482">
        <v>4420</v>
      </c>
      <c r="C482" s="56" t="s">
        <v>1207</v>
      </c>
      <c r="D482" t="s">
        <v>384</v>
      </c>
      <c r="E482" t="s">
        <v>1254</v>
      </c>
      <c r="F482" t="s">
        <v>364</v>
      </c>
      <c r="G482" t="s">
        <v>310</v>
      </c>
      <c r="H482" t="s">
        <v>300</v>
      </c>
      <c r="I482" s="93">
        <v>46181</v>
      </c>
      <c r="J482" s="93">
        <v>46181</v>
      </c>
      <c r="K482" s="93">
        <v>46181</v>
      </c>
      <c r="L482" s="93">
        <v>46419</v>
      </c>
      <c r="M482" s="14">
        <v>1</v>
      </c>
      <c r="N482" s="14">
        <v>49000000000</v>
      </c>
      <c r="O482" s="56">
        <v>99.723669029999996</v>
      </c>
      <c r="P482" s="56">
        <v>0</v>
      </c>
      <c r="Q482" s="14">
        <v>50131885496</v>
      </c>
      <c r="R482">
        <v>8.2335910000000005</v>
      </c>
      <c r="S482" t="s">
        <v>1184</v>
      </c>
      <c r="T482" s="57">
        <f>IF(Dealps[[#This Row],[MATURITY_DATE]]-Dealps[[#This Row],[POSTED_DT]]&lt;0,0,IF(Dealps[[#This Row],[VALUE_DATE]]-Dealps[[#This Row],[POSTED_DT]]&gt;0,Dealps[[#This Row],[MATURITY_DATE]]-Dealps[[#This Row],[VALUE_DATE]],Dealps[[#This Row],[MATURITY_DATE]]-Dealps[[#This Row],[POSTED_DT]]))</f>
        <v>157</v>
      </c>
      <c r="U482" s="25">
        <f>IF(Dealps[[#This Row],[TENOR]]=0,0,IF(Dealps[[#This Row],[DEAL_TYPE]]="B",Dealps[[#This Row],[FACE_AMOUNT]],-Dealps[[#This Row],[FACE_AMOUNT]]))</f>
        <v>49000000000</v>
      </c>
      <c r="V482" s="25">
        <f>_xlfn.XLOOKUP(Dealps[[#This Row],[PAPER_CODE]],FNRP!D:D,FNRP!H:H,0,0)/100*Dealps[[#This Row],[AMOUNT]]</f>
        <v>0</v>
      </c>
      <c r="W482" s="57" t="str">
        <f>IF(Dealps[[#This Row],[TRANSACTION_STATUS]]&lt;&gt;"V","Ngoai BS",IF(Dealps[[#This Row],[POSTED_DT]]&gt;=Dealps[[#This Row],[VALUE_DATE]],"On BS","Off BS"))</f>
        <v>On BS</v>
      </c>
      <c r="X482" s="25">
        <f>SUMIFS(U:U,C:C,Dealps[[#This Row],[PAPER_CODE]])</f>
        <v>200000000000</v>
      </c>
      <c r="Y482" s="25">
        <f>_xlfn.XLOOKUP(Dealps[[#This Row],[DEAL_ID]],Ref!N:N,Ref!Q:Q,0,0)</f>
        <v>0</v>
      </c>
      <c r="Z482" s="25" t="str">
        <f>IF(Dealps[[#This Row],[CPTY_CODE]]=Dealps[[#This Row],[CPTY_CODE_ISSUER]],"Yes","No")</f>
        <v>No</v>
      </c>
      <c r="AA482" s="25"/>
      <c r="AC482" s="14"/>
      <c r="AG482" s="96"/>
      <c r="AH482" s="25"/>
      <c r="AI482" s="25"/>
      <c r="AN482" s="14"/>
      <c r="AV482" s="36"/>
      <c r="AW482" s="14"/>
      <c r="AX482" s="234"/>
      <c r="AY482" s="96"/>
      <c r="AZ482" s="14"/>
      <c r="BA482"/>
      <c r="BB482" s="93">
        <v>46262</v>
      </c>
      <c r="BC482">
        <v>3826</v>
      </c>
      <c r="BD482" s="56" t="s">
        <v>1240</v>
      </c>
      <c r="BE482" t="s">
        <v>1011</v>
      </c>
      <c r="BF482" t="s">
        <v>1012</v>
      </c>
      <c r="BG482" t="s">
        <v>364</v>
      </c>
      <c r="BH482" t="s">
        <v>1013</v>
      </c>
      <c r="BI482" t="s">
        <v>311</v>
      </c>
      <c r="BJ482" s="93">
        <v>46098</v>
      </c>
      <c r="BK482" s="93">
        <v>46098</v>
      </c>
      <c r="BL482" s="93">
        <v>46098</v>
      </c>
      <c r="BM482" s="93">
        <v>46829</v>
      </c>
      <c r="BN482" s="14">
        <v>1</v>
      </c>
      <c r="BO482" s="14">
        <v>20000000000</v>
      </c>
      <c r="BP482" s="56">
        <v>100</v>
      </c>
      <c r="BQ482" s="56">
        <v>0</v>
      </c>
      <c r="BR482" s="14">
        <v>20000000000</v>
      </c>
      <c r="BS482">
        <v>7.5</v>
      </c>
      <c r="BT482" t="s">
        <v>1184</v>
      </c>
      <c r="BU482" s="25">
        <f>_xlfn.XLOOKUP(Dealps_MSB[[#This Row],[DEAL_ID]],Ref!V:V,Ref!X:X,0,0)</f>
        <v>0</v>
      </c>
      <c r="BV482"/>
    </row>
    <row r="483" spans="1:74" x14ac:dyDescent="0.3">
      <c r="A483" s="93">
        <v>46262</v>
      </c>
      <c r="B483">
        <v>4421</v>
      </c>
      <c r="C483" s="56" t="s">
        <v>1159</v>
      </c>
      <c r="D483" t="s">
        <v>334</v>
      </c>
      <c r="E483" t="s">
        <v>321</v>
      </c>
      <c r="F483" t="s">
        <v>364</v>
      </c>
      <c r="G483" t="s">
        <v>310</v>
      </c>
      <c r="H483" t="s">
        <v>300</v>
      </c>
      <c r="I483" s="93">
        <v>46181</v>
      </c>
      <c r="J483" s="93">
        <v>46162</v>
      </c>
      <c r="K483" s="93">
        <v>46181</v>
      </c>
      <c r="L483" s="93">
        <v>46412</v>
      </c>
      <c r="M483" s="14">
        <v>1</v>
      </c>
      <c r="N483" s="14">
        <v>600000000000</v>
      </c>
      <c r="O483" s="56">
        <v>99.885552188000005</v>
      </c>
      <c r="P483" s="56">
        <v>0</v>
      </c>
      <c r="Q483" s="14">
        <v>615710573400</v>
      </c>
      <c r="R483">
        <v>7.4848520000000001</v>
      </c>
      <c r="S483" t="s">
        <v>1184</v>
      </c>
      <c r="T483" s="57">
        <f>IF(Dealps[[#This Row],[MATURITY_DATE]]-Dealps[[#This Row],[POSTED_DT]]&lt;0,0,IF(Dealps[[#This Row],[VALUE_DATE]]-Dealps[[#This Row],[POSTED_DT]]&gt;0,Dealps[[#This Row],[MATURITY_DATE]]-Dealps[[#This Row],[VALUE_DATE]],Dealps[[#This Row],[MATURITY_DATE]]-Dealps[[#This Row],[POSTED_DT]]))</f>
        <v>150</v>
      </c>
      <c r="U483" s="25">
        <f>IF(Dealps[[#This Row],[TENOR]]=0,0,IF(Dealps[[#This Row],[DEAL_TYPE]]="B",Dealps[[#This Row],[FACE_AMOUNT]],-Dealps[[#This Row],[FACE_AMOUNT]]))</f>
        <v>600000000000</v>
      </c>
      <c r="V483" s="25">
        <f>_xlfn.XLOOKUP(Dealps[[#This Row],[PAPER_CODE]],FNRP!D:D,FNRP!H:H,0,0)/100*Dealps[[#This Row],[AMOUNT]]</f>
        <v>0</v>
      </c>
      <c r="W483" s="57" t="str">
        <f>IF(Dealps[[#This Row],[TRANSACTION_STATUS]]&lt;&gt;"V","Ngoai BS",IF(Dealps[[#This Row],[POSTED_DT]]&gt;=Dealps[[#This Row],[VALUE_DATE]],"On BS","Off BS"))</f>
        <v>On BS</v>
      </c>
      <c r="X483" s="25">
        <f>SUMIFS(U:U,C:C,Dealps[[#This Row],[PAPER_CODE]])</f>
        <v>1000000000000</v>
      </c>
      <c r="Y483" s="25">
        <f>_xlfn.XLOOKUP(Dealps[[#This Row],[DEAL_ID]],Ref!N:N,Ref!Q:Q,0,0)</f>
        <v>0</v>
      </c>
      <c r="Z483" s="25" t="str">
        <f>IF(Dealps[[#This Row],[CPTY_CODE]]=Dealps[[#This Row],[CPTY_CODE_ISSUER]],"Yes","No")</f>
        <v>No</v>
      </c>
      <c r="AA483" s="25"/>
      <c r="AC483" s="14"/>
      <c r="AG483" s="96"/>
      <c r="AH483" s="25"/>
      <c r="AI483" s="25"/>
      <c r="AN483" s="14"/>
      <c r="AV483" s="36"/>
      <c r="AW483" s="14"/>
      <c r="AX483" s="234"/>
      <c r="AY483" s="96"/>
      <c r="AZ483" s="14"/>
      <c r="BA483"/>
      <c r="BB483" s="93">
        <v>46262</v>
      </c>
      <c r="BC483">
        <v>3830</v>
      </c>
      <c r="BD483" s="56" t="s">
        <v>1240</v>
      </c>
      <c r="BE483" t="s">
        <v>1011</v>
      </c>
      <c r="BF483" t="s">
        <v>1012</v>
      </c>
      <c r="BG483" t="s">
        <v>364</v>
      </c>
      <c r="BH483" t="s">
        <v>1013</v>
      </c>
      <c r="BI483" t="s">
        <v>311</v>
      </c>
      <c r="BJ483" s="93">
        <v>46098</v>
      </c>
      <c r="BK483" s="93">
        <v>46098</v>
      </c>
      <c r="BL483" s="93">
        <v>46098</v>
      </c>
      <c r="BM483" s="93">
        <v>46829</v>
      </c>
      <c r="BN483" s="14">
        <v>1</v>
      </c>
      <c r="BO483" s="14">
        <v>20000000000</v>
      </c>
      <c r="BP483" s="56">
        <v>100</v>
      </c>
      <c r="BQ483" s="56">
        <v>0</v>
      </c>
      <c r="BR483" s="14">
        <v>20000000000</v>
      </c>
      <c r="BS483">
        <v>7.5</v>
      </c>
      <c r="BT483" t="s">
        <v>1184</v>
      </c>
      <c r="BU483" s="25">
        <f>_xlfn.XLOOKUP(Dealps_MSB[[#This Row],[DEAL_ID]],Ref!V:V,Ref!X:X,0,0)</f>
        <v>0</v>
      </c>
      <c r="BV483"/>
    </row>
    <row r="484" spans="1:74" x14ac:dyDescent="0.3">
      <c r="A484" s="93">
        <v>46262</v>
      </c>
      <c r="B484">
        <v>4422</v>
      </c>
      <c r="C484" s="56" t="s">
        <v>1204</v>
      </c>
      <c r="D484" t="s">
        <v>315</v>
      </c>
      <c r="E484" t="s">
        <v>939</v>
      </c>
      <c r="F484" t="s">
        <v>364</v>
      </c>
      <c r="G484" t="s">
        <v>310</v>
      </c>
      <c r="H484" t="s">
        <v>300</v>
      </c>
      <c r="I484" s="93">
        <v>46181</v>
      </c>
      <c r="J484" s="93">
        <v>46181</v>
      </c>
      <c r="K484" s="93">
        <v>46181</v>
      </c>
      <c r="L484" s="93">
        <v>46422</v>
      </c>
      <c r="M484" s="14">
        <v>1</v>
      </c>
      <c r="N484" s="14">
        <v>30000000000</v>
      </c>
      <c r="O484" s="56">
        <v>100.481732662</v>
      </c>
      <c r="P484" s="56">
        <v>0</v>
      </c>
      <c r="Q484" s="14">
        <v>30882404730.000004</v>
      </c>
      <c r="R484">
        <v>6.3243830000000001</v>
      </c>
      <c r="S484" t="s">
        <v>1184</v>
      </c>
      <c r="T484" s="57">
        <f>IF(Dealps[[#This Row],[MATURITY_DATE]]-Dealps[[#This Row],[POSTED_DT]]&lt;0,0,IF(Dealps[[#This Row],[VALUE_DATE]]-Dealps[[#This Row],[POSTED_DT]]&gt;0,Dealps[[#This Row],[MATURITY_DATE]]-Dealps[[#This Row],[VALUE_DATE]],Dealps[[#This Row],[MATURITY_DATE]]-Dealps[[#This Row],[POSTED_DT]]))</f>
        <v>160</v>
      </c>
      <c r="U484" s="25">
        <f>IF(Dealps[[#This Row],[TENOR]]=0,0,IF(Dealps[[#This Row],[DEAL_TYPE]]="B",Dealps[[#This Row],[FACE_AMOUNT]],-Dealps[[#This Row],[FACE_AMOUNT]]))</f>
        <v>30000000000</v>
      </c>
      <c r="V484" s="25">
        <f>_xlfn.XLOOKUP(Dealps[[#This Row],[PAPER_CODE]],FNRP!D:D,FNRP!H:H,0,0)/100*Dealps[[#This Row],[AMOUNT]]</f>
        <v>0</v>
      </c>
      <c r="W484" s="57" t="str">
        <f>IF(Dealps[[#This Row],[TRANSACTION_STATUS]]&lt;&gt;"V","Ngoai BS",IF(Dealps[[#This Row],[POSTED_DT]]&gt;=Dealps[[#This Row],[VALUE_DATE]],"On BS","Off BS"))</f>
        <v>On BS</v>
      </c>
      <c r="X484" s="25">
        <f>SUMIFS(U:U,C:C,Dealps[[#This Row],[PAPER_CODE]])</f>
        <v>1000000000000</v>
      </c>
      <c r="Y484" s="25">
        <f>_xlfn.XLOOKUP(Dealps[[#This Row],[DEAL_ID]],Ref!N:N,Ref!Q:Q,0,0)</f>
        <v>0</v>
      </c>
      <c r="Z484" s="25" t="str">
        <f>IF(Dealps[[#This Row],[CPTY_CODE]]=Dealps[[#This Row],[CPTY_CODE_ISSUER]],"Yes","No")</f>
        <v>No</v>
      </c>
      <c r="AA484" s="25"/>
      <c r="AC484" s="14"/>
      <c r="AG484" s="96"/>
      <c r="AH484" s="25"/>
      <c r="AI484" s="25"/>
      <c r="AN484" s="14"/>
      <c r="AV484" s="36"/>
      <c r="AW484" s="14"/>
      <c r="AX484" s="234"/>
      <c r="AY484" s="96"/>
      <c r="AZ484" s="14"/>
      <c r="BA484"/>
      <c r="BB484" s="93">
        <v>46262</v>
      </c>
      <c r="BC484">
        <v>3831</v>
      </c>
      <c r="BD484" s="56" t="s">
        <v>1240</v>
      </c>
      <c r="BE484" t="s">
        <v>1011</v>
      </c>
      <c r="BF484" t="s">
        <v>1012</v>
      </c>
      <c r="BG484" t="s">
        <v>364</v>
      </c>
      <c r="BH484" t="s">
        <v>1013</v>
      </c>
      <c r="BI484" t="s">
        <v>311</v>
      </c>
      <c r="BJ484" s="93">
        <v>46098</v>
      </c>
      <c r="BK484" s="93">
        <v>46098</v>
      </c>
      <c r="BL484" s="93">
        <v>46098</v>
      </c>
      <c r="BM484" s="93">
        <v>46829</v>
      </c>
      <c r="BN484" s="14">
        <v>1</v>
      </c>
      <c r="BO484" s="14">
        <v>20000000000</v>
      </c>
      <c r="BP484" s="56">
        <v>100</v>
      </c>
      <c r="BQ484" s="56">
        <v>0</v>
      </c>
      <c r="BR484" s="14">
        <v>20000000000</v>
      </c>
      <c r="BS484">
        <v>7.5</v>
      </c>
      <c r="BT484" t="s">
        <v>1184</v>
      </c>
      <c r="BU484" s="25">
        <f>_xlfn.XLOOKUP(Dealps_MSB[[#This Row],[DEAL_ID]],Ref!V:V,Ref!X:X,0,0)</f>
        <v>0</v>
      </c>
      <c r="BV484"/>
    </row>
    <row r="485" spans="1:74" x14ac:dyDescent="0.3">
      <c r="A485" s="93">
        <v>46262</v>
      </c>
      <c r="B485">
        <v>4423</v>
      </c>
      <c r="C485" s="56" t="s">
        <v>1204</v>
      </c>
      <c r="D485" t="s">
        <v>315</v>
      </c>
      <c r="E485" t="s">
        <v>950</v>
      </c>
      <c r="F485" t="s">
        <v>364</v>
      </c>
      <c r="G485" t="s">
        <v>310</v>
      </c>
      <c r="H485" t="s">
        <v>300</v>
      </c>
      <c r="I485" s="93">
        <v>46181</v>
      </c>
      <c r="J485" s="93">
        <v>46181</v>
      </c>
      <c r="K485" s="93">
        <v>46181</v>
      </c>
      <c r="L485" s="93">
        <v>46422</v>
      </c>
      <c r="M485" s="14">
        <v>1</v>
      </c>
      <c r="N485" s="14">
        <v>30000000000</v>
      </c>
      <c r="O485" s="56">
        <v>100.481732662</v>
      </c>
      <c r="P485" s="56">
        <v>0</v>
      </c>
      <c r="Q485" s="14">
        <v>30882404730.000004</v>
      </c>
      <c r="R485">
        <v>6.3243830000000001</v>
      </c>
      <c r="S485" t="s">
        <v>1184</v>
      </c>
      <c r="T485" s="57">
        <f>IF(Dealps[[#This Row],[MATURITY_DATE]]-Dealps[[#This Row],[POSTED_DT]]&lt;0,0,IF(Dealps[[#This Row],[VALUE_DATE]]-Dealps[[#This Row],[POSTED_DT]]&gt;0,Dealps[[#This Row],[MATURITY_DATE]]-Dealps[[#This Row],[VALUE_DATE]],Dealps[[#This Row],[MATURITY_DATE]]-Dealps[[#This Row],[POSTED_DT]]))</f>
        <v>160</v>
      </c>
      <c r="U485" s="25">
        <f>IF(Dealps[[#This Row],[TENOR]]=0,0,IF(Dealps[[#This Row],[DEAL_TYPE]]="B",Dealps[[#This Row],[FACE_AMOUNT]],-Dealps[[#This Row],[FACE_AMOUNT]]))</f>
        <v>30000000000</v>
      </c>
      <c r="V485" s="25">
        <f>_xlfn.XLOOKUP(Dealps[[#This Row],[PAPER_CODE]],FNRP!D:D,FNRP!H:H,0,0)/100*Dealps[[#This Row],[AMOUNT]]</f>
        <v>0</v>
      </c>
      <c r="W485" s="57" t="str">
        <f>IF(Dealps[[#This Row],[TRANSACTION_STATUS]]&lt;&gt;"V","Ngoai BS",IF(Dealps[[#This Row],[POSTED_DT]]&gt;=Dealps[[#This Row],[VALUE_DATE]],"On BS","Off BS"))</f>
        <v>On BS</v>
      </c>
      <c r="X485" s="25">
        <f>SUMIFS(U:U,C:C,Dealps[[#This Row],[PAPER_CODE]])</f>
        <v>1000000000000</v>
      </c>
      <c r="Y485" s="25">
        <f>_xlfn.XLOOKUP(Dealps[[#This Row],[DEAL_ID]],Ref!N:N,Ref!Q:Q,0,0)</f>
        <v>0</v>
      </c>
      <c r="Z485" s="25" t="str">
        <f>IF(Dealps[[#This Row],[CPTY_CODE]]=Dealps[[#This Row],[CPTY_CODE_ISSUER]],"Yes","No")</f>
        <v>No</v>
      </c>
      <c r="AA485" s="25"/>
      <c r="AC485" s="14"/>
      <c r="AG485" s="96"/>
      <c r="AH485" s="25"/>
      <c r="AI485" s="25"/>
      <c r="AN485" s="14"/>
      <c r="AV485" s="36"/>
      <c r="AW485" s="14"/>
      <c r="AX485" s="234"/>
      <c r="AY485" s="96"/>
      <c r="AZ485" s="14"/>
      <c r="BA485"/>
      <c r="BB485" s="93">
        <v>46262</v>
      </c>
      <c r="BC485">
        <v>3832</v>
      </c>
      <c r="BD485" s="56" t="s">
        <v>1240</v>
      </c>
      <c r="BE485" t="s">
        <v>1011</v>
      </c>
      <c r="BF485" t="s">
        <v>1012</v>
      </c>
      <c r="BG485" t="s">
        <v>364</v>
      </c>
      <c r="BH485" t="s">
        <v>1013</v>
      </c>
      <c r="BI485" t="s">
        <v>311</v>
      </c>
      <c r="BJ485" s="93">
        <v>46098</v>
      </c>
      <c r="BK485" s="93">
        <v>46098</v>
      </c>
      <c r="BL485" s="93">
        <v>46098</v>
      </c>
      <c r="BM485" s="93">
        <v>46829</v>
      </c>
      <c r="BN485" s="14">
        <v>1</v>
      </c>
      <c r="BO485" s="14">
        <v>20000000000</v>
      </c>
      <c r="BP485" s="56">
        <v>100</v>
      </c>
      <c r="BQ485" s="56">
        <v>0</v>
      </c>
      <c r="BR485" s="14">
        <v>20000000000</v>
      </c>
      <c r="BS485">
        <v>7.5</v>
      </c>
      <c r="BT485" t="s">
        <v>1184</v>
      </c>
      <c r="BU485" s="25">
        <f>_xlfn.XLOOKUP(Dealps_MSB[[#This Row],[DEAL_ID]],Ref!V:V,Ref!X:X,0,0)</f>
        <v>0</v>
      </c>
      <c r="BV485"/>
    </row>
    <row r="486" spans="1:74" x14ac:dyDescent="0.3">
      <c r="A486" s="93">
        <v>46262</v>
      </c>
      <c r="B486">
        <v>4424</v>
      </c>
      <c r="C486" s="56" t="s">
        <v>1061</v>
      </c>
      <c r="D486" t="s">
        <v>312</v>
      </c>
      <c r="E486" t="s">
        <v>320</v>
      </c>
      <c r="F486" t="s">
        <v>364</v>
      </c>
      <c r="G486" t="s">
        <v>310</v>
      </c>
      <c r="H486" t="s">
        <v>311</v>
      </c>
      <c r="I486" s="93">
        <v>46181</v>
      </c>
      <c r="J486" s="93">
        <v>46181</v>
      </c>
      <c r="K486" s="93">
        <v>46182</v>
      </c>
      <c r="L486" s="93">
        <v>46343</v>
      </c>
      <c r="M486" s="14">
        <v>1</v>
      </c>
      <c r="N486" s="14">
        <v>1000000000000</v>
      </c>
      <c r="O486" s="56">
        <v>99.551438783999998</v>
      </c>
      <c r="P486" s="56">
        <v>0</v>
      </c>
      <c r="Q486" s="14">
        <v>1030552744000</v>
      </c>
      <c r="R486">
        <v>7.1</v>
      </c>
      <c r="S486" t="s">
        <v>1184</v>
      </c>
      <c r="T486" s="57">
        <f>IF(Dealps[[#This Row],[MATURITY_DATE]]-Dealps[[#This Row],[POSTED_DT]]&lt;0,0,IF(Dealps[[#This Row],[VALUE_DATE]]-Dealps[[#This Row],[POSTED_DT]]&gt;0,Dealps[[#This Row],[MATURITY_DATE]]-Dealps[[#This Row],[VALUE_DATE]],Dealps[[#This Row],[MATURITY_DATE]]-Dealps[[#This Row],[POSTED_DT]]))</f>
        <v>81</v>
      </c>
      <c r="U486" s="25">
        <f>IF(Dealps[[#This Row],[TENOR]]=0,0,IF(Dealps[[#This Row],[DEAL_TYPE]]="B",Dealps[[#This Row],[FACE_AMOUNT]],-Dealps[[#This Row],[FACE_AMOUNT]]))</f>
        <v>-1000000000000</v>
      </c>
      <c r="V486" s="25">
        <f>_xlfn.XLOOKUP(Dealps[[#This Row],[PAPER_CODE]],FNRP!D:D,FNRP!H:H,0,0)/100*Dealps[[#This Row],[AMOUNT]]</f>
        <v>0</v>
      </c>
      <c r="W486" s="57" t="str">
        <f>IF(Dealps[[#This Row],[TRANSACTION_STATUS]]&lt;&gt;"V","Ngoai BS",IF(Dealps[[#This Row],[POSTED_DT]]&gt;=Dealps[[#This Row],[VALUE_DATE]],"On BS","Off BS"))</f>
        <v>On BS</v>
      </c>
      <c r="X486" s="25">
        <f>SUMIFS(U:U,C:C,Dealps[[#This Row],[PAPER_CODE]])</f>
        <v>1500000000000</v>
      </c>
      <c r="Y486" s="25">
        <f>_xlfn.XLOOKUP(Dealps[[#This Row],[DEAL_ID]],Ref!N:N,Ref!Q:Q,0,0)</f>
        <v>0</v>
      </c>
      <c r="Z486" s="25" t="str">
        <f>IF(Dealps[[#This Row],[CPTY_CODE]]=Dealps[[#This Row],[CPTY_CODE_ISSUER]],"Yes","No")</f>
        <v>No</v>
      </c>
      <c r="AA486" s="25"/>
      <c r="AC486" s="14"/>
      <c r="AG486" s="96"/>
      <c r="AH486" s="25"/>
      <c r="AI486" s="25"/>
      <c r="AN486" s="14"/>
      <c r="AV486" s="36"/>
      <c r="AW486" s="14"/>
      <c r="AX486" s="234"/>
      <c r="AY486" s="96"/>
      <c r="AZ486" s="14"/>
      <c r="BA486"/>
      <c r="BB486" s="93">
        <v>46262</v>
      </c>
      <c r="BC486">
        <v>3833</v>
      </c>
      <c r="BD486" s="56" t="s">
        <v>1240</v>
      </c>
      <c r="BE486" t="s">
        <v>1011</v>
      </c>
      <c r="BF486" t="s">
        <v>1012</v>
      </c>
      <c r="BG486" t="s">
        <v>364</v>
      </c>
      <c r="BH486" t="s">
        <v>1013</v>
      </c>
      <c r="BI486" t="s">
        <v>311</v>
      </c>
      <c r="BJ486" s="93">
        <v>46098</v>
      </c>
      <c r="BK486" s="93">
        <v>46098</v>
      </c>
      <c r="BL486" s="93">
        <v>46098</v>
      </c>
      <c r="BM486" s="93">
        <v>46829</v>
      </c>
      <c r="BN486" s="14">
        <v>1</v>
      </c>
      <c r="BO486" s="14">
        <v>20000000000</v>
      </c>
      <c r="BP486" s="56">
        <v>100</v>
      </c>
      <c r="BQ486" s="56">
        <v>0</v>
      </c>
      <c r="BR486" s="14">
        <v>20000000000</v>
      </c>
      <c r="BS486">
        <v>7.5</v>
      </c>
      <c r="BT486" t="s">
        <v>1184</v>
      </c>
      <c r="BU486" s="25">
        <f>_xlfn.XLOOKUP(Dealps_MSB[[#This Row],[DEAL_ID]],Ref!V:V,Ref!X:X,0,0)</f>
        <v>0</v>
      </c>
      <c r="BV486"/>
    </row>
    <row r="487" spans="1:74" x14ac:dyDescent="0.3">
      <c r="A487" s="93">
        <v>46262</v>
      </c>
      <c r="B487">
        <v>4425</v>
      </c>
      <c r="C487" s="56" t="s">
        <v>1260</v>
      </c>
      <c r="D487" t="s">
        <v>384</v>
      </c>
      <c r="E487" t="s">
        <v>1254</v>
      </c>
      <c r="F487" t="s">
        <v>364</v>
      </c>
      <c r="G487" t="s">
        <v>310</v>
      </c>
      <c r="H487" t="s">
        <v>311</v>
      </c>
      <c r="I487" s="93">
        <v>46181</v>
      </c>
      <c r="J487" s="93">
        <v>46181</v>
      </c>
      <c r="K487" s="93">
        <v>46182</v>
      </c>
      <c r="L487" s="93">
        <v>46524</v>
      </c>
      <c r="M487" s="14">
        <v>1</v>
      </c>
      <c r="N487" s="14">
        <v>49000000000</v>
      </c>
      <c r="O487" s="56">
        <v>100.324777545</v>
      </c>
      <c r="P487" s="56">
        <v>0</v>
      </c>
      <c r="Q487" s="14">
        <v>49835072504</v>
      </c>
      <c r="R487">
        <v>9</v>
      </c>
      <c r="S487" t="s">
        <v>1184</v>
      </c>
      <c r="T487" s="57">
        <f>IF(Dealps[[#This Row],[MATURITY_DATE]]-Dealps[[#This Row],[POSTED_DT]]&lt;0,0,IF(Dealps[[#This Row],[VALUE_DATE]]-Dealps[[#This Row],[POSTED_DT]]&gt;0,Dealps[[#This Row],[MATURITY_DATE]]-Dealps[[#This Row],[VALUE_DATE]],Dealps[[#This Row],[MATURITY_DATE]]-Dealps[[#This Row],[POSTED_DT]]))</f>
        <v>262</v>
      </c>
      <c r="U487" s="25">
        <f>IF(Dealps[[#This Row],[TENOR]]=0,0,IF(Dealps[[#This Row],[DEAL_TYPE]]="B",Dealps[[#This Row],[FACE_AMOUNT]],-Dealps[[#This Row],[FACE_AMOUNT]]))</f>
        <v>-49000000000</v>
      </c>
      <c r="V487" s="25">
        <f>_xlfn.XLOOKUP(Dealps[[#This Row],[PAPER_CODE]],FNRP!D:D,FNRP!H:H,0,0)/100*Dealps[[#This Row],[AMOUNT]]</f>
        <v>0</v>
      </c>
      <c r="W487" s="57" t="str">
        <f>IF(Dealps[[#This Row],[TRANSACTION_STATUS]]&lt;&gt;"V","Ngoai BS",IF(Dealps[[#This Row],[POSTED_DT]]&gt;=Dealps[[#This Row],[VALUE_DATE]],"On BS","Off BS"))</f>
        <v>On BS</v>
      </c>
      <c r="X487" s="25">
        <f>SUMIFS(U:U,C:C,Dealps[[#This Row],[PAPER_CODE]])</f>
        <v>400000000000</v>
      </c>
      <c r="Y487" s="25">
        <f>_xlfn.XLOOKUP(Dealps[[#This Row],[DEAL_ID]],Ref!N:N,Ref!Q:Q,0,0)</f>
        <v>0</v>
      </c>
      <c r="Z487" s="25" t="str">
        <f>IF(Dealps[[#This Row],[CPTY_CODE]]=Dealps[[#This Row],[CPTY_CODE_ISSUER]],"Yes","No")</f>
        <v>No</v>
      </c>
      <c r="AA487" s="25"/>
      <c r="AC487" s="14"/>
      <c r="AG487" s="96"/>
      <c r="AH487" s="25"/>
      <c r="AI487" s="25"/>
      <c r="AN487" s="14"/>
      <c r="AV487" s="36"/>
      <c r="AW487" s="14"/>
      <c r="AX487" s="234"/>
      <c r="AY487" s="96"/>
      <c r="AZ487" s="14"/>
      <c r="BA487"/>
      <c r="BB487" s="93">
        <v>46262</v>
      </c>
      <c r="BC487">
        <v>4011</v>
      </c>
      <c r="BD487" s="56" t="s">
        <v>1257</v>
      </c>
      <c r="BE487" t="s">
        <v>1011</v>
      </c>
      <c r="BF487" t="s">
        <v>1012</v>
      </c>
      <c r="BG487" t="s">
        <v>364</v>
      </c>
      <c r="BH487" t="s">
        <v>1013</v>
      </c>
      <c r="BI487" t="s">
        <v>311</v>
      </c>
      <c r="BJ487" s="93">
        <v>46121</v>
      </c>
      <c r="BK487" s="93">
        <v>46121</v>
      </c>
      <c r="BL487" s="93">
        <v>46121</v>
      </c>
      <c r="BM487" s="93">
        <v>46853</v>
      </c>
      <c r="BN487" s="14">
        <v>1</v>
      </c>
      <c r="BO487" s="14">
        <v>20000000000</v>
      </c>
      <c r="BP487" s="56">
        <v>100</v>
      </c>
      <c r="BQ487" s="56">
        <v>0</v>
      </c>
      <c r="BR487" s="14">
        <v>20000000000</v>
      </c>
      <c r="BS487">
        <v>8.5</v>
      </c>
      <c r="BT487" t="s">
        <v>1184</v>
      </c>
      <c r="BU487" s="25">
        <f>_xlfn.XLOOKUP(Dealps_MSB[[#This Row],[DEAL_ID]],Ref!V:V,Ref!X:X,0,0)</f>
        <v>0</v>
      </c>
      <c r="BV487"/>
    </row>
    <row r="488" spans="1:74" x14ac:dyDescent="0.3">
      <c r="A488" s="93">
        <v>46262</v>
      </c>
      <c r="B488">
        <v>4459</v>
      </c>
      <c r="C488" s="56" t="s">
        <v>1258</v>
      </c>
      <c r="D488" t="s">
        <v>321</v>
      </c>
      <c r="E488" t="s">
        <v>347</v>
      </c>
      <c r="F488" t="s">
        <v>364</v>
      </c>
      <c r="G488" t="s">
        <v>310</v>
      </c>
      <c r="H488" t="s">
        <v>300</v>
      </c>
      <c r="I488" s="93">
        <v>46182</v>
      </c>
      <c r="J488" s="93">
        <v>46182</v>
      </c>
      <c r="K488" s="93">
        <v>46182</v>
      </c>
      <c r="L488" s="93">
        <v>46485</v>
      </c>
      <c r="M488" s="14">
        <v>1</v>
      </c>
      <c r="N488" s="14">
        <v>1000000000000</v>
      </c>
      <c r="O488" s="56">
        <v>101.05046687700001</v>
      </c>
      <c r="P488" s="56">
        <v>0</v>
      </c>
      <c r="Q488" s="14">
        <v>1023392340000</v>
      </c>
      <c r="R488">
        <v>6.9715059999999998</v>
      </c>
      <c r="S488" t="s">
        <v>1184</v>
      </c>
      <c r="T488" s="57">
        <f>IF(Dealps[[#This Row],[MATURITY_DATE]]-Dealps[[#This Row],[POSTED_DT]]&lt;0,0,IF(Dealps[[#This Row],[VALUE_DATE]]-Dealps[[#This Row],[POSTED_DT]]&gt;0,Dealps[[#This Row],[MATURITY_DATE]]-Dealps[[#This Row],[VALUE_DATE]],Dealps[[#This Row],[MATURITY_DATE]]-Dealps[[#This Row],[POSTED_DT]]))</f>
        <v>223</v>
      </c>
      <c r="U488" s="25">
        <f>IF(Dealps[[#This Row],[TENOR]]=0,0,IF(Dealps[[#This Row],[DEAL_TYPE]]="B",Dealps[[#This Row],[FACE_AMOUNT]],-Dealps[[#This Row],[FACE_AMOUNT]]))</f>
        <v>1000000000000</v>
      </c>
      <c r="V488" s="25">
        <f>_xlfn.XLOOKUP(Dealps[[#This Row],[PAPER_CODE]],FNRP!D:D,FNRP!H:H,0,0)/100*Dealps[[#This Row],[AMOUNT]]</f>
        <v>0</v>
      </c>
      <c r="W488" s="57" t="str">
        <f>IF(Dealps[[#This Row],[TRANSACTION_STATUS]]&lt;&gt;"V","Ngoai BS",IF(Dealps[[#This Row],[POSTED_DT]]&gt;=Dealps[[#This Row],[VALUE_DATE]],"On BS","Off BS"))</f>
        <v>On BS</v>
      </c>
      <c r="X488" s="25">
        <f>SUMIFS(U:U,C:C,Dealps[[#This Row],[PAPER_CODE]])</f>
        <v>2000000000000</v>
      </c>
      <c r="Y488" s="25">
        <f>_xlfn.XLOOKUP(Dealps[[#This Row],[DEAL_ID]],Ref!N:N,Ref!Q:Q,0,0)</f>
        <v>0</v>
      </c>
      <c r="Z488" s="25" t="str">
        <f>IF(Dealps[[#This Row],[CPTY_CODE]]=Dealps[[#This Row],[CPTY_CODE_ISSUER]],"Yes","No")</f>
        <v>No</v>
      </c>
      <c r="AA488" s="25"/>
      <c r="AC488" s="14"/>
      <c r="AG488" s="96"/>
      <c r="AH488" s="25"/>
      <c r="AI488" s="25"/>
      <c r="AN488" s="14"/>
      <c r="AV488" s="36"/>
      <c r="AW488" s="14"/>
      <c r="AX488" s="234"/>
      <c r="AY488" s="96"/>
      <c r="AZ488" s="14"/>
      <c r="BA488"/>
      <c r="BB488" s="93">
        <v>46262</v>
      </c>
      <c r="BC488">
        <v>4012</v>
      </c>
      <c r="BD488" s="56" t="s">
        <v>1257</v>
      </c>
      <c r="BE488" t="s">
        <v>1011</v>
      </c>
      <c r="BF488" t="s">
        <v>1012</v>
      </c>
      <c r="BG488" t="s">
        <v>364</v>
      </c>
      <c r="BH488" t="s">
        <v>1013</v>
      </c>
      <c r="BI488" t="s">
        <v>311</v>
      </c>
      <c r="BJ488" s="93">
        <v>46121</v>
      </c>
      <c r="BK488" s="93">
        <v>46121</v>
      </c>
      <c r="BL488" s="93">
        <v>46121</v>
      </c>
      <c r="BM488" s="93">
        <v>46853</v>
      </c>
      <c r="BN488" s="14">
        <v>1</v>
      </c>
      <c r="BO488" s="14">
        <v>20000000000</v>
      </c>
      <c r="BP488" s="56">
        <v>100</v>
      </c>
      <c r="BQ488" s="56">
        <v>0</v>
      </c>
      <c r="BR488" s="14">
        <v>20000000000</v>
      </c>
      <c r="BS488">
        <v>8.5</v>
      </c>
      <c r="BT488" t="s">
        <v>1184</v>
      </c>
      <c r="BU488" s="25">
        <f>_xlfn.XLOOKUP(Dealps_MSB[[#This Row],[DEAL_ID]],Ref!V:V,Ref!X:X,0,0)</f>
        <v>0</v>
      </c>
      <c r="BV488"/>
    </row>
    <row r="489" spans="1:74" x14ac:dyDescent="0.3">
      <c r="A489" s="93">
        <v>46262</v>
      </c>
      <c r="B489">
        <v>4467</v>
      </c>
      <c r="C489" s="56" t="s">
        <v>1258</v>
      </c>
      <c r="D489" t="s">
        <v>321</v>
      </c>
      <c r="E489" t="s">
        <v>347</v>
      </c>
      <c r="F489" t="s">
        <v>364</v>
      </c>
      <c r="G489" t="s">
        <v>310</v>
      </c>
      <c r="H489" t="s">
        <v>300</v>
      </c>
      <c r="I489" s="93">
        <v>46184</v>
      </c>
      <c r="J489" s="93">
        <v>46184</v>
      </c>
      <c r="K489" s="93">
        <v>46184</v>
      </c>
      <c r="L489" s="93">
        <v>46485</v>
      </c>
      <c r="M489" s="14">
        <v>1</v>
      </c>
      <c r="N489" s="14">
        <v>500000000000</v>
      </c>
      <c r="O489" s="56">
        <v>100.575148879</v>
      </c>
      <c r="P489" s="56">
        <v>0</v>
      </c>
      <c r="Q489" s="14">
        <v>509549716999.99994</v>
      </c>
      <c r="R489">
        <v>7.5582029999999998</v>
      </c>
      <c r="S489" t="s">
        <v>1184</v>
      </c>
      <c r="T489" s="57">
        <f>IF(Dealps[[#This Row],[MATURITY_DATE]]-Dealps[[#This Row],[POSTED_DT]]&lt;0,0,IF(Dealps[[#This Row],[VALUE_DATE]]-Dealps[[#This Row],[POSTED_DT]]&gt;0,Dealps[[#This Row],[MATURITY_DATE]]-Dealps[[#This Row],[VALUE_DATE]],Dealps[[#This Row],[MATURITY_DATE]]-Dealps[[#This Row],[POSTED_DT]]))</f>
        <v>223</v>
      </c>
      <c r="U489" s="25">
        <f>IF(Dealps[[#This Row],[TENOR]]=0,0,IF(Dealps[[#This Row],[DEAL_TYPE]]="B",Dealps[[#This Row],[FACE_AMOUNT]],-Dealps[[#This Row],[FACE_AMOUNT]]))</f>
        <v>500000000000</v>
      </c>
      <c r="V489" s="25">
        <f>_xlfn.XLOOKUP(Dealps[[#This Row],[PAPER_CODE]],FNRP!D:D,FNRP!H:H,0,0)/100*Dealps[[#This Row],[AMOUNT]]</f>
        <v>0</v>
      </c>
      <c r="W489" s="57" t="str">
        <f>IF(Dealps[[#This Row],[TRANSACTION_STATUS]]&lt;&gt;"V","Ngoai BS",IF(Dealps[[#This Row],[POSTED_DT]]&gt;=Dealps[[#This Row],[VALUE_DATE]],"On BS","Off BS"))</f>
        <v>On BS</v>
      </c>
      <c r="X489" s="25">
        <f>SUMIFS(U:U,C:C,Dealps[[#This Row],[PAPER_CODE]])</f>
        <v>2000000000000</v>
      </c>
      <c r="Y489" s="25">
        <f>_xlfn.XLOOKUP(Dealps[[#This Row],[DEAL_ID]],Ref!N:N,Ref!Q:Q,0,0)</f>
        <v>0</v>
      </c>
      <c r="Z489" s="25" t="str">
        <f>IF(Dealps[[#This Row],[CPTY_CODE]]=Dealps[[#This Row],[CPTY_CODE_ISSUER]],"Yes","No")</f>
        <v>No</v>
      </c>
      <c r="AA489" s="25"/>
      <c r="AC489" s="14"/>
      <c r="AG489" s="96"/>
      <c r="AH489" s="25"/>
      <c r="AI489" s="25"/>
      <c r="AN489" s="14"/>
      <c r="AV489" s="36"/>
      <c r="AW489" s="14"/>
      <c r="AX489" s="234"/>
      <c r="AY489" s="96"/>
      <c r="AZ489" s="14"/>
      <c r="BA489"/>
      <c r="BB489" s="93">
        <v>46262</v>
      </c>
      <c r="BC489">
        <v>4014</v>
      </c>
      <c r="BD489" s="56" t="s">
        <v>1257</v>
      </c>
      <c r="BE489" t="s">
        <v>1011</v>
      </c>
      <c r="BF489" t="s">
        <v>1012</v>
      </c>
      <c r="BG489" t="s">
        <v>364</v>
      </c>
      <c r="BH489" t="s">
        <v>1013</v>
      </c>
      <c r="BI489" t="s">
        <v>311</v>
      </c>
      <c r="BJ489" s="93">
        <v>46121</v>
      </c>
      <c r="BK489" s="93">
        <v>46121</v>
      </c>
      <c r="BL489" s="93">
        <v>46121</v>
      </c>
      <c r="BM489" s="93">
        <v>46853</v>
      </c>
      <c r="BN489" s="14">
        <v>1</v>
      </c>
      <c r="BO489" s="14">
        <v>20000000000</v>
      </c>
      <c r="BP489" s="56">
        <v>100</v>
      </c>
      <c r="BQ489" s="56">
        <v>0</v>
      </c>
      <c r="BR489" s="14">
        <v>20000000000</v>
      </c>
      <c r="BS489">
        <v>8.5</v>
      </c>
      <c r="BT489" t="s">
        <v>1184</v>
      </c>
      <c r="BU489" s="25">
        <f>_xlfn.XLOOKUP(Dealps_MSB[[#This Row],[DEAL_ID]],Ref!V:V,Ref!X:X,0,0)</f>
        <v>0</v>
      </c>
      <c r="BV489"/>
    </row>
    <row r="490" spans="1:74" x14ac:dyDescent="0.3">
      <c r="A490" s="93">
        <v>46262</v>
      </c>
      <c r="B490">
        <v>4468</v>
      </c>
      <c r="C490" s="56" t="s">
        <v>1071</v>
      </c>
      <c r="D490" t="s">
        <v>328</v>
      </c>
      <c r="E490" t="s">
        <v>345</v>
      </c>
      <c r="F490" t="s">
        <v>364</v>
      </c>
      <c r="G490" t="s">
        <v>310</v>
      </c>
      <c r="H490" t="s">
        <v>300</v>
      </c>
      <c r="I490" s="93">
        <v>46184</v>
      </c>
      <c r="J490" s="93">
        <v>46184</v>
      </c>
      <c r="K490" s="93">
        <v>46184</v>
      </c>
      <c r="L490" s="93">
        <v>46352</v>
      </c>
      <c r="M490" s="14">
        <v>1</v>
      </c>
      <c r="N490" s="14">
        <v>500000000000</v>
      </c>
      <c r="O490" s="56">
        <v>100.475363011</v>
      </c>
      <c r="P490" s="56">
        <v>0</v>
      </c>
      <c r="Q490" s="14">
        <v>520097363000.00006</v>
      </c>
      <c r="R490">
        <v>5.3520909999999997</v>
      </c>
      <c r="S490" t="s">
        <v>1184</v>
      </c>
      <c r="T490" s="57">
        <f>IF(Dealps[[#This Row],[MATURITY_DATE]]-Dealps[[#This Row],[POSTED_DT]]&lt;0,0,IF(Dealps[[#This Row],[VALUE_DATE]]-Dealps[[#This Row],[POSTED_DT]]&gt;0,Dealps[[#This Row],[MATURITY_DATE]]-Dealps[[#This Row],[VALUE_DATE]],Dealps[[#This Row],[MATURITY_DATE]]-Dealps[[#This Row],[POSTED_DT]]))</f>
        <v>90</v>
      </c>
      <c r="U490" s="25">
        <f>IF(Dealps[[#This Row],[TENOR]]=0,0,IF(Dealps[[#This Row],[DEAL_TYPE]]="B",Dealps[[#This Row],[FACE_AMOUNT]],-Dealps[[#This Row],[FACE_AMOUNT]]))</f>
        <v>500000000000</v>
      </c>
      <c r="V490" s="25">
        <f>_xlfn.XLOOKUP(Dealps[[#This Row],[PAPER_CODE]],FNRP!D:D,FNRP!H:H,0,0)/100*Dealps[[#This Row],[AMOUNT]]</f>
        <v>0</v>
      </c>
      <c r="W490" s="57" t="str">
        <f>IF(Dealps[[#This Row],[TRANSACTION_STATUS]]&lt;&gt;"V","Ngoai BS",IF(Dealps[[#This Row],[POSTED_DT]]&gt;=Dealps[[#This Row],[VALUE_DATE]],"On BS","Off BS"))</f>
        <v>On BS</v>
      </c>
      <c r="X490" s="25">
        <f>SUMIFS(U:U,C:C,Dealps[[#This Row],[PAPER_CODE]])</f>
        <v>1500000000000</v>
      </c>
      <c r="Y490" s="25">
        <f>_xlfn.XLOOKUP(Dealps[[#This Row],[DEAL_ID]],Ref!N:N,Ref!Q:Q,0,0)</f>
        <v>0</v>
      </c>
      <c r="Z490" s="25" t="str">
        <f>IF(Dealps[[#This Row],[CPTY_CODE]]=Dealps[[#This Row],[CPTY_CODE_ISSUER]],"Yes","No")</f>
        <v>No</v>
      </c>
      <c r="AA490" s="25"/>
      <c r="AC490" s="14"/>
      <c r="AG490" s="96"/>
      <c r="AH490" s="25"/>
      <c r="AI490" s="25"/>
      <c r="AN490" s="14"/>
      <c r="AV490" s="36"/>
      <c r="AW490" s="14"/>
      <c r="AX490" s="234"/>
      <c r="AY490" s="96"/>
      <c r="AZ490" s="14"/>
      <c r="BA490"/>
      <c r="BB490" s="93">
        <v>46262</v>
      </c>
      <c r="BC490">
        <v>4015</v>
      </c>
      <c r="BD490" s="56" t="s">
        <v>1257</v>
      </c>
      <c r="BE490" t="s">
        <v>1011</v>
      </c>
      <c r="BF490" t="s">
        <v>1012</v>
      </c>
      <c r="BG490" t="s">
        <v>364</v>
      </c>
      <c r="BH490" t="s">
        <v>1013</v>
      </c>
      <c r="BI490" t="s">
        <v>311</v>
      </c>
      <c r="BJ490" s="93">
        <v>46121</v>
      </c>
      <c r="BK490" s="93">
        <v>46121</v>
      </c>
      <c r="BL490" s="93">
        <v>46121</v>
      </c>
      <c r="BM490" s="93">
        <v>46853</v>
      </c>
      <c r="BN490" s="14">
        <v>1</v>
      </c>
      <c r="BO490" s="14">
        <v>20000000000</v>
      </c>
      <c r="BP490" s="56">
        <v>100</v>
      </c>
      <c r="BQ490" s="56">
        <v>0</v>
      </c>
      <c r="BR490" s="14">
        <v>20000000000</v>
      </c>
      <c r="BS490">
        <v>8.5</v>
      </c>
      <c r="BT490" t="s">
        <v>1184</v>
      </c>
      <c r="BU490" s="25">
        <f>_xlfn.XLOOKUP(Dealps_MSB[[#This Row],[DEAL_ID]],Ref!V:V,Ref!X:X,0,0)</f>
        <v>0</v>
      </c>
      <c r="BV490"/>
    </row>
    <row r="491" spans="1:74" x14ac:dyDescent="0.3">
      <c r="A491" s="93">
        <v>46262</v>
      </c>
      <c r="B491">
        <v>4469</v>
      </c>
      <c r="C491" s="56" t="s">
        <v>1204</v>
      </c>
      <c r="D491" t="s">
        <v>315</v>
      </c>
      <c r="E491" t="s">
        <v>1228</v>
      </c>
      <c r="F491" t="s">
        <v>364</v>
      </c>
      <c r="G491" t="s">
        <v>310</v>
      </c>
      <c r="H491" t="s">
        <v>300</v>
      </c>
      <c r="I491" s="93">
        <v>46184</v>
      </c>
      <c r="J491" s="93">
        <v>46184</v>
      </c>
      <c r="K491" s="93">
        <v>46184</v>
      </c>
      <c r="L491" s="93">
        <v>46422</v>
      </c>
      <c r="M491" s="14">
        <v>1</v>
      </c>
      <c r="N491" s="14">
        <v>100000000000</v>
      </c>
      <c r="O491" s="56">
        <v>100.767226912</v>
      </c>
      <c r="P491" s="56">
        <v>0</v>
      </c>
      <c r="Q491" s="14">
        <v>103286350200</v>
      </c>
      <c r="R491">
        <v>5.8704470000000004</v>
      </c>
      <c r="S491" t="s">
        <v>1184</v>
      </c>
      <c r="T491" s="57">
        <f>IF(Dealps[[#This Row],[MATURITY_DATE]]-Dealps[[#This Row],[POSTED_DT]]&lt;0,0,IF(Dealps[[#This Row],[VALUE_DATE]]-Dealps[[#This Row],[POSTED_DT]]&gt;0,Dealps[[#This Row],[MATURITY_DATE]]-Dealps[[#This Row],[VALUE_DATE]],Dealps[[#This Row],[MATURITY_DATE]]-Dealps[[#This Row],[POSTED_DT]]))</f>
        <v>160</v>
      </c>
      <c r="U491" s="25">
        <f>IF(Dealps[[#This Row],[TENOR]]=0,0,IF(Dealps[[#This Row],[DEAL_TYPE]]="B",Dealps[[#This Row],[FACE_AMOUNT]],-Dealps[[#This Row],[FACE_AMOUNT]]))</f>
        <v>100000000000</v>
      </c>
      <c r="V491" s="25">
        <f>_xlfn.XLOOKUP(Dealps[[#This Row],[PAPER_CODE]],FNRP!D:D,FNRP!H:H,0,0)/100*Dealps[[#This Row],[AMOUNT]]</f>
        <v>0</v>
      </c>
      <c r="W491" s="57" t="str">
        <f>IF(Dealps[[#This Row],[TRANSACTION_STATUS]]&lt;&gt;"V","Ngoai BS",IF(Dealps[[#This Row],[POSTED_DT]]&gt;=Dealps[[#This Row],[VALUE_DATE]],"On BS","Off BS"))</f>
        <v>On BS</v>
      </c>
      <c r="X491" s="25">
        <f>SUMIFS(U:U,C:C,Dealps[[#This Row],[PAPER_CODE]])</f>
        <v>1000000000000</v>
      </c>
      <c r="Y491" s="25">
        <f>_xlfn.XLOOKUP(Dealps[[#This Row],[DEAL_ID]],Ref!N:N,Ref!Q:Q,0,0)</f>
        <v>0</v>
      </c>
      <c r="Z491" s="25" t="str">
        <f>IF(Dealps[[#This Row],[CPTY_CODE]]=Dealps[[#This Row],[CPTY_CODE_ISSUER]],"Yes","No")</f>
        <v>No</v>
      </c>
      <c r="AA491" s="25"/>
      <c r="AC491" s="14"/>
      <c r="AG491" s="96"/>
      <c r="AH491" s="25"/>
      <c r="AI491" s="25"/>
      <c r="AN491" s="14"/>
      <c r="AV491" s="36"/>
      <c r="AW491" s="14"/>
      <c r="AX491" s="234"/>
      <c r="AY491" s="96"/>
      <c r="AZ491" s="14"/>
      <c r="BA491"/>
      <c r="BB491" s="93">
        <v>46262</v>
      </c>
      <c r="BC491">
        <v>4016</v>
      </c>
      <c r="BD491" s="56" t="s">
        <v>1257</v>
      </c>
      <c r="BE491" t="s">
        <v>1011</v>
      </c>
      <c r="BF491" t="s">
        <v>1012</v>
      </c>
      <c r="BG491" t="s">
        <v>364</v>
      </c>
      <c r="BH491" t="s">
        <v>1013</v>
      </c>
      <c r="BI491" t="s">
        <v>311</v>
      </c>
      <c r="BJ491" s="93">
        <v>46121</v>
      </c>
      <c r="BK491" s="93">
        <v>46121</v>
      </c>
      <c r="BL491" s="93">
        <v>46121</v>
      </c>
      <c r="BM491" s="93">
        <v>46853</v>
      </c>
      <c r="BN491" s="14">
        <v>1</v>
      </c>
      <c r="BO491" s="14">
        <v>20000000000</v>
      </c>
      <c r="BP491" s="56">
        <v>100</v>
      </c>
      <c r="BQ491" s="56">
        <v>0</v>
      </c>
      <c r="BR491" s="14">
        <v>20000000000</v>
      </c>
      <c r="BS491">
        <v>8.5</v>
      </c>
      <c r="BT491" t="s">
        <v>1184</v>
      </c>
      <c r="BU491" s="25">
        <f>_xlfn.XLOOKUP(Dealps_MSB[[#This Row],[DEAL_ID]],Ref!V:V,Ref!X:X,0,0)</f>
        <v>0</v>
      </c>
      <c r="BV491"/>
    </row>
    <row r="492" spans="1:74" x14ac:dyDescent="0.3">
      <c r="A492" s="93">
        <v>46262</v>
      </c>
      <c r="B492">
        <v>4470</v>
      </c>
      <c r="C492" s="56" t="s">
        <v>1071</v>
      </c>
      <c r="D492" t="s">
        <v>328</v>
      </c>
      <c r="E492" t="s">
        <v>703</v>
      </c>
      <c r="F492" t="s">
        <v>364</v>
      </c>
      <c r="G492" t="s">
        <v>310</v>
      </c>
      <c r="H492" t="s">
        <v>300</v>
      </c>
      <c r="I492" s="93">
        <v>46184</v>
      </c>
      <c r="J492" s="93">
        <v>46184</v>
      </c>
      <c r="K492" s="93">
        <v>46184</v>
      </c>
      <c r="L492" s="93">
        <v>46352</v>
      </c>
      <c r="M492" s="14">
        <v>1</v>
      </c>
      <c r="N492" s="14">
        <v>500000000000</v>
      </c>
      <c r="O492" s="56">
        <v>100.700277911</v>
      </c>
      <c r="P492" s="56">
        <v>0</v>
      </c>
      <c r="Q492" s="14">
        <v>521221937500.00006</v>
      </c>
      <c r="R492">
        <v>4.871785</v>
      </c>
      <c r="S492" t="s">
        <v>1184</v>
      </c>
      <c r="T492" s="57">
        <f>IF(Dealps[[#This Row],[MATURITY_DATE]]-Dealps[[#This Row],[POSTED_DT]]&lt;0,0,IF(Dealps[[#This Row],[VALUE_DATE]]-Dealps[[#This Row],[POSTED_DT]]&gt;0,Dealps[[#This Row],[MATURITY_DATE]]-Dealps[[#This Row],[VALUE_DATE]],Dealps[[#This Row],[MATURITY_DATE]]-Dealps[[#This Row],[POSTED_DT]]))</f>
        <v>90</v>
      </c>
      <c r="U492" s="25">
        <f>IF(Dealps[[#This Row],[TENOR]]=0,0,IF(Dealps[[#This Row],[DEAL_TYPE]]="B",Dealps[[#This Row],[FACE_AMOUNT]],-Dealps[[#This Row],[FACE_AMOUNT]]))</f>
        <v>500000000000</v>
      </c>
      <c r="V492" s="25">
        <f>_xlfn.XLOOKUP(Dealps[[#This Row],[PAPER_CODE]],FNRP!D:D,FNRP!H:H,0,0)/100*Dealps[[#This Row],[AMOUNT]]</f>
        <v>0</v>
      </c>
      <c r="W492" s="57" t="str">
        <f>IF(Dealps[[#This Row],[TRANSACTION_STATUS]]&lt;&gt;"V","Ngoai BS",IF(Dealps[[#This Row],[POSTED_DT]]&gt;=Dealps[[#This Row],[VALUE_DATE]],"On BS","Off BS"))</f>
        <v>On BS</v>
      </c>
      <c r="X492" s="25">
        <f>SUMIFS(U:U,C:C,Dealps[[#This Row],[PAPER_CODE]])</f>
        <v>1500000000000</v>
      </c>
      <c r="Y492" s="25">
        <f>_xlfn.XLOOKUP(Dealps[[#This Row],[DEAL_ID]],Ref!N:N,Ref!Q:Q,0,0)</f>
        <v>0</v>
      </c>
      <c r="Z492" s="25" t="str">
        <f>IF(Dealps[[#This Row],[CPTY_CODE]]=Dealps[[#This Row],[CPTY_CODE_ISSUER]],"Yes","No")</f>
        <v>No</v>
      </c>
      <c r="AA492" s="25"/>
      <c r="AC492" s="14"/>
      <c r="AG492" s="96"/>
      <c r="AH492" s="25"/>
      <c r="AI492" s="25"/>
      <c r="AN492" s="14"/>
      <c r="AV492" s="36"/>
      <c r="AW492" s="14"/>
      <c r="AX492" s="234"/>
      <c r="AY492" s="96"/>
      <c r="AZ492" s="14"/>
      <c r="BA492"/>
      <c r="BB492" s="93">
        <v>46262</v>
      </c>
      <c r="BC492">
        <v>4017</v>
      </c>
      <c r="BD492" s="56" t="s">
        <v>1257</v>
      </c>
      <c r="BE492" t="s">
        <v>1011</v>
      </c>
      <c r="BF492" t="s">
        <v>1012</v>
      </c>
      <c r="BG492" t="s">
        <v>364</v>
      </c>
      <c r="BH492" t="s">
        <v>1013</v>
      </c>
      <c r="BI492" t="s">
        <v>311</v>
      </c>
      <c r="BJ492" s="93">
        <v>46121</v>
      </c>
      <c r="BK492" s="93">
        <v>46121</v>
      </c>
      <c r="BL492" s="93">
        <v>46121</v>
      </c>
      <c r="BM492" s="93">
        <v>46853</v>
      </c>
      <c r="BN492" s="14">
        <v>1</v>
      </c>
      <c r="BO492" s="14">
        <v>20000000000</v>
      </c>
      <c r="BP492" s="56">
        <v>100</v>
      </c>
      <c r="BQ492" s="56">
        <v>0</v>
      </c>
      <c r="BR492" s="14">
        <v>20000000000</v>
      </c>
      <c r="BS492">
        <v>8.5</v>
      </c>
      <c r="BT492" t="s">
        <v>1184</v>
      </c>
      <c r="BU492" s="25">
        <f>_xlfn.XLOOKUP(Dealps_MSB[[#This Row],[DEAL_ID]],Ref!V:V,Ref!X:X,0,0)</f>
        <v>0</v>
      </c>
      <c r="BV492"/>
    </row>
    <row r="493" spans="1:74" x14ac:dyDescent="0.3">
      <c r="A493" s="93">
        <v>46262</v>
      </c>
      <c r="B493">
        <v>4475</v>
      </c>
      <c r="C493" s="56" t="s">
        <v>1258</v>
      </c>
      <c r="D493" t="s">
        <v>321</v>
      </c>
      <c r="E493" t="s">
        <v>322</v>
      </c>
      <c r="F493" t="s">
        <v>364</v>
      </c>
      <c r="G493" t="s">
        <v>310</v>
      </c>
      <c r="H493" t="s">
        <v>311</v>
      </c>
      <c r="I493" s="93">
        <v>46184</v>
      </c>
      <c r="J493" s="93">
        <v>46184</v>
      </c>
      <c r="K493" s="93">
        <v>46185</v>
      </c>
      <c r="L493" s="93">
        <v>46485</v>
      </c>
      <c r="M493" s="14">
        <v>1</v>
      </c>
      <c r="N493" s="14">
        <v>500000000000</v>
      </c>
      <c r="O493" s="56">
        <v>100.146430181</v>
      </c>
      <c r="P493" s="56">
        <v>0</v>
      </c>
      <c r="Q493" s="14">
        <v>507521192000.00006</v>
      </c>
      <c r="R493">
        <v>8.1</v>
      </c>
      <c r="S493" t="s">
        <v>1184</v>
      </c>
      <c r="T493" s="57">
        <f>IF(Dealps[[#This Row],[MATURITY_DATE]]-Dealps[[#This Row],[POSTED_DT]]&lt;0,0,IF(Dealps[[#This Row],[VALUE_DATE]]-Dealps[[#This Row],[POSTED_DT]]&gt;0,Dealps[[#This Row],[MATURITY_DATE]]-Dealps[[#This Row],[VALUE_DATE]],Dealps[[#This Row],[MATURITY_DATE]]-Dealps[[#This Row],[POSTED_DT]]))</f>
        <v>223</v>
      </c>
      <c r="U493" s="25">
        <f>IF(Dealps[[#This Row],[TENOR]]=0,0,IF(Dealps[[#This Row],[DEAL_TYPE]]="B",Dealps[[#This Row],[FACE_AMOUNT]],-Dealps[[#This Row],[FACE_AMOUNT]]))</f>
        <v>-500000000000</v>
      </c>
      <c r="V493" s="25">
        <f>_xlfn.XLOOKUP(Dealps[[#This Row],[PAPER_CODE]],FNRP!D:D,FNRP!H:H,0,0)/100*Dealps[[#This Row],[AMOUNT]]</f>
        <v>0</v>
      </c>
      <c r="W493" s="57" t="str">
        <f>IF(Dealps[[#This Row],[TRANSACTION_STATUS]]&lt;&gt;"V","Ngoai BS",IF(Dealps[[#This Row],[POSTED_DT]]&gt;=Dealps[[#This Row],[VALUE_DATE]],"On BS","Off BS"))</f>
        <v>On BS</v>
      </c>
      <c r="X493" s="25">
        <f>SUMIFS(U:U,C:C,Dealps[[#This Row],[PAPER_CODE]])</f>
        <v>2000000000000</v>
      </c>
      <c r="Y493" s="25">
        <f>_xlfn.XLOOKUP(Dealps[[#This Row],[DEAL_ID]],Ref!N:N,Ref!Q:Q,0,0)</f>
        <v>0</v>
      </c>
      <c r="Z493" s="25" t="str">
        <f>IF(Dealps[[#This Row],[CPTY_CODE]]=Dealps[[#This Row],[CPTY_CODE_ISSUER]],"Yes","No")</f>
        <v>No</v>
      </c>
      <c r="AA493" s="25"/>
      <c r="AC493" s="14"/>
      <c r="AG493" s="96"/>
      <c r="AH493" s="25"/>
      <c r="AI493" s="25"/>
      <c r="AN493" s="14"/>
      <c r="AV493" s="36"/>
      <c r="AW493" s="14"/>
      <c r="AX493" s="234"/>
      <c r="AY493" s="96"/>
      <c r="AZ493" s="14"/>
      <c r="BA493"/>
      <c r="BB493" s="93">
        <v>46262</v>
      </c>
      <c r="BC493">
        <v>4044</v>
      </c>
      <c r="BD493" s="56" t="s">
        <v>1257</v>
      </c>
      <c r="BE493" t="s">
        <v>1011</v>
      </c>
      <c r="BF493" t="s">
        <v>1012</v>
      </c>
      <c r="BG493" t="s">
        <v>364</v>
      </c>
      <c r="BH493" t="s">
        <v>1013</v>
      </c>
      <c r="BI493" t="s">
        <v>311</v>
      </c>
      <c r="BJ493" s="93">
        <v>46122</v>
      </c>
      <c r="BK493" s="93">
        <v>46122</v>
      </c>
      <c r="BL493" s="93">
        <v>46122</v>
      </c>
      <c r="BM493" s="93">
        <v>46853</v>
      </c>
      <c r="BN493" s="14">
        <v>1</v>
      </c>
      <c r="BO493" s="14">
        <v>20000000000</v>
      </c>
      <c r="BP493" s="56">
        <v>100</v>
      </c>
      <c r="BQ493" s="56">
        <v>0</v>
      </c>
      <c r="BR493" s="14">
        <v>20004657534</v>
      </c>
      <c r="BS493">
        <v>8.4980209999999996</v>
      </c>
      <c r="BT493" t="s">
        <v>1184</v>
      </c>
      <c r="BU493" s="25">
        <f>_xlfn.XLOOKUP(Dealps_MSB[[#This Row],[DEAL_ID]],Ref!V:V,Ref!X:X,0,0)</f>
        <v>0</v>
      </c>
      <c r="BV493"/>
    </row>
    <row r="494" spans="1:74" x14ac:dyDescent="0.3">
      <c r="A494" s="93">
        <v>46262</v>
      </c>
      <c r="B494">
        <v>4476</v>
      </c>
      <c r="C494" s="56" t="s">
        <v>1258</v>
      </c>
      <c r="D494" t="s">
        <v>321</v>
      </c>
      <c r="E494" t="s">
        <v>322</v>
      </c>
      <c r="F494" t="s">
        <v>364</v>
      </c>
      <c r="G494" t="s">
        <v>310</v>
      </c>
      <c r="H494" t="s">
        <v>300</v>
      </c>
      <c r="I494" s="93">
        <v>46184</v>
      </c>
      <c r="J494" s="93">
        <v>46188</v>
      </c>
      <c r="K494" s="93">
        <v>46199</v>
      </c>
      <c r="L494" s="93">
        <v>46485</v>
      </c>
      <c r="M494" s="14">
        <v>1</v>
      </c>
      <c r="N494" s="14">
        <v>500000000000</v>
      </c>
      <c r="O494" s="56">
        <v>100.0889837</v>
      </c>
      <c r="P494" s="56">
        <v>0</v>
      </c>
      <c r="Q494" s="14">
        <v>508844918500</v>
      </c>
      <c r="R494">
        <v>8.1423989999999993</v>
      </c>
      <c r="S494" t="s">
        <v>1184</v>
      </c>
      <c r="T494" s="57">
        <f>IF(Dealps[[#This Row],[MATURITY_DATE]]-Dealps[[#This Row],[POSTED_DT]]&lt;0,0,IF(Dealps[[#This Row],[VALUE_DATE]]-Dealps[[#This Row],[POSTED_DT]]&gt;0,Dealps[[#This Row],[MATURITY_DATE]]-Dealps[[#This Row],[VALUE_DATE]],Dealps[[#This Row],[MATURITY_DATE]]-Dealps[[#This Row],[POSTED_DT]]))</f>
        <v>223</v>
      </c>
      <c r="U494" s="25">
        <f>IF(Dealps[[#This Row],[TENOR]]=0,0,IF(Dealps[[#This Row],[DEAL_TYPE]]="B",Dealps[[#This Row],[FACE_AMOUNT]],-Dealps[[#This Row],[FACE_AMOUNT]]))</f>
        <v>500000000000</v>
      </c>
      <c r="V494" s="25">
        <f>_xlfn.XLOOKUP(Dealps[[#This Row],[PAPER_CODE]],FNRP!D:D,FNRP!H:H,0,0)/100*Dealps[[#This Row],[AMOUNT]]</f>
        <v>0</v>
      </c>
      <c r="W494" s="57" t="str">
        <f>IF(Dealps[[#This Row],[TRANSACTION_STATUS]]&lt;&gt;"V","Ngoai BS",IF(Dealps[[#This Row],[POSTED_DT]]&gt;=Dealps[[#This Row],[VALUE_DATE]],"On BS","Off BS"))</f>
        <v>On BS</v>
      </c>
      <c r="X494" s="25">
        <f>SUMIFS(U:U,C:C,Dealps[[#This Row],[PAPER_CODE]])</f>
        <v>2000000000000</v>
      </c>
      <c r="Y494" s="25">
        <f>_xlfn.XLOOKUP(Dealps[[#This Row],[DEAL_ID]],Ref!N:N,Ref!Q:Q,0,0)</f>
        <v>0</v>
      </c>
      <c r="Z494" s="25" t="str">
        <f>IF(Dealps[[#This Row],[CPTY_CODE]]=Dealps[[#This Row],[CPTY_CODE_ISSUER]],"Yes","No")</f>
        <v>No</v>
      </c>
      <c r="AA494" s="25"/>
      <c r="AC494" s="14"/>
      <c r="AG494" s="96"/>
      <c r="AH494" s="25"/>
      <c r="AI494" s="25"/>
      <c r="AN494" s="14"/>
      <c r="AV494" s="36"/>
      <c r="AW494" s="14"/>
      <c r="AX494" s="234"/>
      <c r="AY494" s="96"/>
      <c r="AZ494" s="14"/>
      <c r="BA494"/>
      <c r="BB494" s="93">
        <v>46262</v>
      </c>
      <c r="BC494">
        <v>4045</v>
      </c>
      <c r="BD494" s="56" t="s">
        <v>1257</v>
      </c>
      <c r="BE494" t="s">
        <v>1011</v>
      </c>
      <c r="BF494" t="s">
        <v>1012</v>
      </c>
      <c r="BG494" t="s">
        <v>364</v>
      </c>
      <c r="BH494" t="s">
        <v>1013</v>
      </c>
      <c r="BI494" t="s">
        <v>311</v>
      </c>
      <c r="BJ494" s="93">
        <v>46122</v>
      </c>
      <c r="BK494" s="93">
        <v>46122</v>
      </c>
      <c r="BL494" s="93">
        <v>46122</v>
      </c>
      <c r="BM494" s="93">
        <v>46853</v>
      </c>
      <c r="BN494" s="14">
        <v>1</v>
      </c>
      <c r="BO494" s="14">
        <v>20000000000</v>
      </c>
      <c r="BP494" s="56">
        <v>100</v>
      </c>
      <c r="BQ494" s="56">
        <v>0</v>
      </c>
      <c r="BR494" s="14">
        <v>20004657534</v>
      </c>
      <c r="BS494">
        <v>8.4980209999999996</v>
      </c>
      <c r="BT494" t="s">
        <v>1184</v>
      </c>
      <c r="BU494" s="25">
        <f>_xlfn.XLOOKUP(Dealps_MSB[[#This Row],[DEAL_ID]],Ref!V:V,Ref!X:X,0,0)</f>
        <v>0</v>
      </c>
      <c r="BV494"/>
    </row>
    <row r="495" spans="1:74" x14ac:dyDescent="0.3">
      <c r="A495" s="93">
        <v>46262</v>
      </c>
      <c r="B495">
        <v>4477</v>
      </c>
      <c r="C495" s="56" t="s">
        <v>1258</v>
      </c>
      <c r="D495" t="s">
        <v>321</v>
      </c>
      <c r="E495" t="s">
        <v>322</v>
      </c>
      <c r="F495" t="s">
        <v>364</v>
      </c>
      <c r="G495" t="s">
        <v>310</v>
      </c>
      <c r="H495" t="s">
        <v>300</v>
      </c>
      <c r="I495" s="93">
        <v>46185</v>
      </c>
      <c r="J495" s="93">
        <v>46174</v>
      </c>
      <c r="K495" s="93">
        <v>46185</v>
      </c>
      <c r="L495" s="93">
        <v>46485</v>
      </c>
      <c r="M495" s="14">
        <v>1</v>
      </c>
      <c r="N495" s="14">
        <v>500000000000</v>
      </c>
      <c r="O495" s="56">
        <v>100.146647581</v>
      </c>
      <c r="P495" s="56">
        <v>0</v>
      </c>
      <c r="Q495" s="14">
        <v>507522279000</v>
      </c>
      <c r="R495">
        <v>8.0997219999999999</v>
      </c>
      <c r="S495" t="s">
        <v>1184</v>
      </c>
      <c r="T495" s="57">
        <f>IF(Dealps[[#This Row],[MATURITY_DATE]]-Dealps[[#This Row],[POSTED_DT]]&lt;0,0,IF(Dealps[[#This Row],[VALUE_DATE]]-Dealps[[#This Row],[POSTED_DT]]&gt;0,Dealps[[#This Row],[MATURITY_DATE]]-Dealps[[#This Row],[VALUE_DATE]],Dealps[[#This Row],[MATURITY_DATE]]-Dealps[[#This Row],[POSTED_DT]]))</f>
        <v>223</v>
      </c>
      <c r="U495" s="25">
        <f>IF(Dealps[[#This Row],[TENOR]]=0,0,IF(Dealps[[#This Row],[DEAL_TYPE]]="B",Dealps[[#This Row],[FACE_AMOUNT]],-Dealps[[#This Row],[FACE_AMOUNT]]))</f>
        <v>500000000000</v>
      </c>
      <c r="V495" s="25">
        <f>_xlfn.XLOOKUP(Dealps[[#This Row],[PAPER_CODE]],FNRP!D:D,FNRP!H:H,0,0)/100*Dealps[[#This Row],[AMOUNT]]</f>
        <v>0</v>
      </c>
      <c r="W495" s="57" t="str">
        <f>IF(Dealps[[#This Row],[TRANSACTION_STATUS]]&lt;&gt;"V","Ngoai BS",IF(Dealps[[#This Row],[POSTED_DT]]&gt;=Dealps[[#This Row],[VALUE_DATE]],"On BS","Off BS"))</f>
        <v>On BS</v>
      </c>
      <c r="X495" s="25">
        <f>SUMIFS(U:U,C:C,Dealps[[#This Row],[PAPER_CODE]])</f>
        <v>2000000000000</v>
      </c>
      <c r="Y495" s="25">
        <f>_xlfn.XLOOKUP(Dealps[[#This Row],[DEAL_ID]],Ref!N:N,Ref!Q:Q,0,0)</f>
        <v>0</v>
      </c>
      <c r="Z495" s="25" t="str">
        <f>IF(Dealps[[#This Row],[CPTY_CODE]]=Dealps[[#This Row],[CPTY_CODE_ISSUER]],"Yes","No")</f>
        <v>No</v>
      </c>
      <c r="AA495" s="25"/>
      <c r="AC495" s="14"/>
      <c r="AG495" s="96"/>
      <c r="AH495" s="25"/>
      <c r="AI495" s="25"/>
      <c r="AN495" s="14"/>
      <c r="AV495" s="36"/>
      <c r="AW495" s="14"/>
      <c r="AX495" s="234"/>
      <c r="AY495" s="96"/>
      <c r="AZ495" s="14"/>
      <c r="BA495"/>
      <c r="BB495" s="93">
        <v>46262</v>
      </c>
      <c r="BC495">
        <v>4046</v>
      </c>
      <c r="BD495" s="56" t="s">
        <v>1257</v>
      </c>
      <c r="BE495" t="s">
        <v>1011</v>
      </c>
      <c r="BF495" t="s">
        <v>1012</v>
      </c>
      <c r="BG495" t="s">
        <v>364</v>
      </c>
      <c r="BH495" t="s">
        <v>1013</v>
      </c>
      <c r="BI495" t="s">
        <v>311</v>
      </c>
      <c r="BJ495" s="93">
        <v>46122</v>
      </c>
      <c r="BK495" s="93">
        <v>46122</v>
      </c>
      <c r="BL495" s="93">
        <v>46122</v>
      </c>
      <c r="BM495" s="93">
        <v>46853</v>
      </c>
      <c r="BN495" s="14">
        <v>1</v>
      </c>
      <c r="BO495" s="14">
        <v>20000000000</v>
      </c>
      <c r="BP495" s="56">
        <v>100</v>
      </c>
      <c r="BQ495" s="56">
        <v>0</v>
      </c>
      <c r="BR495" s="14">
        <v>20004657534</v>
      </c>
      <c r="BS495">
        <v>8.4980209999999996</v>
      </c>
      <c r="BT495" t="s">
        <v>1184</v>
      </c>
      <c r="BU495" s="25">
        <f>_xlfn.XLOOKUP(Dealps_MSB[[#This Row],[DEAL_ID]],Ref!V:V,Ref!X:X,0,0)</f>
        <v>0</v>
      </c>
      <c r="BV495"/>
    </row>
    <row r="496" spans="1:74" x14ac:dyDescent="0.3">
      <c r="A496" s="93">
        <v>46262</v>
      </c>
      <c r="B496">
        <v>4478</v>
      </c>
      <c r="C496" s="56" t="s">
        <v>1010</v>
      </c>
      <c r="D496" t="s">
        <v>328</v>
      </c>
      <c r="E496" t="s">
        <v>320</v>
      </c>
      <c r="F496" t="s">
        <v>364</v>
      </c>
      <c r="G496" t="s">
        <v>310</v>
      </c>
      <c r="H496" t="s">
        <v>300</v>
      </c>
      <c r="I496" s="93">
        <v>46185</v>
      </c>
      <c r="J496" s="93">
        <v>46185</v>
      </c>
      <c r="K496" s="93">
        <v>46185</v>
      </c>
      <c r="L496" s="93">
        <v>46329</v>
      </c>
      <c r="M496" s="14">
        <v>1</v>
      </c>
      <c r="N496" s="14">
        <v>800000000000</v>
      </c>
      <c r="O496" s="56">
        <v>100.344839326</v>
      </c>
      <c r="P496" s="56">
        <v>0</v>
      </c>
      <c r="Q496" s="14">
        <v>833136796800</v>
      </c>
      <c r="R496">
        <v>5.2101199999999999</v>
      </c>
      <c r="S496" t="s">
        <v>1184</v>
      </c>
      <c r="T496" s="57">
        <f>IF(Dealps[[#This Row],[MATURITY_DATE]]-Dealps[[#This Row],[POSTED_DT]]&lt;0,0,IF(Dealps[[#This Row],[VALUE_DATE]]-Dealps[[#This Row],[POSTED_DT]]&gt;0,Dealps[[#This Row],[MATURITY_DATE]]-Dealps[[#This Row],[VALUE_DATE]],Dealps[[#This Row],[MATURITY_DATE]]-Dealps[[#This Row],[POSTED_DT]]))</f>
        <v>67</v>
      </c>
      <c r="U496" s="25">
        <f>IF(Dealps[[#This Row],[TENOR]]=0,0,IF(Dealps[[#This Row],[DEAL_TYPE]]="B",Dealps[[#This Row],[FACE_AMOUNT]],-Dealps[[#This Row],[FACE_AMOUNT]]))</f>
        <v>800000000000</v>
      </c>
      <c r="V496" s="25">
        <f>_xlfn.XLOOKUP(Dealps[[#This Row],[PAPER_CODE]],FNRP!D:D,FNRP!H:H,0,0)/100*Dealps[[#This Row],[AMOUNT]]</f>
        <v>0</v>
      </c>
      <c r="W496" s="57" t="str">
        <f>IF(Dealps[[#This Row],[TRANSACTION_STATUS]]&lt;&gt;"V","Ngoai BS",IF(Dealps[[#This Row],[POSTED_DT]]&gt;=Dealps[[#This Row],[VALUE_DATE]],"On BS","Off BS"))</f>
        <v>On BS</v>
      </c>
      <c r="X496" s="25">
        <f>SUMIFS(U:U,C:C,Dealps[[#This Row],[PAPER_CODE]])</f>
        <v>2000000000000</v>
      </c>
      <c r="Y496" s="25">
        <f>_xlfn.XLOOKUP(Dealps[[#This Row],[DEAL_ID]],Ref!N:N,Ref!Q:Q,0,0)</f>
        <v>0</v>
      </c>
      <c r="Z496" s="25" t="str">
        <f>IF(Dealps[[#This Row],[CPTY_CODE]]=Dealps[[#This Row],[CPTY_CODE_ISSUER]],"Yes","No")</f>
        <v>No</v>
      </c>
      <c r="AA496" s="25"/>
      <c r="AC496" s="14"/>
      <c r="AG496" s="96"/>
      <c r="AH496" s="25"/>
      <c r="AI496" s="25"/>
      <c r="AN496" s="14"/>
      <c r="AV496" s="36"/>
      <c r="AW496" s="14"/>
      <c r="AX496" s="234"/>
      <c r="AY496" s="96"/>
      <c r="AZ496" s="14"/>
      <c r="BA496"/>
      <c r="BB496" s="93">
        <v>46262</v>
      </c>
      <c r="BC496">
        <v>4047</v>
      </c>
      <c r="BD496" s="56" t="s">
        <v>1257</v>
      </c>
      <c r="BE496" t="s">
        <v>1011</v>
      </c>
      <c r="BF496" t="s">
        <v>1012</v>
      </c>
      <c r="BG496" t="s">
        <v>364</v>
      </c>
      <c r="BH496" t="s">
        <v>1013</v>
      </c>
      <c r="BI496" t="s">
        <v>311</v>
      </c>
      <c r="BJ496" s="93">
        <v>46122</v>
      </c>
      <c r="BK496" s="93">
        <v>46122</v>
      </c>
      <c r="BL496" s="93">
        <v>46122</v>
      </c>
      <c r="BM496" s="93">
        <v>46853</v>
      </c>
      <c r="BN496" s="14">
        <v>1</v>
      </c>
      <c r="BO496" s="14">
        <v>20000000000</v>
      </c>
      <c r="BP496" s="56">
        <v>100</v>
      </c>
      <c r="BQ496" s="56">
        <v>0</v>
      </c>
      <c r="BR496" s="14">
        <v>20004657534</v>
      </c>
      <c r="BS496">
        <v>8.4980209999999996</v>
      </c>
      <c r="BT496" t="s">
        <v>1184</v>
      </c>
      <c r="BU496" s="25">
        <f>_xlfn.XLOOKUP(Dealps_MSB[[#This Row],[DEAL_ID]],Ref!V:V,Ref!X:X,0,0)</f>
        <v>0</v>
      </c>
      <c r="BV496"/>
    </row>
    <row r="497" spans="1:74" x14ac:dyDescent="0.3">
      <c r="A497" s="93">
        <v>46262</v>
      </c>
      <c r="B497">
        <v>4479</v>
      </c>
      <c r="C497" s="56" t="s">
        <v>1204</v>
      </c>
      <c r="D497" t="s">
        <v>315</v>
      </c>
      <c r="E497" t="s">
        <v>320</v>
      </c>
      <c r="F497" t="s">
        <v>364</v>
      </c>
      <c r="G497" t="s">
        <v>310</v>
      </c>
      <c r="H497" t="s">
        <v>300</v>
      </c>
      <c r="I497" s="93">
        <v>46185</v>
      </c>
      <c r="J497" s="93">
        <v>46185</v>
      </c>
      <c r="K497" s="93">
        <v>46185</v>
      </c>
      <c r="L497" s="93">
        <v>46422</v>
      </c>
      <c r="M497" s="14">
        <v>1</v>
      </c>
      <c r="N497" s="14">
        <v>200000000000</v>
      </c>
      <c r="O497" s="56">
        <v>100.19346659599999</v>
      </c>
      <c r="P497" s="56">
        <v>0</v>
      </c>
      <c r="Q497" s="14">
        <v>205464851000</v>
      </c>
      <c r="R497">
        <v>6.7574040000000002</v>
      </c>
      <c r="S497" t="s">
        <v>1184</v>
      </c>
      <c r="T497" s="57">
        <f>IF(Dealps[[#This Row],[MATURITY_DATE]]-Dealps[[#This Row],[POSTED_DT]]&lt;0,0,IF(Dealps[[#This Row],[VALUE_DATE]]-Dealps[[#This Row],[POSTED_DT]]&gt;0,Dealps[[#This Row],[MATURITY_DATE]]-Dealps[[#This Row],[VALUE_DATE]],Dealps[[#This Row],[MATURITY_DATE]]-Dealps[[#This Row],[POSTED_DT]]))</f>
        <v>160</v>
      </c>
      <c r="U497" s="25">
        <f>IF(Dealps[[#This Row],[TENOR]]=0,0,IF(Dealps[[#This Row],[DEAL_TYPE]]="B",Dealps[[#This Row],[FACE_AMOUNT]],-Dealps[[#This Row],[FACE_AMOUNT]]))</f>
        <v>200000000000</v>
      </c>
      <c r="V497" s="25">
        <f>_xlfn.XLOOKUP(Dealps[[#This Row],[PAPER_CODE]],FNRP!D:D,FNRP!H:H,0,0)/100*Dealps[[#This Row],[AMOUNT]]</f>
        <v>0</v>
      </c>
      <c r="W497" s="57" t="str">
        <f>IF(Dealps[[#This Row],[TRANSACTION_STATUS]]&lt;&gt;"V","Ngoai BS",IF(Dealps[[#This Row],[POSTED_DT]]&gt;=Dealps[[#This Row],[VALUE_DATE]],"On BS","Off BS"))</f>
        <v>On BS</v>
      </c>
      <c r="X497" s="25">
        <f>SUMIFS(U:U,C:C,Dealps[[#This Row],[PAPER_CODE]])</f>
        <v>1000000000000</v>
      </c>
      <c r="Y497" s="25">
        <f>_xlfn.XLOOKUP(Dealps[[#This Row],[DEAL_ID]],Ref!N:N,Ref!Q:Q,0,0)</f>
        <v>0</v>
      </c>
      <c r="Z497" s="25" t="str">
        <f>IF(Dealps[[#This Row],[CPTY_CODE]]=Dealps[[#This Row],[CPTY_CODE_ISSUER]],"Yes","No")</f>
        <v>No</v>
      </c>
      <c r="AA497" s="25"/>
      <c r="AC497" s="14"/>
      <c r="AG497" s="96"/>
      <c r="AH497" s="25"/>
      <c r="AI497" s="25"/>
      <c r="AN497" s="14"/>
      <c r="AV497" s="36"/>
      <c r="AW497" s="14"/>
      <c r="AX497" s="234"/>
      <c r="AY497" s="96"/>
      <c r="AZ497" s="14"/>
      <c r="BA497"/>
      <c r="BB497" s="93">
        <v>46262</v>
      </c>
      <c r="BC497">
        <v>4048</v>
      </c>
      <c r="BD497" s="56" t="s">
        <v>1257</v>
      </c>
      <c r="BE497" t="s">
        <v>1011</v>
      </c>
      <c r="BF497" t="s">
        <v>1012</v>
      </c>
      <c r="BG497" t="s">
        <v>364</v>
      </c>
      <c r="BH497" t="s">
        <v>1013</v>
      </c>
      <c r="BI497" t="s">
        <v>311</v>
      </c>
      <c r="BJ497" s="93">
        <v>46122</v>
      </c>
      <c r="BK497" s="93">
        <v>46122</v>
      </c>
      <c r="BL497" s="93">
        <v>46122</v>
      </c>
      <c r="BM497" s="93">
        <v>46853</v>
      </c>
      <c r="BN497" s="14">
        <v>1</v>
      </c>
      <c r="BO497" s="14">
        <v>20000000000</v>
      </c>
      <c r="BP497" s="56">
        <v>100</v>
      </c>
      <c r="BQ497" s="56">
        <v>0</v>
      </c>
      <c r="BR497" s="14">
        <v>20004657534</v>
      </c>
      <c r="BS497">
        <v>8.4980209999999996</v>
      </c>
      <c r="BT497" t="s">
        <v>1184</v>
      </c>
      <c r="BU497" s="25">
        <f>_xlfn.XLOOKUP(Dealps_MSB[[#This Row],[DEAL_ID]],Ref!V:V,Ref!X:X,0,0)</f>
        <v>0</v>
      </c>
      <c r="BV497"/>
    </row>
    <row r="498" spans="1:74" x14ac:dyDescent="0.3">
      <c r="A498" s="93">
        <v>46262</v>
      </c>
      <c r="B498">
        <v>4481</v>
      </c>
      <c r="C498" s="56" t="s">
        <v>1204</v>
      </c>
      <c r="D498" t="s">
        <v>315</v>
      </c>
      <c r="E498" t="s">
        <v>345</v>
      </c>
      <c r="F498" t="s">
        <v>364</v>
      </c>
      <c r="G498" t="s">
        <v>310</v>
      </c>
      <c r="H498" t="s">
        <v>300</v>
      </c>
      <c r="I498" s="93">
        <v>46185</v>
      </c>
      <c r="J498" s="93">
        <v>46185</v>
      </c>
      <c r="K498" s="93">
        <v>46185</v>
      </c>
      <c r="L498" s="93">
        <v>46422</v>
      </c>
      <c r="M498" s="14">
        <v>1</v>
      </c>
      <c r="N498" s="14">
        <v>500000000000</v>
      </c>
      <c r="O498" s="56">
        <v>100.453663096</v>
      </c>
      <c r="P498" s="56">
        <v>0</v>
      </c>
      <c r="Q498" s="14">
        <v>514963110000</v>
      </c>
      <c r="R498">
        <v>6.3512519999999997</v>
      </c>
      <c r="S498" t="s">
        <v>1184</v>
      </c>
      <c r="T498" s="57">
        <f>IF(Dealps[[#This Row],[MATURITY_DATE]]-Dealps[[#This Row],[POSTED_DT]]&lt;0,0,IF(Dealps[[#This Row],[VALUE_DATE]]-Dealps[[#This Row],[POSTED_DT]]&gt;0,Dealps[[#This Row],[MATURITY_DATE]]-Dealps[[#This Row],[VALUE_DATE]],Dealps[[#This Row],[MATURITY_DATE]]-Dealps[[#This Row],[POSTED_DT]]))</f>
        <v>160</v>
      </c>
      <c r="U498" s="25">
        <f>IF(Dealps[[#This Row],[TENOR]]=0,0,IF(Dealps[[#This Row],[DEAL_TYPE]]="B",Dealps[[#This Row],[FACE_AMOUNT]],-Dealps[[#This Row],[FACE_AMOUNT]]))</f>
        <v>500000000000</v>
      </c>
      <c r="V498" s="25">
        <f>_xlfn.XLOOKUP(Dealps[[#This Row],[PAPER_CODE]],FNRP!D:D,FNRP!H:H,0,0)/100*Dealps[[#This Row],[AMOUNT]]</f>
        <v>0</v>
      </c>
      <c r="W498" s="57" t="str">
        <f>IF(Dealps[[#This Row],[TRANSACTION_STATUS]]&lt;&gt;"V","Ngoai BS",IF(Dealps[[#This Row],[POSTED_DT]]&gt;=Dealps[[#This Row],[VALUE_DATE]],"On BS","Off BS"))</f>
        <v>On BS</v>
      </c>
      <c r="X498" s="25">
        <f>SUMIFS(U:U,C:C,Dealps[[#This Row],[PAPER_CODE]])</f>
        <v>1000000000000</v>
      </c>
      <c r="Y498" s="25">
        <f>_xlfn.XLOOKUP(Dealps[[#This Row],[DEAL_ID]],Ref!N:N,Ref!Q:Q,0,0)</f>
        <v>0</v>
      </c>
      <c r="Z498" s="25" t="str">
        <f>IF(Dealps[[#This Row],[CPTY_CODE]]=Dealps[[#This Row],[CPTY_CODE_ISSUER]],"Yes","No")</f>
        <v>No</v>
      </c>
      <c r="AA498" s="25"/>
      <c r="AC498" s="14"/>
      <c r="AG498" s="96"/>
      <c r="AH498" s="25"/>
      <c r="AI498" s="25"/>
      <c r="AN498" s="14"/>
      <c r="AV498" s="36"/>
      <c r="AW498" s="14"/>
      <c r="AX498" s="234"/>
      <c r="AY498" s="96"/>
      <c r="AZ498" s="14"/>
      <c r="BA498"/>
      <c r="BB498" s="93">
        <v>46262</v>
      </c>
      <c r="BC498">
        <v>4175</v>
      </c>
      <c r="BD498" s="56" t="s">
        <v>1257</v>
      </c>
      <c r="BE498" t="s">
        <v>1011</v>
      </c>
      <c r="BF498" t="s">
        <v>1012</v>
      </c>
      <c r="BG498" t="s">
        <v>364</v>
      </c>
      <c r="BH498" t="s">
        <v>1013</v>
      </c>
      <c r="BI498" t="s">
        <v>311</v>
      </c>
      <c r="BJ498" s="93">
        <v>46140</v>
      </c>
      <c r="BK498" s="93">
        <v>46140</v>
      </c>
      <c r="BL498" s="93">
        <v>46140</v>
      </c>
      <c r="BM498" s="93">
        <v>46853</v>
      </c>
      <c r="BN498" s="14">
        <v>1</v>
      </c>
      <c r="BO498" s="14">
        <v>50000000000</v>
      </c>
      <c r="BP498" s="56">
        <v>100</v>
      </c>
      <c r="BQ498" s="56">
        <v>0</v>
      </c>
      <c r="BR498" s="14">
        <v>50221232877</v>
      </c>
      <c r="BS498">
        <v>8.4625559999999993</v>
      </c>
      <c r="BT498" t="s">
        <v>1184</v>
      </c>
      <c r="BU498" s="25">
        <f>_xlfn.XLOOKUP(Dealps_MSB[[#This Row],[DEAL_ID]],Ref!V:V,Ref!X:X,0,0)</f>
        <v>0</v>
      </c>
      <c r="BV498"/>
    </row>
    <row r="499" spans="1:74" x14ac:dyDescent="0.3">
      <c r="A499" s="93">
        <v>46262</v>
      </c>
      <c r="B499">
        <v>4482</v>
      </c>
      <c r="C499" s="56" t="s">
        <v>1260</v>
      </c>
      <c r="D499" t="s">
        <v>384</v>
      </c>
      <c r="E499" t="s">
        <v>1254</v>
      </c>
      <c r="F499" t="s">
        <v>364</v>
      </c>
      <c r="G499" t="s">
        <v>310</v>
      </c>
      <c r="H499" t="s">
        <v>311</v>
      </c>
      <c r="I499" s="93">
        <v>46185</v>
      </c>
      <c r="J499" s="93">
        <v>46185</v>
      </c>
      <c r="K499" s="93">
        <v>46185</v>
      </c>
      <c r="L499" s="93">
        <v>46524</v>
      </c>
      <c r="M499" s="14">
        <v>1</v>
      </c>
      <c r="N499" s="14">
        <v>49000000000</v>
      </c>
      <c r="O499" s="56">
        <v>100.31612505299999</v>
      </c>
      <c r="P499" s="56">
        <v>0</v>
      </c>
      <c r="Q499" s="14">
        <v>49869093057</v>
      </c>
      <c r="R499">
        <v>9</v>
      </c>
      <c r="S499" t="s">
        <v>1184</v>
      </c>
      <c r="T499" s="57">
        <f>IF(Dealps[[#This Row],[MATURITY_DATE]]-Dealps[[#This Row],[POSTED_DT]]&lt;0,0,IF(Dealps[[#This Row],[VALUE_DATE]]-Dealps[[#This Row],[POSTED_DT]]&gt;0,Dealps[[#This Row],[MATURITY_DATE]]-Dealps[[#This Row],[VALUE_DATE]],Dealps[[#This Row],[MATURITY_DATE]]-Dealps[[#This Row],[POSTED_DT]]))</f>
        <v>262</v>
      </c>
      <c r="U499" s="25">
        <f>IF(Dealps[[#This Row],[TENOR]]=0,0,IF(Dealps[[#This Row],[DEAL_TYPE]]="B",Dealps[[#This Row],[FACE_AMOUNT]],-Dealps[[#This Row],[FACE_AMOUNT]]))</f>
        <v>-49000000000</v>
      </c>
      <c r="V499" s="25">
        <f>_xlfn.XLOOKUP(Dealps[[#This Row],[PAPER_CODE]],FNRP!D:D,FNRP!H:H,0,0)/100*Dealps[[#This Row],[AMOUNT]]</f>
        <v>0</v>
      </c>
      <c r="W499" s="57" t="str">
        <f>IF(Dealps[[#This Row],[TRANSACTION_STATUS]]&lt;&gt;"V","Ngoai BS",IF(Dealps[[#This Row],[POSTED_DT]]&gt;=Dealps[[#This Row],[VALUE_DATE]],"On BS","Off BS"))</f>
        <v>On BS</v>
      </c>
      <c r="X499" s="25">
        <f>SUMIFS(U:U,C:C,Dealps[[#This Row],[PAPER_CODE]])</f>
        <v>400000000000</v>
      </c>
      <c r="Y499" s="25">
        <f>_xlfn.XLOOKUP(Dealps[[#This Row],[DEAL_ID]],Ref!N:N,Ref!Q:Q,0,0)</f>
        <v>0</v>
      </c>
      <c r="Z499" s="25" t="str">
        <f>IF(Dealps[[#This Row],[CPTY_CODE]]=Dealps[[#This Row],[CPTY_CODE_ISSUER]],"Yes","No")</f>
        <v>No</v>
      </c>
      <c r="AA499" s="25"/>
      <c r="AC499" s="14"/>
      <c r="AG499" s="96"/>
      <c r="AH499" s="25"/>
      <c r="AI499" s="25"/>
      <c r="AN499" s="14"/>
      <c r="AV499" s="36"/>
      <c r="AW499" s="14"/>
      <c r="AX499" s="234"/>
      <c r="AY499" s="96"/>
      <c r="AZ499" s="14"/>
      <c r="BA499"/>
      <c r="BB499" s="93">
        <v>46262</v>
      </c>
      <c r="BC499">
        <v>4176</v>
      </c>
      <c r="BD499" s="56" t="s">
        <v>1257</v>
      </c>
      <c r="BE499" t="s">
        <v>1011</v>
      </c>
      <c r="BF499" t="s">
        <v>1012</v>
      </c>
      <c r="BG499" t="s">
        <v>364</v>
      </c>
      <c r="BH499" t="s">
        <v>1013</v>
      </c>
      <c r="BI499" t="s">
        <v>311</v>
      </c>
      <c r="BJ499" s="93">
        <v>46140</v>
      </c>
      <c r="BK499" s="93">
        <v>46140</v>
      </c>
      <c r="BL499" s="93">
        <v>46140</v>
      </c>
      <c r="BM499" s="93">
        <v>46853</v>
      </c>
      <c r="BN499" s="14">
        <v>1</v>
      </c>
      <c r="BO499" s="14">
        <v>50000000000</v>
      </c>
      <c r="BP499" s="56">
        <v>100</v>
      </c>
      <c r="BQ499" s="56">
        <v>0</v>
      </c>
      <c r="BR499" s="14">
        <v>50221232877</v>
      </c>
      <c r="BS499">
        <v>8.4625559999999993</v>
      </c>
      <c r="BT499" t="s">
        <v>1184</v>
      </c>
      <c r="BU499" s="25">
        <f>_xlfn.XLOOKUP(Dealps_MSB[[#This Row],[DEAL_ID]],Ref!V:V,Ref!X:X,0,0)</f>
        <v>0</v>
      </c>
      <c r="BV499"/>
    </row>
    <row r="500" spans="1:74" x14ac:dyDescent="0.3">
      <c r="A500" s="93">
        <v>46262</v>
      </c>
      <c r="B500">
        <v>4484</v>
      </c>
      <c r="C500" s="56" t="s">
        <v>1258</v>
      </c>
      <c r="D500" t="s">
        <v>321</v>
      </c>
      <c r="E500" t="s">
        <v>322</v>
      </c>
      <c r="F500" t="s">
        <v>364</v>
      </c>
      <c r="G500" t="s">
        <v>310</v>
      </c>
      <c r="H500" t="s">
        <v>311</v>
      </c>
      <c r="I500" s="93">
        <v>46185</v>
      </c>
      <c r="J500" s="93">
        <v>46185</v>
      </c>
      <c r="K500" s="93">
        <v>46188</v>
      </c>
      <c r="L500" s="93">
        <v>46485</v>
      </c>
      <c r="M500" s="14">
        <v>1</v>
      </c>
      <c r="N500" s="14">
        <v>300000000000</v>
      </c>
      <c r="O500" s="56">
        <v>100.140787285</v>
      </c>
      <c r="P500" s="56">
        <v>0</v>
      </c>
      <c r="Q500" s="14">
        <v>304702909800</v>
      </c>
      <c r="R500">
        <v>8.1</v>
      </c>
      <c r="S500" t="s">
        <v>1184</v>
      </c>
      <c r="T500" s="57">
        <f>IF(Dealps[[#This Row],[MATURITY_DATE]]-Dealps[[#This Row],[POSTED_DT]]&lt;0,0,IF(Dealps[[#This Row],[VALUE_DATE]]-Dealps[[#This Row],[POSTED_DT]]&gt;0,Dealps[[#This Row],[MATURITY_DATE]]-Dealps[[#This Row],[VALUE_DATE]],Dealps[[#This Row],[MATURITY_DATE]]-Dealps[[#This Row],[POSTED_DT]]))</f>
        <v>223</v>
      </c>
      <c r="U500" s="25">
        <f>IF(Dealps[[#This Row],[TENOR]]=0,0,IF(Dealps[[#This Row],[DEAL_TYPE]]="B",Dealps[[#This Row],[FACE_AMOUNT]],-Dealps[[#This Row],[FACE_AMOUNT]]))</f>
        <v>-300000000000</v>
      </c>
      <c r="V500" s="25">
        <f>_xlfn.XLOOKUP(Dealps[[#This Row],[PAPER_CODE]],FNRP!D:D,FNRP!H:H,0,0)/100*Dealps[[#This Row],[AMOUNT]]</f>
        <v>0</v>
      </c>
      <c r="W500" s="57" t="str">
        <f>IF(Dealps[[#This Row],[TRANSACTION_STATUS]]&lt;&gt;"V","Ngoai BS",IF(Dealps[[#This Row],[POSTED_DT]]&gt;=Dealps[[#This Row],[VALUE_DATE]],"On BS","Off BS"))</f>
        <v>On BS</v>
      </c>
      <c r="X500" s="25">
        <f>SUMIFS(U:U,C:C,Dealps[[#This Row],[PAPER_CODE]])</f>
        <v>2000000000000</v>
      </c>
      <c r="Y500" s="25">
        <f>_xlfn.XLOOKUP(Dealps[[#This Row],[DEAL_ID]],Ref!N:N,Ref!Q:Q,0,0)</f>
        <v>0</v>
      </c>
      <c r="Z500" s="25" t="str">
        <f>IF(Dealps[[#This Row],[CPTY_CODE]]=Dealps[[#This Row],[CPTY_CODE_ISSUER]],"Yes","No")</f>
        <v>No</v>
      </c>
      <c r="AA500" s="25"/>
      <c r="AC500" s="14"/>
      <c r="AG500" s="96"/>
      <c r="AH500" s="25"/>
      <c r="AI500" s="25"/>
      <c r="AN500" s="14"/>
      <c r="AV500" s="36"/>
      <c r="AW500" s="14"/>
      <c r="AX500" s="234"/>
      <c r="AY500" s="96"/>
      <c r="AZ500" s="14"/>
      <c r="BA500"/>
      <c r="BB500" s="93">
        <v>46262</v>
      </c>
      <c r="BC500">
        <v>4177</v>
      </c>
      <c r="BD500" s="56" t="s">
        <v>1257</v>
      </c>
      <c r="BE500" t="s">
        <v>1011</v>
      </c>
      <c r="BF500" t="s">
        <v>1012</v>
      </c>
      <c r="BG500" t="s">
        <v>364</v>
      </c>
      <c r="BH500" t="s">
        <v>1013</v>
      </c>
      <c r="BI500" t="s">
        <v>311</v>
      </c>
      <c r="BJ500" s="93">
        <v>46140</v>
      </c>
      <c r="BK500" s="93">
        <v>46140</v>
      </c>
      <c r="BL500" s="93">
        <v>46140</v>
      </c>
      <c r="BM500" s="93">
        <v>46853</v>
      </c>
      <c r="BN500" s="14">
        <v>1</v>
      </c>
      <c r="BO500" s="14">
        <v>50000000000</v>
      </c>
      <c r="BP500" s="56">
        <v>100</v>
      </c>
      <c r="BQ500" s="56">
        <v>0</v>
      </c>
      <c r="BR500" s="14">
        <v>50221232877</v>
      </c>
      <c r="BS500">
        <v>8.4625559999999993</v>
      </c>
      <c r="BT500" t="s">
        <v>1184</v>
      </c>
      <c r="BU500" s="25">
        <f>_xlfn.XLOOKUP(Dealps_MSB[[#This Row],[DEAL_ID]],Ref!V:V,Ref!X:X,0,0)</f>
        <v>0</v>
      </c>
      <c r="BV500"/>
    </row>
    <row r="501" spans="1:74" x14ac:dyDescent="0.3">
      <c r="A501" s="93">
        <v>46262</v>
      </c>
      <c r="B501">
        <v>4489</v>
      </c>
      <c r="C501" s="56" t="s">
        <v>1159</v>
      </c>
      <c r="D501" t="s">
        <v>334</v>
      </c>
      <c r="E501" t="s">
        <v>320</v>
      </c>
      <c r="F501" t="s">
        <v>364</v>
      </c>
      <c r="G501" t="s">
        <v>310</v>
      </c>
      <c r="H501" t="s">
        <v>300</v>
      </c>
      <c r="I501" s="93">
        <v>46188</v>
      </c>
      <c r="J501" s="93">
        <v>46188</v>
      </c>
      <c r="K501" s="93">
        <v>46188</v>
      </c>
      <c r="L501" s="93">
        <v>46412</v>
      </c>
      <c r="M501" s="14">
        <v>1</v>
      </c>
      <c r="N501" s="14">
        <v>400000000000</v>
      </c>
      <c r="O501" s="56">
        <v>100.009119871</v>
      </c>
      <c r="P501" s="56">
        <v>0</v>
      </c>
      <c r="Q501" s="14">
        <v>411543328800</v>
      </c>
      <c r="R501">
        <v>7.2751900000000003</v>
      </c>
      <c r="S501" t="s">
        <v>1184</v>
      </c>
      <c r="T501" s="57">
        <f>IF(Dealps[[#This Row],[MATURITY_DATE]]-Dealps[[#This Row],[POSTED_DT]]&lt;0,0,IF(Dealps[[#This Row],[VALUE_DATE]]-Dealps[[#This Row],[POSTED_DT]]&gt;0,Dealps[[#This Row],[MATURITY_DATE]]-Dealps[[#This Row],[VALUE_DATE]],Dealps[[#This Row],[MATURITY_DATE]]-Dealps[[#This Row],[POSTED_DT]]))</f>
        <v>150</v>
      </c>
      <c r="U501" s="25">
        <f>IF(Dealps[[#This Row],[TENOR]]=0,0,IF(Dealps[[#This Row],[DEAL_TYPE]]="B",Dealps[[#This Row],[FACE_AMOUNT]],-Dealps[[#This Row],[FACE_AMOUNT]]))</f>
        <v>400000000000</v>
      </c>
      <c r="V501" s="25">
        <f>_xlfn.XLOOKUP(Dealps[[#This Row],[PAPER_CODE]],FNRP!D:D,FNRP!H:H,0,0)/100*Dealps[[#This Row],[AMOUNT]]</f>
        <v>0</v>
      </c>
      <c r="W501" s="57" t="str">
        <f>IF(Dealps[[#This Row],[TRANSACTION_STATUS]]&lt;&gt;"V","Ngoai BS",IF(Dealps[[#This Row],[POSTED_DT]]&gt;=Dealps[[#This Row],[VALUE_DATE]],"On BS","Off BS"))</f>
        <v>On BS</v>
      </c>
      <c r="X501" s="25">
        <f>SUMIFS(U:U,C:C,Dealps[[#This Row],[PAPER_CODE]])</f>
        <v>1000000000000</v>
      </c>
      <c r="Y501" s="25">
        <f>_xlfn.XLOOKUP(Dealps[[#This Row],[DEAL_ID]],Ref!N:N,Ref!Q:Q,0,0)</f>
        <v>0</v>
      </c>
      <c r="Z501" s="25" t="str">
        <f>IF(Dealps[[#This Row],[CPTY_CODE]]=Dealps[[#This Row],[CPTY_CODE_ISSUER]],"Yes","No")</f>
        <v>No</v>
      </c>
      <c r="AA501" s="25"/>
      <c r="AC501" s="14"/>
      <c r="AG501" s="96"/>
      <c r="AH501" s="25"/>
      <c r="AI501" s="25"/>
      <c r="AN501" s="14"/>
      <c r="AV501" s="36"/>
      <c r="AW501" s="14"/>
      <c r="AX501" s="234"/>
      <c r="AY501" s="96"/>
      <c r="AZ501" s="14"/>
      <c r="BA501"/>
      <c r="BB501" s="93">
        <v>46262</v>
      </c>
      <c r="BC501">
        <v>4178</v>
      </c>
      <c r="BD501" s="56" t="s">
        <v>1257</v>
      </c>
      <c r="BE501" t="s">
        <v>1011</v>
      </c>
      <c r="BF501" t="s">
        <v>1012</v>
      </c>
      <c r="BG501" t="s">
        <v>364</v>
      </c>
      <c r="BH501" t="s">
        <v>1013</v>
      </c>
      <c r="BI501" t="s">
        <v>311</v>
      </c>
      <c r="BJ501" s="93">
        <v>46140</v>
      </c>
      <c r="BK501" s="93">
        <v>46140</v>
      </c>
      <c r="BL501" s="93">
        <v>46140</v>
      </c>
      <c r="BM501" s="93">
        <v>46853</v>
      </c>
      <c r="BN501" s="14">
        <v>1</v>
      </c>
      <c r="BO501" s="14">
        <v>50000000000</v>
      </c>
      <c r="BP501" s="56">
        <v>100</v>
      </c>
      <c r="BQ501" s="56">
        <v>0</v>
      </c>
      <c r="BR501" s="14">
        <v>50221232877</v>
      </c>
      <c r="BS501">
        <v>8.4625559999999993</v>
      </c>
      <c r="BT501" t="s">
        <v>1184</v>
      </c>
      <c r="BU501" s="25">
        <f>_xlfn.XLOOKUP(Dealps_MSB[[#This Row],[DEAL_ID]],Ref!V:V,Ref!X:X,0,0)</f>
        <v>0</v>
      </c>
      <c r="BV501"/>
    </row>
    <row r="502" spans="1:74" x14ac:dyDescent="0.3">
      <c r="A502" s="93">
        <v>46262</v>
      </c>
      <c r="B502">
        <v>4490</v>
      </c>
      <c r="C502" s="56" t="s">
        <v>1010</v>
      </c>
      <c r="D502" t="s">
        <v>328</v>
      </c>
      <c r="E502" t="s">
        <v>347</v>
      </c>
      <c r="F502" t="s">
        <v>364</v>
      </c>
      <c r="G502" t="s">
        <v>310</v>
      </c>
      <c r="H502" t="s">
        <v>311</v>
      </c>
      <c r="I502" s="93">
        <v>46188</v>
      </c>
      <c r="J502" s="93">
        <v>46190</v>
      </c>
      <c r="K502" s="93">
        <v>46190</v>
      </c>
      <c r="L502" s="93">
        <v>46329</v>
      </c>
      <c r="M502" s="14">
        <v>1</v>
      </c>
      <c r="N502" s="14">
        <v>1000000000000</v>
      </c>
      <c r="O502" s="56">
        <v>99.831866055999996</v>
      </c>
      <c r="P502" s="56">
        <v>0</v>
      </c>
      <c r="Q502" s="14">
        <v>1037154277000</v>
      </c>
      <c r="R502">
        <v>6.5</v>
      </c>
      <c r="S502" t="s">
        <v>1184</v>
      </c>
      <c r="T502" s="57">
        <f>IF(Dealps[[#This Row],[MATURITY_DATE]]-Dealps[[#This Row],[POSTED_DT]]&lt;0,0,IF(Dealps[[#This Row],[VALUE_DATE]]-Dealps[[#This Row],[POSTED_DT]]&gt;0,Dealps[[#This Row],[MATURITY_DATE]]-Dealps[[#This Row],[VALUE_DATE]],Dealps[[#This Row],[MATURITY_DATE]]-Dealps[[#This Row],[POSTED_DT]]))</f>
        <v>67</v>
      </c>
      <c r="U502" s="25">
        <f>IF(Dealps[[#This Row],[TENOR]]=0,0,IF(Dealps[[#This Row],[DEAL_TYPE]]="B",Dealps[[#This Row],[FACE_AMOUNT]],-Dealps[[#This Row],[FACE_AMOUNT]]))</f>
        <v>-1000000000000</v>
      </c>
      <c r="V502" s="25">
        <f>_xlfn.XLOOKUP(Dealps[[#This Row],[PAPER_CODE]],FNRP!D:D,FNRP!H:H,0,0)/100*Dealps[[#This Row],[AMOUNT]]</f>
        <v>0</v>
      </c>
      <c r="W502" s="57" t="str">
        <f>IF(Dealps[[#This Row],[TRANSACTION_STATUS]]&lt;&gt;"V","Ngoai BS",IF(Dealps[[#This Row],[POSTED_DT]]&gt;=Dealps[[#This Row],[VALUE_DATE]],"On BS","Off BS"))</f>
        <v>On BS</v>
      </c>
      <c r="X502" s="25">
        <f>SUMIFS(U:U,C:C,Dealps[[#This Row],[PAPER_CODE]])</f>
        <v>2000000000000</v>
      </c>
      <c r="Y502" s="25">
        <f>_xlfn.XLOOKUP(Dealps[[#This Row],[DEAL_ID]],Ref!N:N,Ref!Q:Q,0,0)</f>
        <v>0</v>
      </c>
      <c r="Z502" s="25" t="str">
        <f>IF(Dealps[[#This Row],[CPTY_CODE]]=Dealps[[#This Row],[CPTY_CODE_ISSUER]],"Yes","No")</f>
        <v>No</v>
      </c>
      <c r="AA502" s="25"/>
      <c r="AC502" s="14"/>
      <c r="AG502" s="96"/>
      <c r="AH502" s="25"/>
      <c r="AI502" s="25"/>
      <c r="AN502" s="14"/>
      <c r="AV502" s="36"/>
      <c r="AW502" s="14"/>
      <c r="AX502" s="234"/>
      <c r="AY502" s="96"/>
      <c r="AZ502" s="14"/>
      <c r="BA502"/>
      <c r="BB502" s="93">
        <v>46262</v>
      </c>
      <c r="BC502">
        <v>4179</v>
      </c>
      <c r="BD502" s="56" t="s">
        <v>1257</v>
      </c>
      <c r="BE502" t="s">
        <v>1011</v>
      </c>
      <c r="BF502" t="s">
        <v>1012</v>
      </c>
      <c r="BG502" t="s">
        <v>364</v>
      </c>
      <c r="BH502" t="s">
        <v>1013</v>
      </c>
      <c r="BI502" t="s">
        <v>311</v>
      </c>
      <c r="BJ502" s="93">
        <v>46140</v>
      </c>
      <c r="BK502" s="93">
        <v>46140</v>
      </c>
      <c r="BL502" s="93">
        <v>46140</v>
      </c>
      <c r="BM502" s="93">
        <v>46853</v>
      </c>
      <c r="BN502" s="14">
        <v>1</v>
      </c>
      <c r="BO502" s="14">
        <v>50000000000</v>
      </c>
      <c r="BP502" s="56">
        <v>100</v>
      </c>
      <c r="BQ502" s="56">
        <v>0</v>
      </c>
      <c r="BR502" s="14">
        <v>50221232877</v>
      </c>
      <c r="BS502">
        <v>8.4625559999999993</v>
      </c>
      <c r="BT502" t="s">
        <v>1184</v>
      </c>
      <c r="BU502" s="25">
        <f>_xlfn.XLOOKUP(Dealps_MSB[[#This Row],[DEAL_ID]],Ref!V:V,Ref!X:X,0,0)</f>
        <v>0</v>
      </c>
      <c r="BV502"/>
    </row>
    <row r="503" spans="1:74" x14ac:dyDescent="0.3">
      <c r="A503" s="93">
        <v>46262</v>
      </c>
      <c r="B503">
        <v>4491</v>
      </c>
      <c r="C503" s="56" t="s">
        <v>1010</v>
      </c>
      <c r="D503" t="s">
        <v>328</v>
      </c>
      <c r="E503" t="s">
        <v>347</v>
      </c>
      <c r="F503" t="s">
        <v>364</v>
      </c>
      <c r="G503" t="s">
        <v>310</v>
      </c>
      <c r="H503" t="s">
        <v>300</v>
      </c>
      <c r="I503" s="93">
        <v>46188</v>
      </c>
      <c r="J503" s="93">
        <v>46211</v>
      </c>
      <c r="K503" s="93">
        <v>46211</v>
      </c>
      <c r="L503" s="93">
        <v>46329</v>
      </c>
      <c r="M503" s="14">
        <v>1</v>
      </c>
      <c r="N503" s="14">
        <v>1000000000000</v>
      </c>
      <c r="O503" s="56">
        <v>99.946775403000004</v>
      </c>
      <c r="P503" s="56">
        <v>0</v>
      </c>
      <c r="Q503" s="14">
        <v>1041928028000.0001</v>
      </c>
      <c r="R503">
        <v>6.2044930000000003</v>
      </c>
      <c r="S503" t="s">
        <v>1184</v>
      </c>
      <c r="T503" s="57">
        <f>IF(Dealps[[#This Row],[MATURITY_DATE]]-Dealps[[#This Row],[POSTED_DT]]&lt;0,0,IF(Dealps[[#This Row],[VALUE_DATE]]-Dealps[[#This Row],[POSTED_DT]]&gt;0,Dealps[[#This Row],[MATURITY_DATE]]-Dealps[[#This Row],[VALUE_DATE]],Dealps[[#This Row],[MATURITY_DATE]]-Dealps[[#This Row],[POSTED_DT]]))</f>
        <v>67</v>
      </c>
      <c r="U503" s="25">
        <f>IF(Dealps[[#This Row],[TENOR]]=0,0,IF(Dealps[[#This Row],[DEAL_TYPE]]="B",Dealps[[#This Row],[FACE_AMOUNT]],-Dealps[[#This Row],[FACE_AMOUNT]]))</f>
        <v>1000000000000</v>
      </c>
      <c r="V503" s="25">
        <f>_xlfn.XLOOKUP(Dealps[[#This Row],[PAPER_CODE]],FNRP!D:D,FNRP!H:H,0,0)/100*Dealps[[#This Row],[AMOUNT]]</f>
        <v>0</v>
      </c>
      <c r="W503" s="57" t="str">
        <f>IF(Dealps[[#This Row],[TRANSACTION_STATUS]]&lt;&gt;"V","Ngoai BS",IF(Dealps[[#This Row],[POSTED_DT]]&gt;=Dealps[[#This Row],[VALUE_DATE]],"On BS","Off BS"))</f>
        <v>On BS</v>
      </c>
      <c r="X503" s="25">
        <f>SUMIFS(U:U,C:C,Dealps[[#This Row],[PAPER_CODE]])</f>
        <v>2000000000000</v>
      </c>
      <c r="Y503" s="25">
        <f>_xlfn.XLOOKUP(Dealps[[#This Row],[DEAL_ID]],Ref!N:N,Ref!Q:Q,0,0)</f>
        <v>0</v>
      </c>
      <c r="Z503" s="25" t="str">
        <f>IF(Dealps[[#This Row],[CPTY_CODE]]=Dealps[[#This Row],[CPTY_CODE_ISSUER]],"Yes","No")</f>
        <v>No</v>
      </c>
      <c r="AA503" s="25"/>
      <c r="AC503" s="14"/>
      <c r="AG503" s="96"/>
      <c r="AH503" s="25"/>
      <c r="AI503" s="25"/>
      <c r="AN503" s="14"/>
      <c r="AV503" s="36"/>
      <c r="AW503" s="14"/>
      <c r="AX503" s="234"/>
      <c r="AY503" s="96"/>
      <c r="AZ503" s="14"/>
      <c r="BA503"/>
      <c r="BB503" s="93">
        <v>46262</v>
      </c>
      <c r="BC503">
        <v>4248</v>
      </c>
      <c r="BD503" s="56" t="s">
        <v>1257</v>
      </c>
      <c r="BE503" t="s">
        <v>1011</v>
      </c>
      <c r="BF503" t="s">
        <v>1012</v>
      </c>
      <c r="BG503" t="s">
        <v>364</v>
      </c>
      <c r="BH503" t="s">
        <v>1013</v>
      </c>
      <c r="BI503" t="s">
        <v>311</v>
      </c>
      <c r="BJ503" s="93">
        <v>46154</v>
      </c>
      <c r="BK503" s="93">
        <v>46154</v>
      </c>
      <c r="BL503" s="93">
        <v>46154</v>
      </c>
      <c r="BM503" s="93">
        <v>46853</v>
      </c>
      <c r="BN503" s="14">
        <v>1</v>
      </c>
      <c r="BO503" s="14">
        <v>50000000000</v>
      </c>
      <c r="BP503" s="56">
        <v>100</v>
      </c>
      <c r="BQ503" s="56">
        <v>0</v>
      </c>
      <c r="BR503" s="14">
        <v>50384246576</v>
      </c>
      <c r="BS503">
        <v>8.4351760000000002</v>
      </c>
      <c r="BT503" t="s">
        <v>1184</v>
      </c>
      <c r="BU503" s="25">
        <f>_xlfn.XLOOKUP(Dealps_MSB[[#This Row],[DEAL_ID]],Ref!V:V,Ref!X:X,0,0)</f>
        <v>0</v>
      </c>
      <c r="BV503"/>
    </row>
    <row r="504" spans="1:74" x14ac:dyDescent="0.3">
      <c r="A504" s="93">
        <v>46262</v>
      </c>
      <c r="B504">
        <v>4497</v>
      </c>
      <c r="C504" s="56" t="s">
        <v>1204</v>
      </c>
      <c r="D504" t="s">
        <v>315</v>
      </c>
      <c r="E504" t="s">
        <v>971</v>
      </c>
      <c r="F504" t="s">
        <v>364</v>
      </c>
      <c r="G504" t="s">
        <v>310</v>
      </c>
      <c r="H504" t="s">
        <v>311</v>
      </c>
      <c r="I504" s="93">
        <v>46188</v>
      </c>
      <c r="J504" s="93">
        <v>46188</v>
      </c>
      <c r="K504" s="93">
        <v>46189</v>
      </c>
      <c r="L504" s="93">
        <v>46422</v>
      </c>
      <c r="M504" s="14">
        <v>1</v>
      </c>
      <c r="N504" s="14">
        <v>400000000000</v>
      </c>
      <c r="O504" s="56">
        <v>100.47562763000001</v>
      </c>
      <c r="P504" s="56">
        <v>0</v>
      </c>
      <c r="Q504" s="14">
        <v>412375716000</v>
      </c>
      <c r="R504">
        <v>6.300001</v>
      </c>
      <c r="S504" t="s">
        <v>1184</v>
      </c>
      <c r="T504" s="57">
        <f>IF(Dealps[[#This Row],[MATURITY_DATE]]-Dealps[[#This Row],[POSTED_DT]]&lt;0,0,IF(Dealps[[#This Row],[VALUE_DATE]]-Dealps[[#This Row],[POSTED_DT]]&gt;0,Dealps[[#This Row],[MATURITY_DATE]]-Dealps[[#This Row],[VALUE_DATE]],Dealps[[#This Row],[MATURITY_DATE]]-Dealps[[#This Row],[POSTED_DT]]))</f>
        <v>160</v>
      </c>
      <c r="U504" s="25">
        <f>IF(Dealps[[#This Row],[TENOR]]=0,0,IF(Dealps[[#This Row],[DEAL_TYPE]]="B",Dealps[[#This Row],[FACE_AMOUNT]],-Dealps[[#This Row],[FACE_AMOUNT]]))</f>
        <v>-400000000000</v>
      </c>
      <c r="V504" s="25">
        <f>_xlfn.XLOOKUP(Dealps[[#This Row],[PAPER_CODE]],FNRP!D:D,FNRP!H:H,0,0)/100*Dealps[[#This Row],[AMOUNT]]</f>
        <v>0</v>
      </c>
      <c r="W504" s="57" t="str">
        <f>IF(Dealps[[#This Row],[TRANSACTION_STATUS]]&lt;&gt;"V","Ngoai BS",IF(Dealps[[#This Row],[POSTED_DT]]&gt;=Dealps[[#This Row],[VALUE_DATE]],"On BS","Off BS"))</f>
        <v>On BS</v>
      </c>
      <c r="X504" s="25">
        <f>SUMIFS(U:U,C:C,Dealps[[#This Row],[PAPER_CODE]])</f>
        <v>1000000000000</v>
      </c>
      <c r="Y504" s="25">
        <f>_xlfn.XLOOKUP(Dealps[[#This Row],[DEAL_ID]],Ref!N:N,Ref!Q:Q,0,0)</f>
        <v>0</v>
      </c>
      <c r="Z504" s="25" t="str">
        <f>IF(Dealps[[#This Row],[CPTY_CODE]]=Dealps[[#This Row],[CPTY_CODE_ISSUER]],"Yes","No")</f>
        <v>No</v>
      </c>
      <c r="AA504" s="25"/>
      <c r="AC504" s="14"/>
      <c r="AG504" s="96"/>
      <c r="AH504" s="25"/>
      <c r="AI504" s="25"/>
      <c r="AN504" s="14"/>
      <c r="AV504" s="36"/>
      <c r="AW504" s="14"/>
      <c r="AX504" s="234"/>
      <c r="AY504" s="96"/>
      <c r="AZ504" s="14"/>
      <c r="BA504"/>
      <c r="BB504" s="93">
        <v>46262</v>
      </c>
      <c r="BC504">
        <v>4249</v>
      </c>
      <c r="BD504" s="56" t="s">
        <v>1257</v>
      </c>
      <c r="BE504" t="s">
        <v>1011</v>
      </c>
      <c r="BF504" t="s">
        <v>1012</v>
      </c>
      <c r="BG504" t="s">
        <v>364</v>
      </c>
      <c r="BH504" t="s">
        <v>1013</v>
      </c>
      <c r="BI504" t="s">
        <v>311</v>
      </c>
      <c r="BJ504" s="93">
        <v>46154</v>
      </c>
      <c r="BK504" s="93">
        <v>46154</v>
      </c>
      <c r="BL504" s="93">
        <v>46154</v>
      </c>
      <c r="BM504" s="93">
        <v>46853</v>
      </c>
      <c r="BN504" s="14">
        <v>1</v>
      </c>
      <c r="BO504" s="14">
        <v>50000000000</v>
      </c>
      <c r="BP504" s="56">
        <v>100</v>
      </c>
      <c r="BQ504" s="56">
        <v>0</v>
      </c>
      <c r="BR504" s="14">
        <v>50384246576</v>
      </c>
      <c r="BS504">
        <v>8.4351760000000002</v>
      </c>
      <c r="BT504" t="s">
        <v>1184</v>
      </c>
      <c r="BU504" s="25">
        <f>_xlfn.XLOOKUP(Dealps_MSB[[#This Row],[DEAL_ID]],Ref!V:V,Ref!X:X,0,0)</f>
        <v>0</v>
      </c>
      <c r="BV504"/>
    </row>
    <row r="505" spans="1:74" x14ac:dyDescent="0.3">
      <c r="A505" s="93">
        <v>46262</v>
      </c>
      <c r="B505">
        <v>4499</v>
      </c>
      <c r="C505" s="56" t="s">
        <v>1292</v>
      </c>
      <c r="D505" t="s">
        <v>334</v>
      </c>
      <c r="E505" t="s">
        <v>1313</v>
      </c>
      <c r="F505" t="s">
        <v>364</v>
      </c>
      <c r="G505" t="s">
        <v>310</v>
      </c>
      <c r="H505" t="s">
        <v>311</v>
      </c>
      <c r="I505" s="93">
        <v>46189</v>
      </c>
      <c r="J505" s="93">
        <v>46189</v>
      </c>
      <c r="K505" s="93">
        <v>46192</v>
      </c>
      <c r="L505" s="93">
        <v>46527</v>
      </c>
      <c r="M505" s="14">
        <v>1</v>
      </c>
      <c r="N505" s="14">
        <v>150000000000</v>
      </c>
      <c r="O505" s="56">
        <v>100.000000034</v>
      </c>
      <c r="P505" s="56">
        <v>0</v>
      </c>
      <c r="Q505" s="14">
        <v>151013013750</v>
      </c>
      <c r="R505">
        <v>8.4429809999999996</v>
      </c>
      <c r="S505" t="s">
        <v>1184</v>
      </c>
      <c r="T505" s="57">
        <f>IF(Dealps[[#This Row],[MATURITY_DATE]]-Dealps[[#This Row],[POSTED_DT]]&lt;0,0,IF(Dealps[[#This Row],[VALUE_DATE]]-Dealps[[#This Row],[POSTED_DT]]&gt;0,Dealps[[#This Row],[MATURITY_DATE]]-Dealps[[#This Row],[VALUE_DATE]],Dealps[[#This Row],[MATURITY_DATE]]-Dealps[[#This Row],[POSTED_DT]]))</f>
        <v>265</v>
      </c>
      <c r="U505" s="25">
        <f>IF(Dealps[[#This Row],[TENOR]]=0,0,IF(Dealps[[#This Row],[DEAL_TYPE]]="B",Dealps[[#This Row],[FACE_AMOUNT]],-Dealps[[#This Row],[FACE_AMOUNT]]))</f>
        <v>-150000000000</v>
      </c>
      <c r="V505" s="25">
        <f>_xlfn.XLOOKUP(Dealps[[#This Row],[PAPER_CODE]],FNRP!D:D,FNRP!H:H,0,0)/100*Dealps[[#This Row],[AMOUNT]]</f>
        <v>0</v>
      </c>
      <c r="W505" s="57" t="str">
        <f>IF(Dealps[[#This Row],[TRANSACTION_STATUS]]&lt;&gt;"V","Ngoai BS",IF(Dealps[[#This Row],[POSTED_DT]]&gt;=Dealps[[#This Row],[VALUE_DATE]],"On BS","Off BS"))</f>
        <v>On BS</v>
      </c>
      <c r="X505" s="25">
        <f>SUMIFS(U:U,C:C,Dealps[[#This Row],[PAPER_CODE]])</f>
        <v>2000000000000</v>
      </c>
      <c r="Y505" s="25">
        <f>_xlfn.XLOOKUP(Dealps[[#This Row],[DEAL_ID]],Ref!N:N,Ref!Q:Q,0,0)</f>
        <v>0</v>
      </c>
      <c r="Z505" s="25" t="str">
        <f>IF(Dealps[[#This Row],[CPTY_CODE]]=Dealps[[#This Row],[CPTY_CODE_ISSUER]],"Yes","No")</f>
        <v>No</v>
      </c>
      <c r="AA505" s="25"/>
      <c r="AC505" s="14"/>
      <c r="AG505" s="96"/>
      <c r="AH505" s="25"/>
      <c r="AI505" s="25"/>
      <c r="AN505" s="14"/>
      <c r="AV505" s="36"/>
      <c r="AW505" s="14"/>
      <c r="AX505" s="234"/>
      <c r="AY505" s="96"/>
      <c r="AZ505" s="14"/>
      <c r="BA505"/>
      <c r="BB505" s="93">
        <v>46262</v>
      </c>
      <c r="BC505">
        <v>4250</v>
      </c>
      <c r="BD505" s="56" t="s">
        <v>1257</v>
      </c>
      <c r="BE505" t="s">
        <v>1011</v>
      </c>
      <c r="BF505" t="s">
        <v>1012</v>
      </c>
      <c r="BG505" t="s">
        <v>364</v>
      </c>
      <c r="BH505" t="s">
        <v>1013</v>
      </c>
      <c r="BI505" t="s">
        <v>311</v>
      </c>
      <c r="BJ505" s="93">
        <v>46154</v>
      </c>
      <c r="BK505" s="93">
        <v>46154</v>
      </c>
      <c r="BL505" s="93">
        <v>46154</v>
      </c>
      <c r="BM505" s="93">
        <v>46853</v>
      </c>
      <c r="BN505" s="14">
        <v>1</v>
      </c>
      <c r="BO505" s="14">
        <v>50000000000</v>
      </c>
      <c r="BP505" s="56">
        <v>100</v>
      </c>
      <c r="BQ505" s="56">
        <v>0</v>
      </c>
      <c r="BR505" s="14">
        <v>50384246576</v>
      </c>
      <c r="BS505">
        <v>8.4351760000000002</v>
      </c>
      <c r="BT505" t="s">
        <v>1184</v>
      </c>
      <c r="BU505" s="25">
        <f>_xlfn.XLOOKUP(Dealps_MSB[[#This Row],[DEAL_ID]],Ref!V:V,Ref!X:X,0,0)</f>
        <v>0</v>
      </c>
      <c r="BV505"/>
    </row>
    <row r="506" spans="1:74" x14ac:dyDescent="0.3">
      <c r="A506" s="93">
        <v>46262</v>
      </c>
      <c r="B506">
        <v>4503</v>
      </c>
      <c r="C506" s="56" t="s">
        <v>1073</v>
      </c>
      <c r="D506" t="s">
        <v>325</v>
      </c>
      <c r="E506" t="s">
        <v>1313</v>
      </c>
      <c r="F506" t="s">
        <v>364</v>
      </c>
      <c r="G506" t="s">
        <v>310</v>
      </c>
      <c r="H506" t="s">
        <v>311</v>
      </c>
      <c r="I506" s="93">
        <v>46189</v>
      </c>
      <c r="J506" s="93">
        <v>46189</v>
      </c>
      <c r="K506" s="93">
        <v>46192</v>
      </c>
      <c r="L506" s="93">
        <v>46356</v>
      </c>
      <c r="M506" s="14">
        <v>1</v>
      </c>
      <c r="N506" s="14">
        <v>200000000000</v>
      </c>
      <c r="O506" s="56">
        <v>100.000000044</v>
      </c>
      <c r="P506" s="56">
        <v>0</v>
      </c>
      <c r="Q506" s="14">
        <v>207232876800</v>
      </c>
      <c r="R506">
        <v>6.3696460000000004</v>
      </c>
      <c r="S506" t="s">
        <v>1184</v>
      </c>
      <c r="T506" s="57">
        <f>IF(Dealps[[#This Row],[MATURITY_DATE]]-Dealps[[#This Row],[POSTED_DT]]&lt;0,0,IF(Dealps[[#This Row],[VALUE_DATE]]-Dealps[[#This Row],[POSTED_DT]]&gt;0,Dealps[[#This Row],[MATURITY_DATE]]-Dealps[[#This Row],[VALUE_DATE]],Dealps[[#This Row],[MATURITY_DATE]]-Dealps[[#This Row],[POSTED_DT]]))</f>
        <v>94</v>
      </c>
      <c r="U506" s="25">
        <f>IF(Dealps[[#This Row],[TENOR]]=0,0,IF(Dealps[[#This Row],[DEAL_TYPE]]="B",Dealps[[#This Row],[FACE_AMOUNT]],-Dealps[[#This Row],[FACE_AMOUNT]]))</f>
        <v>-200000000000</v>
      </c>
      <c r="V506" s="25">
        <f>_xlfn.XLOOKUP(Dealps[[#This Row],[PAPER_CODE]],FNRP!D:D,FNRP!H:H,0,0)/100*Dealps[[#This Row],[AMOUNT]]</f>
        <v>0</v>
      </c>
      <c r="W506" s="57" t="str">
        <f>IF(Dealps[[#This Row],[TRANSACTION_STATUS]]&lt;&gt;"V","Ngoai BS",IF(Dealps[[#This Row],[POSTED_DT]]&gt;=Dealps[[#This Row],[VALUE_DATE]],"On BS","Off BS"))</f>
        <v>On BS</v>
      </c>
      <c r="X506" s="25">
        <f>SUMIFS(U:U,C:C,Dealps[[#This Row],[PAPER_CODE]])</f>
        <v>400000000000</v>
      </c>
      <c r="Y506" s="25">
        <f>_xlfn.XLOOKUP(Dealps[[#This Row],[DEAL_ID]],Ref!N:N,Ref!Q:Q,0,0)</f>
        <v>0</v>
      </c>
      <c r="Z506" s="25" t="str">
        <f>IF(Dealps[[#This Row],[CPTY_CODE]]=Dealps[[#This Row],[CPTY_CODE_ISSUER]],"Yes","No")</f>
        <v>No</v>
      </c>
      <c r="AA506" s="25"/>
      <c r="AC506" s="14"/>
      <c r="AG506" s="96"/>
      <c r="AH506" s="25"/>
      <c r="AI506" s="25"/>
      <c r="AN506" s="14"/>
      <c r="AV506" s="36"/>
      <c r="AW506" s="14"/>
      <c r="AX506" s="234"/>
      <c r="AY506" s="96"/>
      <c r="AZ506" s="14"/>
      <c r="BA506"/>
      <c r="BB506" s="93">
        <v>46262</v>
      </c>
      <c r="BC506">
        <v>4264</v>
      </c>
      <c r="BD506" s="56" t="s">
        <v>1257</v>
      </c>
      <c r="BE506" t="s">
        <v>1011</v>
      </c>
      <c r="BF506" t="s">
        <v>1012</v>
      </c>
      <c r="BG506" t="s">
        <v>364</v>
      </c>
      <c r="BH506" t="s">
        <v>1013</v>
      </c>
      <c r="BI506" t="s">
        <v>311</v>
      </c>
      <c r="BJ506" s="93">
        <v>46156</v>
      </c>
      <c r="BK506" s="93">
        <v>46156</v>
      </c>
      <c r="BL506" s="93">
        <v>46156</v>
      </c>
      <c r="BM506" s="93">
        <v>46853</v>
      </c>
      <c r="BN506" s="14">
        <v>1</v>
      </c>
      <c r="BO506" s="14">
        <v>50000000000</v>
      </c>
      <c r="BP506" s="56">
        <v>100</v>
      </c>
      <c r="BQ506" s="56">
        <v>0</v>
      </c>
      <c r="BR506" s="14">
        <v>50407534247</v>
      </c>
      <c r="BS506">
        <v>8.431279</v>
      </c>
      <c r="BT506" t="s">
        <v>1184</v>
      </c>
      <c r="BU506" s="25">
        <f>_xlfn.XLOOKUP(Dealps_MSB[[#This Row],[DEAL_ID]],Ref!V:V,Ref!X:X,0,0)</f>
        <v>0</v>
      </c>
      <c r="BV506"/>
    </row>
    <row r="507" spans="1:74" x14ac:dyDescent="0.3">
      <c r="A507" s="93">
        <v>46262</v>
      </c>
      <c r="B507">
        <v>4505</v>
      </c>
      <c r="C507" s="56" t="s">
        <v>1061</v>
      </c>
      <c r="D507" t="s">
        <v>312</v>
      </c>
      <c r="E507" t="s">
        <v>320</v>
      </c>
      <c r="F507" t="s">
        <v>364</v>
      </c>
      <c r="G507" t="s">
        <v>310</v>
      </c>
      <c r="H507" t="s">
        <v>300</v>
      </c>
      <c r="I507" s="93">
        <v>46189</v>
      </c>
      <c r="J507" s="93">
        <v>46189</v>
      </c>
      <c r="K507" s="93">
        <v>46189</v>
      </c>
      <c r="L507" s="93">
        <v>46343</v>
      </c>
      <c r="M507" s="14">
        <v>1</v>
      </c>
      <c r="N507" s="14">
        <v>1000000000000</v>
      </c>
      <c r="O507" s="56">
        <v>99.566988666</v>
      </c>
      <c r="P507" s="56">
        <v>0</v>
      </c>
      <c r="Q507" s="14">
        <v>1031916462000</v>
      </c>
      <c r="R507">
        <v>7.0996959999999998</v>
      </c>
      <c r="S507" t="s">
        <v>1184</v>
      </c>
      <c r="T507" s="57">
        <f>IF(Dealps[[#This Row],[MATURITY_DATE]]-Dealps[[#This Row],[POSTED_DT]]&lt;0,0,IF(Dealps[[#This Row],[VALUE_DATE]]-Dealps[[#This Row],[POSTED_DT]]&gt;0,Dealps[[#This Row],[MATURITY_DATE]]-Dealps[[#This Row],[VALUE_DATE]],Dealps[[#This Row],[MATURITY_DATE]]-Dealps[[#This Row],[POSTED_DT]]))</f>
        <v>81</v>
      </c>
      <c r="U507" s="25">
        <f>IF(Dealps[[#This Row],[TENOR]]=0,0,IF(Dealps[[#This Row],[DEAL_TYPE]]="B",Dealps[[#This Row],[FACE_AMOUNT]],-Dealps[[#This Row],[FACE_AMOUNT]]))</f>
        <v>1000000000000</v>
      </c>
      <c r="V507" s="25">
        <f>_xlfn.XLOOKUP(Dealps[[#This Row],[PAPER_CODE]],FNRP!D:D,FNRP!H:H,0,0)/100*Dealps[[#This Row],[AMOUNT]]</f>
        <v>0</v>
      </c>
      <c r="W507" s="57" t="str">
        <f>IF(Dealps[[#This Row],[TRANSACTION_STATUS]]&lt;&gt;"V","Ngoai BS",IF(Dealps[[#This Row],[POSTED_DT]]&gt;=Dealps[[#This Row],[VALUE_DATE]],"On BS","Off BS"))</f>
        <v>On BS</v>
      </c>
      <c r="X507" s="25">
        <f>SUMIFS(U:U,C:C,Dealps[[#This Row],[PAPER_CODE]])</f>
        <v>1500000000000</v>
      </c>
      <c r="Y507" s="25">
        <f>_xlfn.XLOOKUP(Dealps[[#This Row],[DEAL_ID]],Ref!N:N,Ref!Q:Q,0,0)</f>
        <v>0</v>
      </c>
      <c r="Z507" s="25" t="str">
        <f>IF(Dealps[[#This Row],[CPTY_CODE]]=Dealps[[#This Row],[CPTY_CODE_ISSUER]],"Yes","No")</f>
        <v>No</v>
      </c>
      <c r="AA507" s="25"/>
      <c r="AC507" s="14"/>
      <c r="AG507" s="96"/>
      <c r="AH507" s="25"/>
      <c r="AI507" s="25"/>
      <c r="AN507" s="14"/>
      <c r="AV507" s="36"/>
      <c r="AW507" s="14"/>
      <c r="AX507" s="234"/>
      <c r="AY507" s="96"/>
      <c r="AZ507" s="14"/>
      <c r="BA507"/>
      <c r="BB507" s="93">
        <v>46262</v>
      </c>
      <c r="BC507">
        <v>4265</v>
      </c>
      <c r="BD507" s="56" t="s">
        <v>1257</v>
      </c>
      <c r="BE507" t="s">
        <v>1011</v>
      </c>
      <c r="BF507" t="s">
        <v>1012</v>
      </c>
      <c r="BG507" t="s">
        <v>364</v>
      </c>
      <c r="BH507" t="s">
        <v>1013</v>
      </c>
      <c r="BI507" t="s">
        <v>311</v>
      </c>
      <c r="BJ507" s="93">
        <v>46156</v>
      </c>
      <c r="BK507" s="93">
        <v>46156</v>
      </c>
      <c r="BL507" s="93">
        <v>46156</v>
      </c>
      <c r="BM507" s="93">
        <v>46853</v>
      </c>
      <c r="BN507" s="14">
        <v>1</v>
      </c>
      <c r="BO507" s="14">
        <v>50000000000</v>
      </c>
      <c r="BP507" s="56">
        <v>100</v>
      </c>
      <c r="BQ507" s="56">
        <v>0</v>
      </c>
      <c r="BR507" s="14">
        <v>50407534247</v>
      </c>
      <c r="BS507">
        <v>8.431279</v>
      </c>
      <c r="BT507" t="s">
        <v>1184</v>
      </c>
      <c r="BU507" s="25">
        <f>_xlfn.XLOOKUP(Dealps_MSB[[#This Row],[DEAL_ID]],Ref!V:V,Ref!X:X,0,0)</f>
        <v>0</v>
      </c>
      <c r="BV507"/>
    </row>
    <row r="508" spans="1:74" x14ac:dyDescent="0.3">
      <c r="A508" s="93">
        <v>46262</v>
      </c>
      <c r="B508">
        <v>4508</v>
      </c>
      <c r="C508" s="56" t="s">
        <v>963</v>
      </c>
      <c r="D508" t="s">
        <v>308</v>
      </c>
      <c r="E508" t="s">
        <v>1313</v>
      </c>
      <c r="F508" t="s">
        <v>364</v>
      </c>
      <c r="G508" t="s">
        <v>310</v>
      </c>
      <c r="H508" t="s">
        <v>311</v>
      </c>
      <c r="I508" s="93">
        <v>46189</v>
      </c>
      <c r="J508" s="93">
        <v>46189</v>
      </c>
      <c r="K508" s="93">
        <v>46192</v>
      </c>
      <c r="L508" s="93">
        <v>46295</v>
      </c>
      <c r="M508" s="14">
        <v>1</v>
      </c>
      <c r="N508" s="14">
        <v>150000000000</v>
      </c>
      <c r="O508" s="56">
        <v>99.999999991999999</v>
      </c>
      <c r="P508" s="56">
        <v>0</v>
      </c>
      <c r="Q508" s="14">
        <v>156542876700</v>
      </c>
      <c r="R508">
        <v>5.8450439999999997</v>
      </c>
      <c r="S508" t="s">
        <v>1184</v>
      </c>
      <c r="T508" s="57">
        <f>IF(Dealps[[#This Row],[MATURITY_DATE]]-Dealps[[#This Row],[POSTED_DT]]&lt;0,0,IF(Dealps[[#This Row],[VALUE_DATE]]-Dealps[[#This Row],[POSTED_DT]]&gt;0,Dealps[[#This Row],[MATURITY_DATE]]-Dealps[[#This Row],[VALUE_DATE]],Dealps[[#This Row],[MATURITY_DATE]]-Dealps[[#This Row],[POSTED_DT]]))</f>
        <v>33</v>
      </c>
      <c r="U508" s="25">
        <f>IF(Dealps[[#This Row],[TENOR]]=0,0,IF(Dealps[[#This Row],[DEAL_TYPE]]="B",Dealps[[#This Row],[FACE_AMOUNT]],-Dealps[[#This Row],[FACE_AMOUNT]]))</f>
        <v>-150000000000</v>
      </c>
      <c r="V508" s="25">
        <f>_xlfn.XLOOKUP(Dealps[[#This Row],[PAPER_CODE]],FNRP!D:D,FNRP!H:H,0,0)/100*Dealps[[#This Row],[AMOUNT]]</f>
        <v>0</v>
      </c>
      <c r="W508" s="57" t="str">
        <f>IF(Dealps[[#This Row],[TRANSACTION_STATUS]]&lt;&gt;"V","Ngoai BS",IF(Dealps[[#This Row],[POSTED_DT]]&gt;=Dealps[[#This Row],[VALUE_DATE]],"On BS","Off BS"))</f>
        <v>On BS</v>
      </c>
      <c r="X508" s="25">
        <f>SUMIFS(U:U,C:C,Dealps[[#This Row],[PAPER_CODE]])</f>
        <v>400000000000</v>
      </c>
      <c r="Y508" s="25">
        <f>_xlfn.XLOOKUP(Dealps[[#This Row],[DEAL_ID]],Ref!N:N,Ref!Q:Q,0,0)</f>
        <v>0</v>
      </c>
      <c r="Z508" s="25" t="str">
        <f>IF(Dealps[[#This Row],[CPTY_CODE]]=Dealps[[#This Row],[CPTY_CODE_ISSUER]],"Yes","No")</f>
        <v>No</v>
      </c>
      <c r="AA508" s="25"/>
      <c r="AC508" s="14"/>
      <c r="AG508" s="96"/>
      <c r="AH508" s="25"/>
      <c r="AI508" s="25"/>
      <c r="AN508" s="14"/>
      <c r="AV508" s="36"/>
      <c r="AW508" s="14"/>
      <c r="AX508" s="234"/>
      <c r="AY508" s="96"/>
      <c r="AZ508" s="14"/>
      <c r="BA508"/>
      <c r="BB508" s="93">
        <v>46262</v>
      </c>
      <c r="BC508">
        <v>4266</v>
      </c>
      <c r="BD508" s="56" t="s">
        <v>1257</v>
      </c>
      <c r="BE508" t="s">
        <v>1011</v>
      </c>
      <c r="BF508" t="s">
        <v>1012</v>
      </c>
      <c r="BG508" t="s">
        <v>364</v>
      </c>
      <c r="BH508" t="s">
        <v>1013</v>
      </c>
      <c r="BI508" t="s">
        <v>311</v>
      </c>
      <c r="BJ508" s="93">
        <v>46156</v>
      </c>
      <c r="BK508" s="93">
        <v>46156</v>
      </c>
      <c r="BL508" s="93">
        <v>46156</v>
      </c>
      <c r="BM508" s="93">
        <v>46853</v>
      </c>
      <c r="BN508" s="14">
        <v>1</v>
      </c>
      <c r="BO508" s="14">
        <v>50000000000</v>
      </c>
      <c r="BP508" s="56">
        <v>100</v>
      </c>
      <c r="BQ508" s="56">
        <v>0</v>
      </c>
      <c r="BR508" s="14">
        <v>50407534247</v>
      </c>
      <c r="BS508">
        <v>8.431279</v>
      </c>
      <c r="BT508" t="s">
        <v>1184</v>
      </c>
      <c r="BU508" s="25">
        <f>_xlfn.XLOOKUP(Dealps_MSB[[#This Row],[DEAL_ID]],Ref!V:V,Ref!X:X,0,0)</f>
        <v>0</v>
      </c>
      <c r="BV508"/>
    </row>
    <row r="509" spans="1:74" x14ac:dyDescent="0.3">
      <c r="A509" s="93">
        <v>46262</v>
      </c>
      <c r="B509">
        <v>4510</v>
      </c>
      <c r="C509" s="56" t="s">
        <v>1204</v>
      </c>
      <c r="D509" t="s">
        <v>315</v>
      </c>
      <c r="E509" t="s">
        <v>939</v>
      </c>
      <c r="F509" t="s">
        <v>364</v>
      </c>
      <c r="G509" t="s">
        <v>310</v>
      </c>
      <c r="H509" t="s">
        <v>311</v>
      </c>
      <c r="I509" s="93">
        <v>46189</v>
      </c>
      <c r="J509" s="93">
        <v>46191</v>
      </c>
      <c r="K509" s="93">
        <v>46191</v>
      </c>
      <c r="L509" s="93">
        <v>46422</v>
      </c>
      <c r="M509" s="14">
        <v>1</v>
      </c>
      <c r="N509" s="14">
        <v>30000000000</v>
      </c>
      <c r="O509" s="56">
        <v>100.470180797</v>
      </c>
      <c r="P509" s="56">
        <v>0</v>
      </c>
      <c r="Q509" s="14">
        <v>30938446020.000004</v>
      </c>
      <c r="R509">
        <v>6.3</v>
      </c>
      <c r="S509" t="s">
        <v>1184</v>
      </c>
      <c r="T509" s="57">
        <f>IF(Dealps[[#This Row],[MATURITY_DATE]]-Dealps[[#This Row],[POSTED_DT]]&lt;0,0,IF(Dealps[[#This Row],[VALUE_DATE]]-Dealps[[#This Row],[POSTED_DT]]&gt;0,Dealps[[#This Row],[MATURITY_DATE]]-Dealps[[#This Row],[VALUE_DATE]],Dealps[[#This Row],[MATURITY_DATE]]-Dealps[[#This Row],[POSTED_DT]]))</f>
        <v>160</v>
      </c>
      <c r="U509" s="25">
        <f>IF(Dealps[[#This Row],[TENOR]]=0,0,IF(Dealps[[#This Row],[DEAL_TYPE]]="B",Dealps[[#This Row],[FACE_AMOUNT]],-Dealps[[#This Row],[FACE_AMOUNT]]))</f>
        <v>-30000000000</v>
      </c>
      <c r="V509" s="25">
        <f>_xlfn.XLOOKUP(Dealps[[#This Row],[PAPER_CODE]],FNRP!D:D,FNRP!H:H,0,0)/100*Dealps[[#This Row],[AMOUNT]]</f>
        <v>0</v>
      </c>
      <c r="W509" s="57" t="str">
        <f>IF(Dealps[[#This Row],[TRANSACTION_STATUS]]&lt;&gt;"V","Ngoai BS",IF(Dealps[[#This Row],[POSTED_DT]]&gt;=Dealps[[#This Row],[VALUE_DATE]],"On BS","Off BS"))</f>
        <v>On BS</v>
      </c>
      <c r="X509" s="25">
        <f>SUMIFS(U:U,C:C,Dealps[[#This Row],[PAPER_CODE]])</f>
        <v>1000000000000</v>
      </c>
      <c r="Y509" s="25">
        <f>_xlfn.XLOOKUP(Dealps[[#This Row],[DEAL_ID]],Ref!N:N,Ref!Q:Q,0,0)</f>
        <v>0</v>
      </c>
      <c r="Z509" s="25" t="str">
        <f>IF(Dealps[[#This Row],[CPTY_CODE]]=Dealps[[#This Row],[CPTY_CODE_ISSUER]],"Yes","No")</f>
        <v>No</v>
      </c>
      <c r="AA509" s="25"/>
      <c r="AC509" s="14"/>
      <c r="AG509" s="96"/>
      <c r="AH509" s="25"/>
      <c r="AI509" s="25"/>
      <c r="AN509" s="14"/>
      <c r="AV509" s="36"/>
      <c r="AW509" s="14"/>
      <c r="AX509" s="234"/>
      <c r="AY509" s="96"/>
      <c r="AZ509" s="14"/>
      <c r="BA509"/>
      <c r="BB509" s="93">
        <v>46262</v>
      </c>
      <c r="BC509">
        <v>4267</v>
      </c>
      <c r="BD509" s="56" t="s">
        <v>1257</v>
      </c>
      <c r="BE509" t="s">
        <v>1011</v>
      </c>
      <c r="BF509" t="s">
        <v>1012</v>
      </c>
      <c r="BG509" t="s">
        <v>364</v>
      </c>
      <c r="BH509" t="s">
        <v>1013</v>
      </c>
      <c r="BI509" t="s">
        <v>311</v>
      </c>
      <c r="BJ509" s="93">
        <v>46156</v>
      </c>
      <c r="BK509" s="93">
        <v>46156</v>
      </c>
      <c r="BL509" s="93">
        <v>46156</v>
      </c>
      <c r="BM509" s="93">
        <v>46853</v>
      </c>
      <c r="BN509" s="14">
        <v>1</v>
      </c>
      <c r="BO509" s="14">
        <v>50000000000</v>
      </c>
      <c r="BP509" s="56">
        <v>100</v>
      </c>
      <c r="BQ509" s="56">
        <v>0</v>
      </c>
      <c r="BR509" s="14">
        <v>50407534247</v>
      </c>
      <c r="BS509">
        <v>8.431279</v>
      </c>
      <c r="BT509" t="s">
        <v>1184</v>
      </c>
      <c r="BU509" s="25">
        <f>_xlfn.XLOOKUP(Dealps_MSB[[#This Row],[DEAL_ID]],Ref!V:V,Ref!X:X,0,0)</f>
        <v>0</v>
      </c>
      <c r="BV509"/>
    </row>
    <row r="510" spans="1:74" x14ac:dyDescent="0.3">
      <c r="A510" s="93">
        <v>46262</v>
      </c>
      <c r="B510">
        <v>4511</v>
      </c>
      <c r="C510" s="56" t="s">
        <v>1204</v>
      </c>
      <c r="D510" t="s">
        <v>315</v>
      </c>
      <c r="E510" t="s">
        <v>939</v>
      </c>
      <c r="F510" t="s">
        <v>364</v>
      </c>
      <c r="G510" t="s">
        <v>310</v>
      </c>
      <c r="H510" t="s">
        <v>300</v>
      </c>
      <c r="I510" s="93">
        <v>46189</v>
      </c>
      <c r="J510" s="93">
        <v>46219</v>
      </c>
      <c r="K510" s="93">
        <v>46219</v>
      </c>
      <c r="L510" s="93">
        <v>46422</v>
      </c>
      <c r="M510" s="14">
        <v>1</v>
      </c>
      <c r="N510" s="14">
        <v>30000000000</v>
      </c>
      <c r="O510" s="56">
        <v>100.52661683700001</v>
      </c>
      <c r="P510" s="56">
        <v>0</v>
      </c>
      <c r="Q510" s="14">
        <v>31121996009.999996</v>
      </c>
      <c r="R510">
        <v>6.0662500000000001</v>
      </c>
      <c r="S510" t="s">
        <v>1184</v>
      </c>
      <c r="T510" s="57">
        <f>IF(Dealps[[#This Row],[MATURITY_DATE]]-Dealps[[#This Row],[POSTED_DT]]&lt;0,0,IF(Dealps[[#This Row],[VALUE_DATE]]-Dealps[[#This Row],[POSTED_DT]]&gt;0,Dealps[[#This Row],[MATURITY_DATE]]-Dealps[[#This Row],[VALUE_DATE]],Dealps[[#This Row],[MATURITY_DATE]]-Dealps[[#This Row],[POSTED_DT]]))</f>
        <v>160</v>
      </c>
      <c r="U510" s="25">
        <f>IF(Dealps[[#This Row],[TENOR]]=0,0,IF(Dealps[[#This Row],[DEAL_TYPE]]="B",Dealps[[#This Row],[FACE_AMOUNT]],-Dealps[[#This Row],[FACE_AMOUNT]]))</f>
        <v>30000000000</v>
      </c>
      <c r="V510" s="25">
        <f>_xlfn.XLOOKUP(Dealps[[#This Row],[PAPER_CODE]],FNRP!D:D,FNRP!H:H,0,0)/100*Dealps[[#This Row],[AMOUNT]]</f>
        <v>0</v>
      </c>
      <c r="W510" s="57" t="str">
        <f>IF(Dealps[[#This Row],[TRANSACTION_STATUS]]&lt;&gt;"V","Ngoai BS",IF(Dealps[[#This Row],[POSTED_DT]]&gt;=Dealps[[#This Row],[VALUE_DATE]],"On BS","Off BS"))</f>
        <v>On BS</v>
      </c>
      <c r="X510" s="25">
        <f>SUMIFS(U:U,C:C,Dealps[[#This Row],[PAPER_CODE]])</f>
        <v>1000000000000</v>
      </c>
      <c r="Y510" s="25">
        <f>_xlfn.XLOOKUP(Dealps[[#This Row],[DEAL_ID]],Ref!N:N,Ref!Q:Q,0,0)</f>
        <v>0</v>
      </c>
      <c r="Z510" s="25" t="str">
        <f>IF(Dealps[[#This Row],[CPTY_CODE]]=Dealps[[#This Row],[CPTY_CODE_ISSUER]],"Yes","No")</f>
        <v>No</v>
      </c>
      <c r="AA510" s="25"/>
      <c r="AC510" s="14"/>
      <c r="AG510" s="96"/>
      <c r="AH510" s="25"/>
      <c r="AI510" s="25"/>
      <c r="AN510" s="14"/>
      <c r="AV510" s="36"/>
      <c r="AW510" s="14"/>
      <c r="AX510" s="234"/>
      <c r="AY510" s="96"/>
      <c r="AZ510" s="14"/>
      <c r="BA510"/>
      <c r="BB510" s="93">
        <v>46262</v>
      </c>
      <c r="BC510">
        <v>4374</v>
      </c>
      <c r="BD510" s="56" t="s">
        <v>1257</v>
      </c>
      <c r="BE510" t="s">
        <v>1011</v>
      </c>
      <c r="BF510" t="s">
        <v>1012</v>
      </c>
      <c r="BG510" t="s">
        <v>364</v>
      </c>
      <c r="BH510" t="s">
        <v>1013</v>
      </c>
      <c r="BI510" t="s">
        <v>311</v>
      </c>
      <c r="BJ510" s="93">
        <v>46174</v>
      </c>
      <c r="BK510" s="93">
        <v>46174</v>
      </c>
      <c r="BL510" s="93">
        <v>46174</v>
      </c>
      <c r="BM510" s="93">
        <v>46853</v>
      </c>
      <c r="BN510" s="14">
        <v>1</v>
      </c>
      <c r="BO510" s="14">
        <v>30000000000</v>
      </c>
      <c r="BP510" s="56">
        <v>100</v>
      </c>
      <c r="BQ510" s="56">
        <v>0</v>
      </c>
      <c r="BR510" s="14">
        <v>30370273973</v>
      </c>
      <c r="BS510">
        <v>8.3963680000000007</v>
      </c>
      <c r="BT510" t="s">
        <v>1184</v>
      </c>
      <c r="BU510" s="25">
        <f>_xlfn.XLOOKUP(Dealps_MSB[[#This Row],[DEAL_ID]],Ref!V:V,Ref!X:X,0,0)</f>
        <v>0</v>
      </c>
      <c r="BV510"/>
    </row>
    <row r="511" spans="1:74" x14ac:dyDescent="0.3">
      <c r="A511" s="93">
        <v>46262</v>
      </c>
      <c r="B511">
        <v>4512</v>
      </c>
      <c r="C511" s="56" t="s">
        <v>1204</v>
      </c>
      <c r="D511" t="s">
        <v>315</v>
      </c>
      <c r="E511" t="s">
        <v>1253</v>
      </c>
      <c r="F511" t="s">
        <v>364</v>
      </c>
      <c r="G511" t="s">
        <v>310</v>
      </c>
      <c r="H511" t="s">
        <v>311</v>
      </c>
      <c r="I511" s="93">
        <v>46189</v>
      </c>
      <c r="J511" s="93">
        <v>46191</v>
      </c>
      <c r="K511" s="93">
        <v>46191</v>
      </c>
      <c r="L511" s="93">
        <v>46422</v>
      </c>
      <c r="M511" s="14">
        <v>1</v>
      </c>
      <c r="N511" s="14">
        <v>90000000000</v>
      </c>
      <c r="O511" s="56">
        <v>100.470180797</v>
      </c>
      <c r="P511" s="56">
        <v>0</v>
      </c>
      <c r="Q511" s="14">
        <v>92815338060</v>
      </c>
      <c r="R511">
        <v>6.3</v>
      </c>
      <c r="S511" t="s">
        <v>1184</v>
      </c>
      <c r="T511" s="57">
        <f>IF(Dealps[[#This Row],[MATURITY_DATE]]-Dealps[[#This Row],[POSTED_DT]]&lt;0,0,IF(Dealps[[#This Row],[VALUE_DATE]]-Dealps[[#This Row],[POSTED_DT]]&gt;0,Dealps[[#This Row],[MATURITY_DATE]]-Dealps[[#This Row],[VALUE_DATE]],Dealps[[#This Row],[MATURITY_DATE]]-Dealps[[#This Row],[POSTED_DT]]))</f>
        <v>160</v>
      </c>
      <c r="U511" s="25">
        <f>IF(Dealps[[#This Row],[TENOR]]=0,0,IF(Dealps[[#This Row],[DEAL_TYPE]]="B",Dealps[[#This Row],[FACE_AMOUNT]],-Dealps[[#This Row],[FACE_AMOUNT]]))</f>
        <v>-90000000000</v>
      </c>
      <c r="V511" s="25">
        <f>_xlfn.XLOOKUP(Dealps[[#This Row],[PAPER_CODE]],FNRP!D:D,FNRP!H:H,0,0)/100*Dealps[[#This Row],[AMOUNT]]</f>
        <v>0</v>
      </c>
      <c r="W511" s="57" t="str">
        <f>IF(Dealps[[#This Row],[TRANSACTION_STATUS]]&lt;&gt;"V","Ngoai BS",IF(Dealps[[#This Row],[POSTED_DT]]&gt;=Dealps[[#This Row],[VALUE_DATE]],"On BS","Off BS"))</f>
        <v>On BS</v>
      </c>
      <c r="X511" s="25">
        <f>SUMIFS(U:U,C:C,Dealps[[#This Row],[PAPER_CODE]])</f>
        <v>1000000000000</v>
      </c>
      <c r="Y511" s="25">
        <f>_xlfn.XLOOKUP(Dealps[[#This Row],[DEAL_ID]],Ref!N:N,Ref!Q:Q,0,0)</f>
        <v>0</v>
      </c>
      <c r="Z511" s="25" t="str">
        <f>IF(Dealps[[#This Row],[CPTY_CODE]]=Dealps[[#This Row],[CPTY_CODE_ISSUER]],"Yes","No")</f>
        <v>No</v>
      </c>
      <c r="AA511" s="25"/>
      <c r="AC511" s="14"/>
      <c r="AG511" s="96"/>
      <c r="AH511" s="25"/>
      <c r="AI511" s="25"/>
      <c r="AN511" s="14"/>
      <c r="AV511" s="36"/>
      <c r="AW511" s="14"/>
      <c r="AX511" s="234"/>
      <c r="AY511" s="96"/>
      <c r="AZ511" s="14"/>
      <c r="BA511"/>
      <c r="BB511" s="93">
        <v>46262</v>
      </c>
      <c r="BC511">
        <v>4375</v>
      </c>
      <c r="BD511" s="56" t="s">
        <v>1257</v>
      </c>
      <c r="BE511" t="s">
        <v>1011</v>
      </c>
      <c r="BF511" t="s">
        <v>1012</v>
      </c>
      <c r="BG511" t="s">
        <v>364</v>
      </c>
      <c r="BH511" t="s">
        <v>1013</v>
      </c>
      <c r="BI511" t="s">
        <v>311</v>
      </c>
      <c r="BJ511" s="93">
        <v>46174</v>
      </c>
      <c r="BK511" s="93">
        <v>46174</v>
      </c>
      <c r="BL511" s="93">
        <v>46174</v>
      </c>
      <c r="BM511" s="93">
        <v>46853</v>
      </c>
      <c r="BN511" s="14">
        <v>1</v>
      </c>
      <c r="BO511" s="14">
        <v>50000000000</v>
      </c>
      <c r="BP511" s="56">
        <v>100</v>
      </c>
      <c r="BQ511" s="56">
        <v>0</v>
      </c>
      <c r="BR511" s="14">
        <v>50617123288</v>
      </c>
      <c r="BS511">
        <v>8.3963680000000007</v>
      </c>
      <c r="BT511" t="s">
        <v>1184</v>
      </c>
      <c r="BU511" s="25">
        <f>_xlfn.XLOOKUP(Dealps_MSB[[#This Row],[DEAL_ID]],Ref!V:V,Ref!X:X,0,0)</f>
        <v>0</v>
      </c>
      <c r="BV511"/>
    </row>
    <row r="512" spans="1:74" x14ac:dyDescent="0.3">
      <c r="A512" s="93">
        <v>46262</v>
      </c>
      <c r="B512">
        <v>4514</v>
      </c>
      <c r="C512" s="56" t="s">
        <v>1010</v>
      </c>
      <c r="D512" t="s">
        <v>328</v>
      </c>
      <c r="E512" t="s">
        <v>322</v>
      </c>
      <c r="F512" t="s">
        <v>364</v>
      </c>
      <c r="G512" t="s">
        <v>310</v>
      </c>
      <c r="H512" t="s">
        <v>300</v>
      </c>
      <c r="I512" s="93">
        <v>46190</v>
      </c>
      <c r="J512" s="93">
        <v>46177</v>
      </c>
      <c r="K512" s="93">
        <v>46190</v>
      </c>
      <c r="L512" s="93">
        <v>46329</v>
      </c>
      <c r="M512" s="14">
        <v>1</v>
      </c>
      <c r="N512" s="14">
        <v>300000000000</v>
      </c>
      <c r="O512" s="56">
        <v>100.093895256</v>
      </c>
      <c r="P512" s="56">
        <v>0</v>
      </c>
      <c r="Q512" s="14">
        <v>311932370700</v>
      </c>
      <c r="R512">
        <v>5.8218779999999999</v>
      </c>
      <c r="S512" t="s">
        <v>1184</v>
      </c>
      <c r="T512" s="57">
        <f>IF(Dealps[[#This Row],[MATURITY_DATE]]-Dealps[[#This Row],[POSTED_DT]]&lt;0,0,IF(Dealps[[#This Row],[VALUE_DATE]]-Dealps[[#This Row],[POSTED_DT]]&gt;0,Dealps[[#This Row],[MATURITY_DATE]]-Dealps[[#This Row],[VALUE_DATE]],Dealps[[#This Row],[MATURITY_DATE]]-Dealps[[#This Row],[POSTED_DT]]))</f>
        <v>67</v>
      </c>
      <c r="U512" s="25">
        <f>IF(Dealps[[#This Row],[TENOR]]=0,0,IF(Dealps[[#This Row],[DEAL_TYPE]]="B",Dealps[[#This Row],[FACE_AMOUNT]],-Dealps[[#This Row],[FACE_AMOUNT]]))</f>
        <v>300000000000</v>
      </c>
      <c r="V512" s="25">
        <f>_xlfn.XLOOKUP(Dealps[[#This Row],[PAPER_CODE]],FNRP!D:D,FNRP!H:H,0,0)/100*Dealps[[#This Row],[AMOUNT]]</f>
        <v>0</v>
      </c>
      <c r="W512" s="57" t="str">
        <f>IF(Dealps[[#This Row],[TRANSACTION_STATUS]]&lt;&gt;"V","Ngoai BS",IF(Dealps[[#This Row],[POSTED_DT]]&gt;=Dealps[[#This Row],[VALUE_DATE]],"On BS","Off BS"))</f>
        <v>On BS</v>
      </c>
      <c r="X512" s="25">
        <f>SUMIFS(U:U,C:C,Dealps[[#This Row],[PAPER_CODE]])</f>
        <v>2000000000000</v>
      </c>
      <c r="Y512" s="25">
        <f>_xlfn.XLOOKUP(Dealps[[#This Row],[DEAL_ID]],Ref!N:N,Ref!Q:Q,0,0)</f>
        <v>0</v>
      </c>
      <c r="Z512" s="25" t="str">
        <f>IF(Dealps[[#This Row],[CPTY_CODE]]=Dealps[[#This Row],[CPTY_CODE_ISSUER]],"Yes","No")</f>
        <v>No</v>
      </c>
      <c r="AA512" s="25"/>
      <c r="AC512" s="14"/>
      <c r="AG512" s="96"/>
      <c r="AH512" s="25"/>
      <c r="AI512" s="25"/>
      <c r="AN512" s="14"/>
      <c r="AV512" s="36"/>
      <c r="AW512" s="14"/>
      <c r="AX512" s="234"/>
      <c r="AY512" s="96"/>
      <c r="AZ512" s="14"/>
      <c r="BA512"/>
      <c r="BB512" s="93">
        <v>46262</v>
      </c>
      <c r="BC512">
        <v>4376</v>
      </c>
      <c r="BD512" s="56" t="s">
        <v>1257</v>
      </c>
      <c r="BE512" t="s">
        <v>1011</v>
      </c>
      <c r="BF512" t="s">
        <v>1012</v>
      </c>
      <c r="BG512" t="s">
        <v>364</v>
      </c>
      <c r="BH512" t="s">
        <v>1013</v>
      </c>
      <c r="BI512" t="s">
        <v>311</v>
      </c>
      <c r="BJ512" s="93">
        <v>46174</v>
      </c>
      <c r="BK512" s="93">
        <v>46174</v>
      </c>
      <c r="BL512" s="93">
        <v>46174</v>
      </c>
      <c r="BM512" s="93">
        <v>46853</v>
      </c>
      <c r="BN512" s="14">
        <v>1</v>
      </c>
      <c r="BO512" s="14">
        <v>50000000000</v>
      </c>
      <c r="BP512" s="56">
        <v>100</v>
      </c>
      <c r="BQ512" s="56">
        <v>0</v>
      </c>
      <c r="BR512" s="14">
        <v>50617123288</v>
      </c>
      <c r="BS512">
        <v>8.3963680000000007</v>
      </c>
      <c r="BT512" t="s">
        <v>1184</v>
      </c>
      <c r="BU512" s="25">
        <f>_xlfn.XLOOKUP(Dealps_MSB[[#This Row],[DEAL_ID]],Ref!V:V,Ref!X:X,0,0)</f>
        <v>0</v>
      </c>
      <c r="BV512"/>
    </row>
    <row r="513" spans="1:74" x14ac:dyDescent="0.3">
      <c r="A513" s="93">
        <v>46262</v>
      </c>
      <c r="B513">
        <v>4515</v>
      </c>
      <c r="C513" s="56" t="s">
        <v>1256</v>
      </c>
      <c r="D513" t="s">
        <v>316</v>
      </c>
      <c r="E513" t="s">
        <v>322</v>
      </c>
      <c r="F513" t="s">
        <v>364</v>
      </c>
      <c r="G513" t="s">
        <v>310</v>
      </c>
      <c r="H513" t="s">
        <v>300</v>
      </c>
      <c r="I513" s="93">
        <v>46190</v>
      </c>
      <c r="J513" s="93">
        <v>46177</v>
      </c>
      <c r="K513" s="93">
        <v>46190</v>
      </c>
      <c r="L513" s="93">
        <v>46486</v>
      </c>
      <c r="M513" s="14">
        <v>1</v>
      </c>
      <c r="N513" s="14">
        <v>200000000000</v>
      </c>
      <c r="O513" s="56">
        <v>100.925731666</v>
      </c>
      <c r="P513" s="56">
        <v>0</v>
      </c>
      <c r="Q513" s="14">
        <v>205140778400</v>
      </c>
      <c r="R513">
        <v>7.369059</v>
      </c>
      <c r="S513" t="s">
        <v>1184</v>
      </c>
      <c r="T513" s="57">
        <f>IF(Dealps[[#This Row],[MATURITY_DATE]]-Dealps[[#This Row],[POSTED_DT]]&lt;0,0,IF(Dealps[[#This Row],[VALUE_DATE]]-Dealps[[#This Row],[POSTED_DT]]&gt;0,Dealps[[#This Row],[MATURITY_DATE]]-Dealps[[#This Row],[VALUE_DATE]],Dealps[[#This Row],[MATURITY_DATE]]-Dealps[[#This Row],[POSTED_DT]]))</f>
        <v>224</v>
      </c>
      <c r="U513" s="25">
        <f>IF(Dealps[[#This Row],[TENOR]]=0,0,IF(Dealps[[#This Row],[DEAL_TYPE]]="B",Dealps[[#This Row],[FACE_AMOUNT]],-Dealps[[#This Row],[FACE_AMOUNT]]))</f>
        <v>200000000000</v>
      </c>
      <c r="V513" s="25">
        <f>_xlfn.XLOOKUP(Dealps[[#This Row],[PAPER_CODE]],FNRP!D:D,FNRP!H:H,0,0)/100*Dealps[[#This Row],[AMOUNT]]</f>
        <v>0</v>
      </c>
      <c r="W513" s="57" t="str">
        <f>IF(Dealps[[#This Row],[TRANSACTION_STATUS]]&lt;&gt;"V","Ngoai BS",IF(Dealps[[#This Row],[POSTED_DT]]&gt;=Dealps[[#This Row],[VALUE_DATE]],"On BS","Off BS"))</f>
        <v>On BS</v>
      </c>
      <c r="X513" s="25">
        <f>SUMIFS(U:U,C:C,Dealps[[#This Row],[PAPER_CODE]])</f>
        <v>200000000000</v>
      </c>
      <c r="Y513" s="25">
        <f>_xlfn.XLOOKUP(Dealps[[#This Row],[DEAL_ID]],Ref!N:N,Ref!Q:Q,0,0)</f>
        <v>0</v>
      </c>
      <c r="Z513" s="25" t="str">
        <f>IF(Dealps[[#This Row],[CPTY_CODE]]=Dealps[[#This Row],[CPTY_CODE_ISSUER]],"Yes","No")</f>
        <v>No</v>
      </c>
      <c r="AA513" s="25"/>
      <c r="AC513" s="14"/>
      <c r="AG513" s="96"/>
      <c r="AH513" s="25"/>
      <c r="AI513" s="25"/>
      <c r="AN513" s="14"/>
      <c r="AV513" s="36"/>
      <c r="AW513" s="14"/>
      <c r="AX513" s="234"/>
      <c r="AY513" s="96"/>
      <c r="AZ513" s="14"/>
      <c r="BA513"/>
      <c r="BB513" s="93">
        <v>46262</v>
      </c>
      <c r="BC513">
        <v>4377</v>
      </c>
      <c r="BD513" s="56" t="s">
        <v>1257</v>
      </c>
      <c r="BE513" t="s">
        <v>1011</v>
      </c>
      <c r="BF513" t="s">
        <v>1012</v>
      </c>
      <c r="BG513" t="s">
        <v>364</v>
      </c>
      <c r="BH513" t="s">
        <v>1013</v>
      </c>
      <c r="BI513" t="s">
        <v>311</v>
      </c>
      <c r="BJ513" s="93">
        <v>46174</v>
      </c>
      <c r="BK513" s="93">
        <v>46174</v>
      </c>
      <c r="BL513" s="93">
        <v>46174</v>
      </c>
      <c r="BM513" s="93">
        <v>46853</v>
      </c>
      <c r="BN513" s="14">
        <v>1</v>
      </c>
      <c r="BO513" s="14">
        <v>50000000000</v>
      </c>
      <c r="BP513" s="56">
        <v>100</v>
      </c>
      <c r="BQ513" s="56">
        <v>0</v>
      </c>
      <c r="BR513" s="14">
        <v>50617123288</v>
      </c>
      <c r="BS513">
        <v>8.3963680000000007</v>
      </c>
      <c r="BT513" t="s">
        <v>1184</v>
      </c>
      <c r="BU513" s="25">
        <f>_xlfn.XLOOKUP(Dealps_MSB[[#This Row],[DEAL_ID]],Ref!V:V,Ref!X:X,0,0)</f>
        <v>0</v>
      </c>
      <c r="BV513"/>
    </row>
    <row r="514" spans="1:74" x14ac:dyDescent="0.3">
      <c r="A514" s="93">
        <v>46262</v>
      </c>
      <c r="B514">
        <v>4520</v>
      </c>
      <c r="C514" s="56" t="s">
        <v>1071</v>
      </c>
      <c r="D514" t="s">
        <v>328</v>
      </c>
      <c r="E514" t="s">
        <v>1005</v>
      </c>
      <c r="F514" t="s">
        <v>364</v>
      </c>
      <c r="G514" t="s">
        <v>310</v>
      </c>
      <c r="H514" t="s">
        <v>311</v>
      </c>
      <c r="I514" s="93">
        <v>46190</v>
      </c>
      <c r="J514" s="93">
        <v>46190</v>
      </c>
      <c r="K514" s="93">
        <v>46191</v>
      </c>
      <c r="L514" s="93">
        <v>46352</v>
      </c>
      <c r="M514" s="14">
        <v>1</v>
      </c>
      <c r="N514" s="14">
        <v>1000000000000</v>
      </c>
      <c r="O514" s="56">
        <v>100.431601968</v>
      </c>
      <c r="P514" s="56">
        <v>0</v>
      </c>
      <c r="Q514" s="14">
        <v>1041022869000</v>
      </c>
      <c r="R514">
        <v>5.4</v>
      </c>
      <c r="S514" t="s">
        <v>1184</v>
      </c>
      <c r="T514" s="57">
        <f>IF(Dealps[[#This Row],[MATURITY_DATE]]-Dealps[[#This Row],[POSTED_DT]]&lt;0,0,IF(Dealps[[#This Row],[VALUE_DATE]]-Dealps[[#This Row],[POSTED_DT]]&gt;0,Dealps[[#This Row],[MATURITY_DATE]]-Dealps[[#This Row],[VALUE_DATE]],Dealps[[#This Row],[MATURITY_DATE]]-Dealps[[#This Row],[POSTED_DT]]))</f>
        <v>90</v>
      </c>
      <c r="U514" s="25">
        <f>IF(Dealps[[#This Row],[TENOR]]=0,0,IF(Dealps[[#This Row],[DEAL_TYPE]]="B",Dealps[[#This Row],[FACE_AMOUNT]],-Dealps[[#This Row],[FACE_AMOUNT]]))</f>
        <v>-1000000000000</v>
      </c>
      <c r="V514" s="25">
        <f>_xlfn.XLOOKUP(Dealps[[#This Row],[PAPER_CODE]],FNRP!D:D,FNRP!H:H,0,0)/100*Dealps[[#This Row],[AMOUNT]]</f>
        <v>0</v>
      </c>
      <c r="W514" s="57" t="str">
        <f>IF(Dealps[[#This Row],[TRANSACTION_STATUS]]&lt;&gt;"V","Ngoai BS",IF(Dealps[[#This Row],[POSTED_DT]]&gt;=Dealps[[#This Row],[VALUE_DATE]],"On BS","Off BS"))</f>
        <v>On BS</v>
      </c>
      <c r="X514" s="25">
        <f>SUMIFS(U:U,C:C,Dealps[[#This Row],[PAPER_CODE]])</f>
        <v>1500000000000</v>
      </c>
      <c r="Y514" s="25">
        <f>_xlfn.XLOOKUP(Dealps[[#This Row],[DEAL_ID]],Ref!N:N,Ref!Q:Q,0,0)</f>
        <v>0</v>
      </c>
      <c r="Z514" s="25" t="str">
        <f>IF(Dealps[[#This Row],[CPTY_CODE]]=Dealps[[#This Row],[CPTY_CODE_ISSUER]],"Yes","No")</f>
        <v>No</v>
      </c>
      <c r="AA514" s="25"/>
      <c r="AC514" s="14"/>
      <c r="AG514" s="96"/>
      <c r="AH514" s="25"/>
      <c r="AI514" s="25"/>
      <c r="AN514" s="14"/>
      <c r="AV514" s="36"/>
      <c r="AW514" s="14"/>
      <c r="AX514" s="234"/>
      <c r="AY514" s="96"/>
      <c r="AZ514" s="14"/>
      <c r="BA514"/>
      <c r="BB514" s="93">
        <v>46262</v>
      </c>
      <c r="BC514">
        <v>4532</v>
      </c>
      <c r="BD514" s="56" t="s">
        <v>1315</v>
      </c>
      <c r="BE514" t="s">
        <v>1011</v>
      </c>
      <c r="BF514" t="s">
        <v>1012</v>
      </c>
      <c r="BG514" t="s">
        <v>364</v>
      </c>
      <c r="BH514" t="s">
        <v>1013</v>
      </c>
      <c r="BI514" t="s">
        <v>311</v>
      </c>
      <c r="BJ514" s="93">
        <v>46191</v>
      </c>
      <c r="BK514" s="93">
        <v>46191</v>
      </c>
      <c r="BL514" s="93">
        <v>46191</v>
      </c>
      <c r="BM514" s="93">
        <v>46922</v>
      </c>
      <c r="BN514" s="14">
        <v>1</v>
      </c>
      <c r="BO514" s="14">
        <v>20000000000</v>
      </c>
      <c r="BP514" s="56">
        <v>100</v>
      </c>
      <c r="BQ514" s="56">
        <v>0</v>
      </c>
      <c r="BR514" s="14">
        <v>20000000000</v>
      </c>
      <c r="BS514">
        <v>8.5</v>
      </c>
      <c r="BT514" t="s">
        <v>1184</v>
      </c>
      <c r="BU514" s="25">
        <f>_xlfn.XLOOKUP(Dealps_MSB[[#This Row],[DEAL_ID]],Ref!V:V,Ref!X:X,0,0)</f>
        <v>0</v>
      </c>
      <c r="BV514"/>
    </row>
    <row r="515" spans="1:74" x14ac:dyDescent="0.3">
      <c r="A515" s="93">
        <v>46262</v>
      </c>
      <c r="B515">
        <v>4522</v>
      </c>
      <c r="C515" s="56" t="s">
        <v>1004</v>
      </c>
      <c r="D515" t="s">
        <v>324</v>
      </c>
      <c r="E515" t="s">
        <v>1313</v>
      </c>
      <c r="F515" t="s">
        <v>364</v>
      </c>
      <c r="G515" t="s">
        <v>310</v>
      </c>
      <c r="H515" t="s">
        <v>311</v>
      </c>
      <c r="I515" s="93">
        <v>46190</v>
      </c>
      <c r="J515" s="93">
        <v>46190</v>
      </c>
      <c r="K515" s="93">
        <v>46192</v>
      </c>
      <c r="L515" s="93">
        <v>46323</v>
      </c>
      <c r="M515" s="14">
        <v>1</v>
      </c>
      <c r="N515" s="14">
        <v>100000000000</v>
      </c>
      <c r="O515" s="56">
        <v>100</v>
      </c>
      <c r="P515" s="56">
        <v>0</v>
      </c>
      <c r="Q515" s="14">
        <v>104021643836</v>
      </c>
      <c r="R515">
        <v>6.056432</v>
      </c>
      <c r="S515" t="s">
        <v>1184</v>
      </c>
      <c r="T515" s="57">
        <f>IF(Dealps[[#This Row],[MATURITY_DATE]]-Dealps[[#This Row],[POSTED_DT]]&lt;0,0,IF(Dealps[[#This Row],[VALUE_DATE]]-Dealps[[#This Row],[POSTED_DT]]&gt;0,Dealps[[#This Row],[MATURITY_DATE]]-Dealps[[#This Row],[VALUE_DATE]],Dealps[[#This Row],[MATURITY_DATE]]-Dealps[[#This Row],[POSTED_DT]]))</f>
        <v>61</v>
      </c>
      <c r="U515" s="25">
        <f>IF(Dealps[[#This Row],[TENOR]]=0,0,IF(Dealps[[#This Row],[DEAL_TYPE]]="B",Dealps[[#This Row],[FACE_AMOUNT]],-Dealps[[#This Row],[FACE_AMOUNT]]))</f>
        <v>-100000000000</v>
      </c>
      <c r="V515" s="25">
        <f>_xlfn.XLOOKUP(Dealps[[#This Row],[PAPER_CODE]],FNRP!D:D,FNRP!H:H,0,0)/100*Dealps[[#This Row],[AMOUNT]]</f>
        <v>0</v>
      </c>
      <c r="W515" s="57" t="str">
        <f>IF(Dealps[[#This Row],[TRANSACTION_STATUS]]&lt;&gt;"V","Ngoai BS",IF(Dealps[[#This Row],[POSTED_DT]]&gt;=Dealps[[#This Row],[VALUE_DATE]],"On BS","Off BS"))</f>
        <v>On BS</v>
      </c>
      <c r="X515" s="25">
        <f>SUMIFS(U:U,C:C,Dealps[[#This Row],[PAPER_CODE]])</f>
        <v>500000000000</v>
      </c>
      <c r="Y515" s="25">
        <f>_xlfn.XLOOKUP(Dealps[[#This Row],[DEAL_ID]],Ref!N:N,Ref!Q:Q,0,0)</f>
        <v>0</v>
      </c>
      <c r="Z515" s="25" t="str">
        <f>IF(Dealps[[#This Row],[CPTY_CODE]]=Dealps[[#This Row],[CPTY_CODE_ISSUER]],"Yes","No")</f>
        <v>No</v>
      </c>
      <c r="AA515" s="25"/>
      <c r="AC515" s="14"/>
      <c r="AG515" s="96"/>
      <c r="AH515" s="25"/>
      <c r="AI515" s="25"/>
      <c r="AN515" s="14"/>
      <c r="AV515" s="36"/>
      <c r="AW515" s="14"/>
      <c r="AX515" s="234"/>
      <c r="AY515" s="96"/>
      <c r="AZ515" s="14"/>
      <c r="BA515"/>
      <c r="BB515" s="93">
        <v>46262</v>
      </c>
      <c r="BC515">
        <v>4533</v>
      </c>
      <c r="BD515" s="56" t="s">
        <v>1315</v>
      </c>
      <c r="BE515" t="s">
        <v>1011</v>
      </c>
      <c r="BF515" t="s">
        <v>1012</v>
      </c>
      <c r="BG515" t="s">
        <v>364</v>
      </c>
      <c r="BH515" t="s">
        <v>1013</v>
      </c>
      <c r="BI515" t="s">
        <v>311</v>
      </c>
      <c r="BJ515" s="93">
        <v>46191</v>
      </c>
      <c r="BK515" s="93">
        <v>46191</v>
      </c>
      <c r="BL515" s="93">
        <v>46191</v>
      </c>
      <c r="BM515" s="93">
        <v>46922</v>
      </c>
      <c r="BN515" s="14">
        <v>1</v>
      </c>
      <c r="BO515" s="14">
        <v>20000000000</v>
      </c>
      <c r="BP515" s="56">
        <v>100</v>
      </c>
      <c r="BQ515" s="56">
        <v>0</v>
      </c>
      <c r="BR515" s="14">
        <v>20000000000</v>
      </c>
      <c r="BS515">
        <v>8.5</v>
      </c>
      <c r="BT515" t="s">
        <v>1184</v>
      </c>
      <c r="BU515" s="25">
        <f>_xlfn.XLOOKUP(Dealps_MSB[[#This Row],[DEAL_ID]],Ref!V:V,Ref!X:X,0,0)</f>
        <v>0</v>
      </c>
      <c r="BV515"/>
    </row>
    <row r="516" spans="1:74" x14ac:dyDescent="0.3">
      <c r="A516" s="93">
        <v>46262</v>
      </c>
      <c r="B516">
        <v>4526</v>
      </c>
      <c r="C516" s="56" t="s">
        <v>1258</v>
      </c>
      <c r="D516" t="s">
        <v>321</v>
      </c>
      <c r="E516" t="s">
        <v>322</v>
      </c>
      <c r="F516" t="s">
        <v>364</v>
      </c>
      <c r="G516" t="s">
        <v>310</v>
      </c>
      <c r="H516" t="s">
        <v>311</v>
      </c>
      <c r="I516" s="93">
        <v>46190</v>
      </c>
      <c r="J516" s="93">
        <v>46190</v>
      </c>
      <c r="K516" s="93">
        <v>46191</v>
      </c>
      <c r="L516" s="93">
        <v>46485</v>
      </c>
      <c r="M516" s="14">
        <v>1</v>
      </c>
      <c r="N516" s="14">
        <v>500000000000</v>
      </c>
      <c r="O516" s="56">
        <v>100.598412689</v>
      </c>
      <c r="P516" s="56">
        <v>0</v>
      </c>
      <c r="Q516" s="14">
        <v>510471515500.00006</v>
      </c>
      <c r="R516">
        <v>7.5</v>
      </c>
      <c r="S516" t="s">
        <v>1184</v>
      </c>
      <c r="T516" s="57">
        <f>IF(Dealps[[#This Row],[MATURITY_DATE]]-Dealps[[#This Row],[POSTED_DT]]&lt;0,0,IF(Dealps[[#This Row],[VALUE_DATE]]-Dealps[[#This Row],[POSTED_DT]]&gt;0,Dealps[[#This Row],[MATURITY_DATE]]-Dealps[[#This Row],[VALUE_DATE]],Dealps[[#This Row],[MATURITY_DATE]]-Dealps[[#This Row],[POSTED_DT]]))</f>
        <v>223</v>
      </c>
      <c r="U516" s="25">
        <f>IF(Dealps[[#This Row],[TENOR]]=0,0,IF(Dealps[[#This Row],[DEAL_TYPE]]="B",Dealps[[#This Row],[FACE_AMOUNT]],-Dealps[[#This Row],[FACE_AMOUNT]]))</f>
        <v>-500000000000</v>
      </c>
      <c r="V516" s="25">
        <f>_xlfn.XLOOKUP(Dealps[[#This Row],[PAPER_CODE]],FNRP!D:D,FNRP!H:H,0,0)/100*Dealps[[#This Row],[AMOUNT]]</f>
        <v>0</v>
      </c>
      <c r="W516" s="57" t="str">
        <f>IF(Dealps[[#This Row],[TRANSACTION_STATUS]]&lt;&gt;"V","Ngoai BS",IF(Dealps[[#This Row],[POSTED_DT]]&gt;=Dealps[[#This Row],[VALUE_DATE]],"On BS","Off BS"))</f>
        <v>On BS</v>
      </c>
      <c r="X516" s="25">
        <f>SUMIFS(U:U,C:C,Dealps[[#This Row],[PAPER_CODE]])</f>
        <v>2000000000000</v>
      </c>
      <c r="Y516" s="25">
        <f>_xlfn.XLOOKUP(Dealps[[#This Row],[DEAL_ID]],Ref!N:N,Ref!Q:Q,0,0)</f>
        <v>0</v>
      </c>
      <c r="Z516" s="25" t="str">
        <f>IF(Dealps[[#This Row],[CPTY_CODE]]=Dealps[[#This Row],[CPTY_CODE_ISSUER]],"Yes","No")</f>
        <v>No</v>
      </c>
      <c r="AA516" s="25"/>
      <c r="AC516" s="14"/>
      <c r="AG516" s="96"/>
      <c r="AH516" s="25"/>
      <c r="AI516" s="25"/>
      <c r="AN516" s="14"/>
      <c r="AV516" s="36"/>
      <c r="AW516" s="14"/>
      <c r="AX516" s="234"/>
      <c r="AY516" s="96"/>
      <c r="AZ516" s="14"/>
      <c r="BA516"/>
      <c r="BB516" s="93">
        <v>46262</v>
      </c>
      <c r="BC516">
        <v>4534</v>
      </c>
      <c r="BD516" s="56" t="s">
        <v>1315</v>
      </c>
      <c r="BE516" t="s">
        <v>1011</v>
      </c>
      <c r="BF516" t="s">
        <v>1012</v>
      </c>
      <c r="BG516" t="s">
        <v>364</v>
      </c>
      <c r="BH516" t="s">
        <v>1013</v>
      </c>
      <c r="BI516" t="s">
        <v>311</v>
      </c>
      <c r="BJ516" s="93">
        <v>46191</v>
      </c>
      <c r="BK516" s="93">
        <v>46191</v>
      </c>
      <c r="BL516" s="93">
        <v>46191</v>
      </c>
      <c r="BM516" s="93">
        <v>46922</v>
      </c>
      <c r="BN516" s="14">
        <v>1</v>
      </c>
      <c r="BO516" s="14">
        <v>20000000000</v>
      </c>
      <c r="BP516" s="56">
        <v>100</v>
      </c>
      <c r="BQ516" s="56">
        <v>0</v>
      </c>
      <c r="BR516" s="14">
        <v>20000000000</v>
      </c>
      <c r="BS516">
        <v>8.5</v>
      </c>
      <c r="BT516" t="s">
        <v>1184</v>
      </c>
      <c r="BU516" s="25">
        <f>_xlfn.XLOOKUP(Dealps_MSB[[#This Row],[DEAL_ID]],Ref!V:V,Ref!X:X,0,0)</f>
        <v>0</v>
      </c>
      <c r="BV516"/>
    </row>
    <row r="517" spans="1:74" x14ac:dyDescent="0.3">
      <c r="A517" s="93">
        <v>46262</v>
      </c>
      <c r="B517">
        <v>4537</v>
      </c>
      <c r="C517" s="56" t="s">
        <v>1256</v>
      </c>
      <c r="D517" t="s">
        <v>316</v>
      </c>
      <c r="E517" t="s">
        <v>1253</v>
      </c>
      <c r="F517" t="s">
        <v>364</v>
      </c>
      <c r="G517" t="s">
        <v>310</v>
      </c>
      <c r="H517" t="s">
        <v>311</v>
      </c>
      <c r="I517" s="93">
        <v>46191</v>
      </c>
      <c r="J517" s="93">
        <v>46195</v>
      </c>
      <c r="K517" s="93">
        <v>46195</v>
      </c>
      <c r="L517" s="93">
        <v>46486</v>
      </c>
      <c r="M517" s="14">
        <v>1</v>
      </c>
      <c r="N517" s="14">
        <v>50000000000</v>
      </c>
      <c r="O517" s="56">
        <v>100.957767084</v>
      </c>
      <c r="P517" s="56">
        <v>0</v>
      </c>
      <c r="Q517" s="14">
        <v>51360801350</v>
      </c>
      <c r="R517">
        <v>7.3</v>
      </c>
      <c r="S517" t="s">
        <v>1184</v>
      </c>
      <c r="T517" s="57">
        <f>IF(Dealps[[#This Row],[MATURITY_DATE]]-Dealps[[#This Row],[POSTED_DT]]&lt;0,0,IF(Dealps[[#This Row],[VALUE_DATE]]-Dealps[[#This Row],[POSTED_DT]]&gt;0,Dealps[[#This Row],[MATURITY_DATE]]-Dealps[[#This Row],[VALUE_DATE]],Dealps[[#This Row],[MATURITY_DATE]]-Dealps[[#This Row],[POSTED_DT]]))</f>
        <v>224</v>
      </c>
      <c r="U517" s="25">
        <f>IF(Dealps[[#This Row],[TENOR]]=0,0,IF(Dealps[[#This Row],[DEAL_TYPE]]="B",Dealps[[#This Row],[FACE_AMOUNT]],-Dealps[[#This Row],[FACE_AMOUNT]]))</f>
        <v>-50000000000</v>
      </c>
      <c r="V517" s="25">
        <f>_xlfn.XLOOKUP(Dealps[[#This Row],[PAPER_CODE]],FNRP!D:D,FNRP!H:H,0,0)/100*Dealps[[#This Row],[AMOUNT]]</f>
        <v>0</v>
      </c>
      <c r="W517" s="57" t="str">
        <f>IF(Dealps[[#This Row],[TRANSACTION_STATUS]]&lt;&gt;"V","Ngoai BS",IF(Dealps[[#This Row],[POSTED_DT]]&gt;=Dealps[[#This Row],[VALUE_DATE]],"On BS","Off BS"))</f>
        <v>On BS</v>
      </c>
      <c r="X517" s="25">
        <f>SUMIFS(U:U,C:C,Dealps[[#This Row],[PAPER_CODE]])</f>
        <v>200000000000</v>
      </c>
      <c r="Y517" s="25">
        <f>_xlfn.XLOOKUP(Dealps[[#This Row],[DEAL_ID]],Ref!N:N,Ref!Q:Q,0,0)</f>
        <v>0</v>
      </c>
      <c r="Z517" s="25" t="str">
        <f>IF(Dealps[[#This Row],[CPTY_CODE]]=Dealps[[#This Row],[CPTY_CODE_ISSUER]],"Yes","No")</f>
        <v>No</v>
      </c>
      <c r="AA517" s="25"/>
      <c r="AC517" s="14"/>
      <c r="AG517" s="96"/>
      <c r="AH517" s="25"/>
      <c r="AI517" s="25"/>
      <c r="AN517" s="14"/>
      <c r="AV517" s="36"/>
      <c r="AW517" s="14"/>
      <c r="AX517" s="234"/>
      <c r="AY517" s="96"/>
      <c r="AZ517" s="14"/>
      <c r="BA517"/>
      <c r="BB517" s="93">
        <v>46262</v>
      </c>
      <c r="BC517">
        <v>4535</v>
      </c>
      <c r="BD517" s="56" t="s">
        <v>1315</v>
      </c>
      <c r="BE517" t="s">
        <v>1011</v>
      </c>
      <c r="BF517" t="s">
        <v>1012</v>
      </c>
      <c r="BG517" t="s">
        <v>364</v>
      </c>
      <c r="BH517" t="s">
        <v>1013</v>
      </c>
      <c r="BI517" t="s">
        <v>311</v>
      </c>
      <c r="BJ517" s="93">
        <v>46191</v>
      </c>
      <c r="BK517" s="93">
        <v>46191</v>
      </c>
      <c r="BL517" s="93">
        <v>46191</v>
      </c>
      <c r="BM517" s="93">
        <v>46922</v>
      </c>
      <c r="BN517" s="14">
        <v>1</v>
      </c>
      <c r="BO517" s="14">
        <v>20000000000</v>
      </c>
      <c r="BP517" s="56">
        <v>100</v>
      </c>
      <c r="BQ517" s="56">
        <v>0</v>
      </c>
      <c r="BR517" s="14">
        <v>20000000000</v>
      </c>
      <c r="BS517">
        <v>8.5</v>
      </c>
      <c r="BT517" t="s">
        <v>1184</v>
      </c>
      <c r="BU517" s="25">
        <f>_xlfn.XLOOKUP(Dealps_MSB[[#This Row],[DEAL_ID]],Ref!V:V,Ref!X:X,0,0)</f>
        <v>0</v>
      </c>
      <c r="BV517"/>
    </row>
    <row r="518" spans="1:74" x14ac:dyDescent="0.3">
      <c r="A518" s="93">
        <v>46262</v>
      </c>
      <c r="B518">
        <v>4538</v>
      </c>
      <c r="C518" s="56" t="s">
        <v>1256</v>
      </c>
      <c r="D518" t="s">
        <v>316</v>
      </c>
      <c r="E518" t="s">
        <v>1253</v>
      </c>
      <c r="F518" t="s">
        <v>364</v>
      </c>
      <c r="G518" t="s">
        <v>310</v>
      </c>
      <c r="H518" t="s">
        <v>300</v>
      </c>
      <c r="I518" s="93">
        <v>46191</v>
      </c>
      <c r="J518" s="93">
        <v>46209</v>
      </c>
      <c r="K518" s="93">
        <v>46209</v>
      </c>
      <c r="L518" s="93">
        <v>46486</v>
      </c>
      <c r="M518" s="14">
        <v>1</v>
      </c>
      <c r="N518" s="14">
        <v>50000000000</v>
      </c>
      <c r="O518" s="56">
        <v>100.933208953</v>
      </c>
      <c r="P518" s="56">
        <v>0</v>
      </c>
      <c r="Q518" s="14">
        <v>51515371600</v>
      </c>
      <c r="R518">
        <v>7.2505740000000003</v>
      </c>
      <c r="S518" t="s">
        <v>1184</v>
      </c>
      <c r="T518" s="57">
        <f>IF(Dealps[[#This Row],[MATURITY_DATE]]-Dealps[[#This Row],[POSTED_DT]]&lt;0,0,IF(Dealps[[#This Row],[VALUE_DATE]]-Dealps[[#This Row],[POSTED_DT]]&gt;0,Dealps[[#This Row],[MATURITY_DATE]]-Dealps[[#This Row],[VALUE_DATE]],Dealps[[#This Row],[MATURITY_DATE]]-Dealps[[#This Row],[POSTED_DT]]))</f>
        <v>224</v>
      </c>
      <c r="U518" s="25">
        <f>IF(Dealps[[#This Row],[TENOR]]=0,0,IF(Dealps[[#This Row],[DEAL_TYPE]]="B",Dealps[[#This Row],[FACE_AMOUNT]],-Dealps[[#This Row],[FACE_AMOUNT]]))</f>
        <v>50000000000</v>
      </c>
      <c r="V518" s="25">
        <f>_xlfn.XLOOKUP(Dealps[[#This Row],[PAPER_CODE]],FNRP!D:D,FNRP!H:H,0,0)/100*Dealps[[#This Row],[AMOUNT]]</f>
        <v>0</v>
      </c>
      <c r="W518" s="57" t="str">
        <f>IF(Dealps[[#This Row],[TRANSACTION_STATUS]]&lt;&gt;"V","Ngoai BS",IF(Dealps[[#This Row],[POSTED_DT]]&gt;=Dealps[[#This Row],[VALUE_DATE]],"On BS","Off BS"))</f>
        <v>On BS</v>
      </c>
      <c r="X518" s="25">
        <f>SUMIFS(U:U,C:C,Dealps[[#This Row],[PAPER_CODE]])</f>
        <v>200000000000</v>
      </c>
      <c r="Y518" s="25">
        <f>_xlfn.XLOOKUP(Dealps[[#This Row],[DEAL_ID]],Ref!N:N,Ref!Q:Q,0,0)</f>
        <v>0</v>
      </c>
      <c r="Z518" s="25" t="str">
        <f>IF(Dealps[[#This Row],[CPTY_CODE]]=Dealps[[#This Row],[CPTY_CODE_ISSUER]],"Yes","No")</f>
        <v>No</v>
      </c>
      <c r="AA518" s="25"/>
      <c r="AC518" s="14"/>
      <c r="AG518" s="96"/>
      <c r="AH518" s="25"/>
      <c r="AI518" s="25"/>
      <c r="AN518" s="14"/>
      <c r="AV518" s="36"/>
      <c r="AW518" s="14"/>
      <c r="AX518" s="234"/>
      <c r="AY518" s="96"/>
      <c r="AZ518" s="14"/>
      <c r="BA518"/>
      <c r="BB518" s="93">
        <v>46262</v>
      </c>
      <c r="BC518">
        <v>4536</v>
      </c>
      <c r="BD518" s="56" t="s">
        <v>1315</v>
      </c>
      <c r="BE518" t="s">
        <v>1011</v>
      </c>
      <c r="BF518" t="s">
        <v>1012</v>
      </c>
      <c r="BG518" t="s">
        <v>364</v>
      </c>
      <c r="BH518" t="s">
        <v>1013</v>
      </c>
      <c r="BI518" t="s">
        <v>311</v>
      </c>
      <c r="BJ518" s="93">
        <v>46191</v>
      </c>
      <c r="BK518" s="93">
        <v>46191</v>
      </c>
      <c r="BL518" s="93">
        <v>46191</v>
      </c>
      <c r="BM518" s="93">
        <v>46922</v>
      </c>
      <c r="BN518" s="14">
        <v>1</v>
      </c>
      <c r="BO518" s="14">
        <v>20000000000</v>
      </c>
      <c r="BP518" s="56">
        <v>100</v>
      </c>
      <c r="BQ518" s="56">
        <v>0</v>
      </c>
      <c r="BR518" s="14">
        <v>20000000000</v>
      </c>
      <c r="BS518">
        <v>8.5</v>
      </c>
      <c r="BT518" t="s">
        <v>1184</v>
      </c>
      <c r="BU518" s="25">
        <f>_xlfn.XLOOKUP(Dealps_MSB[[#This Row],[DEAL_ID]],Ref!V:V,Ref!X:X,0,0)</f>
        <v>0</v>
      </c>
      <c r="BV518"/>
    </row>
    <row r="519" spans="1:74" x14ac:dyDescent="0.3">
      <c r="A519" s="93">
        <v>46262</v>
      </c>
      <c r="B519">
        <v>4539</v>
      </c>
      <c r="C519" s="56" t="s">
        <v>1158</v>
      </c>
      <c r="D519" t="s">
        <v>327</v>
      </c>
      <c r="E519" t="s">
        <v>322</v>
      </c>
      <c r="F519" t="s">
        <v>364</v>
      </c>
      <c r="G519" t="s">
        <v>310</v>
      </c>
      <c r="H519" t="s">
        <v>311</v>
      </c>
      <c r="I519" s="93">
        <v>46191</v>
      </c>
      <c r="J519" s="93">
        <v>46191</v>
      </c>
      <c r="K519" s="93">
        <v>46195</v>
      </c>
      <c r="L519" s="93">
        <v>46409</v>
      </c>
      <c r="M519" s="14">
        <v>1</v>
      </c>
      <c r="N519" s="14">
        <v>500000000000</v>
      </c>
      <c r="O519" s="56">
        <v>99.995988252999993</v>
      </c>
      <c r="P519" s="56">
        <v>0</v>
      </c>
      <c r="Q519" s="14">
        <v>514774461814</v>
      </c>
      <c r="R519">
        <v>7</v>
      </c>
      <c r="S519" t="s">
        <v>1184</v>
      </c>
      <c r="T519" s="57">
        <f>IF(Dealps[[#This Row],[MATURITY_DATE]]-Dealps[[#This Row],[POSTED_DT]]&lt;0,0,IF(Dealps[[#This Row],[VALUE_DATE]]-Dealps[[#This Row],[POSTED_DT]]&gt;0,Dealps[[#This Row],[MATURITY_DATE]]-Dealps[[#This Row],[VALUE_DATE]],Dealps[[#This Row],[MATURITY_DATE]]-Dealps[[#This Row],[POSTED_DT]]))</f>
        <v>147</v>
      </c>
      <c r="U519" s="25">
        <f>IF(Dealps[[#This Row],[TENOR]]=0,0,IF(Dealps[[#This Row],[DEAL_TYPE]]="B",Dealps[[#This Row],[FACE_AMOUNT]],-Dealps[[#This Row],[FACE_AMOUNT]]))</f>
        <v>-500000000000</v>
      </c>
      <c r="V519" s="25">
        <f>_xlfn.XLOOKUP(Dealps[[#This Row],[PAPER_CODE]],FNRP!D:D,FNRP!H:H,0,0)/100*Dealps[[#This Row],[AMOUNT]]</f>
        <v>0</v>
      </c>
      <c r="W519" s="57" t="str">
        <f>IF(Dealps[[#This Row],[TRANSACTION_STATUS]]&lt;&gt;"V","Ngoai BS",IF(Dealps[[#This Row],[POSTED_DT]]&gt;=Dealps[[#This Row],[VALUE_DATE]],"On BS","Off BS"))</f>
        <v>On BS</v>
      </c>
      <c r="X519" s="25">
        <f>SUMIFS(U:U,C:C,Dealps[[#This Row],[PAPER_CODE]])</f>
        <v>2000000000000</v>
      </c>
      <c r="Y519" s="25">
        <f>_xlfn.XLOOKUP(Dealps[[#This Row],[DEAL_ID]],Ref!N:N,Ref!Q:Q,0,0)</f>
        <v>0</v>
      </c>
      <c r="Z519" s="25" t="str">
        <f>IF(Dealps[[#This Row],[CPTY_CODE]]=Dealps[[#This Row],[CPTY_CODE_ISSUER]],"Yes","No")</f>
        <v>No</v>
      </c>
      <c r="AA519" s="25"/>
      <c r="AC519" s="14"/>
      <c r="AG519" s="96"/>
      <c r="AH519" s="25"/>
      <c r="AI519" s="25"/>
      <c r="AN519" s="14"/>
      <c r="AV519" s="36"/>
      <c r="AW519" s="14"/>
      <c r="AX519" s="234"/>
      <c r="AY519" s="96"/>
      <c r="AZ519" s="14"/>
      <c r="BA519"/>
      <c r="BB519" s="93">
        <v>46262</v>
      </c>
      <c r="BC519">
        <v>4749</v>
      </c>
      <c r="BD519" s="56" t="s">
        <v>1315</v>
      </c>
      <c r="BE519" t="s">
        <v>1011</v>
      </c>
      <c r="BF519" t="s">
        <v>1012</v>
      </c>
      <c r="BG519" t="s">
        <v>364</v>
      </c>
      <c r="BH519" t="s">
        <v>1013</v>
      </c>
      <c r="BI519" t="s">
        <v>311</v>
      </c>
      <c r="BJ519" s="93">
        <v>46227</v>
      </c>
      <c r="BK519" s="93">
        <v>46227</v>
      </c>
      <c r="BL519" s="93">
        <v>46227</v>
      </c>
      <c r="BM519" s="93">
        <v>46922</v>
      </c>
      <c r="BN519" s="14">
        <v>1</v>
      </c>
      <c r="BO519" s="14">
        <v>20000000000</v>
      </c>
      <c r="BP519" s="56">
        <v>100</v>
      </c>
      <c r="BQ519" s="56">
        <v>0</v>
      </c>
      <c r="BR519" s="14">
        <v>20167671233</v>
      </c>
      <c r="BS519">
        <v>8.4762780000000006</v>
      </c>
      <c r="BT519" t="s">
        <v>1184</v>
      </c>
      <c r="BU519" s="25">
        <f>_xlfn.XLOOKUP(Dealps_MSB[[#This Row],[DEAL_ID]],Ref!V:V,Ref!X:X,0,0)</f>
        <v>0</v>
      </c>
      <c r="BV519"/>
    </row>
    <row r="520" spans="1:74" x14ac:dyDescent="0.3">
      <c r="A520" s="93">
        <v>46262</v>
      </c>
      <c r="B520">
        <v>4543</v>
      </c>
      <c r="C520" s="56" t="s">
        <v>1061</v>
      </c>
      <c r="D520" t="s">
        <v>312</v>
      </c>
      <c r="E520" t="s">
        <v>320</v>
      </c>
      <c r="F520" t="s">
        <v>364</v>
      </c>
      <c r="G520" t="s">
        <v>310</v>
      </c>
      <c r="H520" t="s">
        <v>311</v>
      </c>
      <c r="I520" s="93">
        <v>46191</v>
      </c>
      <c r="J520" s="93">
        <v>46189</v>
      </c>
      <c r="K520" s="93">
        <v>46190</v>
      </c>
      <c r="L520" s="93">
        <v>46343</v>
      </c>
      <c r="M520" s="14">
        <v>1</v>
      </c>
      <c r="N520" s="14">
        <v>1000000000000</v>
      </c>
      <c r="O520" s="56">
        <v>99.611123092</v>
      </c>
      <c r="P520" s="56">
        <v>0</v>
      </c>
      <c r="Q520" s="14">
        <v>1032530409000.0001</v>
      </c>
      <c r="R520">
        <v>7</v>
      </c>
      <c r="S520" t="s">
        <v>1184</v>
      </c>
      <c r="T520" s="57">
        <f>IF(Dealps[[#This Row],[MATURITY_DATE]]-Dealps[[#This Row],[POSTED_DT]]&lt;0,0,IF(Dealps[[#This Row],[VALUE_DATE]]-Dealps[[#This Row],[POSTED_DT]]&gt;0,Dealps[[#This Row],[MATURITY_DATE]]-Dealps[[#This Row],[VALUE_DATE]],Dealps[[#This Row],[MATURITY_DATE]]-Dealps[[#This Row],[POSTED_DT]]))</f>
        <v>81</v>
      </c>
      <c r="U520" s="25">
        <f>IF(Dealps[[#This Row],[TENOR]]=0,0,IF(Dealps[[#This Row],[DEAL_TYPE]]="B",Dealps[[#This Row],[FACE_AMOUNT]],-Dealps[[#This Row],[FACE_AMOUNT]]))</f>
        <v>-1000000000000</v>
      </c>
      <c r="V520" s="25">
        <f>_xlfn.XLOOKUP(Dealps[[#This Row],[PAPER_CODE]],FNRP!D:D,FNRP!H:H,0,0)/100*Dealps[[#This Row],[AMOUNT]]</f>
        <v>0</v>
      </c>
      <c r="W520" s="57" t="str">
        <f>IF(Dealps[[#This Row],[TRANSACTION_STATUS]]&lt;&gt;"V","Ngoai BS",IF(Dealps[[#This Row],[POSTED_DT]]&gt;=Dealps[[#This Row],[VALUE_DATE]],"On BS","Off BS"))</f>
        <v>On BS</v>
      </c>
      <c r="X520" s="25">
        <f>SUMIFS(U:U,C:C,Dealps[[#This Row],[PAPER_CODE]])</f>
        <v>1500000000000</v>
      </c>
      <c r="Y520" s="25">
        <f>_xlfn.XLOOKUP(Dealps[[#This Row],[DEAL_ID]],Ref!N:N,Ref!Q:Q,0,0)</f>
        <v>0</v>
      </c>
      <c r="Z520" s="25" t="str">
        <f>IF(Dealps[[#This Row],[CPTY_CODE]]=Dealps[[#This Row],[CPTY_CODE_ISSUER]],"Yes","No")</f>
        <v>No</v>
      </c>
      <c r="AA520" s="25"/>
      <c r="AC520" s="14"/>
      <c r="AG520" s="96"/>
      <c r="AH520" s="25"/>
      <c r="AI520" s="25"/>
      <c r="AN520" s="14"/>
      <c r="AV520" s="36"/>
      <c r="AW520" s="14"/>
      <c r="AX520" s="234"/>
      <c r="AY520" s="96"/>
      <c r="AZ520" s="14"/>
      <c r="BA520"/>
      <c r="BB520" s="93">
        <v>46262</v>
      </c>
      <c r="BC520">
        <v>4750</v>
      </c>
      <c r="BD520" s="56" t="s">
        <v>1315</v>
      </c>
      <c r="BE520" t="s">
        <v>1011</v>
      </c>
      <c r="BF520" t="s">
        <v>1012</v>
      </c>
      <c r="BG520" t="s">
        <v>364</v>
      </c>
      <c r="BH520" t="s">
        <v>1013</v>
      </c>
      <c r="BI520" t="s">
        <v>311</v>
      </c>
      <c r="BJ520" s="93">
        <v>46227</v>
      </c>
      <c r="BK520" s="93">
        <v>46227</v>
      </c>
      <c r="BL520" s="93">
        <v>46227</v>
      </c>
      <c r="BM520" s="93">
        <v>46922</v>
      </c>
      <c r="BN520" s="14">
        <v>1</v>
      </c>
      <c r="BO520" s="14">
        <v>20000000000</v>
      </c>
      <c r="BP520" s="56">
        <v>100</v>
      </c>
      <c r="BQ520" s="56">
        <v>0</v>
      </c>
      <c r="BR520" s="14">
        <v>20167671233</v>
      </c>
      <c r="BS520">
        <v>8.4762780000000006</v>
      </c>
      <c r="BT520" t="s">
        <v>1184</v>
      </c>
      <c r="BU520" s="25">
        <f>_xlfn.XLOOKUP(Dealps_MSB[[#This Row],[DEAL_ID]],Ref!V:V,Ref!X:X,0,0)</f>
        <v>0</v>
      </c>
      <c r="BV520"/>
    </row>
    <row r="521" spans="1:74" x14ac:dyDescent="0.3">
      <c r="A521" s="93">
        <v>46262</v>
      </c>
      <c r="B521">
        <v>4544</v>
      </c>
      <c r="C521" s="56" t="s">
        <v>1258</v>
      </c>
      <c r="D521" t="s">
        <v>321</v>
      </c>
      <c r="E521" t="s">
        <v>384</v>
      </c>
      <c r="F521" t="s">
        <v>364</v>
      </c>
      <c r="G521" t="s">
        <v>310</v>
      </c>
      <c r="H521" t="s">
        <v>311</v>
      </c>
      <c r="I521" s="93">
        <v>46191</v>
      </c>
      <c r="J521" s="93">
        <v>46190</v>
      </c>
      <c r="K521" s="93">
        <v>46190</v>
      </c>
      <c r="L521" s="93">
        <v>46485</v>
      </c>
      <c r="M521" s="14">
        <v>1</v>
      </c>
      <c r="N521" s="14">
        <v>500000000000</v>
      </c>
      <c r="O521" s="56">
        <v>100.368828388</v>
      </c>
      <c r="P521" s="56">
        <v>0</v>
      </c>
      <c r="Q521" s="14">
        <v>509208525500</v>
      </c>
      <c r="R521">
        <v>7.8</v>
      </c>
      <c r="S521" t="s">
        <v>1184</v>
      </c>
      <c r="T521" s="57">
        <f>IF(Dealps[[#This Row],[MATURITY_DATE]]-Dealps[[#This Row],[POSTED_DT]]&lt;0,0,IF(Dealps[[#This Row],[VALUE_DATE]]-Dealps[[#This Row],[POSTED_DT]]&gt;0,Dealps[[#This Row],[MATURITY_DATE]]-Dealps[[#This Row],[VALUE_DATE]],Dealps[[#This Row],[MATURITY_DATE]]-Dealps[[#This Row],[POSTED_DT]]))</f>
        <v>223</v>
      </c>
      <c r="U521" s="25">
        <f>IF(Dealps[[#This Row],[TENOR]]=0,0,IF(Dealps[[#This Row],[DEAL_TYPE]]="B",Dealps[[#This Row],[FACE_AMOUNT]],-Dealps[[#This Row],[FACE_AMOUNT]]))</f>
        <v>-500000000000</v>
      </c>
      <c r="V521" s="25">
        <f>_xlfn.XLOOKUP(Dealps[[#This Row],[PAPER_CODE]],FNRP!D:D,FNRP!H:H,0,0)/100*Dealps[[#This Row],[AMOUNT]]</f>
        <v>0</v>
      </c>
      <c r="W521" s="57" t="str">
        <f>IF(Dealps[[#This Row],[TRANSACTION_STATUS]]&lt;&gt;"V","Ngoai BS",IF(Dealps[[#This Row],[POSTED_DT]]&gt;=Dealps[[#This Row],[VALUE_DATE]],"On BS","Off BS"))</f>
        <v>On BS</v>
      </c>
      <c r="X521" s="25">
        <f>SUMIFS(U:U,C:C,Dealps[[#This Row],[PAPER_CODE]])</f>
        <v>2000000000000</v>
      </c>
      <c r="Y521" s="25">
        <f>_xlfn.XLOOKUP(Dealps[[#This Row],[DEAL_ID]],Ref!N:N,Ref!Q:Q,0,0)</f>
        <v>0</v>
      </c>
      <c r="Z521" s="25" t="str">
        <f>IF(Dealps[[#This Row],[CPTY_CODE]]=Dealps[[#This Row],[CPTY_CODE_ISSUER]],"Yes","No")</f>
        <v>No</v>
      </c>
      <c r="AA521" s="25"/>
      <c r="AC521" s="14"/>
      <c r="AG521" s="96"/>
      <c r="AH521" s="25"/>
      <c r="AI521" s="25"/>
      <c r="AN521" s="14"/>
      <c r="AV521" s="36"/>
      <c r="AW521" s="14"/>
      <c r="AX521" s="234"/>
      <c r="AY521" s="96"/>
      <c r="AZ521" s="14"/>
      <c r="BA521"/>
      <c r="BB521" s="93">
        <v>46262</v>
      </c>
      <c r="BC521">
        <v>4751</v>
      </c>
      <c r="BD521" s="56" t="s">
        <v>1315</v>
      </c>
      <c r="BE521" t="s">
        <v>1011</v>
      </c>
      <c r="BF521" t="s">
        <v>1012</v>
      </c>
      <c r="BG521" t="s">
        <v>364</v>
      </c>
      <c r="BH521" t="s">
        <v>1013</v>
      </c>
      <c r="BI521" t="s">
        <v>311</v>
      </c>
      <c r="BJ521" s="93">
        <v>46227</v>
      </c>
      <c r="BK521" s="93">
        <v>46227</v>
      </c>
      <c r="BL521" s="93">
        <v>46227</v>
      </c>
      <c r="BM521" s="93">
        <v>46922</v>
      </c>
      <c r="BN521" s="14">
        <v>1</v>
      </c>
      <c r="BO521" s="14">
        <v>10000000000</v>
      </c>
      <c r="BP521" s="56">
        <v>100</v>
      </c>
      <c r="BQ521" s="56">
        <v>0</v>
      </c>
      <c r="BR521" s="14">
        <v>10083835616</v>
      </c>
      <c r="BS521">
        <v>8.4762780000000006</v>
      </c>
      <c r="BT521" t="s">
        <v>1184</v>
      </c>
      <c r="BU521" s="25">
        <f>_xlfn.XLOOKUP(Dealps_MSB[[#This Row],[DEAL_ID]],Ref!V:V,Ref!X:X,0,0)</f>
        <v>0</v>
      </c>
      <c r="BV521"/>
    </row>
    <row r="522" spans="1:74" x14ac:dyDescent="0.3">
      <c r="A522" s="93">
        <v>46262</v>
      </c>
      <c r="B522">
        <v>4548</v>
      </c>
      <c r="C522" s="56" t="s">
        <v>1071</v>
      </c>
      <c r="D522" t="s">
        <v>328</v>
      </c>
      <c r="E522" t="s">
        <v>971</v>
      </c>
      <c r="F522" t="s">
        <v>364</v>
      </c>
      <c r="G522" t="s">
        <v>310</v>
      </c>
      <c r="H522" t="s">
        <v>311</v>
      </c>
      <c r="I522" s="93">
        <v>46192</v>
      </c>
      <c r="J522" s="93">
        <v>46192</v>
      </c>
      <c r="K522" s="93">
        <v>46192</v>
      </c>
      <c r="L522" s="93">
        <v>46352</v>
      </c>
      <c r="M522" s="14">
        <v>1</v>
      </c>
      <c r="N522" s="14">
        <v>500000000000</v>
      </c>
      <c r="O522" s="56">
        <v>100.83138337699999</v>
      </c>
      <c r="P522" s="56">
        <v>0</v>
      </c>
      <c r="Q522" s="14">
        <v>522600752499.99994</v>
      </c>
      <c r="R522">
        <v>4.5</v>
      </c>
      <c r="S522" t="s">
        <v>1184</v>
      </c>
      <c r="T522" s="57">
        <f>IF(Dealps[[#This Row],[MATURITY_DATE]]-Dealps[[#This Row],[POSTED_DT]]&lt;0,0,IF(Dealps[[#This Row],[VALUE_DATE]]-Dealps[[#This Row],[POSTED_DT]]&gt;0,Dealps[[#This Row],[MATURITY_DATE]]-Dealps[[#This Row],[VALUE_DATE]],Dealps[[#This Row],[MATURITY_DATE]]-Dealps[[#This Row],[POSTED_DT]]))</f>
        <v>90</v>
      </c>
      <c r="U522" s="25">
        <f>IF(Dealps[[#This Row],[TENOR]]=0,0,IF(Dealps[[#This Row],[DEAL_TYPE]]="B",Dealps[[#This Row],[FACE_AMOUNT]],-Dealps[[#This Row],[FACE_AMOUNT]]))</f>
        <v>-500000000000</v>
      </c>
      <c r="V522" s="25">
        <f>_xlfn.XLOOKUP(Dealps[[#This Row],[PAPER_CODE]],FNRP!D:D,FNRP!H:H,0,0)/100*Dealps[[#This Row],[AMOUNT]]</f>
        <v>0</v>
      </c>
      <c r="W522" s="57" t="str">
        <f>IF(Dealps[[#This Row],[TRANSACTION_STATUS]]&lt;&gt;"V","Ngoai BS",IF(Dealps[[#This Row],[POSTED_DT]]&gt;=Dealps[[#This Row],[VALUE_DATE]],"On BS","Off BS"))</f>
        <v>On BS</v>
      </c>
      <c r="X522" s="25">
        <f>SUMIFS(U:U,C:C,Dealps[[#This Row],[PAPER_CODE]])</f>
        <v>1500000000000</v>
      </c>
      <c r="Y522" s="25">
        <f>_xlfn.XLOOKUP(Dealps[[#This Row],[DEAL_ID]],Ref!N:N,Ref!Q:Q,0,0)</f>
        <v>0</v>
      </c>
      <c r="Z522" s="25" t="str">
        <f>IF(Dealps[[#This Row],[CPTY_CODE]]=Dealps[[#This Row],[CPTY_CODE_ISSUER]],"Yes","No")</f>
        <v>No</v>
      </c>
      <c r="AA522" s="25"/>
      <c r="AC522" s="14"/>
      <c r="AG522" s="96"/>
      <c r="AH522" s="25"/>
      <c r="AI522" s="25"/>
      <c r="AN522" s="14"/>
      <c r="AV522" s="36"/>
      <c r="AW522" s="14"/>
      <c r="AX522" s="234"/>
      <c r="AY522" s="96"/>
      <c r="AZ522" s="14"/>
      <c r="BA522"/>
      <c r="BB522" s="93">
        <v>46262</v>
      </c>
      <c r="BC522">
        <v>4766</v>
      </c>
      <c r="BD522" s="56" t="s">
        <v>1315</v>
      </c>
      <c r="BE522" t="s">
        <v>1011</v>
      </c>
      <c r="BF522" t="s">
        <v>1012</v>
      </c>
      <c r="BG522" t="s">
        <v>364</v>
      </c>
      <c r="BH522" t="s">
        <v>1013</v>
      </c>
      <c r="BI522" t="s">
        <v>311</v>
      </c>
      <c r="BJ522" s="93">
        <v>46231</v>
      </c>
      <c r="BK522" s="93">
        <v>46231</v>
      </c>
      <c r="BL522" s="93">
        <v>46231</v>
      </c>
      <c r="BM522" s="93">
        <v>46922</v>
      </c>
      <c r="BN522" s="14">
        <v>1</v>
      </c>
      <c r="BO522" s="14">
        <v>30000000000</v>
      </c>
      <c r="BP522" s="56">
        <v>100</v>
      </c>
      <c r="BQ522" s="56">
        <v>0</v>
      </c>
      <c r="BR522" s="14">
        <v>30279452054.999996</v>
      </c>
      <c r="BS522">
        <v>8.4739769999999996</v>
      </c>
      <c r="BT522" t="s">
        <v>1184</v>
      </c>
      <c r="BU522" s="25">
        <f>_xlfn.XLOOKUP(Dealps_MSB[[#This Row],[DEAL_ID]],Ref!V:V,Ref!X:X,0,0)</f>
        <v>0</v>
      </c>
      <c r="BV522"/>
    </row>
    <row r="523" spans="1:74" x14ac:dyDescent="0.3">
      <c r="A523" s="93">
        <v>46262</v>
      </c>
      <c r="B523">
        <v>4549</v>
      </c>
      <c r="C523" s="56" t="s">
        <v>1010</v>
      </c>
      <c r="D523" t="s">
        <v>328</v>
      </c>
      <c r="E523" t="s">
        <v>971</v>
      </c>
      <c r="F523" t="s">
        <v>364</v>
      </c>
      <c r="G523" t="s">
        <v>310</v>
      </c>
      <c r="H523" t="s">
        <v>311</v>
      </c>
      <c r="I523" s="93">
        <v>46192</v>
      </c>
      <c r="J523" s="93">
        <v>46192</v>
      </c>
      <c r="K523" s="93">
        <v>46192</v>
      </c>
      <c r="L523" s="93">
        <v>46329</v>
      </c>
      <c r="M523" s="14">
        <v>1</v>
      </c>
      <c r="N523" s="14">
        <v>1000000000000</v>
      </c>
      <c r="O523" s="56">
        <v>100.59931570800001</v>
      </c>
      <c r="P523" s="56">
        <v>0</v>
      </c>
      <c r="Q523" s="14">
        <v>1045173978999.9999</v>
      </c>
      <c r="R523">
        <v>4.5</v>
      </c>
      <c r="S523" t="s">
        <v>1184</v>
      </c>
      <c r="T523" s="57">
        <f>IF(Dealps[[#This Row],[MATURITY_DATE]]-Dealps[[#This Row],[POSTED_DT]]&lt;0,0,IF(Dealps[[#This Row],[VALUE_DATE]]-Dealps[[#This Row],[POSTED_DT]]&gt;0,Dealps[[#This Row],[MATURITY_DATE]]-Dealps[[#This Row],[VALUE_DATE]],Dealps[[#This Row],[MATURITY_DATE]]-Dealps[[#This Row],[POSTED_DT]]))</f>
        <v>67</v>
      </c>
      <c r="U523" s="25">
        <f>IF(Dealps[[#This Row],[TENOR]]=0,0,IF(Dealps[[#This Row],[DEAL_TYPE]]="B",Dealps[[#This Row],[FACE_AMOUNT]],-Dealps[[#This Row],[FACE_AMOUNT]]))</f>
        <v>-1000000000000</v>
      </c>
      <c r="V523" s="25">
        <f>_xlfn.XLOOKUP(Dealps[[#This Row],[PAPER_CODE]],FNRP!D:D,FNRP!H:H,0,0)/100*Dealps[[#This Row],[AMOUNT]]</f>
        <v>0</v>
      </c>
      <c r="W523" s="57" t="str">
        <f>IF(Dealps[[#This Row],[TRANSACTION_STATUS]]&lt;&gt;"V","Ngoai BS",IF(Dealps[[#This Row],[POSTED_DT]]&gt;=Dealps[[#This Row],[VALUE_DATE]],"On BS","Off BS"))</f>
        <v>On BS</v>
      </c>
      <c r="X523" s="25">
        <f>SUMIFS(U:U,C:C,Dealps[[#This Row],[PAPER_CODE]])</f>
        <v>2000000000000</v>
      </c>
      <c r="Y523" s="25">
        <f>_xlfn.XLOOKUP(Dealps[[#This Row],[DEAL_ID]],Ref!N:N,Ref!Q:Q,0,0)</f>
        <v>0</v>
      </c>
      <c r="Z523" s="25" t="str">
        <f>IF(Dealps[[#This Row],[CPTY_CODE]]=Dealps[[#This Row],[CPTY_CODE_ISSUER]],"Yes","No")</f>
        <v>No</v>
      </c>
      <c r="AA523" s="25"/>
      <c r="AC523" s="14"/>
      <c r="AG523" s="96"/>
      <c r="AH523" s="25"/>
      <c r="AI523" s="25"/>
      <c r="AN523" s="14"/>
      <c r="AV523" s="36"/>
      <c r="AW523" s="14"/>
      <c r="AX523" s="234"/>
      <c r="AY523" s="96"/>
      <c r="AZ523" s="14"/>
      <c r="BA523"/>
      <c r="BB523" s="93">
        <v>46262</v>
      </c>
      <c r="BC523">
        <v>4767</v>
      </c>
      <c r="BD523" s="56" t="s">
        <v>1315</v>
      </c>
      <c r="BE523" t="s">
        <v>1011</v>
      </c>
      <c r="BF523" t="s">
        <v>1012</v>
      </c>
      <c r="BG523" t="s">
        <v>364</v>
      </c>
      <c r="BH523" t="s">
        <v>1013</v>
      </c>
      <c r="BI523" t="s">
        <v>311</v>
      </c>
      <c r="BJ523" s="93">
        <v>46231</v>
      </c>
      <c r="BK523" s="93">
        <v>46231</v>
      </c>
      <c r="BL523" s="93">
        <v>46231</v>
      </c>
      <c r="BM523" s="93">
        <v>46922</v>
      </c>
      <c r="BN523" s="14">
        <v>1</v>
      </c>
      <c r="BO523" s="14">
        <v>20000000000</v>
      </c>
      <c r="BP523" s="56">
        <v>100</v>
      </c>
      <c r="BQ523" s="56">
        <v>0</v>
      </c>
      <c r="BR523" s="14">
        <v>20186301370</v>
      </c>
      <c r="BS523">
        <v>8.4739769999999996</v>
      </c>
      <c r="BT523" t="s">
        <v>1184</v>
      </c>
      <c r="BU523" s="25">
        <f>_xlfn.XLOOKUP(Dealps_MSB[[#This Row],[DEAL_ID]],Ref!V:V,Ref!X:X,0,0)</f>
        <v>0</v>
      </c>
      <c r="BV523"/>
    </row>
    <row r="524" spans="1:74" x14ac:dyDescent="0.3">
      <c r="A524" s="93">
        <v>46262</v>
      </c>
      <c r="B524">
        <v>4554</v>
      </c>
      <c r="C524" s="56" t="s">
        <v>1158</v>
      </c>
      <c r="D524" t="s">
        <v>327</v>
      </c>
      <c r="E524" t="s">
        <v>322</v>
      </c>
      <c r="F524" t="s">
        <v>364</v>
      </c>
      <c r="G524" t="s">
        <v>310</v>
      </c>
      <c r="H524" t="s">
        <v>311</v>
      </c>
      <c r="I524" s="93">
        <v>46192</v>
      </c>
      <c r="J524" s="93">
        <v>46192</v>
      </c>
      <c r="K524" s="93">
        <v>46195</v>
      </c>
      <c r="L524" s="93">
        <v>46409</v>
      </c>
      <c r="M524" s="14">
        <v>1</v>
      </c>
      <c r="N524" s="14">
        <v>500000000000</v>
      </c>
      <c r="O524" s="56">
        <v>100.2867215</v>
      </c>
      <c r="P524" s="56">
        <v>0</v>
      </c>
      <c r="Q524" s="14">
        <v>516228128052</v>
      </c>
      <c r="R524">
        <v>6.5</v>
      </c>
      <c r="S524" t="s">
        <v>1184</v>
      </c>
      <c r="T524" s="57">
        <f>IF(Dealps[[#This Row],[MATURITY_DATE]]-Dealps[[#This Row],[POSTED_DT]]&lt;0,0,IF(Dealps[[#This Row],[VALUE_DATE]]-Dealps[[#This Row],[POSTED_DT]]&gt;0,Dealps[[#This Row],[MATURITY_DATE]]-Dealps[[#This Row],[VALUE_DATE]],Dealps[[#This Row],[MATURITY_DATE]]-Dealps[[#This Row],[POSTED_DT]]))</f>
        <v>147</v>
      </c>
      <c r="U524" s="25">
        <f>IF(Dealps[[#This Row],[TENOR]]=0,0,IF(Dealps[[#This Row],[DEAL_TYPE]]="B",Dealps[[#This Row],[FACE_AMOUNT]],-Dealps[[#This Row],[FACE_AMOUNT]]))</f>
        <v>-500000000000</v>
      </c>
      <c r="V524" s="25">
        <f>_xlfn.XLOOKUP(Dealps[[#This Row],[PAPER_CODE]],FNRP!D:D,FNRP!H:H,0,0)/100*Dealps[[#This Row],[AMOUNT]]</f>
        <v>0</v>
      </c>
      <c r="W524" s="57" t="str">
        <f>IF(Dealps[[#This Row],[TRANSACTION_STATUS]]&lt;&gt;"V","Ngoai BS",IF(Dealps[[#This Row],[POSTED_DT]]&gt;=Dealps[[#This Row],[VALUE_DATE]],"On BS","Off BS"))</f>
        <v>On BS</v>
      </c>
      <c r="X524" s="25">
        <f>SUMIFS(U:U,C:C,Dealps[[#This Row],[PAPER_CODE]])</f>
        <v>2000000000000</v>
      </c>
      <c r="Y524" s="25">
        <f>_xlfn.XLOOKUP(Dealps[[#This Row],[DEAL_ID]],Ref!N:N,Ref!Q:Q,0,0)</f>
        <v>0</v>
      </c>
      <c r="Z524" s="25" t="str">
        <f>IF(Dealps[[#This Row],[CPTY_CODE]]=Dealps[[#This Row],[CPTY_CODE_ISSUER]],"Yes","No")</f>
        <v>No</v>
      </c>
      <c r="AA524" s="25"/>
      <c r="AC524" s="14"/>
      <c r="AG524" s="96"/>
      <c r="AH524" s="25"/>
      <c r="AI524" s="25"/>
      <c r="AN524" s="14"/>
      <c r="AV524" s="36"/>
      <c r="AW524" s="14"/>
      <c r="AX524" s="234"/>
      <c r="AY524" s="96"/>
      <c r="AZ524" s="14"/>
      <c r="BA524"/>
      <c r="BB524" s="93">
        <v>46262</v>
      </c>
      <c r="BC524">
        <v>4770</v>
      </c>
      <c r="BD524" s="56" t="s">
        <v>1315</v>
      </c>
      <c r="BE524" t="s">
        <v>1011</v>
      </c>
      <c r="BF524" t="s">
        <v>1012</v>
      </c>
      <c r="BG524" t="s">
        <v>364</v>
      </c>
      <c r="BH524" t="s">
        <v>1013</v>
      </c>
      <c r="BI524" t="s">
        <v>311</v>
      </c>
      <c r="BJ524" s="93">
        <v>46232</v>
      </c>
      <c r="BK524" s="93">
        <v>46232</v>
      </c>
      <c r="BL524" s="93">
        <v>46232</v>
      </c>
      <c r="BM524" s="93">
        <v>46922</v>
      </c>
      <c r="BN524" s="14">
        <v>1</v>
      </c>
      <c r="BO524" s="14">
        <v>20000000000</v>
      </c>
      <c r="BP524" s="56">
        <v>100</v>
      </c>
      <c r="BQ524" s="56">
        <v>0</v>
      </c>
      <c r="BR524" s="14">
        <v>20190958904</v>
      </c>
      <c r="BS524">
        <v>8.4734130000000007</v>
      </c>
      <c r="BT524" t="s">
        <v>1184</v>
      </c>
      <c r="BU524" s="25">
        <f>_xlfn.XLOOKUP(Dealps_MSB[[#This Row],[DEAL_ID]],Ref!V:V,Ref!X:X,0,0)</f>
        <v>0</v>
      </c>
      <c r="BV524"/>
    </row>
    <row r="525" spans="1:74" x14ac:dyDescent="0.3">
      <c r="A525" s="93">
        <v>46262</v>
      </c>
      <c r="B525">
        <v>4556</v>
      </c>
      <c r="C525" s="56" t="s">
        <v>1204</v>
      </c>
      <c r="D525" t="s">
        <v>315</v>
      </c>
      <c r="E525" t="s">
        <v>971</v>
      </c>
      <c r="F525" t="s">
        <v>364</v>
      </c>
      <c r="G525" t="s">
        <v>310</v>
      </c>
      <c r="H525" t="s">
        <v>300</v>
      </c>
      <c r="I525" s="93">
        <v>46195</v>
      </c>
      <c r="J525" s="93">
        <v>46195</v>
      </c>
      <c r="K525" s="93">
        <v>46195</v>
      </c>
      <c r="L525" s="93">
        <v>46422</v>
      </c>
      <c r="M525" s="14">
        <v>1</v>
      </c>
      <c r="N525" s="14">
        <v>400000000000</v>
      </c>
      <c r="O525" s="56">
        <v>100.451516932</v>
      </c>
      <c r="P525" s="56">
        <v>0</v>
      </c>
      <c r="Q525" s="14">
        <v>412755328000</v>
      </c>
      <c r="R525">
        <v>6.3126910000000001</v>
      </c>
      <c r="S525" t="s">
        <v>1184</v>
      </c>
      <c r="T525" s="57">
        <f>IF(Dealps[[#This Row],[MATURITY_DATE]]-Dealps[[#This Row],[POSTED_DT]]&lt;0,0,IF(Dealps[[#This Row],[VALUE_DATE]]-Dealps[[#This Row],[POSTED_DT]]&gt;0,Dealps[[#This Row],[MATURITY_DATE]]-Dealps[[#This Row],[VALUE_DATE]],Dealps[[#This Row],[MATURITY_DATE]]-Dealps[[#This Row],[POSTED_DT]]))</f>
        <v>160</v>
      </c>
      <c r="U525" s="25">
        <f>IF(Dealps[[#This Row],[TENOR]]=0,0,IF(Dealps[[#This Row],[DEAL_TYPE]]="B",Dealps[[#This Row],[FACE_AMOUNT]],-Dealps[[#This Row],[FACE_AMOUNT]]))</f>
        <v>400000000000</v>
      </c>
      <c r="V525" s="25">
        <f>_xlfn.XLOOKUP(Dealps[[#This Row],[PAPER_CODE]],FNRP!D:D,FNRP!H:H,0,0)/100*Dealps[[#This Row],[AMOUNT]]</f>
        <v>0</v>
      </c>
      <c r="W525" s="57" t="str">
        <f>IF(Dealps[[#This Row],[TRANSACTION_STATUS]]&lt;&gt;"V","Ngoai BS",IF(Dealps[[#This Row],[POSTED_DT]]&gt;=Dealps[[#This Row],[VALUE_DATE]],"On BS","Off BS"))</f>
        <v>On BS</v>
      </c>
      <c r="X525" s="25">
        <f>SUMIFS(U:U,C:C,Dealps[[#This Row],[PAPER_CODE]])</f>
        <v>1000000000000</v>
      </c>
      <c r="Y525" s="25">
        <f>_xlfn.XLOOKUP(Dealps[[#This Row],[DEAL_ID]],Ref!N:N,Ref!Q:Q,0,0)</f>
        <v>0</v>
      </c>
      <c r="Z525" s="25" t="str">
        <f>IF(Dealps[[#This Row],[CPTY_CODE]]=Dealps[[#This Row],[CPTY_CODE_ISSUER]],"Yes","No")</f>
        <v>No</v>
      </c>
      <c r="AA525" s="25"/>
      <c r="AC525" s="14"/>
      <c r="AG525" s="96"/>
      <c r="AH525" s="25"/>
      <c r="AI525" s="25"/>
      <c r="AN525" s="14"/>
      <c r="AV525" s="36"/>
      <c r="AW525" s="14"/>
      <c r="AX525" s="234"/>
      <c r="AY525" s="96"/>
      <c r="AZ525" s="14"/>
      <c r="BA525"/>
      <c r="BB525" s="93">
        <v>46262</v>
      </c>
      <c r="BC525">
        <v>4771</v>
      </c>
      <c r="BD525" s="56" t="s">
        <v>1315</v>
      </c>
      <c r="BE525" t="s">
        <v>1011</v>
      </c>
      <c r="BF525" t="s">
        <v>1012</v>
      </c>
      <c r="BG525" t="s">
        <v>364</v>
      </c>
      <c r="BH525" t="s">
        <v>1013</v>
      </c>
      <c r="BI525" t="s">
        <v>311</v>
      </c>
      <c r="BJ525" s="93">
        <v>46232</v>
      </c>
      <c r="BK525" s="93">
        <v>46232</v>
      </c>
      <c r="BL525" s="93">
        <v>46232</v>
      </c>
      <c r="BM525" s="93">
        <v>46922</v>
      </c>
      <c r="BN525" s="14">
        <v>1</v>
      </c>
      <c r="BO525" s="14">
        <v>20000000000</v>
      </c>
      <c r="BP525" s="56">
        <v>100</v>
      </c>
      <c r="BQ525" s="56">
        <v>0</v>
      </c>
      <c r="BR525" s="14">
        <v>20190958904</v>
      </c>
      <c r="BS525">
        <v>8.4734130000000007</v>
      </c>
      <c r="BT525" t="s">
        <v>1184</v>
      </c>
      <c r="BU525" s="25">
        <f>_xlfn.XLOOKUP(Dealps_MSB[[#This Row],[DEAL_ID]],Ref!V:V,Ref!X:X,0,0)</f>
        <v>0</v>
      </c>
      <c r="BV525"/>
    </row>
    <row r="526" spans="1:74" x14ac:dyDescent="0.3">
      <c r="A526" s="93">
        <v>46262</v>
      </c>
      <c r="B526">
        <v>4559</v>
      </c>
      <c r="C526" s="56" t="s">
        <v>1061</v>
      </c>
      <c r="D526" t="s">
        <v>312</v>
      </c>
      <c r="E526" t="s">
        <v>636</v>
      </c>
      <c r="F526" t="s">
        <v>364</v>
      </c>
      <c r="G526" t="s">
        <v>310</v>
      </c>
      <c r="H526" t="s">
        <v>311</v>
      </c>
      <c r="I526" s="93">
        <v>46195</v>
      </c>
      <c r="J526" s="93">
        <v>46196</v>
      </c>
      <c r="K526" s="93">
        <v>46196</v>
      </c>
      <c r="L526" s="93">
        <v>46343</v>
      </c>
      <c r="M526" s="14">
        <v>1</v>
      </c>
      <c r="N526" s="14">
        <v>200000000000</v>
      </c>
      <c r="O526" s="56">
        <v>101.268461648</v>
      </c>
      <c r="P526" s="56">
        <v>0</v>
      </c>
      <c r="Q526" s="14">
        <v>210027882200</v>
      </c>
      <c r="R526">
        <v>3</v>
      </c>
      <c r="S526" t="s">
        <v>1184</v>
      </c>
      <c r="T526" s="57">
        <f>IF(Dealps[[#This Row],[MATURITY_DATE]]-Dealps[[#This Row],[POSTED_DT]]&lt;0,0,IF(Dealps[[#This Row],[VALUE_DATE]]-Dealps[[#This Row],[POSTED_DT]]&gt;0,Dealps[[#This Row],[MATURITY_DATE]]-Dealps[[#This Row],[VALUE_DATE]],Dealps[[#This Row],[MATURITY_DATE]]-Dealps[[#This Row],[POSTED_DT]]))</f>
        <v>81</v>
      </c>
      <c r="U526" s="25">
        <f>IF(Dealps[[#This Row],[TENOR]]=0,0,IF(Dealps[[#This Row],[DEAL_TYPE]]="B",Dealps[[#This Row],[FACE_AMOUNT]],-Dealps[[#This Row],[FACE_AMOUNT]]))</f>
        <v>-200000000000</v>
      </c>
      <c r="V526" s="25">
        <f>_xlfn.XLOOKUP(Dealps[[#This Row],[PAPER_CODE]],FNRP!D:D,FNRP!H:H,0,0)/100*Dealps[[#This Row],[AMOUNT]]</f>
        <v>0</v>
      </c>
      <c r="W526" s="57" t="str">
        <f>IF(Dealps[[#This Row],[TRANSACTION_STATUS]]&lt;&gt;"V","Ngoai BS",IF(Dealps[[#This Row],[POSTED_DT]]&gt;=Dealps[[#This Row],[VALUE_DATE]],"On BS","Off BS"))</f>
        <v>On BS</v>
      </c>
      <c r="X526" s="25">
        <f>SUMIFS(U:U,C:C,Dealps[[#This Row],[PAPER_CODE]])</f>
        <v>1500000000000</v>
      </c>
      <c r="Y526" s="25">
        <f>_xlfn.XLOOKUP(Dealps[[#This Row],[DEAL_ID]],Ref!N:N,Ref!Q:Q,0,0)</f>
        <v>0</v>
      </c>
      <c r="Z526" s="25" t="str">
        <f>IF(Dealps[[#This Row],[CPTY_CODE]]=Dealps[[#This Row],[CPTY_CODE_ISSUER]],"Yes","No")</f>
        <v>No</v>
      </c>
      <c r="AA526" s="25"/>
      <c r="AC526" s="14"/>
      <c r="AG526" s="96"/>
      <c r="AH526" s="25"/>
      <c r="AI526" s="25"/>
      <c r="AN526" s="14"/>
      <c r="AV526" s="36"/>
      <c r="AW526" s="14"/>
      <c r="AX526" s="234"/>
      <c r="AY526" s="96"/>
      <c r="AZ526" s="14"/>
      <c r="BA526"/>
      <c r="BB526" s="93">
        <v>46262</v>
      </c>
      <c r="BC526">
        <v>4772</v>
      </c>
      <c r="BD526" s="56" t="s">
        <v>1315</v>
      </c>
      <c r="BE526" t="s">
        <v>1011</v>
      </c>
      <c r="BF526" t="s">
        <v>1012</v>
      </c>
      <c r="BG526" t="s">
        <v>364</v>
      </c>
      <c r="BH526" t="s">
        <v>1013</v>
      </c>
      <c r="BI526" t="s">
        <v>311</v>
      </c>
      <c r="BJ526" s="93">
        <v>46232</v>
      </c>
      <c r="BK526" s="93">
        <v>46232</v>
      </c>
      <c r="BL526" s="93">
        <v>46232</v>
      </c>
      <c r="BM526" s="93">
        <v>46922</v>
      </c>
      <c r="BN526" s="14">
        <v>1</v>
      </c>
      <c r="BO526" s="14">
        <v>20000000000</v>
      </c>
      <c r="BP526" s="56">
        <v>100</v>
      </c>
      <c r="BQ526" s="56">
        <v>0</v>
      </c>
      <c r="BR526" s="14">
        <v>20190958904</v>
      </c>
      <c r="BS526">
        <v>8.4734130000000007</v>
      </c>
      <c r="BT526" t="s">
        <v>1184</v>
      </c>
      <c r="BU526" s="25">
        <f>_xlfn.XLOOKUP(Dealps_MSB[[#This Row],[DEAL_ID]],Ref!V:V,Ref!X:X,0,0)</f>
        <v>0</v>
      </c>
      <c r="BV526"/>
    </row>
    <row r="527" spans="1:74" x14ac:dyDescent="0.3">
      <c r="A527" s="93">
        <v>46262</v>
      </c>
      <c r="B527">
        <v>4563</v>
      </c>
      <c r="C527" s="56" t="s">
        <v>1071</v>
      </c>
      <c r="D527" t="s">
        <v>328</v>
      </c>
      <c r="E527" t="s">
        <v>971</v>
      </c>
      <c r="F527" t="s">
        <v>364</v>
      </c>
      <c r="G527" t="s">
        <v>310</v>
      </c>
      <c r="H527" t="s">
        <v>300</v>
      </c>
      <c r="I527" s="93">
        <v>46197</v>
      </c>
      <c r="J527" s="93">
        <v>46197</v>
      </c>
      <c r="K527" s="93">
        <v>46197</v>
      </c>
      <c r="L527" s="93">
        <v>46352</v>
      </c>
      <c r="M527" s="14">
        <v>1</v>
      </c>
      <c r="N527" s="14">
        <v>500000000000</v>
      </c>
      <c r="O527" s="56">
        <v>100.812561518</v>
      </c>
      <c r="P527" s="56">
        <v>0</v>
      </c>
      <c r="Q527" s="14">
        <v>522958697999.99994</v>
      </c>
      <c r="R527">
        <v>4.4808019999999997</v>
      </c>
      <c r="S527" t="s">
        <v>1184</v>
      </c>
      <c r="T527" s="57">
        <f>IF(Dealps[[#This Row],[MATURITY_DATE]]-Dealps[[#This Row],[POSTED_DT]]&lt;0,0,IF(Dealps[[#This Row],[VALUE_DATE]]-Dealps[[#This Row],[POSTED_DT]]&gt;0,Dealps[[#This Row],[MATURITY_DATE]]-Dealps[[#This Row],[VALUE_DATE]],Dealps[[#This Row],[MATURITY_DATE]]-Dealps[[#This Row],[POSTED_DT]]))</f>
        <v>90</v>
      </c>
      <c r="U527" s="25">
        <f>IF(Dealps[[#This Row],[TENOR]]=0,0,IF(Dealps[[#This Row],[DEAL_TYPE]]="B",Dealps[[#This Row],[FACE_AMOUNT]],-Dealps[[#This Row],[FACE_AMOUNT]]))</f>
        <v>500000000000</v>
      </c>
      <c r="V527" s="25">
        <f>_xlfn.XLOOKUP(Dealps[[#This Row],[PAPER_CODE]],FNRP!D:D,FNRP!H:H,0,0)/100*Dealps[[#This Row],[AMOUNT]]</f>
        <v>0</v>
      </c>
      <c r="W527" s="57" t="str">
        <f>IF(Dealps[[#This Row],[TRANSACTION_STATUS]]&lt;&gt;"V","Ngoai BS",IF(Dealps[[#This Row],[POSTED_DT]]&gt;=Dealps[[#This Row],[VALUE_DATE]],"On BS","Off BS"))</f>
        <v>On BS</v>
      </c>
      <c r="X527" s="25">
        <f>SUMIFS(U:U,C:C,Dealps[[#This Row],[PAPER_CODE]])</f>
        <v>1500000000000</v>
      </c>
      <c r="Y527" s="25">
        <f>_xlfn.XLOOKUP(Dealps[[#This Row],[DEAL_ID]],Ref!N:N,Ref!Q:Q,0,0)</f>
        <v>0</v>
      </c>
      <c r="Z527" s="25" t="str">
        <f>IF(Dealps[[#This Row],[CPTY_CODE]]=Dealps[[#This Row],[CPTY_CODE_ISSUER]],"Yes","No")</f>
        <v>No</v>
      </c>
      <c r="AA527" s="25"/>
      <c r="AC527" s="14"/>
      <c r="AG527" s="96"/>
      <c r="AH527" s="25"/>
      <c r="AI527" s="25"/>
      <c r="AN527" s="14"/>
      <c r="AV527" s="36"/>
      <c r="AW527" s="14"/>
      <c r="AX527" s="234"/>
      <c r="AY527" s="96"/>
      <c r="AZ527" s="14"/>
      <c r="BA527"/>
      <c r="BB527" s="93">
        <v>46262</v>
      </c>
      <c r="BC527">
        <v>4773</v>
      </c>
      <c r="BD527" s="56" t="s">
        <v>1315</v>
      </c>
      <c r="BE527" t="s">
        <v>1011</v>
      </c>
      <c r="BF527" t="s">
        <v>1012</v>
      </c>
      <c r="BG527" t="s">
        <v>364</v>
      </c>
      <c r="BH527" t="s">
        <v>1013</v>
      </c>
      <c r="BI527" t="s">
        <v>311</v>
      </c>
      <c r="BJ527" s="93">
        <v>46232</v>
      </c>
      <c r="BK527" s="93">
        <v>46232</v>
      </c>
      <c r="BL527" s="93">
        <v>46232</v>
      </c>
      <c r="BM527" s="93">
        <v>46922</v>
      </c>
      <c r="BN527" s="14">
        <v>1</v>
      </c>
      <c r="BO527" s="14">
        <v>20000000000</v>
      </c>
      <c r="BP527" s="56">
        <v>100</v>
      </c>
      <c r="BQ527" s="56">
        <v>0</v>
      </c>
      <c r="BR527" s="14">
        <v>20190958904</v>
      </c>
      <c r="BS527">
        <v>8.4734130000000007</v>
      </c>
      <c r="BT527" t="s">
        <v>1184</v>
      </c>
      <c r="BU527" s="25">
        <f>_xlfn.XLOOKUP(Dealps_MSB[[#This Row],[DEAL_ID]],Ref!V:V,Ref!X:X,0,0)</f>
        <v>0</v>
      </c>
      <c r="BV527"/>
    </row>
    <row r="528" spans="1:74" x14ac:dyDescent="0.3">
      <c r="A528" s="93">
        <v>46262</v>
      </c>
      <c r="B528">
        <v>4564</v>
      </c>
      <c r="C528" s="56" t="s">
        <v>1010</v>
      </c>
      <c r="D528" t="s">
        <v>328</v>
      </c>
      <c r="E528" t="s">
        <v>971</v>
      </c>
      <c r="F528" t="s">
        <v>364</v>
      </c>
      <c r="G528" t="s">
        <v>310</v>
      </c>
      <c r="H528" t="s">
        <v>300</v>
      </c>
      <c r="I528" s="93">
        <v>46197</v>
      </c>
      <c r="J528" s="93">
        <v>46197</v>
      </c>
      <c r="K528" s="93">
        <v>46197</v>
      </c>
      <c r="L528" s="93">
        <v>46329</v>
      </c>
      <c r="M528" s="14">
        <v>1</v>
      </c>
      <c r="N528" s="14">
        <v>1000000000000</v>
      </c>
      <c r="O528" s="56">
        <v>100.584601638</v>
      </c>
      <c r="P528" s="56">
        <v>0</v>
      </c>
      <c r="Q528" s="14">
        <v>1045889852000</v>
      </c>
      <c r="R528">
        <v>4.4779929999999997</v>
      </c>
      <c r="S528" t="s">
        <v>1184</v>
      </c>
      <c r="T528" s="57">
        <f>IF(Dealps[[#This Row],[MATURITY_DATE]]-Dealps[[#This Row],[POSTED_DT]]&lt;0,0,IF(Dealps[[#This Row],[VALUE_DATE]]-Dealps[[#This Row],[POSTED_DT]]&gt;0,Dealps[[#This Row],[MATURITY_DATE]]-Dealps[[#This Row],[VALUE_DATE]],Dealps[[#This Row],[MATURITY_DATE]]-Dealps[[#This Row],[POSTED_DT]]))</f>
        <v>67</v>
      </c>
      <c r="U528" s="25">
        <f>IF(Dealps[[#This Row],[TENOR]]=0,0,IF(Dealps[[#This Row],[DEAL_TYPE]]="B",Dealps[[#This Row],[FACE_AMOUNT]],-Dealps[[#This Row],[FACE_AMOUNT]]))</f>
        <v>1000000000000</v>
      </c>
      <c r="V528" s="25">
        <f>_xlfn.XLOOKUP(Dealps[[#This Row],[PAPER_CODE]],FNRP!D:D,FNRP!H:H,0,0)/100*Dealps[[#This Row],[AMOUNT]]</f>
        <v>0</v>
      </c>
      <c r="W528" s="57" t="str">
        <f>IF(Dealps[[#This Row],[TRANSACTION_STATUS]]&lt;&gt;"V","Ngoai BS",IF(Dealps[[#This Row],[POSTED_DT]]&gt;=Dealps[[#This Row],[VALUE_DATE]],"On BS","Off BS"))</f>
        <v>On BS</v>
      </c>
      <c r="X528" s="25">
        <f>SUMIFS(U:U,C:C,Dealps[[#This Row],[PAPER_CODE]])</f>
        <v>2000000000000</v>
      </c>
      <c r="Y528" s="25">
        <f>_xlfn.XLOOKUP(Dealps[[#This Row],[DEAL_ID]],Ref!N:N,Ref!Q:Q,0,0)</f>
        <v>0</v>
      </c>
      <c r="Z528" s="25" t="str">
        <f>IF(Dealps[[#This Row],[CPTY_CODE]]=Dealps[[#This Row],[CPTY_CODE_ISSUER]],"Yes","No")</f>
        <v>No</v>
      </c>
      <c r="AA528" s="25"/>
      <c r="AC528" s="14"/>
      <c r="AG528" s="96"/>
      <c r="AH528" s="25"/>
      <c r="AI528" s="25"/>
      <c r="AN528" s="14"/>
      <c r="AV528" s="36"/>
      <c r="AW528" s="14"/>
      <c r="AX528" s="234"/>
      <c r="AY528" s="96"/>
      <c r="AZ528" s="14"/>
      <c r="BA528"/>
      <c r="BB528" s="93">
        <v>46262</v>
      </c>
      <c r="BC528">
        <v>4774</v>
      </c>
      <c r="BD528" s="56" t="s">
        <v>1315</v>
      </c>
      <c r="BE528" t="s">
        <v>1011</v>
      </c>
      <c r="BF528" t="s">
        <v>1012</v>
      </c>
      <c r="BG528" t="s">
        <v>364</v>
      </c>
      <c r="BH528" t="s">
        <v>1013</v>
      </c>
      <c r="BI528" t="s">
        <v>311</v>
      </c>
      <c r="BJ528" s="93">
        <v>46232</v>
      </c>
      <c r="BK528" s="93">
        <v>46232</v>
      </c>
      <c r="BL528" s="93">
        <v>46232</v>
      </c>
      <c r="BM528" s="93">
        <v>46922</v>
      </c>
      <c r="BN528" s="14">
        <v>1</v>
      </c>
      <c r="BO528" s="14">
        <v>20000000000</v>
      </c>
      <c r="BP528" s="56">
        <v>100</v>
      </c>
      <c r="BQ528" s="56">
        <v>0</v>
      </c>
      <c r="BR528" s="14">
        <v>20190958904</v>
      </c>
      <c r="BS528">
        <v>8.4734130000000007</v>
      </c>
      <c r="BT528" t="s">
        <v>1184</v>
      </c>
      <c r="BU528" s="25">
        <f>_xlfn.XLOOKUP(Dealps_MSB[[#This Row],[DEAL_ID]],Ref!V:V,Ref!X:X,0,0)</f>
        <v>0</v>
      </c>
      <c r="BV528"/>
    </row>
    <row r="529" spans="1:74" x14ac:dyDescent="0.3">
      <c r="A529" s="93">
        <v>46262</v>
      </c>
      <c r="B529">
        <v>4565</v>
      </c>
      <c r="C529" s="56" t="s">
        <v>1061</v>
      </c>
      <c r="D529" t="s">
        <v>312</v>
      </c>
      <c r="E529" t="s">
        <v>320</v>
      </c>
      <c r="F529" t="s">
        <v>364</v>
      </c>
      <c r="G529" t="s">
        <v>310</v>
      </c>
      <c r="H529" t="s">
        <v>300</v>
      </c>
      <c r="I529" s="93">
        <v>46197</v>
      </c>
      <c r="J529" s="93">
        <v>46197</v>
      </c>
      <c r="K529" s="93">
        <v>46197</v>
      </c>
      <c r="L529" s="93">
        <v>46343</v>
      </c>
      <c r="M529" s="14">
        <v>1</v>
      </c>
      <c r="N529" s="14">
        <v>1000000000000</v>
      </c>
      <c r="O529" s="56">
        <v>99.603172274000002</v>
      </c>
      <c r="P529" s="56">
        <v>0</v>
      </c>
      <c r="Q529" s="14">
        <v>1033659120000.0001</v>
      </c>
      <c r="R529">
        <v>7.0546170000000004</v>
      </c>
      <c r="S529" t="s">
        <v>1184</v>
      </c>
      <c r="T529" s="57">
        <f>IF(Dealps[[#This Row],[MATURITY_DATE]]-Dealps[[#This Row],[POSTED_DT]]&lt;0,0,IF(Dealps[[#This Row],[VALUE_DATE]]-Dealps[[#This Row],[POSTED_DT]]&gt;0,Dealps[[#This Row],[MATURITY_DATE]]-Dealps[[#This Row],[VALUE_DATE]],Dealps[[#This Row],[MATURITY_DATE]]-Dealps[[#This Row],[POSTED_DT]]))</f>
        <v>81</v>
      </c>
      <c r="U529" s="25">
        <f>IF(Dealps[[#This Row],[TENOR]]=0,0,IF(Dealps[[#This Row],[DEAL_TYPE]]="B",Dealps[[#This Row],[FACE_AMOUNT]],-Dealps[[#This Row],[FACE_AMOUNT]]))</f>
        <v>1000000000000</v>
      </c>
      <c r="V529" s="25">
        <f>_xlfn.XLOOKUP(Dealps[[#This Row],[PAPER_CODE]],FNRP!D:D,FNRP!H:H,0,0)/100*Dealps[[#This Row],[AMOUNT]]</f>
        <v>0</v>
      </c>
      <c r="W529" s="57" t="str">
        <f>IF(Dealps[[#This Row],[TRANSACTION_STATUS]]&lt;&gt;"V","Ngoai BS",IF(Dealps[[#This Row],[POSTED_DT]]&gt;=Dealps[[#This Row],[VALUE_DATE]],"On BS","Off BS"))</f>
        <v>On BS</v>
      </c>
      <c r="X529" s="25">
        <f>SUMIFS(U:U,C:C,Dealps[[#This Row],[PAPER_CODE]])</f>
        <v>1500000000000</v>
      </c>
      <c r="Y529" s="25">
        <f>_xlfn.XLOOKUP(Dealps[[#This Row],[DEAL_ID]],Ref!N:N,Ref!Q:Q,0,0)</f>
        <v>0</v>
      </c>
      <c r="Z529" s="25" t="str">
        <f>IF(Dealps[[#This Row],[CPTY_CODE]]=Dealps[[#This Row],[CPTY_CODE_ISSUER]],"Yes","No")</f>
        <v>No</v>
      </c>
      <c r="AA529" s="25"/>
      <c r="AC529" s="14"/>
      <c r="AG529" s="96"/>
      <c r="AH529" s="25"/>
      <c r="AI529" s="25"/>
      <c r="AN529" s="14"/>
      <c r="AV529" s="36"/>
      <c r="AW529" s="14"/>
      <c r="AX529" s="234"/>
      <c r="AY529" s="96"/>
      <c r="AZ529" s="14"/>
      <c r="BA529"/>
      <c r="BB529" s="93">
        <v>46262</v>
      </c>
      <c r="BC529">
        <v>4917</v>
      </c>
      <c r="BD529" s="56" t="s">
        <v>1315</v>
      </c>
      <c r="BE529" t="s">
        <v>1011</v>
      </c>
      <c r="BF529" t="s">
        <v>1012</v>
      </c>
      <c r="BG529" t="s">
        <v>364</v>
      </c>
      <c r="BH529" t="s">
        <v>1013</v>
      </c>
      <c r="BI529" t="s">
        <v>311</v>
      </c>
      <c r="BJ529" s="93">
        <v>46253</v>
      </c>
      <c r="BK529" s="93">
        <v>46253</v>
      </c>
      <c r="BL529" s="93">
        <v>46253</v>
      </c>
      <c r="BM529" s="93">
        <v>46922</v>
      </c>
      <c r="BN529" s="14">
        <v>1</v>
      </c>
      <c r="BO529" s="14">
        <v>20000000000</v>
      </c>
      <c r="BP529" s="56">
        <v>100</v>
      </c>
      <c r="BQ529" s="56">
        <v>0</v>
      </c>
      <c r="BR529" s="14">
        <v>20288767123</v>
      </c>
      <c r="BS529">
        <v>8.4626230000000007</v>
      </c>
      <c r="BT529" t="s">
        <v>1184</v>
      </c>
      <c r="BU529" s="25">
        <f>_xlfn.XLOOKUP(Dealps_MSB[[#This Row],[DEAL_ID]],Ref!V:V,Ref!X:X,0,0)</f>
        <v>0</v>
      </c>
      <c r="BV529"/>
    </row>
    <row r="530" spans="1:74" x14ac:dyDescent="0.3">
      <c r="A530" s="93">
        <v>46262</v>
      </c>
      <c r="B530">
        <v>4568</v>
      </c>
      <c r="C530" s="56" t="s">
        <v>1258</v>
      </c>
      <c r="D530" t="s">
        <v>321</v>
      </c>
      <c r="E530" t="s">
        <v>1228</v>
      </c>
      <c r="F530" t="s">
        <v>364</v>
      </c>
      <c r="G530" t="s">
        <v>310</v>
      </c>
      <c r="H530" t="s">
        <v>311</v>
      </c>
      <c r="I530" s="93">
        <v>46197</v>
      </c>
      <c r="J530" s="93">
        <v>46197</v>
      </c>
      <c r="K530" s="93">
        <v>46198</v>
      </c>
      <c r="L530" s="93">
        <v>46485</v>
      </c>
      <c r="M530" s="14">
        <v>1</v>
      </c>
      <c r="N530" s="14">
        <v>150000000000</v>
      </c>
      <c r="O530" s="56">
        <v>101.340759099</v>
      </c>
      <c r="P530" s="56">
        <v>0</v>
      </c>
      <c r="Q530" s="14">
        <v>154496618100</v>
      </c>
      <c r="R530">
        <v>6.5</v>
      </c>
      <c r="S530" t="s">
        <v>1184</v>
      </c>
      <c r="T530" s="57">
        <f>IF(Dealps[[#This Row],[MATURITY_DATE]]-Dealps[[#This Row],[POSTED_DT]]&lt;0,0,IF(Dealps[[#This Row],[VALUE_DATE]]-Dealps[[#This Row],[POSTED_DT]]&gt;0,Dealps[[#This Row],[MATURITY_DATE]]-Dealps[[#This Row],[VALUE_DATE]],Dealps[[#This Row],[MATURITY_DATE]]-Dealps[[#This Row],[POSTED_DT]]))</f>
        <v>223</v>
      </c>
      <c r="U530" s="25">
        <f>IF(Dealps[[#This Row],[TENOR]]=0,0,IF(Dealps[[#This Row],[DEAL_TYPE]]="B",Dealps[[#This Row],[FACE_AMOUNT]],-Dealps[[#This Row],[FACE_AMOUNT]]))</f>
        <v>-150000000000</v>
      </c>
      <c r="V530" s="25">
        <f>_xlfn.XLOOKUP(Dealps[[#This Row],[PAPER_CODE]],FNRP!D:D,FNRP!H:H,0,0)/100*Dealps[[#This Row],[AMOUNT]]</f>
        <v>0</v>
      </c>
      <c r="W530" s="57" t="str">
        <f>IF(Dealps[[#This Row],[TRANSACTION_STATUS]]&lt;&gt;"V","Ngoai BS",IF(Dealps[[#This Row],[POSTED_DT]]&gt;=Dealps[[#This Row],[VALUE_DATE]],"On BS","Off BS"))</f>
        <v>On BS</v>
      </c>
      <c r="X530" s="25">
        <f>SUMIFS(U:U,C:C,Dealps[[#This Row],[PAPER_CODE]])</f>
        <v>2000000000000</v>
      </c>
      <c r="Y530" s="25">
        <f>_xlfn.XLOOKUP(Dealps[[#This Row],[DEAL_ID]],Ref!N:N,Ref!Q:Q,0,0)</f>
        <v>0</v>
      </c>
      <c r="Z530" s="25" t="str">
        <f>IF(Dealps[[#This Row],[CPTY_CODE]]=Dealps[[#This Row],[CPTY_CODE_ISSUER]],"Yes","No")</f>
        <v>No</v>
      </c>
      <c r="AA530" s="25"/>
      <c r="AC530" s="14"/>
      <c r="AG530" s="96"/>
      <c r="AH530" s="25"/>
      <c r="AI530" s="25"/>
      <c r="AN530" s="14"/>
      <c r="AV530" s="36"/>
      <c r="AW530" s="14"/>
      <c r="AX530" s="234"/>
      <c r="AY530" s="96"/>
      <c r="AZ530" s="14"/>
      <c r="BA530"/>
      <c r="BB530" s="93">
        <v>46262</v>
      </c>
      <c r="BC530">
        <v>4920</v>
      </c>
      <c r="BD530" s="56" t="s">
        <v>1315</v>
      </c>
      <c r="BE530" t="s">
        <v>1011</v>
      </c>
      <c r="BF530" t="s">
        <v>1012</v>
      </c>
      <c r="BG530" t="s">
        <v>364</v>
      </c>
      <c r="BH530" t="s">
        <v>1013</v>
      </c>
      <c r="BI530" t="s">
        <v>311</v>
      </c>
      <c r="BJ530" s="93">
        <v>46253</v>
      </c>
      <c r="BK530" s="93">
        <v>46253</v>
      </c>
      <c r="BL530" s="93">
        <v>46253</v>
      </c>
      <c r="BM530" s="93">
        <v>46922</v>
      </c>
      <c r="BN530" s="14">
        <v>1</v>
      </c>
      <c r="BO530" s="14">
        <v>20000000000</v>
      </c>
      <c r="BP530" s="56">
        <v>100</v>
      </c>
      <c r="BQ530" s="56">
        <v>0</v>
      </c>
      <c r="BR530" s="14">
        <v>20288767123</v>
      </c>
      <c r="BS530">
        <v>8.4626230000000007</v>
      </c>
      <c r="BT530" t="s">
        <v>1184</v>
      </c>
      <c r="BU530" s="25">
        <f>_xlfn.XLOOKUP(Dealps_MSB[[#This Row],[DEAL_ID]],Ref!V:V,Ref!X:X,0,0)</f>
        <v>0</v>
      </c>
      <c r="BV530"/>
    </row>
    <row r="531" spans="1:74" x14ac:dyDescent="0.3">
      <c r="A531" s="93">
        <v>46262</v>
      </c>
      <c r="B531">
        <v>4570</v>
      </c>
      <c r="C531" s="56" t="s">
        <v>963</v>
      </c>
      <c r="D531" t="s">
        <v>308</v>
      </c>
      <c r="E531" t="s">
        <v>474</v>
      </c>
      <c r="F531" t="s">
        <v>364</v>
      </c>
      <c r="G531" t="s">
        <v>310</v>
      </c>
      <c r="H531" t="s">
        <v>311</v>
      </c>
      <c r="I531" s="93">
        <v>46197</v>
      </c>
      <c r="J531" s="93">
        <v>46197</v>
      </c>
      <c r="K531" s="93">
        <v>46198</v>
      </c>
      <c r="L531" s="93">
        <v>46295</v>
      </c>
      <c r="M531" s="14">
        <v>1</v>
      </c>
      <c r="N531" s="14">
        <v>35000000000</v>
      </c>
      <c r="O531" s="56">
        <v>100.229980719</v>
      </c>
      <c r="P531" s="56">
        <v>0</v>
      </c>
      <c r="Q531" s="14">
        <v>36642260375</v>
      </c>
      <c r="R531">
        <v>5</v>
      </c>
      <c r="S531" t="s">
        <v>1184</v>
      </c>
      <c r="T531" s="57">
        <f>IF(Dealps[[#This Row],[MATURITY_DATE]]-Dealps[[#This Row],[POSTED_DT]]&lt;0,0,IF(Dealps[[#This Row],[VALUE_DATE]]-Dealps[[#This Row],[POSTED_DT]]&gt;0,Dealps[[#This Row],[MATURITY_DATE]]-Dealps[[#This Row],[VALUE_DATE]],Dealps[[#This Row],[MATURITY_DATE]]-Dealps[[#This Row],[POSTED_DT]]))</f>
        <v>33</v>
      </c>
      <c r="U531" s="25">
        <f>IF(Dealps[[#This Row],[TENOR]]=0,0,IF(Dealps[[#This Row],[DEAL_TYPE]]="B",Dealps[[#This Row],[FACE_AMOUNT]],-Dealps[[#This Row],[FACE_AMOUNT]]))</f>
        <v>-35000000000</v>
      </c>
      <c r="V531" s="25">
        <f>_xlfn.XLOOKUP(Dealps[[#This Row],[PAPER_CODE]],FNRP!D:D,FNRP!H:H,0,0)/100*Dealps[[#This Row],[AMOUNT]]</f>
        <v>0</v>
      </c>
      <c r="W531" s="57" t="str">
        <f>IF(Dealps[[#This Row],[TRANSACTION_STATUS]]&lt;&gt;"V","Ngoai BS",IF(Dealps[[#This Row],[POSTED_DT]]&gt;=Dealps[[#This Row],[VALUE_DATE]],"On BS","Off BS"))</f>
        <v>On BS</v>
      </c>
      <c r="X531" s="25">
        <f>SUMIFS(U:U,C:C,Dealps[[#This Row],[PAPER_CODE]])</f>
        <v>400000000000</v>
      </c>
      <c r="Y531" s="25">
        <f>_xlfn.XLOOKUP(Dealps[[#This Row],[DEAL_ID]],Ref!N:N,Ref!Q:Q,0,0)</f>
        <v>0</v>
      </c>
      <c r="Z531" s="25" t="str">
        <f>IF(Dealps[[#This Row],[CPTY_CODE]]=Dealps[[#This Row],[CPTY_CODE_ISSUER]],"Yes","No")</f>
        <v>No</v>
      </c>
      <c r="AA531" s="25"/>
      <c r="AC531" s="14"/>
      <c r="AG531" s="96"/>
      <c r="AH531" s="25"/>
      <c r="AI531" s="25"/>
      <c r="AN531" s="14"/>
      <c r="AV531" s="36"/>
      <c r="AW531" s="14"/>
      <c r="AX531" s="234"/>
      <c r="AY531" s="96"/>
      <c r="AZ531" s="14"/>
      <c r="BA531"/>
      <c r="BB531" s="93">
        <v>46262</v>
      </c>
      <c r="BC531">
        <v>4921</v>
      </c>
      <c r="BD531" s="56" t="s">
        <v>1315</v>
      </c>
      <c r="BE531" t="s">
        <v>1011</v>
      </c>
      <c r="BF531" t="s">
        <v>1012</v>
      </c>
      <c r="BG531" t="s">
        <v>364</v>
      </c>
      <c r="BH531" t="s">
        <v>1013</v>
      </c>
      <c r="BI531" t="s">
        <v>311</v>
      </c>
      <c r="BJ531" s="93">
        <v>46253</v>
      </c>
      <c r="BK531" s="93">
        <v>46253</v>
      </c>
      <c r="BL531" s="93">
        <v>46253</v>
      </c>
      <c r="BM531" s="93">
        <v>46922</v>
      </c>
      <c r="BN531" s="14">
        <v>1</v>
      </c>
      <c r="BO531" s="14">
        <v>20000000000</v>
      </c>
      <c r="BP531" s="56">
        <v>100</v>
      </c>
      <c r="BQ531" s="56">
        <v>0</v>
      </c>
      <c r="BR531" s="14">
        <v>20288767123</v>
      </c>
      <c r="BS531">
        <v>8.4626230000000007</v>
      </c>
      <c r="BT531" t="s">
        <v>1184</v>
      </c>
      <c r="BU531" s="25">
        <f>_xlfn.XLOOKUP(Dealps_MSB[[#This Row],[DEAL_ID]],Ref!V:V,Ref!X:X,0,0)</f>
        <v>0</v>
      </c>
      <c r="BV531"/>
    </row>
    <row r="532" spans="1:74" x14ac:dyDescent="0.3">
      <c r="A532" s="93">
        <v>46262</v>
      </c>
      <c r="B532">
        <v>4572</v>
      </c>
      <c r="C532" s="56" t="s">
        <v>1061</v>
      </c>
      <c r="D532" t="s">
        <v>312</v>
      </c>
      <c r="E532" t="s">
        <v>971</v>
      </c>
      <c r="F532" t="s">
        <v>364</v>
      </c>
      <c r="G532" t="s">
        <v>310</v>
      </c>
      <c r="H532" t="s">
        <v>311</v>
      </c>
      <c r="I532" s="93">
        <v>46197</v>
      </c>
      <c r="J532" s="93">
        <v>46197</v>
      </c>
      <c r="K532" s="93">
        <v>46198</v>
      </c>
      <c r="L532" s="93">
        <v>46343</v>
      </c>
      <c r="M532" s="14">
        <v>1</v>
      </c>
      <c r="N532" s="14">
        <v>200000000000</v>
      </c>
      <c r="O532" s="56">
        <v>99.988139200000006</v>
      </c>
      <c r="P532" s="56">
        <v>0</v>
      </c>
      <c r="Q532" s="14">
        <v>207536278400</v>
      </c>
      <c r="R532">
        <v>6.1</v>
      </c>
      <c r="S532" t="s">
        <v>1184</v>
      </c>
      <c r="T532" s="57">
        <f>IF(Dealps[[#This Row],[MATURITY_DATE]]-Dealps[[#This Row],[POSTED_DT]]&lt;0,0,IF(Dealps[[#This Row],[VALUE_DATE]]-Dealps[[#This Row],[POSTED_DT]]&gt;0,Dealps[[#This Row],[MATURITY_DATE]]-Dealps[[#This Row],[VALUE_DATE]],Dealps[[#This Row],[MATURITY_DATE]]-Dealps[[#This Row],[POSTED_DT]]))</f>
        <v>81</v>
      </c>
      <c r="U532" s="25">
        <f>IF(Dealps[[#This Row],[TENOR]]=0,0,IF(Dealps[[#This Row],[DEAL_TYPE]]="B",Dealps[[#This Row],[FACE_AMOUNT]],-Dealps[[#This Row],[FACE_AMOUNT]]))</f>
        <v>-200000000000</v>
      </c>
      <c r="V532" s="25">
        <f>_xlfn.XLOOKUP(Dealps[[#This Row],[PAPER_CODE]],FNRP!D:D,FNRP!H:H,0,0)/100*Dealps[[#This Row],[AMOUNT]]</f>
        <v>0</v>
      </c>
      <c r="W532" s="57" t="str">
        <f>IF(Dealps[[#This Row],[TRANSACTION_STATUS]]&lt;&gt;"V","Ngoai BS",IF(Dealps[[#This Row],[POSTED_DT]]&gt;=Dealps[[#This Row],[VALUE_DATE]],"On BS","Off BS"))</f>
        <v>On BS</v>
      </c>
      <c r="X532" s="25">
        <f>SUMIFS(U:U,C:C,Dealps[[#This Row],[PAPER_CODE]])</f>
        <v>1500000000000</v>
      </c>
      <c r="Y532" s="25">
        <f>_xlfn.XLOOKUP(Dealps[[#This Row],[DEAL_ID]],Ref!N:N,Ref!Q:Q,0,0)</f>
        <v>0</v>
      </c>
      <c r="Z532" s="25" t="str">
        <f>IF(Dealps[[#This Row],[CPTY_CODE]]=Dealps[[#This Row],[CPTY_CODE_ISSUER]],"Yes","No")</f>
        <v>No</v>
      </c>
      <c r="AA532" s="25"/>
      <c r="AC532" s="14"/>
      <c r="AG532" s="96"/>
      <c r="AH532" s="25"/>
      <c r="AI532" s="25"/>
      <c r="AN532" s="14"/>
      <c r="AV532" s="36"/>
      <c r="AW532" s="14"/>
      <c r="AX532" s="234"/>
      <c r="AY532" s="96"/>
      <c r="AZ532" s="14"/>
      <c r="BA532"/>
      <c r="BB532" s="93">
        <v>46262</v>
      </c>
      <c r="BC532">
        <v>4922</v>
      </c>
      <c r="BD532" s="56" t="s">
        <v>1315</v>
      </c>
      <c r="BE532" t="s">
        <v>1011</v>
      </c>
      <c r="BF532" t="s">
        <v>1012</v>
      </c>
      <c r="BG532" t="s">
        <v>364</v>
      </c>
      <c r="BH532" t="s">
        <v>1013</v>
      </c>
      <c r="BI532" t="s">
        <v>311</v>
      </c>
      <c r="BJ532" s="93">
        <v>46253</v>
      </c>
      <c r="BK532" s="93">
        <v>46253</v>
      </c>
      <c r="BL532" s="93">
        <v>46253</v>
      </c>
      <c r="BM532" s="93">
        <v>46922</v>
      </c>
      <c r="BN532" s="14">
        <v>1</v>
      </c>
      <c r="BO532" s="14">
        <v>20000000000</v>
      </c>
      <c r="BP532" s="56">
        <v>100</v>
      </c>
      <c r="BQ532" s="56">
        <v>0</v>
      </c>
      <c r="BR532" s="14">
        <v>20288767123</v>
      </c>
      <c r="BS532">
        <v>8.4626230000000007</v>
      </c>
      <c r="BT532" t="s">
        <v>1184</v>
      </c>
      <c r="BU532" s="25">
        <f>_xlfn.XLOOKUP(Dealps_MSB[[#This Row],[DEAL_ID]],Ref!V:V,Ref!X:X,0,0)</f>
        <v>0</v>
      </c>
      <c r="BV532"/>
    </row>
    <row r="533" spans="1:74" x14ac:dyDescent="0.3">
      <c r="A533" s="93">
        <v>46262</v>
      </c>
      <c r="B533">
        <v>4574</v>
      </c>
      <c r="C533" s="56" t="s">
        <v>1061</v>
      </c>
      <c r="D533" t="s">
        <v>312</v>
      </c>
      <c r="E533" t="s">
        <v>971</v>
      </c>
      <c r="F533" t="s">
        <v>364</v>
      </c>
      <c r="G533" t="s">
        <v>310</v>
      </c>
      <c r="H533" t="s">
        <v>311</v>
      </c>
      <c r="I533" s="93">
        <v>46198</v>
      </c>
      <c r="J533" s="93">
        <v>46197</v>
      </c>
      <c r="K533" s="93">
        <v>46198</v>
      </c>
      <c r="L533" s="93">
        <v>46343</v>
      </c>
      <c r="M533" s="14">
        <v>1</v>
      </c>
      <c r="N533" s="14">
        <v>200000000000</v>
      </c>
      <c r="O533" s="56">
        <v>99.988139200000006</v>
      </c>
      <c r="P533" s="56">
        <v>0</v>
      </c>
      <c r="Q533" s="14">
        <v>207536278400</v>
      </c>
      <c r="R533">
        <v>6.1</v>
      </c>
      <c r="S533" t="s">
        <v>1184</v>
      </c>
      <c r="T533" s="57">
        <f>IF(Dealps[[#This Row],[MATURITY_DATE]]-Dealps[[#This Row],[POSTED_DT]]&lt;0,0,IF(Dealps[[#This Row],[VALUE_DATE]]-Dealps[[#This Row],[POSTED_DT]]&gt;0,Dealps[[#This Row],[MATURITY_DATE]]-Dealps[[#This Row],[VALUE_DATE]],Dealps[[#This Row],[MATURITY_DATE]]-Dealps[[#This Row],[POSTED_DT]]))</f>
        <v>81</v>
      </c>
      <c r="U533" s="25">
        <f>IF(Dealps[[#This Row],[TENOR]]=0,0,IF(Dealps[[#This Row],[DEAL_TYPE]]="B",Dealps[[#This Row],[FACE_AMOUNT]],-Dealps[[#This Row],[FACE_AMOUNT]]))</f>
        <v>-200000000000</v>
      </c>
      <c r="V533" s="25">
        <f>_xlfn.XLOOKUP(Dealps[[#This Row],[PAPER_CODE]],FNRP!D:D,FNRP!H:H,0,0)/100*Dealps[[#This Row],[AMOUNT]]</f>
        <v>0</v>
      </c>
      <c r="W533" s="57" t="str">
        <f>IF(Dealps[[#This Row],[TRANSACTION_STATUS]]&lt;&gt;"V","Ngoai BS",IF(Dealps[[#This Row],[POSTED_DT]]&gt;=Dealps[[#This Row],[VALUE_DATE]],"On BS","Off BS"))</f>
        <v>On BS</v>
      </c>
      <c r="X533" s="25">
        <f>SUMIFS(U:U,C:C,Dealps[[#This Row],[PAPER_CODE]])</f>
        <v>1500000000000</v>
      </c>
      <c r="Y533" s="25">
        <f>_xlfn.XLOOKUP(Dealps[[#This Row],[DEAL_ID]],Ref!N:N,Ref!Q:Q,0,0)</f>
        <v>0</v>
      </c>
      <c r="Z533" s="25" t="str">
        <f>IF(Dealps[[#This Row],[CPTY_CODE]]=Dealps[[#This Row],[CPTY_CODE_ISSUER]],"Yes","No")</f>
        <v>No</v>
      </c>
      <c r="AA533" s="25"/>
      <c r="AC533" s="14"/>
      <c r="AG533" s="96"/>
      <c r="AH533" s="25"/>
      <c r="AI533" s="25"/>
      <c r="AN533" s="14"/>
      <c r="AV533" s="36"/>
      <c r="AW533" s="14"/>
      <c r="AX533" s="234"/>
      <c r="AY533" s="96"/>
      <c r="AZ533" s="14"/>
      <c r="BA533"/>
      <c r="BB533" s="93">
        <v>46262</v>
      </c>
      <c r="BC533">
        <v>4975</v>
      </c>
      <c r="BD533" s="56" t="s">
        <v>1017</v>
      </c>
      <c r="BE533" t="s">
        <v>1011</v>
      </c>
      <c r="BF533" t="s">
        <v>1012</v>
      </c>
      <c r="BG533" t="s">
        <v>364</v>
      </c>
      <c r="BH533" t="s">
        <v>1013</v>
      </c>
      <c r="BI533" t="s">
        <v>300</v>
      </c>
      <c r="BJ533" s="93">
        <v>46259</v>
      </c>
      <c r="BK533" s="93">
        <v>46259</v>
      </c>
      <c r="BL533" s="93">
        <v>46259</v>
      </c>
      <c r="BM533" s="93">
        <v>46502</v>
      </c>
      <c r="BN533" s="14">
        <v>1</v>
      </c>
      <c r="BO533" s="14">
        <v>14000000000</v>
      </c>
      <c r="BP533" s="56">
        <v>92.261369862999999</v>
      </c>
      <c r="BQ533" s="56">
        <v>0</v>
      </c>
      <c r="BR533" s="14">
        <v>14000000000</v>
      </c>
      <c r="BS533">
        <v>17.352459</v>
      </c>
      <c r="BT533" t="s">
        <v>1184</v>
      </c>
      <c r="BU533" s="25">
        <f>_xlfn.XLOOKUP(Dealps_MSB[[#This Row],[DEAL_ID]],Ref!V:V,Ref!X:X,0,0)</f>
        <v>0</v>
      </c>
      <c r="BV533"/>
    </row>
    <row r="534" spans="1:74" x14ac:dyDescent="0.3">
      <c r="A534" s="93">
        <v>46262</v>
      </c>
      <c r="B534">
        <v>4575</v>
      </c>
      <c r="C534" s="56" t="s">
        <v>1061</v>
      </c>
      <c r="D534" t="s">
        <v>312</v>
      </c>
      <c r="E534" t="s">
        <v>971</v>
      </c>
      <c r="F534" t="s">
        <v>364</v>
      </c>
      <c r="G534" t="s">
        <v>310</v>
      </c>
      <c r="H534" t="s">
        <v>311</v>
      </c>
      <c r="I534" s="93">
        <v>46198</v>
      </c>
      <c r="J534" s="93">
        <v>46197</v>
      </c>
      <c r="K534" s="93">
        <v>46198</v>
      </c>
      <c r="L534" s="93">
        <v>46343</v>
      </c>
      <c r="M534" s="14">
        <v>1</v>
      </c>
      <c r="N534" s="14">
        <v>200000000000</v>
      </c>
      <c r="O534" s="56">
        <v>99.988139200000006</v>
      </c>
      <c r="P534" s="56">
        <v>0</v>
      </c>
      <c r="Q534" s="14">
        <v>207536278400</v>
      </c>
      <c r="R534">
        <v>6.1</v>
      </c>
      <c r="S534" t="s">
        <v>1184</v>
      </c>
      <c r="T534" s="57">
        <f>IF(Dealps[[#This Row],[MATURITY_DATE]]-Dealps[[#This Row],[POSTED_DT]]&lt;0,0,IF(Dealps[[#This Row],[VALUE_DATE]]-Dealps[[#This Row],[POSTED_DT]]&gt;0,Dealps[[#This Row],[MATURITY_DATE]]-Dealps[[#This Row],[VALUE_DATE]],Dealps[[#This Row],[MATURITY_DATE]]-Dealps[[#This Row],[POSTED_DT]]))</f>
        <v>81</v>
      </c>
      <c r="U534" s="25">
        <f>IF(Dealps[[#This Row],[TENOR]]=0,0,IF(Dealps[[#This Row],[DEAL_TYPE]]="B",Dealps[[#This Row],[FACE_AMOUNT]],-Dealps[[#This Row],[FACE_AMOUNT]]))</f>
        <v>-200000000000</v>
      </c>
      <c r="V534" s="25">
        <f>_xlfn.XLOOKUP(Dealps[[#This Row],[PAPER_CODE]],FNRP!D:D,FNRP!H:H,0,0)/100*Dealps[[#This Row],[AMOUNT]]</f>
        <v>0</v>
      </c>
      <c r="W534" s="57" t="str">
        <f>IF(Dealps[[#This Row],[TRANSACTION_STATUS]]&lt;&gt;"V","Ngoai BS",IF(Dealps[[#This Row],[POSTED_DT]]&gt;=Dealps[[#This Row],[VALUE_DATE]],"On BS","Off BS"))</f>
        <v>On BS</v>
      </c>
      <c r="X534" s="25">
        <f>SUMIFS(U:U,C:C,Dealps[[#This Row],[PAPER_CODE]])</f>
        <v>1500000000000</v>
      </c>
      <c r="Y534" s="25">
        <f>_xlfn.XLOOKUP(Dealps[[#This Row],[DEAL_ID]],Ref!N:N,Ref!Q:Q,0,0)</f>
        <v>0</v>
      </c>
      <c r="Z534" s="25" t="str">
        <f>IF(Dealps[[#This Row],[CPTY_CODE]]=Dealps[[#This Row],[CPTY_CODE_ISSUER]],"Yes","No")</f>
        <v>No</v>
      </c>
      <c r="AA534" s="25"/>
      <c r="AC534" s="14"/>
      <c r="AG534" s="96"/>
      <c r="AH534" s="25"/>
      <c r="AI534" s="25"/>
      <c r="AN534" s="14"/>
      <c r="AV534" s="36"/>
      <c r="AW534" s="14"/>
      <c r="AX534" s="234"/>
      <c r="AY534" s="96"/>
      <c r="AZ534" s="14"/>
      <c r="BA534"/>
      <c r="BB534" s="93">
        <v>46262</v>
      </c>
      <c r="BC534">
        <v>4976</v>
      </c>
      <c r="BD534" s="56" t="s">
        <v>1023</v>
      </c>
      <c r="BE534" t="s">
        <v>1011</v>
      </c>
      <c r="BF534" t="s">
        <v>1012</v>
      </c>
      <c r="BG534" t="s">
        <v>364</v>
      </c>
      <c r="BH534" t="s">
        <v>1013</v>
      </c>
      <c r="BI534" t="s">
        <v>300</v>
      </c>
      <c r="BJ534" s="93">
        <v>46259</v>
      </c>
      <c r="BK534" s="93">
        <v>46259</v>
      </c>
      <c r="BL534" s="93">
        <v>46259</v>
      </c>
      <c r="BM534" s="93">
        <v>46682</v>
      </c>
      <c r="BN534" s="14">
        <v>1</v>
      </c>
      <c r="BO534" s="14">
        <v>7000000000</v>
      </c>
      <c r="BP534" s="56">
        <v>95.121643836000004</v>
      </c>
      <c r="BQ534" s="56">
        <v>0</v>
      </c>
      <c r="BR534" s="14">
        <v>7000000000</v>
      </c>
      <c r="BS534">
        <v>10.009456</v>
      </c>
      <c r="BT534" t="s">
        <v>1184</v>
      </c>
      <c r="BU534" s="25">
        <f>_xlfn.XLOOKUP(Dealps_MSB[[#This Row],[DEAL_ID]],Ref!V:V,Ref!X:X,0,0)</f>
        <v>0</v>
      </c>
      <c r="BV534"/>
    </row>
    <row r="535" spans="1:74" x14ac:dyDescent="0.3">
      <c r="A535" s="93">
        <v>46262</v>
      </c>
      <c r="B535">
        <v>4576</v>
      </c>
      <c r="C535" s="56" t="s">
        <v>1061</v>
      </c>
      <c r="D535" t="s">
        <v>312</v>
      </c>
      <c r="E535" t="s">
        <v>971</v>
      </c>
      <c r="F535" t="s">
        <v>364</v>
      </c>
      <c r="G535" t="s">
        <v>310</v>
      </c>
      <c r="H535" t="s">
        <v>311</v>
      </c>
      <c r="I535" s="93">
        <v>46198</v>
      </c>
      <c r="J535" s="93">
        <v>46197</v>
      </c>
      <c r="K535" s="93">
        <v>46198</v>
      </c>
      <c r="L535" s="93">
        <v>46343</v>
      </c>
      <c r="M535" s="14">
        <v>1</v>
      </c>
      <c r="N535" s="14">
        <v>300000000000</v>
      </c>
      <c r="O535" s="56">
        <v>99.988139200000006</v>
      </c>
      <c r="P535" s="56">
        <v>0</v>
      </c>
      <c r="Q535" s="14">
        <v>311304417600</v>
      </c>
      <c r="R535">
        <v>6.1</v>
      </c>
      <c r="S535" t="s">
        <v>1184</v>
      </c>
      <c r="T535" s="57">
        <f>IF(Dealps[[#This Row],[MATURITY_DATE]]-Dealps[[#This Row],[POSTED_DT]]&lt;0,0,IF(Dealps[[#This Row],[VALUE_DATE]]-Dealps[[#This Row],[POSTED_DT]]&gt;0,Dealps[[#This Row],[MATURITY_DATE]]-Dealps[[#This Row],[VALUE_DATE]],Dealps[[#This Row],[MATURITY_DATE]]-Dealps[[#This Row],[POSTED_DT]]))</f>
        <v>81</v>
      </c>
      <c r="U535" s="25">
        <f>IF(Dealps[[#This Row],[TENOR]]=0,0,IF(Dealps[[#This Row],[DEAL_TYPE]]="B",Dealps[[#This Row],[FACE_AMOUNT]],-Dealps[[#This Row],[FACE_AMOUNT]]))</f>
        <v>-300000000000</v>
      </c>
      <c r="V535" s="25">
        <f>_xlfn.XLOOKUP(Dealps[[#This Row],[PAPER_CODE]],FNRP!D:D,FNRP!H:H,0,0)/100*Dealps[[#This Row],[AMOUNT]]</f>
        <v>0</v>
      </c>
      <c r="W535" s="57" t="str">
        <f>IF(Dealps[[#This Row],[TRANSACTION_STATUS]]&lt;&gt;"V","Ngoai BS",IF(Dealps[[#This Row],[POSTED_DT]]&gt;=Dealps[[#This Row],[VALUE_DATE]],"On BS","Off BS"))</f>
        <v>On BS</v>
      </c>
      <c r="X535" s="25">
        <f>SUMIFS(U:U,C:C,Dealps[[#This Row],[PAPER_CODE]])</f>
        <v>1500000000000</v>
      </c>
      <c r="Y535" s="25">
        <f>_xlfn.XLOOKUP(Dealps[[#This Row],[DEAL_ID]],Ref!N:N,Ref!Q:Q,0,0)</f>
        <v>0</v>
      </c>
      <c r="Z535" s="25" t="str">
        <f>IF(Dealps[[#This Row],[CPTY_CODE]]=Dealps[[#This Row],[CPTY_CODE_ISSUER]],"Yes","No")</f>
        <v>No</v>
      </c>
      <c r="AA535" s="25"/>
      <c r="AC535" s="14"/>
      <c r="AG535" s="96"/>
      <c r="AH535" s="25"/>
      <c r="AI535" s="25"/>
      <c r="AN535" s="14"/>
      <c r="AV535" s="36"/>
      <c r="AW535" s="14"/>
      <c r="AX535" s="234"/>
      <c r="AY535" s="96"/>
      <c r="AZ535" s="14"/>
      <c r="BA535"/>
      <c r="BB535" s="93">
        <v>46262</v>
      </c>
      <c r="BC535">
        <v>4977</v>
      </c>
      <c r="BD535" s="56" t="s">
        <v>1211</v>
      </c>
      <c r="BE535" t="s">
        <v>1011</v>
      </c>
      <c r="BF535" t="s">
        <v>1012</v>
      </c>
      <c r="BG535" t="s">
        <v>364</v>
      </c>
      <c r="BH535" t="s">
        <v>1013</v>
      </c>
      <c r="BI535" t="s">
        <v>300</v>
      </c>
      <c r="BJ535" s="93">
        <v>46259</v>
      </c>
      <c r="BK535" s="93">
        <v>46259</v>
      </c>
      <c r="BL535" s="93">
        <v>46259</v>
      </c>
      <c r="BM535" s="93">
        <v>46793</v>
      </c>
      <c r="BN535" s="14">
        <v>1</v>
      </c>
      <c r="BO535" s="14">
        <v>8000000000</v>
      </c>
      <c r="BP535" s="56">
        <v>96.241095889999997</v>
      </c>
      <c r="BQ535" s="56">
        <v>0</v>
      </c>
      <c r="BR535" s="14">
        <v>8000000000</v>
      </c>
      <c r="BS535">
        <v>9.5692880000000002</v>
      </c>
      <c r="BT535" t="s">
        <v>1184</v>
      </c>
      <c r="BU535" s="25">
        <f>_xlfn.XLOOKUP(Dealps_MSB[[#This Row],[DEAL_ID]],Ref!V:V,Ref!X:X,0,0)</f>
        <v>0</v>
      </c>
      <c r="BV535"/>
    </row>
    <row r="536" spans="1:74" x14ac:dyDescent="0.3">
      <c r="A536" s="93">
        <v>46262</v>
      </c>
      <c r="B536">
        <v>4580</v>
      </c>
      <c r="C536" s="56" t="s">
        <v>1314</v>
      </c>
      <c r="D536" t="s">
        <v>316</v>
      </c>
      <c r="E536" t="s">
        <v>1152</v>
      </c>
      <c r="F536" t="s">
        <v>364</v>
      </c>
      <c r="G536" t="s">
        <v>310</v>
      </c>
      <c r="H536" t="s">
        <v>300</v>
      </c>
      <c r="I536" s="93">
        <v>46198</v>
      </c>
      <c r="J536" s="93">
        <v>46199</v>
      </c>
      <c r="K536" s="93">
        <v>46199</v>
      </c>
      <c r="L536" s="93">
        <v>46402</v>
      </c>
      <c r="M536" s="14">
        <v>1</v>
      </c>
      <c r="N536" s="14">
        <v>400000000000</v>
      </c>
      <c r="O536" s="56">
        <v>100.755832177</v>
      </c>
      <c r="P536" s="56">
        <v>0</v>
      </c>
      <c r="Q536" s="14">
        <v>416338397200</v>
      </c>
      <c r="R536">
        <v>5.9</v>
      </c>
      <c r="S536" t="s">
        <v>1184</v>
      </c>
      <c r="T536" s="57">
        <f>IF(Dealps[[#This Row],[MATURITY_DATE]]-Dealps[[#This Row],[POSTED_DT]]&lt;0,0,IF(Dealps[[#This Row],[VALUE_DATE]]-Dealps[[#This Row],[POSTED_DT]]&gt;0,Dealps[[#This Row],[MATURITY_DATE]]-Dealps[[#This Row],[VALUE_DATE]],Dealps[[#This Row],[MATURITY_DATE]]-Dealps[[#This Row],[POSTED_DT]]))</f>
        <v>140</v>
      </c>
      <c r="U536" s="25">
        <f>IF(Dealps[[#This Row],[TENOR]]=0,0,IF(Dealps[[#This Row],[DEAL_TYPE]]="B",Dealps[[#This Row],[FACE_AMOUNT]],-Dealps[[#This Row],[FACE_AMOUNT]]))</f>
        <v>400000000000</v>
      </c>
      <c r="V536" s="25">
        <f>_xlfn.XLOOKUP(Dealps[[#This Row],[PAPER_CODE]],FNRP!D:D,FNRP!H:H,0,0)/100*Dealps[[#This Row],[AMOUNT]]</f>
        <v>0</v>
      </c>
      <c r="W536" s="57" t="str">
        <f>IF(Dealps[[#This Row],[TRANSACTION_STATUS]]&lt;&gt;"V","Ngoai BS",IF(Dealps[[#This Row],[POSTED_DT]]&gt;=Dealps[[#This Row],[VALUE_DATE]],"On BS","Off BS"))</f>
        <v>On BS</v>
      </c>
      <c r="X536" s="25">
        <f>SUMIFS(U:U,C:C,Dealps[[#This Row],[PAPER_CODE]])</f>
        <v>0</v>
      </c>
      <c r="Y536" s="25">
        <f>_xlfn.XLOOKUP(Dealps[[#This Row],[DEAL_ID]],Ref!N:N,Ref!Q:Q,0,0)</f>
        <v>0</v>
      </c>
      <c r="Z536" s="25" t="str">
        <f>IF(Dealps[[#This Row],[CPTY_CODE]]=Dealps[[#This Row],[CPTY_CODE_ISSUER]],"Yes","No")</f>
        <v>No</v>
      </c>
      <c r="AA536" s="25"/>
      <c r="AC536" s="14"/>
      <c r="AG536" s="96"/>
      <c r="AH536" s="25"/>
      <c r="AI536" s="25"/>
      <c r="AN536" s="14"/>
      <c r="AV536" s="36"/>
      <c r="AW536" s="14"/>
      <c r="AX536" s="234"/>
      <c r="AY536" s="96"/>
      <c r="AZ536" s="14"/>
      <c r="BA536"/>
      <c r="BB536" s="93">
        <v>46262</v>
      </c>
      <c r="BC536">
        <v>5000</v>
      </c>
      <c r="BD536" s="56" t="s">
        <v>1017</v>
      </c>
      <c r="BE536" t="s">
        <v>1011</v>
      </c>
      <c r="BF536" t="s">
        <v>1012</v>
      </c>
      <c r="BG536" t="s">
        <v>364</v>
      </c>
      <c r="BH536" t="s">
        <v>1013</v>
      </c>
      <c r="BI536" t="s">
        <v>300</v>
      </c>
      <c r="BJ536" s="93">
        <v>46261</v>
      </c>
      <c r="BK536" s="93">
        <v>46261</v>
      </c>
      <c r="BL536" s="93">
        <v>46261</v>
      </c>
      <c r="BM536" s="93">
        <v>46502</v>
      </c>
      <c r="BN536" s="14">
        <v>1</v>
      </c>
      <c r="BO536" s="14">
        <v>40000000000</v>
      </c>
      <c r="BP536" s="56">
        <v>92.229589040999997</v>
      </c>
      <c r="BQ536" s="56">
        <v>0</v>
      </c>
      <c r="BR536" s="14">
        <v>40000000000</v>
      </c>
      <c r="BS536">
        <v>17.495868000000002</v>
      </c>
      <c r="BT536" t="s">
        <v>1184</v>
      </c>
      <c r="BU536" s="25">
        <f>_xlfn.XLOOKUP(Dealps_MSB[[#This Row],[DEAL_ID]],Ref!V:V,Ref!X:X,0,0)</f>
        <v>0</v>
      </c>
      <c r="BV536"/>
    </row>
    <row r="537" spans="1:74" x14ac:dyDescent="0.3">
      <c r="A537" s="93">
        <v>46262</v>
      </c>
      <c r="B537">
        <v>4584</v>
      </c>
      <c r="C537" s="56" t="s">
        <v>1158</v>
      </c>
      <c r="D537" t="s">
        <v>327</v>
      </c>
      <c r="E537" t="s">
        <v>322</v>
      </c>
      <c r="F537" t="s">
        <v>364</v>
      </c>
      <c r="G537" t="s">
        <v>310</v>
      </c>
      <c r="H537" t="s">
        <v>300</v>
      </c>
      <c r="I537" s="93">
        <v>46202</v>
      </c>
      <c r="J537" s="93">
        <v>46196</v>
      </c>
      <c r="K537" s="93">
        <v>46202</v>
      </c>
      <c r="L537" s="93">
        <v>46409</v>
      </c>
      <c r="M537" s="14">
        <v>1</v>
      </c>
      <c r="N537" s="14">
        <v>500000000000</v>
      </c>
      <c r="O537" s="56">
        <v>100.265462442</v>
      </c>
      <c r="P537" s="56">
        <v>0</v>
      </c>
      <c r="Q537" s="14">
        <v>516812243715</v>
      </c>
      <c r="R537">
        <v>6.5129200000000003</v>
      </c>
      <c r="S537" t="s">
        <v>1184</v>
      </c>
      <c r="T537" s="57">
        <f>IF(Dealps[[#This Row],[MATURITY_DATE]]-Dealps[[#This Row],[POSTED_DT]]&lt;0,0,IF(Dealps[[#This Row],[VALUE_DATE]]-Dealps[[#This Row],[POSTED_DT]]&gt;0,Dealps[[#This Row],[MATURITY_DATE]]-Dealps[[#This Row],[VALUE_DATE]],Dealps[[#This Row],[MATURITY_DATE]]-Dealps[[#This Row],[POSTED_DT]]))</f>
        <v>147</v>
      </c>
      <c r="U537" s="25">
        <f>IF(Dealps[[#This Row],[TENOR]]=0,0,IF(Dealps[[#This Row],[DEAL_TYPE]]="B",Dealps[[#This Row],[FACE_AMOUNT]],-Dealps[[#This Row],[FACE_AMOUNT]]))</f>
        <v>500000000000</v>
      </c>
      <c r="V537" s="25">
        <f>_xlfn.XLOOKUP(Dealps[[#This Row],[PAPER_CODE]],FNRP!D:D,FNRP!H:H,0,0)/100*Dealps[[#This Row],[AMOUNT]]</f>
        <v>0</v>
      </c>
      <c r="W537" s="57" t="str">
        <f>IF(Dealps[[#This Row],[TRANSACTION_STATUS]]&lt;&gt;"V","Ngoai BS",IF(Dealps[[#This Row],[POSTED_DT]]&gt;=Dealps[[#This Row],[VALUE_DATE]],"On BS","Off BS"))</f>
        <v>On BS</v>
      </c>
      <c r="X537" s="25">
        <f>SUMIFS(U:U,C:C,Dealps[[#This Row],[PAPER_CODE]])</f>
        <v>2000000000000</v>
      </c>
      <c r="Y537" s="25">
        <f>_xlfn.XLOOKUP(Dealps[[#This Row],[DEAL_ID]],Ref!N:N,Ref!Q:Q,0,0)</f>
        <v>0</v>
      </c>
      <c r="Z537" s="25" t="str">
        <f>IF(Dealps[[#This Row],[CPTY_CODE]]=Dealps[[#This Row],[CPTY_CODE_ISSUER]],"Yes","No")</f>
        <v>No</v>
      </c>
      <c r="AA537" s="25"/>
      <c r="AC537" s="14"/>
      <c r="AG537" s="96"/>
      <c r="AH537" s="25"/>
      <c r="AI537" s="25"/>
      <c r="AN537" s="14"/>
      <c r="AV537" s="36"/>
      <c r="AW537" s="14"/>
      <c r="AX537" s="234"/>
      <c r="AY537" s="96"/>
      <c r="AZ537" s="14"/>
      <c r="BA537"/>
      <c r="BB537" s="93">
        <v>46262</v>
      </c>
      <c r="BC537">
        <v>5001</v>
      </c>
      <c r="BD537" s="56" t="s">
        <v>1023</v>
      </c>
      <c r="BE537" t="s">
        <v>1011</v>
      </c>
      <c r="BF537" t="s">
        <v>1012</v>
      </c>
      <c r="BG537" t="s">
        <v>364</v>
      </c>
      <c r="BH537" t="s">
        <v>1013</v>
      </c>
      <c r="BI537" t="s">
        <v>300</v>
      </c>
      <c r="BJ537" s="93">
        <v>46261</v>
      </c>
      <c r="BK537" s="93">
        <v>46261</v>
      </c>
      <c r="BL537" s="93">
        <v>46261</v>
      </c>
      <c r="BM537" s="93">
        <v>46682</v>
      </c>
      <c r="BN537" s="14">
        <v>1</v>
      </c>
      <c r="BO537" s="14">
        <v>30000000000</v>
      </c>
      <c r="BP537" s="56">
        <v>95.089863014000002</v>
      </c>
      <c r="BQ537" s="56">
        <v>0</v>
      </c>
      <c r="BR537" s="14">
        <v>30000000000</v>
      </c>
      <c r="BS537">
        <v>10.057007</v>
      </c>
      <c r="BT537" t="s">
        <v>1184</v>
      </c>
      <c r="BU537" s="25">
        <f>_xlfn.XLOOKUP(Dealps_MSB[[#This Row],[DEAL_ID]],Ref!V:V,Ref!X:X,0,0)</f>
        <v>0</v>
      </c>
      <c r="BV537"/>
    </row>
    <row r="538" spans="1:74" x14ac:dyDescent="0.3">
      <c r="A538" s="93">
        <v>46262</v>
      </c>
      <c r="B538">
        <v>4585</v>
      </c>
      <c r="C538" s="56" t="s">
        <v>1258</v>
      </c>
      <c r="D538" t="s">
        <v>321</v>
      </c>
      <c r="E538" t="s">
        <v>322</v>
      </c>
      <c r="F538" t="s">
        <v>364</v>
      </c>
      <c r="G538" t="s">
        <v>310</v>
      </c>
      <c r="H538" t="s">
        <v>300</v>
      </c>
      <c r="I538" s="93">
        <v>46202</v>
      </c>
      <c r="J538" s="93">
        <v>46192</v>
      </c>
      <c r="K538" s="93">
        <v>46202</v>
      </c>
      <c r="L538" s="93">
        <v>46485</v>
      </c>
      <c r="M538" s="14">
        <v>1</v>
      </c>
      <c r="N538" s="14">
        <v>500000000000</v>
      </c>
      <c r="O538" s="56">
        <v>100.526794104</v>
      </c>
      <c r="P538" s="56">
        <v>0</v>
      </c>
      <c r="Q538" s="14">
        <v>511379176000</v>
      </c>
      <c r="R538">
        <v>7.5487679999999999</v>
      </c>
      <c r="S538" t="s">
        <v>1184</v>
      </c>
      <c r="T538" s="57">
        <f>IF(Dealps[[#This Row],[MATURITY_DATE]]-Dealps[[#This Row],[POSTED_DT]]&lt;0,0,IF(Dealps[[#This Row],[VALUE_DATE]]-Dealps[[#This Row],[POSTED_DT]]&gt;0,Dealps[[#This Row],[MATURITY_DATE]]-Dealps[[#This Row],[VALUE_DATE]],Dealps[[#This Row],[MATURITY_DATE]]-Dealps[[#This Row],[POSTED_DT]]))</f>
        <v>223</v>
      </c>
      <c r="U538" s="25">
        <f>IF(Dealps[[#This Row],[TENOR]]=0,0,IF(Dealps[[#This Row],[DEAL_TYPE]]="B",Dealps[[#This Row],[FACE_AMOUNT]],-Dealps[[#This Row],[FACE_AMOUNT]]))</f>
        <v>500000000000</v>
      </c>
      <c r="V538" s="25">
        <f>_xlfn.XLOOKUP(Dealps[[#This Row],[PAPER_CODE]],FNRP!D:D,FNRP!H:H,0,0)/100*Dealps[[#This Row],[AMOUNT]]</f>
        <v>0</v>
      </c>
      <c r="W538" s="57" t="str">
        <f>IF(Dealps[[#This Row],[TRANSACTION_STATUS]]&lt;&gt;"V","Ngoai BS",IF(Dealps[[#This Row],[POSTED_DT]]&gt;=Dealps[[#This Row],[VALUE_DATE]],"On BS","Off BS"))</f>
        <v>On BS</v>
      </c>
      <c r="X538" s="25">
        <f>SUMIFS(U:U,C:C,Dealps[[#This Row],[PAPER_CODE]])</f>
        <v>2000000000000</v>
      </c>
      <c r="Y538" s="25">
        <f>_xlfn.XLOOKUP(Dealps[[#This Row],[DEAL_ID]],Ref!N:N,Ref!Q:Q,0,0)</f>
        <v>0</v>
      </c>
      <c r="Z538" s="25" t="str">
        <f>IF(Dealps[[#This Row],[CPTY_CODE]]=Dealps[[#This Row],[CPTY_CODE_ISSUER]],"Yes","No")</f>
        <v>No</v>
      </c>
      <c r="AA538" s="25"/>
      <c r="AC538" s="14"/>
      <c r="AG538" s="96"/>
      <c r="AH538" s="25"/>
      <c r="AI538" s="25"/>
      <c r="AN538" s="14"/>
      <c r="AV538" s="36"/>
      <c r="AW538" s="14"/>
      <c r="AX538" s="234"/>
      <c r="AY538" s="96"/>
      <c r="AZ538" s="14"/>
      <c r="BA538"/>
      <c r="BB538" s="93">
        <v>46262</v>
      </c>
      <c r="BC538">
        <v>5002</v>
      </c>
      <c r="BD538" s="56" t="s">
        <v>1211</v>
      </c>
      <c r="BE538" t="s">
        <v>1011</v>
      </c>
      <c r="BF538" t="s">
        <v>1012</v>
      </c>
      <c r="BG538" t="s">
        <v>364</v>
      </c>
      <c r="BH538" t="s">
        <v>1013</v>
      </c>
      <c r="BI538" t="s">
        <v>300</v>
      </c>
      <c r="BJ538" s="93">
        <v>46261</v>
      </c>
      <c r="BK538" s="93">
        <v>46261</v>
      </c>
      <c r="BL538" s="93">
        <v>46261</v>
      </c>
      <c r="BM538" s="93">
        <v>46793</v>
      </c>
      <c r="BN538" s="14">
        <v>1</v>
      </c>
      <c r="BO538" s="14">
        <v>30000000000</v>
      </c>
      <c r="BP538" s="56">
        <v>96.202739726000004</v>
      </c>
      <c r="BQ538" s="56">
        <v>0</v>
      </c>
      <c r="BR538" s="14">
        <v>30000000000</v>
      </c>
      <c r="BS538">
        <v>9.6052630000000008</v>
      </c>
      <c r="BT538" t="s">
        <v>1184</v>
      </c>
      <c r="BU538" s="25">
        <f>_xlfn.XLOOKUP(Dealps_MSB[[#This Row],[DEAL_ID]],Ref!V:V,Ref!X:X,0,0)</f>
        <v>0</v>
      </c>
      <c r="BV538"/>
    </row>
    <row r="539" spans="1:74" x14ac:dyDescent="0.3">
      <c r="A539" s="93">
        <v>46262</v>
      </c>
      <c r="B539">
        <v>4586</v>
      </c>
      <c r="C539" s="56" t="s">
        <v>1258</v>
      </c>
      <c r="D539" t="s">
        <v>321</v>
      </c>
      <c r="E539" t="s">
        <v>322</v>
      </c>
      <c r="F539" t="s">
        <v>364</v>
      </c>
      <c r="G539" t="s">
        <v>310</v>
      </c>
      <c r="H539" t="s">
        <v>300</v>
      </c>
      <c r="I539" s="93">
        <v>46202</v>
      </c>
      <c r="J539" s="93">
        <v>46189</v>
      </c>
      <c r="K539" s="93">
        <v>46202</v>
      </c>
      <c r="L539" s="93">
        <v>46485</v>
      </c>
      <c r="M539" s="14">
        <v>1</v>
      </c>
      <c r="N539" s="14">
        <v>300000000000</v>
      </c>
      <c r="O539" s="56">
        <v>100.064027404</v>
      </c>
      <c r="P539" s="56">
        <v>0</v>
      </c>
      <c r="Q539" s="14">
        <v>305439205500</v>
      </c>
      <c r="R539">
        <v>8.1693049999999996</v>
      </c>
      <c r="S539" t="s">
        <v>1184</v>
      </c>
      <c r="T539" s="57">
        <f>IF(Dealps[[#This Row],[MATURITY_DATE]]-Dealps[[#This Row],[POSTED_DT]]&lt;0,0,IF(Dealps[[#This Row],[VALUE_DATE]]-Dealps[[#This Row],[POSTED_DT]]&gt;0,Dealps[[#This Row],[MATURITY_DATE]]-Dealps[[#This Row],[VALUE_DATE]],Dealps[[#This Row],[MATURITY_DATE]]-Dealps[[#This Row],[POSTED_DT]]))</f>
        <v>223</v>
      </c>
      <c r="U539" s="25">
        <f>IF(Dealps[[#This Row],[TENOR]]=0,0,IF(Dealps[[#This Row],[DEAL_TYPE]]="B",Dealps[[#This Row],[FACE_AMOUNT]],-Dealps[[#This Row],[FACE_AMOUNT]]))</f>
        <v>300000000000</v>
      </c>
      <c r="V539" s="25">
        <f>_xlfn.XLOOKUP(Dealps[[#This Row],[PAPER_CODE]],FNRP!D:D,FNRP!H:H,0,0)/100*Dealps[[#This Row],[AMOUNT]]</f>
        <v>0</v>
      </c>
      <c r="W539" s="57" t="str">
        <f>IF(Dealps[[#This Row],[TRANSACTION_STATUS]]&lt;&gt;"V","Ngoai BS",IF(Dealps[[#This Row],[POSTED_DT]]&gt;=Dealps[[#This Row],[VALUE_DATE]],"On BS","Off BS"))</f>
        <v>On BS</v>
      </c>
      <c r="X539" s="25">
        <f>SUMIFS(U:U,C:C,Dealps[[#This Row],[PAPER_CODE]])</f>
        <v>2000000000000</v>
      </c>
      <c r="Y539" s="25">
        <f>_xlfn.XLOOKUP(Dealps[[#This Row],[DEAL_ID]],Ref!N:N,Ref!Q:Q,0,0)</f>
        <v>0</v>
      </c>
      <c r="Z539" s="25" t="str">
        <f>IF(Dealps[[#This Row],[CPTY_CODE]]=Dealps[[#This Row],[CPTY_CODE_ISSUER]],"Yes","No")</f>
        <v>No</v>
      </c>
      <c r="AA539" s="25"/>
      <c r="AC539" s="14"/>
      <c r="AG539" s="96"/>
      <c r="AH539" s="25"/>
      <c r="AI539" s="25"/>
      <c r="AN539" s="14"/>
      <c r="AV539" s="36"/>
      <c r="AW539" s="14"/>
      <c r="AX539" s="234"/>
      <c r="AY539" s="96"/>
      <c r="AZ539" s="14"/>
      <c r="BA539"/>
      <c r="BB539" s="93">
        <v>46262</v>
      </c>
      <c r="BC539">
        <v>3054</v>
      </c>
      <c r="BD539" s="56" t="s">
        <v>1074</v>
      </c>
      <c r="BE539" t="s">
        <v>1011</v>
      </c>
      <c r="BF539" t="s">
        <v>328</v>
      </c>
      <c r="BG539" t="s">
        <v>364</v>
      </c>
      <c r="BH539" t="s">
        <v>310</v>
      </c>
      <c r="BI539" t="s">
        <v>311</v>
      </c>
      <c r="BJ539" s="93">
        <v>45989</v>
      </c>
      <c r="BK539" s="93">
        <v>45989</v>
      </c>
      <c r="BL539" s="93">
        <v>45989</v>
      </c>
      <c r="BM539" s="93">
        <v>46353</v>
      </c>
      <c r="BN539" s="14">
        <v>1</v>
      </c>
      <c r="BO539" s="14">
        <v>1000000000000</v>
      </c>
      <c r="BP539" s="56">
        <v>100</v>
      </c>
      <c r="BQ539" s="56">
        <v>0</v>
      </c>
      <c r="BR539" s="14">
        <v>1000000000000</v>
      </c>
      <c r="BS539">
        <v>6.6</v>
      </c>
      <c r="BT539" t="s">
        <v>1184</v>
      </c>
      <c r="BU539" s="25">
        <f>_xlfn.XLOOKUP(Dealps_MSB[[#This Row],[DEAL_ID]],Ref!V:V,Ref!X:X,0,0)</f>
        <v>0</v>
      </c>
      <c r="BV539"/>
    </row>
    <row r="540" spans="1:74" x14ac:dyDescent="0.3">
      <c r="A540" s="93">
        <v>46262</v>
      </c>
      <c r="B540">
        <v>4587</v>
      </c>
      <c r="C540" s="56" t="s">
        <v>1239</v>
      </c>
      <c r="D540" t="s">
        <v>384</v>
      </c>
      <c r="E540" t="s">
        <v>1063</v>
      </c>
      <c r="F540" t="s">
        <v>364</v>
      </c>
      <c r="G540" t="s">
        <v>310</v>
      </c>
      <c r="H540" t="s">
        <v>311</v>
      </c>
      <c r="I540" s="93">
        <v>46202</v>
      </c>
      <c r="J540" s="93">
        <v>46202</v>
      </c>
      <c r="K540" s="93">
        <v>46202</v>
      </c>
      <c r="L540" s="93">
        <v>46493</v>
      </c>
      <c r="M540" s="14">
        <v>1</v>
      </c>
      <c r="N540" s="14">
        <v>193000000000</v>
      </c>
      <c r="O540" s="56">
        <v>100.551918927</v>
      </c>
      <c r="P540" s="56">
        <v>0</v>
      </c>
      <c r="Q540" s="14">
        <v>199006532297</v>
      </c>
      <c r="R540">
        <v>7.96</v>
      </c>
      <c r="S540" t="s">
        <v>1184</v>
      </c>
      <c r="T540" s="57">
        <f>IF(Dealps[[#This Row],[MATURITY_DATE]]-Dealps[[#This Row],[POSTED_DT]]&lt;0,0,IF(Dealps[[#This Row],[VALUE_DATE]]-Dealps[[#This Row],[POSTED_DT]]&gt;0,Dealps[[#This Row],[MATURITY_DATE]]-Dealps[[#This Row],[VALUE_DATE]],Dealps[[#This Row],[MATURITY_DATE]]-Dealps[[#This Row],[POSTED_DT]]))</f>
        <v>231</v>
      </c>
      <c r="U540" s="25">
        <f>IF(Dealps[[#This Row],[TENOR]]=0,0,IF(Dealps[[#This Row],[DEAL_TYPE]]="B",Dealps[[#This Row],[FACE_AMOUNT]],-Dealps[[#This Row],[FACE_AMOUNT]]))</f>
        <v>-193000000000</v>
      </c>
      <c r="V540" s="25">
        <f>_xlfn.XLOOKUP(Dealps[[#This Row],[PAPER_CODE]],FNRP!D:D,FNRP!H:H,0,0)/100*Dealps[[#This Row],[AMOUNT]]</f>
        <v>0</v>
      </c>
      <c r="W540" s="57" t="str">
        <f>IF(Dealps[[#This Row],[TRANSACTION_STATUS]]&lt;&gt;"V","Ngoai BS",IF(Dealps[[#This Row],[POSTED_DT]]&gt;=Dealps[[#This Row],[VALUE_DATE]],"On BS","Off BS"))</f>
        <v>On BS</v>
      </c>
      <c r="X540" s="25">
        <f>SUMIFS(U:U,C:C,Dealps[[#This Row],[PAPER_CODE]])</f>
        <v>300000000000</v>
      </c>
      <c r="Y540" s="25">
        <f>_xlfn.XLOOKUP(Dealps[[#This Row],[DEAL_ID]],Ref!N:N,Ref!Q:Q,0,0)</f>
        <v>0</v>
      </c>
      <c r="Z540" s="25" t="str">
        <f>IF(Dealps[[#This Row],[CPTY_CODE]]=Dealps[[#This Row],[CPTY_CODE_ISSUER]],"Yes","No")</f>
        <v>No</v>
      </c>
      <c r="AA540" s="25"/>
      <c r="AC540" s="14"/>
      <c r="AG540" s="96"/>
      <c r="AH540" s="25"/>
      <c r="AI540" s="25"/>
      <c r="AN540" s="14"/>
      <c r="AV540" s="36"/>
      <c r="AW540" s="14"/>
      <c r="AX540" s="234"/>
      <c r="AY540" s="96"/>
      <c r="AZ540" s="14"/>
      <c r="BA540"/>
      <c r="BB540" s="93">
        <v>46262</v>
      </c>
      <c r="BC540">
        <v>3055</v>
      </c>
      <c r="BD540" s="56" t="s">
        <v>1074</v>
      </c>
      <c r="BE540" t="s">
        <v>1011</v>
      </c>
      <c r="BF540" t="s">
        <v>328</v>
      </c>
      <c r="BG540" t="s">
        <v>364</v>
      </c>
      <c r="BH540" t="s">
        <v>310</v>
      </c>
      <c r="BI540" t="s">
        <v>311</v>
      </c>
      <c r="BJ540" s="93">
        <v>45989</v>
      </c>
      <c r="BK540" s="93">
        <v>45989</v>
      </c>
      <c r="BL540" s="93">
        <v>45989</v>
      </c>
      <c r="BM540" s="93">
        <v>46353</v>
      </c>
      <c r="BN540" s="14">
        <v>1</v>
      </c>
      <c r="BO540" s="14">
        <v>500000000000</v>
      </c>
      <c r="BP540" s="56">
        <v>100</v>
      </c>
      <c r="BQ540" s="56">
        <v>0</v>
      </c>
      <c r="BR540" s="14">
        <v>500000000000</v>
      </c>
      <c r="BS540">
        <v>6.6</v>
      </c>
      <c r="BT540" t="s">
        <v>1184</v>
      </c>
      <c r="BU540" s="25">
        <f>_xlfn.XLOOKUP(Dealps_MSB[[#This Row],[DEAL_ID]],Ref!V:V,Ref!X:X,0,0)</f>
        <v>0</v>
      </c>
      <c r="BV540"/>
    </row>
    <row r="541" spans="1:74" x14ac:dyDescent="0.3">
      <c r="A541" s="93">
        <v>46262</v>
      </c>
      <c r="B541">
        <v>4591</v>
      </c>
      <c r="C541" s="56" t="s">
        <v>1207</v>
      </c>
      <c r="D541" t="s">
        <v>384</v>
      </c>
      <c r="E541" t="s">
        <v>971</v>
      </c>
      <c r="F541" t="s">
        <v>364</v>
      </c>
      <c r="G541" t="s">
        <v>310</v>
      </c>
      <c r="H541" t="s">
        <v>311</v>
      </c>
      <c r="I541" s="93">
        <v>46202</v>
      </c>
      <c r="J541" s="93">
        <v>46202</v>
      </c>
      <c r="K541" s="93">
        <v>46202</v>
      </c>
      <c r="L541" s="93">
        <v>46419</v>
      </c>
      <c r="M541" s="14">
        <v>1</v>
      </c>
      <c r="N541" s="14">
        <v>200000000000</v>
      </c>
      <c r="O541" s="56">
        <v>99.999999958000004</v>
      </c>
      <c r="P541" s="56">
        <v>0</v>
      </c>
      <c r="Q541" s="14">
        <v>206093150600</v>
      </c>
      <c r="R541">
        <v>7.7634800000000004</v>
      </c>
      <c r="S541" t="s">
        <v>1184</v>
      </c>
      <c r="T541" s="57">
        <f>IF(Dealps[[#This Row],[MATURITY_DATE]]-Dealps[[#This Row],[POSTED_DT]]&lt;0,0,IF(Dealps[[#This Row],[VALUE_DATE]]-Dealps[[#This Row],[POSTED_DT]]&gt;0,Dealps[[#This Row],[MATURITY_DATE]]-Dealps[[#This Row],[VALUE_DATE]],Dealps[[#This Row],[MATURITY_DATE]]-Dealps[[#This Row],[POSTED_DT]]))</f>
        <v>157</v>
      </c>
      <c r="U541" s="25">
        <f>IF(Dealps[[#This Row],[TENOR]]=0,0,IF(Dealps[[#This Row],[DEAL_TYPE]]="B",Dealps[[#This Row],[FACE_AMOUNT]],-Dealps[[#This Row],[FACE_AMOUNT]]))</f>
        <v>-200000000000</v>
      </c>
      <c r="V541" s="25">
        <f>_xlfn.XLOOKUP(Dealps[[#This Row],[PAPER_CODE]],FNRP!D:D,FNRP!H:H,0,0)/100*Dealps[[#This Row],[AMOUNT]]</f>
        <v>0</v>
      </c>
      <c r="W541" s="57" t="str">
        <f>IF(Dealps[[#This Row],[TRANSACTION_STATUS]]&lt;&gt;"V","Ngoai BS",IF(Dealps[[#This Row],[POSTED_DT]]&gt;=Dealps[[#This Row],[VALUE_DATE]],"On BS","Off BS"))</f>
        <v>On BS</v>
      </c>
      <c r="X541" s="25">
        <f>SUMIFS(U:U,C:C,Dealps[[#This Row],[PAPER_CODE]])</f>
        <v>200000000000</v>
      </c>
      <c r="Y541" s="25">
        <f>_xlfn.XLOOKUP(Dealps[[#This Row],[DEAL_ID]],Ref!N:N,Ref!Q:Q,0,0)</f>
        <v>0</v>
      </c>
      <c r="Z541" s="25" t="str">
        <f>IF(Dealps[[#This Row],[CPTY_CODE]]=Dealps[[#This Row],[CPTY_CODE_ISSUER]],"Yes","No")</f>
        <v>No</v>
      </c>
      <c r="AA541" s="25"/>
      <c r="AC541" s="14"/>
      <c r="AG541" s="96"/>
      <c r="AH541" s="25"/>
      <c r="AI541" s="25"/>
      <c r="AN541" s="14"/>
      <c r="AV541" s="36"/>
      <c r="AW541" s="14"/>
      <c r="AX541" s="234"/>
      <c r="AY541" s="96"/>
      <c r="AZ541" s="14"/>
      <c r="BA541"/>
      <c r="BB541" s="93">
        <v>46262</v>
      </c>
      <c r="BC541">
        <v>49832</v>
      </c>
      <c r="BD541" s="56" t="s">
        <v>1278</v>
      </c>
      <c r="BE541" t="s">
        <v>1011</v>
      </c>
      <c r="BF541" t="s">
        <v>328</v>
      </c>
      <c r="BG541" t="s">
        <v>35</v>
      </c>
      <c r="BH541" t="s">
        <v>310</v>
      </c>
      <c r="BI541" t="s">
        <v>311</v>
      </c>
      <c r="BJ541" s="93">
        <v>46161</v>
      </c>
      <c r="BK541" s="93">
        <v>46161</v>
      </c>
      <c r="BL541" s="93">
        <v>46162</v>
      </c>
      <c r="BM541" s="93">
        <v>47258</v>
      </c>
      <c r="BN541" s="14">
        <v>1000</v>
      </c>
      <c r="BO541" s="14">
        <v>1000000000000</v>
      </c>
      <c r="BP541" s="56">
        <v>100</v>
      </c>
      <c r="BQ541" s="56">
        <v>0</v>
      </c>
      <c r="BR541" s="14">
        <v>1000000000000</v>
      </c>
      <c r="BS541">
        <v>8.4496829170000005</v>
      </c>
      <c r="BT541" t="s">
        <v>1184</v>
      </c>
      <c r="BU541" s="25">
        <f>_xlfn.XLOOKUP(Dealps_MSB[[#This Row],[DEAL_ID]],Ref!V:V,Ref!X:X,0,0)</f>
        <v>0</v>
      </c>
      <c r="BV541"/>
    </row>
    <row r="542" spans="1:74" x14ac:dyDescent="0.3">
      <c r="A542" s="93">
        <v>46262</v>
      </c>
      <c r="B542">
        <v>4594</v>
      </c>
      <c r="C542" s="56" t="s">
        <v>1158</v>
      </c>
      <c r="D542" t="s">
        <v>327</v>
      </c>
      <c r="E542" t="s">
        <v>322</v>
      </c>
      <c r="F542" t="s">
        <v>364</v>
      </c>
      <c r="G542" t="s">
        <v>310</v>
      </c>
      <c r="H542" t="s">
        <v>300</v>
      </c>
      <c r="I542" s="93">
        <v>46203</v>
      </c>
      <c r="J542" s="93">
        <v>46196</v>
      </c>
      <c r="K542" s="93">
        <v>46203</v>
      </c>
      <c r="L542" s="93">
        <v>46409</v>
      </c>
      <c r="M542" s="14">
        <v>1</v>
      </c>
      <c r="N542" s="14">
        <v>500000000000</v>
      </c>
      <c r="O542" s="56">
        <v>99.971316223000002</v>
      </c>
      <c r="P542" s="56">
        <v>0</v>
      </c>
      <c r="Q542" s="14">
        <v>515440142762.00006</v>
      </c>
      <c r="R542">
        <v>7.0336230000000004</v>
      </c>
      <c r="S542" t="s">
        <v>1184</v>
      </c>
      <c r="T542" s="57">
        <f>IF(Dealps[[#This Row],[MATURITY_DATE]]-Dealps[[#This Row],[POSTED_DT]]&lt;0,0,IF(Dealps[[#This Row],[VALUE_DATE]]-Dealps[[#This Row],[POSTED_DT]]&gt;0,Dealps[[#This Row],[MATURITY_DATE]]-Dealps[[#This Row],[VALUE_DATE]],Dealps[[#This Row],[MATURITY_DATE]]-Dealps[[#This Row],[POSTED_DT]]))</f>
        <v>147</v>
      </c>
      <c r="U542" s="25">
        <f>IF(Dealps[[#This Row],[TENOR]]=0,0,IF(Dealps[[#This Row],[DEAL_TYPE]]="B",Dealps[[#This Row],[FACE_AMOUNT]],-Dealps[[#This Row],[FACE_AMOUNT]]))</f>
        <v>500000000000</v>
      </c>
      <c r="V542" s="25">
        <f>_xlfn.XLOOKUP(Dealps[[#This Row],[PAPER_CODE]],FNRP!D:D,FNRP!H:H,0,0)/100*Dealps[[#This Row],[AMOUNT]]</f>
        <v>0</v>
      </c>
      <c r="W542" s="57" t="str">
        <f>IF(Dealps[[#This Row],[TRANSACTION_STATUS]]&lt;&gt;"V","Ngoai BS",IF(Dealps[[#This Row],[POSTED_DT]]&gt;=Dealps[[#This Row],[VALUE_DATE]],"On BS","Off BS"))</f>
        <v>On BS</v>
      </c>
      <c r="X542" s="25">
        <f>SUMIFS(U:U,C:C,Dealps[[#This Row],[PAPER_CODE]])</f>
        <v>2000000000000</v>
      </c>
      <c r="Y542" s="25">
        <f>_xlfn.XLOOKUP(Dealps[[#This Row],[DEAL_ID]],Ref!N:N,Ref!Q:Q,0,0)</f>
        <v>0</v>
      </c>
      <c r="Z542" s="25" t="str">
        <f>IF(Dealps[[#This Row],[CPTY_CODE]]=Dealps[[#This Row],[CPTY_CODE_ISSUER]],"Yes","No")</f>
        <v>No</v>
      </c>
      <c r="AA542" s="25"/>
      <c r="AC542" s="14"/>
      <c r="AG542" s="96"/>
      <c r="AH542" s="25"/>
      <c r="AI542" s="25"/>
      <c r="AN542" s="14"/>
      <c r="AV542" s="36"/>
      <c r="AW542" s="14"/>
      <c r="AX542" s="234"/>
      <c r="AY542" s="96"/>
      <c r="AZ542" s="14"/>
      <c r="BA542"/>
      <c r="BB542" s="93">
        <v>46262</v>
      </c>
      <c r="BC542">
        <v>49833</v>
      </c>
      <c r="BD542" s="56" t="s">
        <v>1278</v>
      </c>
      <c r="BE542" t="s">
        <v>1011</v>
      </c>
      <c r="BF542" t="s">
        <v>328</v>
      </c>
      <c r="BG542" t="s">
        <v>35</v>
      </c>
      <c r="BH542" t="s">
        <v>310</v>
      </c>
      <c r="BI542" t="s">
        <v>311</v>
      </c>
      <c r="BJ542" s="93">
        <v>46161</v>
      </c>
      <c r="BK542" s="93">
        <v>46161</v>
      </c>
      <c r="BL542" s="93">
        <v>46162</v>
      </c>
      <c r="BM542" s="93">
        <v>47258</v>
      </c>
      <c r="BN542" s="14">
        <v>1000</v>
      </c>
      <c r="BO542" s="14">
        <v>1000000000000</v>
      </c>
      <c r="BP542" s="56">
        <v>100</v>
      </c>
      <c r="BQ542" s="56">
        <v>0</v>
      </c>
      <c r="BR542" s="14">
        <v>1000000000000</v>
      </c>
      <c r="BS542">
        <v>8.4496829170000005</v>
      </c>
      <c r="BT542" t="s">
        <v>1184</v>
      </c>
      <c r="BU542" s="25">
        <f>_xlfn.XLOOKUP(Dealps_MSB[[#This Row],[DEAL_ID]],Ref!V:V,Ref!X:X,0,0)</f>
        <v>0</v>
      </c>
      <c r="BV542"/>
    </row>
    <row r="543" spans="1:74" x14ac:dyDescent="0.3">
      <c r="A543" s="93">
        <v>46262</v>
      </c>
      <c r="B543">
        <v>4595</v>
      </c>
      <c r="C543" s="56" t="s">
        <v>1061</v>
      </c>
      <c r="D543" t="s">
        <v>312</v>
      </c>
      <c r="E543" t="s">
        <v>636</v>
      </c>
      <c r="F543" t="s">
        <v>364</v>
      </c>
      <c r="G543" t="s">
        <v>310</v>
      </c>
      <c r="H543" t="s">
        <v>300</v>
      </c>
      <c r="I543" s="93">
        <v>46203</v>
      </c>
      <c r="J543" s="93">
        <v>46203</v>
      </c>
      <c r="K543" s="93">
        <v>46203</v>
      </c>
      <c r="L543" s="93">
        <v>46343</v>
      </c>
      <c r="M543" s="14">
        <v>1</v>
      </c>
      <c r="N543" s="14">
        <v>200000000000</v>
      </c>
      <c r="O543" s="56">
        <v>101.29868713</v>
      </c>
      <c r="P543" s="56">
        <v>0</v>
      </c>
      <c r="Q543" s="14">
        <v>210329976999.99997</v>
      </c>
      <c r="R543">
        <v>2.7710149999999998</v>
      </c>
      <c r="S543" t="s">
        <v>1184</v>
      </c>
      <c r="T543" s="57">
        <f>IF(Dealps[[#This Row],[MATURITY_DATE]]-Dealps[[#This Row],[POSTED_DT]]&lt;0,0,IF(Dealps[[#This Row],[VALUE_DATE]]-Dealps[[#This Row],[POSTED_DT]]&gt;0,Dealps[[#This Row],[MATURITY_DATE]]-Dealps[[#This Row],[VALUE_DATE]],Dealps[[#This Row],[MATURITY_DATE]]-Dealps[[#This Row],[POSTED_DT]]))</f>
        <v>81</v>
      </c>
      <c r="U543" s="25">
        <f>IF(Dealps[[#This Row],[TENOR]]=0,0,IF(Dealps[[#This Row],[DEAL_TYPE]]="B",Dealps[[#This Row],[FACE_AMOUNT]],-Dealps[[#This Row],[FACE_AMOUNT]]))</f>
        <v>200000000000</v>
      </c>
      <c r="V543" s="25">
        <f>_xlfn.XLOOKUP(Dealps[[#This Row],[PAPER_CODE]],FNRP!D:D,FNRP!H:H,0,0)/100*Dealps[[#This Row],[AMOUNT]]</f>
        <v>0</v>
      </c>
      <c r="W543" s="57" t="str">
        <f>IF(Dealps[[#This Row],[TRANSACTION_STATUS]]&lt;&gt;"V","Ngoai BS",IF(Dealps[[#This Row],[POSTED_DT]]&gt;=Dealps[[#This Row],[VALUE_DATE]],"On BS","Off BS"))</f>
        <v>On BS</v>
      </c>
      <c r="X543" s="25">
        <f>SUMIFS(U:U,C:C,Dealps[[#This Row],[PAPER_CODE]])</f>
        <v>1500000000000</v>
      </c>
      <c r="Y543" s="25">
        <f>_xlfn.XLOOKUP(Dealps[[#This Row],[DEAL_ID]],Ref!N:N,Ref!Q:Q,0,0)</f>
        <v>0</v>
      </c>
      <c r="Z543" s="25" t="str">
        <f>IF(Dealps[[#This Row],[CPTY_CODE]]=Dealps[[#This Row],[CPTY_CODE_ISSUER]],"Yes","No")</f>
        <v>No</v>
      </c>
      <c r="AA543" s="25"/>
      <c r="AC543" s="14"/>
      <c r="AG543" s="96"/>
      <c r="AH543" s="25"/>
      <c r="AI543" s="25"/>
      <c r="AN543" s="14"/>
      <c r="AV543" s="36"/>
      <c r="AW543" s="14"/>
      <c r="AX543" s="234"/>
      <c r="AY543" s="96"/>
      <c r="AZ543" s="14"/>
      <c r="BA543"/>
      <c r="BB543" s="93">
        <v>46262</v>
      </c>
      <c r="BC543">
        <v>4152</v>
      </c>
      <c r="BD543" s="56" t="s">
        <v>1263</v>
      </c>
      <c r="BE543" t="s">
        <v>1011</v>
      </c>
      <c r="BF543" t="s">
        <v>323</v>
      </c>
      <c r="BG543" t="s">
        <v>364</v>
      </c>
      <c r="BH543" t="s">
        <v>310</v>
      </c>
      <c r="BI543" t="s">
        <v>311</v>
      </c>
      <c r="BJ543" s="93">
        <v>46133</v>
      </c>
      <c r="BK543" s="93">
        <v>46133</v>
      </c>
      <c r="BL543" s="93">
        <v>46135</v>
      </c>
      <c r="BM543" s="93">
        <v>46318</v>
      </c>
      <c r="BN543" s="14">
        <v>1</v>
      </c>
      <c r="BO543" s="14">
        <v>1000000000000</v>
      </c>
      <c r="BP543" s="56">
        <v>100</v>
      </c>
      <c r="BQ543" s="56">
        <v>0</v>
      </c>
      <c r="BR543" s="14">
        <v>1000000000000</v>
      </c>
      <c r="BS543">
        <v>8.3000000000000007</v>
      </c>
      <c r="BT543" t="s">
        <v>1184</v>
      </c>
      <c r="BU543" s="25">
        <f>_xlfn.XLOOKUP(Dealps_MSB[[#This Row],[DEAL_ID]],Ref!V:V,Ref!X:X,0,0)</f>
        <v>0</v>
      </c>
      <c r="BV543"/>
    </row>
    <row r="544" spans="1:74" x14ac:dyDescent="0.3">
      <c r="A544" s="93">
        <v>46262</v>
      </c>
      <c r="B544">
        <v>4596</v>
      </c>
      <c r="C544" s="56" t="s">
        <v>1260</v>
      </c>
      <c r="D544" t="s">
        <v>384</v>
      </c>
      <c r="E544" t="s">
        <v>1022</v>
      </c>
      <c r="F544" t="s">
        <v>364</v>
      </c>
      <c r="G544" t="s">
        <v>310</v>
      </c>
      <c r="H544" t="s">
        <v>311</v>
      </c>
      <c r="I544" s="93">
        <v>46203</v>
      </c>
      <c r="J544" s="93">
        <v>46219</v>
      </c>
      <c r="K544" s="93">
        <v>46219</v>
      </c>
      <c r="L544" s="93">
        <v>46524</v>
      </c>
      <c r="M544" s="14">
        <v>1</v>
      </c>
      <c r="N544" s="14">
        <v>70000000000</v>
      </c>
      <c r="O544" s="56">
        <v>99.666021547</v>
      </c>
      <c r="P544" s="56">
        <v>0</v>
      </c>
      <c r="Q544" s="14">
        <v>71405941110</v>
      </c>
      <c r="R544">
        <v>9.7047600000000003</v>
      </c>
      <c r="S544" t="s">
        <v>1184</v>
      </c>
      <c r="T544" s="57">
        <f>IF(Dealps[[#This Row],[MATURITY_DATE]]-Dealps[[#This Row],[POSTED_DT]]&lt;0,0,IF(Dealps[[#This Row],[VALUE_DATE]]-Dealps[[#This Row],[POSTED_DT]]&gt;0,Dealps[[#This Row],[MATURITY_DATE]]-Dealps[[#This Row],[VALUE_DATE]],Dealps[[#This Row],[MATURITY_DATE]]-Dealps[[#This Row],[POSTED_DT]]))</f>
        <v>262</v>
      </c>
      <c r="U544" s="25">
        <f>IF(Dealps[[#This Row],[TENOR]]=0,0,IF(Dealps[[#This Row],[DEAL_TYPE]]="B",Dealps[[#This Row],[FACE_AMOUNT]],-Dealps[[#This Row],[FACE_AMOUNT]]))</f>
        <v>-70000000000</v>
      </c>
      <c r="V544" s="25">
        <f>_xlfn.XLOOKUP(Dealps[[#This Row],[PAPER_CODE]],FNRP!D:D,FNRP!H:H,0,0)/100*Dealps[[#This Row],[AMOUNT]]</f>
        <v>0</v>
      </c>
      <c r="W544" s="57" t="str">
        <f>IF(Dealps[[#This Row],[TRANSACTION_STATUS]]&lt;&gt;"V","Ngoai BS",IF(Dealps[[#This Row],[POSTED_DT]]&gt;=Dealps[[#This Row],[VALUE_DATE]],"On BS","Off BS"))</f>
        <v>On BS</v>
      </c>
      <c r="X544" s="25">
        <f>SUMIFS(U:U,C:C,Dealps[[#This Row],[PAPER_CODE]])</f>
        <v>400000000000</v>
      </c>
      <c r="Y544" s="25">
        <f>_xlfn.XLOOKUP(Dealps[[#This Row],[DEAL_ID]],Ref!N:N,Ref!Q:Q,0,0)</f>
        <v>0</v>
      </c>
      <c r="Z544" s="25" t="str">
        <f>IF(Dealps[[#This Row],[CPTY_CODE]]=Dealps[[#This Row],[CPTY_CODE_ISSUER]],"Yes","No")</f>
        <v>No</v>
      </c>
      <c r="AA544" s="25"/>
      <c r="AC544" s="14"/>
      <c r="AG544" s="96"/>
      <c r="AH544" s="25"/>
      <c r="AI544" s="25"/>
      <c r="AN544" s="14"/>
      <c r="AV544" s="36"/>
      <c r="AW544" s="14"/>
      <c r="AX544" s="234"/>
      <c r="AY544" s="96"/>
      <c r="AZ544" s="14"/>
      <c r="BA544"/>
      <c r="BB544" s="93">
        <v>46262</v>
      </c>
      <c r="BC544">
        <v>4153</v>
      </c>
      <c r="BD544" s="56" t="s">
        <v>1263</v>
      </c>
      <c r="BE544" t="s">
        <v>1011</v>
      </c>
      <c r="BF544" t="s">
        <v>323</v>
      </c>
      <c r="BG544" t="s">
        <v>364</v>
      </c>
      <c r="BH544" t="s">
        <v>310</v>
      </c>
      <c r="BI544" t="s">
        <v>311</v>
      </c>
      <c r="BJ544" s="93">
        <v>46133</v>
      </c>
      <c r="BK544" s="93">
        <v>46133</v>
      </c>
      <c r="BL544" s="93">
        <v>46135</v>
      </c>
      <c r="BM544" s="93">
        <v>46318</v>
      </c>
      <c r="BN544" s="14">
        <v>1</v>
      </c>
      <c r="BO544" s="14">
        <v>1000000000000</v>
      </c>
      <c r="BP544" s="56">
        <v>100</v>
      </c>
      <c r="BQ544" s="56">
        <v>0</v>
      </c>
      <c r="BR544" s="14">
        <v>1000000000000</v>
      </c>
      <c r="BS544">
        <v>8.3000000000000007</v>
      </c>
      <c r="BT544" t="s">
        <v>1184</v>
      </c>
      <c r="BU544" s="25">
        <f>_xlfn.XLOOKUP(Dealps_MSB[[#This Row],[DEAL_ID]],Ref!V:V,Ref!X:X,0,0)</f>
        <v>0</v>
      </c>
      <c r="BV544"/>
    </row>
    <row r="545" spans="1:74" x14ac:dyDescent="0.3">
      <c r="A545" s="93">
        <v>46262</v>
      </c>
      <c r="B545">
        <v>4597</v>
      </c>
      <c r="C545" s="56" t="s">
        <v>1260</v>
      </c>
      <c r="D545" t="s">
        <v>384</v>
      </c>
      <c r="E545" t="s">
        <v>1022</v>
      </c>
      <c r="F545" t="s">
        <v>364</v>
      </c>
      <c r="G545" t="s">
        <v>310</v>
      </c>
      <c r="H545" t="s">
        <v>311</v>
      </c>
      <c r="I545" s="93">
        <v>46203</v>
      </c>
      <c r="J545" s="93">
        <v>46223</v>
      </c>
      <c r="K545" s="93">
        <v>46223</v>
      </c>
      <c r="L545" s="93">
        <v>46524</v>
      </c>
      <c r="M545" s="14">
        <v>1</v>
      </c>
      <c r="N545" s="14">
        <v>70000000000</v>
      </c>
      <c r="O545" s="56">
        <v>99.651626257999993</v>
      </c>
      <c r="P545" s="56">
        <v>0</v>
      </c>
      <c r="Q545" s="14">
        <v>71468741120</v>
      </c>
      <c r="R545">
        <v>9.7185319999999997</v>
      </c>
      <c r="S545" t="s">
        <v>1184</v>
      </c>
      <c r="T545" s="57">
        <f>IF(Dealps[[#This Row],[MATURITY_DATE]]-Dealps[[#This Row],[POSTED_DT]]&lt;0,0,IF(Dealps[[#This Row],[VALUE_DATE]]-Dealps[[#This Row],[POSTED_DT]]&gt;0,Dealps[[#This Row],[MATURITY_DATE]]-Dealps[[#This Row],[VALUE_DATE]],Dealps[[#This Row],[MATURITY_DATE]]-Dealps[[#This Row],[POSTED_DT]]))</f>
        <v>262</v>
      </c>
      <c r="U545" s="25">
        <f>IF(Dealps[[#This Row],[TENOR]]=0,0,IF(Dealps[[#This Row],[DEAL_TYPE]]="B",Dealps[[#This Row],[FACE_AMOUNT]],-Dealps[[#This Row],[FACE_AMOUNT]]))</f>
        <v>-70000000000</v>
      </c>
      <c r="V545" s="25">
        <f>_xlfn.XLOOKUP(Dealps[[#This Row],[PAPER_CODE]],FNRP!D:D,FNRP!H:H,0,0)/100*Dealps[[#This Row],[AMOUNT]]</f>
        <v>0</v>
      </c>
      <c r="W545" s="57" t="str">
        <f>IF(Dealps[[#This Row],[TRANSACTION_STATUS]]&lt;&gt;"V","Ngoai BS",IF(Dealps[[#This Row],[POSTED_DT]]&gt;=Dealps[[#This Row],[VALUE_DATE]],"On BS","Off BS"))</f>
        <v>On BS</v>
      </c>
      <c r="X545" s="25">
        <f>SUMIFS(U:U,C:C,Dealps[[#This Row],[PAPER_CODE]])</f>
        <v>400000000000</v>
      </c>
      <c r="Y545" s="25">
        <f>_xlfn.XLOOKUP(Dealps[[#This Row],[DEAL_ID]],Ref!N:N,Ref!Q:Q,0,0)</f>
        <v>0</v>
      </c>
      <c r="Z545" s="25" t="str">
        <f>IF(Dealps[[#This Row],[CPTY_CODE]]=Dealps[[#This Row],[CPTY_CODE_ISSUER]],"Yes","No")</f>
        <v>No</v>
      </c>
      <c r="AA545" s="25"/>
      <c r="AC545" s="14"/>
      <c r="AG545" s="96"/>
      <c r="AH545" s="25"/>
      <c r="AI545" s="25"/>
      <c r="AN545" s="14"/>
      <c r="AV545" s="36"/>
      <c r="AW545" s="14"/>
      <c r="AX545" s="234"/>
      <c r="AY545" s="96"/>
      <c r="AZ545" s="14"/>
      <c r="BA545"/>
      <c r="BB545" s="93">
        <v>46262</v>
      </c>
      <c r="BC545">
        <v>40923</v>
      </c>
      <c r="BD545" s="56" t="s">
        <v>1025</v>
      </c>
      <c r="BE545" t="s">
        <v>1011</v>
      </c>
      <c r="BF545" t="s">
        <v>323</v>
      </c>
      <c r="BG545" t="s">
        <v>35</v>
      </c>
      <c r="BH545" t="s">
        <v>310</v>
      </c>
      <c r="BI545" t="s">
        <v>311</v>
      </c>
      <c r="BJ545" s="93">
        <v>45258</v>
      </c>
      <c r="BK545" s="93">
        <v>45261</v>
      </c>
      <c r="BL545" s="93">
        <v>45261</v>
      </c>
      <c r="BM545" s="93">
        <v>46357</v>
      </c>
      <c r="BN545" s="14">
        <v>500</v>
      </c>
      <c r="BO545" s="14">
        <v>500000000000</v>
      </c>
      <c r="BP545" s="56">
        <v>100</v>
      </c>
      <c r="BQ545" s="56">
        <v>0</v>
      </c>
      <c r="BR545" s="14">
        <v>500000000000</v>
      </c>
      <c r="BS545">
        <v>5.7942483429999996</v>
      </c>
      <c r="BT545" t="s">
        <v>1184</v>
      </c>
      <c r="BU545" s="25">
        <f>_xlfn.XLOOKUP(Dealps_MSB[[#This Row],[DEAL_ID]],Ref!V:V,Ref!X:X,0,0)</f>
        <v>0</v>
      </c>
      <c r="BV545"/>
    </row>
    <row r="546" spans="1:74" x14ac:dyDescent="0.3">
      <c r="A546" s="93">
        <v>46262</v>
      </c>
      <c r="B546">
        <v>4598</v>
      </c>
      <c r="C546" s="56" t="s">
        <v>1260</v>
      </c>
      <c r="D546" t="s">
        <v>384</v>
      </c>
      <c r="E546" t="s">
        <v>1022</v>
      </c>
      <c r="F546" t="s">
        <v>364</v>
      </c>
      <c r="G546" t="s">
        <v>310</v>
      </c>
      <c r="H546" t="s">
        <v>311</v>
      </c>
      <c r="I546" s="93">
        <v>46203</v>
      </c>
      <c r="J546" s="93">
        <v>46224</v>
      </c>
      <c r="K546" s="93">
        <v>46224</v>
      </c>
      <c r="L546" s="93">
        <v>46524</v>
      </c>
      <c r="M546" s="14">
        <v>1</v>
      </c>
      <c r="N546" s="14">
        <v>60000000000</v>
      </c>
      <c r="O546" s="56">
        <v>99.409836960000007</v>
      </c>
      <c r="P546" s="56">
        <v>0</v>
      </c>
      <c r="Q546" s="14">
        <v>61129463819.999992</v>
      </c>
      <c r="R546">
        <v>10.029237</v>
      </c>
      <c r="S546" t="s">
        <v>1184</v>
      </c>
      <c r="T546" s="57">
        <f>IF(Dealps[[#This Row],[MATURITY_DATE]]-Dealps[[#This Row],[POSTED_DT]]&lt;0,0,IF(Dealps[[#This Row],[VALUE_DATE]]-Dealps[[#This Row],[POSTED_DT]]&gt;0,Dealps[[#This Row],[MATURITY_DATE]]-Dealps[[#This Row],[VALUE_DATE]],Dealps[[#This Row],[MATURITY_DATE]]-Dealps[[#This Row],[POSTED_DT]]))</f>
        <v>262</v>
      </c>
      <c r="U546" s="25">
        <f>IF(Dealps[[#This Row],[TENOR]]=0,0,IF(Dealps[[#This Row],[DEAL_TYPE]]="B",Dealps[[#This Row],[FACE_AMOUNT]],-Dealps[[#This Row],[FACE_AMOUNT]]))</f>
        <v>-60000000000</v>
      </c>
      <c r="V546" s="25">
        <f>_xlfn.XLOOKUP(Dealps[[#This Row],[PAPER_CODE]],FNRP!D:D,FNRP!H:H,0,0)/100*Dealps[[#This Row],[AMOUNT]]</f>
        <v>0</v>
      </c>
      <c r="W546" s="57" t="str">
        <f>IF(Dealps[[#This Row],[TRANSACTION_STATUS]]&lt;&gt;"V","Ngoai BS",IF(Dealps[[#This Row],[POSTED_DT]]&gt;=Dealps[[#This Row],[VALUE_DATE]],"On BS","Off BS"))</f>
        <v>On BS</v>
      </c>
      <c r="X546" s="25">
        <f>SUMIFS(U:U,C:C,Dealps[[#This Row],[PAPER_CODE]])</f>
        <v>400000000000</v>
      </c>
      <c r="Y546" s="25">
        <f>_xlfn.XLOOKUP(Dealps[[#This Row],[DEAL_ID]],Ref!N:N,Ref!Q:Q,0,0)</f>
        <v>0</v>
      </c>
      <c r="Z546" s="25" t="str">
        <f>IF(Dealps[[#This Row],[CPTY_CODE]]=Dealps[[#This Row],[CPTY_CODE_ISSUER]],"Yes","No")</f>
        <v>No</v>
      </c>
      <c r="AA546" s="25"/>
      <c r="AC546" s="14"/>
      <c r="AG546" s="96"/>
      <c r="AH546" s="25"/>
      <c r="AI546" s="25"/>
      <c r="AN546" s="14"/>
      <c r="AV546" s="36"/>
      <c r="AW546" s="14"/>
      <c r="AX546" s="234"/>
      <c r="AY546" s="96"/>
      <c r="AZ546" s="14"/>
      <c r="BA546"/>
      <c r="BB546" s="93">
        <v>46262</v>
      </c>
      <c r="BC546">
        <v>40924</v>
      </c>
      <c r="BD546" s="56" t="s">
        <v>1025</v>
      </c>
      <c r="BE546" t="s">
        <v>1011</v>
      </c>
      <c r="BF546" t="s">
        <v>323</v>
      </c>
      <c r="BG546" t="s">
        <v>35</v>
      </c>
      <c r="BH546" t="s">
        <v>310</v>
      </c>
      <c r="BI546" t="s">
        <v>311</v>
      </c>
      <c r="BJ546" s="93">
        <v>45258</v>
      </c>
      <c r="BK546" s="93">
        <v>45261</v>
      </c>
      <c r="BL546" s="93">
        <v>45261</v>
      </c>
      <c r="BM546" s="93">
        <v>46357</v>
      </c>
      <c r="BN546" s="14">
        <v>500</v>
      </c>
      <c r="BO546" s="14">
        <v>500000000000</v>
      </c>
      <c r="BP546" s="56">
        <v>100</v>
      </c>
      <c r="BQ546" s="56">
        <v>0</v>
      </c>
      <c r="BR546" s="14">
        <v>500000000000</v>
      </c>
      <c r="BS546">
        <v>5.7942483429999996</v>
      </c>
      <c r="BT546" t="s">
        <v>1184</v>
      </c>
      <c r="BU546" s="25">
        <f>_xlfn.XLOOKUP(Dealps_MSB[[#This Row],[DEAL_ID]],Ref!V:V,Ref!X:X,0,0)</f>
        <v>0</v>
      </c>
      <c r="BV546"/>
    </row>
    <row r="547" spans="1:74" x14ac:dyDescent="0.3">
      <c r="A547" s="93">
        <v>46262</v>
      </c>
      <c r="B547">
        <v>4602</v>
      </c>
      <c r="C547" s="56" t="s">
        <v>1207</v>
      </c>
      <c r="D547" t="s">
        <v>384</v>
      </c>
      <c r="E547" t="s">
        <v>971</v>
      </c>
      <c r="F547" t="s">
        <v>364</v>
      </c>
      <c r="G547" t="s">
        <v>310</v>
      </c>
      <c r="H547" t="s">
        <v>300</v>
      </c>
      <c r="I547" s="93">
        <v>46204</v>
      </c>
      <c r="J547" s="93">
        <v>46204</v>
      </c>
      <c r="K547" s="93">
        <v>46204</v>
      </c>
      <c r="L547" s="93">
        <v>46419</v>
      </c>
      <c r="M547" s="14">
        <v>1</v>
      </c>
      <c r="N547" s="14">
        <v>200000000000</v>
      </c>
      <c r="O547" s="56">
        <v>100.005852541</v>
      </c>
      <c r="P547" s="56">
        <v>0</v>
      </c>
      <c r="Q547" s="14">
        <v>206192527000</v>
      </c>
      <c r="R547">
        <v>7.7501009999999999</v>
      </c>
      <c r="S547" t="s">
        <v>1184</v>
      </c>
      <c r="T547" s="57">
        <f>IF(Dealps[[#This Row],[MATURITY_DATE]]-Dealps[[#This Row],[POSTED_DT]]&lt;0,0,IF(Dealps[[#This Row],[VALUE_DATE]]-Dealps[[#This Row],[POSTED_DT]]&gt;0,Dealps[[#This Row],[MATURITY_DATE]]-Dealps[[#This Row],[VALUE_DATE]],Dealps[[#This Row],[MATURITY_DATE]]-Dealps[[#This Row],[POSTED_DT]]))</f>
        <v>157</v>
      </c>
      <c r="U547" s="25">
        <f>IF(Dealps[[#This Row],[TENOR]]=0,0,IF(Dealps[[#This Row],[DEAL_TYPE]]="B",Dealps[[#This Row],[FACE_AMOUNT]],-Dealps[[#This Row],[FACE_AMOUNT]]))</f>
        <v>200000000000</v>
      </c>
      <c r="V547" s="25">
        <f>_xlfn.XLOOKUP(Dealps[[#This Row],[PAPER_CODE]],FNRP!D:D,FNRP!H:H,0,0)/100*Dealps[[#This Row],[AMOUNT]]</f>
        <v>0</v>
      </c>
      <c r="W547" s="57" t="str">
        <f>IF(Dealps[[#This Row],[TRANSACTION_STATUS]]&lt;&gt;"V","Ngoai BS",IF(Dealps[[#This Row],[POSTED_DT]]&gt;=Dealps[[#This Row],[VALUE_DATE]],"On BS","Off BS"))</f>
        <v>On BS</v>
      </c>
      <c r="X547" s="25">
        <f>SUMIFS(U:U,C:C,Dealps[[#This Row],[PAPER_CODE]])</f>
        <v>200000000000</v>
      </c>
      <c r="Y547" s="25">
        <f>_xlfn.XLOOKUP(Dealps[[#This Row],[DEAL_ID]],Ref!N:N,Ref!Q:Q,0,0)</f>
        <v>0</v>
      </c>
      <c r="Z547" s="25" t="str">
        <f>IF(Dealps[[#This Row],[CPTY_CODE]]=Dealps[[#This Row],[CPTY_CODE_ISSUER]],"Yes","No")</f>
        <v>No</v>
      </c>
      <c r="AA547" s="25"/>
      <c r="AC547" s="14"/>
      <c r="AG547" s="96"/>
      <c r="AH547" s="25"/>
      <c r="AI547" s="25"/>
      <c r="AN547" s="14"/>
      <c r="AV547" s="36"/>
      <c r="AW547" s="14"/>
      <c r="AX547" s="234"/>
      <c r="AY547" s="96"/>
      <c r="AZ547" s="14"/>
      <c r="BA547"/>
      <c r="BB547" s="93">
        <v>46262</v>
      </c>
      <c r="BC547">
        <v>44837</v>
      </c>
      <c r="BD547" s="56" t="s">
        <v>1025</v>
      </c>
      <c r="BE547" t="s">
        <v>1011</v>
      </c>
      <c r="BF547" t="s">
        <v>323</v>
      </c>
      <c r="BG547" t="s">
        <v>35</v>
      </c>
      <c r="BH547" t="s">
        <v>310</v>
      </c>
      <c r="BI547" t="s">
        <v>300</v>
      </c>
      <c r="BJ547" s="93">
        <v>45628</v>
      </c>
      <c r="BK547" s="93">
        <v>45628</v>
      </c>
      <c r="BL547" s="93">
        <v>45628</v>
      </c>
      <c r="BM547" s="93">
        <v>46357</v>
      </c>
      <c r="BN547" s="14">
        <v>1000</v>
      </c>
      <c r="BO547" s="14">
        <v>1000000000000</v>
      </c>
      <c r="BP547" s="56">
        <v>100</v>
      </c>
      <c r="BQ547" s="56">
        <v>0</v>
      </c>
      <c r="BR547" s="14">
        <v>1000000000000</v>
      </c>
      <c r="BS547">
        <v>5.8002321500000003</v>
      </c>
      <c r="BT547" t="s">
        <v>1184</v>
      </c>
      <c r="BU547" s="25">
        <f>_xlfn.XLOOKUP(Dealps_MSB[[#This Row],[DEAL_ID]],Ref!V:V,Ref!X:X,0,0)</f>
        <v>0</v>
      </c>
      <c r="BV547"/>
    </row>
    <row r="548" spans="1:74" x14ac:dyDescent="0.3">
      <c r="A548" s="93">
        <v>46262</v>
      </c>
      <c r="B548">
        <v>4603</v>
      </c>
      <c r="C548" s="56" t="s">
        <v>1061</v>
      </c>
      <c r="D548" t="s">
        <v>312</v>
      </c>
      <c r="E548" t="s">
        <v>971</v>
      </c>
      <c r="F548" t="s">
        <v>364</v>
      </c>
      <c r="G548" t="s">
        <v>310</v>
      </c>
      <c r="H548" t="s">
        <v>300</v>
      </c>
      <c r="I548" s="93">
        <v>46204</v>
      </c>
      <c r="J548" s="93">
        <v>46204</v>
      </c>
      <c r="K548" s="93">
        <v>46204</v>
      </c>
      <c r="L548" s="93">
        <v>46343</v>
      </c>
      <c r="M548" s="14">
        <v>1</v>
      </c>
      <c r="N548" s="14">
        <v>300000000000</v>
      </c>
      <c r="O548" s="56">
        <v>100.029568656</v>
      </c>
      <c r="P548" s="56">
        <v>0</v>
      </c>
      <c r="Q548" s="14">
        <v>311739390900</v>
      </c>
      <c r="R548">
        <v>5.9880360000000001</v>
      </c>
      <c r="S548" t="s">
        <v>1184</v>
      </c>
      <c r="T548" s="57">
        <f>IF(Dealps[[#This Row],[MATURITY_DATE]]-Dealps[[#This Row],[POSTED_DT]]&lt;0,0,IF(Dealps[[#This Row],[VALUE_DATE]]-Dealps[[#This Row],[POSTED_DT]]&gt;0,Dealps[[#This Row],[MATURITY_DATE]]-Dealps[[#This Row],[VALUE_DATE]],Dealps[[#This Row],[MATURITY_DATE]]-Dealps[[#This Row],[POSTED_DT]]))</f>
        <v>81</v>
      </c>
      <c r="U548" s="25">
        <f>IF(Dealps[[#This Row],[TENOR]]=0,0,IF(Dealps[[#This Row],[DEAL_TYPE]]="B",Dealps[[#This Row],[FACE_AMOUNT]],-Dealps[[#This Row],[FACE_AMOUNT]]))</f>
        <v>300000000000</v>
      </c>
      <c r="V548" s="25">
        <f>_xlfn.XLOOKUP(Dealps[[#This Row],[PAPER_CODE]],FNRP!D:D,FNRP!H:H,0,0)/100*Dealps[[#This Row],[AMOUNT]]</f>
        <v>0</v>
      </c>
      <c r="W548" s="57" t="str">
        <f>IF(Dealps[[#This Row],[TRANSACTION_STATUS]]&lt;&gt;"V","Ngoai BS",IF(Dealps[[#This Row],[POSTED_DT]]&gt;=Dealps[[#This Row],[VALUE_DATE]],"On BS","Off BS"))</f>
        <v>On BS</v>
      </c>
      <c r="X548" s="25">
        <f>SUMIFS(U:U,C:C,Dealps[[#This Row],[PAPER_CODE]])</f>
        <v>1500000000000</v>
      </c>
      <c r="Y548" s="25">
        <f>_xlfn.XLOOKUP(Dealps[[#This Row],[DEAL_ID]],Ref!N:N,Ref!Q:Q,0,0)</f>
        <v>0</v>
      </c>
      <c r="Z548" s="25" t="str">
        <f>IF(Dealps[[#This Row],[CPTY_CODE]]=Dealps[[#This Row],[CPTY_CODE_ISSUER]],"Yes","No")</f>
        <v>No</v>
      </c>
      <c r="AA548" s="25"/>
      <c r="AC548" s="14"/>
      <c r="AG548" s="96"/>
      <c r="AH548" s="25"/>
      <c r="AI548" s="25"/>
      <c r="AN548" s="14"/>
      <c r="AV548" s="36"/>
      <c r="AW548" s="14"/>
      <c r="AX548" s="234"/>
      <c r="AY548" s="96"/>
      <c r="AZ548" s="14"/>
      <c r="BA548"/>
      <c r="BB548" s="93">
        <v>46262</v>
      </c>
      <c r="BC548">
        <v>2947</v>
      </c>
      <c r="BD548" s="56" t="s">
        <v>1051</v>
      </c>
      <c r="BE548" t="s">
        <v>1011</v>
      </c>
      <c r="BF548" t="s">
        <v>312</v>
      </c>
      <c r="BG548" t="s">
        <v>364</v>
      </c>
      <c r="BH548" t="s">
        <v>310</v>
      </c>
      <c r="BI548" t="s">
        <v>311</v>
      </c>
      <c r="BJ548" s="93">
        <v>45975</v>
      </c>
      <c r="BK548" s="93">
        <v>45978</v>
      </c>
      <c r="BL548" s="93">
        <v>45978</v>
      </c>
      <c r="BM548" s="93">
        <v>46342</v>
      </c>
      <c r="BN548" s="14">
        <v>1</v>
      </c>
      <c r="BO548" s="14">
        <v>500000000000</v>
      </c>
      <c r="BP548" s="56">
        <v>100</v>
      </c>
      <c r="BQ548" s="56">
        <v>0</v>
      </c>
      <c r="BR548" s="14">
        <v>500000000000</v>
      </c>
      <c r="BS548">
        <v>6.3</v>
      </c>
      <c r="BT548" t="s">
        <v>1184</v>
      </c>
      <c r="BU548" s="25">
        <f>_xlfn.XLOOKUP(Dealps_MSB[[#This Row],[DEAL_ID]],Ref!V:V,Ref!X:X,0,0)</f>
        <v>0</v>
      </c>
      <c r="BV548"/>
    </row>
    <row r="549" spans="1:74" x14ac:dyDescent="0.3">
      <c r="A549" s="93">
        <v>46262</v>
      </c>
      <c r="B549">
        <v>4604</v>
      </c>
      <c r="C549" s="56" t="s">
        <v>1061</v>
      </c>
      <c r="D549" t="s">
        <v>312</v>
      </c>
      <c r="E549" t="s">
        <v>971</v>
      </c>
      <c r="F549" t="s">
        <v>364</v>
      </c>
      <c r="G549" t="s">
        <v>310</v>
      </c>
      <c r="H549" t="s">
        <v>300</v>
      </c>
      <c r="I549" s="93">
        <v>46204</v>
      </c>
      <c r="J549" s="93">
        <v>46204</v>
      </c>
      <c r="K549" s="93">
        <v>46204</v>
      </c>
      <c r="L549" s="93">
        <v>46343</v>
      </c>
      <c r="M549" s="14">
        <v>1</v>
      </c>
      <c r="N549" s="14">
        <v>200000000000</v>
      </c>
      <c r="O549" s="56">
        <v>100.029568656</v>
      </c>
      <c r="P549" s="56">
        <v>0</v>
      </c>
      <c r="Q549" s="14">
        <v>207826260600</v>
      </c>
      <c r="R549">
        <v>5.9880360000000001</v>
      </c>
      <c r="S549" t="s">
        <v>1184</v>
      </c>
      <c r="T549" s="57">
        <f>IF(Dealps[[#This Row],[MATURITY_DATE]]-Dealps[[#This Row],[POSTED_DT]]&lt;0,0,IF(Dealps[[#This Row],[VALUE_DATE]]-Dealps[[#This Row],[POSTED_DT]]&gt;0,Dealps[[#This Row],[MATURITY_DATE]]-Dealps[[#This Row],[VALUE_DATE]],Dealps[[#This Row],[MATURITY_DATE]]-Dealps[[#This Row],[POSTED_DT]]))</f>
        <v>81</v>
      </c>
      <c r="U549" s="25">
        <f>IF(Dealps[[#This Row],[TENOR]]=0,0,IF(Dealps[[#This Row],[DEAL_TYPE]]="B",Dealps[[#This Row],[FACE_AMOUNT]],-Dealps[[#This Row],[FACE_AMOUNT]]))</f>
        <v>200000000000</v>
      </c>
      <c r="V549" s="25">
        <f>_xlfn.XLOOKUP(Dealps[[#This Row],[PAPER_CODE]],FNRP!D:D,FNRP!H:H,0,0)/100*Dealps[[#This Row],[AMOUNT]]</f>
        <v>0</v>
      </c>
      <c r="W549" s="57" t="str">
        <f>IF(Dealps[[#This Row],[TRANSACTION_STATUS]]&lt;&gt;"V","Ngoai BS",IF(Dealps[[#This Row],[POSTED_DT]]&gt;=Dealps[[#This Row],[VALUE_DATE]],"On BS","Off BS"))</f>
        <v>On BS</v>
      </c>
      <c r="X549" s="25">
        <f>SUMIFS(U:U,C:C,Dealps[[#This Row],[PAPER_CODE]])</f>
        <v>1500000000000</v>
      </c>
      <c r="Y549" s="25">
        <f>_xlfn.XLOOKUP(Dealps[[#This Row],[DEAL_ID]],Ref!N:N,Ref!Q:Q,0,0)</f>
        <v>0</v>
      </c>
      <c r="Z549" s="25" t="str">
        <f>IF(Dealps[[#This Row],[CPTY_CODE]]=Dealps[[#This Row],[CPTY_CODE_ISSUER]],"Yes","No")</f>
        <v>No</v>
      </c>
      <c r="AA549" s="25"/>
      <c r="AC549" s="14"/>
      <c r="AG549" s="96"/>
      <c r="AH549" s="25"/>
      <c r="AI549" s="25"/>
      <c r="AN549" s="14"/>
      <c r="AV549" s="36"/>
      <c r="AW549" s="14"/>
      <c r="AX549" s="234"/>
      <c r="AY549" s="96"/>
      <c r="AZ549" s="14"/>
      <c r="BA549"/>
      <c r="BB549" s="93">
        <v>46262</v>
      </c>
      <c r="BC549">
        <v>2948</v>
      </c>
      <c r="BD549" s="56" t="s">
        <v>1051</v>
      </c>
      <c r="BE549" t="s">
        <v>1011</v>
      </c>
      <c r="BF549" t="s">
        <v>312</v>
      </c>
      <c r="BG549" t="s">
        <v>364</v>
      </c>
      <c r="BH549" t="s">
        <v>310</v>
      </c>
      <c r="BI549" t="s">
        <v>311</v>
      </c>
      <c r="BJ549" s="93">
        <v>45975</v>
      </c>
      <c r="BK549" s="93">
        <v>45978</v>
      </c>
      <c r="BL549" s="93">
        <v>45978</v>
      </c>
      <c r="BM549" s="93">
        <v>46342</v>
      </c>
      <c r="BN549" s="14">
        <v>1</v>
      </c>
      <c r="BO549" s="14">
        <v>500000000000</v>
      </c>
      <c r="BP549" s="56">
        <v>100</v>
      </c>
      <c r="BQ549" s="56">
        <v>0</v>
      </c>
      <c r="BR549" s="14">
        <v>500000000000</v>
      </c>
      <c r="BS549">
        <v>6.3</v>
      </c>
      <c r="BT549" t="s">
        <v>1184</v>
      </c>
      <c r="BU549" s="25">
        <f>_xlfn.XLOOKUP(Dealps_MSB[[#This Row],[DEAL_ID]],Ref!V:V,Ref!X:X,0,0)</f>
        <v>0</v>
      </c>
      <c r="BV549"/>
    </row>
    <row r="550" spans="1:74" x14ac:dyDescent="0.3">
      <c r="A550" s="93">
        <v>46262</v>
      </c>
      <c r="B550">
        <v>4606</v>
      </c>
      <c r="C550" s="56" t="s">
        <v>1258</v>
      </c>
      <c r="D550" t="s">
        <v>321</v>
      </c>
      <c r="E550" t="s">
        <v>347</v>
      </c>
      <c r="F550" t="s">
        <v>364</v>
      </c>
      <c r="G550" t="s">
        <v>310</v>
      </c>
      <c r="H550" t="s">
        <v>311</v>
      </c>
      <c r="I550" s="93">
        <v>46204</v>
      </c>
      <c r="J550" s="93">
        <v>46206</v>
      </c>
      <c r="K550" s="93">
        <v>46206</v>
      </c>
      <c r="L550" s="93">
        <v>46485</v>
      </c>
      <c r="M550" s="14">
        <v>1</v>
      </c>
      <c r="N550" s="14">
        <v>500000000000</v>
      </c>
      <c r="O550" s="56">
        <v>100.55081961</v>
      </c>
      <c r="P550" s="56">
        <v>0</v>
      </c>
      <c r="Q550" s="14">
        <v>511959577500.00006</v>
      </c>
      <c r="R550">
        <v>7.5</v>
      </c>
      <c r="S550" t="s">
        <v>1184</v>
      </c>
      <c r="T550" s="57">
        <f>IF(Dealps[[#This Row],[MATURITY_DATE]]-Dealps[[#This Row],[POSTED_DT]]&lt;0,0,IF(Dealps[[#This Row],[VALUE_DATE]]-Dealps[[#This Row],[POSTED_DT]]&gt;0,Dealps[[#This Row],[MATURITY_DATE]]-Dealps[[#This Row],[VALUE_DATE]],Dealps[[#This Row],[MATURITY_DATE]]-Dealps[[#This Row],[POSTED_DT]]))</f>
        <v>223</v>
      </c>
      <c r="U550" s="25">
        <f>IF(Dealps[[#This Row],[TENOR]]=0,0,IF(Dealps[[#This Row],[DEAL_TYPE]]="B",Dealps[[#This Row],[FACE_AMOUNT]],-Dealps[[#This Row],[FACE_AMOUNT]]))</f>
        <v>-500000000000</v>
      </c>
      <c r="V550" s="25">
        <f>_xlfn.XLOOKUP(Dealps[[#This Row],[PAPER_CODE]],FNRP!D:D,FNRP!H:H,0,0)/100*Dealps[[#This Row],[AMOUNT]]</f>
        <v>0</v>
      </c>
      <c r="W550" s="57" t="str">
        <f>IF(Dealps[[#This Row],[TRANSACTION_STATUS]]&lt;&gt;"V","Ngoai BS",IF(Dealps[[#This Row],[POSTED_DT]]&gt;=Dealps[[#This Row],[VALUE_DATE]],"On BS","Off BS"))</f>
        <v>On BS</v>
      </c>
      <c r="X550" s="25">
        <f>SUMIFS(U:U,C:C,Dealps[[#This Row],[PAPER_CODE]])</f>
        <v>2000000000000</v>
      </c>
      <c r="Y550" s="25">
        <f>_xlfn.XLOOKUP(Dealps[[#This Row],[DEAL_ID]],Ref!N:N,Ref!Q:Q,0,0)</f>
        <v>0</v>
      </c>
      <c r="Z550" s="25" t="str">
        <f>IF(Dealps[[#This Row],[CPTY_CODE]]=Dealps[[#This Row],[CPTY_CODE_ISSUER]],"Yes","No")</f>
        <v>No</v>
      </c>
      <c r="AA550" s="25"/>
      <c r="AC550" s="14"/>
      <c r="AG550" s="96"/>
      <c r="AH550" s="25"/>
      <c r="AI550" s="25"/>
      <c r="AN550" s="14"/>
      <c r="AV550" s="36"/>
      <c r="AW550" s="14"/>
      <c r="AX550" s="234"/>
      <c r="AY550" s="96"/>
      <c r="AZ550" s="14"/>
      <c r="BA550"/>
      <c r="BB550" s="93">
        <v>46262</v>
      </c>
      <c r="BC550">
        <v>2949</v>
      </c>
      <c r="BD550" s="56" t="s">
        <v>1051</v>
      </c>
      <c r="BE550" t="s">
        <v>1011</v>
      </c>
      <c r="BF550" t="s">
        <v>312</v>
      </c>
      <c r="BG550" t="s">
        <v>364</v>
      </c>
      <c r="BH550" t="s">
        <v>310</v>
      </c>
      <c r="BI550" t="s">
        <v>311</v>
      </c>
      <c r="BJ550" s="93">
        <v>45975</v>
      </c>
      <c r="BK550" s="93">
        <v>45978</v>
      </c>
      <c r="BL550" s="93">
        <v>45978</v>
      </c>
      <c r="BM550" s="93">
        <v>46342</v>
      </c>
      <c r="BN550" s="14">
        <v>1</v>
      </c>
      <c r="BO550" s="14">
        <v>500000000000</v>
      </c>
      <c r="BP550" s="56">
        <v>100</v>
      </c>
      <c r="BQ550" s="56">
        <v>0</v>
      </c>
      <c r="BR550" s="14">
        <v>500000000000</v>
      </c>
      <c r="BS550">
        <v>6.3</v>
      </c>
      <c r="BT550" t="s">
        <v>1184</v>
      </c>
      <c r="BU550" s="25">
        <f>_xlfn.XLOOKUP(Dealps_MSB[[#This Row],[DEAL_ID]],Ref!V:V,Ref!X:X,0,0)</f>
        <v>0</v>
      </c>
      <c r="BV550"/>
    </row>
    <row r="551" spans="1:74" x14ac:dyDescent="0.3">
      <c r="A551" s="93">
        <v>46262</v>
      </c>
      <c r="B551">
        <v>4608</v>
      </c>
      <c r="C551" s="56" t="s">
        <v>1158</v>
      </c>
      <c r="D551" t="s">
        <v>327</v>
      </c>
      <c r="E551" t="s">
        <v>345</v>
      </c>
      <c r="F551" t="s">
        <v>364</v>
      </c>
      <c r="G551" t="s">
        <v>310</v>
      </c>
      <c r="H551" t="s">
        <v>311</v>
      </c>
      <c r="I551" s="93">
        <v>46204</v>
      </c>
      <c r="J551" s="93">
        <v>46204</v>
      </c>
      <c r="K551" s="93">
        <v>46206</v>
      </c>
      <c r="L551" s="93">
        <v>46409</v>
      </c>
      <c r="M551" s="14">
        <v>1</v>
      </c>
      <c r="N551" s="14">
        <v>500000000000</v>
      </c>
      <c r="O551" s="56">
        <v>100.264927157</v>
      </c>
      <c r="P551" s="56">
        <v>0</v>
      </c>
      <c r="Q551" s="14">
        <v>517204087837.99994</v>
      </c>
      <c r="R551">
        <v>6.5</v>
      </c>
      <c r="S551" t="s">
        <v>1184</v>
      </c>
      <c r="T551" s="57">
        <f>IF(Dealps[[#This Row],[MATURITY_DATE]]-Dealps[[#This Row],[POSTED_DT]]&lt;0,0,IF(Dealps[[#This Row],[VALUE_DATE]]-Dealps[[#This Row],[POSTED_DT]]&gt;0,Dealps[[#This Row],[MATURITY_DATE]]-Dealps[[#This Row],[VALUE_DATE]],Dealps[[#This Row],[MATURITY_DATE]]-Dealps[[#This Row],[POSTED_DT]]))</f>
        <v>147</v>
      </c>
      <c r="U551" s="25">
        <f>IF(Dealps[[#This Row],[TENOR]]=0,0,IF(Dealps[[#This Row],[DEAL_TYPE]]="B",Dealps[[#This Row],[FACE_AMOUNT]],-Dealps[[#This Row],[FACE_AMOUNT]]))</f>
        <v>-500000000000</v>
      </c>
      <c r="V551" s="25">
        <f>_xlfn.XLOOKUP(Dealps[[#This Row],[PAPER_CODE]],FNRP!D:D,FNRP!H:H,0,0)/100*Dealps[[#This Row],[AMOUNT]]</f>
        <v>0</v>
      </c>
      <c r="W551" s="57" t="str">
        <f>IF(Dealps[[#This Row],[TRANSACTION_STATUS]]&lt;&gt;"V","Ngoai BS",IF(Dealps[[#This Row],[POSTED_DT]]&gt;=Dealps[[#This Row],[VALUE_DATE]],"On BS","Off BS"))</f>
        <v>On BS</v>
      </c>
      <c r="X551" s="25">
        <f>SUMIFS(U:U,C:C,Dealps[[#This Row],[PAPER_CODE]])</f>
        <v>2000000000000</v>
      </c>
      <c r="Y551" s="25">
        <f>_xlfn.XLOOKUP(Dealps[[#This Row],[DEAL_ID]],Ref!N:N,Ref!Q:Q,0,0)</f>
        <v>0</v>
      </c>
      <c r="Z551" s="25" t="str">
        <f>IF(Dealps[[#This Row],[CPTY_CODE]]=Dealps[[#This Row],[CPTY_CODE_ISSUER]],"Yes","No")</f>
        <v>No</v>
      </c>
      <c r="AA551" s="25"/>
      <c r="AC551" s="14"/>
      <c r="AG551" s="96"/>
      <c r="AH551" s="25"/>
      <c r="AI551" s="25"/>
      <c r="AN551" s="14"/>
      <c r="AV551" s="36"/>
      <c r="AW551" s="14"/>
      <c r="AX551" s="234"/>
      <c r="AY551" s="96"/>
      <c r="AZ551" s="14"/>
      <c r="BA551"/>
      <c r="BB551" s="93">
        <v>46262</v>
      </c>
      <c r="BC551">
        <v>4637</v>
      </c>
      <c r="BD551" s="56" t="s">
        <v>1385</v>
      </c>
      <c r="BE551" t="s">
        <v>1011</v>
      </c>
      <c r="BF551" t="s">
        <v>315</v>
      </c>
      <c r="BG551" t="s">
        <v>364</v>
      </c>
      <c r="BH551" t="s">
        <v>310</v>
      </c>
      <c r="BI551" t="s">
        <v>311</v>
      </c>
      <c r="BJ551" s="93">
        <v>46206</v>
      </c>
      <c r="BK551" s="93">
        <v>46206</v>
      </c>
      <c r="BL551" s="93">
        <v>46209</v>
      </c>
      <c r="BM551" s="93">
        <v>46393</v>
      </c>
      <c r="BN551" s="14">
        <v>1</v>
      </c>
      <c r="BO551" s="14">
        <v>1000000000000</v>
      </c>
      <c r="BP551" s="56">
        <v>100</v>
      </c>
      <c r="BQ551" s="56">
        <v>0</v>
      </c>
      <c r="BR551" s="14">
        <v>1000000000000</v>
      </c>
      <c r="BS551">
        <v>8.9</v>
      </c>
      <c r="BT551" t="s">
        <v>1184</v>
      </c>
      <c r="BU551" s="25">
        <f>_xlfn.XLOOKUP(Dealps_MSB[[#This Row],[DEAL_ID]],Ref!V:V,Ref!X:X,0,0)</f>
        <v>0</v>
      </c>
      <c r="BV551"/>
    </row>
    <row r="552" spans="1:74" x14ac:dyDescent="0.3">
      <c r="A552" s="93">
        <v>46262</v>
      </c>
      <c r="B552">
        <v>4610</v>
      </c>
      <c r="C552" s="56" t="s">
        <v>1260</v>
      </c>
      <c r="D552" t="s">
        <v>384</v>
      </c>
      <c r="E552" t="s">
        <v>1383</v>
      </c>
      <c r="F552" t="s">
        <v>364</v>
      </c>
      <c r="G552" t="s">
        <v>310</v>
      </c>
      <c r="H552" t="s">
        <v>311</v>
      </c>
      <c r="I552" s="93">
        <v>46204</v>
      </c>
      <c r="J552" s="93">
        <v>46204</v>
      </c>
      <c r="K552" s="93">
        <v>46205</v>
      </c>
      <c r="L552" s="93">
        <v>46524</v>
      </c>
      <c r="M552" s="14">
        <v>1</v>
      </c>
      <c r="N552" s="14">
        <v>10000000000</v>
      </c>
      <c r="O552" s="56">
        <v>100.000599408</v>
      </c>
      <c r="P552" s="56">
        <v>0</v>
      </c>
      <c r="Q552" s="14">
        <v>10197868160</v>
      </c>
      <c r="R552">
        <v>9.3149999999999995</v>
      </c>
      <c r="S552" t="s">
        <v>1184</v>
      </c>
      <c r="T552" s="57">
        <f>IF(Dealps[[#This Row],[MATURITY_DATE]]-Dealps[[#This Row],[POSTED_DT]]&lt;0,0,IF(Dealps[[#This Row],[VALUE_DATE]]-Dealps[[#This Row],[POSTED_DT]]&gt;0,Dealps[[#This Row],[MATURITY_DATE]]-Dealps[[#This Row],[VALUE_DATE]],Dealps[[#This Row],[MATURITY_DATE]]-Dealps[[#This Row],[POSTED_DT]]))</f>
        <v>262</v>
      </c>
      <c r="U552" s="25">
        <f>IF(Dealps[[#This Row],[TENOR]]=0,0,IF(Dealps[[#This Row],[DEAL_TYPE]]="B",Dealps[[#This Row],[FACE_AMOUNT]],-Dealps[[#This Row],[FACE_AMOUNT]]))</f>
        <v>-10000000000</v>
      </c>
      <c r="V552" s="25">
        <f>_xlfn.XLOOKUP(Dealps[[#This Row],[PAPER_CODE]],FNRP!D:D,FNRP!H:H,0,0)/100*Dealps[[#This Row],[AMOUNT]]</f>
        <v>0</v>
      </c>
      <c r="W552" s="57" t="str">
        <f>IF(Dealps[[#This Row],[TRANSACTION_STATUS]]&lt;&gt;"V","Ngoai BS",IF(Dealps[[#This Row],[POSTED_DT]]&gt;=Dealps[[#This Row],[VALUE_DATE]],"On BS","Off BS"))</f>
        <v>On BS</v>
      </c>
      <c r="X552" s="25">
        <f>SUMIFS(U:U,C:C,Dealps[[#This Row],[PAPER_CODE]])</f>
        <v>400000000000</v>
      </c>
      <c r="Y552" s="25">
        <f>_xlfn.XLOOKUP(Dealps[[#This Row],[DEAL_ID]],Ref!N:N,Ref!Q:Q,0,0)</f>
        <v>0</v>
      </c>
      <c r="Z552" s="25" t="str">
        <f>IF(Dealps[[#This Row],[CPTY_CODE]]=Dealps[[#This Row],[CPTY_CODE_ISSUER]],"Yes","No")</f>
        <v>No</v>
      </c>
      <c r="AA552" s="25"/>
      <c r="AC552" s="14"/>
      <c r="AG552" s="96"/>
      <c r="AH552" s="25"/>
      <c r="AI552" s="25"/>
      <c r="AN552" s="14"/>
      <c r="AV552" s="36"/>
      <c r="AW552" s="14"/>
      <c r="AX552" s="234"/>
      <c r="AY552" s="96"/>
      <c r="AZ552" s="14"/>
      <c r="BA552"/>
      <c r="BB552" s="93">
        <v>46262</v>
      </c>
      <c r="BC552">
        <v>4638</v>
      </c>
      <c r="BD552" s="56" t="s">
        <v>1385</v>
      </c>
      <c r="BE552" t="s">
        <v>1011</v>
      </c>
      <c r="BF552" t="s">
        <v>315</v>
      </c>
      <c r="BG552" t="s">
        <v>364</v>
      </c>
      <c r="BH552" t="s">
        <v>310</v>
      </c>
      <c r="BI552" t="s">
        <v>311</v>
      </c>
      <c r="BJ552" s="93">
        <v>46206</v>
      </c>
      <c r="BK552" s="93">
        <v>46206</v>
      </c>
      <c r="BL552" s="93">
        <v>46209</v>
      </c>
      <c r="BM552" s="93">
        <v>46393</v>
      </c>
      <c r="BN552" s="14">
        <v>1</v>
      </c>
      <c r="BO552" s="14">
        <v>1000000000000</v>
      </c>
      <c r="BP552" s="56">
        <v>100</v>
      </c>
      <c r="BQ552" s="56">
        <v>0</v>
      </c>
      <c r="BR552" s="14">
        <v>1000000000000</v>
      </c>
      <c r="BS552">
        <v>8.9</v>
      </c>
      <c r="BT552" t="s">
        <v>1184</v>
      </c>
      <c r="BU552" s="25">
        <f>_xlfn.XLOOKUP(Dealps_MSB[[#This Row],[DEAL_ID]],Ref!V:V,Ref!X:X,0,0)</f>
        <v>0</v>
      </c>
      <c r="BV552"/>
    </row>
    <row r="553" spans="1:74" x14ac:dyDescent="0.3">
      <c r="A553" s="93">
        <v>46262</v>
      </c>
      <c r="B553">
        <v>4611</v>
      </c>
      <c r="C553" s="56" t="s">
        <v>1260</v>
      </c>
      <c r="D553" t="s">
        <v>384</v>
      </c>
      <c r="E553" t="s">
        <v>1383</v>
      </c>
      <c r="F553" t="s">
        <v>364</v>
      </c>
      <c r="G553" t="s">
        <v>310</v>
      </c>
      <c r="H553" t="s">
        <v>300</v>
      </c>
      <c r="I553" s="93">
        <v>46204</v>
      </c>
      <c r="J553" s="93">
        <v>46391</v>
      </c>
      <c r="K553" s="93">
        <v>46391</v>
      </c>
      <c r="L553" s="93">
        <v>46524</v>
      </c>
      <c r="M553" s="14">
        <v>1</v>
      </c>
      <c r="N553" s="14">
        <v>10000000000</v>
      </c>
      <c r="O553" s="56">
        <v>100.234586018</v>
      </c>
      <c r="P553" s="56">
        <v>0</v>
      </c>
      <c r="Q553" s="14">
        <v>10705376410</v>
      </c>
      <c r="R553">
        <v>8.2726760000000006</v>
      </c>
      <c r="S553" t="s">
        <v>651</v>
      </c>
      <c r="T553" s="57">
        <f>IF(Dealps[[#This Row],[MATURITY_DATE]]-Dealps[[#This Row],[POSTED_DT]]&lt;0,0,IF(Dealps[[#This Row],[VALUE_DATE]]-Dealps[[#This Row],[POSTED_DT]]&gt;0,Dealps[[#This Row],[MATURITY_DATE]]-Dealps[[#This Row],[VALUE_DATE]],Dealps[[#This Row],[MATURITY_DATE]]-Dealps[[#This Row],[POSTED_DT]]))</f>
        <v>133</v>
      </c>
      <c r="U553" s="25">
        <f>IF(Dealps[[#This Row],[TENOR]]=0,0,IF(Dealps[[#This Row],[DEAL_TYPE]]="B",Dealps[[#This Row],[FACE_AMOUNT]],-Dealps[[#This Row],[FACE_AMOUNT]]))</f>
        <v>10000000000</v>
      </c>
      <c r="V553" s="25">
        <f>_xlfn.XLOOKUP(Dealps[[#This Row],[PAPER_CODE]],FNRP!D:D,FNRP!H:H,0,0)/100*Dealps[[#This Row],[AMOUNT]]</f>
        <v>0</v>
      </c>
      <c r="W553" s="57" t="str">
        <f>IF(Dealps[[#This Row],[TRANSACTION_STATUS]]&lt;&gt;"V","Ngoai BS",IF(Dealps[[#This Row],[POSTED_DT]]&gt;=Dealps[[#This Row],[VALUE_DATE]],"On BS","Off BS"))</f>
        <v>Ngoai BS</v>
      </c>
      <c r="X553" s="25">
        <f>SUMIFS(U:U,C:C,Dealps[[#This Row],[PAPER_CODE]])</f>
        <v>400000000000</v>
      </c>
      <c r="Y553" s="25">
        <f>_xlfn.XLOOKUP(Dealps[[#This Row],[DEAL_ID]],Ref!N:N,Ref!Q:Q,0,0)</f>
        <v>0</v>
      </c>
      <c r="Z553" s="25" t="str">
        <f>IF(Dealps[[#This Row],[CPTY_CODE]]=Dealps[[#This Row],[CPTY_CODE_ISSUER]],"Yes","No")</f>
        <v>No</v>
      </c>
      <c r="AA553" s="25"/>
      <c r="AC553" s="14"/>
      <c r="AG553" s="96"/>
      <c r="AH553" s="25"/>
      <c r="AI553" s="25"/>
      <c r="AN553" s="14"/>
      <c r="AV553" s="36"/>
      <c r="AW553" s="14"/>
      <c r="AX553" s="234"/>
      <c r="AY553" s="96"/>
      <c r="AZ553" s="14"/>
      <c r="BA553"/>
      <c r="BB553" s="93">
        <v>46262</v>
      </c>
      <c r="BC553">
        <v>49563</v>
      </c>
      <c r="BD553" s="56" t="s">
        <v>1264</v>
      </c>
      <c r="BE553" t="s">
        <v>1011</v>
      </c>
      <c r="BF553" t="s">
        <v>318</v>
      </c>
      <c r="BG553" t="s">
        <v>35</v>
      </c>
      <c r="BH553" t="s">
        <v>310</v>
      </c>
      <c r="BI553" t="s">
        <v>311</v>
      </c>
      <c r="BJ553" s="93">
        <v>46133</v>
      </c>
      <c r="BK553" s="93">
        <v>46133</v>
      </c>
      <c r="BL553" s="93">
        <v>46134</v>
      </c>
      <c r="BM553" s="93">
        <v>47230</v>
      </c>
      <c r="BN553" s="14">
        <v>700</v>
      </c>
      <c r="BO553" s="14">
        <v>700000000000</v>
      </c>
      <c r="BP553" s="56">
        <v>100</v>
      </c>
      <c r="BQ553" s="56">
        <v>0</v>
      </c>
      <c r="BR553" s="14">
        <v>700000000000</v>
      </c>
      <c r="BS553">
        <v>8.3996866010000009</v>
      </c>
      <c r="BT553" t="s">
        <v>1184</v>
      </c>
      <c r="BU553" s="25">
        <f>_xlfn.XLOOKUP(Dealps_MSB[[#This Row],[DEAL_ID]],Ref!V:V,Ref!X:X,0,0)</f>
        <v>0</v>
      </c>
      <c r="BV553"/>
    </row>
    <row r="554" spans="1:74" x14ac:dyDescent="0.3">
      <c r="A554" s="93">
        <v>46262</v>
      </c>
      <c r="B554">
        <v>4612</v>
      </c>
      <c r="C554" s="56" t="s">
        <v>1061</v>
      </c>
      <c r="D554" t="s">
        <v>312</v>
      </c>
      <c r="E554" t="s">
        <v>971</v>
      </c>
      <c r="F554" t="s">
        <v>364</v>
      </c>
      <c r="G554" t="s">
        <v>310</v>
      </c>
      <c r="H554" t="s">
        <v>300</v>
      </c>
      <c r="I554" s="93">
        <v>46205</v>
      </c>
      <c r="J554" s="93">
        <v>46205</v>
      </c>
      <c r="K554" s="93">
        <v>46205</v>
      </c>
      <c r="L554" s="93">
        <v>46343</v>
      </c>
      <c r="M554" s="14">
        <v>1</v>
      </c>
      <c r="N554" s="14">
        <v>200000000000</v>
      </c>
      <c r="O554" s="56">
        <v>100.036473582</v>
      </c>
      <c r="P554" s="56">
        <v>0</v>
      </c>
      <c r="Q554" s="14">
        <v>207874591000</v>
      </c>
      <c r="R554">
        <v>5.9685309999999996</v>
      </c>
      <c r="S554" t="s">
        <v>1184</v>
      </c>
      <c r="T554" s="57">
        <f>IF(Dealps[[#This Row],[MATURITY_DATE]]-Dealps[[#This Row],[POSTED_DT]]&lt;0,0,IF(Dealps[[#This Row],[VALUE_DATE]]-Dealps[[#This Row],[POSTED_DT]]&gt;0,Dealps[[#This Row],[MATURITY_DATE]]-Dealps[[#This Row],[VALUE_DATE]],Dealps[[#This Row],[MATURITY_DATE]]-Dealps[[#This Row],[POSTED_DT]]))</f>
        <v>81</v>
      </c>
      <c r="U554" s="25">
        <f>IF(Dealps[[#This Row],[TENOR]]=0,0,IF(Dealps[[#This Row],[DEAL_TYPE]]="B",Dealps[[#This Row],[FACE_AMOUNT]],-Dealps[[#This Row],[FACE_AMOUNT]]))</f>
        <v>200000000000</v>
      </c>
      <c r="V554" s="25">
        <f>_xlfn.XLOOKUP(Dealps[[#This Row],[PAPER_CODE]],FNRP!D:D,FNRP!H:H,0,0)/100*Dealps[[#This Row],[AMOUNT]]</f>
        <v>0</v>
      </c>
      <c r="W554" s="57" t="str">
        <f>IF(Dealps[[#This Row],[TRANSACTION_STATUS]]&lt;&gt;"V","Ngoai BS",IF(Dealps[[#This Row],[POSTED_DT]]&gt;=Dealps[[#This Row],[VALUE_DATE]],"On BS","Off BS"))</f>
        <v>On BS</v>
      </c>
      <c r="X554" s="25">
        <f>SUMIFS(U:U,C:C,Dealps[[#This Row],[PAPER_CODE]])</f>
        <v>1500000000000</v>
      </c>
      <c r="Y554" s="25">
        <f>_xlfn.XLOOKUP(Dealps[[#This Row],[DEAL_ID]],Ref!N:N,Ref!Q:Q,0,0)</f>
        <v>0</v>
      </c>
      <c r="Z554" s="25" t="str">
        <f>IF(Dealps[[#This Row],[CPTY_CODE]]=Dealps[[#This Row],[CPTY_CODE_ISSUER]],"Yes","No")</f>
        <v>No</v>
      </c>
      <c r="AA554" s="25"/>
      <c r="AC554" s="14"/>
      <c r="AG554" s="96"/>
      <c r="AH554" s="25"/>
      <c r="AI554" s="25"/>
      <c r="AN554" s="14"/>
      <c r="AV554" s="36"/>
      <c r="AW554" s="14"/>
      <c r="AX554" s="234"/>
      <c r="AY554" s="96"/>
      <c r="AZ554" s="14"/>
      <c r="BA554"/>
      <c r="BB554" s="93">
        <v>46262</v>
      </c>
      <c r="BC554">
        <v>49564</v>
      </c>
      <c r="BD554" s="56" t="s">
        <v>1264</v>
      </c>
      <c r="BE554" t="s">
        <v>1011</v>
      </c>
      <c r="BF554" t="s">
        <v>318</v>
      </c>
      <c r="BG554" t="s">
        <v>35</v>
      </c>
      <c r="BH554" t="s">
        <v>310</v>
      </c>
      <c r="BI554" t="s">
        <v>311</v>
      </c>
      <c r="BJ554" s="93">
        <v>46133</v>
      </c>
      <c r="BK554" s="93">
        <v>46133</v>
      </c>
      <c r="BL554" s="93">
        <v>46134</v>
      </c>
      <c r="BM554" s="93">
        <v>47230</v>
      </c>
      <c r="BN554" s="14">
        <v>700</v>
      </c>
      <c r="BO554" s="14">
        <v>700000000000</v>
      </c>
      <c r="BP554" s="56">
        <v>100</v>
      </c>
      <c r="BQ554" s="56">
        <v>0</v>
      </c>
      <c r="BR554" s="14">
        <v>700000000000</v>
      </c>
      <c r="BS554">
        <v>8.3996866010000009</v>
      </c>
      <c r="BT554" t="s">
        <v>1184</v>
      </c>
      <c r="BU554" s="25">
        <f>_xlfn.XLOOKUP(Dealps_MSB[[#This Row],[DEAL_ID]],Ref!V:V,Ref!X:X,0,0)</f>
        <v>0</v>
      </c>
      <c r="BV554"/>
    </row>
    <row r="555" spans="1:74" x14ac:dyDescent="0.3">
      <c r="A555" s="93">
        <v>46262</v>
      </c>
      <c r="B555">
        <v>4613</v>
      </c>
      <c r="C555" s="56" t="s">
        <v>1061</v>
      </c>
      <c r="D555" t="s">
        <v>312</v>
      </c>
      <c r="E555" t="s">
        <v>971</v>
      </c>
      <c r="F555" t="s">
        <v>364</v>
      </c>
      <c r="G555" t="s">
        <v>310</v>
      </c>
      <c r="H555" t="s">
        <v>300</v>
      </c>
      <c r="I555" s="93">
        <v>46205</v>
      </c>
      <c r="J555" s="93">
        <v>46205</v>
      </c>
      <c r="K555" s="93">
        <v>46205</v>
      </c>
      <c r="L555" s="93">
        <v>46343</v>
      </c>
      <c r="M555" s="14">
        <v>1</v>
      </c>
      <c r="N555" s="14">
        <v>200000000000</v>
      </c>
      <c r="O555" s="56">
        <v>100.036473582</v>
      </c>
      <c r="P555" s="56">
        <v>0</v>
      </c>
      <c r="Q555" s="14">
        <v>207874591000</v>
      </c>
      <c r="R555">
        <v>5.9685309999999996</v>
      </c>
      <c r="S555" t="s">
        <v>1184</v>
      </c>
      <c r="T555" s="57">
        <f>IF(Dealps[[#This Row],[MATURITY_DATE]]-Dealps[[#This Row],[POSTED_DT]]&lt;0,0,IF(Dealps[[#This Row],[VALUE_DATE]]-Dealps[[#This Row],[POSTED_DT]]&gt;0,Dealps[[#This Row],[MATURITY_DATE]]-Dealps[[#This Row],[VALUE_DATE]],Dealps[[#This Row],[MATURITY_DATE]]-Dealps[[#This Row],[POSTED_DT]]))</f>
        <v>81</v>
      </c>
      <c r="U555" s="25">
        <f>IF(Dealps[[#This Row],[TENOR]]=0,0,IF(Dealps[[#This Row],[DEAL_TYPE]]="B",Dealps[[#This Row],[FACE_AMOUNT]],-Dealps[[#This Row],[FACE_AMOUNT]]))</f>
        <v>200000000000</v>
      </c>
      <c r="V555" s="25">
        <f>_xlfn.XLOOKUP(Dealps[[#This Row],[PAPER_CODE]],FNRP!D:D,FNRP!H:H,0,0)/100*Dealps[[#This Row],[AMOUNT]]</f>
        <v>0</v>
      </c>
      <c r="W555" s="57" t="str">
        <f>IF(Dealps[[#This Row],[TRANSACTION_STATUS]]&lt;&gt;"V","Ngoai BS",IF(Dealps[[#This Row],[POSTED_DT]]&gt;=Dealps[[#This Row],[VALUE_DATE]],"On BS","Off BS"))</f>
        <v>On BS</v>
      </c>
      <c r="X555" s="25">
        <f>SUMIFS(U:U,C:C,Dealps[[#This Row],[PAPER_CODE]])</f>
        <v>1500000000000</v>
      </c>
      <c r="Y555" s="25">
        <f>_xlfn.XLOOKUP(Dealps[[#This Row],[DEAL_ID]],Ref!N:N,Ref!Q:Q,0,0)</f>
        <v>0</v>
      </c>
      <c r="Z555" s="25" t="str">
        <f>IF(Dealps[[#This Row],[CPTY_CODE]]=Dealps[[#This Row],[CPTY_CODE_ISSUER]],"Yes","No")</f>
        <v>No</v>
      </c>
      <c r="AA555" s="25"/>
      <c r="AC555" s="14"/>
      <c r="AG555" s="96"/>
      <c r="AH555" s="25"/>
      <c r="AI555" s="25"/>
      <c r="AN555" s="14"/>
      <c r="AV555" s="36"/>
      <c r="AW555" s="14"/>
      <c r="AX555" s="234"/>
      <c r="AY555" s="96"/>
      <c r="AZ555" s="14"/>
      <c r="BA555"/>
      <c r="BB555" s="93">
        <v>46262</v>
      </c>
      <c r="BC555">
        <v>49565</v>
      </c>
      <c r="BD555" s="56" t="s">
        <v>1264</v>
      </c>
      <c r="BE555" t="s">
        <v>1011</v>
      </c>
      <c r="BF555" t="s">
        <v>318</v>
      </c>
      <c r="BG555" t="s">
        <v>35</v>
      </c>
      <c r="BH555" t="s">
        <v>310</v>
      </c>
      <c r="BI555" t="s">
        <v>311</v>
      </c>
      <c r="BJ555" s="93">
        <v>46133</v>
      </c>
      <c r="BK555" s="93">
        <v>46133</v>
      </c>
      <c r="BL555" s="93">
        <v>46134</v>
      </c>
      <c r="BM555" s="93">
        <v>47230</v>
      </c>
      <c r="BN555" s="14">
        <v>600</v>
      </c>
      <c r="BO555" s="14">
        <v>600000000000</v>
      </c>
      <c r="BP555" s="56">
        <v>100</v>
      </c>
      <c r="BQ555" s="56">
        <v>0</v>
      </c>
      <c r="BR555" s="14">
        <v>600000000000</v>
      </c>
      <c r="BS555">
        <v>8.3996866010000009</v>
      </c>
      <c r="BT555" t="s">
        <v>1184</v>
      </c>
      <c r="BU555" s="25">
        <f>_xlfn.XLOOKUP(Dealps_MSB[[#This Row],[DEAL_ID]],Ref!V:V,Ref!X:X,0,0)</f>
        <v>0</v>
      </c>
      <c r="BV555"/>
    </row>
    <row r="556" spans="1:74" x14ac:dyDescent="0.3">
      <c r="A556" s="93">
        <v>46262</v>
      </c>
      <c r="B556">
        <v>4614</v>
      </c>
      <c r="C556" s="56" t="s">
        <v>1204</v>
      </c>
      <c r="D556" t="s">
        <v>315</v>
      </c>
      <c r="E556" t="s">
        <v>1253</v>
      </c>
      <c r="F556" t="s">
        <v>364</v>
      </c>
      <c r="G556" t="s">
        <v>310</v>
      </c>
      <c r="H556" t="s">
        <v>300</v>
      </c>
      <c r="I556" s="93">
        <v>46205</v>
      </c>
      <c r="J556" s="93">
        <v>46205</v>
      </c>
      <c r="K556" s="93">
        <v>46205</v>
      </c>
      <c r="L556" s="93">
        <v>46422</v>
      </c>
      <c r="M556" s="14">
        <v>1</v>
      </c>
      <c r="N556" s="14">
        <v>90000000000</v>
      </c>
      <c r="O556" s="56">
        <v>100.505263567</v>
      </c>
      <c r="P556" s="56">
        <v>0</v>
      </c>
      <c r="Q556" s="14">
        <v>93096841320</v>
      </c>
      <c r="R556">
        <v>6.1775669999999998</v>
      </c>
      <c r="S556" t="s">
        <v>1184</v>
      </c>
      <c r="T556" s="57">
        <f>IF(Dealps[[#This Row],[MATURITY_DATE]]-Dealps[[#This Row],[POSTED_DT]]&lt;0,0,IF(Dealps[[#This Row],[VALUE_DATE]]-Dealps[[#This Row],[POSTED_DT]]&gt;0,Dealps[[#This Row],[MATURITY_DATE]]-Dealps[[#This Row],[VALUE_DATE]],Dealps[[#This Row],[MATURITY_DATE]]-Dealps[[#This Row],[POSTED_DT]]))</f>
        <v>160</v>
      </c>
      <c r="U556" s="25">
        <f>IF(Dealps[[#This Row],[TENOR]]=0,0,IF(Dealps[[#This Row],[DEAL_TYPE]]="B",Dealps[[#This Row],[FACE_AMOUNT]],-Dealps[[#This Row],[FACE_AMOUNT]]))</f>
        <v>90000000000</v>
      </c>
      <c r="V556" s="25">
        <f>_xlfn.XLOOKUP(Dealps[[#This Row],[PAPER_CODE]],FNRP!D:D,FNRP!H:H,0,0)/100*Dealps[[#This Row],[AMOUNT]]</f>
        <v>0</v>
      </c>
      <c r="W556" s="57" t="str">
        <f>IF(Dealps[[#This Row],[TRANSACTION_STATUS]]&lt;&gt;"V","Ngoai BS",IF(Dealps[[#This Row],[POSTED_DT]]&gt;=Dealps[[#This Row],[VALUE_DATE]],"On BS","Off BS"))</f>
        <v>On BS</v>
      </c>
      <c r="X556" s="25">
        <f>SUMIFS(U:U,C:C,Dealps[[#This Row],[PAPER_CODE]])</f>
        <v>1000000000000</v>
      </c>
      <c r="Y556" s="25">
        <f>_xlfn.XLOOKUP(Dealps[[#This Row],[DEAL_ID]],Ref!N:N,Ref!Q:Q,0,0)</f>
        <v>0</v>
      </c>
      <c r="Z556" s="25" t="str">
        <f>IF(Dealps[[#This Row],[CPTY_CODE]]=Dealps[[#This Row],[CPTY_CODE_ISSUER]],"Yes","No")</f>
        <v>No</v>
      </c>
      <c r="AA556" s="25"/>
      <c r="AC556" s="14"/>
      <c r="AG556" s="96"/>
      <c r="AH556" s="25"/>
      <c r="AI556" s="25"/>
      <c r="AN556" s="14"/>
      <c r="AV556" s="36"/>
      <c r="AW556" s="14"/>
      <c r="AX556" s="234"/>
      <c r="AY556" s="96"/>
      <c r="AZ556" s="14"/>
      <c r="BA556"/>
      <c r="BB556" s="93">
        <v>46262</v>
      </c>
      <c r="BC556">
        <v>49758</v>
      </c>
      <c r="BD556" s="56" t="s">
        <v>1273</v>
      </c>
      <c r="BE556" t="s">
        <v>1011</v>
      </c>
      <c r="BF556" t="s">
        <v>318</v>
      </c>
      <c r="BG556" t="s">
        <v>35</v>
      </c>
      <c r="BH556" t="s">
        <v>310</v>
      </c>
      <c r="BI556" t="s">
        <v>311</v>
      </c>
      <c r="BJ556" s="93">
        <v>46153</v>
      </c>
      <c r="BK556" s="93">
        <v>46153</v>
      </c>
      <c r="BL556" s="93">
        <v>46154</v>
      </c>
      <c r="BM556" s="93">
        <v>47250</v>
      </c>
      <c r="BN556" s="14">
        <v>500</v>
      </c>
      <c r="BO556" s="14">
        <v>500000000000</v>
      </c>
      <c r="BP556" s="56">
        <v>100</v>
      </c>
      <c r="BQ556" s="56">
        <v>0</v>
      </c>
      <c r="BR556" s="14">
        <v>500000000000</v>
      </c>
      <c r="BS556">
        <v>8.3996866010000009</v>
      </c>
      <c r="BT556" t="s">
        <v>1184</v>
      </c>
      <c r="BU556" s="25">
        <f>_xlfn.XLOOKUP(Dealps_MSB[[#This Row],[DEAL_ID]],Ref!V:V,Ref!X:X,0,0)</f>
        <v>0</v>
      </c>
      <c r="BV556"/>
    </row>
    <row r="557" spans="1:74" x14ac:dyDescent="0.3">
      <c r="A557" s="93">
        <v>46262</v>
      </c>
      <c r="B557">
        <v>4615</v>
      </c>
      <c r="C557" s="56" t="s">
        <v>1258</v>
      </c>
      <c r="D557" t="s">
        <v>321</v>
      </c>
      <c r="E557" t="s">
        <v>384</v>
      </c>
      <c r="F557" t="s">
        <v>364</v>
      </c>
      <c r="G557" t="s">
        <v>310</v>
      </c>
      <c r="H557" t="s">
        <v>300</v>
      </c>
      <c r="I557" s="93">
        <v>46205</v>
      </c>
      <c r="J557" s="93">
        <v>46205</v>
      </c>
      <c r="K557" s="93">
        <v>46205</v>
      </c>
      <c r="L557" s="93">
        <v>46485</v>
      </c>
      <c r="M557" s="14">
        <v>1</v>
      </c>
      <c r="N557" s="14">
        <v>500000000000</v>
      </c>
      <c r="O557" s="56">
        <v>100.358444908</v>
      </c>
      <c r="P557" s="56">
        <v>0</v>
      </c>
      <c r="Q557" s="14">
        <v>510882635500</v>
      </c>
      <c r="R557">
        <v>7.7637609999999997</v>
      </c>
      <c r="S557" t="s">
        <v>1184</v>
      </c>
      <c r="T557" s="57">
        <f>IF(Dealps[[#This Row],[MATURITY_DATE]]-Dealps[[#This Row],[POSTED_DT]]&lt;0,0,IF(Dealps[[#This Row],[VALUE_DATE]]-Dealps[[#This Row],[POSTED_DT]]&gt;0,Dealps[[#This Row],[MATURITY_DATE]]-Dealps[[#This Row],[VALUE_DATE]],Dealps[[#This Row],[MATURITY_DATE]]-Dealps[[#This Row],[POSTED_DT]]))</f>
        <v>223</v>
      </c>
      <c r="U557" s="25">
        <f>IF(Dealps[[#This Row],[TENOR]]=0,0,IF(Dealps[[#This Row],[DEAL_TYPE]]="B",Dealps[[#This Row],[FACE_AMOUNT]],-Dealps[[#This Row],[FACE_AMOUNT]]))</f>
        <v>500000000000</v>
      </c>
      <c r="V557" s="25">
        <f>_xlfn.XLOOKUP(Dealps[[#This Row],[PAPER_CODE]],FNRP!D:D,FNRP!H:H,0,0)/100*Dealps[[#This Row],[AMOUNT]]</f>
        <v>0</v>
      </c>
      <c r="W557" s="57" t="str">
        <f>IF(Dealps[[#This Row],[TRANSACTION_STATUS]]&lt;&gt;"V","Ngoai BS",IF(Dealps[[#This Row],[POSTED_DT]]&gt;=Dealps[[#This Row],[VALUE_DATE]],"On BS","Off BS"))</f>
        <v>On BS</v>
      </c>
      <c r="X557" s="25">
        <f>SUMIFS(U:U,C:C,Dealps[[#This Row],[PAPER_CODE]])</f>
        <v>2000000000000</v>
      </c>
      <c r="Y557" s="25">
        <f>_xlfn.XLOOKUP(Dealps[[#This Row],[DEAL_ID]],Ref!N:N,Ref!Q:Q,0,0)</f>
        <v>0</v>
      </c>
      <c r="Z557" s="25" t="str">
        <f>IF(Dealps[[#This Row],[CPTY_CODE]]=Dealps[[#This Row],[CPTY_CODE_ISSUER]],"Yes","No")</f>
        <v>No</v>
      </c>
      <c r="AA557" s="25"/>
      <c r="AC557" s="14"/>
      <c r="AG557" s="96"/>
      <c r="AH557" s="25"/>
      <c r="AI557" s="25"/>
      <c r="AN557" s="14"/>
      <c r="AV557" s="36"/>
      <c r="AW557" s="14"/>
      <c r="AX557" s="234"/>
      <c r="AY557" s="96"/>
      <c r="AZ557" s="14"/>
      <c r="BA557"/>
      <c r="BB557" s="93">
        <v>46262</v>
      </c>
      <c r="BC557">
        <v>49759</v>
      </c>
      <c r="BD557" s="56" t="s">
        <v>1273</v>
      </c>
      <c r="BE557" t="s">
        <v>1011</v>
      </c>
      <c r="BF557" t="s">
        <v>318</v>
      </c>
      <c r="BG557" t="s">
        <v>35</v>
      </c>
      <c r="BH557" t="s">
        <v>310</v>
      </c>
      <c r="BI557" t="s">
        <v>311</v>
      </c>
      <c r="BJ557" s="93">
        <v>46153</v>
      </c>
      <c r="BK557" s="93">
        <v>46153</v>
      </c>
      <c r="BL557" s="93">
        <v>46154</v>
      </c>
      <c r="BM557" s="93">
        <v>47250</v>
      </c>
      <c r="BN557" s="14">
        <v>500</v>
      </c>
      <c r="BO557" s="14">
        <v>500000000000</v>
      </c>
      <c r="BP557" s="56">
        <v>100</v>
      </c>
      <c r="BQ557" s="56">
        <v>0</v>
      </c>
      <c r="BR557" s="14">
        <v>500000000000</v>
      </c>
      <c r="BS557">
        <v>8.3996866010000009</v>
      </c>
      <c r="BT557" t="s">
        <v>1184</v>
      </c>
      <c r="BU557" s="25">
        <f>_xlfn.XLOOKUP(Dealps_MSB[[#This Row],[DEAL_ID]],Ref!V:V,Ref!X:X,0,0)</f>
        <v>0</v>
      </c>
      <c r="BV557"/>
    </row>
    <row r="558" spans="1:74" x14ac:dyDescent="0.3">
      <c r="A558" s="93">
        <v>46262</v>
      </c>
      <c r="B558">
        <v>4616</v>
      </c>
      <c r="C558" s="56" t="s">
        <v>1258</v>
      </c>
      <c r="D558" t="s">
        <v>321</v>
      </c>
      <c r="E558" t="s">
        <v>1228</v>
      </c>
      <c r="F558" t="s">
        <v>364</v>
      </c>
      <c r="G558" t="s">
        <v>310</v>
      </c>
      <c r="H558" t="s">
        <v>300</v>
      </c>
      <c r="I558" s="93">
        <v>46205</v>
      </c>
      <c r="J558" s="93">
        <v>46205</v>
      </c>
      <c r="K558" s="93">
        <v>46205</v>
      </c>
      <c r="L558" s="93">
        <v>46485</v>
      </c>
      <c r="M558" s="14">
        <v>1</v>
      </c>
      <c r="N558" s="14">
        <v>150000000000</v>
      </c>
      <c r="O558" s="56">
        <v>101.34163770799999</v>
      </c>
      <c r="P558" s="56">
        <v>0</v>
      </c>
      <c r="Q558" s="14">
        <v>154739579850</v>
      </c>
      <c r="R558">
        <v>6.4473609999999999</v>
      </c>
      <c r="S558" t="s">
        <v>1184</v>
      </c>
      <c r="T558" s="57">
        <f>IF(Dealps[[#This Row],[MATURITY_DATE]]-Dealps[[#This Row],[POSTED_DT]]&lt;0,0,IF(Dealps[[#This Row],[VALUE_DATE]]-Dealps[[#This Row],[POSTED_DT]]&gt;0,Dealps[[#This Row],[MATURITY_DATE]]-Dealps[[#This Row],[VALUE_DATE]],Dealps[[#This Row],[MATURITY_DATE]]-Dealps[[#This Row],[POSTED_DT]]))</f>
        <v>223</v>
      </c>
      <c r="U558" s="25">
        <f>IF(Dealps[[#This Row],[TENOR]]=0,0,IF(Dealps[[#This Row],[DEAL_TYPE]]="B",Dealps[[#This Row],[FACE_AMOUNT]],-Dealps[[#This Row],[FACE_AMOUNT]]))</f>
        <v>150000000000</v>
      </c>
      <c r="V558" s="25">
        <f>_xlfn.XLOOKUP(Dealps[[#This Row],[PAPER_CODE]],FNRP!D:D,FNRP!H:H,0,0)/100*Dealps[[#This Row],[AMOUNT]]</f>
        <v>0</v>
      </c>
      <c r="W558" s="57" t="str">
        <f>IF(Dealps[[#This Row],[TRANSACTION_STATUS]]&lt;&gt;"V","Ngoai BS",IF(Dealps[[#This Row],[POSTED_DT]]&gt;=Dealps[[#This Row],[VALUE_DATE]],"On BS","Off BS"))</f>
        <v>On BS</v>
      </c>
      <c r="X558" s="25">
        <f>SUMIFS(U:U,C:C,Dealps[[#This Row],[PAPER_CODE]])</f>
        <v>2000000000000</v>
      </c>
      <c r="Y558" s="25">
        <f>_xlfn.XLOOKUP(Dealps[[#This Row],[DEAL_ID]],Ref!N:N,Ref!Q:Q,0,0)</f>
        <v>0</v>
      </c>
      <c r="Z558" s="25" t="str">
        <f>IF(Dealps[[#This Row],[CPTY_CODE]]=Dealps[[#This Row],[CPTY_CODE_ISSUER]],"Yes","No")</f>
        <v>No</v>
      </c>
      <c r="AA558" s="25"/>
      <c r="AC558" s="14"/>
      <c r="AG558" s="96"/>
      <c r="AH558" s="25"/>
      <c r="AI558" s="25"/>
      <c r="AN558" s="14"/>
      <c r="AV558" s="36"/>
      <c r="AW558" s="14"/>
      <c r="AX558" s="234"/>
      <c r="AY558" s="96"/>
      <c r="AZ558" s="14"/>
      <c r="BA558"/>
      <c r="BB558" s="93">
        <v>46262</v>
      </c>
      <c r="BC558">
        <v>3002</v>
      </c>
      <c r="BD558" s="56" t="s">
        <v>1065</v>
      </c>
      <c r="BE558" t="s">
        <v>1011</v>
      </c>
      <c r="BF558" t="s">
        <v>324</v>
      </c>
      <c r="BG558" t="s">
        <v>364</v>
      </c>
      <c r="BH558" t="s">
        <v>310</v>
      </c>
      <c r="BI558" t="s">
        <v>311</v>
      </c>
      <c r="BJ558" s="93">
        <v>45982</v>
      </c>
      <c r="BK558" s="93">
        <v>45985</v>
      </c>
      <c r="BL558" s="93">
        <v>45985</v>
      </c>
      <c r="BM558" s="93">
        <v>46349</v>
      </c>
      <c r="BN558" s="14">
        <v>1</v>
      </c>
      <c r="BO558" s="14">
        <v>2000000000000</v>
      </c>
      <c r="BP558" s="56">
        <v>100</v>
      </c>
      <c r="BQ558" s="56">
        <v>0</v>
      </c>
      <c r="BR558" s="14">
        <v>2000000000000</v>
      </c>
      <c r="BS558">
        <v>6.3</v>
      </c>
      <c r="BT558" t="s">
        <v>1184</v>
      </c>
      <c r="BU558" s="25">
        <f>_xlfn.XLOOKUP(Dealps_MSB[[#This Row],[DEAL_ID]],Ref!V:V,Ref!X:X,0,0)</f>
        <v>2000000000000</v>
      </c>
      <c r="BV558"/>
    </row>
    <row r="559" spans="1:74" x14ac:dyDescent="0.3">
      <c r="A559" s="93">
        <v>46262</v>
      </c>
      <c r="B559">
        <v>4617</v>
      </c>
      <c r="C559" s="56" t="s">
        <v>1382</v>
      </c>
      <c r="D559" t="s">
        <v>473</v>
      </c>
      <c r="E559" t="s">
        <v>473</v>
      </c>
      <c r="F559" t="s">
        <v>364</v>
      </c>
      <c r="G559" t="s">
        <v>310</v>
      </c>
      <c r="H559" t="s">
        <v>300</v>
      </c>
      <c r="I559" s="93">
        <v>46205</v>
      </c>
      <c r="J559" s="93">
        <v>46205</v>
      </c>
      <c r="K559" s="93">
        <v>46206</v>
      </c>
      <c r="L559" s="93">
        <v>46563</v>
      </c>
      <c r="M559" s="14">
        <v>1</v>
      </c>
      <c r="N559" s="14">
        <v>1000000000000</v>
      </c>
      <c r="O559" s="56">
        <v>100</v>
      </c>
      <c r="P559" s="56">
        <v>0</v>
      </c>
      <c r="Q559" s="14">
        <v>1000000000000</v>
      </c>
      <c r="R559">
        <v>9</v>
      </c>
      <c r="S559" t="s">
        <v>1184</v>
      </c>
      <c r="T559" s="57">
        <f>IF(Dealps[[#This Row],[MATURITY_DATE]]-Dealps[[#This Row],[POSTED_DT]]&lt;0,0,IF(Dealps[[#This Row],[VALUE_DATE]]-Dealps[[#This Row],[POSTED_DT]]&gt;0,Dealps[[#This Row],[MATURITY_DATE]]-Dealps[[#This Row],[VALUE_DATE]],Dealps[[#This Row],[MATURITY_DATE]]-Dealps[[#This Row],[POSTED_DT]]))</f>
        <v>301</v>
      </c>
      <c r="U559" s="25">
        <f>IF(Dealps[[#This Row],[TENOR]]=0,0,IF(Dealps[[#This Row],[DEAL_TYPE]]="B",Dealps[[#This Row],[FACE_AMOUNT]],-Dealps[[#This Row],[FACE_AMOUNT]]))</f>
        <v>1000000000000</v>
      </c>
      <c r="V559" s="25">
        <f>_xlfn.XLOOKUP(Dealps[[#This Row],[PAPER_CODE]],FNRP!D:D,FNRP!H:H,0,0)/100*Dealps[[#This Row],[AMOUNT]]</f>
        <v>0</v>
      </c>
      <c r="W559" s="57" t="str">
        <f>IF(Dealps[[#This Row],[TRANSACTION_STATUS]]&lt;&gt;"V","Ngoai BS",IF(Dealps[[#This Row],[POSTED_DT]]&gt;=Dealps[[#This Row],[VALUE_DATE]],"On BS","Off BS"))</f>
        <v>On BS</v>
      </c>
      <c r="X559" s="25">
        <f>SUMIFS(U:U,C:C,Dealps[[#This Row],[PAPER_CODE]])</f>
        <v>1000000000000</v>
      </c>
      <c r="Y559" s="25">
        <f>_xlfn.XLOOKUP(Dealps[[#This Row],[DEAL_ID]],Ref!N:N,Ref!Q:Q,0,0)</f>
        <v>0</v>
      </c>
      <c r="Z559" s="25" t="str">
        <f>IF(Dealps[[#This Row],[CPTY_CODE]]=Dealps[[#This Row],[CPTY_CODE_ISSUER]],"Yes","No")</f>
        <v>Yes</v>
      </c>
      <c r="AA559" s="25"/>
      <c r="AC559" s="14"/>
      <c r="AG559" s="96"/>
      <c r="AH559" s="25"/>
      <c r="AI559" s="25"/>
      <c r="AN559" s="14"/>
      <c r="AV559" s="36"/>
      <c r="AW559" s="14"/>
      <c r="AX559" s="234"/>
      <c r="AY559" s="96"/>
      <c r="AZ559" s="14"/>
      <c r="BA559"/>
      <c r="BB559" s="93">
        <v>46262</v>
      </c>
      <c r="BC559">
        <v>44831</v>
      </c>
      <c r="BD559" s="56" t="s">
        <v>1026</v>
      </c>
      <c r="BE559" t="s">
        <v>1011</v>
      </c>
      <c r="BF559" t="s">
        <v>1027</v>
      </c>
      <c r="BG559" t="s">
        <v>35</v>
      </c>
      <c r="BH559" t="s">
        <v>310</v>
      </c>
      <c r="BI559" t="s">
        <v>311</v>
      </c>
      <c r="BJ559" s="93">
        <v>45625</v>
      </c>
      <c r="BK559" s="93">
        <v>45625</v>
      </c>
      <c r="BL559" s="93">
        <v>45625</v>
      </c>
      <c r="BM559" s="93">
        <v>47451</v>
      </c>
      <c r="BN559" s="14">
        <v>160</v>
      </c>
      <c r="BO559" s="14">
        <v>160000000000</v>
      </c>
      <c r="BP559" s="56">
        <v>100</v>
      </c>
      <c r="BQ559" s="56">
        <v>0</v>
      </c>
      <c r="BR559" s="14">
        <v>160000000000</v>
      </c>
      <c r="BS559">
        <v>6.1999029649999997</v>
      </c>
      <c r="BT559" t="s">
        <v>1184</v>
      </c>
      <c r="BU559" s="25">
        <f>_xlfn.XLOOKUP(Dealps_MSB[[#This Row],[DEAL_ID]],Ref!V:V,Ref!X:X,0,0)</f>
        <v>0</v>
      </c>
      <c r="BV559"/>
    </row>
    <row r="560" spans="1:74" x14ac:dyDescent="0.3">
      <c r="A560" s="93">
        <v>46262</v>
      </c>
      <c r="B560">
        <v>4618</v>
      </c>
      <c r="C560" s="56" t="s">
        <v>1204</v>
      </c>
      <c r="D560" t="s">
        <v>315</v>
      </c>
      <c r="E560" t="s">
        <v>345</v>
      </c>
      <c r="F560" t="s">
        <v>364</v>
      </c>
      <c r="G560" t="s">
        <v>310</v>
      </c>
      <c r="H560" t="s">
        <v>311</v>
      </c>
      <c r="I560" s="93">
        <v>46205</v>
      </c>
      <c r="J560" s="93">
        <v>46205</v>
      </c>
      <c r="K560" s="93">
        <v>46209</v>
      </c>
      <c r="L560" s="93">
        <v>46422</v>
      </c>
      <c r="M560" s="14">
        <v>1</v>
      </c>
      <c r="N560" s="14">
        <v>600000000000</v>
      </c>
      <c r="O560" s="56">
        <v>100.42218160100001</v>
      </c>
      <c r="P560" s="56">
        <v>0</v>
      </c>
      <c r="Q560" s="14">
        <v>620623171800</v>
      </c>
      <c r="R560">
        <v>6.3</v>
      </c>
      <c r="S560" t="s">
        <v>1184</v>
      </c>
      <c r="T560" s="57">
        <f>IF(Dealps[[#This Row],[MATURITY_DATE]]-Dealps[[#This Row],[POSTED_DT]]&lt;0,0,IF(Dealps[[#This Row],[VALUE_DATE]]-Dealps[[#This Row],[POSTED_DT]]&gt;0,Dealps[[#This Row],[MATURITY_DATE]]-Dealps[[#This Row],[VALUE_DATE]],Dealps[[#This Row],[MATURITY_DATE]]-Dealps[[#This Row],[POSTED_DT]]))</f>
        <v>160</v>
      </c>
      <c r="U560" s="25">
        <f>IF(Dealps[[#This Row],[TENOR]]=0,0,IF(Dealps[[#This Row],[DEAL_TYPE]]="B",Dealps[[#This Row],[FACE_AMOUNT]],-Dealps[[#This Row],[FACE_AMOUNT]]))</f>
        <v>-600000000000</v>
      </c>
      <c r="V560" s="25">
        <f>_xlfn.XLOOKUP(Dealps[[#This Row],[PAPER_CODE]],FNRP!D:D,FNRP!H:H,0,0)/100*Dealps[[#This Row],[AMOUNT]]</f>
        <v>0</v>
      </c>
      <c r="W560" s="57" t="str">
        <f>IF(Dealps[[#This Row],[TRANSACTION_STATUS]]&lt;&gt;"V","Ngoai BS",IF(Dealps[[#This Row],[POSTED_DT]]&gt;=Dealps[[#This Row],[VALUE_DATE]],"On BS","Off BS"))</f>
        <v>On BS</v>
      </c>
      <c r="X560" s="25">
        <f>SUMIFS(U:U,C:C,Dealps[[#This Row],[PAPER_CODE]])</f>
        <v>1000000000000</v>
      </c>
      <c r="Y560" s="25">
        <f>_xlfn.XLOOKUP(Dealps[[#This Row],[DEAL_ID]],Ref!N:N,Ref!Q:Q,0,0)</f>
        <v>0</v>
      </c>
      <c r="Z560" s="25" t="str">
        <f>IF(Dealps[[#This Row],[CPTY_CODE]]=Dealps[[#This Row],[CPTY_CODE_ISSUER]],"Yes","No")</f>
        <v>No</v>
      </c>
      <c r="AA560" s="25"/>
      <c r="AC560" s="14"/>
      <c r="AG560" s="96"/>
      <c r="AH560" s="25"/>
      <c r="AI560" s="25"/>
      <c r="AN560" s="14"/>
      <c r="AV560" s="36"/>
      <c r="AW560" s="14"/>
      <c r="AX560" s="234"/>
      <c r="AY560" s="96"/>
      <c r="AZ560" s="14"/>
      <c r="BA560"/>
      <c r="BB560" s="93">
        <v>46262</v>
      </c>
      <c r="BC560">
        <v>44832</v>
      </c>
      <c r="BD560" s="56" t="s">
        <v>1026</v>
      </c>
      <c r="BE560" t="s">
        <v>1011</v>
      </c>
      <c r="BF560" t="s">
        <v>1027</v>
      </c>
      <c r="BG560" t="s">
        <v>35</v>
      </c>
      <c r="BH560" t="s">
        <v>310</v>
      </c>
      <c r="BI560" t="s">
        <v>311</v>
      </c>
      <c r="BJ560" s="93">
        <v>45625</v>
      </c>
      <c r="BK560" s="93">
        <v>45625</v>
      </c>
      <c r="BL560" s="93">
        <v>45625</v>
      </c>
      <c r="BM560" s="93">
        <v>47451</v>
      </c>
      <c r="BN560" s="14">
        <v>840</v>
      </c>
      <c r="BO560" s="14">
        <v>840000000000</v>
      </c>
      <c r="BP560" s="56">
        <v>100</v>
      </c>
      <c r="BQ560" s="56">
        <v>0</v>
      </c>
      <c r="BR560" s="14">
        <v>840000000000</v>
      </c>
      <c r="BS560">
        <v>6.1999029649999997</v>
      </c>
      <c r="BT560" t="s">
        <v>1184</v>
      </c>
      <c r="BU560" s="25">
        <f>_xlfn.XLOOKUP(Dealps_MSB[[#This Row],[DEAL_ID]],Ref!V:V,Ref!X:X,0,0)</f>
        <v>0</v>
      </c>
      <c r="BV560"/>
    </row>
    <row r="561" spans="1:74" x14ac:dyDescent="0.3">
      <c r="A561" s="93">
        <v>46262</v>
      </c>
      <c r="B561">
        <v>4623</v>
      </c>
      <c r="C561" s="56" t="s">
        <v>1061</v>
      </c>
      <c r="D561" t="s">
        <v>312</v>
      </c>
      <c r="E561" t="s">
        <v>957</v>
      </c>
      <c r="F561" t="s">
        <v>364</v>
      </c>
      <c r="G561" t="s">
        <v>310</v>
      </c>
      <c r="H561" t="s">
        <v>311</v>
      </c>
      <c r="I561" s="93">
        <v>46205</v>
      </c>
      <c r="J561" s="93">
        <v>46205</v>
      </c>
      <c r="K561" s="93">
        <v>46206</v>
      </c>
      <c r="L561" s="93">
        <v>46343</v>
      </c>
      <c r="M561" s="14">
        <v>1</v>
      </c>
      <c r="N561" s="14">
        <v>1500000000000</v>
      </c>
      <c r="O561" s="56">
        <v>100.406780008</v>
      </c>
      <c r="P561" s="56">
        <v>0</v>
      </c>
      <c r="Q561" s="14">
        <v>1564872933000</v>
      </c>
      <c r="R561">
        <v>5</v>
      </c>
      <c r="S561" t="s">
        <v>1184</v>
      </c>
      <c r="T561" s="57">
        <f>IF(Dealps[[#This Row],[MATURITY_DATE]]-Dealps[[#This Row],[POSTED_DT]]&lt;0,0,IF(Dealps[[#This Row],[VALUE_DATE]]-Dealps[[#This Row],[POSTED_DT]]&gt;0,Dealps[[#This Row],[MATURITY_DATE]]-Dealps[[#This Row],[VALUE_DATE]],Dealps[[#This Row],[MATURITY_DATE]]-Dealps[[#This Row],[POSTED_DT]]))</f>
        <v>81</v>
      </c>
      <c r="U561" s="25">
        <f>IF(Dealps[[#This Row],[TENOR]]=0,0,IF(Dealps[[#This Row],[DEAL_TYPE]]="B",Dealps[[#This Row],[FACE_AMOUNT]],-Dealps[[#This Row],[FACE_AMOUNT]]))</f>
        <v>-1500000000000</v>
      </c>
      <c r="V561" s="25">
        <f>_xlfn.XLOOKUP(Dealps[[#This Row],[PAPER_CODE]],FNRP!D:D,FNRP!H:H,0,0)/100*Dealps[[#This Row],[AMOUNT]]</f>
        <v>0</v>
      </c>
      <c r="W561" s="57" t="str">
        <f>IF(Dealps[[#This Row],[TRANSACTION_STATUS]]&lt;&gt;"V","Ngoai BS",IF(Dealps[[#This Row],[POSTED_DT]]&gt;=Dealps[[#This Row],[VALUE_DATE]],"On BS","Off BS"))</f>
        <v>On BS</v>
      </c>
      <c r="X561" s="25">
        <f>SUMIFS(U:U,C:C,Dealps[[#This Row],[PAPER_CODE]])</f>
        <v>1500000000000</v>
      </c>
      <c r="Y561" s="25">
        <f>_xlfn.XLOOKUP(Dealps[[#This Row],[DEAL_ID]],Ref!N:N,Ref!Q:Q,0,0)</f>
        <v>0</v>
      </c>
      <c r="Z561" s="25" t="str">
        <f>IF(Dealps[[#This Row],[CPTY_CODE]]=Dealps[[#This Row],[CPTY_CODE_ISSUER]],"Yes","No")</f>
        <v>No</v>
      </c>
      <c r="AA561" s="25"/>
      <c r="AC561" s="14"/>
      <c r="AG561" s="96"/>
      <c r="AH561" s="25"/>
      <c r="AI561" s="25"/>
      <c r="AN561" s="14"/>
      <c r="AV561" s="36"/>
      <c r="AW561" s="14"/>
      <c r="AX561" s="234"/>
      <c r="AY561" s="96"/>
      <c r="AZ561" s="14"/>
      <c r="BA561"/>
      <c r="BB561" s="93">
        <v>46262</v>
      </c>
      <c r="BC561">
        <v>46832</v>
      </c>
      <c r="BD561" s="56" t="s">
        <v>1028</v>
      </c>
      <c r="BE561" t="s">
        <v>1011</v>
      </c>
      <c r="BF561" t="s">
        <v>1030</v>
      </c>
      <c r="BG561" t="s">
        <v>35</v>
      </c>
      <c r="BH561" t="s">
        <v>310</v>
      </c>
      <c r="BI561" t="s">
        <v>311</v>
      </c>
      <c r="BJ561" s="93">
        <v>45849</v>
      </c>
      <c r="BK561" s="93">
        <v>45849</v>
      </c>
      <c r="BL561" s="93">
        <v>45849</v>
      </c>
      <c r="BM561" s="93">
        <v>47675</v>
      </c>
      <c r="BN561" s="14">
        <v>250</v>
      </c>
      <c r="BO561" s="14">
        <v>250000000000</v>
      </c>
      <c r="BP561" s="56">
        <v>100</v>
      </c>
      <c r="BQ561" s="56">
        <v>0</v>
      </c>
      <c r="BR561" s="14">
        <v>250000000000</v>
      </c>
      <c r="BS561">
        <v>6.1998969480000001</v>
      </c>
      <c r="BT561" t="s">
        <v>1184</v>
      </c>
      <c r="BU561" s="25">
        <f>_xlfn.XLOOKUP(Dealps_MSB[[#This Row],[DEAL_ID]],Ref!V:V,Ref!X:X,0,0)</f>
        <v>0</v>
      </c>
      <c r="BV561"/>
    </row>
    <row r="562" spans="1:74" x14ac:dyDescent="0.3">
      <c r="A562" s="93">
        <v>46262</v>
      </c>
      <c r="B562">
        <v>4627</v>
      </c>
      <c r="C562" s="56" t="s">
        <v>1010</v>
      </c>
      <c r="D562" t="s">
        <v>328</v>
      </c>
      <c r="E562" t="s">
        <v>1005</v>
      </c>
      <c r="F562" t="s">
        <v>364</v>
      </c>
      <c r="G562" t="s">
        <v>310</v>
      </c>
      <c r="H562" t="s">
        <v>311</v>
      </c>
      <c r="I562" s="93">
        <v>46205</v>
      </c>
      <c r="J562" s="93">
        <v>46205</v>
      </c>
      <c r="K562" s="93">
        <v>46206</v>
      </c>
      <c r="L562" s="93">
        <v>46329</v>
      </c>
      <c r="M562" s="14">
        <v>1</v>
      </c>
      <c r="N562" s="14">
        <v>1000000000000</v>
      </c>
      <c r="O562" s="56">
        <v>100.552756773</v>
      </c>
      <c r="P562" s="56">
        <v>0</v>
      </c>
      <c r="Q562" s="14">
        <v>1047124828000.0001</v>
      </c>
      <c r="R562">
        <v>4.45</v>
      </c>
      <c r="S562" t="s">
        <v>1184</v>
      </c>
      <c r="T562" s="57">
        <f>IF(Dealps[[#This Row],[MATURITY_DATE]]-Dealps[[#This Row],[POSTED_DT]]&lt;0,0,IF(Dealps[[#This Row],[VALUE_DATE]]-Dealps[[#This Row],[POSTED_DT]]&gt;0,Dealps[[#This Row],[MATURITY_DATE]]-Dealps[[#This Row],[VALUE_DATE]],Dealps[[#This Row],[MATURITY_DATE]]-Dealps[[#This Row],[POSTED_DT]]))</f>
        <v>67</v>
      </c>
      <c r="U562" s="25">
        <f>IF(Dealps[[#This Row],[TENOR]]=0,0,IF(Dealps[[#This Row],[DEAL_TYPE]]="B",Dealps[[#This Row],[FACE_AMOUNT]],-Dealps[[#This Row],[FACE_AMOUNT]]))</f>
        <v>-1000000000000</v>
      </c>
      <c r="V562" s="25">
        <f>_xlfn.XLOOKUP(Dealps[[#This Row],[PAPER_CODE]],FNRP!D:D,FNRP!H:H,0,0)/100*Dealps[[#This Row],[AMOUNT]]</f>
        <v>0</v>
      </c>
      <c r="W562" s="57" t="str">
        <f>IF(Dealps[[#This Row],[TRANSACTION_STATUS]]&lt;&gt;"V","Ngoai BS",IF(Dealps[[#This Row],[POSTED_DT]]&gt;=Dealps[[#This Row],[VALUE_DATE]],"On BS","Off BS"))</f>
        <v>On BS</v>
      </c>
      <c r="X562" s="25">
        <f>SUMIFS(U:U,C:C,Dealps[[#This Row],[PAPER_CODE]])</f>
        <v>2000000000000</v>
      </c>
      <c r="Y562" s="25">
        <f>_xlfn.XLOOKUP(Dealps[[#This Row],[DEAL_ID]],Ref!N:N,Ref!Q:Q,0,0)</f>
        <v>0</v>
      </c>
      <c r="Z562" s="25" t="str">
        <f>IF(Dealps[[#This Row],[CPTY_CODE]]=Dealps[[#This Row],[CPTY_CODE_ISSUER]],"Yes","No")</f>
        <v>No</v>
      </c>
      <c r="AA562" s="25"/>
      <c r="AC562" s="14"/>
      <c r="AG562" s="96"/>
      <c r="AH562" s="25"/>
      <c r="AI562" s="25"/>
      <c r="AN562" s="14"/>
      <c r="AV562" s="36"/>
      <c r="AW562" s="14"/>
      <c r="AX562" s="234"/>
      <c r="AY562" s="96"/>
      <c r="AZ562" s="14"/>
      <c r="BA562"/>
      <c r="BB562" s="93">
        <v>46262</v>
      </c>
      <c r="BC562">
        <v>3539</v>
      </c>
      <c r="BD562" s="56" t="s">
        <v>1212</v>
      </c>
      <c r="BE562" t="s">
        <v>1011</v>
      </c>
      <c r="BF562" t="s">
        <v>1215</v>
      </c>
      <c r="BG562" t="s">
        <v>364</v>
      </c>
      <c r="BH562" t="s">
        <v>310</v>
      </c>
      <c r="BI562" t="s">
        <v>311</v>
      </c>
      <c r="BJ562" s="93">
        <v>46064</v>
      </c>
      <c r="BK562" s="93">
        <v>46064</v>
      </c>
      <c r="BL562" s="93">
        <v>46065</v>
      </c>
      <c r="BM562" s="93">
        <v>46458</v>
      </c>
      <c r="BN562" s="14">
        <v>1</v>
      </c>
      <c r="BO562" s="14">
        <v>500000000000</v>
      </c>
      <c r="BP562" s="56">
        <v>100</v>
      </c>
      <c r="BQ562" s="56">
        <v>0</v>
      </c>
      <c r="BR562" s="14">
        <v>500000000000</v>
      </c>
      <c r="BS562">
        <v>7.6</v>
      </c>
      <c r="BT562" t="s">
        <v>1184</v>
      </c>
      <c r="BU562" s="25">
        <f>_xlfn.XLOOKUP(Dealps_MSB[[#This Row],[DEAL_ID]],Ref!V:V,Ref!X:X,0,0)</f>
        <v>0</v>
      </c>
      <c r="BV562"/>
    </row>
    <row r="563" spans="1:74" x14ac:dyDescent="0.3">
      <c r="A563" s="93">
        <v>46262</v>
      </c>
      <c r="B563">
        <v>4629</v>
      </c>
      <c r="C563" s="56" t="s">
        <v>1258</v>
      </c>
      <c r="D563" t="s">
        <v>321</v>
      </c>
      <c r="E563" t="s">
        <v>322</v>
      </c>
      <c r="F563" t="s">
        <v>364</v>
      </c>
      <c r="G563" t="s">
        <v>310</v>
      </c>
      <c r="H563" t="s">
        <v>311</v>
      </c>
      <c r="I563" s="93">
        <v>46205</v>
      </c>
      <c r="J563" s="93">
        <v>46205</v>
      </c>
      <c r="K563" s="93">
        <v>46206</v>
      </c>
      <c r="L563" s="93">
        <v>46485</v>
      </c>
      <c r="M563" s="14">
        <v>1</v>
      </c>
      <c r="N563" s="14">
        <v>500000000000</v>
      </c>
      <c r="O563" s="56">
        <v>100.21879611</v>
      </c>
      <c r="P563" s="56">
        <v>0</v>
      </c>
      <c r="Q563" s="14">
        <v>510299460000</v>
      </c>
      <c r="R563">
        <v>7.95</v>
      </c>
      <c r="S563" t="s">
        <v>1184</v>
      </c>
      <c r="T563" s="57">
        <f>IF(Dealps[[#This Row],[MATURITY_DATE]]-Dealps[[#This Row],[POSTED_DT]]&lt;0,0,IF(Dealps[[#This Row],[VALUE_DATE]]-Dealps[[#This Row],[POSTED_DT]]&gt;0,Dealps[[#This Row],[MATURITY_DATE]]-Dealps[[#This Row],[VALUE_DATE]],Dealps[[#This Row],[MATURITY_DATE]]-Dealps[[#This Row],[POSTED_DT]]))</f>
        <v>223</v>
      </c>
      <c r="U563" s="25">
        <f>IF(Dealps[[#This Row],[TENOR]]=0,0,IF(Dealps[[#This Row],[DEAL_TYPE]]="B",Dealps[[#This Row],[FACE_AMOUNT]],-Dealps[[#This Row],[FACE_AMOUNT]]))</f>
        <v>-500000000000</v>
      </c>
      <c r="V563" s="25">
        <f>_xlfn.XLOOKUP(Dealps[[#This Row],[PAPER_CODE]],FNRP!D:D,FNRP!H:H,0,0)/100*Dealps[[#This Row],[AMOUNT]]</f>
        <v>0</v>
      </c>
      <c r="W563" s="57" t="str">
        <f>IF(Dealps[[#This Row],[TRANSACTION_STATUS]]&lt;&gt;"V","Ngoai BS",IF(Dealps[[#This Row],[POSTED_DT]]&gt;=Dealps[[#This Row],[VALUE_DATE]],"On BS","Off BS"))</f>
        <v>On BS</v>
      </c>
      <c r="X563" s="25">
        <f>SUMIFS(U:U,C:C,Dealps[[#This Row],[PAPER_CODE]])</f>
        <v>2000000000000</v>
      </c>
      <c r="Y563" s="25">
        <f>_xlfn.XLOOKUP(Dealps[[#This Row],[DEAL_ID]],Ref!N:N,Ref!Q:Q,0,0)</f>
        <v>0</v>
      </c>
      <c r="Z563" s="25" t="str">
        <f>IF(Dealps[[#This Row],[CPTY_CODE]]=Dealps[[#This Row],[CPTY_CODE_ISSUER]],"Yes","No")</f>
        <v>No</v>
      </c>
      <c r="AA563" s="25"/>
      <c r="AC563" s="14"/>
      <c r="AG563" s="96"/>
      <c r="AH563" s="25"/>
      <c r="AI563" s="25"/>
      <c r="AN563" s="14"/>
      <c r="AV563" s="36"/>
      <c r="AW563" s="14"/>
      <c r="AX563" s="234"/>
      <c r="AY563" s="96"/>
      <c r="AZ563" s="14"/>
      <c r="BA563"/>
      <c r="BB563" s="93">
        <v>46262</v>
      </c>
      <c r="BC563">
        <v>3589</v>
      </c>
      <c r="BD563" s="56" t="s">
        <v>1220</v>
      </c>
      <c r="BE563" t="s">
        <v>1011</v>
      </c>
      <c r="BF563" t="s">
        <v>1215</v>
      </c>
      <c r="BG563" t="s">
        <v>364</v>
      </c>
      <c r="BH563" t="s">
        <v>310</v>
      </c>
      <c r="BI563" t="s">
        <v>311</v>
      </c>
      <c r="BJ563" s="93">
        <v>46077</v>
      </c>
      <c r="BK563" s="93">
        <v>46077</v>
      </c>
      <c r="BL563" s="93">
        <v>46077</v>
      </c>
      <c r="BM563" s="93">
        <v>46470</v>
      </c>
      <c r="BN563" s="14">
        <v>1</v>
      </c>
      <c r="BO563" s="14">
        <v>1000000000000</v>
      </c>
      <c r="BP563" s="56">
        <v>100</v>
      </c>
      <c r="BQ563" s="56">
        <v>0</v>
      </c>
      <c r="BR563" s="14">
        <v>1000000000000</v>
      </c>
      <c r="BS563">
        <v>7.6</v>
      </c>
      <c r="BT563" t="s">
        <v>1184</v>
      </c>
      <c r="BU563" s="25">
        <f>_xlfn.XLOOKUP(Dealps_MSB[[#This Row],[DEAL_ID]],Ref!V:V,Ref!X:X,0,0)</f>
        <v>0</v>
      </c>
      <c r="BV563"/>
    </row>
    <row r="564" spans="1:74" x14ac:dyDescent="0.3">
      <c r="A564" s="93">
        <v>46262</v>
      </c>
      <c r="B564">
        <v>4630</v>
      </c>
      <c r="C564" s="56" t="s">
        <v>1258</v>
      </c>
      <c r="D564" t="s">
        <v>321</v>
      </c>
      <c r="E564" t="s">
        <v>322</v>
      </c>
      <c r="F564" t="s">
        <v>364</v>
      </c>
      <c r="G564" t="s">
        <v>310</v>
      </c>
      <c r="H564" t="s">
        <v>311</v>
      </c>
      <c r="I564" s="93">
        <v>46205</v>
      </c>
      <c r="J564" s="93">
        <v>46205</v>
      </c>
      <c r="K564" s="93">
        <v>46206</v>
      </c>
      <c r="L564" s="93">
        <v>46485</v>
      </c>
      <c r="M564" s="14">
        <v>1</v>
      </c>
      <c r="N564" s="14">
        <v>500000000000</v>
      </c>
      <c r="O564" s="56">
        <v>100.21879611</v>
      </c>
      <c r="P564" s="56">
        <v>0</v>
      </c>
      <c r="Q564" s="14">
        <v>510299460000</v>
      </c>
      <c r="R564">
        <v>7.95</v>
      </c>
      <c r="S564" t="s">
        <v>1184</v>
      </c>
      <c r="T564" s="57">
        <f>IF(Dealps[[#This Row],[MATURITY_DATE]]-Dealps[[#This Row],[POSTED_DT]]&lt;0,0,IF(Dealps[[#This Row],[VALUE_DATE]]-Dealps[[#This Row],[POSTED_DT]]&gt;0,Dealps[[#This Row],[MATURITY_DATE]]-Dealps[[#This Row],[VALUE_DATE]],Dealps[[#This Row],[MATURITY_DATE]]-Dealps[[#This Row],[POSTED_DT]]))</f>
        <v>223</v>
      </c>
      <c r="U564" s="25">
        <f>IF(Dealps[[#This Row],[TENOR]]=0,0,IF(Dealps[[#This Row],[DEAL_TYPE]]="B",Dealps[[#This Row],[FACE_AMOUNT]],-Dealps[[#This Row],[FACE_AMOUNT]]))</f>
        <v>-500000000000</v>
      </c>
      <c r="V564" s="25">
        <f>_xlfn.XLOOKUP(Dealps[[#This Row],[PAPER_CODE]],FNRP!D:D,FNRP!H:H,0,0)/100*Dealps[[#This Row],[AMOUNT]]</f>
        <v>0</v>
      </c>
      <c r="W564" s="57" t="str">
        <f>IF(Dealps[[#This Row],[TRANSACTION_STATUS]]&lt;&gt;"V","Ngoai BS",IF(Dealps[[#This Row],[POSTED_DT]]&gt;=Dealps[[#This Row],[VALUE_DATE]],"On BS","Off BS"))</f>
        <v>On BS</v>
      </c>
      <c r="X564" s="25">
        <f>SUMIFS(U:U,C:C,Dealps[[#This Row],[PAPER_CODE]])</f>
        <v>2000000000000</v>
      </c>
      <c r="Y564" s="25">
        <f>_xlfn.XLOOKUP(Dealps[[#This Row],[DEAL_ID]],Ref!N:N,Ref!Q:Q,0,0)</f>
        <v>0</v>
      </c>
      <c r="Z564" s="25" t="str">
        <f>IF(Dealps[[#This Row],[CPTY_CODE]]=Dealps[[#This Row],[CPTY_CODE_ISSUER]],"Yes","No")</f>
        <v>No</v>
      </c>
      <c r="AA564" s="25"/>
      <c r="AC564" s="14"/>
      <c r="AG564" s="96"/>
      <c r="AH564" s="25"/>
      <c r="AI564" s="25"/>
      <c r="AN564" s="14"/>
      <c r="AV564" s="36"/>
      <c r="AW564" s="14"/>
      <c r="AX564" s="234"/>
      <c r="AY564" s="96"/>
      <c r="AZ564" s="14"/>
      <c r="BA564"/>
      <c r="BB564" s="93">
        <v>46262</v>
      </c>
      <c r="BC564">
        <v>3796</v>
      </c>
      <c r="BD564" s="56" t="s">
        <v>1237</v>
      </c>
      <c r="BE564" t="s">
        <v>1011</v>
      </c>
      <c r="BF564" t="s">
        <v>1215</v>
      </c>
      <c r="BG564" t="s">
        <v>364</v>
      </c>
      <c r="BH564" t="s">
        <v>310</v>
      </c>
      <c r="BI564" t="s">
        <v>311</v>
      </c>
      <c r="BJ564" s="93">
        <v>46093</v>
      </c>
      <c r="BK564" s="93">
        <v>46093</v>
      </c>
      <c r="BL564" s="93">
        <v>46094</v>
      </c>
      <c r="BM564" s="93">
        <v>46489</v>
      </c>
      <c r="BN564" s="14">
        <v>1</v>
      </c>
      <c r="BO564" s="14">
        <v>500000000000</v>
      </c>
      <c r="BP564" s="56">
        <v>100</v>
      </c>
      <c r="BQ564" s="56">
        <v>0</v>
      </c>
      <c r="BR564" s="14">
        <v>500000000000</v>
      </c>
      <c r="BS564">
        <v>7.6</v>
      </c>
      <c r="BT564" t="s">
        <v>1184</v>
      </c>
      <c r="BU564" s="25">
        <f>_xlfn.XLOOKUP(Dealps_MSB[[#This Row],[DEAL_ID]],Ref!V:V,Ref!X:X,0,0)</f>
        <v>0</v>
      </c>
      <c r="BV564"/>
    </row>
    <row r="565" spans="1:74" x14ac:dyDescent="0.3">
      <c r="A565" s="93">
        <v>46262</v>
      </c>
      <c r="B565">
        <v>4634</v>
      </c>
      <c r="C565" s="56" t="s">
        <v>1239</v>
      </c>
      <c r="D565" t="s">
        <v>384</v>
      </c>
      <c r="E565" t="s">
        <v>1063</v>
      </c>
      <c r="F565" t="s">
        <v>364</v>
      </c>
      <c r="G565" t="s">
        <v>310</v>
      </c>
      <c r="H565" t="s">
        <v>300</v>
      </c>
      <c r="I565" s="93">
        <v>46206</v>
      </c>
      <c r="J565" s="93">
        <v>46206</v>
      </c>
      <c r="K565" s="93">
        <v>46206</v>
      </c>
      <c r="L565" s="93">
        <v>46493</v>
      </c>
      <c r="M565" s="14">
        <v>1</v>
      </c>
      <c r="N565" s="14">
        <v>193000000000</v>
      </c>
      <c r="O565" s="56">
        <v>100.553824381</v>
      </c>
      <c r="P565" s="56">
        <v>0</v>
      </c>
      <c r="Q565" s="14">
        <v>199198450918</v>
      </c>
      <c r="R565">
        <v>7.9406350000000003</v>
      </c>
      <c r="S565" t="s">
        <v>1184</v>
      </c>
      <c r="T565" s="57">
        <f>IF(Dealps[[#This Row],[MATURITY_DATE]]-Dealps[[#This Row],[POSTED_DT]]&lt;0,0,IF(Dealps[[#This Row],[VALUE_DATE]]-Dealps[[#This Row],[POSTED_DT]]&gt;0,Dealps[[#This Row],[MATURITY_DATE]]-Dealps[[#This Row],[VALUE_DATE]],Dealps[[#This Row],[MATURITY_DATE]]-Dealps[[#This Row],[POSTED_DT]]))</f>
        <v>231</v>
      </c>
      <c r="U565" s="25">
        <f>IF(Dealps[[#This Row],[TENOR]]=0,0,IF(Dealps[[#This Row],[DEAL_TYPE]]="B",Dealps[[#This Row],[FACE_AMOUNT]],-Dealps[[#This Row],[FACE_AMOUNT]]))</f>
        <v>193000000000</v>
      </c>
      <c r="V565" s="25">
        <f>_xlfn.XLOOKUP(Dealps[[#This Row],[PAPER_CODE]],FNRP!D:D,FNRP!H:H,0,0)/100*Dealps[[#This Row],[AMOUNT]]</f>
        <v>0</v>
      </c>
      <c r="W565" s="57" t="str">
        <f>IF(Dealps[[#This Row],[TRANSACTION_STATUS]]&lt;&gt;"V","Ngoai BS",IF(Dealps[[#This Row],[POSTED_DT]]&gt;=Dealps[[#This Row],[VALUE_DATE]],"On BS","Off BS"))</f>
        <v>On BS</v>
      </c>
      <c r="X565" s="25">
        <f>SUMIFS(U:U,C:C,Dealps[[#This Row],[PAPER_CODE]])</f>
        <v>300000000000</v>
      </c>
      <c r="Y565" s="25">
        <f>_xlfn.XLOOKUP(Dealps[[#This Row],[DEAL_ID]],Ref!N:N,Ref!Q:Q,0,0)</f>
        <v>0</v>
      </c>
      <c r="Z565" s="25" t="str">
        <f>IF(Dealps[[#This Row],[CPTY_CODE]]=Dealps[[#This Row],[CPTY_CODE_ISSUER]],"Yes","No")</f>
        <v>No</v>
      </c>
      <c r="AA565" s="25"/>
      <c r="AC565" s="14"/>
      <c r="AG565" s="96"/>
      <c r="AH565" s="25"/>
      <c r="AI565" s="25"/>
      <c r="AN565" s="14"/>
      <c r="AV565" s="36"/>
      <c r="AW565" s="14"/>
      <c r="AX565" s="234"/>
      <c r="AY565" s="96"/>
      <c r="AZ565" s="14"/>
      <c r="BA565"/>
      <c r="BB565" s="93">
        <v>46262</v>
      </c>
      <c r="BC565">
        <v>47892</v>
      </c>
      <c r="BD565" s="56" t="s">
        <v>1036</v>
      </c>
      <c r="BE565" t="s">
        <v>1011</v>
      </c>
      <c r="BF565" t="s">
        <v>347</v>
      </c>
      <c r="BG565" t="s">
        <v>35</v>
      </c>
      <c r="BH565" t="s">
        <v>310</v>
      </c>
      <c r="BI565" t="s">
        <v>311</v>
      </c>
      <c r="BJ565" s="93">
        <v>45966</v>
      </c>
      <c r="BK565" s="93">
        <v>45971</v>
      </c>
      <c r="BL565" s="93">
        <v>45974</v>
      </c>
      <c r="BM565" s="93">
        <v>47070</v>
      </c>
      <c r="BN565" s="14">
        <v>1000</v>
      </c>
      <c r="BO565" s="14">
        <v>1000000000000</v>
      </c>
      <c r="BP565" s="56">
        <v>100</v>
      </c>
      <c r="BQ565" s="56">
        <v>0</v>
      </c>
      <c r="BR565" s="14">
        <v>1000000000000</v>
      </c>
      <c r="BS565">
        <v>5.1998845090000003</v>
      </c>
      <c r="BT565" t="s">
        <v>1184</v>
      </c>
      <c r="BU565" s="25">
        <f>_xlfn.XLOOKUP(Dealps_MSB[[#This Row],[DEAL_ID]],Ref!V:V,Ref!X:X,0,0)</f>
        <v>0</v>
      </c>
      <c r="BV565"/>
    </row>
    <row r="566" spans="1:74" x14ac:dyDescent="0.3">
      <c r="A566" s="93">
        <v>46262</v>
      </c>
      <c r="B566">
        <v>4635</v>
      </c>
      <c r="C566" s="56" t="s">
        <v>1073</v>
      </c>
      <c r="D566" t="s">
        <v>325</v>
      </c>
      <c r="E566" t="s">
        <v>1313</v>
      </c>
      <c r="F566" t="s">
        <v>364</v>
      </c>
      <c r="G566" t="s">
        <v>310</v>
      </c>
      <c r="H566" t="s">
        <v>300</v>
      </c>
      <c r="I566" s="93">
        <v>46206</v>
      </c>
      <c r="J566" s="93">
        <v>46206</v>
      </c>
      <c r="K566" s="93">
        <v>46206</v>
      </c>
      <c r="L566" s="93">
        <v>46356</v>
      </c>
      <c r="M566" s="14">
        <v>1</v>
      </c>
      <c r="N566" s="14">
        <v>200000000000</v>
      </c>
      <c r="O566" s="56">
        <v>100.060821359</v>
      </c>
      <c r="P566" s="56">
        <v>0</v>
      </c>
      <c r="Q566" s="14">
        <v>207860820800</v>
      </c>
      <c r="R566">
        <v>6.2080010000000003</v>
      </c>
      <c r="S566" t="s">
        <v>1184</v>
      </c>
      <c r="T566" s="57">
        <f>IF(Dealps[[#This Row],[MATURITY_DATE]]-Dealps[[#This Row],[POSTED_DT]]&lt;0,0,IF(Dealps[[#This Row],[VALUE_DATE]]-Dealps[[#This Row],[POSTED_DT]]&gt;0,Dealps[[#This Row],[MATURITY_DATE]]-Dealps[[#This Row],[VALUE_DATE]],Dealps[[#This Row],[MATURITY_DATE]]-Dealps[[#This Row],[POSTED_DT]]))</f>
        <v>94</v>
      </c>
      <c r="U566" s="25">
        <f>IF(Dealps[[#This Row],[TENOR]]=0,0,IF(Dealps[[#This Row],[DEAL_TYPE]]="B",Dealps[[#This Row],[FACE_AMOUNT]],-Dealps[[#This Row],[FACE_AMOUNT]]))</f>
        <v>200000000000</v>
      </c>
      <c r="V566" s="25">
        <f>_xlfn.XLOOKUP(Dealps[[#This Row],[PAPER_CODE]],FNRP!D:D,FNRP!H:H,0,0)/100*Dealps[[#This Row],[AMOUNT]]</f>
        <v>0</v>
      </c>
      <c r="W566" s="57" t="str">
        <f>IF(Dealps[[#This Row],[TRANSACTION_STATUS]]&lt;&gt;"V","Ngoai BS",IF(Dealps[[#This Row],[POSTED_DT]]&gt;=Dealps[[#This Row],[VALUE_DATE]],"On BS","Off BS"))</f>
        <v>On BS</v>
      </c>
      <c r="X566" s="25">
        <f>SUMIFS(U:U,C:C,Dealps[[#This Row],[PAPER_CODE]])</f>
        <v>400000000000</v>
      </c>
      <c r="Y566" s="25">
        <f>_xlfn.XLOOKUP(Dealps[[#This Row],[DEAL_ID]],Ref!N:N,Ref!Q:Q,0,0)</f>
        <v>0</v>
      </c>
      <c r="Z566" s="25" t="str">
        <f>IF(Dealps[[#This Row],[CPTY_CODE]]=Dealps[[#This Row],[CPTY_CODE_ISSUER]],"Yes","No")</f>
        <v>No</v>
      </c>
      <c r="AA566" s="25"/>
      <c r="AC566" s="14"/>
      <c r="AG566" s="96"/>
      <c r="AH566" s="25"/>
      <c r="AI566" s="25"/>
      <c r="AN566" s="14"/>
      <c r="AV566" s="36"/>
      <c r="AW566" s="14"/>
      <c r="AX566" s="234"/>
      <c r="AY566" s="96"/>
      <c r="AZ566" s="14"/>
      <c r="BA566"/>
      <c r="BB566" s="93">
        <v>46262</v>
      </c>
      <c r="BC566">
        <v>4170</v>
      </c>
      <c r="BD566" s="56" t="s">
        <v>1267</v>
      </c>
      <c r="BE566" t="s">
        <v>1011</v>
      </c>
      <c r="BF566" t="s">
        <v>322</v>
      </c>
      <c r="BG566" t="s">
        <v>364</v>
      </c>
      <c r="BH566" t="s">
        <v>310</v>
      </c>
      <c r="BI566" t="s">
        <v>311</v>
      </c>
      <c r="BJ566" s="93">
        <v>46140</v>
      </c>
      <c r="BK566" s="93">
        <v>46140</v>
      </c>
      <c r="BL566" s="93">
        <v>46140</v>
      </c>
      <c r="BM566" s="93">
        <v>46323</v>
      </c>
      <c r="BN566" s="14">
        <v>1</v>
      </c>
      <c r="BO566" s="14">
        <v>500000000000</v>
      </c>
      <c r="BP566" s="56">
        <v>100</v>
      </c>
      <c r="BQ566" s="56">
        <v>0</v>
      </c>
      <c r="BR566" s="14">
        <v>500000000000</v>
      </c>
      <c r="BS566">
        <v>8.1999999999999993</v>
      </c>
      <c r="BT566" t="s">
        <v>1184</v>
      </c>
      <c r="BU566" s="25">
        <f>_xlfn.XLOOKUP(Dealps_MSB[[#This Row],[DEAL_ID]],Ref!V:V,Ref!X:X,0,0)</f>
        <v>0</v>
      </c>
      <c r="BV566"/>
    </row>
    <row r="567" spans="1:74" x14ac:dyDescent="0.3">
      <c r="A567" s="93">
        <v>46262</v>
      </c>
      <c r="B567">
        <v>4639</v>
      </c>
      <c r="C567" s="56" t="s">
        <v>1239</v>
      </c>
      <c r="D567" t="s">
        <v>384</v>
      </c>
      <c r="E567" t="s">
        <v>344</v>
      </c>
      <c r="F567" t="s">
        <v>364</v>
      </c>
      <c r="G567" t="s">
        <v>310</v>
      </c>
      <c r="H567" t="s">
        <v>311</v>
      </c>
      <c r="I567" s="93">
        <v>46206</v>
      </c>
      <c r="J567" s="93">
        <v>46206</v>
      </c>
      <c r="K567" s="93">
        <v>46209</v>
      </c>
      <c r="L567" s="93">
        <v>46493</v>
      </c>
      <c r="M567" s="14">
        <v>1</v>
      </c>
      <c r="N567" s="14">
        <v>200000000000</v>
      </c>
      <c r="O567" s="56">
        <v>100.57487739600001</v>
      </c>
      <c r="P567" s="56">
        <v>0</v>
      </c>
      <c r="Q567" s="14">
        <v>206611672600</v>
      </c>
      <c r="R567">
        <v>7.9</v>
      </c>
      <c r="S567" t="s">
        <v>1184</v>
      </c>
      <c r="T567" s="57">
        <f>IF(Dealps[[#This Row],[MATURITY_DATE]]-Dealps[[#This Row],[POSTED_DT]]&lt;0,0,IF(Dealps[[#This Row],[VALUE_DATE]]-Dealps[[#This Row],[POSTED_DT]]&gt;0,Dealps[[#This Row],[MATURITY_DATE]]-Dealps[[#This Row],[VALUE_DATE]],Dealps[[#This Row],[MATURITY_DATE]]-Dealps[[#This Row],[POSTED_DT]]))</f>
        <v>231</v>
      </c>
      <c r="U567" s="25">
        <f>IF(Dealps[[#This Row],[TENOR]]=0,0,IF(Dealps[[#This Row],[DEAL_TYPE]]="B",Dealps[[#This Row],[FACE_AMOUNT]],-Dealps[[#This Row],[FACE_AMOUNT]]))</f>
        <v>-200000000000</v>
      </c>
      <c r="V567" s="25">
        <f>_xlfn.XLOOKUP(Dealps[[#This Row],[PAPER_CODE]],FNRP!D:D,FNRP!H:H,0,0)/100*Dealps[[#This Row],[AMOUNT]]</f>
        <v>0</v>
      </c>
      <c r="W567" s="57" t="str">
        <f>IF(Dealps[[#This Row],[TRANSACTION_STATUS]]&lt;&gt;"V","Ngoai BS",IF(Dealps[[#This Row],[POSTED_DT]]&gt;=Dealps[[#This Row],[VALUE_DATE]],"On BS","Off BS"))</f>
        <v>On BS</v>
      </c>
      <c r="X567" s="25">
        <f>SUMIFS(U:U,C:C,Dealps[[#This Row],[PAPER_CODE]])</f>
        <v>300000000000</v>
      </c>
      <c r="Y567" s="25">
        <f>_xlfn.XLOOKUP(Dealps[[#This Row],[DEAL_ID]],Ref!N:N,Ref!Q:Q,0,0)</f>
        <v>0</v>
      </c>
      <c r="Z567" s="25" t="str">
        <f>IF(Dealps[[#This Row],[CPTY_CODE]]=Dealps[[#This Row],[CPTY_CODE_ISSUER]],"Yes","No")</f>
        <v>No</v>
      </c>
      <c r="AA567" s="25"/>
      <c r="AC567" s="14"/>
      <c r="AG567" s="96"/>
      <c r="AH567" s="25"/>
      <c r="AI567" s="25"/>
      <c r="AN567" s="14"/>
      <c r="AV567" s="36"/>
      <c r="AW567" s="14"/>
      <c r="AX567" s="234"/>
      <c r="AY567" s="96"/>
      <c r="AZ567" s="14"/>
      <c r="BA567"/>
      <c r="BB567" s="93">
        <v>46262</v>
      </c>
      <c r="BC567">
        <v>47610</v>
      </c>
      <c r="BD567" s="56" t="s">
        <v>1033</v>
      </c>
      <c r="BE567" t="s">
        <v>1011</v>
      </c>
      <c r="BF567" t="s">
        <v>1034</v>
      </c>
      <c r="BG567" t="s">
        <v>35</v>
      </c>
      <c r="BH567" t="s">
        <v>310</v>
      </c>
      <c r="BI567" t="s">
        <v>311</v>
      </c>
      <c r="BJ567" s="93">
        <v>45937</v>
      </c>
      <c r="BK567" s="93">
        <v>45937</v>
      </c>
      <c r="BL567" s="93">
        <v>45940</v>
      </c>
      <c r="BM567" s="93">
        <v>48497</v>
      </c>
      <c r="BN567" s="14">
        <v>2500</v>
      </c>
      <c r="BO567" s="14">
        <v>2500000000000</v>
      </c>
      <c r="BP567" s="56">
        <v>100</v>
      </c>
      <c r="BQ567" s="56">
        <v>0</v>
      </c>
      <c r="BR567" s="14">
        <v>2500000000000</v>
      </c>
      <c r="BS567">
        <v>6.9077848309999998</v>
      </c>
      <c r="BT567" t="s">
        <v>1184</v>
      </c>
      <c r="BU567" s="25">
        <f>_xlfn.XLOOKUP(Dealps_MSB[[#This Row],[DEAL_ID]],Ref!V:V,Ref!X:X,0,0)</f>
        <v>0</v>
      </c>
      <c r="BV567"/>
    </row>
    <row r="568" spans="1:74" x14ac:dyDescent="0.3">
      <c r="A568" s="93">
        <v>46262</v>
      </c>
      <c r="B568">
        <v>4642</v>
      </c>
      <c r="C568" s="56" t="s">
        <v>1158</v>
      </c>
      <c r="D568" t="s">
        <v>327</v>
      </c>
      <c r="E568" t="s">
        <v>314</v>
      </c>
      <c r="F568" t="s">
        <v>364</v>
      </c>
      <c r="G568" t="s">
        <v>310</v>
      </c>
      <c r="H568" t="s">
        <v>300</v>
      </c>
      <c r="I568" s="93">
        <v>46209</v>
      </c>
      <c r="J568" s="93">
        <v>46181</v>
      </c>
      <c r="K568" s="93">
        <v>46209</v>
      </c>
      <c r="L568" s="93">
        <v>46409</v>
      </c>
      <c r="M568" s="14">
        <v>1</v>
      </c>
      <c r="N568" s="14">
        <v>1000000000000</v>
      </c>
      <c r="O568" s="56">
        <v>99.672939818000003</v>
      </c>
      <c r="P568" s="56">
        <v>0</v>
      </c>
      <c r="Q568" s="14">
        <v>1029080083112.0001</v>
      </c>
      <c r="R568">
        <v>7.5765580000000003</v>
      </c>
      <c r="S568" t="s">
        <v>1184</v>
      </c>
      <c r="T568" s="57">
        <f>IF(Dealps[[#This Row],[MATURITY_DATE]]-Dealps[[#This Row],[POSTED_DT]]&lt;0,0,IF(Dealps[[#This Row],[VALUE_DATE]]-Dealps[[#This Row],[POSTED_DT]]&gt;0,Dealps[[#This Row],[MATURITY_DATE]]-Dealps[[#This Row],[VALUE_DATE]],Dealps[[#This Row],[MATURITY_DATE]]-Dealps[[#This Row],[POSTED_DT]]))</f>
        <v>147</v>
      </c>
      <c r="U568" s="25">
        <f>IF(Dealps[[#This Row],[TENOR]]=0,0,IF(Dealps[[#This Row],[DEAL_TYPE]]="B",Dealps[[#This Row],[FACE_AMOUNT]],-Dealps[[#This Row],[FACE_AMOUNT]]))</f>
        <v>1000000000000</v>
      </c>
      <c r="V568" s="25">
        <f>_xlfn.XLOOKUP(Dealps[[#This Row],[PAPER_CODE]],FNRP!D:D,FNRP!H:H,0,0)/100*Dealps[[#This Row],[AMOUNT]]</f>
        <v>0</v>
      </c>
      <c r="W568" s="57" t="str">
        <f>IF(Dealps[[#This Row],[TRANSACTION_STATUS]]&lt;&gt;"V","Ngoai BS",IF(Dealps[[#This Row],[POSTED_DT]]&gt;=Dealps[[#This Row],[VALUE_DATE]],"On BS","Off BS"))</f>
        <v>On BS</v>
      </c>
      <c r="X568" s="25">
        <f>SUMIFS(U:U,C:C,Dealps[[#This Row],[PAPER_CODE]])</f>
        <v>2000000000000</v>
      </c>
      <c r="Y568" s="25">
        <f>_xlfn.XLOOKUP(Dealps[[#This Row],[DEAL_ID]],Ref!N:N,Ref!Q:Q,0,0)</f>
        <v>0</v>
      </c>
      <c r="Z568" s="25" t="str">
        <f>IF(Dealps[[#This Row],[CPTY_CODE]]=Dealps[[#This Row],[CPTY_CODE_ISSUER]],"Yes","No")</f>
        <v>No</v>
      </c>
      <c r="AA568" s="25"/>
      <c r="AC568" s="14"/>
      <c r="AG568" s="96"/>
      <c r="AH568" s="25"/>
      <c r="AI568" s="25"/>
      <c r="AN568" s="14"/>
      <c r="AV568" s="36"/>
      <c r="AW568" s="14"/>
      <c r="AX568" s="234"/>
      <c r="AY568" s="96"/>
      <c r="AZ568" s="14"/>
      <c r="BA568"/>
      <c r="BB568" s="93">
        <v>46262</v>
      </c>
      <c r="BC568">
        <v>4669</v>
      </c>
      <c r="BD568" s="56" t="s">
        <v>1396</v>
      </c>
      <c r="BE568" t="s">
        <v>1011</v>
      </c>
      <c r="BF568" t="s">
        <v>405</v>
      </c>
      <c r="BG568" t="s">
        <v>364</v>
      </c>
      <c r="BH568" t="s">
        <v>310</v>
      </c>
      <c r="BI568" t="s">
        <v>311</v>
      </c>
      <c r="BJ568" s="93">
        <v>46212</v>
      </c>
      <c r="BK568" s="93">
        <v>46212</v>
      </c>
      <c r="BL568" s="93">
        <v>46213</v>
      </c>
      <c r="BM568" s="93">
        <v>46570</v>
      </c>
      <c r="BN568" s="14">
        <v>1</v>
      </c>
      <c r="BO568" s="14">
        <v>400000000000</v>
      </c>
      <c r="BP568" s="56">
        <v>100</v>
      </c>
      <c r="BQ568" s="56">
        <v>0</v>
      </c>
      <c r="BR568" s="14">
        <v>400000000000</v>
      </c>
      <c r="BS568">
        <v>9</v>
      </c>
      <c r="BT568" t="s">
        <v>1184</v>
      </c>
      <c r="BU568" s="25">
        <f>_xlfn.XLOOKUP(Dealps_MSB[[#This Row],[DEAL_ID]],Ref!V:V,Ref!X:X,0,0)</f>
        <v>0</v>
      </c>
      <c r="BV568"/>
    </row>
    <row r="569" spans="1:74" x14ac:dyDescent="0.3">
      <c r="A569" s="93">
        <v>46262</v>
      </c>
      <c r="B569">
        <v>4644</v>
      </c>
      <c r="C569" s="56" t="s">
        <v>1256</v>
      </c>
      <c r="D569" t="s">
        <v>316</v>
      </c>
      <c r="E569" t="s">
        <v>1383</v>
      </c>
      <c r="F569" t="s">
        <v>364</v>
      </c>
      <c r="G569" t="s">
        <v>310</v>
      </c>
      <c r="H569" t="s">
        <v>311</v>
      </c>
      <c r="I569" s="93">
        <v>46209</v>
      </c>
      <c r="J569" s="93">
        <v>46209</v>
      </c>
      <c r="K569" s="93">
        <v>46210</v>
      </c>
      <c r="L569" s="93">
        <v>46486</v>
      </c>
      <c r="M569" s="14">
        <v>1</v>
      </c>
      <c r="N569" s="14">
        <v>24000000000</v>
      </c>
      <c r="O569" s="56">
        <v>100.840628537</v>
      </c>
      <c r="P569" s="56">
        <v>0</v>
      </c>
      <c r="Q569" s="14">
        <v>24710879616</v>
      </c>
      <c r="R569">
        <v>7.37</v>
      </c>
      <c r="S569" t="s">
        <v>1184</v>
      </c>
      <c r="T569" s="57">
        <f>IF(Dealps[[#This Row],[MATURITY_DATE]]-Dealps[[#This Row],[POSTED_DT]]&lt;0,0,IF(Dealps[[#This Row],[VALUE_DATE]]-Dealps[[#This Row],[POSTED_DT]]&gt;0,Dealps[[#This Row],[MATURITY_DATE]]-Dealps[[#This Row],[VALUE_DATE]],Dealps[[#This Row],[MATURITY_DATE]]-Dealps[[#This Row],[POSTED_DT]]))</f>
        <v>224</v>
      </c>
      <c r="U569" s="25">
        <f>IF(Dealps[[#This Row],[TENOR]]=0,0,IF(Dealps[[#This Row],[DEAL_TYPE]]="B",Dealps[[#This Row],[FACE_AMOUNT]],-Dealps[[#This Row],[FACE_AMOUNT]]))</f>
        <v>-24000000000</v>
      </c>
      <c r="V569" s="25">
        <f>_xlfn.XLOOKUP(Dealps[[#This Row],[PAPER_CODE]],FNRP!D:D,FNRP!H:H,0,0)/100*Dealps[[#This Row],[AMOUNT]]</f>
        <v>0</v>
      </c>
      <c r="W569" s="57" t="str">
        <f>IF(Dealps[[#This Row],[TRANSACTION_STATUS]]&lt;&gt;"V","Ngoai BS",IF(Dealps[[#This Row],[POSTED_DT]]&gt;=Dealps[[#This Row],[VALUE_DATE]],"On BS","Off BS"))</f>
        <v>On BS</v>
      </c>
      <c r="X569" s="25">
        <f>SUMIFS(U:U,C:C,Dealps[[#This Row],[PAPER_CODE]])</f>
        <v>200000000000</v>
      </c>
      <c r="Y569" s="25">
        <f>_xlfn.XLOOKUP(Dealps[[#This Row],[DEAL_ID]],Ref!N:N,Ref!Q:Q,0,0)</f>
        <v>0</v>
      </c>
      <c r="Z569" s="25" t="str">
        <f>IF(Dealps[[#This Row],[CPTY_CODE]]=Dealps[[#This Row],[CPTY_CODE_ISSUER]],"Yes","No")</f>
        <v>No</v>
      </c>
      <c r="AA569" s="25"/>
      <c r="AC569" s="14"/>
      <c r="AG569" s="96"/>
      <c r="AH569" s="25"/>
      <c r="AI569" s="25"/>
      <c r="AN569" s="14"/>
      <c r="AV569" s="36"/>
      <c r="AW569" s="14"/>
      <c r="AX569" s="234"/>
      <c r="AY569" s="96"/>
      <c r="AZ569" s="14"/>
      <c r="BA569"/>
      <c r="BB569" s="14"/>
      <c r="BC569" s="14"/>
      <c r="BD569" s="14"/>
      <c r="BE569" s="36"/>
      <c r="BF569" s="20"/>
      <c r="BG569"/>
      <c r="BH569"/>
      <c r="BI569"/>
      <c r="BJ569"/>
      <c r="BK569"/>
      <c r="BL569"/>
      <c r="BM569"/>
      <c r="BN569"/>
      <c r="BS569"/>
      <c r="BT569"/>
      <c r="BU569"/>
      <c r="BV569"/>
    </row>
    <row r="570" spans="1:74" x14ac:dyDescent="0.3">
      <c r="A570" s="93">
        <v>46262</v>
      </c>
      <c r="B570">
        <v>4648</v>
      </c>
      <c r="C570" s="56" t="s">
        <v>1204</v>
      </c>
      <c r="D570" t="s">
        <v>315</v>
      </c>
      <c r="E570" t="s">
        <v>1228</v>
      </c>
      <c r="F570" t="s">
        <v>364</v>
      </c>
      <c r="G570" t="s">
        <v>310</v>
      </c>
      <c r="H570" t="s">
        <v>311</v>
      </c>
      <c r="I570" s="93">
        <v>46210</v>
      </c>
      <c r="J570" s="93">
        <v>46210</v>
      </c>
      <c r="K570" s="93">
        <v>46211</v>
      </c>
      <c r="L570" s="93">
        <v>46422</v>
      </c>
      <c r="M570" s="14">
        <v>1</v>
      </c>
      <c r="N570" s="14">
        <v>100000000000</v>
      </c>
      <c r="O570" s="56">
        <v>100.388114168</v>
      </c>
      <c r="P570" s="56">
        <v>0</v>
      </c>
      <c r="Q570" s="14">
        <v>103442799100</v>
      </c>
      <c r="R570">
        <v>6.35</v>
      </c>
      <c r="S570" t="s">
        <v>1184</v>
      </c>
      <c r="T570" s="57">
        <f>IF(Dealps[[#This Row],[MATURITY_DATE]]-Dealps[[#This Row],[POSTED_DT]]&lt;0,0,IF(Dealps[[#This Row],[VALUE_DATE]]-Dealps[[#This Row],[POSTED_DT]]&gt;0,Dealps[[#This Row],[MATURITY_DATE]]-Dealps[[#This Row],[VALUE_DATE]],Dealps[[#This Row],[MATURITY_DATE]]-Dealps[[#This Row],[POSTED_DT]]))</f>
        <v>160</v>
      </c>
      <c r="U570" s="25">
        <f>IF(Dealps[[#This Row],[TENOR]]=0,0,IF(Dealps[[#This Row],[DEAL_TYPE]]="B",Dealps[[#This Row],[FACE_AMOUNT]],-Dealps[[#This Row],[FACE_AMOUNT]]))</f>
        <v>-100000000000</v>
      </c>
      <c r="V570" s="25">
        <f>_xlfn.XLOOKUP(Dealps[[#This Row],[PAPER_CODE]],FNRP!D:D,FNRP!H:H,0,0)/100*Dealps[[#This Row],[AMOUNT]]</f>
        <v>0</v>
      </c>
      <c r="W570" s="57" t="str">
        <f>IF(Dealps[[#This Row],[TRANSACTION_STATUS]]&lt;&gt;"V","Ngoai BS",IF(Dealps[[#This Row],[POSTED_DT]]&gt;=Dealps[[#This Row],[VALUE_DATE]],"On BS","Off BS"))</f>
        <v>On BS</v>
      </c>
      <c r="X570" s="25">
        <f>SUMIFS(U:U,C:C,Dealps[[#This Row],[PAPER_CODE]])</f>
        <v>1000000000000</v>
      </c>
      <c r="Y570" s="25">
        <f>_xlfn.XLOOKUP(Dealps[[#This Row],[DEAL_ID]],Ref!N:N,Ref!Q:Q,0,0)</f>
        <v>0</v>
      </c>
      <c r="Z570" s="25" t="str">
        <f>IF(Dealps[[#This Row],[CPTY_CODE]]=Dealps[[#This Row],[CPTY_CODE_ISSUER]],"Yes","No")</f>
        <v>No</v>
      </c>
      <c r="AA570" s="25"/>
      <c r="AC570" s="14"/>
      <c r="AG570" s="96"/>
      <c r="AH570" s="25"/>
      <c r="AI570" s="25"/>
      <c r="AN570" s="14"/>
      <c r="AV570" s="36"/>
      <c r="AW570" s="14"/>
      <c r="AX570" s="234"/>
      <c r="AY570" s="96"/>
      <c r="AZ570" s="14"/>
      <c r="BA570"/>
      <c r="BB570" s="14"/>
      <c r="BC570" s="14"/>
      <c r="BD570" s="14"/>
      <c r="BE570" s="36"/>
      <c r="BF570" s="20"/>
      <c r="BG570"/>
      <c r="BH570"/>
      <c r="BI570"/>
      <c r="BJ570"/>
      <c r="BK570"/>
      <c r="BL570"/>
      <c r="BM570"/>
      <c r="BN570"/>
      <c r="BS570"/>
      <c r="BT570"/>
      <c r="BU570"/>
      <c r="BV570"/>
    </row>
    <row r="571" spans="1:74" x14ac:dyDescent="0.3">
      <c r="A571" s="93">
        <v>46262</v>
      </c>
      <c r="B571">
        <v>4650</v>
      </c>
      <c r="C571" s="56" t="s">
        <v>1204</v>
      </c>
      <c r="D571" t="s">
        <v>315</v>
      </c>
      <c r="E571" t="s">
        <v>950</v>
      </c>
      <c r="F571" t="s">
        <v>364</v>
      </c>
      <c r="G571" t="s">
        <v>310</v>
      </c>
      <c r="H571" t="s">
        <v>311</v>
      </c>
      <c r="I571" s="93">
        <v>46210</v>
      </c>
      <c r="J571" s="93">
        <v>46210</v>
      </c>
      <c r="K571" s="93">
        <v>46211</v>
      </c>
      <c r="L571" s="93">
        <v>46422</v>
      </c>
      <c r="M571" s="14">
        <v>1</v>
      </c>
      <c r="N571" s="14">
        <v>60000000000</v>
      </c>
      <c r="O571" s="56">
        <v>100.416962668</v>
      </c>
      <c r="P571" s="56">
        <v>0</v>
      </c>
      <c r="Q571" s="14">
        <v>62082988560</v>
      </c>
      <c r="R571">
        <v>6.3</v>
      </c>
      <c r="S571" t="s">
        <v>1184</v>
      </c>
      <c r="T571" s="57">
        <f>IF(Dealps[[#This Row],[MATURITY_DATE]]-Dealps[[#This Row],[POSTED_DT]]&lt;0,0,IF(Dealps[[#This Row],[VALUE_DATE]]-Dealps[[#This Row],[POSTED_DT]]&gt;0,Dealps[[#This Row],[MATURITY_DATE]]-Dealps[[#This Row],[VALUE_DATE]],Dealps[[#This Row],[MATURITY_DATE]]-Dealps[[#This Row],[POSTED_DT]]))</f>
        <v>160</v>
      </c>
      <c r="U571" s="25">
        <f>IF(Dealps[[#This Row],[TENOR]]=0,0,IF(Dealps[[#This Row],[DEAL_TYPE]]="B",Dealps[[#This Row],[FACE_AMOUNT]],-Dealps[[#This Row],[FACE_AMOUNT]]))</f>
        <v>-60000000000</v>
      </c>
      <c r="V571" s="25">
        <f>_xlfn.XLOOKUP(Dealps[[#This Row],[PAPER_CODE]],FNRP!D:D,FNRP!H:H,0,0)/100*Dealps[[#This Row],[AMOUNT]]</f>
        <v>0</v>
      </c>
      <c r="W571" s="57" t="str">
        <f>IF(Dealps[[#This Row],[TRANSACTION_STATUS]]&lt;&gt;"V","Ngoai BS",IF(Dealps[[#This Row],[POSTED_DT]]&gt;=Dealps[[#This Row],[VALUE_DATE]],"On BS","Off BS"))</f>
        <v>On BS</v>
      </c>
      <c r="X571" s="25">
        <f>SUMIFS(U:U,C:C,Dealps[[#This Row],[PAPER_CODE]])</f>
        <v>1000000000000</v>
      </c>
      <c r="Y571" s="25">
        <f>_xlfn.XLOOKUP(Dealps[[#This Row],[DEAL_ID]],Ref!N:N,Ref!Q:Q,0,0)</f>
        <v>0</v>
      </c>
      <c r="Z571" s="25" t="str">
        <f>IF(Dealps[[#This Row],[CPTY_CODE]]=Dealps[[#This Row],[CPTY_CODE_ISSUER]],"Yes","No")</f>
        <v>No</v>
      </c>
      <c r="AA571" s="25"/>
      <c r="AC571" s="14"/>
      <c r="AG571" s="96"/>
      <c r="AH571" s="25"/>
      <c r="AI571" s="25"/>
      <c r="AN571" s="14"/>
      <c r="AV571" s="36"/>
      <c r="AW571" s="14"/>
      <c r="AX571" s="234"/>
      <c r="AY571" s="96"/>
      <c r="AZ571" s="14"/>
      <c r="BA571"/>
      <c r="BB571" s="14"/>
      <c r="BC571" s="14"/>
      <c r="BD571" s="14"/>
      <c r="BE571" s="36"/>
      <c r="BF571" s="20"/>
      <c r="BG571"/>
      <c r="BH571"/>
      <c r="BI571"/>
      <c r="BJ571"/>
      <c r="BK571"/>
      <c r="BL571"/>
      <c r="BM571"/>
      <c r="BN571"/>
      <c r="BS571"/>
      <c r="BT571"/>
      <c r="BU571"/>
      <c r="BV571"/>
    </row>
    <row r="572" spans="1:74" x14ac:dyDescent="0.3">
      <c r="A572" s="93">
        <v>46262</v>
      </c>
      <c r="B572">
        <v>4652</v>
      </c>
      <c r="C572" s="56" t="s">
        <v>1258</v>
      </c>
      <c r="D572" t="s">
        <v>321</v>
      </c>
      <c r="E572" t="s">
        <v>322</v>
      </c>
      <c r="F572" t="s">
        <v>364</v>
      </c>
      <c r="G572" t="s">
        <v>310</v>
      </c>
      <c r="H572" t="s">
        <v>311</v>
      </c>
      <c r="I572" s="93">
        <v>46210</v>
      </c>
      <c r="J572" s="93">
        <v>46211</v>
      </c>
      <c r="K572" s="93">
        <v>46211</v>
      </c>
      <c r="L572" s="93">
        <v>46485</v>
      </c>
      <c r="M572" s="14">
        <v>1</v>
      </c>
      <c r="N572" s="14">
        <v>300000000000</v>
      </c>
      <c r="O572" s="56">
        <v>100.064071516</v>
      </c>
      <c r="P572" s="56">
        <v>0</v>
      </c>
      <c r="Q572" s="14">
        <v>306060707700</v>
      </c>
      <c r="R572">
        <v>8.15</v>
      </c>
      <c r="S572" t="s">
        <v>1184</v>
      </c>
      <c r="T572" s="57">
        <f>IF(Dealps[[#This Row],[MATURITY_DATE]]-Dealps[[#This Row],[POSTED_DT]]&lt;0,0,IF(Dealps[[#This Row],[VALUE_DATE]]-Dealps[[#This Row],[POSTED_DT]]&gt;0,Dealps[[#This Row],[MATURITY_DATE]]-Dealps[[#This Row],[VALUE_DATE]],Dealps[[#This Row],[MATURITY_DATE]]-Dealps[[#This Row],[POSTED_DT]]))</f>
        <v>223</v>
      </c>
      <c r="U572" s="25">
        <f>IF(Dealps[[#This Row],[TENOR]]=0,0,IF(Dealps[[#This Row],[DEAL_TYPE]]="B",Dealps[[#This Row],[FACE_AMOUNT]],-Dealps[[#This Row],[FACE_AMOUNT]]))</f>
        <v>-300000000000</v>
      </c>
      <c r="V572" s="25">
        <f>_xlfn.XLOOKUP(Dealps[[#This Row],[PAPER_CODE]],FNRP!D:D,FNRP!H:H,0,0)/100*Dealps[[#This Row],[AMOUNT]]</f>
        <v>0</v>
      </c>
      <c r="W572" s="57" t="str">
        <f>IF(Dealps[[#This Row],[TRANSACTION_STATUS]]&lt;&gt;"V","Ngoai BS",IF(Dealps[[#This Row],[POSTED_DT]]&gt;=Dealps[[#This Row],[VALUE_DATE]],"On BS","Off BS"))</f>
        <v>On BS</v>
      </c>
      <c r="X572" s="25">
        <f>SUMIFS(U:U,C:C,Dealps[[#This Row],[PAPER_CODE]])</f>
        <v>2000000000000</v>
      </c>
      <c r="Y572" s="25">
        <f>_xlfn.XLOOKUP(Dealps[[#This Row],[DEAL_ID]],Ref!N:N,Ref!Q:Q,0,0)</f>
        <v>0</v>
      </c>
      <c r="Z572" s="25" t="str">
        <f>IF(Dealps[[#This Row],[CPTY_CODE]]=Dealps[[#This Row],[CPTY_CODE_ISSUER]],"Yes","No")</f>
        <v>No</v>
      </c>
      <c r="AA572" s="25"/>
      <c r="AC572" s="14"/>
      <c r="AG572" s="96"/>
      <c r="AH572" s="25"/>
      <c r="AI572" s="25"/>
      <c r="AN572" s="14"/>
      <c r="AV572" s="36"/>
      <c r="AW572" s="14"/>
      <c r="AX572" s="234"/>
      <c r="AY572" s="96"/>
      <c r="AZ572" s="14"/>
      <c r="BA572"/>
      <c r="BB572" s="14"/>
      <c r="BC572" s="14"/>
      <c r="BD572" s="14"/>
      <c r="BE572" s="36"/>
      <c r="BF572" s="20"/>
      <c r="BG572"/>
      <c r="BH572"/>
      <c r="BI572"/>
      <c r="BJ572"/>
      <c r="BK572"/>
      <c r="BL572"/>
      <c r="BM572"/>
      <c r="BN572"/>
      <c r="BS572"/>
      <c r="BT572"/>
      <c r="BU572"/>
      <c r="BV572"/>
    </row>
    <row r="573" spans="1:74" x14ac:dyDescent="0.3">
      <c r="A573" s="93">
        <v>46262</v>
      </c>
      <c r="B573">
        <v>4654</v>
      </c>
      <c r="C573" s="56" t="s">
        <v>963</v>
      </c>
      <c r="D573" t="s">
        <v>308</v>
      </c>
      <c r="E573" t="s">
        <v>1228</v>
      </c>
      <c r="F573" t="s">
        <v>364</v>
      </c>
      <c r="G573" t="s">
        <v>310</v>
      </c>
      <c r="H573" t="s">
        <v>300</v>
      </c>
      <c r="I573" s="93">
        <v>46211</v>
      </c>
      <c r="J573" s="93">
        <v>46211</v>
      </c>
      <c r="K573" s="93">
        <v>46211</v>
      </c>
      <c r="L573" s="93">
        <v>46295</v>
      </c>
      <c r="M573" s="14">
        <v>1</v>
      </c>
      <c r="N573" s="14">
        <v>200000000000</v>
      </c>
      <c r="O573" s="56">
        <v>101.010175645</v>
      </c>
      <c r="P573" s="56">
        <v>0</v>
      </c>
      <c r="Q573" s="14">
        <v>211379255400</v>
      </c>
      <c r="R573">
        <v>1.6184620000000001</v>
      </c>
      <c r="S573" t="s">
        <v>1184</v>
      </c>
      <c r="T573" s="57">
        <f>IF(Dealps[[#This Row],[MATURITY_DATE]]-Dealps[[#This Row],[POSTED_DT]]&lt;0,0,IF(Dealps[[#This Row],[VALUE_DATE]]-Dealps[[#This Row],[POSTED_DT]]&gt;0,Dealps[[#This Row],[MATURITY_DATE]]-Dealps[[#This Row],[VALUE_DATE]],Dealps[[#This Row],[MATURITY_DATE]]-Dealps[[#This Row],[POSTED_DT]]))</f>
        <v>33</v>
      </c>
      <c r="U573" s="25">
        <f>IF(Dealps[[#This Row],[TENOR]]=0,0,IF(Dealps[[#This Row],[DEAL_TYPE]]="B",Dealps[[#This Row],[FACE_AMOUNT]],-Dealps[[#This Row],[FACE_AMOUNT]]))</f>
        <v>200000000000</v>
      </c>
      <c r="V573" s="25">
        <f>_xlfn.XLOOKUP(Dealps[[#This Row],[PAPER_CODE]],FNRP!D:D,FNRP!H:H,0,0)/100*Dealps[[#This Row],[AMOUNT]]</f>
        <v>0</v>
      </c>
      <c r="W573" s="57" t="str">
        <f>IF(Dealps[[#This Row],[TRANSACTION_STATUS]]&lt;&gt;"V","Ngoai BS",IF(Dealps[[#This Row],[POSTED_DT]]&gt;=Dealps[[#This Row],[VALUE_DATE]],"On BS","Off BS"))</f>
        <v>On BS</v>
      </c>
      <c r="X573" s="25">
        <f>SUMIFS(U:U,C:C,Dealps[[#This Row],[PAPER_CODE]])</f>
        <v>400000000000</v>
      </c>
      <c r="Y573" s="25">
        <f>_xlfn.XLOOKUP(Dealps[[#This Row],[DEAL_ID]],Ref!N:N,Ref!Q:Q,0,0)</f>
        <v>0</v>
      </c>
      <c r="Z573" s="25" t="str">
        <f>IF(Dealps[[#This Row],[CPTY_CODE]]=Dealps[[#This Row],[CPTY_CODE_ISSUER]],"Yes","No")</f>
        <v>No</v>
      </c>
      <c r="AA573" s="25"/>
      <c r="AC573" s="14"/>
      <c r="AG573" s="96"/>
      <c r="AH573" s="25"/>
      <c r="AI573" s="25"/>
      <c r="AN573" s="14"/>
      <c r="AV573" s="36"/>
      <c r="AW573" s="14"/>
      <c r="AX573" s="234"/>
      <c r="AY573" s="96"/>
      <c r="AZ573" s="14"/>
      <c r="BA573"/>
      <c r="BB573" s="14"/>
      <c r="BC573" s="14"/>
      <c r="BD573" s="14"/>
      <c r="BE573" s="36"/>
      <c r="BF573" s="20"/>
      <c r="BG573"/>
      <c r="BH573"/>
      <c r="BI573"/>
      <c r="BJ573"/>
      <c r="BK573"/>
      <c r="BL573"/>
      <c r="BM573"/>
      <c r="BN573"/>
      <c r="BS573"/>
      <c r="BT573"/>
      <c r="BU573"/>
      <c r="BV573"/>
    </row>
    <row r="574" spans="1:74" x14ac:dyDescent="0.3">
      <c r="A574" s="93">
        <v>46262</v>
      </c>
      <c r="B574">
        <v>4655</v>
      </c>
      <c r="C574" s="56" t="s">
        <v>1314</v>
      </c>
      <c r="D574" t="s">
        <v>316</v>
      </c>
      <c r="E574" t="s">
        <v>1152</v>
      </c>
      <c r="F574" t="s">
        <v>364</v>
      </c>
      <c r="G574" t="s">
        <v>310</v>
      </c>
      <c r="H574" t="s">
        <v>311</v>
      </c>
      <c r="I574" s="93">
        <v>46211</v>
      </c>
      <c r="J574" s="93">
        <v>46211</v>
      </c>
      <c r="K574" s="93">
        <v>46211</v>
      </c>
      <c r="L574" s="93">
        <v>46402</v>
      </c>
      <c r="M574" s="14">
        <v>1</v>
      </c>
      <c r="N574" s="14">
        <v>400000000000</v>
      </c>
      <c r="O574" s="56">
        <v>100.82065513400001</v>
      </c>
      <c r="P574" s="56">
        <v>0</v>
      </c>
      <c r="Q574" s="14">
        <v>417583990400</v>
      </c>
      <c r="R574">
        <v>5.6819540000000002</v>
      </c>
      <c r="S574" t="s">
        <v>1184</v>
      </c>
      <c r="T574" s="57">
        <f>IF(Dealps[[#This Row],[MATURITY_DATE]]-Dealps[[#This Row],[POSTED_DT]]&lt;0,0,IF(Dealps[[#This Row],[VALUE_DATE]]-Dealps[[#This Row],[POSTED_DT]]&gt;0,Dealps[[#This Row],[MATURITY_DATE]]-Dealps[[#This Row],[VALUE_DATE]],Dealps[[#This Row],[MATURITY_DATE]]-Dealps[[#This Row],[POSTED_DT]]))</f>
        <v>140</v>
      </c>
      <c r="U574" s="25">
        <f>IF(Dealps[[#This Row],[TENOR]]=0,0,IF(Dealps[[#This Row],[DEAL_TYPE]]="B",Dealps[[#This Row],[FACE_AMOUNT]],-Dealps[[#This Row],[FACE_AMOUNT]]))</f>
        <v>-400000000000</v>
      </c>
      <c r="V574" s="25">
        <f>_xlfn.XLOOKUP(Dealps[[#This Row],[PAPER_CODE]],FNRP!D:D,FNRP!H:H,0,0)/100*Dealps[[#This Row],[AMOUNT]]</f>
        <v>0</v>
      </c>
      <c r="W574" s="57" t="str">
        <f>IF(Dealps[[#This Row],[TRANSACTION_STATUS]]&lt;&gt;"V","Ngoai BS",IF(Dealps[[#This Row],[POSTED_DT]]&gt;=Dealps[[#This Row],[VALUE_DATE]],"On BS","Off BS"))</f>
        <v>On BS</v>
      </c>
      <c r="X574" s="25">
        <f>SUMIFS(U:U,C:C,Dealps[[#This Row],[PAPER_CODE]])</f>
        <v>0</v>
      </c>
      <c r="Y574" s="25">
        <f>_xlfn.XLOOKUP(Dealps[[#This Row],[DEAL_ID]],Ref!N:N,Ref!Q:Q,0,0)</f>
        <v>0</v>
      </c>
      <c r="Z574" s="25" t="str">
        <f>IF(Dealps[[#This Row],[CPTY_CODE]]=Dealps[[#This Row],[CPTY_CODE_ISSUER]],"Yes","No")</f>
        <v>No</v>
      </c>
      <c r="AA574" s="25"/>
      <c r="AC574" s="14"/>
      <c r="AG574" s="96"/>
      <c r="AH574" s="25"/>
      <c r="AI574" s="25"/>
      <c r="AN574" s="14"/>
      <c r="AV574" s="36"/>
      <c r="AW574" s="14"/>
      <c r="AX574" s="234"/>
      <c r="AY574" s="96"/>
      <c r="AZ574" s="14"/>
      <c r="BA574"/>
      <c r="BB574" s="14"/>
      <c r="BC574" s="14"/>
      <c r="BD574" s="14"/>
      <c r="BE574" s="36"/>
      <c r="BF574" s="20"/>
      <c r="BG574"/>
      <c r="BH574"/>
      <c r="BI574"/>
      <c r="BJ574"/>
      <c r="BK574"/>
      <c r="BL574"/>
      <c r="BM574"/>
      <c r="BN574"/>
      <c r="BS574"/>
      <c r="BT574"/>
      <c r="BU574"/>
      <c r="BV574"/>
    </row>
    <row r="575" spans="1:74" x14ac:dyDescent="0.3">
      <c r="A575" s="93">
        <v>46262</v>
      </c>
      <c r="B575">
        <v>4656</v>
      </c>
      <c r="C575" s="56" t="s">
        <v>1233</v>
      </c>
      <c r="D575" t="s">
        <v>343</v>
      </c>
      <c r="E575" t="s">
        <v>471</v>
      </c>
      <c r="F575" t="s">
        <v>364</v>
      </c>
      <c r="G575" t="s">
        <v>310</v>
      </c>
      <c r="H575" t="s">
        <v>311</v>
      </c>
      <c r="I575" s="93">
        <v>46211</v>
      </c>
      <c r="J575" s="93">
        <v>46153</v>
      </c>
      <c r="K575" s="93">
        <v>46211</v>
      </c>
      <c r="L575" s="93">
        <v>46316</v>
      </c>
      <c r="M575" s="14">
        <v>1</v>
      </c>
      <c r="N575" s="14">
        <v>100000000000</v>
      </c>
      <c r="O575" s="56">
        <v>100.65704191499999</v>
      </c>
      <c r="P575" s="56">
        <v>0</v>
      </c>
      <c r="Q575" s="14">
        <v>102110192600</v>
      </c>
      <c r="R575">
        <v>4.4226700000000001</v>
      </c>
      <c r="S575" t="s">
        <v>1184</v>
      </c>
      <c r="T575" s="57">
        <f>IF(Dealps[[#This Row],[MATURITY_DATE]]-Dealps[[#This Row],[POSTED_DT]]&lt;0,0,IF(Dealps[[#This Row],[VALUE_DATE]]-Dealps[[#This Row],[POSTED_DT]]&gt;0,Dealps[[#This Row],[MATURITY_DATE]]-Dealps[[#This Row],[VALUE_DATE]],Dealps[[#This Row],[MATURITY_DATE]]-Dealps[[#This Row],[POSTED_DT]]))</f>
        <v>54</v>
      </c>
      <c r="U575" s="25">
        <f>IF(Dealps[[#This Row],[TENOR]]=0,0,IF(Dealps[[#This Row],[DEAL_TYPE]]="B",Dealps[[#This Row],[FACE_AMOUNT]],-Dealps[[#This Row],[FACE_AMOUNT]]))</f>
        <v>-100000000000</v>
      </c>
      <c r="V575" s="25">
        <f>_xlfn.XLOOKUP(Dealps[[#This Row],[PAPER_CODE]],FNRP!D:D,FNRP!H:H,0,0)/100*Dealps[[#This Row],[AMOUNT]]</f>
        <v>0</v>
      </c>
      <c r="W575" s="57" t="str">
        <f>IF(Dealps[[#This Row],[TRANSACTION_STATUS]]&lt;&gt;"V","Ngoai BS",IF(Dealps[[#This Row],[POSTED_DT]]&gt;=Dealps[[#This Row],[VALUE_DATE]],"On BS","Off BS"))</f>
        <v>On BS</v>
      </c>
      <c r="X575" s="25">
        <f>SUMIFS(U:U,C:C,Dealps[[#This Row],[PAPER_CODE]])</f>
        <v>0</v>
      </c>
      <c r="Y575" s="25">
        <f>_xlfn.XLOOKUP(Dealps[[#This Row],[DEAL_ID]],Ref!N:N,Ref!Q:Q,0,0)</f>
        <v>0</v>
      </c>
      <c r="Z575" s="25" t="str">
        <f>IF(Dealps[[#This Row],[CPTY_CODE]]=Dealps[[#This Row],[CPTY_CODE_ISSUER]],"Yes","No")</f>
        <v>No</v>
      </c>
      <c r="AA575" s="25"/>
      <c r="AC575" s="14"/>
      <c r="AG575" s="96"/>
      <c r="AH575" s="25"/>
      <c r="AI575" s="25"/>
      <c r="AN575" s="14"/>
      <c r="AV575" s="36"/>
      <c r="AW575" s="14"/>
      <c r="AX575" s="234"/>
      <c r="AY575" s="96"/>
      <c r="AZ575" s="14"/>
      <c r="BA575"/>
      <c r="BB575" s="14"/>
      <c r="BC575" s="14"/>
      <c r="BD575" s="14"/>
      <c r="BE575" s="36"/>
      <c r="BF575" s="20"/>
      <c r="BG575"/>
      <c r="BH575"/>
      <c r="BI575"/>
      <c r="BJ575"/>
      <c r="BK575"/>
      <c r="BL575"/>
      <c r="BM575"/>
      <c r="BN575"/>
      <c r="BS575"/>
      <c r="BT575"/>
      <c r="BU575"/>
      <c r="BV575"/>
    </row>
    <row r="576" spans="1:74" x14ac:dyDescent="0.3">
      <c r="A576" s="93">
        <v>46262</v>
      </c>
      <c r="B576">
        <v>4657</v>
      </c>
      <c r="C576" s="56" t="s">
        <v>1234</v>
      </c>
      <c r="D576" t="s">
        <v>343</v>
      </c>
      <c r="E576" t="s">
        <v>471</v>
      </c>
      <c r="F576" t="s">
        <v>364</v>
      </c>
      <c r="G576" t="s">
        <v>310</v>
      </c>
      <c r="H576" t="s">
        <v>311</v>
      </c>
      <c r="I576" s="93">
        <v>46211</v>
      </c>
      <c r="J576" s="93">
        <v>46153</v>
      </c>
      <c r="K576" s="93">
        <v>46211</v>
      </c>
      <c r="L576" s="93">
        <v>46315</v>
      </c>
      <c r="M576" s="14">
        <v>1</v>
      </c>
      <c r="N576" s="14">
        <v>100000000000</v>
      </c>
      <c r="O576" s="56">
        <v>100.689485496</v>
      </c>
      <c r="P576" s="56">
        <v>0</v>
      </c>
      <c r="Q576" s="14">
        <v>105480444400</v>
      </c>
      <c r="R576">
        <v>4.0577860000000001</v>
      </c>
      <c r="S576" t="s">
        <v>1184</v>
      </c>
      <c r="T576" s="57">
        <f>IF(Dealps[[#This Row],[MATURITY_DATE]]-Dealps[[#This Row],[POSTED_DT]]&lt;0,0,IF(Dealps[[#This Row],[VALUE_DATE]]-Dealps[[#This Row],[POSTED_DT]]&gt;0,Dealps[[#This Row],[MATURITY_DATE]]-Dealps[[#This Row],[VALUE_DATE]],Dealps[[#This Row],[MATURITY_DATE]]-Dealps[[#This Row],[POSTED_DT]]))</f>
        <v>53</v>
      </c>
      <c r="U576" s="25">
        <f>IF(Dealps[[#This Row],[TENOR]]=0,0,IF(Dealps[[#This Row],[DEAL_TYPE]]="B",Dealps[[#This Row],[FACE_AMOUNT]],-Dealps[[#This Row],[FACE_AMOUNT]]))</f>
        <v>-100000000000</v>
      </c>
      <c r="V576" s="25">
        <f>_xlfn.XLOOKUP(Dealps[[#This Row],[PAPER_CODE]],FNRP!D:D,FNRP!H:H,0,0)/100*Dealps[[#This Row],[AMOUNT]]</f>
        <v>0</v>
      </c>
      <c r="W576" s="57" t="str">
        <f>IF(Dealps[[#This Row],[TRANSACTION_STATUS]]&lt;&gt;"V","Ngoai BS",IF(Dealps[[#This Row],[POSTED_DT]]&gt;=Dealps[[#This Row],[VALUE_DATE]],"On BS","Off BS"))</f>
        <v>On BS</v>
      </c>
      <c r="X576" s="25">
        <f>SUMIFS(U:U,C:C,Dealps[[#This Row],[PAPER_CODE]])</f>
        <v>0</v>
      </c>
      <c r="Y576" s="25">
        <f>_xlfn.XLOOKUP(Dealps[[#This Row],[DEAL_ID]],Ref!N:N,Ref!Q:Q,0,0)</f>
        <v>0</v>
      </c>
      <c r="Z576" s="25" t="str">
        <f>IF(Dealps[[#This Row],[CPTY_CODE]]=Dealps[[#This Row],[CPTY_CODE_ISSUER]],"Yes","No")</f>
        <v>No</v>
      </c>
      <c r="AA576" s="25"/>
      <c r="AC576" s="14"/>
      <c r="AG576" s="96"/>
      <c r="AH576" s="25"/>
      <c r="AI576" s="25"/>
      <c r="AN576" s="14"/>
      <c r="AV576" s="36"/>
      <c r="AW576" s="14"/>
      <c r="AX576" s="234"/>
      <c r="AY576" s="96"/>
      <c r="AZ576" s="14"/>
      <c r="BA576"/>
      <c r="BB576" s="14"/>
      <c r="BC576" s="14"/>
      <c r="BD576" s="14"/>
      <c r="BE576" s="36"/>
      <c r="BF576" s="20"/>
      <c r="BG576"/>
      <c r="BH576"/>
      <c r="BI576"/>
      <c r="BJ576"/>
      <c r="BK576"/>
      <c r="BL576"/>
      <c r="BM576"/>
      <c r="BN576"/>
      <c r="BS576"/>
      <c r="BT576"/>
      <c r="BU576"/>
      <c r="BV576"/>
    </row>
    <row r="577" spans="1:74" x14ac:dyDescent="0.3">
      <c r="A577" s="93">
        <v>46262</v>
      </c>
      <c r="B577">
        <v>4658</v>
      </c>
      <c r="C577" s="56" t="s">
        <v>1292</v>
      </c>
      <c r="D577" t="s">
        <v>334</v>
      </c>
      <c r="E577" t="s">
        <v>321</v>
      </c>
      <c r="F577" t="s">
        <v>364</v>
      </c>
      <c r="G577" t="s">
        <v>310</v>
      </c>
      <c r="H577" t="s">
        <v>300</v>
      </c>
      <c r="I577" s="93">
        <v>46211</v>
      </c>
      <c r="J577" s="93">
        <v>46182</v>
      </c>
      <c r="K577" s="93">
        <v>46211</v>
      </c>
      <c r="L577" s="93">
        <v>46527</v>
      </c>
      <c r="M577" s="14">
        <v>1</v>
      </c>
      <c r="N577" s="14">
        <v>600000000000</v>
      </c>
      <c r="O577" s="56">
        <v>99.930197981000006</v>
      </c>
      <c r="P577" s="56">
        <v>0</v>
      </c>
      <c r="Q577" s="14">
        <v>606288037200</v>
      </c>
      <c r="R577">
        <v>8.4916330000000002</v>
      </c>
      <c r="S577" t="s">
        <v>1184</v>
      </c>
      <c r="T577" s="57">
        <f>IF(Dealps[[#This Row],[MATURITY_DATE]]-Dealps[[#This Row],[POSTED_DT]]&lt;0,0,IF(Dealps[[#This Row],[VALUE_DATE]]-Dealps[[#This Row],[POSTED_DT]]&gt;0,Dealps[[#This Row],[MATURITY_DATE]]-Dealps[[#This Row],[VALUE_DATE]],Dealps[[#This Row],[MATURITY_DATE]]-Dealps[[#This Row],[POSTED_DT]]))</f>
        <v>265</v>
      </c>
      <c r="U577" s="25">
        <f>IF(Dealps[[#This Row],[TENOR]]=0,0,IF(Dealps[[#This Row],[DEAL_TYPE]]="B",Dealps[[#This Row],[FACE_AMOUNT]],-Dealps[[#This Row],[FACE_AMOUNT]]))</f>
        <v>600000000000</v>
      </c>
      <c r="V577" s="25">
        <f>_xlfn.XLOOKUP(Dealps[[#This Row],[PAPER_CODE]],FNRP!D:D,FNRP!H:H,0,0)/100*Dealps[[#This Row],[AMOUNT]]</f>
        <v>0</v>
      </c>
      <c r="W577" s="57" t="str">
        <f>IF(Dealps[[#This Row],[TRANSACTION_STATUS]]&lt;&gt;"V","Ngoai BS",IF(Dealps[[#This Row],[POSTED_DT]]&gt;=Dealps[[#This Row],[VALUE_DATE]],"On BS","Off BS"))</f>
        <v>On BS</v>
      </c>
      <c r="X577" s="25">
        <f>SUMIFS(U:U,C:C,Dealps[[#This Row],[PAPER_CODE]])</f>
        <v>2000000000000</v>
      </c>
      <c r="Y577" s="25">
        <f>_xlfn.XLOOKUP(Dealps[[#This Row],[DEAL_ID]],Ref!N:N,Ref!Q:Q,0,0)</f>
        <v>0</v>
      </c>
      <c r="Z577" s="25" t="str">
        <f>IF(Dealps[[#This Row],[CPTY_CODE]]=Dealps[[#This Row],[CPTY_CODE_ISSUER]],"Yes","No")</f>
        <v>No</v>
      </c>
      <c r="AA577" s="25"/>
      <c r="AC577" s="14"/>
      <c r="AG577" s="96"/>
      <c r="AH577" s="25"/>
      <c r="AI577" s="25"/>
      <c r="AN577" s="14"/>
      <c r="AV577" s="36"/>
      <c r="AW577" s="14"/>
      <c r="AX577" s="234"/>
      <c r="AY577" s="96"/>
      <c r="AZ577" s="14"/>
      <c r="BA577"/>
      <c r="BB577" s="14"/>
      <c r="BC577" s="14"/>
      <c r="BD577" s="14"/>
      <c r="BE577" s="36"/>
      <c r="BF577" s="20"/>
      <c r="BG577"/>
      <c r="BH577"/>
      <c r="BI577"/>
      <c r="BJ577"/>
      <c r="BK577"/>
      <c r="BL577"/>
      <c r="BM577"/>
      <c r="BN577"/>
      <c r="BS577"/>
      <c r="BT577"/>
      <c r="BU577"/>
      <c r="BV577"/>
    </row>
    <row r="578" spans="1:74" x14ac:dyDescent="0.3">
      <c r="A578" s="93">
        <v>46262</v>
      </c>
      <c r="B578">
        <v>4659</v>
      </c>
      <c r="C578" s="56" t="s">
        <v>1158</v>
      </c>
      <c r="D578" t="s">
        <v>327</v>
      </c>
      <c r="E578" t="s">
        <v>322</v>
      </c>
      <c r="F578" t="s">
        <v>364</v>
      </c>
      <c r="G578" t="s">
        <v>310</v>
      </c>
      <c r="H578" t="s">
        <v>311</v>
      </c>
      <c r="I578" s="93">
        <v>46211</v>
      </c>
      <c r="J578" s="93">
        <v>46211</v>
      </c>
      <c r="K578" s="93">
        <v>46212</v>
      </c>
      <c r="L578" s="93">
        <v>46409</v>
      </c>
      <c r="M578" s="14">
        <v>1</v>
      </c>
      <c r="N578" s="14">
        <v>500000000000</v>
      </c>
      <c r="O578" s="56">
        <v>99.716220148999994</v>
      </c>
      <c r="P578" s="56">
        <v>0</v>
      </c>
      <c r="Q578" s="14">
        <v>515052333618.99994</v>
      </c>
      <c r="R578">
        <v>7.5</v>
      </c>
      <c r="S578" t="s">
        <v>1184</v>
      </c>
      <c r="T578" s="57">
        <f>IF(Dealps[[#This Row],[MATURITY_DATE]]-Dealps[[#This Row],[POSTED_DT]]&lt;0,0,IF(Dealps[[#This Row],[VALUE_DATE]]-Dealps[[#This Row],[POSTED_DT]]&gt;0,Dealps[[#This Row],[MATURITY_DATE]]-Dealps[[#This Row],[VALUE_DATE]],Dealps[[#This Row],[MATURITY_DATE]]-Dealps[[#This Row],[POSTED_DT]]))</f>
        <v>147</v>
      </c>
      <c r="U578" s="25">
        <f>IF(Dealps[[#This Row],[TENOR]]=0,0,IF(Dealps[[#This Row],[DEAL_TYPE]]="B",Dealps[[#This Row],[FACE_AMOUNT]],-Dealps[[#This Row],[FACE_AMOUNT]]))</f>
        <v>-500000000000</v>
      </c>
      <c r="V578" s="25">
        <f>_xlfn.XLOOKUP(Dealps[[#This Row],[PAPER_CODE]],FNRP!D:D,FNRP!H:H,0,0)/100*Dealps[[#This Row],[AMOUNT]]</f>
        <v>0</v>
      </c>
      <c r="W578" s="57" t="str">
        <f>IF(Dealps[[#This Row],[TRANSACTION_STATUS]]&lt;&gt;"V","Ngoai BS",IF(Dealps[[#This Row],[POSTED_DT]]&gt;=Dealps[[#This Row],[VALUE_DATE]],"On BS","Off BS"))</f>
        <v>On BS</v>
      </c>
      <c r="X578" s="25">
        <f>SUMIFS(U:U,C:C,Dealps[[#This Row],[PAPER_CODE]])</f>
        <v>2000000000000</v>
      </c>
      <c r="Y578" s="25">
        <f>_xlfn.XLOOKUP(Dealps[[#This Row],[DEAL_ID]],Ref!N:N,Ref!Q:Q,0,0)</f>
        <v>0</v>
      </c>
      <c r="Z578" s="25" t="str">
        <f>IF(Dealps[[#This Row],[CPTY_CODE]]=Dealps[[#This Row],[CPTY_CODE_ISSUER]],"Yes","No")</f>
        <v>No</v>
      </c>
      <c r="AA578" s="25"/>
      <c r="AC578" s="14"/>
      <c r="AG578" s="96"/>
      <c r="AH578" s="25"/>
      <c r="AI578" s="25"/>
      <c r="AN578" s="14"/>
      <c r="AV578" s="36"/>
      <c r="AW578" s="14"/>
      <c r="AX578" s="234"/>
      <c r="AY578" s="96"/>
      <c r="AZ578" s="14"/>
      <c r="BA578"/>
      <c r="BB578" s="14"/>
      <c r="BC578" s="14"/>
      <c r="BD578" s="14"/>
      <c r="BE578" s="36"/>
      <c r="BF578" s="20"/>
      <c r="BG578"/>
      <c r="BH578"/>
      <c r="BI578"/>
      <c r="BJ578"/>
      <c r="BK578"/>
      <c r="BL578"/>
      <c r="BM578"/>
      <c r="BN578"/>
      <c r="BS578"/>
      <c r="BT578"/>
      <c r="BU578"/>
      <c r="BV578"/>
    </row>
    <row r="579" spans="1:74" x14ac:dyDescent="0.3">
      <c r="A579" s="93">
        <v>46262</v>
      </c>
      <c r="B579">
        <v>4661</v>
      </c>
      <c r="C579" s="56" t="s">
        <v>1158</v>
      </c>
      <c r="D579" t="s">
        <v>327</v>
      </c>
      <c r="E579" t="s">
        <v>315</v>
      </c>
      <c r="F579" t="s">
        <v>364</v>
      </c>
      <c r="G579" t="s">
        <v>310</v>
      </c>
      <c r="H579" t="s">
        <v>311</v>
      </c>
      <c r="I579" s="93">
        <v>46211</v>
      </c>
      <c r="J579" s="93">
        <v>46211</v>
      </c>
      <c r="K579" s="93">
        <v>46212</v>
      </c>
      <c r="L579" s="93">
        <v>46409</v>
      </c>
      <c r="M579" s="14">
        <v>1</v>
      </c>
      <c r="N579" s="14">
        <v>1000000000000</v>
      </c>
      <c r="O579" s="56">
        <v>99.823200001999993</v>
      </c>
      <c r="P579" s="56">
        <v>0</v>
      </c>
      <c r="Q579" s="14">
        <v>1031174465773.9999</v>
      </c>
      <c r="R579">
        <v>7.3</v>
      </c>
      <c r="S579" t="s">
        <v>1184</v>
      </c>
      <c r="T579" s="57">
        <f>IF(Dealps[[#This Row],[MATURITY_DATE]]-Dealps[[#This Row],[POSTED_DT]]&lt;0,0,IF(Dealps[[#This Row],[VALUE_DATE]]-Dealps[[#This Row],[POSTED_DT]]&gt;0,Dealps[[#This Row],[MATURITY_DATE]]-Dealps[[#This Row],[VALUE_DATE]],Dealps[[#This Row],[MATURITY_DATE]]-Dealps[[#This Row],[POSTED_DT]]))</f>
        <v>147</v>
      </c>
      <c r="U579" s="25">
        <f>IF(Dealps[[#This Row],[TENOR]]=0,0,IF(Dealps[[#This Row],[DEAL_TYPE]]="B",Dealps[[#This Row],[FACE_AMOUNT]],-Dealps[[#This Row],[FACE_AMOUNT]]))</f>
        <v>-1000000000000</v>
      </c>
      <c r="V579" s="25">
        <f>_xlfn.XLOOKUP(Dealps[[#This Row],[PAPER_CODE]],FNRP!D:D,FNRP!H:H,0,0)/100*Dealps[[#This Row],[AMOUNT]]</f>
        <v>0</v>
      </c>
      <c r="W579" s="57" t="str">
        <f>IF(Dealps[[#This Row],[TRANSACTION_STATUS]]&lt;&gt;"V","Ngoai BS",IF(Dealps[[#This Row],[POSTED_DT]]&gt;=Dealps[[#This Row],[VALUE_DATE]],"On BS","Off BS"))</f>
        <v>On BS</v>
      </c>
      <c r="X579" s="25">
        <f>SUMIFS(U:U,C:C,Dealps[[#This Row],[PAPER_CODE]])</f>
        <v>2000000000000</v>
      </c>
      <c r="Y579" s="25">
        <f>_xlfn.XLOOKUP(Dealps[[#This Row],[DEAL_ID]],Ref!N:N,Ref!Q:Q,0,0)</f>
        <v>0</v>
      </c>
      <c r="Z579" s="25" t="str">
        <f>IF(Dealps[[#This Row],[CPTY_CODE]]=Dealps[[#This Row],[CPTY_CODE_ISSUER]],"Yes","No")</f>
        <v>No</v>
      </c>
      <c r="AA579" s="25"/>
      <c r="AC579" s="14"/>
      <c r="AG579" s="96"/>
      <c r="AH579" s="25"/>
      <c r="AI579" s="25"/>
      <c r="AN579" s="14"/>
      <c r="AV579" s="36"/>
      <c r="AW579" s="14"/>
      <c r="AX579" s="234"/>
      <c r="AY579" s="96"/>
      <c r="AZ579" s="14"/>
      <c r="BA579"/>
      <c r="BB579" s="14"/>
      <c r="BC579" s="14"/>
      <c r="BD579" s="14"/>
      <c r="BE579" s="36"/>
      <c r="BF579" s="20"/>
      <c r="BG579"/>
      <c r="BH579"/>
      <c r="BI579"/>
      <c r="BJ579"/>
      <c r="BK579"/>
      <c r="BL579"/>
      <c r="BM579"/>
      <c r="BN579"/>
      <c r="BS579"/>
      <c r="BT579"/>
      <c r="BU579"/>
      <c r="BV579"/>
    </row>
    <row r="580" spans="1:74" x14ac:dyDescent="0.3">
      <c r="A580" s="93">
        <v>46262</v>
      </c>
      <c r="B580">
        <v>4663</v>
      </c>
      <c r="C580" s="56" t="s">
        <v>1010</v>
      </c>
      <c r="D580" t="s">
        <v>328</v>
      </c>
      <c r="E580" t="s">
        <v>315</v>
      </c>
      <c r="F580" t="s">
        <v>364</v>
      </c>
      <c r="G580" t="s">
        <v>310</v>
      </c>
      <c r="H580" t="s">
        <v>311</v>
      </c>
      <c r="I580" s="93">
        <v>46211</v>
      </c>
      <c r="J580" s="93">
        <v>46211</v>
      </c>
      <c r="K580" s="93">
        <v>46213</v>
      </c>
      <c r="L580" s="93">
        <v>46329</v>
      </c>
      <c r="M580" s="14">
        <v>1</v>
      </c>
      <c r="N580" s="14">
        <v>1000000000000</v>
      </c>
      <c r="O580" s="56">
        <v>99.689220454999997</v>
      </c>
      <c r="P580" s="56">
        <v>0</v>
      </c>
      <c r="Q580" s="14">
        <v>1039697684000.0001</v>
      </c>
      <c r="R580">
        <v>7</v>
      </c>
      <c r="S580" t="s">
        <v>1184</v>
      </c>
      <c r="T580" s="57">
        <f>IF(Dealps[[#This Row],[MATURITY_DATE]]-Dealps[[#This Row],[POSTED_DT]]&lt;0,0,IF(Dealps[[#This Row],[VALUE_DATE]]-Dealps[[#This Row],[POSTED_DT]]&gt;0,Dealps[[#This Row],[MATURITY_DATE]]-Dealps[[#This Row],[VALUE_DATE]],Dealps[[#This Row],[MATURITY_DATE]]-Dealps[[#This Row],[POSTED_DT]]))</f>
        <v>67</v>
      </c>
      <c r="U580" s="25">
        <f>IF(Dealps[[#This Row],[TENOR]]=0,0,IF(Dealps[[#This Row],[DEAL_TYPE]]="B",Dealps[[#This Row],[FACE_AMOUNT]],-Dealps[[#This Row],[FACE_AMOUNT]]))</f>
        <v>-1000000000000</v>
      </c>
      <c r="V580" s="25">
        <f>_xlfn.XLOOKUP(Dealps[[#This Row],[PAPER_CODE]],FNRP!D:D,FNRP!H:H,0,0)/100*Dealps[[#This Row],[AMOUNT]]</f>
        <v>0</v>
      </c>
      <c r="W580" s="57" t="str">
        <f>IF(Dealps[[#This Row],[TRANSACTION_STATUS]]&lt;&gt;"V","Ngoai BS",IF(Dealps[[#This Row],[POSTED_DT]]&gt;=Dealps[[#This Row],[VALUE_DATE]],"On BS","Off BS"))</f>
        <v>On BS</v>
      </c>
      <c r="X580" s="25">
        <f>SUMIFS(U:U,C:C,Dealps[[#This Row],[PAPER_CODE]])</f>
        <v>2000000000000</v>
      </c>
      <c r="Y580" s="25">
        <f>_xlfn.XLOOKUP(Dealps[[#This Row],[DEAL_ID]],Ref!N:N,Ref!Q:Q,0,0)</f>
        <v>0</v>
      </c>
      <c r="Z580" s="25" t="str">
        <f>IF(Dealps[[#This Row],[CPTY_CODE]]=Dealps[[#This Row],[CPTY_CODE_ISSUER]],"Yes","No")</f>
        <v>No</v>
      </c>
      <c r="AA580" s="25"/>
      <c r="AC580" s="14"/>
      <c r="AG580" s="96"/>
      <c r="AH580" s="25"/>
      <c r="AI580" s="25"/>
      <c r="AN580" s="14"/>
      <c r="AV580" s="36"/>
      <c r="AW580" s="14"/>
      <c r="AX580" s="234"/>
      <c r="AY580" s="96"/>
      <c r="AZ580" s="14"/>
      <c r="BA580"/>
      <c r="BB580" s="14"/>
      <c r="BC580" s="14"/>
      <c r="BD580" s="14"/>
      <c r="BE580" s="36"/>
      <c r="BF580" s="20"/>
      <c r="BG580"/>
      <c r="BH580"/>
      <c r="BI580"/>
      <c r="BJ580"/>
      <c r="BK580"/>
      <c r="BL580"/>
      <c r="BM580"/>
      <c r="BN580"/>
      <c r="BS580"/>
      <c r="BT580"/>
      <c r="BU580"/>
      <c r="BV580"/>
    </row>
    <row r="581" spans="1:74" x14ac:dyDescent="0.3">
      <c r="A581" s="93">
        <v>46262</v>
      </c>
      <c r="B581">
        <v>4665</v>
      </c>
      <c r="C581" s="56" t="s">
        <v>1204</v>
      </c>
      <c r="D581" t="s">
        <v>315</v>
      </c>
      <c r="E581" t="s">
        <v>1387</v>
      </c>
      <c r="F581" t="s">
        <v>364</v>
      </c>
      <c r="G581" t="s">
        <v>310</v>
      </c>
      <c r="H581" t="s">
        <v>311</v>
      </c>
      <c r="I581" s="93">
        <v>46212</v>
      </c>
      <c r="J581" s="93">
        <v>46216</v>
      </c>
      <c r="K581" s="93">
        <v>46216</v>
      </c>
      <c r="L581" s="93">
        <v>46422</v>
      </c>
      <c r="M581" s="14">
        <v>1</v>
      </c>
      <c r="N581" s="14">
        <v>50000000000</v>
      </c>
      <c r="O581" s="56">
        <v>100.517018386</v>
      </c>
      <c r="P581" s="56">
        <v>0</v>
      </c>
      <c r="Q581" s="14">
        <v>51835440700</v>
      </c>
      <c r="R581">
        <v>6.1</v>
      </c>
      <c r="S581" t="s">
        <v>1184</v>
      </c>
      <c r="T581" s="57">
        <f>IF(Dealps[[#This Row],[MATURITY_DATE]]-Dealps[[#This Row],[POSTED_DT]]&lt;0,0,IF(Dealps[[#This Row],[VALUE_DATE]]-Dealps[[#This Row],[POSTED_DT]]&gt;0,Dealps[[#This Row],[MATURITY_DATE]]-Dealps[[#This Row],[VALUE_DATE]],Dealps[[#This Row],[MATURITY_DATE]]-Dealps[[#This Row],[POSTED_DT]]))</f>
        <v>160</v>
      </c>
      <c r="U581" s="25">
        <f>IF(Dealps[[#This Row],[TENOR]]=0,0,IF(Dealps[[#This Row],[DEAL_TYPE]]="B",Dealps[[#This Row],[FACE_AMOUNT]],-Dealps[[#This Row],[FACE_AMOUNT]]))</f>
        <v>-50000000000</v>
      </c>
      <c r="V581" s="25">
        <f>_xlfn.XLOOKUP(Dealps[[#This Row],[PAPER_CODE]],FNRP!D:D,FNRP!H:H,0,0)/100*Dealps[[#This Row],[AMOUNT]]</f>
        <v>0</v>
      </c>
      <c r="W581" s="57" t="str">
        <f>IF(Dealps[[#This Row],[TRANSACTION_STATUS]]&lt;&gt;"V","Ngoai BS",IF(Dealps[[#This Row],[POSTED_DT]]&gt;=Dealps[[#This Row],[VALUE_DATE]],"On BS","Off BS"))</f>
        <v>On BS</v>
      </c>
      <c r="X581" s="25">
        <f>SUMIFS(U:U,C:C,Dealps[[#This Row],[PAPER_CODE]])</f>
        <v>1000000000000</v>
      </c>
      <c r="Y581" s="25">
        <f>_xlfn.XLOOKUP(Dealps[[#This Row],[DEAL_ID]],Ref!N:N,Ref!Q:Q,0,0)</f>
        <v>0</v>
      </c>
      <c r="Z581" s="25" t="str">
        <f>IF(Dealps[[#This Row],[CPTY_CODE]]=Dealps[[#This Row],[CPTY_CODE_ISSUER]],"Yes","No")</f>
        <v>No</v>
      </c>
      <c r="AA581" s="25"/>
      <c r="AC581" s="14"/>
      <c r="AG581" s="96"/>
      <c r="AH581" s="25"/>
      <c r="AI581" s="25"/>
      <c r="AN581" s="14"/>
      <c r="AV581" s="36"/>
      <c r="AW581" s="14"/>
      <c r="AX581" s="234"/>
      <c r="AY581" s="96"/>
      <c r="AZ581" s="14"/>
      <c r="BA581"/>
      <c r="BB581" s="14"/>
      <c r="BC581" s="14"/>
      <c r="BD581" s="14"/>
      <c r="BE581" s="36"/>
      <c r="BF581" s="20"/>
      <c r="BG581"/>
      <c r="BH581"/>
      <c r="BI581"/>
      <c r="BJ581"/>
      <c r="BK581"/>
      <c r="BL581"/>
      <c r="BM581"/>
      <c r="BN581"/>
      <c r="BS581"/>
      <c r="BT581"/>
      <c r="BU581"/>
      <c r="BV581"/>
    </row>
    <row r="582" spans="1:74" x14ac:dyDescent="0.3">
      <c r="A582" s="93">
        <v>46262</v>
      </c>
      <c r="B582">
        <v>4670</v>
      </c>
      <c r="C582" s="56" t="s">
        <v>963</v>
      </c>
      <c r="D582" t="s">
        <v>308</v>
      </c>
      <c r="E582" t="s">
        <v>347</v>
      </c>
      <c r="F582" t="s">
        <v>364</v>
      </c>
      <c r="G582" t="s">
        <v>310</v>
      </c>
      <c r="H582" t="s">
        <v>311</v>
      </c>
      <c r="I582" s="93">
        <v>46212</v>
      </c>
      <c r="J582" s="93">
        <v>46212</v>
      </c>
      <c r="K582" s="93">
        <v>46216</v>
      </c>
      <c r="L582" s="93">
        <v>46295</v>
      </c>
      <c r="M582" s="14">
        <v>1</v>
      </c>
      <c r="N582" s="14">
        <v>100000000000</v>
      </c>
      <c r="O582" s="56">
        <v>100.40973730100001</v>
      </c>
      <c r="P582" s="56">
        <v>0</v>
      </c>
      <c r="Q582" s="14">
        <v>105172751000</v>
      </c>
      <c r="R582">
        <v>4</v>
      </c>
      <c r="S582" t="s">
        <v>1184</v>
      </c>
      <c r="T582" s="57">
        <f>IF(Dealps[[#This Row],[MATURITY_DATE]]-Dealps[[#This Row],[POSTED_DT]]&lt;0,0,IF(Dealps[[#This Row],[VALUE_DATE]]-Dealps[[#This Row],[POSTED_DT]]&gt;0,Dealps[[#This Row],[MATURITY_DATE]]-Dealps[[#This Row],[VALUE_DATE]],Dealps[[#This Row],[MATURITY_DATE]]-Dealps[[#This Row],[POSTED_DT]]))</f>
        <v>33</v>
      </c>
      <c r="U582" s="25">
        <f>IF(Dealps[[#This Row],[TENOR]]=0,0,IF(Dealps[[#This Row],[DEAL_TYPE]]="B",Dealps[[#This Row],[FACE_AMOUNT]],-Dealps[[#This Row],[FACE_AMOUNT]]))</f>
        <v>-100000000000</v>
      </c>
      <c r="V582" s="25">
        <f>_xlfn.XLOOKUP(Dealps[[#This Row],[PAPER_CODE]],FNRP!D:D,FNRP!H:H,0,0)/100*Dealps[[#This Row],[AMOUNT]]</f>
        <v>0</v>
      </c>
      <c r="W582" s="57" t="str">
        <f>IF(Dealps[[#This Row],[TRANSACTION_STATUS]]&lt;&gt;"V","Ngoai BS",IF(Dealps[[#This Row],[POSTED_DT]]&gt;=Dealps[[#This Row],[VALUE_DATE]],"On BS","Off BS"))</f>
        <v>On BS</v>
      </c>
      <c r="X582" s="25">
        <f>SUMIFS(U:U,C:C,Dealps[[#This Row],[PAPER_CODE]])</f>
        <v>400000000000</v>
      </c>
      <c r="Y582" s="25">
        <f>_xlfn.XLOOKUP(Dealps[[#This Row],[DEAL_ID]],Ref!N:N,Ref!Q:Q,0,0)</f>
        <v>0</v>
      </c>
      <c r="Z582" s="25" t="str">
        <f>IF(Dealps[[#This Row],[CPTY_CODE]]=Dealps[[#This Row],[CPTY_CODE_ISSUER]],"Yes","No")</f>
        <v>No</v>
      </c>
      <c r="AA582" s="25"/>
      <c r="AC582" s="14"/>
      <c r="AG582" s="96"/>
      <c r="AH582" s="25"/>
      <c r="AI582" s="25"/>
      <c r="AN582" s="14"/>
      <c r="AV582" s="36"/>
      <c r="AW582" s="14"/>
      <c r="AX582" s="234"/>
      <c r="AY582" s="96"/>
      <c r="AZ582" s="14"/>
      <c r="BA582"/>
      <c r="BB582" s="14"/>
      <c r="BC582" s="14"/>
      <c r="BD582" s="14"/>
      <c r="BE582" s="36"/>
      <c r="BF582" s="20"/>
      <c r="BG582"/>
      <c r="BH582"/>
      <c r="BI582"/>
      <c r="BJ582"/>
      <c r="BK582"/>
      <c r="BL582"/>
      <c r="BM582"/>
      <c r="BN582"/>
      <c r="BS582"/>
      <c r="BT582"/>
      <c r="BU582"/>
      <c r="BV582"/>
    </row>
    <row r="583" spans="1:74" x14ac:dyDescent="0.3">
      <c r="A583" s="93">
        <v>46262</v>
      </c>
      <c r="B583">
        <v>4674</v>
      </c>
      <c r="C583" s="56" t="s">
        <v>1004</v>
      </c>
      <c r="D583" t="s">
        <v>324</v>
      </c>
      <c r="E583" t="s">
        <v>347</v>
      </c>
      <c r="F583" t="s">
        <v>364</v>
      </c>
      <c r="G583" t="s">
        <v>310</v>
      </c>
      <c r="H583" t="s">
        <v>311</v>
      </c>
      <c r="I583" s="93">
        <v>46212</v>
      </c>
      <c r="J583" s="93">
        <v>46212</v>
      </c>
      <c r="K583" s="93">
        <v>46216</v>
      </c>
      <c r="L583" s="93">
        <v>46323</v>
      </c>
      <c r="M583" s="14">
        <v>1</v>
      </c>
      <c r="N583" s="14">
        <v>400000000000</v>
      </c>
      <c r="O583" s="56">
        <v>100.615019468</v>
      </c>
      <c r="P583" s="56">
        <v>0</v>
      </c>
      <c r="Q583" s="14">
        <v>420203639516</v>
      </c>
      <c r="R583">
        <v>4</v>
      </c>
      <c r="S583" t="s">
        <v>1184</v>
      </c>
      <c r="T583" s="57">
        <f>IF(Dealps[[#This Row],[MATURITY_DATE]]-Dealps[[#This Row],[POSTED_DT]]&lt;0,0,IF(Dealps[[#This Row],[VALUE_DATE]]-Dealps[[#This Row],[POSTED_DT]]&gt;0,Dealps[[#This Row],[MATURITY_DATE]]-Dealps[[#This Row],[VALUE_DATE]],Dealps[[#This Row],[MATURITY_DATE]]-Dealps[[#This Row],[POSTED_DT]]))</f>
        <v>61</v>
      </c>
      <c r="U583" s="25">
        <f>IF(Dealps[[#This Row],[TENOR]]=0,0,IF(Dealps[[#This Row],[DEAL_TYPE]]="B",Dealps[[#This Row],[FACE_AMOUNT]],-Dealps[[#This Row],[FACE_AMOUNT]]))</f>
        <v>-400000000000</v>
      </c>
      <c r="V583" s="25">
        <f>_xlfn.XLOOKUP(Dealps[[#This Row],[PAPER_CODE]],FNRP!D:D,FNRP!H:H,0,0)/100*Dealps[[#This Row],[AMOUNT]]</f>
        <v>0</v>
      </c>
      <c r="W583" s="57" t="str">
        <f>IF(Dealps[[#This Row],[TRANSACTION_STATUS]]&lt;&gt;"V","Ngoai BS",IF(Dealps[[#This Row],[POSTED_DT]]&gt;=Dealps[[#This Row],[VALUE_DATE]],"On BS","Off BS"))</f>
        <v>On BS</v>
      </c>
      <c r="X583" s="25">
        <f>SUMIFS(U:U,C:C,Dealps[[#This Row],[PAPER_CODE]])</f>
        <v>500000000000</v>
      </c>
      <c r="Y583" s="25">
        <f>_xlfn.XLOOKUP(Dealps[[#This Row],[DEAL_ID]],Ref!N:N,Ref!Q:Q,0,0)</f>
        <v>0</v>
      </c>
      <c r="Z583" s="25" t="str">
        <f>IF(Dealps[[#This Row],[CPTY_CODE]]=Dealps[[#This Row],[CPTY_CODE_ISSUER]],"Yes","No")</f>
        <v>No</v>
      </c>
      <c r="AA583" s="25"/>
      <c r="AC583" s="14"/>
      <c r="AG583" s="96"/>
      <c r="AH583" s="25"/>
      <c r="AI583" s="25"/>
      <c r="AN583" s="14"/>
      <c r="AV583" s="36"/>
      <c r="AW583" s="14"/>
      <c r="AX583" s="234"/>
      <c r="AY583" s="96"/>
      <c r="AZ583" s="14"/>
      <c r="BA583"/>
      <c r="BB583" s="14"/>
      <c r="BC583" s="14"/>
      <c r="BD583" s="14"/>
      <c r="BE583" s="36"/>
      <c r="BF583" s="20"/>
      <c r="BG583"/>
      <c r="BH583"/>
      <c r="BI583"/>
      <c r="BJ583"/>
      <c r="BK583"/>
      <c r="BL583"/>
      <c r="BM583"/>
      <c r="BN583"/>
      <c r="BS583"/>
      <c r="BT583"/>
      <c r="BU583"/>
      <c r="BV583"/>
    </row>
    <row r="584" spans="1:74" x14ac:dyDescent="0.3">
      <c r="A584" s="93">
        <v>46262</v>
      </c>
      <c r="B584">
        <v>4676</v>
      </c>
      <c r="C584" s="56" t="s">
        <v>1010</v>
      </c>
      <c r="D584" t="s">
        <v>328</v>
      </c>
      <c r="E584" t="s">
        <v>1005</v>
      </c>
      <c r="F584" t="s">
        <v>364</v>
      </c>
      <c r="G584" t="s">
        <v>310</v>
      </c>
      <c r="H584" t="s">
        <v>300</v>
      </c>
      <c r="I584" s="93">
        <v>46213</v>
      </c>
      <c r="J584" s="93">
        <v>46213</v>
      </c>
      <c r="K584" s="93">
        <v>46213</v>
      </c>
      <c r="L584" s="93">
        <v>46329</v>
      </c>
      <c r="M584" s="14">
        <v>1</v>
      </c>
      <c r="N584" s="14">
        <v>1000000000000</v>
      </c>
      <c r="O584" s="56">
        <v>100.576524155</v>
      </c>
      <c r="P584" s="56">
        <v>0</v>
      </c>
      <c r="Q584" s="14">
        <v>1048570720999.9999</v>
      </c>
      <c r="R584">
        <v>4.2781440000000002</v>
      </c>
      <c r="S584" t="s">
        <v>1184</v>
      </c>
      <c r="T584" s="57">
        <f>IF(Dealps[[#This Row],[MATURITY_DATE]]-Dealps[[#This Row],[POSTED_DT]]&lt;0,0,IF(Dealps[[#This Row],[VALUE_DATE]]-Dealps[[#This Row],[POSTED_DT]]&gt;0,Dealps[[#This Row],[MATURITY_DATE]]-Dealps[[#This Row],[VALUE_DATE]],Dealps[[#This Row],[MATURITY_DATE]]-Dealps[[#This Row],[POSTED_DT]]))</f>
        <v>67</v>
      </c>
      <c r="U584" s="25">
        <f>IF(Dealps[[#This Row],[TENOR]]=0,0,IF(Dealps[[#This Row],[DEAL_TYPE]]="B",Dealps[[#This Row],[FACE_AMOUNT]],-Dealps[[#This Row],[FACE_AMOUNT]]))</f>
        <v>1000000000000</v>
      </c>
      <c r="V584" s="25">
        <f>_xlfn.XLOOKUP(Dealps[[#This Row],[PAPER_CODE]],FNRP!D:D,FNRP!H:H,0,0)/100*Dealps[[#This Row],[AMOUNT]]</f>
        <v>0</v>
      </c>
      <c r="W584" s="57" t="str">
        <f>IF(Dealps[[#This Row],[TRANSACTION_STATUS]]&lt;&gt;"V","Ngoai BS",IF(Dealps[[#This Row],[POSTED_DT]]&gt;=Dealps[[#This Row],[VALUE_DATE]],"On BS","Off BS"))</f>
        <v>On BS</v>
      </c>
      <c r="X584" s="25">
        <f>SUMIFS(U:U,C:C,Dealps[[#This Row],[PAPER_CODE]])</f>
        <v>2000000000000</v>
      </c>
      <c r="Y584" s="25">
        <f>_xlfn.XLOOKUP(Dealps[[#This Row],[DEAL_ID]],Ref!N:N,Ref!Q:Q,0,0)</f>
        <v>0</v>
      </c>
      <c r="Z584" s="25" t="str">
        <f>IF(Dealps[[#This Row],[CPTY_CODE]]=Dealps[[#This Row],[CPTY_CODE_ISSUER]],"Yes","No")</f>
        <v>No</v>
      </c>
      <c r="AA584" s="25"/>
      <c r="AC584" s="14"/>
      <c r="AG584" s="96"/>
      <c r="AH584" s="25"/>
      <c r="AI584" s="25"/>
      <c r="AN584" s="14"/>
      <c r="AV584" s="36"/>
      <c r="AW584" s="14"/>
      <c r="AX584" s="234"/>
      <c r="AY584" s="96"/>
      <c r="AZ584" s="14"/>
      <c r="BA584"/>
      <c r="BB584" s="14"/>
      <c r="BC584" s="14"/>
      <c r="BD584" s="14"/>
      <c r="BE584" s="36"/>
      <c r="BF584" s="20"/>
      <c r="BG584"/>
      <c r="BH584"/>
      <c r="BI584"/>
      <c r="BJ584"/>
      <c r="BK584"/>
      <c r="BL584"/>
      <c r="BM584"/>
      <c r="BN584"/>
      <c r="BS584"/>
      <c r="BT584"/>
      <c r="BU584"/>
      <c r="BV584"/>
    </row>
    <row r="585" spans="1:74" x14ac:dyDescent="0.3">
      <c r="A585" s="93">
        <v>46262</v>
      </c>
      <c r="B585">
        <v>4677</v>
      </c>
      <c r="C585" s="56" t="s">
        <v>1258</v>
      </c>
      <c r="D585" t="s">
        <v>321</v>
      </c>
      <c r="E585" t="s">
        <v>954</v>
      </c>
      <c r="F585" t="s">
        <v>364</v>
      </c>
      <c r="G585" t="s">
        <v>310</v>
      </c>
      <c r="H585" t="s">
        <v>311</v>
      </c>
      <c r="I585" s="93">
        <v>46213</v>
      </c>
      <c r="J585" s="93">
        <v>46213</v>
      </c>
      <c r="K585" s="93">
        <v>46213</v>
      </c>
      <c r="L585" s="93">
        <v>46485</v>
      </c>
      <c r="M585" s="14">
        <v>1</v>
      </c>
      <c r="N585" s="14">
        <v>200000000000</v>
      </c>
      <c r="O585" s="56">
        <v>101.40497211900001</v>
      </c>
      <c r="P585" s="56">
        <v>0</v>
      </c>
      <c r="Q585" s="14">
        <v>206814327800</v>
      </c>
      <c r="R585">
        <v>6.3</v>
      </c>
      <c r="S585" t="s">
        <v>1184</v>
      </c>
      <c r="T585" s="57">
        <f>IF(Dealps[[#This Row],[MATURITY_DATE]]-Dealps[[#This Row],[POSTED_DT]]&lt;0,0,IF(Dealps[[#This Row],[VALUE_DATE]]-Dealps[[#This Row],[POSTED_DT]]&gt;0,Dealps[[#This Row],[MATURITY_DATE]]-Dealps[[#This Row],[VALUE_DATE]],Dealps[[#This Row],[MATURITY_DATE]]-Dealps[[#This Row],[POSTED_DT]]))</f>
        <v>223</v>
      </c>
      <c r="U585" s="25">
        <f>IF(Dealps[[#This Row],[TENOR]]=0,0,IF(Dealps[[#This Row],[DEAL_TYPE]]="B",Dealps[[#This Row],[FACE_AMOUNT]],-Dealps[[#This Row],[FACE_AMOUNT]]))</f>
        <v>-200000000000</v>
      </c>
      <c r="V585" s="25">
        <f>_xlfn.XLOOKUP(Dealps[[#This Row],[PAPER_CODE]],FNRP!D:D,FNRP!H:H,0,0)/100*Dealps[[#This Row],[AMOUNT]]</f>
        <v>0</v>
      </c>
      <c r="W585" s="57" t="str">
        <f>IF(Dealps[[#This Row],[TRANSACTION_STATUS]]&lt;&gt;"V","Ngoai BS",IF(Dealps[[#This Row],[POSTED_DT]]&gt;=Dealps[[#This Row],[VALUE_DATE]],"On BS","Off BS"))</f>
        <v>On BS</v>
      </c>
      <c r="X585" s="25">
        <f>SUMIFS(U:U,C:C,Dealps[[#This Row],[PAPER_CODE]])</f>
        <v>2000000000000</v>
      </c>
      <c r="Y585" s="25">
        <f>_xlfn.XLOOKUP(Dealps[[#This Row],[DEAL_ID]],Ref!N:N,Ref!Q:Q,0,0)</f>
        <v>0</v>
      </c>
      <c r="Z585" s="25" t="str">
        <f>IF(Dealps[[#This Row],[CPTY_CODE]]=Dealps[[#This Row],[CPTY_CODE_ISSUER]],"Yes","No")</f>
        <v>No</v>
      </c>
      <c r="AA585" s="25"/>
      <c r="AC585" s="14"/>
      <c r="AG585" s="96"/>
      <c r="AH585" s="25"/>
      <c r="AI585" s="25"/>
      <c r="AN585" s="14"/>
      <c r="AV585" s="36"/>
      <c r="AW585" s="14"/>
      <c r="AX585" s="234"/>
      <c r="AY585" s="96"/>
      <c r="AZ585" s="14"/>
      <c r="BA585"/>
      <c r="BB585" s="14"/>
      <c r="BC585" s="14"/>
      <c r="BD585" s="14"/>
      <c r="BE585" s="36"/>
      <c r="BF585" s="20"/>
      <c r="BG585"/>
      <c r="BH585"/>
      <c r="BI585"/>
      <c r="BJ585"/>
      <c r="BK585"/>
      <c r="BL585"/>
      <c r="BM585"/>
      <c r="BN585"/>
      <c r="BS585"/>
      <c r="BT585"/>
      <c r="BU585"/>
      <c r="BV585"/>
    </row>
    <row r="586" spans="1:74" x14ac:dyDescent="0.3">
      <c r="A586" s="93">
        <v>46262</v>
      </c>
      <c r="B586">
        <v>4679</v>
      </c>
      <c r="C586" s="56" t="s">
        <v>963</v>
      </c>
      <c r="D586" t="s">
        <v>308</v>
      </c>
      <c r="E586" t="s">
        <v>954</v>
      </c>
      <c r="F586" t="s">
        <v>364</v>
      </c>
      <c r="G586" t="s">
        <v>310</v>
      </c>
      <c r="H586" t="s">
        <v>311</v>
      </c>
      <c r="I586" s="93">
        <v>46213</v>
      </c>
      <c r="J586" s="93">
        <v>46213</v>
      </c>
      <c r="K586" s="93">
        <v>46213</v>
      </c>
      <c r="L586" s="93">
        <v>46295</v>
      </c>
      <c r="M586" s="14">
        <v>1</v>
      </c>
      <c r="N586" s="14">
        <v>100000000000</v>
      </c>
      <c r="O586" s="56">
        <v>100.660225088</v>
      </c>
      <c r="P586" s="56">
        <v>0</v>
      </c>
      <c r="Q586" s="14">
        <v>105373101800</v>
      </c>
      <c r="R586">
        <v>3</v>
      </c>
      <c r="S586" t="s">
        <v>1184</v>
      </c>
      <c r="T586" s="57">
        <f>IF(Dealps[[#This Row],[MATURITY_DATE]]-Dealps[[#This Row],[POSTED_DT]]&lt;0,0,IF(Dealps[[#This Row],[VALUE_DATE]]-Dealps[[#This Row],[POSTED_DT]]&gt;0,Dealps[[#This Row],[MATURITY_DATE]]-Dealps[[#This Row],[VALUE_DATE]],Dealps[[#This Row],[MATURITY_DATE]]-Dealps[[#This Row],[POSTED_DT]]))</f>
        <v>33</v>
      </c>
      <c r="U586" s="25">
        <f>IF(Dealps[[#This Row],[TENOR]]=0,0,IF(Dealps[[#This Row],[DEAL_TYPE]]="B",Dealps[[#This Row],[FACE_AMOUNT]],-Dealps[[#This Row],[FACE_AMOUNT]]))</f>
        <v>-100000000000</v>
      </c>
      <c r="V586" s="25">
        <f>_xlfn.XLOOKUP(Dealps[[#This Row],[PAPER_CODE]],FNRP!D:D,FNRP!H:H,0,0)/100*Dealps[[#This Row],[AMOUNT]]</f>
        <v>0</v>
      </c>
      <c r="W586" s="57" t="str">
        <f>IF(Dealps[[#This Row],[TRANSACTION_STATUS]]&lt;&gt;"V","Ngoai BS",IF(Dealps[[#This Row],[POSTED_DT]]&gt;=Dealps[[#This Row],[VALUE_DATE]],"On BS","Off BS"))</f>
        <v>On BS</v>
      </c>
      <c r="X586" s="25">
        <f>SUMIFS(U:U,C:C,Dealps[[#This Row],[PAPER_CODE]])</f>
        <v>400000000000</v>
      </c>
      <c r="Y586" s="25">
        <f>_xlfn.XLOOKUP(Dealps[[#This Row],[DEAL_ID]],Ref!N:N,Ref!Q:Q,0,0)</f>
        <v>0</v>
      </c>
      <c r="Z586" s="25" t="str">
        <f>IF(Dealps[[#This Row],[CPTY_CODE]]=Dealps[[#This Row],[CPTY_CODE_ISSUER]],"Yes","No")</f>
        <v>No</v>
      </c>
      <c r="AA586" s="25"/>
      <c r="AC586" s="14"/>
      <c r="AG586" s="96"/>
      <c r="AH586" s="25"/>
      <c r="AI586" s="25"/>
      <c r="AN586" s="14"/>
      <c r="AV586" s="36"/>
      <c r="AW586" s="14"/>
      <c r="AX586" s="234"/>
      <c r="AY586" s="96"/>
      <c r="AZ586" s="14"/>
      <c r="BA586"/>
      <c r="BB586" s="14"/>
      <c r="BC586" s="14"/>
      <c r="BD586" s="14"/>
      <c r="BE586" s="36"/>
      <c r="BF586" s="20"/>
      <c r="BG586"/>
      <c r="BH586"/>
      <c r="BI586"/>
      <c r="BJ586"/>
      <c r="BK586"/>
      <c r="BL586"/>
      <c r="BM586"/>
      <c r="BN586"/>
      <c r="BS586"/>
      <c r="BT586"/>
      <c r="BU586"/>
      <c r="BV586"/>
    </row>
    <row r="587" spans="1:74" x14ac:dyDescent="0.3">
      <c r="A587" s="93">
        <v>46262</v>
      </c>
      <c r="B587">
        <v>4681</v>
      </c>
      <c r="C587" s="56" t="s">
        <v>1239</v>
      </c>
      <c r="D587" t="s">
        <v>384</v>
      </c>
      <c r="E587" t="s">
        <v>344</v>
      </c>
      <c r="F587" t="s">
        <v>364</v>
      </c>
      <c r="G587" t="s">
        <v>310</v>
      </c>
      <c r="H587" t="s">
        <v>300</v>
      </c>
      <c r="I587" s="93">
        <v>46216</v>
      </c>
      <c r="J587" s="93">
        <v>46216</v>
      </c>
      <c r="K587" s="93">
        <v>46216</v>
      </c>
      <c r="L587" s="93">
        <v>46493</v>
      </c>
      <c r="M587" s="14">
        <v>1</v>
      </c>
      <c r="N587" s="14">
        <v>200000000000</v>
      </c>
      <c r="O587" s="56">
        <v>100.542876964</v>
      </c>
      <c r="P587" s="56">
        <v>0</v>
      </c>
      <c r="Q587" s="14">
        <v>206889041600</v>
      </c>
      <c r="R587">
        <v>7.9121220000000001</v>
      </c>
      <c r="S587" t="s">
        <v>1184</v>
      </c>
      <c r="T587" s="57">
        <f>IF(Dealps[[#This Row],[MATURITY_DATE]]-Dealps[[#This Row],[POSTED_DT]]&lt;0,0,IF(Dealps[[#This Row],[VALUE_DATE]]-Dealps[[#This Row],[POSTED_DT]]&gt;0,Dealps[[#This Row],[MATURITY_DATE]]-Dealps[[#This Row],[VALUE_DATE]],Dealps[[#This Row],[MATURITY_DATE]]-Dealps[[#This Row],[POSTED_DT]]))</f>
        <v>231</v>
      </c>
      <c r="U587" s="25">
        <f>IF(Dealps[[#This Row],[TENOR]]=0,0,IF(Dealps[[#This Row],[DEAL_TYPE]]="B",Dealps[[#This Row],[FACE_AMOUNT]],-Dealps[[#This Row],[FACE_AMOUNT]]))</f>
        <v>200000000000</v>
      </c>
      <c r="V587" s="25">
        <f>_xlfn.XLOOKUP(Dealps[[#This Row],[PAPER_CODE]],FNRP!D:D,FNRP!H:H,0,0)/100*Dealps[[#This Row],[AMOUNT]]</f>
        <v>0</v>
      </c>
      <c r="W587" s="57" t="str">
        <f>IF(Dealps[[#This Row],[TRANSACTION_STATUS]]&lt;&gt;"V","Ngoai BS",IF(Dealps[[#This Row],[POSTED_DT]]&gt;=Dealps[[#This Row],[VALUE_DATE]],"On BS","Off BS"))</f>
        <v>On BS</v>
      </c>
      <c r="X587" s="25">
        <f>SUMIFS(U:U,C:C,Dealps[[#This Row],[PAPER_CODE]])</f>
        <v>300000000000</v>
      </c>
      <c r="Y587" s="25">
        <f>_xlfn.XLOOKUP(Dealps[[#This Row],[DEAL_ID]],Ref!N:N,Ref!Q:Q,0,0)</f>
        <v>0</v>
      </c>
      <c r="Z587" s="25" t="str">
        <f>IF(Dealps[[#This Row],[CPTY_CODE]]=Dealps[[#This Row],[CPTY_CODE_ISSUER]],"Yes","No")</f>
        <v>No</v>
      </c>
      <c r="AA587" s="25"/>
      <c r="AC587" s="14"/>
      <c r="AG587" s="96"/>
      <c r="AH587" s="25"/>
      <c r="AI587" s="25"/>
      <c r="AN587" s="14"/>
      <c r="AV587" s="36"/>
      <c r="AW587" s="14"/>
      <c r="AX587" s="234"/>
      <c r="AY587" s="96"/>
      <c r="AZ587" s="14"/>
      <c r="BA587"/>
      <c r="BB587" s="14"/>
      <c r="BC587" s="14"/>
      <c r="BD587" s="14"/>
      <c r="BE587" s="36"/>
      <c r="BF587" s="20"/>
      <c r="BG587"/>
      <c r="BH587"/>
      <c r="BI587"/>
      <c r="BJ587"/>
      <c r="BK587"/>
      <c r="BL587"/>
      <c r="BM587"/>
      <c r="BN587"/>
      <c r="BS587"/>
      <c r="BT587"/>
      <c r="BU587"/>
      <c r="BV587"/>
    </row>
    <row r="588" spans="1:74" x14ac:dyDescent="0.3">
      <c r="A588" s="93">
        <v>46262</v>
      </c>
      <c r="B588">
        <v>4682</v>
      </c>
      <c r="C588" s="56" t="s">
        <v>1010</v>
      </c>
      <c r="D588" t="s">
        <v>328</v>
      </c>
      <c r="E588" t="s">
        <v>347</v>
      </c>
      <c r="F588" t="s">
        <v>364</v>
      </c>
      <c r="G588" t="s">
        <v>310</v>
      </c>
      <c r="H588" t="s">
        <v>311</v>
      </c>
      <c r="I588" s="93">
        <v>46216</v>
      </c>
      <c r="J588" s="93">
        <v>46216</v>
      </c>
      <c r="K588" s="93">
        <v>46218</v>
      </c>
      <c r="L588" s="93">
        <v>46329</v>
      </c>
      <c r="M588" s="14">
        <v>1</v>
      </c>
      <c r="N588" s="14">
        <v>1000000000000</v>
      </c>
      <c r="O588" s="56">
        <v>100.559750085</v>
      </c>
      <c r="P588" s="56">
        <v>0</v>
      </c>
      <c r="Q588" s="14">
        <v>1049265994000</v>
      </c>
      <c r="R588">
        <v>4.25</v>
      </c>
      <c r="S588" t="s">
        <v>1184</v>
      </c>
      <c r="T588" s="57">
        <f>IF(Dealps[[#This Row],[MATURITY_DATE]]-Dealps[[#This Row],[POSTED_DT]]&lt;0,0,IF(Dealps[[#This Row],[VALUE_DATE]]-Dealps[[#This Row],[POSTED_DT]]&gt;0,Dealps[[#This Row],[MATURITY_DATE]]-Dealps[[#This Row],[VALUE_DATE]],Dealps[[#This Row],[MATURITY_DATE]]-Dealps[[#This Row],[POSTED_DT]]))</f>
        <v>67</v>
      </c>
      <c r="U588" s="25">
        <f>IF(Dealps[[#This Row],[TENOR]]=0,0,IF(Dealps[[#This Row],[DEAL_TYPE]]="B",Dealps[[#This Row],[FACE_AMOUNT]],-Dealps[[#This Row],[FACE_AMOUNT]]))</f>
        <v>-1000000000000</v>
      </c>
      <c r="V588" s="25">
        <f>_xlfn.XLOOKUP(Dealps[[#This Row],[PAPER_CODE]],FNRP!D:D,FNRP!H:H,0,0)/100*Dealps[[#This Row],[AMOUNT]]</f>
        <v>0</v>
      </c>
      <c r="W588" s="57" t="str">
        <f>IF(Dealps[[#This Row],[TRANSACTION_STATUS]]&lt;&gt;"V","Ngoai BS",IF(Dealps[[#This Row],[POSTED_DT]]&gt;=Dealps[[#This Row],[VALUE_DATE]],"On BS","Off BS"))</f>
        <v>On BS</v>
      </c>
      <c r="X588" s="25">
        <f>SUMIFS(U:U,C:C,Dealps[[#This Row],[PAPER_CODE]])</f>
        <v>2000000000000</v>
      </c>
      <c r="Y588" s="25">
        <f>_xlfn.XLOOKUP(Dealps[[#This Row],[DEAL_ID]],Ref!N:N,Ref!Q:Q,0,0)</f>
        <v>0</v>
      </c>
      <c r="Z588" s="25" t="str">
        <f>IF(Dealps[[#This Row],[CPTY_CODE]]=Dealps[[#This Row],[CPTY_CODE_ISSUER]],"Yes","No")</f>
        <v>No</v>
      </c>
      <c r="AA588" s="25"/>
      <c r="AC588" s="14"/>
      <c r="AG588" s="96"/>
      <c r="AH588" s="25"/>
      <c r="AI588" s="25"/>
      <c r="AN588" s="14"/>
      <c r="AV588" s="36"/>
      <c r="AW588" s="14"/>
      <c r="AX588" s="234"/>
      <c r="AY588" s="96"/>
      <c r="AZ588" s="14"/>
      <c r="BA588"/>
      <c r="BB588" s="14"/>
      <c r="BC588" s="14"/>
      <c r="BD588" s="14"/>
      <c r="BE588" s="36"/>
      <c r="BF588" s="20"/>
      <c r="BG588"/>
      <c r="BH588"/>
      <c r="BI588"/>
      <c r="BJ588"/>
      <c r="BK588"/>
      <c r="BL588"/>
      <c r="BM588"/>
      <c r="BN588"/>
      <c r="BS588"/>
      <c r="BT588"/>
      <c r="BU588"/>
      <c r="BV588"/>
    </row>
    <row r="589" spans="1:74" x14ac:dyDescent="0.3">
      <c r="A589" s="93">
        <v>46262</v>
      </c>
      <c r="B589">
        <v>4684</v>
      </c>
      <c r="C589" s="56" t="s">
        <v>1382</v>
      </c>
      <c r="D589" t="s">
        <v>473</v>
      </c>
      <c r="E589" t="s">
        <v>1005</v>
      </c>
      <c r="F589" t="s">
        <v>364</v>
      </c>
      <c r="G589" t="s">
        <v>310</v>
      </c>
      <c r="H589" t="s">
        <v>311</v>
      </c>
      <c r="I589" s="93">
        <v>46216</v>
      </c>
      <c r="J589" s="93">
        <v>46216</v>
      </c>
      <c r="K589" s="93">
        <v>46217</v>
      </c>
      <c r="L589" s="93">
        <v>46563</v>
      </c>
      <c r="M589" s="14">
        <v>1</v>
      </c>
      <c r="N589" s="14">
        <v>1000000000000</v>
      </c>
      <c r="O589" s="56">
        <v>100.022478423</v>
      </c>
      <c r="P589" s="56">
        <v>0</v>
      </c>
      <c r="Q589" s="14">
        <v>1002937113000.0001</v>
      </c>
      <c r="R589">
        <v>8.9499999999999993</v>
      </c>
      <c r="S589" t="s">
        <v>1184</v>
      </c>
      <c r="T589" s="57">
        <f>IF(Dealps[[#This Row],[MATURITY_DATE]]-Dealps[[#This Row],[POSTED_DT]]&lt;0,0,IF(Dealps[[#This Row],[VALUE_DATE]]-Dealps[[#This Row],[POSTED_DT]]&gt;0,Dealps[[#This Row],[MATURITY_DATE]]-Dealps[[#This Row],[VALUE_DATE]],Dealps[[#This Row],[MATURITY_DATE]]-Dealps[[#This Row],[POSTED_DT]]))</f>
        <v>301</v>
      </c>
      <c r="U589" s="25">
        <f>IF(Dealps[[#This Row],[TENOR]]=0,0,IF(Dealps[[#This Row],[DEAL_TYPE]]="B",Dealps[[#This Row],[FACE_AMOUNT]],-Dealps[[#This Row],[FACE_AMOUNT]]))</f>
        <v>-1000000000000</v>
      </c>
      <c r="V589" s="25">
        <f>_xlfn.XLOOKUP(Dealps[[#This Row],[PAPER_CODE]],FNRP!D:D,FNRP!H:H,0,0)/100*Dealps[[#This Row],[AMOUNT]]</f>
        <v>0</v>
      </c>
      <c r="W589" s="57" t="str">
        <f>IF(Dealps[[#This Row],[TRANSACTION_STATUS]]&lt;&gt;"V","Ngoai BS",IF(Dealps[[#This Row],[POSTED_DT]]&gt;=Dealps[[#This Row],[VALUE_DATE]],"On BS","Off BS"))</f>
        <v>On BS</v>
      </c>
      <c r="X589" s="25">
        <f>SUMIFS(U:U,C:C,Dealps[[#This Row],[PAPER_CODE]])</f>
        <v>1000000000000</v>
      </c>
      <c r="Y589" s="25">
        <f>_xlfn.XLOOKUP(Dealps[[#This Row],[DEAL_ID]],Ref!N:N,Ref!Q:Q,0,0)</f>
        <v>0</v>
      </c>
      <c r="Z589" s="25" t="str">
        <f>IF(Dealps[[#This Row],[CPTY_CODE]]=Dealps[[#This Row],[CPTY_CODE_ISSUER]],"Yes","No")</f>
        <v>No</v>
      </c>
      <c r="AA589" s="25"/>
      <c r="AC589" s="14"/>
      <c r="AG589" s="96"/>
      <c r="AH589" s="25"/>
      <c r="AI589" s="25"/>
      <c r="AN589" s="14"/>
      <c r="AV589" s="36"/>
      <c r="AW589" s="14"/>
      <c r="AX589" s="234"/>
      <c r="AY589" s="96"/>
      <c r="AZ589" s="14"/>
      <c r="BA589"/>
      <c r="BB589" s="14"/>
      <c r="BC589" s="14"/>
      <c r="BD589" s="14"/>
      <c r="BE589" s="36"/>
      <c r="BF589" s="20"/>
      <c r="BG589"/>
      <c r="BH589"/>
      <c r="BI589"/>
      <c r="BJ589"/>
      <c r="BK589"/>
      <c r="BL589"/>
      <c r="BM589"/>
      <c r="BN589"/>
      <c r="BS589"/>
      <c r="BT589"/>
      <c r="BU589"/>
      <c r="BV589"/>
    </row>
    <row r="590" spans="1:74" x14ac:dyDescent="0.3">
      <c r="A590" s="93">
        <v>46262</v>
      </c>
      <c r="B590">
        <v>4686</v>
      </c>
      <c r="C590" s="56" t="s">
        <v>1071</v>
      </c>
      <c r="D590" t="s">
        <v>328</v>
      </c>
      <c r="E590" t="s">
        <v>322</v>
      </c>
      <c r="F590" t="s">
        <v>364</v>
      </c>
      <c r="G590" t="s">
        <v>310</v>
      </c>
      <c r="H590" t="s">
        <v>311</v>
      </c>
      <c r="I590" s="93">
        <v>46216</v>
      </c>
      <c r="J590" s="93">
        <v>46216</v>
      </c>
      <c r="K590" s="93">
        <v>46217</v>
      </c>
      <c r="L590" s="93">
        <v>46352</v>
      </c>
      <c r="M590" s="14">
        <v>1</v>
      </c>
      <c r="N590" s="14">
        <v>500000000000</v>
      </c>
      <c r="O590" s="56">
        <v>99.938905181999999</v>
      </c>
      <c r="P590" s="56">
        <v>0</v>
      </c>
      <c r="Q590" s="14">
        <v>520398635500.00006</v>
      </c>
      <c r="R590">
        <v>6.5</v>
      </c>
      <c r="S590" t="s">
        <v>1184</v>
      </c>
      <c r="T590" s="57">
        <f>IF(Dealps[[#This Row],[MATURITY_DATE]]-Dealps[[#This Row],[POSTED_DT]]&lt;0,0,IF(Dealps[[#This Row],[VALUE_DATE]]-Dealps[[#This Row],[POSTED_DT]]&gt;0,Dealps[[#This Row],[MATURITY_DATE]]-Dealps[[#This Row],[VALUE_DATE]],Dealps[[#This Row],[MATURITY_DATE]]-Dealps[[#This Row],[POSTED_DT]]))</f>
        <v>90</v>
      </c>
      <c r="U590" s="25">
        <f>IF(Dealps[[#This Row],[TENOR]]=0,0,IF(Dealps[[#This Row],[DEAL_TYPE]]="B",Dealps[[#This Row],[FACE_AMOUNT]],-Dealps[[#This Row],[FACE_AMOUNT]]))</f>
        <v>-500000000000</v>
      </c>
      <c r="V590" s="25">
        <f>_xlfn.XLOOKUP(Dealps[[#This Row],[PAPER_CODE]],FNRP!D:D,FNRP!H:H,0,0)/100*Dealps[[#This Row],[AMOUNT]]</f>
        <v>0</v>
      </c>
      <c r="W590" s="57" t="str">
        <f>IF(Dealps[[#This Row],[TRANSACTION_STATUS]]&lt;&gt;"V","Ngoai BS",IF(Dealps[[#This Row],[POSTED_DT]]&gt;=Dealps[[#This Row],[VALUE_DATE]],"On BS","Off BS"))</f>
        <v>On BS</v>
      </c>
      <c r="X590" s="25">
        <f>SUMIFS(U:U,C:C,Dealps[[#This Row],[PAPER_CODE]])</f>
        <v>1500000000000</v>
      </c>
      <c r="Y590" s="25">
        <f>_xlfn.XLOOKUP(Dealps[[#This Row],[DEAL_ID]],Ref!N:N,Ref!Q:Q,0,0)</f>
        <v>0</v>
      </c>
      <c r="Z590" s="25" t="str">
        <f>IF(Dealps[[#This Row],[CPTY_CODE]]=Dealps[[#This Row],[CPTY_CODE_ISSUER]],"Yes","No")</f>
        <v>No</v>
      </c>
      <c r="AA590" s="25"/>
      <c r="AC590" s="14"/>
      <c r="AG590" s="96"/>
      <c r="AH590" s="25"/>
      <c r="AI590" s="25"/>
      <c r="AN590" s="14"/>
      <c r="AV590" s="36"/>
      <c r="AW590" s="14"/>
      <c r="AX590" s="234"/>
      <c r="AY590" s="96"/>
      <c r="AZ590" s="14"/>
      <c r="BA590"/>
      <c r="BB590" s="14"/>
      <c r="BC590" s="14"/>
      <c r="BD590" s="14"/>
      <c r="BE590" s="36"/>
      <c r="BF590" s="20"/>
      <c r="BG590"/>
      <c r="BH590"/>
      <c r="BI590"/>
      <c r="BJ590"/>
      <c r="BK590"/>
      <c r="BL590"/>
      <c r="BM590"/>
      <c r="BN590"/>
      <c r="BS590"/>
      <c r="BT590"/>
      <c r="BU590"/>
      <c r="BV590"/>
    </row>
    <row r="591" spans="1:74" x14ac:dyDescent="0.3">
      <c r="A591" s="93">
        <v>46262</v>
      </c>
      <c r="B591">
        <v>4689</v>
      </c>
      <c r="C591" s="56" t="s">
        <v>963</v>
      </c>
      <c r="D591" t="s">
        <v>308</v>
      </c>
      <c r="E591" t="s">
        <v>474</v>
      </c>
      <c r="F591" t="s">
        <v>364</v>
      </c>
      <c r="G591" t="s">
        <v>310</v>
      </c>
      <c r="H591" t="s">
        <v>300</v>
      </c>
      <c r="I591" s="93">
        <v>46217</v>
      </c>
      <c r="J591" s="93">
        <v>46217</v>
      </c>
      <c r="K591" s="93">
        <v>46217</v>
      </c>
      <c r="L591" s="93">
        <v>46295</v>
      </c>
      <c r="M591" s="14">
        <v>1</v>
      </c>
      <c r="N591" s="14">
        <v>35000000000</v>
      </c>
      <c r="O591" s="56">
        <v>100.359324273</v>
      </c>
      <c r="P591" s="56">
        <v>0</v>
      </c>
      <c r="Q591" s="14">
        <v>36798667605</v>
      </c>
      <c r="R591">
        <v>4.2025740000000003</v>
      </c>
      <c r="S591" t="s">
        <v>1184</v>
      </c>
      <c r="T591" s="57">
        <f>IF(Dealps[[#This Row],[MATURITY_DATE]]-Dealps[[#This Row],[POSTED_DT]]&lt;0,0,IF(Dealps[[#This Row],[VALUE_DATE]]-Dealps[[#This Row],[POSTED_DT]]&gt;0,Dealps[[#This Row],[MATURITY_DATE]]-Dealps[[#This Row],[VALUE_DATE]],Dealps[[#This Row],[MATURITY_DATE]]-Dealps[[#This Row],[POSTED_DT]]))</f>
        <v>33</v>
      </c>
      <c r="U591" s="25">
        <f>IF(Dealps[[#This Row],[TENOR]]=0,0,IF(Dealps[[#This Row],[DEAL_TYPE]]="B",Dealps[[#This Row],[FACE_AMOUNT]],-Dealps[[#This Row],[FACE_AMOUNT]]))</f>
        <v>35000000000</v>
      </c>
      <c r="V591" s="25">
        <f>_xlfn.XLOOKUP(Dealps[[#This Row],[PAPER_CODE]],FNRP!D:D,FNRP!H:H,0,0)/100*Dealps[[#This Row],[AMOUNT]]</f>
        <v>0</v>
      </c>
      <c r="W591" s="57" t="str">
        <f>IF(Dealps[[#This Row],[TRANSACTION_STATUS]]&lt;&gt;"V","Ngoai BS",IF(Dealps[[#This Row],[POSTED_DT]]&gt;=Dealps[[#This Row],[VALUE_DATE]],"On BS","Off BS"))</f>
        <v>On BS</v>
      </c>
      <c r="X591" s="25">
        <f>SUMIFS(U:U,C:C,Dealps[[#This Row],[PAPER_CODE]])</f>
        <v>400000000000</v>
      </c>
      <c r="Y591" s="25">
        <f>_xlfn.XLOOKUP(Dealps[[#This Row],[DEAL_ID]],Ref!N:N,Ref!Q:Q,0,0)</f>
        <v>0</v>
      </c>
      <c r="Z591" s="25" t="str">
        <f>IF(Dealps[[#This Row],[CPTY_CODE]]=Dealps[[#This Row],[CPTY_CODE_ISSUER]],"Yes","No")</f>
        <v>No</v>
      </c>
      <c r="AA591" s="25"/>
      <c r="AC591" s="14"/>
      <c r="AG591" s="96"/>
      <c r="AH591" s="25"/>
      <c r="AI591" s="25"/>
      <c r="AN591" s="14"/>
      <c r="AV591" s="36"/>
      <c r="AW591" s="14"/>
      <c r="AX591" s="234"/>
      <c r="AY591" s="96"/>
      <c r="AZ591" s="14"/>
      <c r="BA591"/>
      <c r="BB591" s="14"/>
      <c r="BC591" s="14"/>
      <c r="BD591" s="14"/>
      <c r="BE591" s="36"/>
      <c r="BF591" s="20"/>
      <c r="BG591"/>
      <c r="BH591"/>
      <c r="BI591"/>
      <c r="BJ591"/>
      <c r="BK591"/>
      <c r="BL591"/>
      <c r="BM591"/>
      <c r="BN591"/>
      <c r="BS591"/>
      <c r="BT591"/>
      <c r="BU591"/>
      <c r="BV591"/>
    </row>
    <row r="592" spans="1:74" x14ac:dyDescent="0.3">
      <c r="A592" s="93">
        <v>46262</v>
      </c>
      <c r="B592">
        <v>4690</v>
      </c>
      <c r="C592" s="56" t="s">
        <v>1159</v>
      </c>
      <c r="D592" t="s">
        <v>334</v>
      </c>
      <c r="E592" t="s">
        <v>320</v>
      </c>
      <c r="F592" t="s">
        <v>364</v>
      </c>
      <c r="G592" t="s">
        <v>310</v>
      </c>
      <c r="H592" t="s">
        <v>311</v>
      </c>
      <c r="I592" s="93">
        <v>46217</v>
      </c>
      <c r="J592" s="93">
        <v>46217</v>
      </c>
      <c r="K592" s="93">
        <v>46218</v>
      </c>
      <c r="L592" s="93">
        <v>46412</v>
      </c>
      <c r="M592" s="14">
        <v>1</v>
      </c>
      <c r="N592" s="14">
        <v>400000000000</v>
      </c>
      <c r="O592" s="56">
        <v>99.971859015000007</v>
      </c>
      <c r="P592" s="56">
        <v>0</v>
      </c>
      <c r="Q592" s="14">
        <v>413860038800</v>
      </c>
      <c r="R592">
        <v>7.3</v>
      </c>
      <c r="S592" t="s">
        <v>1184</v>
      </c>
      <c r="T592" s="57">
        <f>IF(Dealps[[#This Row],[MATURITY_DATE]]-Dealps[[#This Row],[POSTED_DT]]&lt;0,0,IF(Dealps[[#This Row],[VALUE_DATE]]-Dealps[[#This Row],[POSTED_DT]]&gt;0,Dealps[[#This Row],[MATURITY_DATE]]-Dealps[[#This Row],[VALUE_DATE]],Dealps[[#This Row],[MATURITY_DATE]]-Dealps[[#This Row],[POSTED_DT]]))</f>
        <v>150</v>
      </c>
      <c r="U592" s="25">
        <f>IF(Dealps[[#This Row],[TENOR]]=0,0,IF(Dealps[[#This Row],[DEAL_TYPE]]="B",Dealps[[#This Row],[FACE_AMOUNT]],-Dealps[[#This Row],[FACE_AMOUNT]]))</f>
        <v>-400000000000</v>
      </c>
      <c r="V592" s="25">
        <f>_xlfn.XLOOKUP(Dealps[[#This Row],[PAPER_CODE]],FNRP!D:D,FNRP!H:H,0,0)/100*Dealps[[#This Row],[AMOUNT]]</f>
        <v>0</v>
      </c>
      <c r="W592" s="57" t="str">
        <f>IF(Dealps[[#This Row],[TRANSACTION_STATUS]]&lt;&gt;"V","Ngoai BS",IF(Dealps[[#This Row],[POSTED_DT]]&gt;=Dealps[[#This Row],[VALUE_DATE]],"On BS","Off BS"))</f>
        <v>On BS</v>
      </c>
      <c r="X592" s="25">
        <f>SUMIFS(U:U,C:C,Dealps[[#This Row],[PAPER_CODE]])</f>
        <v>1000000000000</v>
      </c>
      <c r="Y592" s="25">
        <f>_xlfn.XLOOKUP(Dealps[[#This Row],[DEAL_ID]],Ref!N:N,Ref!Q:Q,0,0)</f>
        <v>0</v>
      </c>
      <c r="Z592" s="25" t="str">
        <f>IF(Dealps[[#This Row],[CPTY_CODE]]=Dealps[[#This Row],[CPTY_CODE_ISSUER]],"Yes","No")</f>
        <v>No</v>
      </c>
      <c r="AA592" s="25"/>
      <c r="AC592" s="14"/>
      <c r="AG592" s="96"/>
      <c r="AH592" s="25"/>
      <c r="AI592" s="25"/>
      <c r="AN592" s="14"/>
      <c r="AV592" s="36"/>
      <c r="AW592" s="14"/>
      <c r="AX592" s="234"/>
      <c r="AY592" s="96"/>
      <c r="AZ592" s="14"/>
      <c r="BA592"/>
      <c r="BB592" s="14"/>
      <c r="BC592" s="14"/>
      <c r="BD592" s="14"/>
      <c r="BE592" s="36"/>
      <c r="BF592" s="20"/>
      <c r="BG592"/>
      <c r="BH592"/>
      <c r="BI592"/>
      <c r="BJ592"/>
      <c r="BK592"/>
      <c r="BL592"/>
      <c r="BM592"/>
      <c r="BN592"/>
      <c r="BS592"/>
      <c r="BT592"/>
      <c r="BU592"/>
      <c r="BV592"/>
    </row>
    <row r="593" spans="1:74" x14ac:dyDescent="0.3">
      <c r="A593" s="93">
        <v>46262</v>
      </c>
      <c r="B593">
        <v>4691</v>
      </c>
      <c r="C593" s="56" t="s">
        <v>1159</v>
      </c>
      <c r="D593" t="s">
        <v>334</v>
      </c>
      <c r="E593" t="s">
        <v>320</v>
      </c>
      <c r="F593" t="s">
        <v>364</v>
      </c>
      <c r="G593" t="s">
        <v>310</v>
      </c>
      <c r="H593" t="s">
        <v>311</v>
      </c>
      <c r="I593" s="93">
        <v>46217</v>
      </c>
      <c r="J593" s="93">
        <v>46217</v>
      </c>
      <c r="K593" s="93">
        <v>46218</v>
      </c>
      <c r="L593" s="93">
        <v>46412</v>
      </c>
      <c r="M593" s="14">
        <v>1</v>
      </c>
      <c r="N593" s="14">
        <v>600000000000</v>
      </c>
      <c r="O593" s="56">
        <v>99.971859015000007</v>
      </c>
      <c r="P593" s="56">
        <v>0</v>
      </c>
      <c r="Q593" s="14">
        <v>620790058200</v>
      </c>
      <c r="R593">
        <v>7.3</v>
      </c>
      <c r="S593" t="s">
        <v>1184</v>
      </c>
      <c r="T593" s="57">
        <f>IF(Dealps[[#This Row],[MATURITY_DATE]]-Dealps[[#This Row],[POSTED_DT]]&lt;0,0,IF(Dealps[[#This Row],[VALUE_DATE]]-Dealps[[#This Row],[POSTED_DT]]&gt;0,Dealps[[#This Row],[MATURITY_DATE]]-Dealps[[#This Row],[VALUE_DATE]],Dealps[[#This Row],[MATURITY_DATE]]-Dealps[[#This Row],[POSTED_DT]]))</f>
        <v>150</v>
      </c>
      <c r="U593" s="25">
        <f>IF(Dealps[[#This Row],[TENOR]]=0,0,IF(Dealps[[#This Row],[DEAL_TYPE]]="B",Dealps[[#This Row],[FACE_AMOUNT]],-Dealps[[#This Row],[FACE_AMOUNT]]))</f>
        <v>-600000000000</v>
      </c>
      <c r="V593" s="25">
        <f>_xlfn.XLOOKUP(Dealps[[#This Row],[PAPER_CODE]],FNRP!D:D,FNRP!H:H,0,0)/100*Dealps[[#This Row],[AMOUNT]]</f>
        <v>0</v>
      </c>
      <c r="W593" s="57" t="str">
        <f>IF(Dealps[[#This Row],[TRANSACTION_STATUS]]&lt;&gt;"V","Ngoai BS",IF(Dealps[[#This Row],[POSTED_DT]]&gt;=Dealps[[#This Row],[VALUE_DATE]],"On BS","Off BS"))</f>
        <v>On BS</v>
      </c>
      <c r="X593" s="25">
        <f>SUMIFS(U:U,C:C,Dealps[[#This Row],[PAPER_CODE]])</f>
        <v>1000000000000</v>
      </c>
      <c r="Y593" s="25">
        <f>_xlfn.XLOOKUP(Dealps[[#This Row],[DEAL_ID]],Ref!N:N,Ref!Q:Q,0,0)</f>
        <v>0</v>
      </c>
      <c r="Z593" s="25" t="str">
        <f>IF(Dealps[[#This Row],[CPTY_CODE]]=Dealps[[#This Row],[CPTY_CODE_ISSUER]],"Yes","No")</f>
        <v>No</v>
      </c>
      <c r="AA593" s="25"/>
      <c r="AC593" s="14"/>
      <c r="AG593" s="96"/>
      <c r="AH593" s="25"/>
      <c r="AI593" s="25"/>
      <c r="AN593" s="14"/>
      <c r="AV593" s="36"/>
      <c r="AW593" s="14"/>
      <c r="AX593" s="234"/>
      <c r="AY593" s="96"/>
      <c r="AZ593" s="14"/>
      <c r="BA593"/>
      <c r="BB593" s="14"/>
      <c r="BC593" s="14"/>
      <c r="BD593" s="14"/>
      <c r="BE593" s="36"/>
      <c r="BF593" s="20"/>
      <c r="BG593"/>
      <c r="BH593"/>
      <c r="BI593"/>
      <c r="BJ593"/>
      <c r="BK593"/>
      <c r="BL593"/>
      <c r="BM593"/>
      <c r="BN593"/>
      <c r="BS593"/>
      <c r="BT593"/>
      <c r="BU593"/>
      <c r="BV593"/>
    </row>
    <row r="594" spans="1:74" x14ac:dyDescent="0.3">
      <c r="A594" s="93">
        <v>46262</v>
      </c>
      <c r="B594">
        <v>4694</v>
      </c>
      <c r="C594" s="56" t="s">
        <v>1239</v>
      </c>
      <c r="D594" t="s">
        <v>384</v>
      </c>
      <c r="E594" t="s">
        <v>1015</v>
      </c>
      <c r="F594" t="s">
        <v>364</v>
      </c>
      <c r="G594" t="s">
        <v>310</v>
      </c>
      <c r="H594" t="s">
        <v>311</v>
      </c>
      <c r="I594" s="93">
        <v>46217</v>
      </c>
      <c r="J594" s="93">
        <v>46219</v>
      </c>
      <c r="K594" s="93">
        <v>46219</v>
      </c>
      <c r="L594" s="93">
        <v>46493</v>
      </c>
      <c r="M594" s="14">
        <v>1</v>
      </c>
      <c r="N594" s="14">
        <v>50000000000</v>
      </c>
      <c r="O594" s="56">
        <v>97.867968879000003</v>
      </c>
      <c r="P594" s="56">
        <v>0</v>
      </c>
      <c r="Q594" s="14">
        <v>50421381700</v>
      </c>
      <c r="R594">
        <v>11.641999999999999</v>
      </c>
      <c r="S594" t="s">
        <v>1184</v>
      </c>
      <c r="T594" s="57">
        <f>IF(Dealps[[#This Row],[MATURITY_DATE]]-Dealps[[#This Row],[POSTED_DT]]&lt;0,0,IF(Dealps[[#This Row],[VALUE_DATE]]-Dealps[[#This Row],[POSTED_DT]]&gt;0,Dealps[[#This Row],[MATURITY_DATE]]-Dealps[[#This Row],[VALUE_DATE]],Dealps[[#This Row],[MATURITY_DATE]]-Dealps[[#This Row],[POSTED_DT]]))</f>
        <v>231</v>
      </c>
      <c r="U594" s="25">
        <f>IF(Dealps[[#This Row],[TENOR]]=0,0,IF(Dealps[[#This Row],[DEAL_TYPE]]="B",Dealps[[#This Row],[FACE_AMOUNT]],-Dealps[[#This Row],[FACE_AMOUNT]]))</f>
        <v>-50000000000</v>
      </c>
      <c r="V594" s="25">
        <f>_xlfn.XLOOKUP(Dealps[[#This Row],[PAPER_CODE]],FNRP!D:D,FNRP!H:H,0,0)/100*Dealps[[#This Row],[AMOUNT]]</f>
        <v>0</v>
      </c>
      <c r="W594" s="57" t="str">
        <f>IF(Dealps[[#This Row],[TRANSACTION_STATUS]]&lt;&gt;"V","Ngoai BS",IF(Dealps[[#This Row],[POSTED_DT]]&gt;=Dealps[[#This Row],[VALUE_DATE]],"On BS","Off BS"))</f>
        <v>On BS</v>
      </c>
      <c r="X594" s="25">
        <f>SUMIFS(U:U,C:C,Dealps[[#This Row],[PAPER_CODE]])</f>
        <v>300000000000</v>
      </c>
      <c r="Y594" s="25">
        <f>_xlfn.XLOOKUP(Dealps[[#This Row],[DEAL_ID]],Ref!N:N,Ref!Q:Q,0,0)</f>
        <v>0</v>
      </c>
      <c r="Z594" s="25" t="str">
        <f>IF(Dealps[[#This Row],[CPTY_CODE]]=Dealps[[#This Row],[CPTY_CODE_ISSUER]],"Yes","No")</f>
        <v>No</v>
      </c>
      <c r="AA594" s="25"/>
      <c r="AC594" s="14"/>
      <c r="AG594" s="96"/>
      <c r="AH594" s="25"/>
      <c r="AI594" s="25"/>
      <c r="AN594" s="14"/>
      <c r="AV594" s="36"/>
      <c r="AW594" s="14"/>
      <c r="AX594" s="234"/>
      <c r="AY594" s="96"/>
      <c r="AZ594" s="14"/>
      <c r="BA594"/>
      <c r="BB594" s="14"/>
      <c r="BC594" s="14"/>
      <c r="BD594" s="14"/>
      <c r="BE594" s="36"/>
      <c r="BF594" s="20"/>
      <c r="BG594"/>
      <c r="BH594"/>
      <c r="BI594"/>
      <c r="BJ594"/>
      <c r="BK594"/>
      <c r="BL594"/>
      <c r="BM594"/>
      <c r="BN594"/>
      <c r="BS594"/>
      <c r="BT594"/>
      <c r="BU594"/>
      <c r="BV594"/>
    </row>
    <row r="595" spans="1:74" x14ac:dyDescent="0.3">
      <c r="A595" s="93">
        <v>46262</v>
      </c>
      <c r="B595">
        <v>4695</v>
      </c>
      <c r="C595" s="56" t="s">
        <v>1239</v>
      </c>
      <c r="D595" t="s">
        <v>384</v>
      </c>
      <c r="E595" t="s">
        <v>1015</v>
      </c>
      <c r="F595" t="s">
        <v>364</v>
      </c>
      <c r="G595" t="s">
        <v>310</v>
      </c>
      <c r="H595" t="s">
        <v>311</v>
      </c>
      <c r="I595" s="93">
        <v>46217</v>
      </c>
      <c r="J595" s="93">
        <v>46220</v>
      </c>
      <c r="K595" s="93">
        <v>46220</v>
      </c>
      <c r="L595" s="93">
        <v>46493</v>
      </c>
      <c r="M595" s="14">
        <v>1</v>
      </c>
      <c r="N595" s="14">
        <v>50000000000</v>
      </c>
      <c r="O595" s="56">
        <v>97.813521718000004</v>
      </c>
      <c r="P595" s="56">
        <v>0</v>
      </c>
      <c r="Q595" s="14">
        <v>50406349900</v>
      </c>
      <c r="R595">
        <v>11.728</v>
      </c>
      <c r="S595" t="s">
        <v>1184</v>
      </c>
      <c r="T595" s="57">
        <f>IF(Dealps[[#This Row],[MATURITY_DATE]]-Dealps[[#This Row],[POSTED_DT]]&lt;0,0,IF(Dealps[[#This Row],[VALUE_DATE]]-Dealps[[#This Row],[POSTED_DT]]&gt;0,Dealps[[#This Row],[MATURITY_DATE]]-Dealps[[#This Row],[VALUE_DATE]],Dealps[[#This Row],[MATURITY_DATE]]-Dealps[[#This Row],[POSTED_DT]]))</f>
        <v>231</v>
      </c>
      <c r="U595" s="25">
        <f>IF(Dealps[[#This Row],[TENOR]]=0,0,IF(Dealps[[#This Row],[DEAL_TYPE]]="B",Dealps[[#This Row],[FACE_AMOUNT]],-Dealps[[#This Row],[FACE_AMOUNT]]))</f>
        <v>-50000000000</v>
      </c>
      <c r="V595" s="25">
        <f>_xlfn.XLOOKUP(Dealps[[#This Row],[PAPER_CODE]],FNRP!D:D,FNRP!H:H,0,0)/100*Dealps[[#This Row],[AMOUNT]]</f>
        <v>0</v>
      </c>
      <c r="W595" s="57" t="str">
        <f>IF(Dealps[[#This Row],[TRANSACTION_STATUS]]&lt;&gt;"V","Ngoai BS",IF(Dealps[[#This Row],[POSTED_DT]]&gt;=Dealps[[#This Row],[VALUE_DATE]],"On BS","Off BS"))</f>
        <v>On BS</v>
      </c>
      <c r="X595" s="25">
        <f>SUMIFS(U:U,C:C,Dealps[[#This Row],[PAPER_CODE]])</f>
        <v>300000000000</v>
      </c>
      <c r="Y595" s="25">
        <f>_xlfn.XLOOKUP(Dealps[[#This Row],[DEAL_ID]],Ref!N:N,Ref!Q:Q,0,0)</f>
        <v>0</v>
      </c>
      <c r="Z595" s="25" t="str">
        <f>IF(Dealps[[#This Row],[CPTY_CODE]]=Dealps[[#This Row],[CPTY_CODE_ISSUER]],"Yes","No")</f>
        <v>No</v>
      </c>
      <c r="AA595" s="25"/>
      <c r="AC595" s="14"/>
      <c r="AG595" s="96"/>
      <c r="AH595" s="25"/>
      <c r="AI595" s="25"/>
      <c r="AN595" s="14"/>
      <c r="AV595" s="36"/>
      <c r="AW595" s="14"/>
      <c r="AX595" s="234"/>
      <c r="AY595" s="96"/>
      <c r="AZ595" s="14"/>
      <c r="BA595"/>
      <c r="BB595" s="14"/>
      <c r="BC595" s="14"/>
      <c r="BD595" s="14"/>
      <c r="BE595" s="36"/>
      <c r="BF595" s="20"/>
      <c r="BG595"/>
      <c r="BH595"/>
      <c r="BI595"/>
      <c r="BJ595"/>
      <c r="BK595"/>
      <c r="BL595"/>
      <c r="BM595"/>
      <c r="BN595"/>
      <c r="BS595"/>
      <c r="BT595"/>
      <c r="BU595"/>
      <c r="BV595"/>
    </row>
    <row r="596" spans="1:74" x14ac:dyDescent="0.3">
      <c r="A596" s="93">
        <v>46262</v>
      </c>
      <c r="B596">
        <v>4702</v>
      </c>
      <c r="C596" s="56" t="s">
        <v>1008</v>
      </c>
      <c r="D596" t="s">
        <v>473</v>
      </c>
      <c r="E596" t="s">
        <v>1443</v>
      </c>
      <c r="F596" t="s">
        <v>364</v>
      </c>
      <c r="G596" t="s">
        <v>310</v>
      </c>
      <c r="H596" t="s">
        <v>311</v>
      </c>
      <c r="I596" s="93">
        <v>46217</v>
      </c>
      <c r="J596" s="93">
        <v>46217</v>
      </c>
      <c r="K596" s="93">
        <v>46219</v>
      </c>
      <c r="L596" s="93">
        <v>46324</v>
      </c>
      <c r="M596" s="14">
        <v>1</v>
      </c>
      <c r="N596" s="14">
        <v>200000000000</v>
      </c>
      <c r="O596" s="56">
        <v>99.598775310999997</v>
      </c>
      <c r="P596" s="56">
        <v>0</v>
      </c>
      <c r="Q596" s="14">
        <v>207965769800</v>
      </c>
      <c r="R596">
        <v>7.4</v>
      </c>
      <c r="S596" t="s">
        <v>1184</v>
      </c>
      <c r="T596" s="57">
        <f>IF(Dealps[[#This Row],[MATURITY_DATE]]-Dealps[[#This Row],[POSTED_DT]]&lt;0,0,IF(Dealps[[#This Row],[VALUE_DATE]]-Dealps[[#This Row],[POSTED_DT]]&gt;0,Dealps[[#This Row],[MATURITY_DATE]]-Dealps[[#This Row],[VALUE_DATE]],Dealps[[#This Row],[MATURITY_DATE]]-Dealps[[#This Row],[POSTED_DT]]))</f>
        <v>62</v>
      </c>
      <c r="U596" s="25">
        <f>IF(Dealps[[#This Row],[TENOR]]=0,0,IF(Dealps[[#This Row],[DEAL_TYPE]]="B",Dealps[[#This Row],[FACE_AMOUNT]],-Dealps[[#This Row],[FACE_AMOUNT]]))</f>
        <v>-200000000000</v>
      </c>
      <c r="V596" s="25">
        <f>_xlfn.XLOOKUP(Dealps[[#This Row],[PAPER_CODE]],FNRP!D:D,FNRP!H:H,0,0)/100*Dealps[[#This Row],[AMOUNT]]</f>
        <v>0</v>
      </c>
      <c r="W596" s="57" t="str">
        <f>IF(Dealps[[#This Row],[TRANSACTION_STATUS]]&lt;&gt;"V","Ngoai BS",IF(Dealps[[#This Row],[POSTED_DT]]&gt;=Dealps[[#This Row],[VALUE_DATE]],"On BS","Off BS"))</f>
        <v>On BS</v>
      </c>
      <c r="X596" s="25">
        <f>SUMIFS(U:U,C:C,Dealps[[#This Row],[PAPER_CODE]])</f>
        <v>500000000000</v>
      </c>
      <c r="Y596" s="25">
        <f>_xlfn.XLOOKUP(Dealps[[#This Row],[DEAL_ID]],Ref!N:N,Ref!Q:Q,0,0)</f>
        <v>0</v>
      </c>
      <c r="Z596" s="25" t="str">
        <f>IF(Dealps[[#This Row],[CPTY_CODE]]=Dealps[[#This Row],[CPTY_CODE_ISSUER]],"Yes","No")</f>
        <v>No</v>
      </c>
      <c r="AA596" s="25"/>
      <c r="AC596" s="14"/>
      <c r="AG596" s="96"/>
      <c r="AH596" s="25"/>
      <c r="AI596" s="25"/>
      <c r="AN596" s="14"/>
      <c r="AV596" s="36"/>
      <c r="AW596" s="14"/>
      <c r="AX596" s="234"/>
      <c r="AY596" s="96"/>
      <c r="AZ596" s="14"/>
      <c r="BA596"/>
      <c r="BB596" s="14"/>
      <c r="BC596" s="14"/>
      <c r="BD596" s="14"/>
      <c r="BE596" s="36"/>
      <c r="BF596" s="20"/>
      <c r="BG596"/>
      <c r="BH596"/>
      <c r="BI596"/>
      <c r="BJ596"/>
      <c r="BK596"/>
      <c r="BL596"/>
      <c r="BM596"/>
      <c r="BN596"/>
      <c r="BS596"/>
      <c r="BT596"/>
      <c r="BU596"/>
      <c r="BV596"/>
    </row>
    <row r="597" spans="1:74" x14ac:dyDescent="0.3">
      <c r="A597" s="93">
        <v>46262</v>
      </c>
      <c r="B597">
        <v>4705</v>
      </c>
      <c r="C597" s="56" t="s">
        <v>1204</v>
      </c>
      <c r="D597" t="s">
        <v>315</v>
      </c>
      <c r="E597" t="s">
        <v>950</v>
      </c>
      <c r="F597" t="s">
        <v>364</v>
      </c>
      <c r="G597" t="s">
        <v>310</v>
      </c>
      <c r="H597" t="s">
        <v>300</v>
      </c>
      <c r="I597" s="93">
        <v>46218</v>
      </c>
      <c r="J597" s="93">
        <v>46218</v>
      </c>
      <c r="K597" s="93">
        <v>46218</v>
      </c>
      <c r="L597" s="93">
        <v>46422</v>
      </c>
      <c r="M597" s="14">
        <v>1</v>
      </c>
      <c r="N597" s="14">
        <v>60000000000</v>
      </c>
      <c r="O597" s="56">
        <v>100.413051753</v>
      </c>
      <c r="P597" s="56">
        <v>0</v>
      </c>
      <c r="Q597" s="14">
        <v>62163951600</v>
      </c>
      <c r="R597">
        <v>6.2746599999999999</v>
      </c>
      <c r="S597" t="s">
        <v>1184</v>
      </c>
      <c r="T597" s="57">
        <f>IF(Dealps[[#This Row],[MATURITY_DATE]]-Dealps[[#This Row],[POSTED_DT]]&lt;0,0,IF(Dealps[[#This Row],[VALUE_DATE]]-Dealps[[#This Row],[POSTED_DT]]&gt;0,Dealps[[#This Row],[MATURITY_DATE]]-Dealps[[#This Row],[VALUE_DATE]],Dealps[[#This Row],[MATURITY_DATE]]-Dealps[[#This Row],[POSTED_DT]]))</f>
        <v>160</v>
      </c>
      <c r="U597" s="25">
        <f>IF(Dealps[[#This Row],[TENOR]]=0,0,IF(Dealps[[#This Row],[DEAL_TYPE]]="B",Dealps[[#This Row],[FACE_AMOUNT]],-Dealps[[#This Row],[FACE_AMOUNT]]))</f>
        <v>60000000000</v>
      </c>
      <c r="V597" s="25">
        <f>_xlfn.XLOOKUP(Dealps[[#This Row],[PAPER_CODE]],FNRP!D:D,FNRP!H:H,0,0)/100*Dealps[[#This Row],[AMOUNT]]</f>
        <v>0</v>
      </c>
      <c r="W597" s="57" t="str">
        <f>IF(Dealps[[#This Row],[TRANSACTION_STATUS]]&lt;&gt;"V","Ngoai BS",IF(Dealps[[#This Row],[POSTED_DT]]&gt;=Dealps[[#This Row],[VALUE_DATE]],"On BS","Off BS"))</f>
        <v>On BS</v>
      </c>
      <c r="X597" s="25">
        <f>SUMIFS(U:U,C:C,Dealps[[#This Row],[PAPER_CODE]])</f>
        <v>1000000000000</v>
      </c>
      <c r="Y597" s="25">
        <f>_xlfn.XLOOKUP(Dealps[[#This Row],[DEAL_ID]],Ref!N:N,Ref!Q:Q,0,0)</f>
        <v>0</v>
      </c>
      <c r="Z597" s="25" t="str">
        <f>IF(Dealps[[#This Row],[CPTY_CODE]]=Dealps[[#This Row],[CPTY_CODE_ISSUER]],"Yes","No")</f>
        <v>No</v>
      </c>
      <c r="AA597" s="25"/>
      <c r="AC597" s="14"/>
      <c r="AG597" s="96"/>
      <c r="AH597" s="25"/>
      <c r="AI597" s="25"/>
      <c r="AN597" s="14"/>
      <c r="AV597" s="36"/>
      <c r="AW597" s="14"/>
      <c r="AX597" s="234"/>
      <c r="AY597" s="96"/>
      <c r="AZ597" s="14"/>
      <c r="BA597"/>
      <c r="BB597" s="14"/>
      <c r="BC597" s="14"/>
      <c r="BD597" s="14"/>
      <c r="BE597" s="36"/>
      <c r="BF597" s="20"/>
      <c r="BG597"/>
      <c r="BH597"/>
      <c r="BI597"/>
      <c r="BJ597"/>
      <c r="BK597"/>
      <c r="BL597"/>
      <c r="BM597"/>
      <c r="BN597"/>
      <c r="BS597"/>
      <c r="BT597"/>
      <c r="BU597"/>
      <c r="BV597"/>
    </row>
    <row r="598" spans="1:74" x14ac:dyDescent="0.3">
      <c r="A598" s="93">
        <v>46262</v>
      </c>
      <c r="B598">
        <v>4708</v>
      </c>
      <c r="C598" s="56" t="s">
        <v>1204</v>
      </c>
      <c r="D598" t="s">
        <v>315</v>
      </c>
      <c r="E598" t="s">
        <v>322</v>
      </c>
      <c r="F598" t="s">
        <v>364</v>
      </c>
      <c r="G598" t="s">
        <v>310</v>
      </c>
      <c r="H598" t="s">
        <v>311</v>
      </c>
      <c r="I598" s="93">
        <v>46219</v>
      </c>
      <c r="J598" s="93">
        <v>46219</v>
      </c>
      <c r="K598" s="93">
        <v>46220</v>
      </c>
      <c r="L598" s="93">
        <v>46422</v>
      </c>
      <c r="M598" s="14">
        <v>1</v>
      </c>
      <c r="N598" s="14">
        <v>350000000000</v>
      </c>
      <c r="O598" s="56">
        <v>100.00728612100001</v>
      </c>
      <c r="P598" s="56">
        <v>0</v>
      </c>
      <c r="Q598" s="14">
        <v>361341720600</v>
      </c>
      <c r="R598">
        <v>7</v>
      </c>
      <c r="S598" t="s">
        <v>1184</v>
      </c>
      <c r="T598" s="57">
        <f>IF(Dealps[[#This Row],[MATURITY_DATE]]-Dealps[[#This Row],[POSTED_DT]]&lt;0,0,IF(Dealps[[#This Row],[VALUE_DATE]]-Dealps[[#This Row],[POSTED_DT]]&gt;0,Dealps[[#This Row],[MATURITY_DATE]]-Dealps[[#This Row],[VALUE_DATE]],Dealps[[#This Row],[MATURITY_DATE]]-Dealps[[#This Row],[POSTED_DT]]))</f>
        <v>160</v>
      </c>
      <c r="U598" s="25">
        <f>IF(Dealps[[#This Row],[TENOR]]=0,0,IF(Dealps[[#This Row],[DEAL_TYPE]]="B",Dealps[[#This Row],[FACE_AMOUNT]],-Dealps[[#This Row],[FACE_AMOUNT]]))</f>
        <v>-350000000000</v>
      </c>
      <c r="V598" s="25">
        <f>_xlfn.XLOOKUP(Dealps[[#This Row],[PAPER_CODE]],FNRP!D:D,FNRP!H:H,0,0)/100*Dealps[[#This Row],[AMOUNT]]</f>
        <v>0</v>
      </c>
      <c r="W598" s="57" t="str">
        <f>IF(Dealps[[#This Row],[TRANSACTION_STATUS]]&lt;&gt;"V","Ngoai BS",IF(Dealps[[#This Row],[POSTED_DT]]&gt;=Dealps[[#This Row],[VALUE_DATE]],"On BS","Off BS"))</f>
        <v>On BS</v>
      </c>
      <c r="X598" s="25">
        <f>SUMIFS(U:U,C:C,Dealps[[#This Row],[PAPER_CODE]])</f>
        <v>1000000000000</v>
      </c>
      <c r="Y598" s="25">
        <f>_xlfn.XLOOKUP(Dealps[[#This Row],[DEAL_ID]],Ref!N:N,Ref!Q:Q,0,0)</f>
        <v>0</v>
      </c>
      <c r="Z598" s="25" t="str">
        <f>IF(Dealps[[#This Row],[CPTY_CODE]]=Dealps[[#This Row],[CPTY_CODE_ISSUER]],"Yes","No")</f>
        <v>No</v>
      </c>
      <c r="AA598" s="25"/>
      <c r="AC598" s="14"/>
      <c r="AG598" s="96"/>
      <c r="AH598" s="25"/>
      <c r="AI598" s="25"/>
      <c r="AN598" s="14"/>
      <c r="AV598" s="36"/>
      <c r="AW598" s="14"/>
      <c r="AX598" s="234"/>
      <c r="AY598" s="96"/>
      <c r="AZ598" s="14"/>
      <c r="BA598"/>
      <c r="BB598" s="14"/>
      <c r="BC598" s="14"/>
      <c r="BD598" s="14"/>
      <c r="BE598" s="36"/>
      <c r="BF598" s="20"/>
      <c r="BG598"/>
      <c r="BH598"/>
      <c r="BI598"/>
      <c r="BJ598"/>
      <c r="BK598"/>
      <c r="BL598"/>
      <c r="BM598"/>
      <c r="BN598"/>
      <c r="BS598"/>
      <c r="BT598"/>
      <c r="BU598"/>
      <c r="BV598"/>
    </row>
    <row r="599" spans="1:74" x14ac:dyDescent="0.3">
      <c r="A599" s="93">
        <v>46262</v>
      </c>
      <c r="B599">
        <v>4709</v>
      </c>
      <c r="C599" s="56" t="s">
        <v>1071</v>
      </c>
      <c r="D599" t="s">
        <v>328</v>
      </c>
      <c r="E599" t="s">
        <v>1005</v>
      </c>
      <c r="F599" t="s">
        <v>364</v>
      </c>
      <c r="G599" t="s">
        <v>310</v>
      </c>
      <c r="H599" t="s">
        <v>300</v>
      </c>
      <c r="I599" s="93">
        <v>46219</v>
      </c>
      <c r="J599" s="93">
        <v>46219</v>
      </c>
      <c r="K599" s="93">
        <v>46219</v>
      </c>
      <c r="L599" s="93">
        <v>46352</v>
      </c>
      <c r="M599" s="14">
        <v>1</v>
      </c>
      <c r="N599" s="14">
        <v>1000000000000</v>
      </c>
      <c r="O599" s="56">
        <v>100.543335599</v>
      </c>
      <c r="P599" s="56">
        <v>0</v>
      </c>
      <c r="Q599" s="14">
        <v>1047203219000.0002</v>
      </c>
      <c r="R599">
        <v>4.8786050000000003</v>
      </c>
      <c r="S599" t="s">
        <v>1184</v>
      </c>
      <c r="T599" s="57">
        <f>IF(Dealps[[#This Row],[MATURITY_DATE]]-Dealps[[#This Row],[POSTED_DT]]&lt;0,0,IF(Dealps[[#This Row],[VALUE_DATE]]-Dealps[[#This Row],[POSTED_DT]]&gt;0,Dealps[[#This Row],[MATURITY_DATE]]-Dealps[[#This Row],[VALUE_DATE]],Dealps[[#This Row],[MATURITY_DATE]]-Dealps[[#This Row],[POSTED_DT]]))</f>
        <v>90</v>
      </c>
      <c r="U599" s="25">
        <f>IF(Dealps[[#This Row],[TENOR]]=0,0,IF(Dealps[[#This Row],[DEAL_TYPE]]="B",Dealps[[#This Row],[FACE_AMOUNT]],-Dealps[[#This Row],[FACE_AMOUNT]]))</f>
        <v>1000000000000</v>
      </c>
      <c r="V599" s="25">
        <f>_xlfn.XLOOKUP(Dealps[[#This Row],[PAPER_CODE]],FNRP!D:D,FNRP!H:H,0,0)/100*Dealps[[#This Row],[AMOUNT]]</f>
        <v>0</v>
      </c>
      <c r="W599" s="57" t="str">
        <f>IF(Dealps[[#This Row],[TRANSACTION_STATUS]]&lt;&gt;"V","Ngoai BS",IF(Dealps[[#This Row],[POSTED_DT]]&gt;=Dealps[[#This Row],[VALUE_DATE]],"On BS","Off BS"))</f>
        <v>On BS</v>
      </c>
      <c r="X599" s="25">
        <f>SUMIFS(U:U,C:C,Dealps[[#This Row],[PAPER_CODE]])</f>
        <v>1500000000000</v>
      </c>
      <c r="Y599" s="25">
        <f>_xlfn.XLOOKUP(Dealps[[#This Row],[DEAL_ID]],Ref!N:N,Ref!Q:Q,0,0)</f>
        <v>0</v>
      </c>
      <c r="Z599" s="25" t="str">
        <f>IF(Dealps[[#This Row],[CPTY_CODE]]=Dealps[[#This Row],[CPTY_CODE_ISSUER]],"Yes","No")</f>
        <v>No</v>
      </c>
      <c r="AA599" s="25"/>
      <c r="AC599" s="14"/>
      <c r="AG599" s="96"/>
      <c r="AH599" s="25"/>
      <c r="AI599" s="25"/>
      <c r="AN599" s="14"/>
      <c r="AV599" s="36"/>
      <c r="AW599" s="14"/>
      <c r="AX599" s="234"/>
      <c r="AY599" s="96"/>
      <c r="AZ599" s="14"/>
      <c r="BA599"/>
      <c r="BB599" s="14"/>
      <c r="BC599" s="14"/>
      <c r="BD599" s="14"/>
      <c r="BE599" s="36"/>
      <c r="BF599" s="20"/>
      <c r="BG599"/>
      <c r="BH599"/>
      <c r="BI599"/>
      <c r="BJ599"/>
      <c r="BK599"/>
      <c r="BL599"/>
      <c r="BM599"/>
      <c r="BN599"/>
      <c r="BS599"/>
      <c r="BT599"/>
      <c r="BU599"/>
      <c r="BV599"/>
    </row>
    <row r="600" spans="1:74" x14ac:dyDescent="0.3">
      <c r="A600" s="93">
        <v>46262</v>
      </c>
      <c r="B600">
        <v>4710</v>
      </c>
      <c r="C600" s="56" t="s">
        <v>1204</v>
      </c>
      <c r="D600" t="s">
        <v>315</v>
      </c>
      <c r="E600" t="s">
        <v>1228</v>
      </c>
      <c r="F600" t="s">
        <v>364</v>
      </c>
      <c r="G600" t="s">
        <v>310</v>
      </c>
      <c r="H600" t="s">
        <v>300</v>
      </c>
      <c r="I600" s="93">
        <v>46219</v>
      </c>
      <c r="J600" s="93">
        <v>46219</v>
      </c>
      <c r="K600" s="93">
        <v>46219</v>
      </c>
      <c r="L600" s="93">
        <v>46422</v>
      </c>
      <c r="M600" s="14">
        <v>1</v>
      </c>
      <c r="N600" s="14">
        <v>100000000000</v>
      </c>
      <c r="O600" s="56">
        <v>100.381334237</v>
      </c>
      <c r="P600" s="56">
        <v>0</v>
      </c>
      <c r="Q600" s="14">
        <v>103594704100</v>
      </c>
      <c r="R600">
        <v>6.3269159999999998</v>
      </c>
      <c r="S600" t="s">
        <v>1184</v>
      </c>
      <c r="T600" s="57">
        <f>IF(Dealps[[#This Row],[MATURITY_DATE]]-Dealps[[#This Row],[POSTED_DT]]&lt;0,0,IF(Dealps[[#This Row],[VALUE_DATE]]-Dealps[[#This Row],[POSTED_DT]]&gt;0,Dealps[[#This Row],[MATURITY_DATE]]-Dealps[[#This Row],[VALUE_DATE]],Dealps[[#This Row],[MATURITY_DATE]]-Dealps[[#This Row],[POSTED_DT]]))</f>
        <v>160</v>
      </c>
      <c r="U600" s="25">
        <f>IF(Dealps[[#This Row],[TENOR]]=0,0,IF(Dealps[[#This Row],[DEAL_TYPE]]="B",Dealps[[#This Row],[FACE_AMOUNT]],-Dealps[[#This Row],[FACE_AMOUNT]]))</f>
        <v>100000000000</v>
      </c>
      <c r="V600" s="25">
        <f>_xlfn.XLOOKUP(Dealps[[#This Row],[PAPER_CODE]],FNRP!D:D,FNRP!H:H,0,0)/100*Dealps[[#This Row],[AMOUNT]]</f>
        <v>0</v>
      </c>
      <c r="W600" s="57" t="str">
        <f>IF(Dealps[[#This Row],[TRANSACTION_STATUS]]&lt;&gt;"V","Ngoai BS",IF(Dealps[[#This Row],[POSTED_DT]]&gt;=Dealps[[#This Row],[VALUE_DATE]],"On BS","Off BS"))</f>
        <v>On BS</v>
      </c>
      <c r="X600" s="25">
        <f>SUMIFS(U:U,C:C,Dealps[[#This Row],[PAPER_CODE]])</f>
        <v>1000000000000</v>
      </c>
      <c r="Y600" s="25">
        <f>_xlfn.XLOOKUP(Dealps[[#This Row],[DEAL_ID]],Ref!N:N,Ref!Q:Q,0,0)</f>
        <v>0</v>
      </c>
      <c r="Z600" s="25" t="str">
        <f>IF(Dealps[[#This Row],[CPTY_CODE]]=Dealps[[#This Row],[CPTY_CODE_ISSUER]],"Yes","No")</f>
        <v>No</v>
      </c>
      <c r="AA600" s="25"/>
      <c r="AC600" s="14"/>
      <c r="AG600" s="96"/>
      <c r="AH600" s="25"/>
      <c r="AI600" s="25"/>
      <c r="AN600" s="14"/>
      <c r="AV600" s="36"/>
      <c r="AW600" s="14"/>
      <c r="AX600" s="234"/>
      <c r="AY600" s="96"/>
      <c r="AZ600" s="14"/>
      <c r="BA600"/>
      <c r="BB600" s="14"/>
      <c r="BC600" s="14"/>
      <c r="BD600" s="14"/>
      <c r="BE600" s="36"/>
      <c r="BF600" s="20"/>
      <c r="BG600"/>
      <c r="BH600"/>
      <c r="BI600"/>
      <c r="BJ600"/>
      <c r="BK600"/>
      <c r="BL600"/>
      <c r="BM600"/>
      <c r="BN600"/>
      <c r="BS600"/>
      <c r="BT600"/>
      <c r="BU600"/>
      <c r="BV600"/>
    </row>
    <row r="601" spans="1:74" x14ac:dyDescent="0.3">
      <c r="A601" s="93">
        <v>46262</v>
      </c>
      <c r="B601">
        <v>4711</v>
      </c>
      <c r="C601" s="56" t="s">
        <v>1256</v>
      </c>
      <c r="D601" t="s">
        <v>316</v>
      </c>
      <c r="E601" t="s">
        <v>322</v>
      </c>
      <c r="F601" t="s">
        <v>364</v>
      </c>
      <c r="G601" t="s">
        <v>310</v>
      </c>
      <c r="H601" t="s">
        <v>311</v>
      </c>
      <c r="I601" s="93">
        <v>46219</v>
      </c>
      <c r="J601" s="93">
        <v>46219</v>
      </c>
      <c r="K601" s="93">
        <v>46220</v>
      </c>
      <c r="L601" s="93">
        <v>46486</v>
      </c>
      <c r="M601" s="14">
        <v>1</v>
      </c>
      <c r="N601" s="14">
        <v>150000000000</v>
      </c>
      <c r="O601" s="56">
        <v>101.064235173</v>
      </c>
      <c r="P601" s="56">
        <v>0</v>
      </c>
      <c r="Q601" s="14">
        <v>155135941799.99997</v>
      </c>
      <c r="R601">
        <v>7</v>
      </c>
      <c r="S601" t="s">
        <v>1184</v>
      </c>
      <c r="T601" s="57">
        <f>IF(Dealps[[#This Row],[MATURITY_DATE]]-Dealps[[#This Row],[POSTED_DT]]&lt;0,0,IF(Dealps[[#This Row],[VALUE_DATE]]-Dealps[[#This Row],[POSTED_DT]]&gt;0,Dealps[[#This Row],[MATURITY_DATE]]-Dealps[[#This Row],[VALUE_DATE]],Dealps[[#This Row],[MATURITY_DATE]]-Dealps[[#This Row],[POSTED_DT]]))</f>
        <v>224</v>
      </c>
      <c r="U601" s="25">
        <f>IF(Dealps[[#This Row],[TENOR]]=0,0,IF(Dealps[[#This Row],[DEAL_TYPE]]="B",Dealps[[#This Row],[FACE_AMOUNT]],-Dealps[[#This Row],[FACE_AMOUNT]]))</f>
        <v>-150000000000</v>
      </c>
      <c r="V601" s="25">
        <f>_xlfn.XLOOKUP(Dealps[[#This Row],[PAPER_CODE]],FNRP!D:D,FNRP!H:H,0,0)/100*Dealps[[#This Row],[AMOUNT]]</f>
        <v>0</v>
      </c>
      <c r="W601" s="57" t="str">
        <f>IF(Dealps[[#This Row],[TRANSACTION_STATUS]]&lt;&gt;"V","Ngoai BS",IF(Dealps[[#This Row],[POSTED_DT]]&gt;=Dealps[[#This Row],[VALUE_DATE]],"On BS","Off BS"))</f>
        <v>On BS</v>
      </c>
      <c r="X601" s="25">
        <f>SUMIFS(U:U,C:C,Dealps[[#This Row],[PAPER_CODE]])</f>
        <v>200000000000</v>
      </c>
      <c r="Y601" s="25">
        <f>_xlfn.XLOOKUP(Dealps[[#This Row],[DEAL_ID]],Ref!N:N,Ref!Q:Q,0,0)</f>
        <v>0</v>
      </c>
      <c r="Z601" s="25" t="str">
        <f>IF(Dealps[[#This Row],[CPTY_CODE]]=Dealps[[#This Row],[CPTY_CODE_ISSUER]],"Yes","No")</f>
        <v>No</v>
      </c>
      <c r="AA601" s="25"/>
      <c r="AC601" s="14"/>
      <c r="AG601" s="96"/>
      <c r="AH601" s="25"/>
      <c r="AI601" s="25"/>
      <c r="AN601" s="14"/>
      <c r="AV601" s="36"/>
      <c r="AW601" s="14"/>
      <c r="AX601" s="234"/>
      <c r="AY601" s="96"/>
      <c r="AZ601" s="14"/>
      <c r="BA601"/>
      <c r="BB601" s="14"/>
      <c r="BC601" s="14"/>
      <c r="BD601" s="14"/>
      <c r="BE601" s="36"/>
      <c r="BF601" s="20"/>
      <c r="BG601"/>
      <c r="BH601"/>
      <c r="BI601"/>
      <c r="BJ601"/>
      <c r="BK601"/>
      <c r="BL601"/>
      <c r="BM601"/>
      <c r="BN601"/>
      <c r="BS601"/>
      <c r="BT601"/>
      <c r="BU601"/>
      <c r="BV601"/>
    </row>
    <row r="602" spans="1:74" x14ac:dyDescent="0.3">
      <c r="A602" s="93">
        <v>46262</v>
      </c>
      <c r="B602">
        <v>4714</v>
      </c>
      <c r="C602" s="56" t="s">
        <v>1258</v>
      </c>
      <c r="D602" t="s">
        <v>321</v>
      </c>
      <c r="E602" t="s">
        <v>322</v>
      </c>
      <c r="F602" t="s">
        <v>364</v>
      </c>
      <c r="G602" t="s">
        <v>310</v>
      </c>
      <c r="H602" t="s">
        <v>300</v>
      </c>
      <c r="I602" s="93">
        <v>46220</v>
      </c>
      <c r="J602" s="93">
        <v>46209</v>
      </c>
      <c r="K602" s="93">
        <v>46220</v>
      </c>
      <c r="L602" s="93">
        <v>46485</v>
      </c>
      <c r="M602" s="14">
        <v>1</v>
      </c>
      <c r="N602" s="14">
        <v>500000000000</v>
      </c>
      <c r="O602" s="56">
        <v>100.19411592900001</v>
      </c>
      <c r="P602" s="56">
        <v>0</v>
      </c>
      <c r="Q602" s="14">
        <v>511787018000.00006</v>
      </c>
      <c r="R602">
        <v>7.9453290000000001</v>
      </c>
      <c r="S602" t="s">
        <v>1184</v>
      </c>
      <c r="T602" s="57">
        <f>IF(Dealps[[#This Row],[MATURITY_DATE]]-Dealps[[#This Row],[POSTED_DT]]&lt;0,0,IF(Dealps[[#This Row],[VALUE_DATE]]-Dealps[[#This Row],[POSTED_DT]]&gt;0,Dealps[[#This Row],[MATURITY_DATE]]-Dealps[[#This Row],[VALUE_DATE]],Dealps[[#This Row],[MATURITY_DATE]]-Dealps[[#This Row],[POSTED_DT]]))</f>
        <v>223</v>
      </c>
      <c r="U602" s="25">
        <f>IF(Dealps[[#This Row],[TENOR]]=0,0,IF(Dealps[[#This Row],[DEAL_TYPE]]="B",Dealps[[#This Row],[FACE_AMOUNT]],-Dealps[[#This Row],[FACE_AMOUNT]]))</f>
        <v>500000000000</v>
      </c>
      <c r="V602" s="25">
        <f>_xlfn.XLOOKUP(Dealps[[#This Row],[PAPER_CODE]],FNRP!D:D,FNRP!H:H,0,0)/100*Dealps[[#This Row],[AMOUNT]]</f>
        <v>0</v>
      </c>
      <c r="W602" s="57" t="str">
        <f>IF(Dealps[[#This Row],[TRANSACTION_STATUS]]&lt;&gt;"V","Ngoai BS",IF(Dealps[[#This Row],[POSTED_DT]]&gt;=Dealps[[#This Row],[VALUE_DATE]],"On BS","Off BS"))</f>
        <v>On BS</v>
      </c>
      <c r="X602" s="25">
        <f>SUMIFS(U:U,C:C,Dealps[[#This Row],[PAPER_CODE]])</f>
        <v>2000000000000</v>
      </c>
      <c r="Y602" s="25">
        <f>_xlfn.XLOOKUP(Dealps[[#This Row],[DEAL_ID]],Ref!N:N,Ref!Q:Q,0,0)</f>
        <v>0</v>
      </c>
      <c r="Z602" s="25" t="str">
        <f>IF(Dealps[[#This Row],[CPTY_CODE]]=Dealps[[#This Row],[CPTY_CODE_ISSUER]],"Yes","No")</f>
        <v>No</v>
      </c>
      <c r="AA602" s="25"/>
      <c r="AC602" s="14"/>
      <c r="AG602" s="96"/>
      <c r="AH602" s="25"/>
      <c r="AI602" s="25"/>
      <c r="AN602" s="14"/>
      <c r="AV602" s="36"/>
      <c r="AW602" s="14"/>
      <c r="AX602" s="234"/>
      <c r="AY602" s="96"/>
      <c r="AZ602" s="14"/>
      <c r="BA602"/>
      <c r="BB602" s="14"/>
      <c r="BC602" s="14"/>
      <c r="BD602" s="14"/>
      <c r="BE602" s="36"/>
      <c r="BF602" s="20"/>
      <c r="BG602"/>
      <c r="BH602"/>
      <c r="BI602"/>
      <c r="BJ602"/>
      <c r="BK602"/>
      <c r="BL602"/>
      <c r="BM602"/>
      <c r="BN602"/>
      <c r="BS602"/>
      <c r="BT602"/>
      <c r="BU602"/>
      <c r="BV602"/>
    </row>
    <row r="603" spans="1:74" x14ac:dyDescent="0.3">
      <c r="A603" s="93">
        <v>46262</v>
      </c>
      <c r="B603">
        <v>4715</v>
      </c>
      <c r="C603" s="56" t="s">
        <v>1258</v>
      </c>
      <c r="D603" t="s">
        <v>321</v>
      </c>
      <c r="E603" t="s">
        <v>322</v>
      </c>
      <c r="F603" t="s">
        <v>364</v>
      </c>
      <c r="G603" t="s">
        <v>310</v>
      </c>
      <c r="H603" t="s">
        <v>300</v>
      </c>
      <c r="I603" s="93">
        <v>46220</v>
      </c>
      <c r="J603" s="93">
        <v>46209</v>
      </c>
      <c r="K603" s="93">
        <v>46220</v>
      </c>
      <c r="L603" s="93">
        <v>46485</v>
      </c>
      <c r="M603" s="14">
        <v>1</v>
      </c>
      <c r="N603" s="14">
        <v>500000000000</v>
      </c>
      <c r="O603" s="56">
        <v>100.19411592900001</v>
      </c>
      <c r="P603" s="56">
        <v>0</v>
      </c>
      <c r="Q603" s="14">
        <v>511787018000.00006</v>
      </c>
      <c r="R603">
        <v>7.9453290000000001</v>
      </c>
      <c r="S603" t="s">
        <v>1184</v>
      </c>
      <c r="T603" s="57">
        <f>IF(Dealps[[#This Row],[MATURITY_DATE]]-Dealps[[#This Row],[POSTED_DT]]&lt;0,0,IF(Dealps[[#This Row],[VALUE_DATE]]-Dealps[[#This Row],[POSTED_DT]]&gt;0,Dealps[[#This Row],[MATURITY_DATE]]-Dealps[[#This Row],[VALUE_DATE]],Dealps[[#This Row],[MATURITY_DATE]]-Dealps[[#This Row],[POSTED_DT]]))</f>
        <v>223</v>
      </c>
      <c r="U603" s="25">
        <f>IF(Dealps[[#This Row],[TENOR]]=0,0,IF(Dealps[[#This Row],[DEAL_TYPE]]="B",Dealps[[#This Row],[FACE_AMOUNT]],-Dealps[[#This Row],[FACE_AMOUNT]]))</f>
        <v>500000000000</v>
      </c>
      <c r="V603" s="25">
        <f>_xlfn.XLOOKUP(Dealps[[#This Row],[PAPER_CODE]],FNRP!D:D,FNRP!H:H,0,0)/100*Dealps[[#This Row],[AMOUNT]]</f>
        <v>0</v>
      </c>
      <c r="W603" s="57" t="str">
        <f>IF(Dealps[[#This Row],[TRANSACTION_STATUS]]&lt;&gt;"V","Ngoai BS",IF(Dealps[[#This Row],[POSTED_DT]]&gt;=Dealps[[#This Row],[VALUE_DATE]],"On BS","Off BS"))</f>
        <v>On BS</v>
      </c>
      <c r="X603" s="25">
        <f>SUMIFS(U:U,C:C,Dealps[[#This Row],[PAPER_CODE]])</f>
        <v>2000000000000</v>
      </c>
      <c r="Y603" s="25">
        <f>_xlfn.XLOOKUP(Dealps[[#This Row],[DEAL_ID]],Ref!N:N,Ref!Q:Q,0,0)</f>
        <v>0</v>
      </c>
      <c r="Z603" s="25" t="str">
        <f>IF(Dealps[[#This Row],[CPTY_CODE]]=Dealps[[#This Row],[CPTY_CODE_ISSUER]],"Yes","No")</f>
        <v>No</v>
      </c>
      <c r="AA603" s="25"/>
      <c r="AC603" s="14"/>
      <c r="AG603" s="96"/>
      <c r="AH603" s="25"/>
      <c r="AI603" s="25"/>
      <c r="AN603" s="14"/>
      <c r="AV603" s="36"/>
      <c r="AW603" s="14"/>
      <c r="AX603" s="234"/>
      <c r="AY603" s="96"/>
      <c r="AZ603" s="14"/>
      <c r="BA603"/>
      <c r="BB603" s="14"/>
      <c r="BC603" s="14"/>
      <c r="BD603" s="14"/>
      <c r="BE603" s="36"/>
      <c r="BF603" s="20"/>
      <c r="BG603"/>
      <c r="BH603"/>
      <c r="BI603"/>
      <c r="BJ603"/>
      <c r="BK603"/>
      <c r="BL603"/>
      <c r="BM603"/>
      <c r="BN603"/>
      <c r="BS603"/>
      <c r="BT603"/>
      <c r="BU603"/>
      <c r="BV603"/>
    </row>
    <row r="604" spans="1:74" x14ac:dyDescent="0.3">
      <c r="A604" s="93">
        <v>46262</v>
      </c>
      <c r="B604">
        <v>4716</v>
      </c>
      <c r="C604" s="56" t="s">
        <v>1239</v>
      </c>
      <c r="D604" t="s">
        <v>384</v>
      </c>
      <c r="E604" t="s">
        <v>1015</v>
      </c>
      <c r="F604" t="s">
        <v>364</v>
      </c>
      <c r="G604" t="s">
        <v>310</v>
      </c>
      <c r="H604" t="s">
        <v>300</v>
      </c>
      <c r="I604" s="93">
        <v>46220</v>
      </c>
      <c r="J604" s="93">
        <v>46220</v>
      </c>
      <c r="K604" s="93">
        <v>46220</v>
      </c>
      <c r="L604" s="93">
        <v>46493</v>
      </c>
      <c r="M604" s="14">
        <v>1</v>
      </c>
      <c r="N604" s="14">
        <v>50000000000</v>
      </c>
      <c r="O604" s="56">
        <v>99.936909818000004</v>
      </c>
      <c r="P604" s="56">
        <v>0</v>
      </c>
      <c r="Q604" s="14">
        <v>51468043950</v>
      </c>
      <c r="R604">
        <v>8.7280870000000004</v>
      </c>
      <c r="S604" t="s">
        <v>1184</v>
      </c>
      <c r="T604" s="57">
        <f>IF(Dealps[[#This Row],[MATURITY_DATE]]-Dealps[[#This Row],[POSTED_DT]]&lt;0,0,IF(Dealps[[#This Row],[VALUE_DATE]]-Dealps[[#This Row],[POSTED_DT]]&gt;0,Dealps[[#This Row],[MATURITY_DATE]]-Dealps[[#This Row],[VALUE_DATE]],Dealps[[#This Row],[MATURITY_DATE]]-Dealps[[#This Row],[POSTED_DT]]))</f>
        <v>231</v>
      </c>
      <c r="U604" s="25">
        <f>IF(Dealps[[#This Row],[TENOR]]=0,0,IF(Dealps[[#This Row],[DEAL_TYPE]]="B",Dealps[[#This Row],[FACE_AMOUNT]],-Dealps[[#This Row],[FACE_AMOUNT]]))</f>
        <v>50000000000</v>
      </c>
      <c r="V604" s="25">
        <f>_xlfn.XLOOKUP(Dealps[[#This Row],[PAPER_CODE]],FNRP!D:D,FNRP!H:H,0,0)/100*Dealps[[#This Row],[AMOUNT]]</f>
        <v>0</v>
      </c>
      <c r="W604" s="57" t="str">
        <f>IF(Dealps[[#This Row],[TRANSACTION_STATUS]]&lt;&gt;"V","Ngoai BS",IF(Dealps[[#This Row],[POSTED_DT]]&gt;=Dealps[[#This Row],[VALUE_DATE]],"On BS","Off BS"))</f>
        <v>On BS</v>
      </c>
      <c r="X604" s="25">
        <f>SUMIFS(U:U,C:C,Dealps[[#This Row],[PAPER_CODE]])</f>
        <v>300000000000</v>
      </c>
      <c r="Y604" s="25">
        <f>_xlfn.XLOOKUP(Dealps[[#This Row],[DEAL_ID]],Ref!N:N,Ref!Q:Q,0,0)</f>
        <v>0</v>
      </c>
      <c r="Z604" s="25" t="str">
        <f>IF(Dealps[[#This Row],[CPTY_CODE]]=Dealps[[#This Row],[CPTY_CODE_ISSUER]],"Yes","No")</f>
        <v>No</v>
      </c>
      <c r="AA604" s="25"/>
      <c r="AC604" s="14"/>
      <c r="AG604" s="96"/>
      <c r="AH604" s="25"/>
      <c r="AI604" s="25"/>
      <c r="AN604" s="14"/>
      <c r="AV604" s="36"/>
      <c r="AW604" s="14"/>
      <c r="AX604" s="234"/>
      <c r="AY604" s="96"/>
      <c r="AZ604" s="14"/>
      <c r="BA604"/>
      <c r="BB604" s="14"/>
      <c r="BC604" s="14"/>
      <c r="BD604" s="14"/>
      <c r="BE604" s="36"/>
      <c r="BF604" s="20"/>
      <c r="BG604"/>
      <c r="BH604"/>
      <c r="BI604"/>
      <c r="BJ604"/>
      <c r="BK604"/>
      <c r="BL604"/>
      <c r="BM604"/>
      <c r="BN604"/>
      <c r="BS604"/>
      <c r="BT604"/>
      <c r="BU604"/>
      <c r="BV604"/>
    </row>
    <row r="605" spans="1:74" x14ac:dyDescent="0.3">
      <c r="A605" s="93">
        <v>46262</v>
      </c>
      <c r="B605">
        <v>4717</v>
      </c>
      <c r="C605" s="56" t="s">
        <v>1260</v>
      </c>
      <c r="D605" t="s">
        <v>384</v>
      </c>
      <c r="E605" t="s">
        <v>1022</v>
      </c>
      <c r="F605" t="s">
        <v>364</v>
      </c>
      <c r="G605" t="s">
        <v>310</v>
      </c>
      <c r="H605" t="s">
        <v>300</v>
      </c>
      <c r="I605" s="93">
        <v>46220</v>
      </c>
      <c r="J605" s="93">
        <v>46220</v>
      </c>
      <c r="K605" s="93">
        <v>46220</v>
      </c>
      <c r="L605" s="93">
        <v>46524</v>
      </c>
      <c r="M605" s="14">
        <v>1</v>
      </c>
      <c r="N605" s="14">
        <v>70000000000</v>
      </c>
      <c r="O605" s="56">
        <v>101.06856564900001</v>
      </c>
      <c r="P605" s="56">
        <v>0</v>
      </c>
      <c r="Q605" s="14">
        <v>72405941160</v>
      </c>
      <c r="R605">
        <v>7.9439789999999997</v>
      </c>
      <c r="S605" t="s">
        <v>1184</v>
      </c>
      <c r="T605" s="57">
        <f>IF(Dealps[[#This Row],[MATURITY_DATE]]-Dealps[[#This Row],[POSTED_DT]]&lt;0,0,IF(Dealps[[#This Row],[VALUE_DATE]]-Dealps[[#This Row],[POSTED_DT]]&gt;0,Dealps[[#This Row],[MATURITY_DATE]]-Dealps[[#This Row],[VALUE_DATE]],Dealps[[#This Row],[MATURITY_DATE]]-Dealps[[#This Row],[POSTED_DT]]))</f>
        <v>262</v>
      </c>
      <c r="U605" s="25">
        <f>IF(Dealps[[#This Row],[TENOR]]=0,0,IF(Dealps[[#This Row],[DEAL_TYPE]]="B",Dealps[[#This Row],[FACE_AMOUNT]],-Dealps[[#This Row],[FACE_AMOUNT]]))</f>
        <v>70000000000</v>
      </c>
      <c r="V605" s="25">
        <f>_xlfn.XLOOKUP(Dealps[[#This Row],[PAPER_CODE]],FNRP!D:D,FNRP!H:H,0,0)/100*Dealps[[#This Row],[AMOUNT]]</f>
        <v>0</v>
      </c>
      <c r="W605" s="57" t="str">
        <f>IF(Dealps[[#This Row],[TRANSACTION_STATUS]]&lt;&gt;"V","Ngoai BS",IF(Dealps[[#This Row],[POSTED_DT]]&gt;=Dealps[[#This Row],[VALUE_DATE]],"On BS","Off BS"))</f>
        <v>On BS</v>
      </c>
      <c r="X605" s="25">
        <f>SUMIFS(U:U,C:C,Dealps[[#This Row],[PAPER_CODE]])</f>
        <v>400000000000</v>
      </c>
      <c r="Y605" s="25">
        <f>_xlfn.XLOOKUP(Dealps[[#This Row],[DEAL_ID]],Ref!N:N,Ref!Q:Q,0,0)</f>
        <v>0</v>
      </c>
      <c r="Z605" s="25" t="str">
        <f>IF(Dealps[[#This Row],[CPTY_CODE]]=Dealps[[#This Row],[CPTY_CODE_ISSUER]],"Yes","No")</f>
        <v>No</v>
      </c>
      <c r="AA605" s="25"/>
      <c r="AC605" s="14"/>
      <c r="AG605" s="96"/>
      <c r="AH605" s="25"/>
      <c r="AI605" s="25"/>
      <c r="AN605" s="14"/>
      <c r="AV605" s="36"/>
      <c r="AW605" s="14"/>
      <c r="AX605" s="234"/>
      <c r="AY605" s="96"/>
      <c r="AZ605" s="14"/>
      <c r="BA605"/>
      <c r="BB605" s="14"/>
      <c r="BC605" s="14"/>
      <c r="BD605" s="14"/>
      <c r="BE605" s="36"/>
      <c r="BF605" s="20"/>
      <c r="BG605"/>
      <c r="BH605"/>
      <c r="BI605"/>
      <c r="BJ605"/>
      <c r="BK605"/>
      <c r="BL605"/>
      <c r="BM605"/>
      <c r="BN605"/>
      <c r="BS605"/>
      <c r="BT605"/>
      <c r="BU605"/>
      <c r="BV605"/>
    </row>
    <row r="606" spans="1:74" x14ac:dyDescent="0.3">
      <c r="A606" s="93">
        <v>46262</v>
      </c>
      <c r="B606">
        <v>4718</v>
      </c>
      <c r="C606" s="56" t="s">
        <v>1258</v>
      </c>
      <c r="D606" t="s">
        <v>321</v>
      </c>
      <c r="E606" t="s">
        <v>347</v>
      </c>
      <c r="F606" t="s">
        <v>364</v>
      </c>
      <c r="G606" t="s">
        <v>310</v>
      </c>
      <c r="H606" t="s">
        <v>300</v>
      </c>
      <c r="I606" s="93">
        <v>46220</v>
      </c>
      <c r="J606" s="93">
        <v>46220</v>
      </c>
      <c r="K606" s="93">
        <v>46220</v>
      </c>
      <c r="L606" s="93">
        <v>46485</v>
      </c>
      <c r="M606" s="14">
        <v>1</v>
      </c>
      <c r="N606" s="14">
        <v>500000000000</v>
      </c>
      <c r="O606" s="56">
        <v>100.54281672899999</v>
      </c>
      <c r="P606" s="56">
        <v>0</v>
      </c>
      <c r="Q606" s="14">
        <v>513530522000</v>
      </c>
      <c r="R606">
        <v>7.4507219999999998</v>
      </c>
      <c r="S606" t="s">
        <v>1184</v>
      </c>
      <c r="T606" s="57">
        <f>IF(Dealps[[#This Row],[MATURITY_DATE]]-Dealps[[#This Row],[POSTED_DT]]&lt;0,0,IF(Dealps[[#This Row],[VALUE_DATE]]-Dealps[[#This Row],[POSTED_DT]]&gt;0,Dealps[[#This Row],[MATURITY_DATE]]-Dealps[[#This Row],[VALUE_DATE]],Dealps[[#This Row],[MATURITY_DATE]]-Dealps[[#This Row],[POSTED_DT]]))</f>
        <v>223</v>
      </c>
      <c r="U606" s="25">
        <f>IF(Dealps[[#This Row],[TENOR]]=0,0,IF(Dealps[[#This Row],[DEAL_TYPE]]="B",Dealps[[#This Row],[FACE_AMOUNT]],-Dealps[[#This Row],[FACE_AMOUNT]]))</f>
        <v>500000000000</v>
      </c>
      <c r="V606" s="25">
        <f>_xlfn.XLOOKUP(Dealps[[#This Row],[PAPER_CODE]],FNRP!D:D,FNRP!H:H,0,0)/100*Dealps[[#This Row],[AMOUNT]]</f>
        <v>0</v>
      </c>
      <c r="W606" s="57" t="str">
        <f>IF(Dealps[[#This Row],[TRANSACTION_STATUS]]&lt;&gt;"V","Ngoai BS",IF(Dealps[[#This Row],[POSTED_DT]]&gt;=Dealps[[#This Row],[VALUE_DATE]],"On BS","Off BS"))</f>
        <v>On BS</v>
      </c>
      <c r="X606" s="25">
        <f>SUMIFS(U:U,C:C,Dealps[[#This Row],[PAPER_CODE]])</f>
        <v>2000000000000</v>
      </c>
      <c r="Y606" s="25">
        <f>_xlfn.XLOOKUP(Dealps[[#This Row],[DEAL_ID]],Ref!N:N,Ref!Q:Q,0,0)</f>
        <v>0</v>
      </c>
      <c r="Z606" s="25" t="str">
        <f>IF(Dealps[[#This Row],[CPTY_CODE]]=Dealps[[#This Row],[CPTY_CODE_ISSUER]],"Yes","No")</f>
        <v>No</v>
      </c>
      <c r="AA606" s="25"/>
      <c r="AC606" s="14"/>
      <c r="AG606" s="96"/>
      <c r="AH606" s="25"/>
      <c r="AI606" s="25"/>
      <c r="AN606" s="14"/>
      <c r="AV606" s="36"/>
      <c r="AW606" s="14"/>
      <c r="AX606" s="234"/>
      <c r="AY606" s="96"/>
      <c r="AZ606" s="14"/>
      <c r="BA606"/>
      <c r="BB606" s="14"/>
      <c r="BC606" s="14"/>
      <c r="BD606" s="14"/>
      <c r="BE606" s="36"/>
      <c r="BF606" s="20"/>
      <c r="BG606"/>
      <c r="BH606"/>
      <c r="BI606"/>
      <c r="BJ606"/>
      <c r="BK606"/>
      <c r="BL606"/>
      <c r="BM606"/>
      <c r="BN606"/>
      <c r="BS606"/>
      <c r="BT606"/>
      <c r="BU606"/>
      <c r="BV606"/>
    </row>
    <row r="607" spans="1:74" x14ac:dyDescent="0.3">
      <c r="A607" s="93">
        <v>46262</v>
      </c>
      <c r="B607">
        <v>4719</v>
      </c>
      <c r="C607" s="56" t="s">
        <v>1158</v>
      </c>
      <c r="D607" t="s">
        <v>327</v>
      </c>
      <c r="E607" t="s">
        <v>345</v>
      </c>
      <c r="F607" t="s">
        <v>364</v>
      </c>
      <c r="G607" t="s">
        <v>310</v>
      </c>
      <c r="H607" t="s">
        <v>300</v>
      </c>
      <c r="I607" s="93">
        <v>46220</v>
      </c>
      <c r="J607" s="93">
        <v>46220</v>
      </c>
      <c r="K607" s="93">
        <v>46220</v>
      </c>
      <c r="L607" s="93">
        <v>46409</v>
      </c>
      <c r="M607" s="14">
        <v>1</v>
      </c>
      <c r="N607" s="14">
        <v>500000000000</v>
      </c>
      <c r="O607" s="56">
        <v>100.298235027</v>
      </c>
      <c r="P607" s="56">
        <v>0</v>
      </c>
      <c r="Q607" s="14">
        <v>518751449109.00006</v>
      </c>
      <c r="R607">
        <v>6.3846020000000001</v>
      </c>
      <c r="S607" t="s">
        <v>1184</v>
      </c>
      <c r="T607" s="57">
        <f>IF(Dealps[[#This Row],[MATURITY_DATE]]-Dealps[[#This Row],[POSTED_DT]]&lt;0,0,IF(Dealps[[#This Row],[VALUE_DATE]]-Dealps[[#This Row],[POSTED_DT]]&gt;0,Dealps[[#This Row],[MATURITY_DATE]]-Dealps[[#This Row],[VALUE_DATE]],Dealps[[#This Row],[MATURITY_DATE]]-Dealps[[#This Row],[POSTED_DT]]))</f>
        <v>147</v>
      </c>
      <c r="U607" s="25">
        <f>IF(Dealps[[#This Row],[TENOR]]=0,0,IF(Dealps[[#This Row],[DEAL_TYPE]]="B",Dealps[[#This Row],[FACE_AMOUNT]],-Dealps[[#This Row],[FACE_AMOUNT]]))</f>
        <v>500000000000</v>
      </c>
      <c r="V607" s="25">
        <f>_xlfn.XLOOKUP(Dealps[[#This Row],[PAPER_CODE]],FNRP!D:D,FNRP!H:H,0,0)/100*Dealps[[#This Row],[AMOUNT]]</f>
        <v>0</v>
      </c>
      <c r="W607" s="57" t="str">
        <f>IF(Dealps[[#This Row],[TRANSACTION_STATUS]]&lt;&gt;"V","Ngoai BS",IF(Dealps[[#This Row],[POSTED_DT]]&gt;=Dealps[[#This Row],[VALUE_DATE]],"On BS","Off BS"))</f>
        <v>On BS</v>
      </c>
      <c r="X607" s="25">
        <f>SUMIFS(U:U,C:C,Dealps[[#This Row],[PAPER_CODE]])</f>
        <v>2000000000000</v>
      </c>
      <c r="Y607" s="25">
        <f>_xlfn.XLOOKUP(Dealps[[#This Row],[DEAL_ID]],Ref!N:N,Ref!Q:Q,0,0)</f>
        <v>0</v>
      </c>
      <c r="Z607" s="25" t="str">
        <f>IF(Dealps[[#This Row],[CPTY_CODE]]=Dealps[[#This Row],[CPTY_CODE_ISSUER]],"Yes","No")</f>
        <v>No</v>
      </c>
      <c r="AA607" s="25"/>
      <c r="AC607" s="14"/>
      <c r="AG607" s="96"/>
      <c r="AH607" s="25"/>
      <c r="AI607" s="25"/>
      <c r="AN607" s="14"/>
      <c r="AV607" s="36"/>
      <c r="AW607" s="14"/>
      <c r="AX607" s="234"/>
      <c r="AY607" s="96"/>
      <c r="AZ607" s="14"/>
      <c r="BA607"/>
      <c r="BB607" s="14"/>
      <c r="BC607" s="14"/>
      <c r="BD607" s="14"/>
      <c r="BE607" s="36"/>
      <c r="BF607" s="20"/>
      <c r="BG607"/>
      <c r="BH607"/>
      <c r="BI607"/>
      <c r="BJ607"/>
      <c r="BK607"/>
      <c r="BL607"/>
      <c r="BM607"/>
      <c r="BN607"/>
      <c r="BS607"/>
      <c r="BT607"/>
      <c r="BU607"/>
      <c r="BV607"/>
    </row>
    <row r="608" spans="1:74" x14ac:dyDescent="0.3">
      <c r="A608" s="93">
        <v>46262</v>
      </c>
      <c r="B608">
        <v>4720</v>
      </c>
      <c r="C608" s="56" t="s">
        <v>963</v>
      </c>
      <c r="D608" t="s">
        <v>308</v>
      </c>
      <c r="E608" t="s">
        <v>474</v>
      </c>
      <c r="F608" t="s">
        <v>364</v>
      </c>
      <c r="G608" t="s">
        <v>310</v>
      </c>
      <c r="H608" t="s">
        <v>311</v>
      </c>
      <c r="I608" s="93">
        <v>46220</v>
      </c>
      <c r="J608" s="93">
        <v>46220</v>
      </c>
      <c r="K608" s="93">
        <v>46223</v>
      </c>
      <c r="L608" s="93">
        <v>46295</v>
      </c>
      <c r="M608" s="14">
        <v>1</v>
      </c>
      <c r="N608" s="14">
        <v>29000000000</v>
      </c>
      <c r="O608" s="56">
        <v>100.3316166</v>
      </c>
      <c r="P608" s="56">
        <v>0</v>
      </c>
      <c r="Q608" s="14">
        <v>30511368814</v>
      </c>
      <c r="R608">
        <v>4.2</v>
      </c>
      <c r="S608" t="s">
        <v>1184</v>
      </c>
      <c r="T608" s="57">
        <f>IF(Dealps[[#This Row],[MATURITY_DATE]]-Dealps[[#This Row],[POSTED_DT]]&lt;0,0,IF(Dealps[[#This Row],[VALUE_DATE]]-Dealps[[#This Row],[POSTED_DT]]&gt;0,Dealps[[#This Row],[MATURITY_DATE]]-Dealps[[#This Row],[VALUE_DATE]],Dealps[[#This Row],[MATURITY_DATE]]-Dealps[[#This Row],[POSTED_DT]]))</f>
        <v>33</v>
      </c>
      <c r="U608" s="25">
        <f>IF(Dealps[[#This Row],[TENOR]]=0,0,IF(Dealps[[#This Row],[DEAL_TYPE]]="B",Dealps[[#This Row],[FACE_AMOUNT]],-Dealps[[#This Row],[FACE_AMOUNT]]))</f>
        <v>-29000000000</v>
      </c>
      <c r="V608" s="25">
        <f>_xlfn.XLOOKUP(Dealps[[#This Row],[PAPER_CODE]],FNRP!D:D,FNRP!H:H,0,0)/100*Dealps[[#This Row],[AMOUNT]]</f>
        <v>0</v>
      </c>
      <c r="W608" s="57" t="str">
        <f>IF(Dealps[[#This Row],[TRANSACTION_STATUS]]&lt;&gt;"V","Ngoai BS",IF(Dealps[[#This Row],[POSTED_DT]]&gt;=Dealps[[#This Row],[VALUE_DATE]],"On BS","Off BS"))</f>
        <v>On BS</v>
      </c>
      <c r="X608" s="25">
        <f>SUMIFS(U:U,C:C,Dealps[[#This Row],[PAPER_CODE]])</f>
        <v>400000000000</v>
      </c>
      <c r="Y608" s="25">
        <f>_xlfn.XLOOKUP(Dealps[[#This Row],[DEAL_ID]],Ref!N:N,Ref!Q:Q,0,0)</f>
        <v>0</v>
      </c>
      <c r="Z608" s="25" t="str">
        <f>IF(Dealps[[#This Row],[CPTY_CODE]]=Dealps[[#This Row],[CPTY_CODE_ISSUER]],"Yes","No")</f>
        <v>No</v>
      </c>
      <c r="AA608" s="25"/>
      <c r="AC608" s="14"/>
      <c r="AG608" s="96"/>
      <c r="AH608" s="25"/>
      <c r="AI608" s="25"/>
      <c r="AN608" s="14"/>
      <c r="AV608" s="36"/>
      <c r="AW608" s="14"/>
      <c r="AX608" s="234"/>
      <c r="AY608" s="96"/>
      <c r="AZ608" s="14"/>
      <c r="BA608"/>
      <c r="BB608" s="14"/>
      <c r="BC608" s="14"/>
      <c r="BD608" s="14"/>
      <c r="BE608" s="36"/>
      <c r="BF608" s="20"/>
      <c r="BG608"/>
      <c r="BH608"/>
      <c r="BI608"/>
      <c r="BJ608"/>
      <c r="BK608"/>
      <c r="BL608"/>
      <c r="BM608"/>
      <c r="BN608"/>
      <c r="BS608"/>
      <c r="BT608"/>
      <c r="BU608"/>
      <c r="BV608"/>
    </row>
    <row r="609" spans="1:74" x14ac:dyDescent="0.3">
      <c r="A609" s="93">
        <v>46262</v>
      </c>
      <c r="B609">
        <v>4722</v>
      </c>
      <c r="C609" s="56" t="s">
        <v>1158</v>
      </c>
      <c r="D609" t="s">
        <v>327</v>
      </c>
      <c r="E609" t="s">
        <v>315</v>
      </c>
      <c r="F609" t="s">
        <v>364</v>
      </c>
      <c r="G609" t="s">
        <v>310</v>
      </c>
      <c r="H609" t="s">
        <v>300</v>
      </c>
      <c r="I609" s="93">
        <v>46223</v>
      </c>
      <c r="J609" s="93">
        <v>46223</v>
      </c>
      <c r="K609" s="93">
        <v>46223</v>
      </c>
      <c r="L609" s="93">
        <v>46409</v>
      </c>
      <c r="M609" s="14">
        <v>1</v>
      </c>
      <c r="N609" s="14">
        <v>1000000000000</v>
      </c>
      <c r="O609" s="56">
        <v>99.823749136000004</v>
      </c>
      <c r="P609" s="56">
        <v>0</v>
      </c>
      <c r="Q609" s="14">
        <v>1033349820126</v>
      </c>
      <c r="R609">
        <v>7.3023369999999996</v>
      </c>
      <c r="S609" t="s">
        <v>1184</v>
      </c>
      <c r="T609" s="57">
        <f>IF(Dealps[[#This Row],[MATURITY_DATE]]-Dealps[[#This Row],[POSTED_DT]]&lt;0,0,IF(Dealps[[#This Row],[VALUE_DATE]]-Dealps[[#This Row],[POSTED_DT]]&gt;0,Dealps[[#This Row],[MATURITY_DATE]]-Dealps[[#This Row],[VALUE_DATE]],Dealps[[#This Row],[MATURITY_DATE]]-Dealps[[#This Row],[POSTED_DT]]))</f>
        <v>147</v>
      </c>
      <c r="U609" s="25">
        <f>IF(Dealps[[#This Row],[TENOR]]=0,0,IF(Dealps[[#This Row],[DEAL_TYPE]]="B",Dealps[[#This Row],[FACE_AMOUNT]],-Dealps[[#This Row],[FACE_AMOUNT]]))</f>
        <v>1000000000000</v>
      </c>
      <c r="V609" s="25">
        <f>_xlfn.XLOOKUP(Dealps[[#This Row],[PAPER_CODE]],FNRP!D:D,FNRP!H:H,0,0)/100*Dealps[[#This Row],[AMOUNT]]</f>
        <v>0</v>
      </c>
      <c r="W609" s="57" t="str">
        <f>IF(Dealps[[#This Row],[TRANSACTION_STATUS]]&lt;&gt;"V","Ngoai BS",IF(Dealps[[#This Row],[POSTED_DT]]&gt;=Dealps[[#This Row],[VALUE_DATE]],"On BS","Off BS"))</f>
        <v>On BS</v>
      </c>
      <c r="X609" s="25">
        <f>SUMIFS(U:U,C:C,Dealps[[#This Row],[PAPER_CODE]])</f>
        <v>2000000000000</v>
      </c>
      <c r="Y609" s="25">
        <f>_xlfn.XLOOKUP(Dealps[[#This Row],[DEAL_ID]],Ref!N:N,Ref!Q:Q,0,0)</f>
        <v>0</v>
      </c>
      <c r="Z609" s="25" t="str">
        <f>IF(Dealps[[#This Row],[CPTY_CODE]]=Dealps[[#This Row],[CPTY_CODE_ISSUER]],"Yes","No")</f>
        <v>No</v>
      </c>
      <c r="AA609" s="25"/>
      <c r="AC609" s="14"/>
      <c r="AG609" s="96"/>
      <c r="AH609" s="25"/>
      <c r="AI609" s="25"/>
      <c r="AN609" s="14"/>
      <c r="AV609" s="36"/>
      <c r="AW609" s="14"/>
      <c r="AX609" s="234"/>
      <c r="AY609" s="96"/>
      <c r="AZ609" s="14"/>
      <c r="BA609"/>
      <c r="BB609" s="14"/>
      <c r="BC609" s="14"/>
      <c r="BD609" s="14"/>
      <c r="BE609" s="36"/>
      <c r="BF609" s="20"/>
      <c r="BG609"/>
      <c r="BH609"/>
      <c r="BI609"/>
      <c r="BJ609"/>
      <c r="BK609"/>
      <c r="BL609"/>
      <c r="BM609"/>
      <c r="BN609"/>
      <c r="BS609"/>
      <c r="BT609"/>
      <c r="BU609"/>
      <c r="BV609"/>
    </row>
    <row r="610" spans="1:74" x14ac:dyDescent="0.3">
      <c r="A610" s="93">
        <v>46262</v>
      </c>
      <c r="B610">
        <v>4723</v>
      </c>
      <c r="C610" s="56" t="s">
        <v>1239</v>
      </c>
      <c r="D610" t="s">
        <v>384</v>
      </c>
      <c r="E610" t="s">
        <v>1015</v>
      </c>
      <c r="F610" t="s">
        <v>364</v>
      </c>
      <c r="G610" t="s">
        <v>310</v>
      </c>
      <c r="H610" t="s">
        <v>300</v>
      </c>
      <c r="I610" s="93">
        <v>46223</v>
      </c>
      <c r="J610" s="93">
        <v>46223</v>
      </c>
      <c r="K610" s="93">
        <v>46223</v>
      </c>
      <c r="L610" s="93">
        <v>46493</v>
      </c>
      <c r="M610" s="14">
        <v>1</v>
      </c>
      <c r="N610" s="14">
        <v>50000000000</v>
      </c>
      <c r="O610" s="56">
        <v>99.887468333000001</v>
      </c>
      <c r="P610" s="56">
        <v>0</v>
      </c>
      <c r="Q610" s="14">
        <v>51479898550</v>
      </c>
      <c r="R610">
        <v>8.7919040000000006</v>
      </c>
      <c r="S610" t="s">
        <v>1184</v>
      </c>
      <c r="T610" s="57">
        <f>IF(Dealps[[#This Row],[MATURITY_DATE]]-Dealps[[#This Row],[POSTED_DT]]&lt;0,0,IF(Dealps[[#This Row],[VALUE_DATE]]-Dealps[[#This Row],[POSTED_DT]]&gt;0,Dealps[[#This Row],[MATURITY_DATE]]-Dealps[[#This Row],[VALUE_DATE]],Dealps[[#This Row],[MATURITY_DATE]]-Dealps[[#This Row],[POSTED_DT]]))</f>
        <v>231</v>
      </c>
      <c r="U610" s="25">
        <f>IF(Dealps[[#This Row],[TENOR]]=0,0,IF(Dealps[[#This Row],[DEAL_TYPE]]="B",Dealps[[#This Row],[FACE_AMOUNT]],-Dealps[[#This Row],[FACE_AMOUNT]]))</f>
        <v>50000000000</v>
      </c>
      <c r="V610" s="25">
        <f>_xlfn.XLOOKUP(Dealps[[#This Row],[PAPER_CODE]],FNRP!D:D,FNRP!H:H,0,0)/100*Dealps[[#This Row],[AMOUNT]]</f>
        <v>0</v>
      </c>
      <c r="W610" s="57" t="str">
        <f>IF(Dealps[[#This Row],[TRANSACTION_STATUS]]&lt;&gt;"V","Ngoai BS",IF(Dealps[[#This Row],[POSTED_DT]]&gt;=Dealps[[#This Row],[VALUE_DATE]],"On BS","Off BS"))</f>
        <v>On BS</v>
      </c>
      <c r="X610" s="25">
        <f>SUMIFS(U:U,C:C,Dealps[[#This Row],[PAPER_CODE]])</f>
        <v>300000000000</v>
      </c>
      <c r="Y610" s="25">
        <f>_xlfn.XLOOKUP(Dealps[[#This Row],[DEAL_ID]],Ref!N:N,Ref!Q:Q,0,0)</f>
        <v>0</v>
      </c>
      <c r="Z610" s="25" t="str">
        <f>IF(Dealps[[#This Row],[CPTY_CODE]]=Dealps[[#This Row],[CPTY_CODE_ISSUER]],"Yes","No")</f>
        <v>No</v>
      </c>
      <c r="AA610" s="25"/>
      <c r="AC610" s="14"/>
      <c r="AG610" s="96"/>
      <c r="AH610" s="25"/>
      <c r="AI610" s="25"/>
      <c r="AN610" s="14"/>
      <c r="AV610" s="36"/>
      <c r="AW610" s="14"/>
      <c r="AX610" s="234"/>
      <c r="AY610" s="96"/>
      <c r="AZ610" s="14"/>
      <c r="BA610"/>
      <c r="BB610" s="14"/>
      <c r="BC610" s="14"/>
      <c r="BD610" s="14"/>
      <c r="BE610" s="36"/>
      <c r="BF610" s="20"/>
      <c r="BG610"/>
      <c r="BH610"/>
      <c r="BI610"/>
      <c r="BJ610"/>
      <c r="BK610"/>
      <c r="BL610"/>
      <c r="BM610"/>
      <c r="BN610"/>
      <c r="BS610"/>
      <c r="BT610"/>
      <c r="BU610"/>
      <c r="BV610"/>
    </row>
    <row r="611" spans="1:74" x14ac:dyDescent="0.3">
      <c r="A611" s="93">
        <v>46262</v>
      </c>
      <c r="B611">
        <v>4724</v>
      </c>
      <c r="C611" s="56" t="s">
        <v>1258</v>
      </c>
      <c r="D611" t="s">
        <v>321</v>
      </c>
      <c r="E611" t="s">
        <v>322</v>
      </c>
      <c r="F611" t="s">
        <v>364</v>
      </c>
      <c r="G611" t="s">
        <v>310</v>
      </c>
      <c r="H611" t="s">
        <v>311</v>
      </c>
      <c r="I611" s="93">
        <v>46223</v>
      </c>
      <c r="J611" s="93">
        <v>46223</v>
      </c>
      <c r="K611" s="93">
        <v>46224</v>
      </c>
      <c r="L611" s="93">
        <v>46485</v>
      </c>
      <c r="M611" s="14">
        <v>1</v>
      </c>
      <c r="N611" s="14">
        <v>500000000000</v>
      </c>
      <c r="O611" s="56">
        <v>100.217824034</v>
      </c>
      <c r="P611" s="56">
        <v>0</v>
      </c>
      <c r="Q611" s="14">
        <v>512365832500</v>
      </c>
      <c r="R611">
        <v>7.9</v>
      </c>
      <c r="S611" t="s">
        <v>1184</v>
      </c>
      <c r="T611" s="57">
        <f>IF(Dealps[[#This Row],[MATURITY_DATE]]-Dealps[[#This Row],[POSTED_DT]]&lt;0,0,IF(Dealps[[#This Row],[VALUE_DATE]]-Dealps[[#This Row],[POSTED_DT]]&gt;0,Dealps[[#This Row],[MATURITY_DATE]]-Dealps[[#This Row],[VALUE_DATE]],Dealps[[#This Row],[MATURITY_DATE]]-Dealps[[#This Row],[POSTED_DT]]))</f>
        <v>223</v>
      </c>
      <c r="U611" s="25">
        <f>IF(Dealps[[#This Row],[TENOR]]=0,0,IF(Dealps[[#This Row],[DEAL_TYPE]]="B",Dealps[[#This Row],[FACE_AMOUNT]],-Dealps[[#This Row],[FACE_AMOUNT]]))</f>
        <v>-500000000000</v>
      </c>
      <c r="V611" s="25">
        <f>_xlfn.XLOOKUP(Dealps[[#This Row],[PAPER_CODE]],FNRP!D:D,FNRP!H:H,0,0)/100*Dealps[[#This Row],[AMOUNT]]</f>
        <v>0</v>
      </c>
      <c r="W611" s="57" t="str">
        <f>IF(Dealps[[#This Row],[TRANSACTION_STATUS]]&lt;&gt;"V","Ngoai BS",IF(Dealps[[#This Row],[POSTED_DT]]&gt;=Dealps[[#This Row],[VALUE_DATE]],"On BS","Off BS"))</f>
        <v>On BS</v>
      </c>
      <c r="X611" s="25">
        <f>SUMIFS(U:U,C:C,Dealps[[#This Row],[PAPER_CODE]])</f>
        <v>2000000000000</v>
      </c>
      <c r="Y611" s="25">
        <f>_xlfn.XLOOKUP(Dealps[[#This Row],[DEAL_ID]],Ref!N:N,Ref!Q:Q,0,0)</f>
        <v>0</v>
      </c>
      <c r="Z611" s="25" t="str">
        <f>IF(Dealps[[#This Row],[CPTY_CODE]]=Dealps[[#This Row],[CPTY_CODE_ISSUER]],"Yes","No")</f>
        <v>No</v>
      </c>
      <c r="AA611" s="25"/>
      <c r="AC611" s="14"/>
      <c r="AG611" s="96"/>
      <c r="AH611" s="25"/>
      <c r="AI611" s="25"/>
      <c r="AN611" s="14"/>
      <c r="AV611" s="36"/>
      <c r="AW611" s="14"/>
      <c r="AX611" s="234"/>
      <c r="AY611" s="96"/>
      <c r="AZ611" s="14"/>
      <c r="BA611"/>
      <c r="BB611" s="14"/>
      <c r="BC611" s="14"/>
      <c r="BD611" s="14"/>
      <c r="BE611" s="36"/>
      <c r="BF611" s="20"/>
      <c r="BG611"/>
      <c r="BH611"/>
      <c r="BI611"/>
      <c r="BJ611"/>
      <c r="BK611"/>
      <c r="BL611"/>
      <c r="BM611"/>
      <c r="BN611"/>
      <c r="BS611"/>
      <c r="BT611"/>
      <c r="BU611"/>
      <c r="BV611"/>
    </row>
    <row r="612" spans="1:74" x14ac:dyDescent="0.3">
      <c r="A612" s="93">
        <v>46262</v>
      </c>
      <c r="B612">
        <v>4726</v>
      </c>
      <c r="C612" s="56" t="s">
        <v>1071</v>
      </c>
      <c r="D612" t="s">
        <v>328</v>
      </c>
      <c r="E612" t="s">
        <v>320</v>
      </c>
      <c r="F612" t="s">
        <v>364</v>
      </c>
      <c r="G612" t="s">
        <v>310</v>
      </c>
      <c r="H612" t="s">
        <v>311</v>
      </c>
      <c r="I612" s="93">
        <v>46223</v>
      </c>
      <c r="J612" s="93">
        <v>46223</v>
      </c>
      <c r="K612" s="93">
        <v>46225</v>
      </c>
      <c r="L612" s="93">
        <v>46352</v>
      </c>
      <c r="M612" s="14">
        <v>1</v>
      </c>
      <c r="N612" s="14">
        <v>1000000000000</v>
      </c>
      <c r="O612" s="56">
        <v>100.527680348</v>
      </c>
      <c r="P612" s="56">
        <v>0</v>
      </c>
      <c r="Q612" s="14">
        <v>1048131597999.9999</v>
      </c>
      <c r="R612">
        <v>4.8499999999999996</v>
      </c>
      <c r="S612" t="s">
        <v>1184</v>
      </c>
      <c r="T612" s="57">
        <f>IF(Dealps[[#This Row],[MATURITY_DATE]]-Dealps[[#This Row],[POSTED_DT]]&lt;0,0,IF(Dealps[[#This Row],[VALUE_DATE]]-Dealps[[#This Row],[POSTED_DT]]&gt;0,Dealps[[#This Row],[MATURITY_DATE]]-Dealps[[#This Row],[VALUE_DATE]],Dealps[[#This Row],[MATURITY_DATE]]-Dealps[[#This Row],[POSTED_DT]]))</f>
        <v>90</v>
      </c>
      <c r="U612" s="25">
        <f>IF(Dealps[[#This Row],[TENOR]]=0,0,IF(Dealps[[#This Row],[DEAL_TYPE]]="B",Dealps[[#This Row],[FACE_AMOUNT]],-Dealps[[#This Row],[FACE_AMOUNT]]))</f>
        <v>-1000000000000</v>
      </c>
      <c r="V612" s="25">
        <f>_xlfn.XLOOKUP(Dealps[[#This Row],[PAPER_CODE]],FNRP!D:D,FNRP!H:H,0,0)/100*Dealps[[#This Row],[AMOUNT]]</f>
        <v>0</v>
      </c>
      <c r="W612" s="57" t="str">
        <f>IF(Dealps[[#This Row],[TRANSACTION_STATUS]]&lt;&gt;"V","Ngoai BS",IF(Dealps[[#This Row],[POSTED_DT]]&gt;=Dealps[[#This Row],[VALUE_DATE]],"On BS","Off BS"))</f>
        <v>On BS</v>
      </c>
      <c r="X612" s="25">
        <f>SUMIFS(U:U,C:C,Dealps[[#This Row],[PAPER_CODE]])</f>
        <v>1500000000000</v>
      </c>
      <c r="Y612" s="25">
        <f>_xlfn.XLOOKUP(Dealps[[#This Row],[DEAL_ID]],Ref!N:N,Ref!Q:Q,0,0)</f>
        <v>0</v>
      </c>
      <c r="Z612" s="25" t="str">
        <f>IF(Dealps[[#This Row],[CPTY_CODE]]=Dealps[[#This Row],[CPTY_CODE_ISSUER]],"Yes","No")</f>
        <v>No</v>
      </c>
      <c r="AA612" s="25"/>
      <c r="AC612" s="14"/>
      <c r="AG612" s="96"/>
      <c r="AH612" s="25"/>
      <c r="AI612" s="25"/>
      <c r="AN612" s="14"/>
      <c r="AV612" s="36"/>
      <c r="AW612" s="14"/>
      <c r="AX612" s="234"/>
      <c r="AY612" s="96"/>
      <c r="AZ612" s="14"/>
      <c r="BA612"/>
      <c r="BB612" s="14"/>
      <c r="BC612" s="14"/>
      <c r="BD612" s="14"/>
      <c r="BE612" s="36"/>
      <c r="BF612" s="20"/>
      <c r="BG612"/>
      <c r="BH612"/>
      <c r="BI612"/>
      <c r="BJ612"/>
      <c r="BK612"/>
      <c r="BL612"/>
      <c r="BM612"/>
      <c r="BN612"/>
      <c r="BS612"/>
      <c r="BT612"/>
      <c r="BU612"/>
      <c r="BV612"/>
    </row>
    <row r="613" spans="1:74" x14ac:dyDescent="0.3">
      <c r="A613" s="93">
        <v>46262</v>
      </c>
      <c r="B613">
        <v>4728</v>
      </c>
      <c r="C613" s="56" t="s">
        <v>1260</v>
      </c>
      <c r="D613" t="s">
        <v>384</v>
      </c>
      <c r="E613" t="s">
        <v>1022</v>
      </c>
      <c r="F613" t="s">
        <v>364</v>
      </c>
      <c r="G613" t="s">
        <v>310</v>
      </c>
      <c r="H613" t="s">
        <v>300</v>
      </c>
      <c r="I613" s="93">
        <v>46224</v>
      </c>
      <c r="J613" s="93">
        <v>46224</v>
      </c>
      <c r="K613" s="93">
        <v>46224</v>
      </c>
      <c r="L613" s="93">
        <v>46524</v>
      </c>
      <c r="M613" s="14">
        <v>1</v>
      </c>
      <c r="N613" s="14">
        <v>70000000000</v>
      </c>
      <c r="O613" s="56">
        <v>101.05417036</v>
      </c>
      <c r="P613" s="56">
        <v>0</v>
      </c>
      <c r="Q613" s="14">
        <v>72468741170</v>
      </c>
      <c r="R613">
        <v>7.9374890000000002</v>
      </c>
      <c r="S613" t="s">
        <v>1184</v>
      </c>
      <c r="T613" s="57">
        <f>IF(Dealps[[#This Row],[MATURITY_DATE]]-Dealps[[#This Row],[POSTED_DT]]&lt;0,0,IF(Dealps[[#This Row],[VALUE_DATE]]-Dealps[[#This Row],[POSTED_DT]]&gt;0,Dealps[[#This Row],[MATURITY_DATE]]-Dealps[[#This Row],[VALUE_DATE]],Dealps[[#This Row],[MATURITY_DATE]]-Dealps[[#This Row],[POSTED_DT]]))</f>
        <v>262</v>
      </c>
      <c r="U613" s="25">
        <f>IF(Dealps[[#This Row],[TENOR]]=0,0,IF(Dealps[[#This Row],[DEAL_TYPE]]="B",Dealps[[#This Row],[FACE_AMOUNT]],-Dealps[[#This Row],[FACE_AMOUNT]]))</f>
        <v>70000000000</v>
      </c>
      <c r="V613" s="25">
        <f>_xlfn.XLOOKUP(Dealps[[#This Row],[PAPER_CODE]],FNRP!D:D,FNRP!H:H,0,0)/100*Dealps[[#This Row],[AMOUNT]]</f>
        <v>0</v>
      </c>
      <c r="W613" s="57" t="str">
        <f>IF(Dealps[[#This Row],[TRANSACTION_STATUS]]&lt;&gt;"V","Ngoai BS",IF(Dealps[[#This Row],[POSTED_DT]]&gt;=Dealps[[#This Row],[VALUE_DATE]],"On BS","Off BS"))</f>
        <v>On BS</v>
      </c>
      <c r="X613" s="25">
        <f>SUMIFS(U:U,C:C,Dealps[[#This Row],[PAPER_CODE]])</f>
        <v>400000000000</v>
      </c>
      <c r="Y613" s="25">
        <f>_xlfn.XLOOKUP(Dealps[[#This Row],[DEAL_ID]],Ref!N:N,Ref!Q:Q,0,0)</f>
        <v>0</v>
      </c>
      <c r="Z613" s="25" t="str">
        <f>IF(Dealps[[#This Row],[CPTY_CODE]]=Dealps[[#This Row],[CPTY_CODE_ISSUER]],"Yes","No")</f>
        <v>No</v>
      </c>
      <c r="AA613" s="25"/>
      <c r="AC613" s="14"/>
      <c r="AG613" s="96"/>
      <c r="AH613" s="25"/>
      <c r="AI613" s="25"/>
      <c r="AN613" s="14"/>
      <c r="AV613" s="36"/>
      <c r="AW613" s="14"/>
      <c r="AX613" s="234"/>
      <c r="AY613" s="96"/>
      <c r="AZ613" s="14"/>
      <c r="BA613"/>
      <c r="BB613" s="14"/>
      <c r="BC613" s="14"/>
      <c r="BD613" s="14"/>
      <c r="BE613" s="36"/>
      <c r="BF613" s="20"/>
      <c r="BG613"/>
      <c r="BH613"/>
      <c r="BI613"/>
      <c r="BJ613"/>
      <c r="BK613"/>
      <c r="BL613"/>
      <c r="BM613"/>
      <c r="BN613"/>
      <c r="BS613"/>
      <c r="BT613"/>
      <c r="BU613"/>
      <c r="BV613"/>
    </row>
    <row r="614" spans="1:74" x14ac:dyDescent="0.3">
      <c r="A614" s="93">
        <v>46262</v>
      </c>
      <c r="B614">
        <v>4729</v>
      </c>
      <c r="C614" s="56" t="s">
        <v>1010</v>
      </c>
      <c r="D614" t="s">
        <v>328</v>
      </c>
      <c r="E614" t="s">
        <v>315</v>
      </c>
      <c r="F614" t="s">
        <v>364</v>
      </c>
      <c r="G614" t="s">
        <v>310</v>
      </c>
      <c r="H614" t="s">
        <v>300</v>
      </c>
      <c r="I614" s="93">
        <v>46224</v>
      </c>
      <c r="J614" s="93">
        <v>46224</v>
      </c>
      <c r="K614" s="93">
        <v>46224</v>
      </c>
      <c r="L614" s="93">
        <v>46329</v>
      </c>
      <c r="M614" s="14">
        <v>1</v>
      </c>
      <c r="N614" s="14">
        <v>1000000000000</v>
      </c>
      <c r="O614" s="56">
        <v>99.718690941000006</v>
      </c>
      <c r="P614" s="56">
        <v>0</v>
      </c>
      <c r="Q614" s="14">
        <v>1041891019000</v>
      </c>
      <c r="R614">
        <v>6.9852639999999999</v>
      </c>
      <c r="S614" t="s">
        <v>1184</v>
      </c>
      <c r="T614" s="57">
        <f>IF(Dealps[[#This Row],[MATURITY_DATE]]-Dealps[[#This Row],[POSTED_DT]]&lt;0,0,IF(Dealps[[#This Row],[VALUE_DATE]]-Dealps[[#This Row],[POSTED_DT]]&gt;0,Dealps[[#This Row],[MATURITY_DATE]]-Dealps[[#This Row],[VALUE_DATE]],Dealps[[#This Row],[MATURITY_DATE]]-Dealps[[#This Row],[POSTED_DT]]))</f>
        <v>67</v>
      </c>
      <c r="U614" s="25">
        <f>IF(Dealps[[#This Row],[TENOR]]=0,0,IF(Dealps[[#This Row],[DEAL_TYPE]]="B",Dealps[[#This Row],[FACE_AMOUNT]],-Dealps[[#This Row],[FACE_AMOUNT]]))</f>
        <v>1000000000000</v>
      </c>
      <c r="V614" s="25">
        <f>_xlfn.XLOOKUP(Dealps[[#This Row],[PAPER_CODE]],FNRP!D:D,FNRP!H:H,0,0)/100*Dealps[[#This Row],[AMOUNT]]</f>
        <v>0</v>
      </c>
      <c r="W614" s="57" t="str">
        <f>IF(Dealps[[#This Row],[TRANSACTION_STATUS]]&lt;&gt;"V","Ngoai BS",IF(Dealps[[#This Row],[POSTED_DT]]&gt;=Dealps[[#This Row],[VALUE_DATE]],"On BS","Off BS"))</f>
        <v>On BS</v>
      </c>
      <c r="X614" s="25">
        <f>SUMIFS(U:U,C:C,Dealps[[#This Row],[PAPER_CODE]])</f>
        <v>2000000000000</v>
      </c>
      <c r="Y614" s="25">
        <f>_xlfn.XLOOKUP(Dealps[[#This Row],[DEAL_ID]],Ref!N:N,Ref!Q:Q,0,0)</f>
        <v>0</v>
      </c>
      <c r="Z614" s="25" t="str">
        <f>IF(Dealps[[#This Row],[CPTY_CODE]]=Dealps[[#This Row],[CPTY_CODE_ISSUER]],"Yes","No")</f>
        <v>No</v>
      </c>
      <c r="AA614" s="25"/>
      <c r="AC614" s="14"/>
      <c r="AG614" s="96"/>
      <c r="AH614" s="25"/>
      <c r="AI614" s="25"/>
      <c r="AN614" s="14"/>
      <c r="AV614" s="36"/>
      <c r="AW614" s="14"/>
      <c r="AX614" s="234"/>
      <c r="AY614" s="96"/>
      <c r="AZ614" s="14"/>
      <c r="BA614"/>
      <c r="BB614" s="14"/>
      <c r="BC614" s="14"/>
      <c r="BD614" s="14"/>
      <c r="BE614" s="36"/>
      <c r="BF614" s="20"/>
      <c r="BG614"/>
      <c r="BH614"/>
      <c r="BI614"/>
      <c r="BJ614"/>
      <c r="BK614"/>
      <c r="BL614"/>
      <c r="BM614"/>
      <c r="BN614"/>
      <c r="BS614"/>
      <c r="BT614"/>
      <c r="BU614"/>
      <c r="BV614"/>
    </row>
    <row r="615" spans="1:74" x14ac:dyDescent="0.3">
      <c r="A615" s="93">
        <v>46262</v>
      </c>
      <c r="B615">
        <v>4734</v>
      </c>
      <c r="C615" s="56" t="s">
        <v>1061</v>
      </c>
      <c r="D615" t="s">
        <v>312</v>
      </c>
      <c r="E615" t="s">
        <v>957</v>
      </c>
      <c r="F615" t="s">
        <v>364</v>
      </c>
      <c r="G615" t="s">
        <v>310</v>
      </c>
      <c r="H615" t="s">
        <v>300</v>
      </c>
      <c r="I615" s="93">
        <v>46225</v>
      </c>
      <c r="J615" s="93">
        <v>46225</v>
      </c>
      <c r="K615" s="93">
        <v>46225</v>
      </c>
      <c r="L615" s="93">
        <v>46343</v>
      </c>
      <c r="M615" s="14">
        <v>1</v>
      </c>
      <c r="N615" s="14">
        <v>1500000000000</v>
      </c>
      <c r="O615" s="56">
        <v>100.426197903</v>
      </c>
      <c r="P615" s="56">
        <v>0</v>
      </c>
      <c r="Q615" s="14">
        <v>1570083379500</v>
      </c>
      <c r="R615">
        <v>4.7593100000000002</v>
      </c>
      <c r="S615" t="s">
        <v>1184</v>
      </c>
      <c r="T615" s="57">
        <f>IF(Dealps[[#This Row],[MATURITY_DATE]]-Dealps[[#This Row],[POSTED_DT]]&lt;0,0,IF(Dealps[[#This Row],[VALUE_DATE]]-Dealps[[#This Row],[POSTED_DT]]&gt;0,Dealps[[#This Row],[MATURITY_DATE]]-Dealps[[#This Row],[VALUE_DATE]],Dealps[[#This Row],[MATURITY_DATE]]-Dealps[[#This Row],[POSTED_DT]]))</f>
        <v>81</v>
      </c>
      <c r="U615" s="25">
        <f>IF(Dealps[[#This Row],[TENOR]]=0,0,IF(Dealps[[#This Row],[DEAL_TYPE]]="B",Dealps[[#This Row],[FACE_AMOUNT]],-Dealps[[#This Row],[FACE_AMOUNT]]))</f>
        <v>1500000000000</v>
      </c>
      <c r="V615" s="25">
        <f>_xlfn.XLOOKUP(Dealps[[#This Row],[PAPER_CODE]],FNRP!D:D,FNRP!H:H,0,0)/100*Dealps[[#This Row],[AMOUNT]]</f>
        <v>0</v>
      </c>
      <c r="W615" s="57" t="str">
        <f>IF(Dealps[[#This Row],[TRANSACTION_STATUS]]&lt;&gt;"V","Ngoai BS",IF(Dealps[[#This Row],[POSTED_DT]]&gt;=Dealps[[#This Row],[VALUE_DATE]],"On BS","Off BS"))</f>
        <v>On BS</v>
      </c>
      <c r="X615" s="25">
        <f>SUMIFS(U:U,C:C,Dealps[[#This Row],[PAPER_CODE]])</f>
        <v>1500000000000</v>
      </c>
      <c r="Y615" s="25">
        <f>_xlfn.XLOOKUP(Dealps[[#This Row],[DEAL_ID]],Ref!N:N,Ref!Q:Q,0,0)</f>
        <v>0</v>
      </c>
      <c r="Z615" s="25" t="str">
        <f>IF(Dealps[[#This Row],[CPTY_CODE]]=Dealps[[#This Row],[CPTY_CODE_ISSUER]],"Yes","No")</f>
        <v>No</v>
      </c>
      <c r="AA615" s="25"/>
      <c r="AC615" s="14"/>
      <c r="AG615" s="96"/>
      <c r="AH615" s="25"/>
      <c r="AI615" s="25"/>
      <c r="AN615" s="14"/>
      <c r="AV615" s="36"/>
      <c r="AW615" s="14"/>
      <c r="AX615" s="234"/>
      <c r="AY615" s="96"/>
      <c r="AZ615" s="14"/>
      <c r="BA615"/>
      <c r="BB615" s="14"/>
      <c r="BC615" s="14"/>
      <c r="BD615" s="14"/>
      <c r="BE615" s="36"/>
      <c r="BF615" s="20"/>
      <c r="BG615"/>
      <c r="BH615"/>
      <c r="BI615"/>
      <c r="BJ615"/>
      <c r="BK615"/>
      <c r="BL615"/>
      <c r="BM615"/>
      <c r="BN615"/>
      <c r="BS615"/>
      <c r="BT615"/>
      <c r="BU615"/>
      <c r="BV615"/>
    </row>
    <row r="616" spans="1:74" x14ac:dyDescent="0.3">
      <c r="A616" s="93">
        <v>46262</v>
      </c>
      <c r="B616">
        <v>4735</v>
      </c>
      <c r="C616" s="56" t="s">
        <v>1260</v>
      </c>
      <c r="D616" t="s">
        <v>384</v>
      </c>
      <c r="E616" t="s">
        <v>1022</v>
      </c>
      <c r="F616" t="s">
        <v>364</v>
      </c>
      <c r="G616" t="s">
        <v>310</v>
      </c>
      <c r="H616" t="s">
        <v>300</v>
      </c>
      <c r="I616" s="93">
        <v>46225</v>
      </c>
      <c r="J616" s="93">
        <v>46225</v>
      </c>
      <c r="K616" s="93">
        <v>46225</v>
      </c>
      <c r="L616" s="93">
        <v>46524</v>
      </c>
      <c r="M616" s="14">
        <v>1</v>
      </c>
      <c r="N616" s="14">
        <v>60000000000</v>
      </c>
      <c r="O616" s="56">
        <v>101.05047626299999</v>
      </c>
      <c r="P616" s="56">
        <v>0</v>
      </c>
      <c r="Q616" s="14">
        <v>62129463840</v>
      </c>
      <c r="R616">
        <v>7.9359890000000002</v>
      </c>
      <c r="S616" t="s">
        <v>1184</v>
      </c>
      <c r="T616" s="57">
        <f>IF(Dealps[[#This Row],[MATURITY_DATE]]-Dealps[[#This Row],[POSTED_DT]]&lt;0,0,IF(Dealps[[#This Row],[VALUE_DATE]]-Dealps[[#This Row],[POSTED_DT]]&gt;0,Dealps[[#This Row],[MATURITY_DATE]]-Dealps[[#This Row],[VALUE_DATE]],Dealps[[#This Row],[MATURITY_DATE]]-Dealps[[#This Row],[POSTED_DT]]))</f>
        <v>262</v>
      </c>
      <c r="U616" s="25">
        <f>IF(Dealps[[#This Row],[TENOR]]=0,0,IF(Dealps[[#This Row],[DEAL_TYPE]]="B",Dealps[[#This Row],[FACE_AMOUNT]],-Dealps[[#This Row],[FACE_AMOUNT]]))</f>
        <v>60000000000</v>
      </c>
      <c r="V616" s="25">
        <f>_xlfn.XLOOKUP(Dealps[[#This Row],[PAPER_CODE]],FNRP!D:D,FNRP!H:H,0,0)/100*Dealps[[#This Row],[AMOUNT]]</f>
        <v>0</v>
      </c>
      <c r="W616" s="57" t="str">
        <f>IF(Dealps[[#This Row],[TRANSACTION_STATUS]]&lt;&gt;"V","Ngoai BS",IF(Dealps[[#This Row],[POSTED_DT]]&gt;=Dealps[[#This Row],[VALUE_DATE]],"On BS","Off BS"))</f>
        <v>On BS</v>
      </c>
      <c r="X616" s="25">
        <f>SUMIFS(U:U,C:C,Dealps[[#This Row],[PAPER_CODE]])</f>
        <v>400000000000</v>
      </c>
      <c r="Y616" s="25">
        <f>_xlfn.XLOOKUP(Dealps[[#This Row],[DEAL_ID]],Ref!N:N,Ref!Q:Q,0,0)</f>
        <v>0</v>
      </c>
      <c r="Z616" s="25" t="str">
        <f>IF(Dealps[[#This Row],[CPTY_CODE]]=Dealps[[#This Row],[CPTY_CODE_ISSUER]],"Yes","No")</f>
        <v>No</v>
      </c>
      <c r="AA616" s="25"/>
      <c r="AC616" s="14"/>
      <c r="AG616" s="96"/>
      <c r="AH616" s="25"/>
      <c r="AI616" s="25"/>
      <c r="AN616" s="14"/>
      <c r="AV616" s="36"/>
      <c r="AW616" s="14"/>
      <c r="AX616" s="234"/>
      <c r="AY616" s="96"/>
      <c r="AZ616" s="14"/>
      <c r="BA616"/>
      <c r="BB616" s="14"/>
      <c r="BC616" s="14"/>
      <c r="BD616" s="14"/>
      <c r="BE616" s="36"/>
      <c r="BF616" s="20"/>
      <c r="BG616"/>
      <c r="BH616"/>
      <c r="BI616"/>
      <c r="BJ616"/>
      <c r="BK616"/>
      <c r="BL616"/>
      <c r="BM616"/>
      <c r="BN616"/>
      <c r="BS616"/>
      <c r="BT616"/>
      <c r="BU616"/>
      <c r="BV616"/>
    </row>
    <row r="617" spans="1:74" x14ac:dyDescent="0.3">
      <c r="A617" s="93">
        <v>46262</v>
      </c>
      <c r="B617">
        <v>4739</v>
      </c>
      <c r="C617" s="56" t="s">
        <v>1258</v>
      </c>
      <c r="D617" t="s">
        <v>321</v>
      </c>
      <c r="E617" t="s">
        <v>954</v>
      </c>
      <c r="F617" t="s">
        <v>364</v>
      </c>
      <c r="G617" t="s">
        <v>310</v>
      </c>
      <c r="H617" t="s">
        <v>300</v>
      </c>
      <c r="I617" s="93">
        <v>46227</v>
      </c>
      <c r="J617" s="93">
        <v>46227</v>
      </c>
      <c r="K617" s="93">
        <v>46227</v>
      </c>
      <c r="L617" s="93">
        <v>46485</v>
      </c>
      <c r="M617" s="14">
        <v>1</v>
      </c>
      <c r="N617" s="14">
        <v>200000000000</v>
      </c>
      <c r="O617" s="56">
        <v>101.33662363800001</v>
      </c>
      <c r="P617" s="56">
        <v>0</v>
      </c>
      <c r="Q617" s="14">
        <v>207322014400</v>
      </c>
      <c r="R617">
        <v>6.2791600000000001</v>
      </c>
      <c r="S617" t="s">
        <v>1184</v>
      </c>
      <c r="T617" s="57">
        <f>IF(Dealps[[#This Row],[MATURITY_DATE]]-Dealps[[#This Row],[POSTED_DT]]&lt;0,0,IF(Dealps[[#This Row],[VALUE_DATE]]-Dealps[[#This Row],[POSTED_DT]]&gt;0,Dealps[[#This Row],[MATURITY_DATE]]-Dealps[[#This Row],[VALUE_DATE]],Dealps[[#This Row],[MATURITY_DATE]]-Dealps[[#This Row],[POSTED_DT]]))</f>
        <v>223</v>
      </c>
      <c r="U617" s="25">
        <f>IF(Dealps[[#This Row],[TENOR]]=0,0,IF(Dealps[[#This Row],[DEAL_TYPE]]="B",Dealps[[#This Row],[FACE_AMOUNT]],-Dealps[[#This Row],[FACE_AMOUNT]]))</f>
        <v>200000000000</v>
      </c>
      <c r="V617" s="25">
        <f>_xlfn.XLOOKUP(Dealps[[#This Row],[PAPER_CODE]],FNRP!D:D,FNRP!H:H,0,0)/100*Dealps[[#This Row],[AMOUNT]]</f>
        <v>0</v>
      </c>
      <c r="W617" s="57" t="str">
        <f>IF(Dealps[[#This Row],[TRANSACTION_STATUS]]&lt;&gt;"V","Ngoai BS",IF(Dealps[[#This Row],[POSTED_DT]]&gt;=Dealps[[#This Row],[VALUE_DATE]],"On BS","Off BS"))</f>
        <v>On BS</v>
      </c>
      <c r="X617" s="25">
        <f>SUMIFS(U:U,C:C,Dealps[[#This Row],[PAPER_CODE]])</f>
        <v>2000000000000</v>
      </c>
      <c r="Y617" s="25">
        <f>_xlfn.XLOOKUP(Dealps[[#This Row],[DEAL_ID]],Ref!N:N,Ref!Q:Q,0,0)</f>
        <v>0</v>
      </c>
      <c r="Z617" s="25" t="str">
        <f>IF(Dealps[[#This Row],[CPTY_CODE]]=Dealps[[#This Row],[CPTY_CODE_ISSUER]],"Yes","No")</f>
        <v>No</v>
      </c>
      <c r="AA617" s="25"/>
      <c r="AC617" s="14"/>
      <c r="AG617" s="96"/>
      <c r="AH617" s="25"/>
      <c r="AI617" s="25"/>
      <c r="AN617" s="14"/>
      <c r="AV617" s="36"/>
      <c r="AW617" s="14"/>
      <c r="AX617" s="234"/>
      <c r="AY617" s="96"/>
      <c r="AZ617" s="14"/>
      <c r="BA617"/>
      <c r="BB617" s="14"/>
      <c r="BC617" s="14"/>
      <c r="BD617" s="14"/>
      <c r="BE617" s="36"/>
      <c r="BF617" s="20"/>
      <c r="BG617"/>
      <c r="BH617"/>
      <c r="BI617"/>
      <c r="BJ617"/>
      <c r="BK617"/>
      <c r="BL617"/>
      <c r="BM617"/>
      <c r="BN617"/>
      <c r="BS617"/>
      <c r="BT617"/>
      <c r="BU617"/>
      <c r="BV617"/>
    </row>
    <row r="618" spans="1:74" x14ac:dyDescent="0.3">
      <c r="A618" s="93">
        <v>46262</v>
      </c>
      <c r="B618">
        <v>4740</v>
      </c>
      <c r="C618" s="56" t="s">
        <v>963</v>
      </c>
      <c r="D618" t="s">
        <v>308</v>
      </c>
      <c r="E618" t="s">
        <v>954</v>
      </c>
      <c r="F618" t="s">
        <v>364</v>
      </c>
      <c r="G618" t="s">
        <v>310</v>
      </c>
      <c r="H618" t="s">
        <v>300</v>
      </c>
      <c r="I618" s="93">
        <v>46227</v>
      </c>
      <c r="J618" s="93">
        <v>46227</v>
      </c>
      <c r="K618" s="93">
        <v>46227</v>
      </c>
      <c r="L618" s="93">
        <v>46295</v>
      </c>
      <c r="M618" s="14">
        <v>1</v>
      </c>
      <c r="N618" s="14">
        <v>100000000000</v>
      </c>
      <c r="O618" s="56">
        <v>100.684921785</v>
      </c>
      <c r="P618" s="56">
        <v>0</v>
      </c>
      <c r="Q618" s="14">
        <v>105631771100.00002</v>
      </c>
      <c r="R618">
        <v>2.294368</v>
      </c>
      <c r="S618" t="s">
        <v>1184</v>
      </c>
      <c r="T618" s="57">
        <f>IF(Dealps[[#This Row],[MATURITY_DATE]]-Dealps[[#This Row],[POSTED_DT]]&lt;0,0,IF(Dealps[[#This Row],[VALUE_DATE]]-Dealps[[#This Row],[POSTED_DT]]&gt;0,Dealps[[#This Row],[MATURITY_DATE]]-Dealps[[#This Row],[VALUE_DATE]],Dealps[[#This Row],[MATURITY_DATE]]-Dealps[[#This Row],[POSTED_DT]]))</f>
        <v>33</v>
      </c>
      <c r="U618" s="25">
        <f>IF(Dealps[[#This Row],[TENOR]]=0,0,IF(Dealps[[#This Row],[DEAL_TYPE]]="B",Dealps[[#This Row],[FACE_AMOUNT]],-Dealps[[#This Row],[FACE_AMOUNT]]))</f>
        <v>100000000000</v>
      </c>
      <c r="V618" s="25">
        <f>_xlfn.XLOOKUP(Dealps[[#This Row],[PAPER_CODE]],FNRP!D:D,FNRP!H:H,0,0)/100*Dealps[[#This Row],[AMOUNT]]</f>
        <v>0</v>
      </c>
      <c r="W618" s="57" t="str">
        <f>IF(Dealps[[#This Row],[TRANSACTION_STATUS]]&lt;&gt;"V","Ngoai BS",IF(Dealps[[#This Row],[POSTED_DT]]&gt;=Dealps[[#This Row],[VALUE_DATE]],"On BS","Off BS"))</f>
        <v>On BS</v>
      </c>
      <c r="X618" s="25">
        <f>SUMIFS(U:U,C:C,Dealps[[#This Row],[PAPER_CODE]])</f>
        <v>400000000000</v>
      </c>
      <c r="Y618" s="25">
        <f>_xlfn.XLOOKUP(Dealps[[#This Row],[DEAL_ID]],Ref!N:N,Ref!Q:Q,0,0)</f>
        <v>0</v>
      </c>
      <c r="Z618" s="25" t="str">
        <f>IF(Dealps[[#This Row],[CPTY_CODE]]=Dealps[[#This Row],[CPTY_CODE_ISSUER]],"Yes","No")</f>
        <v>No</v>
      </c>
      <c r="AA618" s="25"/>
      <c r="AC618" s="14"/>
      <c r="AG618" s="96"/>
      <c r="AH618" s="25"/>
      <c r="AI618" s="25"/>
      <c r="AN618" s="14"/>
      <c r="AV618" s="36"/>
      <c r="AW618" s="14"/>
      <c r="AX618" s="234"/>
      <c r="AY618" s="96"/>
      <c r="AZ618" s="14"/>
      <c r="BA618"/>
      <c r="BB618" s="14"/>
      <c r="BC618" s="14"/>
      <c r="BD618" s="14"/>
      <c r="BE618" s="36"/>
      <c r="BF618" s="20"/>
      <c r="BG618"/>
      <c r="BH618"/>
      <c r="BI618"/>
      <c r="BJ618"/>
      <c r="BK618"/>
      <c r="BL618"/>
      <c r="BM618"/>
      <c r="BN618"/>
      <c r="BS618"/>
      <c r="BT618"/>
      <c r="BU618"/>
      <c r="BV618"/>
    </row>
    <row r="619" spans="1:74" x14ac:dyDescent="0.3">
      <c r="A619" s="93">
        <v>46262</v>
      </c>
      <c r="B619">
        <v>4742</v>
      </c>
      <c r="C619" s="56" t="s">
        <v>1260</v>
      </c>
      <c r="D619" t="s">
        <v>384</v>
      </c>
      <c r="E619" t="s">
        <v>1022</v>
      </c>
      <c r="F619" t="s">
        <v>364</v>
      </c>
      <c r="G619" t="s">
        <v>310</v>
      </c>
      <c r="H619" t="s">
        <v>311</v>
      </c>
      <c r="I619" s="93">
        <v>46227</v>
      </c>
      <c r="J619" s="93">
        <v>46227</v>
      </c>
      <c r="K619" s="93">
        <v>46230</v>
      </c>
      <c r="L619" s="93">
        <v>46524</v>
      </c>
      <c r="M619" s="14">
        <v>1</v>
      </c>
      <c r="N619" s="14">
        <v>70000000000</v>
      </c>
      <c r="O619" s="56">
        <v>99.604504277000004</v>
      </c>
      <c r="P619" s="56">
        <v>0</v>
      </c>
      <c r="Q619" s="14">
        <v>71563289980</v>
      </c>
      <c r="R619">
        <v>9.7727540000000008</v>
      </c>
      <c r="S619" t="s">
        <v>1184</v>
      </c>
      <c r="T619" s="57">
        <f>IF(Dealps[[#This Row],[MATURITY_DATE]]-Dealps[[#This Row],[POSTED_DT]]&lt;0,0,IF(Dealps[[#This Row],[VALUE_DATE]]-Dealps[[#This Row],[POSTED_DT]]&gt;0,Dealps[[#This Row],[MATURITY_DATE]]-Dealps[[#This Row],[VALUE_DATE]],Dealps[[#This Row],[MATURITY_DATE]]-Dealps[[#This Row],[POSTED_DT]]))</f>
        <v>262</v>
      </c>
      <c r="U619" s="25">
        <f>IF(Dealps[[#This Row],[TENOR]]=0,0,IF(Dealps[[#This Row],[DEAL_TYPE]]="B",Dealps[[#This Row],[FACE_AMOUNT]],-Dealps[[#This Row],[FACE_AMOUNT]]))</f>
        <v>-70000000000</v>
      </c>
      <c r="V619" s="25">
        <f>_xlfn.XLOOKUP(Dealps[[#This Row],[PAPER_CODE]],FNRP!D:D,FNRP!H:H,0,0)/100*Dealps[[#This Row],[AMOUNT]]</f>
        <v>0</v>
      </c>
      <c r="W619" s="57" t="str">
        <f>IF(Dealps[[#This Row],[TRANSACTION_STATUS]]&lt;&gt;"V","Ngoai BS",IF(Dealps[[#This Row],[POSTED_DT]]&gt;=Dealps[[#This Row],[VALUE_DATE]],"On BS","Off BS"))</f>
        <v>On BS</v>
      </c>
      <c r="X619" s="25">
        <f>SUMIFS(U:U,C:C,Dealps[[#This Row],[PAPER_CODE]])</f>
        <v>400000000000</v>
      </c>
      <c r="Y619" s="25">
        <f>_xlfn.XLOOKUP(Dealps[[#This Row],[DEAL_ID]],Ref!N:N,Ref!Q:Q,0,0)</f>
        <v>0</v>
      </c>
      <c r="Z619" s="25" t="str">
        <f>IF(Dealps[[#This Row],[CPTY_CODE]]=Dealps[[#This Row],[CPTY_CODE_ISSUER]],"Yes","No")</f>
        <v>No</v>
      </c>
      <c r="AA619" s="25"/>
      <c r="AC619" s="14"/>
      <c r="AG619" s="96"/>
      <c r="AH619" s="25"/>
      <c r="AI619" s="25"/>
      <c r="AN619" s="14"/>
      <c r="AV619" s="36"/>
      <c r="AW619" s="14"/>
      <c r="AX619" s="234"/>
      <c r="AY619" s="96"/>
      <c r="AZ619" s="14"/>
      <c r="BA619"/>
      <c r="BB619" s="14"/>
      <c r="BC619" s="14"/>
      <c r="BD619" s="14"/>
      <c r="BE619" s="36"/>
      <c r="BF619" s="20"/>
      <c r="BG619"/>
      <c r="BH619"/>
      <c r="BI619"/>
      <c r="BJ619"/>
      <c r="BK619"/>
      <c r="BL619"/>
      <c r="BM619"/>
      <c r="BN619"/>
      <c r="BS619"/>
      <c r="BT619"/>
      <c r="BU619"/>
      <c r="BV619"/>
    </row>
    <row r="620" spans="1:74" x14ac:dyDescent="0.3">
      <c r="A620" s="93">
        <v>46262</v>
      </c>
      <c r="B620">
        <v>4744</v>
      </c>
      <c r="C620" s="56" t="s">
        <v>1260</v>
      </c>
      <c r="D620" t="s">
        <v>384</v>
      </c>
      <c r="E620" t="s">
        <v>1022</v>
      </c>
      <c r="F620" t="s">
        <v>364</v>
      </c>
      <c r="G620" t="s">
        <v>310</v>
      </c>
      <c r="H620" t="s">
        <v>311</v>
      </c>
      <c r="I620" s="93">
        <v>46227</v>
      </c>
      <c r="J620" s="93">
        <v>46227</v>
      </c>
      <c r="K620" s="93">
        <v>46231</v>
      </c>
      <c r="L620" s="93">
        <v>46524</v>
      </c>
      <c r="M620" s="14">
        <v>1</v>
      </c>
      <c r="N620" s="14">
        <v>70000000000</v>
      </c>
      <c r="O620" s="56">
        <v>99.601319778999994</v>
      </c>
      <c r="P620" s="56">
        <v>0</v>
      </c>
      <c r="Q620" s="14">
        <v>71579280010</v>
      </c>
      <c r="R620">
        <v>9.7760899999999999</v>
      </c>
      <c r="S620" t="s">
        <v>1184</v>
      </c>
      <c r="T620" s="57">
        <f>IF(Dealps[[#This Row],[MATURITY_DATE]]-Dealps[[#This Row],[POSTED_DT]]&lt;0,0,IF(Dealps[[#This Row],[VALUE_DATE]]-Dealps[[#This Row],[POSTED_DT]]&gt;0,Dealps[[#This Row],[MATURITY_DATE]]-Dealps[[#This Row],[VALUE_DATE]],Dealps[[#This Row],[MATURITY_DATE]]-Dealps[[#This Row],[POSTED_DT]]))</f>
        <v>262</v>
      </c>
      <c r="U620" s="25">
        <f>IF(Dealps[[#This Row],[TENOR]]=0,0,IF(Dealps[[#This Row],[DEAL_TYPE]]="B",Dealps[[#This Row],[FACE_AMOUNT]],-Dealps[[#This Row],[FACE_AMOUNT]]))</f>
        <v>-70000000000</v>
      </c>
      <c r="V620" s="25">
        <f>_xlfn.XLOOKUP(Dealps[[#This Row],[PAPER_CODE]],FNRP!D:D,FNRP!H:H,0,0)/100*Dealps[[#This Row],[AMOUNT]]</f>
        <v>0</v>
      </c>
      <c r="W620" s="57" t="str">
        <f>IF(Dealps[[#This Row],[TRANSACTION_STATUS]]&lt;&gt;"V","Ngoai BS",IF(Dealps[[#This Row],[POSTED_DT]]&gt;=Dealps[[#This Row],[VALUE_DATE]],"On BS","Off BS"))</f>
        <v>On BS</v>
      </c>
      <c r="X620" s="25">
        <f>SUMIFS(U:U,C:C,Dealps[[#This Row],[PAPER_CODE]])</f>
        <v>400000000000</v>
      </c>
      <c r="Y620" s="25">
        <f>_xlfn.XLOOKUP(Dealps[[#This Row],[DEAL_ID]],Ref!N:N,Ref!Q:Q,0,0)</f>
        <v>0</v>
      </c>
      <c r="Z620" s="25" t="str">
        <f>IF(Dealps[[#This Row],[CPTY_CODE]]=Dealps[[#This Row],[CPTY_CODE_ISSUER]],"Yes","No")</f>
        <v>No</v>
      </c>
      <c r="AA620" s="25"/>
      <c r="AC620" s="14"/>
      <c r="AG620" s="96"/>
      <c r="AH620" s="25"/>
      <c r="AI620" s="25"/>
      <c r="AN620" s="14"/>
      <c r="AV620" s="36"/>
      <c r="AW620" s="14"/>
      <c r="AX620" s="234"/>
      <c r="AY620" s="96"/>
      <c r="AZ620" s="14"/>
      <c r="BA620"/>
      <c r="BB620" s="14"/>
      <c r="BC620" s="14"/>
      <c r="BD620" s="14"/>
      <c r="BE620" s="36"/>
      <c r="BF620" s="20"/>
      <c r="BG620"/>
      <c r="BH620"/>
      <c r="BI620"/>
      <c r="BJ620"/>
      <c r="BK620"/>
      <c r="BL620"/>
      <c r="BM620"/>
      <c r="BN620"/>
      <c r="BS620"/>
      <c r="BT620"/>
      <c r="BU620"/>
      <c r="BV620"/>
    </row>
    <row r="621" spans="1:74" x14ac:dyDescent="0.3">
      <c r="A621" s="93">
        <v>46262</v>
      </c>
      <c r="B621">
        <v>4747</v>
      </c>
      <c r="C621" s="56" t="s">
        <v>1260</v>
      </c>
      <c r="D621" t="s">
        <v>384</v>
      </c>
      <c r="E621" t="s">
        <v>1022</v>
      </c>
      <c r="F621" t="s">
        <v>364</v>
      </c>
      <c r="G621" t="s">
        <v>310</v>
      </c>
      <c r="H621" t="s">
        <v>311</v>
      </c>
      <c r="I621" s="93">
        <v>46227</v>
      </c>
      <c r="J621" s="93">
        <v>46227</v>
      </c>
      <c r="K621" s="93">
        <v>46233</v>
      </c>
      <c r="L621" s="93">
        <v>46524</v>
      </c>
      <c r="M621" s="14">
        <v>1</v>
      </c>
      <c r="N621" s="14">
        <v>70000000000</v>
      </c>
      <c r="O621" s="56">
        <v>99.444664985000003</v>
      </c>
      <c r="P621" s="56">
        <v>0</v>
      </c>
      <c r="Q621" s="14">
        <v>71506060010</v>
      </c>
      <c r="R621">
        <v>9.9817940000000007</v>
      </c>
      <c r="S621" t="s">
        <v>1184</v>
      </c>
      <c r="T621" s="57">
        <f>IF(Dealps[[#This Row],[MATURITY_DATE]]-Dealps[[#This Row],[POSTED_DT]]&lt;0,0,IF(Dealps[[#This Row],[VALUE_DATE]]-Dealps[[#This Row],[POSTED_DT]]&gt;0,Dealps[[#This Row],[MATURITY_DATE]]-Dealps[[#This Row],[VALUE_DATE]],Dealps[[#This Row],[MATURITY_DATE]]-Dealps[[#This Row],[POSTED_DT]]))</f>
        <v>262</v>
      </c>
      <c r="U621" s="25">
        <f>IF(Dealps[[#This Row],[TENOR]]=0,0,IF(Dealps[[#This Row],[DEAL_TYPE]]="B",Dealps[[#This Row],[FACE_AMOUNT]],-Dealps[[#This Row],[FACE_AMOUNT]]))</f>
        <v>-70000000000</v>
      </c>
      <c r="V621" s="25">
        <f>_xlfn.XLOOKUP(Dealps[[#This Row],[PAPER_CODE]],FNRP!D:D,FNRP!H:H,0,0)/100*Dealps[[#This Row],[AMOUNT]]</f>
        <v>0</v>
      </c>
      <c r="W621" s="57" t="str">
        <f>IF(Dealps[[#This Row],[TRANSACTION_STATUS]]&lt;&gt;"V","Ngoai BS",IF(Dealps[[#This Row],[POSTED_DT]]&gt;=Dealps[[#This Row],[VALUE_DATE]],"On BS","Off BS"))</f>
        <v>On BS</v>
      </c>
      <c r="X621" s="25">
        <f>SUMIFS(U:U,C:C,Dealps[[#This Row],[PAPER_CODE]])</f>
        <v>400000000000</v>
      </c>
      <c r="Y621" s="25">
        <f>_xlfn.XLOOKUP(Dealps[[#This Row],[DEAL_ID]],Ref!N:N,Ref!Q:Q,0,0)</f>
        <v>0</v>
      </c>
      <c r="Z621" s="25" t="str">
        <f>IF(Dealps[[#This Row],[CPTY_CODE]]=Dealps[[#This Row],[CPTY_CODE_ISSUER]],"Yes","No")</f>
        <v>No</v>
      </c>
      <c r="AA621" s="25"/>
      <c r="AC621" s="14"/>
      <c r="AG621" s="96"/>
      <c r="AH621" s="25"/>
      <c r="AI621" s="25"/>
      <c r="AN621" s="14"/>
      <c r="AV621" s="36"/>
      <c r="AW621" s="14"/>
      <c r="AX621" s="234"/>
      <c r="AY621" s="96"/>
      <c r="AZ621" s="14"/>
      <c r="BA621"/>
      <c r="BB621" s="14"/>
      <c r="BC621" s="14"/>
      <c r="BD621" s="14"/>
      <c r="BE621" s="36"/>
      <c r="BF621" s="20"/>
      <c r="BG621"/>
      <c r="BH621"/>
      <c r="BI621"/>
      <c r="BJ621"/>
      <c r="BK621"/>
      <c r="BL621"/>
      <c r="BM621"/>
      <c r="BN621"/>
      <c r="BS621"/>
      <c r="BT621"/>
      <c r="BU621"/>
      <c r="BV621"/>
    </row>
    <row r="622" spans="1:74" x14ac:dyDescent="0.3">
      <c r="A622" s="93">
        <v>46262</v>
      </c>
      <c r="B622">
        <v>4752</v>
      </c>
      <c r="C622" s="56" t="s">
        <v>1158</v>
      </c>
      <c r="D622" t="s">
        <v>327</v>
      </c>
      <c r="E622" t="s">
        <v>322</v>
      </c>
      <c r="F622" t="s">
        <v>364</v>
      </c>
      <c r="G622" t="s">
        <v>310</v>
      </c>
      <c r="H622" t="s">
        <v>311</v>
      </c>
      <c r="I622" s="93">
        <v>46227</v>
      </c>
      <c r="J622" s="93">
        <v>46227</v>
      </c>
      <c r="K622" s="93">
        <v>46231</v>
      </c>
      <c r="L622" s="93">
        <v>46409</v>
      </c>
      <c r="M622" s="14">
        <v>1</v>
      </c>
      <c r="N622" s="14">
        <v>500000000000</v>
      </c>
      <c r="O622" s="56">
        <v>99.875541451999993</v>
      </c>
      <c r="P622" s="56">
        <v>0</v>
      </c>
      <c r="Q622" s="14">
        <v>517722912741</v>
      </c>
      <c r="R622">
        <v>7.2</v>
      </c>
      <c r="S622" t="s">
        <v>1184</v>
      </c>
      <c r="T622" s="57">
        <f>IF(Dealps[[#This Row],[MATURITY_DATE]]-Dealps[[#This Row],[POSTED_DT]]&lt;0,0,IF(Dealps[[#This Row],[VALUE_DATE]]-Dealps[[#This Row],[POSTED_DT]]&gt;0,Dealps[[#This Row],[MATURITY_DATE]]-Dealps[[#This Row],[VALUE_DATE]],Dealps[[#This Row],[MATURITY_DATE]]-Dealps[[#This Row],[POSTED_DT]]))</f>
        <v>147</v>
      </c>
      <c r="U622" s="25">
        <f>IF(Dealps[[#This Row],[TENOR]]=0,0,IF(Dealps[[#This Row],[DEAL_TYPE]]="B",Dealps[[#This Row],[FACE_AMOUNT]],-Dealps[[#This Row],[FACE_AMOUNT]]))</f>
        <v>-500000000000</v>
      </c>
      <c r="V622" s="25">
        <f>_xlfn.XLOOKUP(Dealps[[#This Row],[PAPER_CODE]],FNRP!D:D,FNRP!H:H,0,0)/100*Dealps[[#This Row],[AMOUNT]]</f>
        <v>0</v>
      </c>
      <c r="W622" s="57" t="str">
        <f>IF(Dealps[[#This Row],[TRANSACTION_STATUS]]&lt;&gt;"V","Ngoai BS",IF(Dealps[[#This Row],[POSTED_DT]]&gt;=Dealps[[#This Row],[VALUE_DATE]],"On BS","Off BS"))</f>
        <v>On BS</v>
      </c>
      <c r="X622" s="25">
        <f>SUMIFS(U:U,C:C,Dealps[[#This Row],[PAPER_CODE]])</f>
        <v>2000000000000</v>
      </c>
      <c r="Y622" s="25">
        <f>_xlfn.XLOOKUP(Dealps[[#This Row],[DEAL_ID]],Ref!N:N,Ref!Q:Q,0,0)</f>
        <v>0</v>
      </c>
      <c r="Z622" s="25" t="str">
        <f>IF(Dealps[[#This Row],[CPTY_CODE]]=Dealps[[#This Row],[CPTY_CODE_ISSUER]],"Yes","No")</f>
        <v>No</v>
      </c>
      <c r="AA622" s="25"/>
      <c r="AC622" s="14"/>
      <c r="AG622" s="96"/>
      <c r="AH622" s="25"/>
      <c r="AI622" s="25"/>
      <c r="AN622" s="14"/>
      <c r="AV622" s="36"/>
      <c r="AW622" s="14"/>
      <c r="AX622" s="234"/>
      <c r="AY622" s="96"/>
      <c r="AZ622" s="14"/>
      <c r="BA622"/>
      <c r="BB622" s="14"/>
      <c r="BC622" s="14"/>
      <c r="BD622" s="14"/>
      <c r="BE622" s="36"/>
      <c r="BF622" s="20"/>
      <c r="BG622"/>
      <c r="BH622"/>
      <c r="BI622"/>
      <c r="BJ622"/>
      <c r="BK622"/>
      <c r="BL622"/>
      <c r="BM622"/>
      <c r="BN622"/>
      <c r="BS622"/>
      <c r="BT622"/>
      <c r="BU622"/>
      <c r="BV622"/>
    </row>
    <row r="623" spans="1:74" x14ac:dyDescent="0.3">
      <c r="A623" s="93">
        <v>46262</v>
      </c>
      <c r="B623">
        <v>4754</v>
      </c>
      <c r="C623" s="56" t="s">
        <v>1061</v>
      </c>
      <c r="D623" t="s">
        <v>312</v>
      </c>
      <c r="E623" t="s">
        <v>320</v>
      </c>
      <c r="F623" t="s">
        <v>364</v>
      </c>
      <c r="G623" t="s">
        <v>310</v>
      </c>
      <c r="H623" t="s">
        <v>311</v>
      </c>
      <c r="I623" s="93">
        <v>46230</v>
      </c>
      <c r="J623" s="93">
        <v>46230</v>
      </c>
      <c r="K623" s="93">
        <v>46231</v>
      </c>
      <c r="L623" s="93">
        <v>46343</v>
      </c>
      <c r="M623" s="14">
        <v>1</v>
      </c>
      <c r="N623" s="14">
        <v>1000000000000</v>
      </c>
      <c r="O623" s="56">
        <v>100.42214135899999</v>
      </c>
      <c r="P623" s="56">
        <v>0</v>
      </c>
      <c r="Q623" s="14">
        <v>1047717304000</v>
      </c>
      <c r="R623">
        <v>4.7</v>
      </c>
      <c r="S623" t="s">
        <v>1184</v>
      </c>
      <c r="T623" s="57">
        <f>IF(Dealps[[#This Row],[MATURITY_DATE]]-Dealps[[#This Row],[POSTED_DT]]&lt;0,0,IF(Dealps[[#This Row],[VALUE_DATE]]-Dealps[[#This Row],[POSTED_DT]]&gt;0,Dealps[[#This Row],[MATURITY_DATE]]-Dealps[[#This Row],[VALUE_DATE]],Dealps[[#This Row],[MATURITY_DATE]]-Dealps[[#This Row],[POSTED_DT]]))</f>
        <v>81</v>
      </c>
      <c r="U623" s="25">
        <f>IF(Dealps[[#This Row],[TENOR]]=0,0,IF(Dealps[[#This Row],[DEAL_TYPE]]="B",Dealps[[#This Row],[FACE_AMOUNT]],-Dealps[[#This Row],[FACE_AMOUNT]]))</f>
        <v>-1000000000000</v>
      </c>
      <c r="V623" s="25">
        <f>_xlfn.XLOOKUP(Dealps[[#This Row],[PAPER_CODE]],FNRP!D:D,FNRP!H:H,0,0)/100*Dealps[[#This Row],[AMOUNT]]</f>
        <v>0</v>
      </c>
      <c r="W623" s="57" t="str">
        <f>IF(Dealps[[#This Row],[TRANSACTION_STATUS]]&lt;&gt;"V","Ngoai BS",IF(Dealps[[#This Row],[POSTED_DT]]&gt;=Dealps[[#This Row],[VALUE_DATE]],"On BS","Off BS"))</f>
        <v>On BS</v>
      </c>
      <c r="X623" s="25">
        <f>SUMIFS(U:U,C:C,Dealps[[#This Row],[PAPER_CODE]])</f>
        <v>1500000000000</v>
      </c>
      <c r="Y623" s="25">
        <f>_xlfn.XLOOKUP(Dealps[[#This Row],[DEAL_ID]],Ref!N:N,Ref!Q:Q,0,0)</f>
        <v>0</v>
      </c>
      <c r="Z623" s="25" t="str">
        <f>IF(Dealps[[#This Row],[CPTY_CODE]]=Dealps[[#This Row],[CPTY_CODE_ISSUER]],"Yes","No")</f>
        <v>No</v>
      </c>
      <c r="AA623" s="25"/>
      <c r="AC623" s="14"/>
      <c r="AG623" s="96"/>
      <c r="AH623" s="25"/>
      <c r="AI623" s="25"/>
      <c r="AN623" s="14"/>
      <c r="AV623" s="36"/>
      <c r="AW623" s="14"/>
      <c r="AX623" s="234"/>
      <c r="AY623" s="96"/>
      <c r="AZ623" s="14"/>
      <c r="BA623"/>
      <c r="BB623" s="14"/>
      <c r="BC623" s="14"/>
      <c r="BD623" s="14"/>
      <c r="BE623" s="36"/>
      <c r="BF623" s="20"/>
      <c r="BG623"/>
      <c r="BH623"/>
      <c r="BI623"/>
      <c r="BJ623"/>
      <c r="BK623"/>
      <c r="BL623"/>
      <c r="BM623"/>
      <c r="BN623"/>
      <c r="BS623"/>
      <c r="BT623"/>
      <c r="BU623"/>
      <c r="BV623"/>
    </row>
    <row r="624" spans="1:74" x14ac:dyDescent="0.3">
      <c r="A624" s="93">
        <v>46262</v>
      </c>
      <c r="B624">
        <v>4755</v>
      </c>
      <c r="C624" s="56" t="s">
        <v>1061</v>
      </c>
      <c r="D624" t="s">
        <v>312</v>
      </c>
      <c r="E624" t="s">
        <v>320</v>
      </c>
      <c r="F624" t="s">
        <v>364</v>
      </c>
      <c r="G624" t="s">
        <v>310</v>
      </c>
      <c r="H624" t="s">
        <v>300</v>
      </c>
      <c r="I624" s="93">
        <v>46230</v>
      </c>
      <c r="J624" s="93">
        <v>46272</v>
      </c>
      <c r="K624" s="93">
        <v>46272</v>
      </c>
      <c r="L624" s="93">
        <v>46343</v>
      </c>
      <c r="M624" s="14">
        <v>1</v>
      </c>
      <c r="N624" s="14">
        <v>1000000000000</v>
      </c>
      <c r="O624" s="56">
        <v>100.63244272599999</v>
      </c>
      <c r="P624" s="56">
        <v>0</v>
      </c>
      <c r="Q624" s="14">
        <v>1056897029999.9999</v>
      </c>
      <c r="R624">
        <v>2.8845860000000001</v>
      </c>
      <c r="S624" t="s">
        <v>651</v>
      </c>
      <c r="T624" s="57">
        <f>IF(Dealps[[#This Row],[MATURITY_DATE]]-Dealps[[#This Row],[POSTED_DT]]&lt;0,0,IF(Dealps[[#This Row],[VALUE_DATE]]-Dealps[[#This Row],[POSTED_DT]]&gt;0,Dealps[[#This Row],[MATURITY_DATE]]-Dealps[[#This Row],[VALUE_DATE]],Dealps[[#This Row],[MATURITY_DATE]]-Dealps[[#This Row],[POSTED_DT]]))</f>
        <v>71</v>
      </c>
      <c r="U624" s="25">
        <f>IF(Dealps[[#This Row],[TENOR]]=0,0,IF(Dealps[[#This Row],[DEAL_TYPE]]="B",Dealps[[#This Row],[FACE_AMOUNT]],-Dealps[[#This Row],[FACE_AMOUNT]]))</f>
        <v>1000000000000</v>
      </c>
      <c r="V624" s="25">
        <f>_xlfn.XLOOKUP(Dealps[[#This Row],[PAPER_CODE]],FNRP!D:D,FNRP!H:H,0,0)/100*Dealps[[#This Row],[AMOUNT]]</f>
        <v>0</v>
      </c>
      <c r="W624" s="57" t="str">
        <f>IF(Dealps[[#This Row],[TRANSACTION_STATUS]]&lt;&gt;"V","Ngoai BS",IF(Dealps[[#This Row],[POSTED_DT]]&gt;=Dealps[[#This Row],[VALUE_DATE]],"On BS","Off BS"))</f>
        <v>Ngoai BS</v>
      </c>
      <c r="X624" s="25">
        <f>SUMIFS(U:U,C:C,Dealps[[#This Row],[PAPER_CODE]])</f>
        <v>1500000000000</v>
      </c>
      <c r="Y624" s="25">
        <f>_xlfn.XLOOKUP(Dealps[[#This Row],[DEAL_ID]],Ref!N:N,Ref!Q:Q,0,0)</f>
        <v>0</v>
      </c>
      <c r="Z624" s="25" t="str">
        <f>IF(Dealps[[#This Row],[CPTY_CODE]]=Dealps[[#This Row],[CPTY_CODE_ISSUER]],"Yes","No")</f>
        <v>No</v>
      </c>
      <c r="AA624" s="25"/>
      <c r="AC624" s="14"/>
      <c r="AG624" s="96"/>
      <c r="AH624" s="25"/>
      <c r="AI624" s="25"/>
      <c r="AN624" s="14"/>
      <c r="AV624" s="36"/>
      <c r="AW624" s="14"/>
      <c r="AX624" s="234"/>
      <c r="AY624" s="96"/>
      <c r="AZ624" s="14"/>
      <c r="BA624"/>
      <c r="BB624" s="14"/>
      <c r="BC624" s="14"/>
      <c r="BD624" s="14"/>
      <c r="BE624" s="36"/>
      <c r="BF624" s="20"/>
      <c r="BG624"/>
      <c r="BH624"/>
      <c r="BI624"/>
      <c r="BJ624"/>
      <c r="BK624"/>
      <c r="BL624"/>
      <c r="BM624"/>
      <c r="BN624"/>
      <c r="BS624"/>
      <c r="BT624"/>
      <c r="BU624"/>
      <c r="BV624"/>
    </row>
    <row r="625" spans="1:74" x14ac:dyDescent="0.3">
      <c r="A625" s="93">
        <v>46262</v>
      </c>
      <c r="B625">
        <v>4756</v>
      </c>
      <c r="C625" s="56" t="s">
        <v>1260</v>
      </c>
      <c r="D625" t="s">
        <v>384</v>
      </c>
      <c r="E625" t="s">
        <v>1022</v>
      </c>
      <c r="F625" t="s">
        <v>364</v>
      </c>
      <c r="G625" t="s">
        <v>310</v>
      </c>
      <c r="H625" t="s">
        <v>300</v>
      </c>
      <c r="I625" s="93">
        <v>46231</v>
      </c>
      <c r="J625" s="93">
        <v>46231</v>
      </c>
      <c r="K625" s="93">
        <v>46231</v>
      </c>
      <c r="L625" s="93">
        <v>46524</v>
      </c>
      <c r="M625" s="14">
        <v>1</v>
      </c>
      <c r="N625" s="14">
        <v>70000000000</v>
      </c>
      <c r="O625" s="56">
        <v>101.007048379</v>
      </c>
      <c r="P625" s="56">
        <v>0</v>
      </c>
      <c r="Q625" s="14">
        <v>72563290030</v>
      </c>
      <c r="R625">
        <v>7.9542149999999996</v>
      </c>
      <c r="S625" t="s">
        <v>1184</v>
      </c>
      <c r="T625" s="57">
        <f>IF(Dealps[[#This Row],[MATURITY_DATE]]-Dealps[[#This Row],[POSTED_DT]]&lt;0,0,IF(Dealps[[#This Row],[VALUE_DATE]]-Dealps[[#This Row],[POSTED_DT]]&gt;0,Dealps[[#This Row],[MATURITY_DATE]]-Dealps[[#This Row],[VALUE_DATE]],Dealps[[#This Row],[MATURITY_DATE]]-Dealps[[#This Row],[POSTED_DT]]))</f>
        <v>262</v>
      </c>
      <c r="U625" s="25">
        <f>IF(Dealps[[#This Row],[TENOR]]=0,0,IF(Dealps[[#This Row],[DEAL_TYPE]]="B",Dealps[[#This Row],[FACE_AMOUNT]],-Dealps[[#This Row],[FACE_AMOUNT]]))</f>
        <v>70000000000</v>
      </c>
      <c r="V625" s="25">
        <f>_xlfn.XLOOKUP(Dealps[[#This Row],[PAPER_CODE]],FNRP!D:D,FNRP!H:H,0,0)/100*Dealps[[#This Row],[AMOUNT]]</f>
        <v>0</v>
      </c>
      <c r="W625" s="57" t="str">
        <f>IF(Dealps[[#This Row],[TRANSACTION_STATUS]]&lt;&gt;"V","Ngoai BS",IF(Dealps[[#This Row],[POSTED_DT]]&gt;=Dealps[[#This Row],[VALUE_DATE]],"On BS","Off BS"))</f>
        <v>On BS</v>
      </c>
      <c r="X625" s="25">
        <f>SUMIFS(U:U,C:C,Dealps[[#This Row],[PAPER_CODE]])</f>
        <v>400000000000</v>
      </c>
      <c r="Y625" s="25">
        <f>_xlfn.XLOOKUP(Dealps[[#This Row],[DEAL_ID]],Ref!N:N,Ref!Q:Q,0,0)</f>
        <v>0</v>
      </c>
      <c r="Z625" s="25" t="str">
        <f>IF(Dealps[[#This Row],[CPTY_CODE]]=Dealps[[#This Row],[CPTY_CODE_ISSUER]],"Yes","No")</f>
        <v>No</v>
      </c>
      <c r="AA625" s="25"/>
      <c r="AC625" s="14"/>
      <c r="AG625" s="96"/>
      <c r="AH625" s="25"/>
      <c r="AI625" s="25"/>
      <c r="AN625" s="14"/>
      <c r="AV625" s="36"/>
      <c r="AW625" s="14"/>
      <c r="AX625" s="234"/>
      <c r="AY625" s="96"/>
      <c r="AZ625" s="14"/>
      <c r="BA625"/>
      <c r="BB625" s="14"/>
      <c r="BC625" s="14"/>
      <c r="BD625" s="14"/>
      <c r="BE625" s="36"/>
      <c r="BF625" s="20"/>
      <c r="BG625"/>
      <c r="BH625"/>
      <c r="BI625"/>
      <c r="BJ625"/>
      <c r="BK625"/>
      <c r="BL625"/>
      <c r="BM625"/>
      <c r="BN625"/>
      <c r="BS625"/>
      <c r="BT625"/>
      <c r="BU625"/>
      <c r="BV625"/>
    </row>
    <row r="626" spans="1:74" x14ac:dyDescent="0.3">
      <c r="A626" s="93">
        <v>46262</v>
      </c>
      <c r="B626">
        <v>4757</v>
      </c>
      <c r="C626" s="56" t="s">
        <v>1071</v>
      </c>
      <c r="D626" t="s">
        <v>328</v>
      </c>
      <c r="E626" t="s">
        <v>322</v>
      </c>
      <c r="F626" t="s">
        <v>364</v>
      </c>
      <c r="G626" t="s">
        <v>310</v>
      </c>
      <c r="H626" t="s">
        <v>300</v>
      </c>
      <c r="I626" s="93">
        <v>46231</v>
      </c>
      <c r="J626" s="93">
        <v>46218</v>
      </c>
      <c r="K626" s="93">
        <v>46231</v>
      </c>
      <c r="L626" s="93">
        <v>46352</v>
      </c>
      <c r="M626" s="14">
        <v>1</v>
      </c>
      <c r="N626" s="14">
        <v>500000000000</v>
      </c>
      <c r="O626" s="56">
        <v>99.949232996999996</v>
      </c>
      <c r="P626" s="56">
        <v>0</v>
      </c>
      <c r="Q626" s="14">
        <v>521716028000</v>
      </c>
      <c r="R626">
        <v>6.4720459999999997</v>
      </c>
      <c r="S626" t="s">
        <v>1184</v>
      </c>
      <c r="T626" s="57">
        <f>IF(Dealps[[#This Row],[MATURITY_DATE]]-Dealps[[#This Row],[POSTED_DT]]&lt;0,0,IF(Dealps[[#This Row],[VALUE_DATE]]-Dealps[[#This Row],[POSTED_DT]]&gt;0,Dealps[[#This Row],[MATURITY_DATE]]-Dealps[[#This Row],[VALUE_DATE]],Dealps[[#This Row],[MATURITY_DATE]]-Dealps[[#This Row],[POSTED_DT]]))</f>
        <v>90</v>
      </c>
      <c r="U626" s="25">
        <f>IF(Dealps[[#This Row],[TENOR]]=0,0,IF(Dealps[[#This Row],[DEAL_TYPE]]="B",Dealps[[#This Row],[FACE_AMOUNT]],-Dealps[[#This Row],[FACE_AMOUNT]]))</f>
        <v>500000000000</v>
      </c>
      <c r="V626" s="25">
        <f>_xlfn.XLOOKUP(Dealps[[#This Row],[PAPER_CODE]],FNRP!D:D,FNRP!H:H,0,0)/100*Dealps[[#This Row],[AMOUNT]]</f>
        <v>0</v>
      </c>
      <c r="W626" s="57" t="str">
        <f>IF(Dealps[[#This Row],[TRANSACTION_STATUS]]&lt;&gt;"V","Ngoai BS",IF(Dealps[[#This Row],[POSTED_DT]]&gt;=Dealps[[#This Row],[VALUE_DATE]],"On BS","Off BS"))</f>
        <v>On BS</v>
      </c>
      <c r="X626" s="25">
        <f>SUMIFS(U:U,C:C,Dealps[[#This Row],[PAPER_CODE]])</f>
        <v>1500000000000</v>
      </c>
      <c r="Y626" s="25">
        <f>_xlfn.XLOOKUP(Dealps[[#This Row],[DEAL_ID]],Ref!N:N,Ref!Q:Q,0,0)</f>
        <v>0</v>
      </c>
      <c r="Z626" s="25" t="str">
        <f>IF(Dealps[[#This Row],[CPTY_CODE]]=Dealps[[#This Row],[CPTY_CODE_ISSUER]],"Yes","No")</f>
        <v>No</v>
      </c>
      <c r="AA626" s="25"/>
      <c r="AC626" s="14"/>
      <c r="AG626" s="96"/>
      <c r="AH626" s="25"/>
      <c r="AI626" s="25"/>
      <c r="AN626" s="14"/>
      <c r="AV626" s="36"/>
      <c r="AW626" s="14"/>
      <c r="AX626" s="234"/>
      <c r="AY626" s="96"/>
      <c r="AZ626" s="14"/>
      <c r="BA626"/>
      <c r="BB626" s="14"/>
      <c r="BC626" s="14"/>
      <c r="BD626" s="14"/>
      <c r="BE626" s="36"/>
      <c r="BF626" s="20"/>
      <c r="BG626"/>
      <c r="BH626"/>
      <c r="BI626"/>
      <c r="BJ626"/>
      <c r="BK626"/>
      <c r="BL626"/>
      <c r="BM626"/>
      <c r="BN626"/>
      <c r="BS626"/>
      <c r="BT626"/>
      <c r="BU626"/>
      <c r="BV626"/>
    </row>
    <row r="627" spans="1:74" x14ac:dyDescent="0.3">
      <c r="A627" s="93">
        <v>46262</v>
      </c>
      <c r="B627">
        <v>4758</v>
      </c>
      <c r="C627" s="56" t="s">
        <v>1258</v>
      </c>
      <c r="D627" t="s">
        <v>321</v>
      </c>
      <c r="E627" t="s">
        <v>954</v>
      </c>
      <c r="F627" t="s">
        <v>364</v>
      </c>
      <c r="G627" t="s">
        <v>310</v>
      </c>
      <c r="H627" t="s">
        <v>311</v>
      </c>
      <c r="I627" s="93">
        <v>46231</v>
      </c>
      <c r="J627" s="93">
        <v>46231</v>
      </c>
      <c r="K627" s="93">
        <v>46231</v>
      </c>
      <c r="L627" s="93">
        <v>46485</v>
      </c>
      <c r="M627" s="14">
        <v>1</v>
      </c>
      <c r="N627" s="14">
        <v>400000000000</v>
      </c>
      <c r="O627" s="56">
        <v>100.203891644</v>
      </c>
      <c r="P627" s="56">
        <v>0</v>
      </c>
      <c r="Q627" s="14">
        <v>410481320000</v>
      </c>
      <c r="R627">
        <v>7.9</v>
      </c>
      <c r="S627" t="s">
        <v>1184</v>
      </c>
      <c r="T627" s="57">
        <f>IF(Dealps[[#This Row],[MATURITY_DATE]]-Dealps[[#This Row],[POSTED_DT]]&lt;0,0,IF(Dealps[[#This Row],[VALUE_DATE]]-Dealps[[#This Row],[POSTED_DT]]&gt;0,Dealps[[#This Row],[MATURITY_DATE]]-Dealps[[#This Row],[VALUE_DATE]],Dealps[[#This Row],[MATURITY_DATE]]-Dealps[[#This Row],[POSTED_DT]]))</f>
        <v>223</v>
      </c>
      <c r="U627" s="25">
        <f>IF(Dealps[[#This Row],[TENOR]]=0,0,IF(Dealps[[#This Row],[DEAL_TYPE]]="B",Dealps[[#This Row],[FACE_AMOUNT]],-Dealps[[#This Row],[FACE_AMOUNT]]))</f>
        <v>-400000000000</v>
      </c>
      <c r="V627" s="25">
        <f>_xlfn.XLOOKUP(Dealps[[#This Row],[PAPER_CODE]],FNRP!D:D,FNRP!H:H,0,0)/100*Dealps[[#This Row],[AMOUNT]]</f>
        <v>0</v>
      </c>
      <c r="W627" s="57" t="str">
        <f>IF(Dealps[[#This Row],[TRANSACTION_STATUS]]&lt;&gt;"V","Ngoai BS",IF(Dealps[[#This Row],[POSTED_DT]]&gt;=Dealps[[#This Row],[VALUE_DATE]],"On BS","Off BS"))</f>
        <v>On BS</v>
      </c>
      <c r="X627" s="25">
        <f>SUMIFS(U:U,C:C,Dealps[[#This Row],[PAPER_CODE]])</f>
        <v>2000000000000</v>
      </c>
      <c r="Y627" s="25">
        <f>_xlfn.XLOOKUP(Dealps[[#This Row],[DEAL_ID]],Ref!N:N,Ref!Q:Q,0,0)</f>
        <v>0</v>
      </c>
      <c r="Z627" s="25" t="str">
        <f>IF(Dealps[[#This Row],[CPTY_CODE]]=Dealps[[#This Row],[CPTY_CODE_ISSUER]],"Yes","No")</f>
        <v>No</v>
      </c>
      <c r="AA627" s="25"/>
      <c r="AC627" s="14"/>
      <c r="AG627" s="96"/>
      <c r="AH627" s="25"/>
      <c r="AI627" s="25"/>
      <c r="AN627" s="14"/>
      <c r="AV627" s="36"/>
      <c r="AW627" s="14"/>
      <c r="AX627" s="234"/>
      <c r="AY627" s="96"/>
      <c r="AZ627" s="14"/>
      <c r="BA627"/>
      <c r="BB627" s="14"/>
      <c r="BC627" s="14"/>
      <c r="BD627" s="14"/>
      <c r="BE627" s="36"/>
      <c r="BF627" s="20"/>
      <c r="BG627"/>
      <c r="BH627"/>
      <c r="BI627"/>
      <c r="BJ627"/>
      <c r="BK627"/>
      <c r="BL627"/>
      <c r="BM627"/>
      <c r="BN627"/>
      <c r="BS627"/>
      <c r="BT627"/>
      <c r="BU627"/>
      <c r="BV627"/>
    </row>
    <row r="628" spans="1:74" x14ac:dyDescent="0.3">
      <c r="A628" s="93">
        <v>46262</v>
      </c>
      <c r="B628">
        <v>4760</v>
      </c>
      <c r="C628" s="56" t="s">
        <v>1061</v>
      </c>
      <c r="D628" t="s">
        <v>312</v>
      </c>
      <c r="E628" t="s">
        <v>320</v>
      </c>
      <c r="F628" t="s">
        <v>364</v>
      </c>
      <c r="G628" t="s">
        <v>310</v>
      </c>
      <c r="H628" t="s">
        <v>311</v>
      </c>
      <c r="I628" s="93">
        <v>46231</v>
      </c>
      <c r="J628" s="93">
        <v>46231</v>
      </c>
      <c r="K628" s="93">
        <v>46232</v>
      </c>
      <c r="L628" s="93">
        <v>46343</v>
      </c>
      <c r="M628" s="14">
        <v>1</v>
      </c>
      <c r="N628" s="14">
        <v>200000000000</v>
      </c>
      <c r="O628" s="56">
        <v>100.167446885</v>
      </c>
      <c r="P628" s="56">
        <v>0</v>
      </c>
      <c r="Q628" s="14">
        <v>209068592400</v>
      </c>
      <c r="R628">
        <v>5.5</v>
      </c>
      <c r="S628" t="s">
        <v>1184</v>
      </c>
      <c r="T628" s="57">
        <f>IF(Dealps[[#This Row],[MATURITY_DATE]]-Dealps[[#This Row],[POSTED_DT]]&lt;0,0,IF(Dealps[[#This Row],[VALUE_DATE]]-Dealps[[#This Row],[POSTED_DT]]&gt;0,Dealps[[#This Row],[MATURITY_DATE]]-Dealps[[#This Row],[VALUE_DATE]],Dealps[[#This Row],[MATURITY_DATE]]-Dealps[[#This Row],[POSTED_DT]]))</f>
        <v>81</v>
      </c>
      <c r="U628" s="25">
        <f>IF(Dealps[[#This Row],[TENOR]]=0,0,IF(Dealps[[#This Row],[DEAL_TYPE]]="B",Dealps[[#This Row],[FACE_AMOUNT]],-Dealps[[#This Row],[FACE_AMOUNT]]))</f>
        <v>-200000000000</v>
      </c>
      <c r="V628" s="25">
        <f>_xlfn.XLOOKUP(Dealps[[#This Row],[PAPER_CODE]],FNRP!D:D,FNRP!H:H,0,0)/100*Dealps[[#This Row],[AMOUNT]]</f>
        <v>0</v>
      </c>
      <c r="W628" s="57" t="str">
        <f>IF(Dealps[[#This Row],[TRANSACTION_STATUS]]&lt;&gt;"V","Ngoai BS",IF(Dealps[[#This Row],[POSTED_DT]]&gt;=Dealps[[#This Row],[VALUE_DATE]],"On BS","Off BS"))</f>
        <v>On BS</v>
      </c>
      <c r="X628" s="25">
        <f>SUMIFS(U:U,C:C,Dealps[[#This Row],[PAPER_CODE]])</f>
        <v>1500000000000</v>
      </c>
      <c r="Y628" s="25">
        <f>_xlfn.XLOOKUP(Dealps[[#This Row],[DEAL_ID]],Ref!N:N,Ref!Q:Q,0,0)</f>
        <v>0</v>
      </c>
      <c r="Z628" s="25" t="str">
        <f>IF(Dealps[[#This Row],[CPTY_CODE]]=Dealps[[#This Row],[CPTY_CODE_ISSUER]],"Yes","No")</f>
        <v>No</v>
      </c>
      <c r="AA628" s="25"/>
      <c r="AC628" s="14"/>
      <c r="AG628" s="96"/>
      <c r="AH628" s="25"/>
      <c r="AI628" s="25"/>
      <c r="AN628" s="14"/>
      <c r="AV628" s="36"/>
      <c r="AW628" s="14"/>
      <c r="AX628" s="234"/>
      <c r="AY628" s="96"/>
      <c r="AZ628" s="14"/>
      <c r="BA628"/>
      <c r="BB628" s="14"/>
      <c r="BC628" s="14"/>
      <c r="BD628" s="14"/>
      <c r="BE628" s="36"/>
      <c r="BF628" s="20"/>
      <c r="BG628"/>
      <c r="BH628"/>
      <c r="BI628"/>
      <c r="BJ628"/>
      <c r="BK628"/>
      <c r="BL628"/>
      <c r="BM628"/>
      <c r="BN628"/>
      <c r="BS628"/>
      <c r="BT628"/>
      <c r="BU628"/>
      <c r="BV628"/>
    </row>
    <row r="629" spans="1:74" x14ac:dyDescent="0.3">
      <c r="A629" s="93">
        <v>46262</v>
      </c>
      <c r="B629">
        <v>4761</v>
      </c>
      <c r="C629" s="56" t="s">
        <v>1061</v>
      </c>
      <c r="D629" t="s">
        <v>312</v>
      </c>
      <c r="E629" t="s">
        <v>320</v>
      </c>
      <c r="F629" t="s">
        <v>364</v>
      </c>
      <c r="G629" t="s">
        <v>310</v>
      </c>
      <c r="H629" t="s">
        <v>300</v>
      </c>
      <c r="I629" s="93">
        <v>46231</v>
      </c>
      <c r="J629" s="93">
        <v>46273</v>
      </c>
      <c r="K629" s="93">
        <v>46273</v>
      </c>
      <c r="L629" s="93">
        <v>46343</v>
      </c>
      <c r="M629" s="14">
        <v>1</v>
      </c>
      <c r="N629" s="14">
        <v>200000000000</v>
      </c>
      <c r="O629" s="56">
        <v>100.375667952</v>
      </c>
      <c r="P629" s="56">
        <v>0</v>
      </c>
      <c r="Q629" s="14">
        <v>210900376999.99997</v>
      </c>
      <c r="R629">
        <v>4.1167870000000004</v>
      </c>
      <c r="S629" t="s">
        <v>651</v>
      </c>
      <c r="T629" s="57">
        <f>IF(Dealps[[#This Row],[MATURITY_DATE]]-Dealps[[#This Row],[POSTED_DT]]&lt;0,0,IF(Dealps[[#This Row],[VALUE_DATE]]-Dealps[[#This Row],[POSTED_DT]]&gt;0,Dealps[[#This Row],[MATURITY_DATE]]-Dealps[[#This Row],[VALUE_DATE]],Dealps[[#This Row],[MATURITY_DATE]]-Dealps[[#This Row],[POSTED_DT]]))</f>
        <v>70</v>
      </c>
      <c r="U629" s="25">
        <f>IF(Dealps[[#This Row],[TENOR]]=0,0,IF(Dealps[[#This Row],[DEAL_TYPE]]="B",Dealps[[#This Row],[FACE_AMOUNT]],-Dealps[[#This Row],[FACE_AMOUNT]]))</f>
        <v>200000000000</v>
      </c>
      <c r="V629" s="25">
        <f>_xlfn.XLOOKUP(Dealps[[#This Row],[PAPER_CODE]],FNRP!D:D,FNRP!H:H,0,0)/100*Dealps[[#This Row],[AMOUNT]]</f>
        <v>0</v>
      </c>
      <c r="W629" s="57" t="str">
        <f>IF(Dealps[[#This Row],[TRANSACTION_STATUS]]&lt;&gt;"V","Ngoai BS",IF(Dealps[[#This Row],[POSTED_DT]]&gt;=Dealps[[#This Row],[VALUE_DATE]],"On BS","Off BS"))</f>
        <v>Ngoai BS</v>
      </c>
      <c r="X629" s="25">
        <f>SUMIFS(U:U,C:C,Dealps[[#This Row],[PAPER_CODE]])</f>
        <v>1500000000000</v>
      </c>
      <c r="Y629" s="25">
        <f>_xlfn.XLOOKUP(Dealps[[#This Row],[DEAL_ID]],Ref!N:N,Ref!Q:Q,0,0)</f>
        <v>0</v>
      </c>
      <c r="Z629" s="25" t="str">
        <f>IF(Dealps[[#This Row],[CPTY_CODE]]=Dealps[[#This Row],[CPTY_CODE_ISSUER]],"Yes","No")</f>
        <v>No</v>
      </c>
      <c r="AA629" s="25"/>
      <c r="AC629" s="14"/>
      <c r="AG629" s="96"/>
      <c r="AH629" s="25"/>
      <c r="AI629" s="25"/>
      <c r="AN629" s="14"/>
      <c r="AV629" s="36"/>
      <c r="AW629" s="14"/>
      <c r="AX629" s="234"/>
      <c r="AY629" s="96"/>
      <c r="AZ629" s="14"/>
      <c r="BA629"/>
      <c r="BB629" s="14"/>
      <c r="BC629" s="14"/>
      <c r="BD629" s="14"/>
      <c r="BE629" s="36"/>
      <c r="BF629" s="20"/>
      <c r="BG629"/>
      <c r="BH629"/>
      <c r="BI629"/>
      <c r="BJ629"/>
      <c r="BK629"/>
      <c r="BL629"/>
      <c r="BM629"/>
      <c r="BN629"/>
      <c r="BS629"/>
      <c r="BT629"/>
      <c r="BU629"/>
      <c r="BV629"/>
    </row>
    <row r="630" spans="1:74" x14ac:dyDescent="0.3">
      <c r="A630" s="93">
        <v>46262</v>
      </c>
      <c r="B630">
        <v>4762</v>
      </c>
      <c r="C630" s="56" t="s">
        <v>1258</v>
      </c>
      <c r="D630" t="s">
        <v>321</v>
      </c>
      <c r="E630" t="s">
        <v>320</v>
      </c>
      <c r="F630" t="s">
        <v>364</v>
      </c>
      <c r="G630" t="s">
        <v>310</v>
      </c>
      <c r="H630" t="s">
        <v>311</v>
      </c>
      <c r="I630" s="93">
        <v>46231</v>
      </c>
      <c r="J630" s="93">
        <v>46231</v>
      </c>
      <c r="K630" s="93">
        <v>46232</v>
      </c>
      <c r="L630" s="93">
        <v>46485</v>
      </c>
      <c r="M630" s="14">
        <v>1</v>
      </c>
      <c r="N630" s="14">
        <v>800000000000</v>
      </c>
      <c r="O630" s="56">
        <v>101.499734645</v>
      </c>
      <c r="P630" s="56">
        <v>0</v>
      </c>
      <c r="Q630" s="14">
        <v>831513493600</v>
      </c>
      <c r="R630">
        <v>6</v>
      </c>
      <c r="S630" t="s">
        <v>1184</v>
      </c>
      <c r="T630" s="57">
        <f>IF(Dealps[[#This Row],[MATURITY_DATE]]-Dealps[[#This Row],[POSTED_DT]]&lt;0,0,IF(Dealps[[#This Row],[VALUE_DATE]]-Dealps[[#This Row],[POSTED_DT]]&gt;0,Dealps[[#This Row],[MATURITY_DATE]]-Dealps[[#This Row],[VALUE_DATE]],Dealps[[#This Row],[MATURITY_DATE]]-Dealps[[#This Row],[POSTED_DT]]))</f>
        <v>223</v>
      </c>
      <c r="U630" s="25">
        <f>IF(Dealps[[#This Row],[TENOR]]=0,0,IF(Dealps[[#This Row],[DEAL_TYPE]]="B",Dealps[[#This Row],[FACE_AMOUNT]],-Dealps[[#This Row],[FACE_AMOUNT]]))</f>
        <v>-800000000000</v>
      </c>
      <c r="V630" s="25">
        <f>_xlfn.XLOOKUP(Dealps[[#This Row],[PAPER_CODE]],FNRP!D:D,FNRP!H:H,0,0)/100*Dealps[[#This Row],[AMOUNT]]</f>
        <v>0</v>
      </c>
      <c r="W630" s="57" t="str">
        <f>IF(Dealps[[#This Row],[TRANSACTION_STATUS]]&lt;&gt;"V","Ngoai BS",IF(Dealps[[#This Row],[POSTED_DT]]&gt;=Dealps[[#This Row],[VALUE_DATE]],"On BS","Off BS"))</f>
        <v>On BS</v>
      </c>
      <c r="X630" s="25">
        <f>SUMIFS(U:U,C:C,Dealps[[#This Row],[PAPER_CODE]])</f>
        <v>2000000000000</v>
      </c>
      <c r="Y630" s="25">
        <f>_xlfn.XLOOKUP(Dealps[[#This Row],[DEAL_ID]],Ref!N:N,Ref!Q:Q,0,0)</f>
        <v>0</v>
      </c>
      <c r="Z630" s="25" t="str">
        <f>IF(Dealps[[#This Row],[CPTY_CODE]]=Dealps[[#This Row],[CPTY_CODE_ISSUER]],"Yes","No")</f>
        <v>No</v>
      </c>
      <c r="AA630" s="25"/>
      <c r="AC630" s="14"/>
      <c r="AG630" s="96"/>
      <c r="AH630" s="25"/>
      <c r="AI630" s="25"/>
      <c r="AN630" s="14"/>
      <c r="AV630" s="36"/>
      <c r="AW630" s="14"/>
      <c r="AX630" s="234"/>
      <c r="AY630" s="96"/>
      <c r="AZ630" s="14"/>
      <c r="BA630"/>
      <c r="BB630" s="14"/>
      <c r="BC630" s="14"/>
      <c r="BD630" s="14"/>
      <c r="BE630" s="36"/>
      <c r="BF630" s="20"/>
      <c r="BG630"/>
      <c r="BH630"/>
      <c r="BI630"/>
      <c r="BJ630"/>
      <c r="BK630"/>
      <c r="BL630"/>
      <c r="BM630"/>
      <c r="BN630"/>
      <c r="BS630"/>
      <c r="BT630"/>
      <c r="BU630"/>
      <c r="BV630"/>
    </row>
    <row r="631" spans="1:74" x14ac:dyDescent="0.3">
      <c r="A631" s="93">
        <v>46262</v>
      </c>
      <c r="B631">
        <v>4763</v>
      </c>
      <c r="C631" s="56" t="s">
        <v>1258</v>
      </c>
      <c r="D631" t="s">
        <v>321</v>
      </c>
      <c r="E631" t="s">
        <v>320</v>
      </c>
      <c r="F631" t="s">
        <v>364</v>
      </c>
      <c r="G631" t="s">
        <v>310</v>
      </c>
      <c r="H631" t="s">
        <v>300</v>
      </c>
      <c r="I631" s="93">
        <v>46231</v>
      </c>
      <c r="J631" s="93">
        <v>46273</v>
      </c>
      <c r="K631" s="93">
        <v>46273</v>
      </c>
      <c r="L631" s="93">
        <v>46485</v>
      </c>
      <c r="M631" s="14">
        <v>1</v>
      </c>
      <c r="N631" s="14">
        <v>800000000000</v>
      </c>
      <c r="O631" s="56">
        <v>101.466851101</v>
      </c>
      <c r="P631" s="56">
        <v>0</v>
      </c>
      <c r="Q631" s="14">
        <v>838798918400</v>
      </c>
      <c r="R631">
        <v>5.6027969999999998</v>
      </c>
      <c r="S631" t="s">
        <v>651</v>
      </c>
      <c r="T631" s="57">
        <f>IF(Dealps[[#This Row],[MATURITY_DATE]]-Dealps[[#This Row],[POSTED_DT]]&lt;0,0,IF(Dealps[[#This Row],[VALUE_DATE]]-Dealps[[#This Row],[POSTED_DT]]&gt;0,Dealps[[#This Row],[MATURITY_DATE]]-Dealps[[#This Row],[VALUE_DATE]],Dealps[[#This Row],[MATURITY_DATE]]-Dealps[[#This Row],[POSTED_DT]]))</f>
        <v>212</v>
      </c>
      <c r="U631" s="25">
        <f>IF(Dealps[[#This Row],[TENOR]]=0,0,IF(Dealps[[#This Row],[DEAL_TYPE]]="B",Dealps[[#This Row],[FACE_AMOUNT]],-Dealps[[#This Row],[FACE_AMOUNT]]))</f>
        <v>800000000000</v>
      </c>
      <c r="V631" s="25">
        <f>_xlfn.XLOOKUP(Dealps[[#This Row],[PAPER_CODE]],FNRP!D:D,FNRP!H:H,0,0)/100*Dealps[[#This Row],[AMOUNT]]</f>
        <v>0</v>
      </c>
      <c r="W631" s="57" t="str">
        <f>IF(Dealps[[#This Row],[TRANSACTION_STATUS]]&lt;&gt;"V","Ngoai BS",IF(Dealps[[#This Row],[POSTED_DT]]&gt;=Dealps[[#This Row],[VALUE_DATE]],"On BS","Off BS"))</f>
        <v>Ngoai BS</v>
      </c>
      <c r="X631" s="25">
        <f>SUMIFS(U:U,C:C,Dealps[[#This Row],[PAPER_CODE]])</f>
        <v>2000000000000</v>
      </c>
      <c r="Y631" s="25">
        <f>_xlfn.XLOOKUP(Dealps[[#This Row],[DEAL_ID]],Ref!N:N,Ref!Q:Q,0,0)</f>
        <v>0</v>
      </c>
      <c r="Z631" s="25" t="str">
        <f>IF(Dealps[[#This Row],[CPTY_CODE]]=Dealps[[#This Row],[CPTY_CODE_ISSUER]],"Yes","No")</f>
        <v>No</v>
      </c>
      <c r="AA631" s="25"/>
      <c r="AC631" s="14"/>
      <c r="AG631" s="96"/>
      <c r="AH631" s="25"/>
      <c r="AI631" s="25"/>
      <c r="AN631" s="14"/>
      <c r="AV631" s="36"/>
      <c r="AW631" s="14"/>
      <c r="AX631" s="234"/>
      <c r="AY631" s="96"/>
      <c r="AZ631" s="14"/>
      <c r="BA631"/>
      <c r="BB631" s="14"/>
      <c r="BC631" s="14"/>
      <c r="BD631" s="14"/>
      <c r="BE631" s="36"/>
      <c r="BF631" s="20"/>
      <c r="BG631"/>
      <c r="BH631"/>
      <c r="BI631"/>
      <c r="BJ631"/>
      <c r="BK631"/>
      <c r="BL631"/>
      <c r="BM631"/>
      <c r="BN631"/>
      <c r="BS631"/>
      <c r="BT631"/>
      <c r="BU631"/>
      <c r="BV631"/>
    </row>
    <row r="632" spans="1:74" x14ac:dyDescent="0.3">
      <c r="A632" s="93">
        <v>46262</v>
      </c>
      <c r="B632">
        <v>4764</v>
      </c>
      <c r="C632" s="56" t="s">
        <v>1158</v>
      </c>
      <c r="D632" t="s">
        <v>327</v>
      </c>
      <c r="E632" t="s">
        <v>321</v>
      </c>
      <c r="F632" t="s">
        <v>364</v>
      </c>
      <c r="G632" t="s">
        <v>310</v>
      </c>
      <c r="H632" t="s">
        <v>311</v>
      </c>
      <c r="I632" s="93">
        <v>46231</v>
      </c>
      <c r="J632" s="93">
        <v>46231</v>
      </c>
      <c r="K632" s="93">
        <v>46233</v>
      </c>
      <c r="L632" s="93">
        <v>46409</v>
      </c>
      <c r="M632" s="14">
        <v>1</v>
      </c>
      <c r="N632" s="14">
        <v>1000000000000</v>
      </c>
      <c r="O632" s="56">
        <v>99.586747760999998</v>
      </c>
      <c r="P632" s="56">
        <v>0</v>
      </c>
      <c r="Q632" s="14">
        <v>1032952409115.9999</v>
      </c>
      <c r="R632">
        <v>7.8</v>
      </c>
      <c r="S632" t="s">
        <v>1184</v>
      </c>
      <c r="T632" s="57">
        <f>IF(Dealps[[#This Row],[MATURITY_DATE]]-Dealps[[#This Row],[POSTED_DT]]&lt;0,0,IF(Dealps[[#This Row],[VALUE_DATE]]-Dealps[[#This Row],[POSTED_DT]]&gt;0,Dealps[[#This Row],[MATURITY_DATE]]-Dealps[[#This Row],[VALUE_DATE]],Dealps[[#This Row],[MATURITY_DATE]]-Dealps[[#This Row],[POSTED_DT]]))</f>
        <v>147</v>
      </c>
      <c r="U632" s="25">
        <f>IF(Dealps[[#This Row],[TENOR]]=0,0,IF(Dealps[[#This Row],[DEAL_TYPE]]="B",Dealps[[#This Row],[FACE_AMOUNT]],-Dealps[[#This Row],[FACE_AMOUNT]]))</f>
        <v>-1000000000000</v>
      </c>
      <c r="V632" s="25">
        <f>_xlfn.XLOOKUP(Dealps[[#This Row],[PAPER_CODE]],FNRP!D:D,FNRP!H:H,0,0)/100*Dealps[[#This Row],[AMOUNT]]</f>
        <v>0</v>
      </c>
      <c r="W632" s="57" t="str">
        <f>IF(Dealps[[#This Row],[TRANSACTION_STATUS]]&lt;&gt;"V","Ngoai BS",IF(Dealps[[#This Row],[POSTED_DT]]&gt;=Dealps[[#This Row],[VALUE_DATE]],"On BS","Off BS"))</f>
        <v>On BS</v>
      </c>
      <c r="X632" s="25">
        <f>SUMIFS(U:U,C:C,Dealps[[#This Row],[PAPER_CODE]])</f>
        <v>2000000000000</v>
      </c>
      <c r="Y632" s="25">
        <f>_xlfn.XLOOKUP(Dealps[[#This Row],[DEAL_ID]],Ref!N:N,Ref!Q:Q,0,0)</f>
        <v>0</v>
      </c>
      <c r="Z632" s="25" t="str">
        <f>IF(Dealps[[#This Row],[CPTY_CODE]]=Dealps[[#This Row],[CPTY_CODE_ISSUER]],"Yes","No")</f>
        <v>No</v>
      </c>
      <c r="AA632" s="25"/>
      <c r="AC632" s="14"/>
      <c r="AG632" s="96"/>
      <c r="AH632" s="25"/>
      <c r="AI632" s="25"/>
      <c r="AN632" s="14"/>
      <c r="AV632" s="36"/>
      <c r="AW632" s="14"/>
      <c r="AX632" s="234"/>
      <c r="AY632" s="96"/>
      <c r="AZ632" s="14"/>
      <c r="BA632"/>
      <c r="BB632" s="14"/>
      <c r="BC632" s="14"/>
      <c r="BD632" s="14"/>
      <c r="BE632" s="36"/>
      <c r="BF632" s="20"/>
      <c r="BG632"/>
      <c r="BH632"/>
      <c r="BI632"/>
      <c r="BJ632"/>
      <c r="BK632"/>
      <c r="BL632"/>
      <c r="BM632"/>
      <c r="BN632"/>
      <c r="BS632"/>
      <c r="BT632"/>
      <c r="BU632"/>
      <c r="BV632"/>
    </row>
    <row r="633" spans="1:74" x14ac:dyDescent="0.3">
      <c r="A633" s="93">
        <v>46262</v>
      </c>
      <c r="B633">
        <v>4768</v>
      </c>
      <c r="C633" s="56" t="s">
        <v>1071</v>
      </c>
      <c r="D633" t="s">
        <v>328</v>
      </c>
      <c r="E633" t="s">
        <v>320</v>
      </c>
      <c r="F633" t="s">
        <v>364</v>
      </c>
      <c r="G633" t="s">
        <v>310</v>
      </c>
      <c r="H633" t="s">
        <v>300</v>
      </c>
      <c r="I633" s="93">
        <v>46232</v>
      </c>
      <c r="J633" s="93">
        <v>46232</v>
      </c>
      <c r="K633" s="93">
        <v>46232</v>
      </c>
      <c r="L633" s="93">
        <v>46352</v>
      </c>
      <c r="M633" s="14">
        <v>1</v>
      </c>
      <c r="N633" s="14">
        <v>1000000000000</v>
      </c>
      <c r="O633" s="56">
        <v>100.517691705</v>
      </c>
      <c r="P633" s="56">
        <v>0</v>
      </c>
      <c r="Q633" s="14">
        <v>1049297465000</v>
      </c>
      <c r="R633">
        <v>4.789256</v>
      </c>
      <c r="S633" t="s">
        <v>1184</v>
      </c>
      <c r="T633" s="57">
        <f>IF(Dealps[[#This Row],[MATURITY_DATE]]-Dealps[[#This Row],[POSTED_DT]]&lt;0,0,IF(Dealps[[#This Row],[VALUE_DATE]]-Dealps[[#This Row],[POSTED_DT]]&gt;0,Dealps[[#This Row],[MATURITY_DATE]]-Dealps[[#This Row],[VALUE_DATE]],Dealps[[#This Row],[MATURITY_DATE]]-Dealps[[#This Row],[POSTED_DT]]))</f>
        <v>90</v>
      </c>
      <c r="U633" s="25">
        <f>IF(Dealps[[#This Row],[TENOR]]=0,0,IF(Dealps[[#This Row],[DEAL_TYPE]]="B",Dealps[[#This Row],[FACE_AMOUNT]],-Dealps[[#This Row],[FACE_AMOUNT]]))</f>
        <v>1000000000000</v>
      </c>
      <c r="V633" s="25">
        <f>_xlfn.XLOOKUP(Dealps[[#This Row],[PAPER_CODE]],FNRP!D:D,FNRP!H:H,0,0)/100*Dealps[[#This Row],[AMOUNT]]</f>
        <v>0</v>
      </c>
      <c r="W633" s="57" t="str">
        <f>IF(Dealps[[#This Row],[TRANSACTION_STATUS]]&lt;&gt;"V","Ngoai BS",IF(Dealps[[#This Row],[POSTED_DT]]&gt;=Dealps[[#This Row],[VALUE_DATE]],"On BS","Off BS"))</f>
        <v>On BS</v>
      </c>
      <c r="X633" s="25">
        <f>SUMIFS(U:U,C:C,Dealps[[#This Row],[PAPER_CODE]])</f>
        <v>1500000000000</v>
      </c>
      <c r="Y633" s="25">
        <f>_xlfn.XLOOKUP(Dealps[[#This Row],[DEAL_ID]],Ref!N:N,Ref!Q:Q,0,0)</f>
        <v>0</v>
      </c>
      <c r="Z633" s="25" t="str">
        <f>IF(Dealps[[#This Row],[CPTY_CODE]]=Dealps[[#This Row],[CPTY_CODE_ISSUER]],"Yes","No")</f>
        <v>No</v>
      </c>
      <c r="AA633" s="25"/>
      <c r="AC633" s="14"/>
      <c r="AG633" s="96"/>
      <c r="AH633" s="25"/>
      <c r="AI633" s="25"/>
      <c r="AN633" s="14"/>
      <c r="AV633" s="36"/>
      <c r="AW633" s="14"/>
      <c r="AX633" s="234"/>
      <c r="AY633" s="96"/>
      <c r="AZ633" s="14"/>
      <c r="BA633"/>
      <c r="BB633" s="14"/>
      <c r="BC633" s="14"/>
      <c r="BD633" s="14"/>
      <c r="BE633" s="36"/>
      <c r="BF633" s="20"/>
      <c r="BG633"/>
      <c r="BH633"/>
      <c r="BI633"/>
      <c r="BJ633"/>
      <c r="BK633"/>
      <c r="BL633"/>
      <c r="BM633"/>
      <c r="BN633"/>
      <c r="BS633"/>
      <c r="BT633"/>
      <c r="BU633"/>
      <c r="BV633"/>
    </row>
    <row r="634" spans="1:74" x14ac:dyDescent="0.3">
      <c r="A634" s="93">
        <v>46262</v>
      </c>
      <c r="B634">
        <v>4769</v>
      </c>
      <c r="C634" s="56" t="s">
        <v>1260</v>
      </c>
      <c r="D634" t="s">
        <v>384</v>
      </c>
      <c r="E634" t="s">
        <v>1022</v>
      </c>
      <c r="F634" t="s">
        <v>364</v>
      </c>
      <c r="G634" t="s">
        <v>310</v>
      </c>
      <c r="H634" t="s">
        <v>300</v>
      </c>
      <c r="I634" s="93">
        <v>46232</v>
      </c>
      <c r="J634" s="93">
        <v>46232</v>
      </c>
      <c r="K634" s="93">
        <v>46232</v>
      </c>
      <c r="L634" s="93">
        <v>46524</v>
      </c>
      <c r="M634" s="14">
        <v>1</v>
      </c>
      <c r="N634" s="14">
        <v>70000000000</v>
      </c>
      <c r="O634" s="56">
        <v>101.003863882</v>
      </c>
      <c r="P634" s="56">
        <v>0</v>
      </c>
      <c r="Q634" s="14">
        <v>72579280060</v>
      </c>
      <c r="R634">
        <v>7.9521579999999998</v>
      </c>
      <c r="S634" t="s">
        <v>1184</v>
      </c>
      <c r="T634" s="57">
        <f>IF(Dealps[[#This Row],[MATURITY_DATE]]-Dealps[[#This Row],[POSTED_DT]]&lt;0,0,IF(Dealps[[#This Row],[VALUE_DATE]]-Dealps[[#This Row],[POSTED_DT]]&gt;0,Dealps[[#This Row],[MATURITY_DATE]]-Dealps[[#This Row],[VALUE_DATE]],Dealps[[#This Row],[MATURITY_DATE]]-Dealps[[#This Row],[POSTED_DT]]))</f>
        <v>262</v>
      </c>
      <c r="U634" s="25">
        <f>IF(Dealps[[#This Row],[TENOR]]=0,0,IF(Dealps[[#This Row],[DEAL_TYPE]]="B",Dealps[[#This Row],[FACE_AMOUNT]],-Dealps[[#This Row],[FACE_AMOUNT]]))</f>
        <v>70000000000</v>
      </c>
      <c r="V634" s="25">
        <f>_xlfn.XLOOKUP(Dealps[[#This Row],[PAPER_CODE]],FNRP!D:D,FNRP!H:H,0,0)/100*Dealps[[#This Row],[AMOUNT]]</f>
        <v>0</v>
      </c>
      <c r="W634" s="57" t="str">
        <f>IF(Dealps[[#This Row],[TRANSACTION_STATUS]]&lt;&gt;"V","Ngoai BS",IF(Dealps[[#This Row],[POSTED_DT]]&gt;=Dealps[[#This Row],[VALUE_DATE]],"On BS","Off BS"))</f>
        <v>On BS</v>
      </c>
      <c r="X634" s="25">
        <f>SUMIFS(U:U,C:C,Dealps[[#This Row],[PAPER_CODE]])</f>
        <v>400000000000</v>
      </c>
      <c r="Y634" s="25">
        <f>_xlfn.XLOOKUP(Dealps[[#This Row],[DEAL_ID]],Ref!N:N,Ref!Q:Q,0,0)</f>
        <v>0</v>
      </c>
      <c r="Z634" s="25" t="str">
        <f>IF(Dealps[[#This Row],[CPTY_CODE]]=Dealps[[#This Row],[CPTY_CODE_ISSUER]],"Yes","No")</f>
        <v>No</v>
      </c>
      <c r="AA634" s="25"/>
      <c r="AC634" s="14"/>
      <c r="AG634" s="96"/>
      <c r="AH634" s="25"/>
      <c r="AI634" s="25"/>
      <c r="AN634" s="14"/>
      <c r="AV634" s="36"/>
      <c r="AW634" s="14"/>
      <c r="AX634" s="234"/>
      <c r="AY634" s="96"/>
      <c r="AZ634" s="14"/>
      <c r="BA634"/>
      <c r="BB634" s="14"/>
      <c r="BC634" s="14"/>
      <c r="BD634" s="14"/>
      <c r="BE634" s="36"/>
      <c r="BF634" s="20"/>
      <c r="BG634"/>
      <c r="BH634"/>
      <c r="BI634"/>
      <c r="BJ634"/>
      <c r="BK634"/>
      <c r="BL634"/>
      <c r="BM634"/>
      <c r="BN634"/>
      <c r="BS634"/>
      <c r="BT634"/>
      <c r="BU634"/>
      <c r="BV634"/>
    </row>
    <row r="635" spans="1:74" x14ac:dyDescent="0.3">
      <c r="A635" s="93">
        <v>46262</v>
      </c>
      <c r="B635">
        <v>50267</v>
      </c>
      <c r="C635" s="56" t="s">
        <v>1479</v>
      </c>
      <c r="D635" t="s">
        <v>345</v>
      </c>
      <c r="E635" t="s">
        <v>345</v>
      </c>
      <c r="F635" t="s">
        <v>35</v>
      </c>
      <c r="G635" t="s">
        <v>310</v>
      </c>
      <c r="H635" t="s">
        <v>300</v>
      </c>
      <c r="I635" s="93">
        <v>46233</v>
      </c>
      <c r="J635" s="93">
        <v>46233</v>
      </c>
      <c r="K635" s="93">
        <v>46234</v>
      </c>
      <c r="L635" s="93">
        <v>48791</v>
      </c>
      <c r="M635" s="14">
        <v>5000</v>
      </c>
      <c r="N635" s="14">
        <v>500000000000</v>
      </c>
      <c r="O635" s="56">
        <v>100</v>
      </c>
      <c r="P635" s="56">
        <v>0</v>
      </c>
      <c r="Q635" s="14">
        <v>500000000000</v>
      </c>
      <c r="R635">
        <v>9.4211338809999994</v>
      </c>
      <c r="S635" t="s">
        <v>1184</v>
      </c>
      <c r="T635" s="57">
        <f>IF(Dealps[[#This Row],[MATURITY_DATE]]-Dealps[[#This Row],[POSTED_DT]]&lt;0,0,IF(Dealps[[#This Row],[VALUE_DATE]]-Dealps[[#This Row],[POSTED_DT]]&gt;0,Dealps[[#This Row],[MATURITY_DATE]]-Dealps[[#This Row],[VALUE_DATE]],Dealps[[#This Row],[MATURITY_DATE]]-Dealps[[#This Row],[POSTED_DT]]))</f>
        <v>2529</v>
      </c>
      <c r="U635" s="25">
        <f>IF(Dealps[[#This Row],[TENOR]]=0,0,IF(Dealps[[#This Row],[DEAL_TYPE]]="B",Dealps[[#This Row],[FACE_AMOUNT]],-Dealps[[#This Row],[FACE_AMOUNT]]))</f>
        <v>500000000000</v>
      </c>
      <c r="V635" s="25">
        <f>_xlfn.XLOOKUP(Dealps[[#This Row],[PAPER_CODE]],FNRP!D:D,FNRP!H:H,0,0)/100*Dealps[[#This Row],[AMOUNT]]</f>
        <v>644875143114.99988</v>
      </c>
      <c r="W635" s="57" t="str">
        <f>IF(Dealps[[#This Row],[TRANSACTION_STATUS]]&lt;&gt;"V","Ngoai BS",IF(Dealps[[#This Row],[POSTED_DT]]&gt;=Dealps[[#This Row],[VALUE_DATE]],"On BS","Off BS"))</f>
        <v>On BS</v>
      </c>
      <c r="X635" s="25">
        <f>SUMIFS(U:U,C:C,Dealps[[#This Row],[PAPER_CODE]])</f>
        <v>1000000000000</v>
      </c>
      <c r="Y635" s="25">
        <f>_xlfn.XLOOKUP(Dealps[[#This Row],[DEAL_ID]],Ref!N:N,Ref!Q:Q,0,0)</f>
        <v>0</v>
      </c>
      <c r="Z635" s="25" t="str">
        <f>IF(Dealps[[#This Row],[CPTY_CODE]]=Dealps[[#This Row],[CPTY_CODE_ISSUER]],"Yes","No")</f>
        <v>Yes</v>
      </c>
      <c r="AA635" s="25"/>
      <c r="AC635" s="14"/>
      <c r="AG635" s="96"/>
      <c r="AH635" s="25"/>
      <c r="AI635" s="25"/>
      <c r="AN635" s="14"/>
      <c r="AV635" s="36"/>
      <c r="AW635" s="14"/>
      <c r="AX635" s="234"/>
      <c r="AY635" s="96"/>
      <c r="AZ635" s="14"/>
      <c r="BA635"/>
      <c r="BB635" s="14"/>
      <c r="BC635" s="14"/>
      <c r="BD635" s="14"/>
      <c r="BE635" s="36"/>
      <c r="BF635" s="20"/>
      <c r="BG635"/>
      <c r="BH635"/>
      <c r="BI635"/>
      <c r="BJ635"/>
      <c r="BK635"/>
      <c r="BL635"/>
      <c r="BM635"/>
      <c r="BN635"/>
      <c r="BS635"/>
      <c r="BT635"/>
      <c r="BU635"/>
      <c r="BV635"/>
    </row>
    <row r="636" spans="1:74" x14ac:dyDescent="0.3">
      <c r="A636" s="93">
        <v>46262</v>
      </c>
      <c r="B636">
        <v>50268</v>
      </c>
      <c r="C636" s="56" t="s">
        <v>1479</v>
      </c>
      <c r="D636" t="s">
        <v>345</v>
      </c>
      <c r="E636" t="s">
        <v>345</v>
      </c>
      <c r="F636" t="s">
        <v>35</v>
      </c>
      <c r="G636" t="s">
        <v>310</v>
      </c>
      <c r="H636" t="s">
        <v>300</v>
      </c>
      <c r="I636" s="93">
        <v>46233</v>
      </c>
      <c r="J636" s="93">
        <v>46233</v>
      </c>
      <c r="K636" s="93">
        <v>46234</v>
      </c>
      <c r="L636" s="93">
        <v>48791</v>
      </c>
      <c r="M636" s="14">
        <v>5000</v>
      </c>
      <c r="N636" s="14">
        <v>500000000000</v>
      </c>
      <c r="O636" s="56">
        <v>100</v>
      </c>
      <c r="P636" s="56">
        <v>0</v>
      </c>
      <c r="Q636" s="14">
        <v>500000000000</v>
      </c>
      <c r="R636">
        <v>9.4211338809999994</v>
      </c>
      <c r="S636" t="s">
        <v>1184</v>
      </c>
      <c r="T636" s="57">
        <f>IF(Dealps[[#This Row],[MATURITY_DATE]]-Dealps[[#This Row],[POSTED_DT]]&lt;0,0,IF(Dealps[[#This Row],[VALUE_DATE]]-Dealps[[#This Row],[POSTED_DT]]&gt;0,Dealps[[#This Row],[MATURITY_DATE]]-Dealps[[#This Row],[VALUE_DATE]],Dealps[[#This Row],[MATURITY_DATE]]-Dealps[[#This Row],[POSTED_DT]]))</f>
        <v>2529</v>
      </c>
      <c r="U636" s="25">
        <f>IF(Dealps[[#This Row],[TENOR]]=0,0,IF(Dealps[[#This Row],[DEAL_TYPE]]="B",Dealps[[#This Row],[FACE_AMOUNT]],-Dealps[[#This Row],[FACE_AMOUNT]]))</f>
        <v>500000000000</v>
      </c>
      <c r="V636" s="25">
        <f>_xlfn.XLOOKUP(Dealps[[#This Row],[PAPER_CODE]],FNRP!D:D,FNRP!H:H,0,0)/100*Dealps[[#This Row],[AMOUNT]]</f>
        <v>644875143114.99988</v>
      </c>
      <c r="W636" s="57" t="str">
        <f>IF(Dealps[[#This Row],[TRANSACTION_STATUS]]&lt;&gt;"V","Ngoai BS",IF(Dealps[[#This Row],[POSTED_DT]]&gt;=Dealps[[#This Row],[VALUE_DATE]],"On BS","Off BS"))</f>
        <v>On BS</v>
      </c>
      <c r="X636" s="25">
        <f>SUMIFS(U:U,C:C,Dealps[[#This Row],[PAPER_CODE]])</f>
        <v>1000000000000</v>
      </c>
      <c r="Y636" s="25">
        <f>_xlfn.XLOOKUP(Dealps[[#This Row],[DEAL_ID]],Ref!N:N,Ref!Q:Q,0,0)</f>
        <v>0</v>
      </c>
      <c r="Z636" s="25" t="str">
        <f>IF(Dealps[[#This Row],[CPTY_CODE]]=Dealps[[#This Row],[CPTY_CODE_ISSUER]],"Yes","No")</f>
        <v>Yes</v>
      </c>
      <c r="AA636" s="25"/>
      <c r="AC636" s="14"/>
      <c r="AG636" s="96"/>
      <c r="AH636" s="25"/>
      <c r="AI636" s="25"/>
      <c r="AN636" s="14"/>
      <c r="AV636" s="36"/>
      <c r="AW636" s="14"/>
      <c r="AX636" s="234"/>
      <c r="AY636" s="96"/>
      <c r="AZ636" s="14"/>
      <c r="BA636"/>
      <c r="BB636" s="14"/>
      <c r="BC636" s="14"/>
      <c r="BD636" s="14"/>
      <c r="BE636" s="36"/>
      <c r="BF636" s="20"/>
      <c r="BG636"/>
      <c r="BH636"/>
      <c r="BI636"/>
      <c r="BJ636"/>
      <c r="BK636"/>
      <c r="BL636"/>
      <c r="BM636"/>
      <c r="BN636"/>
      <c r="BS636"/>
      <c r="BT636"/>
      <c r="BU636"/>
      <c r="BV636"/>
    </row>
    <row r="637" spans="1:74" x14ac:dyDescent="0.3">
      <c r="A637" s="93">
        <v>46262</v>
      </c>
      <c r="B637">
        <v>4776</v>
      </c>
      <c r="C637" s="56" t="s">
        <v>1256</v>
      </c>
      <c r="D637" t="s">
        <v>316</v>
      </c>
      <c r="E637" t="s">
        <v>322</v>
      </c>
      <c r="F637" t="s">
        <v>364</v>
      </c>
      <c r="G637" t="s">
        <v>310</v>
      </c>
      <c r="H637" t="s">
        <v>300</v>
      </c>
      <c r="I637" s="93">
        <v>46234</v>
      </c>
      <c r="J637" s="93">
        <v>46223</v>
      </c>
      <c r="K637" s="93">
        <v>46234</v>
      </c>
      <c r="L637" s="93">
        <v>46486</v>
      </c>
      <c r="M637" s="14">
        <v>1</v>
      </c>
      <c r="N637" s="14">
        <v>150000000000</v>
      </c>
      <c r="O637" s="56">
        <v>100.988388042</v>
      </c>
      <c r="P637" s="56">
        <v>0</v>
      </c>
      <c r="Q637" s="14">
        <v>155522719050</v>
      </c>
      <c r="R637">
        <v>7.0103</v>
      </c>
      <c r="S637" t="s">
        <v>1184</v>
      </c>
      <c r="T637" s="57">
        <f>IF(Dealps[[#This Row],[MATURITY_DATE]]-Dealps[[#This Row],[POSTED_DT]]&lt;0,0,IF(Dealps[[#This Row],[VALUE_DATE]]-Dealps[[#This Row],[POSTED_DT]]&gt;0,Dealps[[#This Row],[MATURITY_DATE]]-Dealps[[#This Row],[VALUE_DATE]],Dealps[[#This Row],[MATURITY_DATE]]-Dealps[[#This Row],[POSTED_DT]]))</f>
        <v>224</v>
      </c>
      <c r="U637" s="25">
        <f>IF(Dealps[[#This Row],[TENOR]]=0,0,IF(Dealps[[#This Row],[DEAL_TYPE]]="B",Dealps[[#This Row],[FACE_AMOUNT]],-Dealps[[#This Row],[FACE_AMOUNT]]))</f>
        <v>150000000000</v>
      </c>
      <c r="V637" s="25">
        <f>_xlfn.XLOOKUP(Dealps[[#This Row],[PAPER_CODE]],FNRP!D:D,FNRP!H:H,0,0)/100*Dealps[[#This Row],[AMOUNT]]</f>
        <v>0</v>
      </c>
      <c r="W637" s="57" t="str">
        <f>IF(Dealps[[#This Row],[TRANSACTION_STATUS]]&lt;&gt;"V","Ngoai BS",IF(Dealps[[#This Row],[POSTED_DT]]&gt;=Dealps[[#This Row],[VALUE_DATE]],"On BS","Off BS"))</f>
        <v>On BS</v>
      </c>
      <c r="X637" s="25">
        <f>SUMIFS(U:U,C:C,Dealps[[#This Row],[PAPER_CODE]])</f>
        <v>200000000000</v>
      </c>
      <c r="Y637" s="25">
        <f>_xlfn.XLOOKUP(Dealps[[#This Row],[DEAL_ID]],Ref!N:N,Ref!Q:Q,0,0)</f>
        <v>0</v>
      </c>
      <c r="Z637" s="25" t="str">
        <f>IF(Dealps[[#This Row],[CPTY_CODE]]=Dealps[[#This Row],[CPTY_CODE_ISSUER]],"Yes","No")</f>
        <v>No</v>
      </c>
      <c r="AA637" s="25"/>
      <c r="AC637" s="14"/>
      <c r="AG637" s="96"/>
      <c r="AH637" s="25"/>
      <c r="AI637" s="25"/>
      <c r="AN637" s="14"/>
      <c r="AV637" s="36"/>
      <c r="AW637" s="14"/>
      <c r="AX637" s="234"/>
      <c r="AY637" s="96"/>
      <c r="AZ637" s="14"/>
      <c r="BA637"/>
      <c r="BB637" s="14"/>
      <c r="BC637" s="14"/>
      <c r="BD637" s="14"/>
      <c r="BE637" s="36"/>
      <c r="BF637" s="20"/>
      <c r="BG637"/>
      <c r="BH637"/>
      <c r="BI637"/>
      <c r="BJ637"/>
      <c r="BK637"/>
      <c r="BL637"/>
      <c r="BM637"/>
      <c r="BN637"/>
      <c r="BS637"/>
      <c r="BT637"/>
      <c r="BU637"/>
      <c r="BV637"/>
    </row>
    <row r="638" spans="1:74" x14ac:dyDescent="0.3">
      <c r="A638" s="93">
        <v>46262</v>
      </c>
      <c r="B638">
        <v>4777</v>
      </c>
      <c r="C638" s="56" t="s">
        <v>1204</v>
      </c>
      <c r="D638" t="s">
        <v>315</v>
      </c>
      <c r="E638" t="s">
        <v>322</v>
      </c>
      <c r="F638" t="s">
        <v>364</v>
      </c>
      <c r="G638" t="s">
        <v>310</v>
      </c>
      <c r="H638" t="s">
        <v>300</v>
      </c>
      <c r="I638" s="93">
        <v>46234</v>
      </c>
      <c r="J638" s="93">
        <v>46223</v>
      </c>
      <c r="K638" s="93">
        <v>46234</v>
      </c>
      <c r="L638" s="93">
        <v>46422</v>
      </c>
      <c r="M638" s="14">
        <v>1</v>
      </c>
      <c r="N638" s="14">
        <v>350000000000</v>
      </c>
      <c r="O638" s="56">
        <v>99.986981589999999</v>
      </c>
      <c r="P638" s="56">
        <v>0</v>
      </c>
      <c r="Q638" s="14">
        <v>362242599950</v>
      </c>
      <c r="R638">
        <v>7.0197329999999996</v>
      </c>
      <c r="S638" t="s">
        <v>1184</v>
      </c>
      <c r="T638" s="57">
        <f>IF(Dealps[[#This Row],[MATURITY_DATE]]-Dealps[[#This Row],[POSTED_DT]]&lt;0,0,IF(Dealps[[#This Row],[VALUE_DATE]]-Dealps[[#This Row],[POSTED_DT]]&gt;0,Dealps[[#This Row],[MATURITY_DATE]]-Dealps[[#This Row],[VALUE_DATE]],Dealps[[#This Row],[MATURITY_DATE]]-Dealps[[#This Row],[POSTED_DT]]))</f>
        <v>160</v>
      </c>
      <c r="U638" s="25">
        <f>IF(Dealps[[#This Row],[TENOR]]=0,0,IF(Dealps[[#This Row],[DEAL_TYPE]]="B",Dealps[[#This Row],[FACE_AMOUNT]],-Dealps[[#This Row],[FACE_AMOUNT]]))</f>
        <v>350000000000</v>
      </c>
      <c r="V638" s="25">
        <f>_xlfn.XLOOKUP(Dealps[[#This Row],[PAPER_CODE]],FNRP!D:D,FNRP!H:H,0,0)/100*Dealps[[#This Row],[AMOUNT]]</f>
        <v>0</v>
      </c>
      <c r="W638" s="57" t="str">
        <f>IF(Dealps[[#This Row],[TRANSACTION_STATUS]]&lt;&gt;"V","Ngoai BS",IF(Dealps[[#This Row],[POSTED_DT]]&gt;=Dealps[[#This Row],[VALUE_DATE]],"On BS","Off BS"))</f>
        <v>On BS</v>
      </c>
      <c r="X638" s="25">
        <f>SUMIFS(U:U,C:C,Dealps[[#This Row],[PAPER_CODE]])</f>
        <v>1000000000000</v>
      </c>
      <c r="Y638" s="25">
        <f>_xlfn.XLOOKUP(Dealps[[#This Row],[DEAL_ID]],Ref!N:N,Ref!Q:Q,0,0)</f>
        <v>0</v>
      </c>
      <c r="Z638" s="25" t="str">
        <f>IF(Dealps[[#This Row],[CPTY_CODE]]=Dealps[[#This Row],[CPTY_CODE_ISSUER]],"Yes","No")</f>
        <v>No</v>
      </c>
      <c r="AA638" s="25"/>
      <c r="AC638" s="14"/>
      <c r="AG638" s="96"/>
      <c r="AH638" s="25"/>
      <c r="AI638" s="25"/>
      <c r="AN638" s="14"/>
      <c r="AV638" s="36"/>
      <c r="AW638" s="14"/>
      <c r="AX638" s="234"/>
      <c r="AY638" s="96"/>
      <c r="AZ638" s="14"/>
      <c r="BA638"/>
      <c r="BB638" s="14"/>
      <c r="BC638" s="14"/>
      <c r="BD638" s="14"/>
      <c r="BE638" s="36"/>
      <c r="BF638" s="20"/>
      <c r="BG638"/>
      <c r="BH638"/>
      <c r="BI638"/>
      <c r="BJ638"/>
      <c r="BK638"/>
      <c r="BL638"/>
      <c r="BM638"/>
      <c r="BN638"/>
      <c r="BS638"/>
      <c r="BT638"/>
      <c r="BU638"/>
      <c r="BV638"/>
    </row>
    <row r="639" spans="1:74" x14ac:dyDescent="0.3">
      <c r="A639" s="93">
        <v>46262</v>
      </c>
      <c r="B639">
        <v>4778</v>
      </c>
      <c r="C639" s="56" t="s">
        <v>1258</v>
      </c>
      <c r="D639" t="s">
        <v>321</v>
      </c>
      <c r="E639" t="s">
        <v>322</v>
      </c>
      <c r="F639" t="s">
        <v>364</v>
      </c>
      <c r="G639" t="s">
        <v>310</v>
      </c>
      <c r="H639" t="s">
        <v>300</v>
      </c>
      <c r="I639" s="93">
        <v>46234</v>
      </c>
      <c r="J639" s="93">
        <v>46225</v>
      </c>
      <c r="K639" s="93">
        <v>46234</v>
      </c>
      <c r="L639" s="93">
        <v>46485</v>
      </c>
      <c r="M639" s="14">
        <v>1</v>
      </c>
      <c r="N639" s="14">
        <v>500000000000</v>
      </c>
      <c r="O639" s="56">
        <v>100.153328648</v>
      </c>
      <c r="P639" s="56">
        <v>0</v>
      </c>
      <c r="Q639" s="14">
        <v>513194040500</v>
      </c>
      <c r="R639">
        <v>7.9668029999999996</v>
      </c>
      <c r="S639" t="s">
        <v>1184</v>
      </c>
      <c r="T639" s="57">
        <f>IF(Dealps[[#This Row],[MATURITY_DATE]]-Dealps[[#This Row],[POSTED_DT]]&lt;0,0,IF(Dealps[[#This Row],[VALUE_DATE]]-Dealps[[#This Row],[POSTED_DT]]&gt;0,Dealps[[#This Row],[MATURITY_DATE]]-Dealps[[#This Row],[VALUE_DATE]],Dealps[[#This Row],[MATURITY_DATE]]-Dealps[[#This Row],[POSTED_DT]]))</f>
        <v>223</v>
      </c>
      <c r="U639" s="25">
        <f>IF(Dealps[[#This Row],[TENOR]]=0,0,IF(Dealps[[#This Row],[DEAL_TYPE]]="B",Dealps[[#This Row],[FACE_AMOUNT]],-Dealps[[#This Row],[FACE_AMOUNT]]))</f>
        <v>500000000000</v>
      </c>
      <c r="V639" s="25">
        <f>_xlfn.XLOOKUP(Dealps[[#This Row],[PAPER_CODE]],FNRP!D:D,FNRP!H:H,0,0)/100*Dealps[[#This Row],[AMOUNT]]</f>
        <v>0</v>
      </c>
      <c r="W639" s="57" t="str">
        <f>IF(Dealps[[#This Row],[TRANSACTION_STATUS]]&lt;&gt;"V","Ngoai BS",IF(Dealps[[#This Row],[POSTED_DT]]&gt;=Dealps[[#This Row],[VALUE_DATE]],"On BS","Off BS"))</f>
        <v>On BS</v>
      </c>
      <c r="X639" s="25">
        <f>SUMIFS(U:U,C:C,Dealps[[#This Row],[PAPER_CODE]])</f>
        <v>2000000000000</v>
      </c>
      <c r="Y639" s="25">
        <f>_xlfn.XLOOKUP(Dealps[[#This Row],[DEAL_ID]],Ref!N:N,Ref!Q:Q,0,0)</f>
        <v>0</v>
      </c>
      <c r="Z639" s="25" t="str">
        <f>IF(Dealps[[#This Row],[CPTY_CODE]]=Dealps[[#This Row],[CPTY_CODE_ISSUER]],"Yes","No")</f>
        <v>No</v>
      </c>
      <c r="AA639" s="25"/>
      <c r="AC639" s="14"/>
      <c r="AG639" s="96"/>
      <c r="AH639" s="25"/>
      <c r="AI639" s="25"/>
      <c r="AN639" s="14"/>
      <c r="AV639" s="36"/>
      <c r="AW639" s="14"/>
      <c r="AX639" s="234"/>
      <c r="AY639" s="96"/>
      <c r="AZ639" s="14"/>
      <c r="BA639"/>
      <c r="BB639" s="14"/>
      <c r="BC639" s="14"/>
      <c r="BD639" s="14"/>
      <c r="BE639" s="36"/>
      <c r="BF639" s="20"/>
      <c r="BG639"/>
      <c r="BH639"/>
      <c r="BI639"/>
      <c r="BJ639"/>
      <c r="BK639"/>
      <c r="BL639"/>
      <c r="BM639"/>
      <c r="BN639"/>
      <c r="BS639"/>
      <c r="BT639"/>
      <c r="BU639"/>
      <c r="BV639"/>
    </row>
    <row r="640" spans="1:74" x14ac:dyDescent="0.3">
      <c r="A640" s="93">
        <v>46262</v>
      </c>
      <c r="B640">
        <v>4779</v>
      </c>
      <c r="C640" s="56" t="s">
        <v>1260</v>
      </c>
      <c r="D640" t="s">
        <v>384</v>
      </c>
      <c r="E640" t="s">
        <v>1022</v>
      </c>
      <c r="F640" t="s">
        <v>364</v>
      </c>
      <c r="G640" t="s">
        <v>310</v>
      </c>
      <c r="H640" t="s">
        <v>300</v>
      </c>
      <c r="I640" s="93">
        <v>46234</v>
      </c>
      <c r="J640" s="93">
        <v>46234</v>
      </c>
      <c r="K640" s="93">
        <v>46234</v>
      </c>
      <c r="L640" s="93">
        <v>46524</v>
      </c>
      <c r="M640" s="14">
        <v>1</v>
      </c>
      <c r="N640" s="14">
        <v>70000000000</v>
      </c>
      <c r="O640" s="56">
        <v>100.847209088</v>
      </c>
      <c r="P640" s="56">
        <v>0</v>
      </c>
      <c r="Q640" s="14">
        <v>72506060060</v>
      </c>
      <c r="R640">
        <v>8.1421880000000009</v>
      </c>
      <c r="S640" t="s">
        <v>1184</v>
      </c>
      <c r="T640" s="57">
        <f>IF(Dealps[[#This Row],[MATURITY_DATE]]-Dealps[[#This Row],[POSTED_DT]]&lt;0,0,IF(Dealps[[#This Row],[VALUE_DATE]]-Dealps[[#This Row],[POSTED_DT]]&gt;0,Dealps[[#This Row],[MATURITY_DATE]]-Dealps[[#This Row],[VALUE_DATE]],Dealps[[#This Row],[MATURITY_DATE]]-Dealps[[#This Row],[POSTED_DT]]))</f>
        <v>262</v>
      </c>
      <c r="U640" s="25">
        <f>IF(Dealps[[#This Row],[TENOR]]=0,0,IF(Dealps[[#This Row],[DEAL_TYPE]]="B",Dealps[[#This Row],[FACE_AMOUNT]],-Dealps[[#This Row],[FACE_AMOUNT]]))</f>
        <v>70000000000</v>
      </c>
      <c r="V640" s="25">
        <f>_xlfn.XLOOKUP(Dealps[[#This Row],[PAPER_CODE]],FNRP!D:D,FNRP!H:H,0,0)/100*Dealps[[#This Row],[AMOUNT]]</f>
        <v>0</v>
      </c>
      <c r="W640" s="57" t="str">
        <f>IF(Dealps[[#This Row],[TRANSACTION_STATUS]]&lt;&gt;"V","Ngoai BS",IF(Dealps[[#This Row],[POSTED_DT]]&gt;=Dealps[[#This Row],[VALUE_DATE]],"On BS","Off BS"))</f>
        <v>On BS</v>
      </c>
      <c r="X640" s="25">
        <f>SUMIFS(U:U,C:C,Dealps[[#This Row],[PAPER_CODE]])</f>
        <v>400000000000</v>
      </c>
      <c r="Y640" s="25">
        <f>_xlfn.XLOOKUP(Dealps[[#This Row],[DEAL_ID]],Ref!N:N,Ref!Q:Q,0,0)</f>
        <v>0</v>
      </c>
      <c r="Z640" s="25" t="str">
        <f>IF(Dealps[[#This Row],[CPTY_CODE]]=Dealps[[#This Row],[CPTY_CODE_ISSUER]],"Yes","No")</f>
        <v>No</v>
      </c>
      <c r="AA640" s="25"/>
      <c r="AC640" s="14"/>
      <c r="AG640" s="96"/>
      <c r="AH640" s="25"/>
      <c r="AI640" s="25"/>
      <c r="AN640" s="14"/>
      <c r="AV640" s="36"/>
      <c r="AW640" s="14"/>
      <c r="AX640" s="234"/>
      <c r="AY640" s="96"/>
      <c r="AZ640" s="14"/>
      <c r="BA640"/>
      <c r="BB640" s="14"/>
      <c r="BC640" s="14"/>
      <c r="BD640" s="14"/>
      <c r="BE640" s="36"/>
      <c r="BF640" s="20"/>
      <c r="BG640"/>
      <c r="BH640"/>
      <c r="BI640"/>
      <c r="BJ640"/>
      <c r="BK640"/>
      <c r="BL640"/>
      <c r="BM640"/>
      <c r="BN640"/>
      <c r="BS640"/>
      <c r="BT640"/>
      <c r="BU640"/>
      <c r="BV640"/>
    </row>
    <row r="641" spans="1:74" x14ac:dyDescent="0.3">
      <c r="A641" s="93">
        <v>46262</v>
      </c>
      <c r="B641">
        <v>4780</v>
      </c>
      <c r="C641" s="56" t="s">
        <v>963</v>
      </c>
      <c r="D641" t="s">
        <v>308</v>
      </c>
      <c r="E641" t="s">
        <v>954</v>
      </c>
      <c r="F641" t="s">
        <v>364</v>
      </c>
      <c r="G641" t="s">
        <v>310</v>
      </c>
      <c r="H641" t="s">
        <v>311</v>
      </c>
      <c r="I641" s="93">
        <v>46234</v>
      </c>
      <c r="J641" s="93">
        <v>46234</v>
      </c>
      <c r="K641" s="93">
        <v>46234</v>
      </c>
      <c r="L641" s="93">
        <v>46295</v>
      </c>
      <c r="M641" s="14">
        <v>1</v>
      </c>
      <c r="N641" s="14">
        <v>100000000000</v>
      </c>
      <c r="O641" s="56">
        <v>100.49023578400001</v>
      </c>
      <c r="P641" s="56">
        <v>0</v>
      </c>
      <c r="Q641" s="14">
        <v>105554071400</v>
      </c>
      <c r="R641">
        <v>3</v>
      </c>
      <c r="S641" t="s">
        <v>1184</v>
      </c>
      <c r="T641" s="57">
        <f>IF(Dealps[[#This Row],[MATURITY_DATE]]-Dealps[[#This Row],[POSTED_DT]]&lt;0,0,IF(Dealps[[#This Row],[VALUE_DATE]]-Dealps[[#This Row],[POSTED_DT]]&gt;0,Dealps[[#This Row],[MATURITY_DATE]]-Dealps[[#This Row],[VALUE_DATE]],Dealps[[#This Row],[MATURITY_DATE]]-Dealps[[#This Row],[POSTED_DT]]))</f>
        <v>33</v>
      </c>
      <c r="U641" s="25">
        <f>IF(Dealps[[#This Row],[TENOR]]=0,0,IF(Dealps[[#This Row],[DEAL_TYPE]]="B",Dealps[[#This Row],[FACE_AMOUNT]],-Dealps[[#This Row],[FACE_AMOUNT]]))</f>
        <v>-100000000000</v>
      </c>
      <c r="V641" s="25">
        <f>_xlfn.XLOOKUP(Dealps[[#This Row],[PAPER_CODE]],FNRP!D:D,FNRP!H:H,0,0)/100*Dealps[[#This Row],[AMOUNT]]</f>
        <v>0</v>
      </c>
      <c r="W641" s="57" t="str">
        <f>IF(Dealps[[#This Row],[TRANSACTION_STATUS]]&lt;&gt;"V","Ngoai BS",IF(Dealps[[#This Row],[POSTED_DT]]&gt;=Dealps[[#This Row],[VALUE_DATE]],"On BS","Off BS"))</f>
        <v>On BS</v>
      </c>
      <c r="X641" s="25">
        <f>SUMIFS(U:U,C:C,Dealps[[#This Row],[PAPER_CODE]])</f>
        <v>400000000000</v>
      </c>
      <c r="Y641" s="25">
        <f>_xlfn.XLOOKUP(Dealps[[#This Row],[DEAL_ID]],Ref!N:N,Ref!Q:Q,0,0)</f>
        <v>0</v>
      </c>
      <c r="Z641" s="25" t="str">
        <f>IF(Dealps[[#This Row],[CPTY_CODE]]=Dealps[[#This Row],[CPTY_CODE_ISSUER]],"Yes","No")</f>
        <v>No</v>
      </c>
      <c r="AA641" s="25"/>
      <c r="AC641" s="14"/>
      <c r="AG641" s="96"/>
      <c r="AH641" s="25"/>
      <c r="AI641" s="25"/>
      <c r="AN641" s="14"/>
      <c r="AV641" s="36"/>
      <c r="AW641" s="14"/>
      <c r="AX641" s="234"/>
      <c r="AY641" s="96"/>
      <c r="AZ641" s="14"/>
      <c r="BA641"/>
      <c r="BB641" s="14"/>
      <c r="BC641" s="14"/>
      <c r="BD641" s="14"/>
      <c r="BE641" s="36"/>
      <c r="BF641" s="20"/>
      <c r="BG641"/>
      <c r="BH641"/>
      <c r="BI641"/>
      <c r="BJ641"/>
      <c r="BK641"/>
      <c r="BL641"/>
      <c r="BM641"/>
      <c r="BN641"/>
      <c r="BS641"/>
      <c r="BT641"/>
      <c r="BU641"/>
      <c r="BV641"/>
    </row>
    <row r="642" spans="1:74" x14ac:dyDescent="0.3">
      <c r="A642" s="93">
        <v>46262</v>
      </c>
      <c r="B642">
        <v>4782</v>
      </c>
      <c r="C642" s="56" t="s">
        <v>1061</v>
      </c>
      <c r="D642" t="s">
        <v>312</v>
      </c>
      <c r="E642" t="s">
        <v>954</v>
      </c>
      <c r="F642" t="s">
        <v>364</v>
      </c>
      <c r="G642" t="s">
        <v>310</v>
      </c>
      <c r="H642" t="s">
        <v>311</v>
      </c>
      <c r="I642" s="93">
        <v>46234</v>
      </c>
      <c r="J642" s="93">
        <v>46234</v>
      </c>
      <c r="K642" s="93">
        <v>46234</v>
      </c>
      <c r="L642" s="93">
        <v>46343</v>
      </c>
      <c r="M642" s="14">
        <v>1</v>
      </c>
      <c r="N642" s="14">
        <v>300000000000</v>
      </c>
      <c r="O642" s="56">
        <v>100.472043537</v>
      </c>
      <c r="P642" s="56">
        <v>0</v>
      </c>
      <c r="Q642" s="14">
        <v>314620240200</v>
      </c>
      <c r="R642">
        <v>4.5</v>
      </c>
      <c r="S642" t="s">
        <v>1184</v>
      </c>
      <c r="T642" s="57">
        <f>IF(Dealps[[#This Row],[MATURITY_DATE]]-Dealps[[#This Row],[POSTED_DT]]&lt;0,0,IF(Dealps[[#This Row],[VALUE_DATE]]-Dealps[[#This Row],[POSTED_DT]]&gt;0,Dealps[[#This Row],[MATURITY_DATE]]-Dealps[[#This Row],[VALUE_DATE]],Dealps[[#This Row],[MATURITY_DATE]]-Dealps[[#This Row],[POSTED_DT]]))</f>
        <v>81</v>
      </c>
      <c r="U642" s="25">
        <f>IF(Dealps[[#This Row],[TENOR]]=0,0,IF(Dealps[[#This Row],[DEAL_TYPE]]="B",Dealps[[#This Row],[FACE_AMOUNT]],-Dealps[[#This Row],[FACE_AMOUNT]]))</f>
        <v>-300000000000</v>
      </c>
      <c r="V642" s="25">
        <f>_xlfn.XLOOKUP(Dealps[[#This Row],[PAPER_CODE]],FNRP!D:D,FNRP!H:H,0,0)/100*Dealps[[#This Row],[AMOUNT]]</f>
        <v>0</v>
      </c>
      <c r="W642" s="57" t="str">
        <f>IF(Dealps[[#This Row],[TRANSACTION_STATUS]]&lt;&gt;"V","Ngoai BS",IF(Dealps[[#This Row],[POSTED_DT]]&gt;=Dealps[[#This Row],[VALUE_DATE]],"On BS","Off BS"))</f>
        <v>On BS</v>
      </c>
      <c r="X642" s="25">
        <f>SUMIFS(U:U,C:C,Dealps[[#This Row],[PAPER_CODE]])</f>
        <v>1500000000000</v>
      </c>
      <c r="Y642" s="25">
        <f>_xlfn.XLOOKUP(Dealps[[#This Row],[DEAL_ID]],Ref!N:N,Ref!Q:Q,0,0)</f>
        <v>0</v>
      </c>
      <c r="Z642" s="25" t="str">
        <f>IF(Dealps[[#This Row],[CPTY_CODE]]=Dealps[[#This Row],[CPTY_CODE_ISSUER]],"Yes","No")</f>
        <v>No</v>
      </c>
      <c r="AA642" s="25"/>
      <c r="AC642" s="14"/>
      <c r="AG642" s="96"/>
      <c r="AH642" s="25"/>
      <c r="AI642" s="25"/>
      <c r="AN642" s="14"/>
      <c r="AV642" s="36"/>
      <c r="AW642" s="14"/>
      <c r="AX642" s="234"/>
      <c r="AY642" s="96"/>
      <c r="AZ642" s="14"/>
      <c r="BA642"/>
      <c r="BB642" s="14"/>
      <c r="BC642" s="14"/>
      <c r="BD642" s="14"/>
      <c r="BE642" s="36"/>
      <c r="BF642" s="20"/>
      <c r="BG642"/>
      <c r="BH642"/>
      <c r="BI642"/>
      <c r="BJ642"/>
      <c r="BK642"/>
      <c r="BL642"/>
      <c r="BM642"/>
      <c r="BN642"/>
      <c r="BS642"/>
      <c r="BT642"/>
      <c r="BU642"/>
      <c r="BV642"/>
    </row>
    <row r="643" spans="1:74" x14ac:dyDescent="0.3">
      <c r="A643" s="93">
        <v>46262</v>
      </c>
      <c r="B643">
        <v>4784</v>
      </c>
      <c r="C643" s="56" t="s">
        <v>1292</v>
      </c>
      <c r="D643" t="s">
        <v>334</v>
      </c>
      <c r="E643" t="s">
        <v>1313</v>
      </c>
      <c r="F643" t="s">
        <v>364</v>
      </c>
      <c r="G643" t="s">
        <v>310</v>
      </c>
      <c r="H643" t="s">
        <v>300</v>
      </c>
      <c r="I643" s="93">
        <v>46237</v>
      </c>
      <c r="J643" s="93">
        <v>46237</v>
      </c>
      <c r="K643" s="93">
        <v>46237</v>
      </c>
      <c r="L643" s="93">
        <v>46527</v>
      </c>
      <c r="M643" s="14">
        <v>1</v>
      </c>
      <c r="N643" s="14">
        <v>150000000000</v>
      </c>
      <c r="O643" s="56">
        <v>99.951804729000003</v>
      </c>
      <c r="P643" s="56">
        <v>0</v>
      </c>
      <c r="Q643" s="14">
        <v>152512638600</v>
      </c>
      <c r="R643">
        <v>8.4196229999999996</v>
      </c>
      <c r="S643" t="s">
        <v>1184</v>
      </c>
      <c r="T643" s="57">
        <f>IF(Dealps[[#This Row],[MATURITY_DATE]]-Dealps[[#This Row],[POSTED_DT]]&lt;0,0,IF(Dealps[[#This Row],[VALUE_DATE]]-Dealps[[#This Row],[POSTED_DT]]&gt;0,Dealps[[#This Row],[MATURITY_DATE]]-Dealps[[#This Row],[VALUE_DATE]],Dealps[[#This Row],[MATURITY_DATE]]-Dealps[[#This Row],[POSTED_DT]]))</f>
        <v>265</v>
      </c>
      <c r="U643" s="25">
        <f>IF(Dealps[[#This Row],[TENOR]]=0,0,IF(Dealps[[#This Row],[DEAL_TYPE]]="B",Dealps[[#This Row],[FACE_AMOUNT]],-Dealps[[#This Row],[FACE_AMOUNT]]))</f>
        <v>150000000000</v>
      </c>
      <c r="V643" s="25">
        <f>_xlfn.XLOOKUP(Dealps[[#This Row],[PAPER_CODE]],FNRP!D:D,FNRP!H:H,0,0)/100*Dealps[[#This Row],[AMOUNT]]</f>
        <v>0</v>
      </c>
      <c r="W643" s="57" t="str">
        <f>IF(Dealps[[#This Row],[TRANSACTION_STATUS]]&lt;&gt;"V","Ngoai BS",IF(Dealps[[#This Row],[POSTED_DT]]&gt;=Dealps[[#This Row],[VALUE_DATE]],"On BS","Off BS"))</f>
        <v>On BS</v>
      </c>
      <c r="X643" s="25">
        <f>SUMIFS(U:U,C:C,Dealps[[#This Row],[PAPER_CODE]])</f>
        <v>2000000000000</v>
      </c>
      <c r="Y643" s="25">
        <f>_xlfn.XLOOKUP(Dealps[[#This Row],[DEAL_ID]],Ref!N:N,Ref!Q:Q,0,0)</f>
        <v>0</v>
      </c>
      <c r="Z643" s="25" t="str">
        <f>IF(Dealps[[#This Row],[CPTY_CODE]]=Dealps[[#This Row],[CPTY_CODE_ISSUER]],"Yes","No")</f>
        <v>No</v>
      </c>
      <c r="AA643" s="25"/>
      <c r="AC643" s="14"/>
      <c r="AG643" s="96"/>
      <c r="AH643" s="25"/>
      <c r="AI643" s="25"/>
      <c r="AN643" s="14"/>
      <c r="AV643" s="36"/>
      <c r="AW643" s="14"/>
      <c r="AX643" s="234"/>
      <c r="AY643" s="96"/>
      <c r="AZ643" s="14"/>
      <c r="BA643"/>
      <c r="BB643" s="14"/>
      <c r="BC643" s="14"/>
      <c r="BD643" s="14"/>
      <c r="BE643" s="36"/>
      <c r="BF643" s="20"/>
      <c r="BG643"/>
      <c r="BH643"/>
      <c r="BI643"/>
      <c r="BJ643"/>
      <c r="BK643"/>
      <c r="BL643"/>
      <c r="BM643"/>
      <c r="BN643"/>
      <c r="BS643"/>
      <c r="BT643"/>
      <c r="BU643"/>
      <c r="BV643"/>
    </row>
    <row r="644" spans="1:74" x14ac:dyDescent="0.3">
      <c r="A644" s="93">
        <v>46262</v>
      </c>
      <c r="B644">
        <v>4785</v>
      </c>
      <c r="C644" s="56" t="s">
        <v>963</v>
      </c>
      <c r="D644" t="s">
        <v>308</v>
      </c>
      <c r="E644" t="s">
        <v>1313</v>
      </c>
      <c r="F644" t="s">
        <v>364</v>
      </c>
      <c r="G644" t="s">
        <v>310</v>
      </c>
      <c r="H644" t="s">
        <v>300</v>
      </c>
      <c r="I644" s="93">
        <v>46237</v>
      </c>
      <c r="J644" s="93">
        <v>46237</v>
      </c>
      <c r="K644" s="93">
        <v>46237</v>
      </c>
      <c r="L644" s="93">
        <v>46295</v>
      </c>
      <c r="M644" s="14">
        <v>1</v>
      </c>
      <c r="N644" s="14">
        <v>150000000000</v>
      </c>
      <c r="O644" s="56">
        <v>100.284304397</v>
      </c>
      <c r="P644" s="56">
        <v>0</v>
      </c>
      <c r="Q644" s="14">
        <v>158097415500</v>
      </c>
      <c r="R644">
        <v>4.0900509999999999</v>
      </c>
      <c r="S644" t="s">
        <v>1184</v>
      </c>
      <c r="T644" s="57">
        <f>IF(Dealps[[#This Row],[MATURITY_DATE]]-Dealps[[#This Row],[POSTED_DT]]&lt;0,0,IF(Dealps[[#This Row],[VALUE_DATE]]-Dealps[[#This Row],[POSTED_DT]]&gt;0,Dealps[[#This Row],[MATURITY_DATE]]-Dealps[[#This Row],[VALUE_DATE]],Dealps[[#This Row],[MATURITY_DATE]]-Dealps[[#This Row],[POSTED_DT]]))</f>
        <v>33</v>
      </c>
      <c r="U644" s="25">
        <f>IF(Dealps[[#This Row],[TENOR]]=0,0,IF(Dealps[[#This Row],[DEAL_TYPE]]="B",Dealps[[#This Row],[FACE_AMOUNT]],-Dealps[[#This Row],[FACE_AMOUNT]]))</f>
        <v>150000000000</v>
      </c>
      <c r="V644" s="25">
        <f>_xlfn.XLOOKUP(Dealps[[#This Row],[PAPER_CODE]],FNRP!D:D,FNRP!H:H,0,0)/100*Dealps[[#This Row],[AMOUNT]]</f>
        <v>0</v>
      </c>
      <c r="W644" s="57" t="str">
        <f>IF(Dealps[[#This Row],[TRANSACTION_STATUS]]&lt;&gt;"V","Ngoai BS",IF(Dealps[[#This Row],[POSTED_DT]]&gt;=Dealps[[#This Row],[VALUE_DATE]],"On BS","Off BS"))</f>
        <v>On BS</v>
      </c>
      <c r="X644" s="25">
        <f>SUMIFS(U:U,C:C,Dealps[[#This Row],[PAPER_CODE]])</f>
        <v>400000000000</v>
      </c>
      <c r="Y644" s="25">
        <f>_xlfn.XLOOKUP(Dealps[[#This Row],[DEAL_ID]],Ref!N:N,Ref!Q:Q,0,0)</f>
        <v>0</v>
      </c>
      <c r="Z644" s="25" t="str">
        <f>IF(Dealps[[#This Row],[CPTY_CODE]]=Dealps[[#This Row],[CPTY_CODE_ISSUER]],"Yes","No")</f>
        <v>No</v>
      </c>
      <c r="AA644" s="25"/>
      <c r="AC644" s="14"/>
      <c r="AG644" s="96"/>
      <c r="AH644" s="25"/>
      <c r="AI644" s="25"/>
      <c r="AN644" s="14"/>
      <c r="AV644" s="36"/>
      <c r="AW644" s="14"/>
      <c r="AX644" s="234"/>
      <c r="AY644" s="96"/>
      <c r="AZ644" s="14"/>
      <c r="BA644"/>
      <c r="BB644" s="14"/>
      <c r="BC644" s="14"/>
      <c r="BD644" s="14"/>
      <c r="BE644" s="36"/>
      <c r="BF644" s="20"/>
      <c r="BG644"/>
      <c r="BH644"/>
      <c r="BI644"/>
      <c r="BJ644"/>
      <c r="BK644"/>
      <c r="BL644"/>
      <c r="BM644"/>
      <c r="BN644"/>
      <c r="BS644"/>
      <c r="BT644"/>
      <c r="BU644"/>
      <c r="BV644"/>
    </row>
    <row r="645" spans="1:74" x14ac:dyDescent="0.3">
      <c r="A645" s="93">
        <v>46262</v>
      </c>
      <c r="B645">
        <v>4786</v>
      </c>
      <c r="C645" s="56" t="s">
        <v>1004</v>
      </c>
      <c r="D645" t="s">
        <v>324</v>
      </c>
      <c r="E645" t="s">
        <v>1313</v>
      </c>
      <c r="F645" t="s">
        <v>364</v>
      </c>
      <c r="G645" t="s">
        <v>310</v>
      </c>
      <c r="H645" t="s">
        <v>300</v>
      </c>
      <c r="I645" s="93">
        <v>46237</v>
      </c>
      <c r="J645" s="93">
        <v>46237</v>
      </c>
      <c r="K645" s="93">
        <v>46237</v>
      </c>
      <c r="L645" s="93">
        <v>46323</v>
      </c>
      <c r="M645" s="14">
        <v>1</v>
      </c>
      <c r="N645" s="14">
        <v>100000000000</v>
      </c>
      <c r="O645" s="56">
        <v>100.26028513599999</v>
      </c>
      <c r="P645" s="56">
        <v>0</v>
      </c>
      <c r="Q645" s="14">
        <v>105058641300</v>
      </c>
      <c r="R645">
        <v>4.945144</v>
      </c>
      <c r="S645" t="s">
        <v>1184</v>
      </c>
      <c r="T645" s="57">
        <f>IF(Dealps[[#This Row],[MATURITY_DATE]]-Dealps[[#This Row],[POSTED_DT]]&lt;0,0,IF(Dealps[[#This Row],[VALUE_DATE]]-Dealps[[#This Row],[POSTED_DT]]&gt;0,Dealps[[#This Row],[MATURITY_DATE]]-Dealps[[#This Row],[VALUE_DATE]],Dealps[[#This Row],[MATURITY_DATE]]-Dealps[[#This Row],[POSTED_DT]]))</f>
        <v>61</v>
      </c>
      <c r="U645" s="25">
        <f>IF(Dealps[[#This Row],[TENOR]]=0,0,IF(Dealps[[#This Row],[DEAL_TYPE]]="B",Dealps[[#This Row],[FACE_AMOUNT]],-Dealps[[#This Row],[FACE_AMOUNT]]))</f>
        <v>100000000000</v>
      </c>
      <c r="V645" s="25">
        <f>_xlfn.XLOOKUP(Dealps[[#This Row],[PAPER_CODE]],FNRP!D:D,FNRP!H:H,0,0)/100*Dealps[[#This Row],[AMOUNT]]</f>
        <v>0</v>
      </c>
      <c r="W645" s="57" t="str">
        <f>IF(Dealps[[#This Row],[TRANSACTION_STATUS]]&lt;&gt;"V","Ngoai BS",IF(Dealps[[#This Row],[POSTED_DT]]&gt;=Dealps[[#This Row],[VALUE_DATE]],"On BS","Off BS"))</f>
        <v>On BS</v>
      </c>
      <c r="X645" s="25">
        <f>SUMIFS(U:U,C:C,Dealps[[#This Row],[PAPER_CODE]])</f>
        <v>500000000000</v>
      </c>
      <c r="Y645" s="25">
        <f>_xlfn.XLOOKUP(Dealps[[#This Row],[DEAL_ID]],Ref!N:N,Ref!Q:Q,0,0)</f>
        <v>0</v>
      </c>
      <c r="Z645" s="25" t="str">
        <f>IF(Dealps[[#This Row],[CPTY_CODE]]=Dealps[[#This Row],[CPTY_CODE_ISSUER]],"Yes","No")</f>
        <v>No</v>
      </c>
      <c r="AA645" s="25"/>
      <c r="AC645" s="14"/>
      <c r="AG645" s="96"/>
      <c r="AH645" s="25"/>
      <c r="AI645" s="25"/>
      <c r="AN645" s="14"/>
      <c r="AV645" s="36"/>
      <c r="AW645" s="14"/>
      <c r="AX645" s="234"/>
      <c r="AY645" s="96"/>
      <c r="AZ645" s="14"/>
      <c r="BA645"/>
      <c r="BB645" s="14"/>
      <c r="BC645" s="14"/>
      <c r="BD645" s="14"/>
      <c r="BE645" s="36"/>
      <c r="BF645" s="20"/>
      <c r="BG645"/>
      <c r="BH645"/>
      <c r="BI645"/>
      <c r="BJ645"/>
      <c r="BK645"/>
      <c r="BL645"/>
      <c r="BM645"/>
      <c r="BN645"/>
      <c r="BS645"/>
      <c r="BT645"/>
      <c r="BU645"/>
      <c r="BV645"/>
    </row>
    <row r="646" spans="1:74" x14ac:dyDescent="0.3">
      <c r="A646" s="93">
        <v>46262</v>
      </c>
      <c r="B646">
        <v>4787</v>
      </c>
      <c r="C646" s="56" t="s">
        <v>963</v>
      </c>
      <c r="D646" t="s">
        <v>308</v>
      </c>
      <c r="E646" t="s">
        <v>347</v>
      </c>
      <c r="F646" t="s">
        <v>364</v>
      </c>
      <c r="G646" t="s">
        <v>310</v>
      </c>
      <c r="H646" t="s">
        <v>300</v>
      </c>
      <c r="I646" s="93">
        <v>46237</v>
      </c>
      <c r="J646" s="93">
        <v>46237</v>
      </c>
      <c r="K646" s="93">
        <v>46237</v>
      </c>
      <c r="L646" s="93">
        <v>46295</v>
      </c>
      <c r="M646" s="14">
        <v>1</v>
      </c>
      <c r="N646" s="14">
        <v>100000000000</v>
      </c>
      <c r="O646" s="56">
        <v>100.530759097</v>
      </c>
      <c r="P646" s="56">
        <v>0</v>
      </c>
      <c r="Q646" s="14">
        <v>105644731700</v>
      </c>
      <c r="R646">
        <v>2.6124139999999998</v>
      </c>
      <c r="S646" t="s">
        <v>1184</v>
      </c>
      <c r="T646" s="57">
        <f>IF(Dealps[[#This Row],[MATURITY_DATE]]-Dealps[[#This Row],[POSTED_DT]]&lt;0,0,IF(Dealps[[#This Row],[VALUE_DATE]]-Dealps[[#This Row],[POSTED_DT]]&gt;0,Dealps[[#This Row],[MATURITY_DATE]]-Dealps[[#This Row],[VALUE_DATE]],Dealps[[#This Row],[MATURITY_DATE]]-Dealps[[#This Row],[POSTED_DT]]))</f>
        <v>33</v>
      </c>
      <c r="U646" s="25">
        <f>IF(Dealps[[#This Row],[TENOR]]=0,0,IF(Dealps[[#This Row],[DEAL_TYPE]]="B",Dealps[[#This Row],[FACE_AMOUNT]],-Dealps[[#This Row],[FACE_AMOUNT]]))</f>
        <v>100000000000</v>
      </c>
      <c r="V646" s="25">
        <f>_xlfn.XLOOKUP(Dealps[[#This Row],[PAPER_CODE]],FNRP!D:D,FNRP!H:H,0,0)/100*Dealps[[#This Row],[AMOUNT]]</f>
        <v>0</v>
      </c>
      <c r="W646" s="57" t="str">
        <f>IF(Dealps[[#This Row],[TRANSACTION_STATUS]]&lt;&gt;"V","Ngoai BS",IF(Dealps[[#This Row],[POSTED_DT]]&gt;=Dealps[[#This Row],[VALUE_DATE]],"On BS","Off BS"))</f>
        <v>On BS</v>
      </c>
      <c r="X646" s="25">
        <f>SUMIFS(U:U,C:C,Dealps[[#This Row],[PAPER_CODE]])</f>
        <v>400000000000</v>
      </c>
      <c r="Y646" s="25">
        <f>_xlfn.XLOOKUP(Dealps[[#This Row],[DEAL_ID]],Ref!N:N,Ref!Q:Q,0,0)</f>
        <v>0</v>
      </c>
      <c r="Z646" s="25" t="str">
        <f>IF(Dealps[[#This Row],[CPTY_CODE]]=Dealps[[#This Row],[CPTY_CODE_ISSUER]],"Yes","No")</f>
        <v>No</v>
      </c>
      <c r="AA646" s="25"/>
      <c r="AC646" s="14"/>
      <c r="AG646" s="96"/>
      <c r="AH646" s="25"/>
      <c r="AI646" s="25"/>
      <c r="AN646" s="14"/>
      <c r="AV646" s="36"/>
      <c r="AW646" s="14"/>
      <c r="AX646" s="234"/>
      <c r="AY646" s="96"/>
      <c r="AZ646" s="14"/>
      <c r="BA646"/>
      <c r="BB646" s="14"/>
      <c r="BC646" s="14"/>
      <c r="BD646" s="14"/>
      <c r="BE646" s="36"/>
      <c r="BF646" s="20"/>
      <c r="BG646"/>
      <c r="BH646"/>
      <c r="BI646"/>
      <c r="BJ646"/>
      <c r="BK646"/>
      <c r="BL646"/>
      <c r="BM646"/>
      <c r="BN646"/>
      <c r="BS646"/>
      <c r="BT646"/>
      <c r="BU646"/>
      <c r="BV646"/>
    </row>
    <row r="647" spans="1:74" x14ac:dyDescent="0.3">
      <c r="A647" s="93">
        <v>46262</v>
      </c>
      <c r="B647">
        <v>4789</v>
      </c>
      <c r="C647" s="56" t="s">
        <v>1004</v>
      </c>
      <c r="D647" t="s">
        <v>324</v>
      </c>
      <c r="E647" t="s">
        <v>347</v>
      </c>
      <c r="F647" t="s">
        <v>364</v>
      </c>
      <c r="G647" t="s">
        <v>310</v>
      </c>
      <c r="H647" t="s">
        <v>300</v>
      </c>
      <c r="I647" s="93">
        <v>46237</v>
      </c>
      <c r="J647" s="93">
        <v>46237</v>
      </c>
      <c r="K647" s="93">
        <v>46237</v>
      </c>
      <c r="L647" s="93">
        <v>46323</v>
      </c>
      <c r="M647" s="14">
        <v>1</v>
      </c>
      <c r="N647" s="14">
        <v>400000000000</v>
      </c>
      <c r="O647" s="56">
        <v>100.723987661</v>
      </c>
      <c r="P647" s="56">
        <v>0</v>
      </c>
      <c r="Q647" s="14">
        <v>422089375300</v>
      </c>
      <c r="R647">
        <v>3.0583680000000002</v>
      </c>
      <c r="S647" t="s">
        <v>1184</v>
      </c>
      <c r="T647" s="57">
        <f>IF(Dealps[[#This Row],[MATURITY_DATE]]-Dealps[[#This Row],[POSTED_DT]]&lt;0,0,IF(Dealps[[#This Row],[VALUE_DATE]]-Dealps[[#This Row],[POSTED_DT]]&gt;0,Dealps[[#This Row],[MATURITY_DATE]]-Dealps[[#This Row],[VALUE_DATE]],Dealps[[#This Row],[MATURITY_DATE]]-Dealps[[#This Row],[POSTED_DT]]))</f>
        <v>61</v>
      </c>
      <c r="U647" s="25">
        <f>IF(Dealps[[#This Row],[TENOR]]=0,0,IF(Dealps[[#This Row],[DEAL_TYPE]]="B",Dealps[[#This Row],[FACE_AMOUNT]],-Dealps[[#This Row],[FACE_AMOUNT]]))</f>
        <v>400000000000</v>
      </c>
      <c r="V647" s="25">
        <f>_xlfn.XLOOKUP(Dealps[[#This Row],[PAPER_CODE]],FNRP!D:D,FNRP!H:H,0,0)/100*Dealps[[#This Row],[AMOUNT]]</f>
        <v>0</v>
      </c>
      <c r="W647" s="57" t="str">
        <f>IF(Dealps[[#This Row],[TRANSACTION_STATUS]]&lt;&gt;"V","Ngoai BS",IF(Dealps[[#This Row],[POSTED_DT]]&gt;=Dealps[[#This Row],[VALUE_DATE]],"On BS","Off BS"))</f>
        <v>On BS</v>
      </c>
      <c r="X647" s="25">
        <f>SUMIFS(U:U,C:C,Dealps[[#This Row],[PAPER_CODE]])</f>
        <v>500000000000</v>
      </c>
      <c r="Y647" s="25">
        <f>_xlfn.XLOOKUP(Dealps[[#This Row],[DEAL_ID]],Ref!N:N,Ref!Q:Q,0,0)</f>
        <v>0</v>
      </c>
      <c r="Z647" s="25" t="str">
        <f>IF(Dealps[[#This Row],[CPTY_CODE]]=Dealps[[#This Row],[CPTY_CODE_ISSUER]],"Yes","No")</f>
        <v>No</v>
      </c>
      <c r="AA647" s="25"/>
      <c r="AC647" s="14"/>
      <c r="AG647" s="96"/>
      <c r="AH647" s="25"/>
      <c r="AI647" s="25"/>
      <c r="AN647" s="14"/>
      <c r="AV647" s="36"/>
      <c r="AW647" s="14"/>
      <c r="AX647" s="234"/>
      <c r="AY647" s="96"/>
      <c r="AZ647" s="14"/>
      <c r="BA647"/>
      <c r="BB647" s="14"/>
      <c r="BC647" s="14"/>
      <c r="BD647" s="14"/>
      <c r="BE647" s="36"/>
      <c r="BF647" s="20"/>
      <c r="BG647"/>
      <c r="BH647"/>
      <c r="BI647"/>
      <c r="BJ647"/>
      <c r="BK647"/>
      <c r="BL647"/>
      <c r="BM647"/>
      <c r="BN647"/>
      <c r="BS647"/>
      <c r="BT647"/>
      <c r="BU647"/>
      <c r="BV647"/>
    </row>
    <row r="648" spans="1:74" x14ac:dyDescent="0.3">
      <c r="A648" s="93">
        <v>46262</v>
      </c>
      <c r="B648">
        <v>4790</v>
      </c>
      <c r="C648" s="56" t="s">
        <v>1071</v>
      </c>
      <c r="D648" t="s">
        <v>328</v>
      </c>
      <c r="E648" t="s">
        <v>320</v>
      </c>
      <c r="F648" t="s">
        <v>364</v>
      </c>
      <c r="G648" t="s">
        <v>310</v>
      </c>
      <c r="H648" t="s">
        <v>311</v>
      </c>
      <c r="I648" s="93">
        <v>46237</v>
      </c>
      <c r="J648" s="93">
        <v>46237</v>
      </c>
      <c r="K648" s="93">
        <v>46238</v>
      </c>
      <c r="L648" s="93">
        <v>46352</v>
      </c>
      <c r="M648" s="14">
        <v>1</v>
      </c>
      <c r="N648" s="14">
        <v>1300000000000</v>
      </c>
      <c r="O648" s="56">
        <v>100.293600255</v>
      </c>
      <c r="P648" s="56">
        <v>0</v>
      </c>
      <c r="Q648" s="14">
        <v>1362583926600</v>
      </c>
      <c r="R648">
        <v>5.4</v>
      </c>
      <c r="S648" t="s">
        <v>1184</v>
      </c>
      <c r="T648" s="57">
        <f>IF(Dealps[[#This Row],[MATURITY_DATE]]-Dealps[[#This Row],[POSTED_DT]]&lt;0,0,IF(Dealps[[#This Row],[VALUE_DATE]]-Dealps[[#This Row],[POSTED_DT]]&gt;0,Dealps[[#This Row],[MATURITY_DATE]]-Dealps[[#This Row],[VALUE_DATE]],Dealps[[#This Row],[MATURITY_DATE]]-Dealps[[#This Row],[POSTED_DT]]))</f>
        <v>90</v>
      </c>
      <c r="U648" s="25">
        <f>IF(Dealps[[#This Row],[TENOR]]=0,0,IF(Dealps[[#This Row],[DEAL_TYPE]]="B",Dealps[[#This Row],[FACE_AMOUNT]],-Dealps[[#This Row],[FACE_AMOUNT]]))</f>
        <v>-1300000000000</v>
      </c>
      <c r="V648" s="25">
        <f>_xlfn.XLOOKUP(Dealps[[#This Row],[PAPER_CODE]],FNRP!D:D,FNRP!H:H,0,0)/100*Dealps[[#This Row],[AMOUNT]]</f>
        <v>0</v>
      </c>
      <c r="W648" s="57" t="str">
        <f>IF(Dealps[[#This Row],[TRANSACTION_STATUS]]&lt;&gt;"V","Ngoai BS",IF(Dealps[[#This Row],[POSTED_DT]]&gt;=Dealps[[#This Row],[VALUE_DATE]],"On BS","Off BS"))</f>
        <v>On BS</v>
      </c>
      <c r="X648" s="25">
        <f>SUMIFS(U:U,C:C,Dealps[[#This Row],[PAPER_CODE]])</f>
        <v>1500000000000</v>
      </c>
      <c r="Y648" s="25">
        <f>_xlfn.XLOOKUP(Dealps[[#This Row],[DEAL_ID]],Ref!N:N,Ref!Q:Q,0,0)</f>
        <v>0</v>
      </c>
      <c r="Z648" s="25" t="str">
        <f>IF(Dealps[[#This Row],[CPTY_CODE]]=Dealps[[#This Row],[CPTY_CODE_ISSUER]],"Yes","No")</f>
        <v>No</v>
      </c>
      <c r="AA648" s="25"/>
      <c r="AC648" s="14"/>
      <c r="AG648" s="96"/>
      <c r="AH648" s="25"/>
      <c r="AI648" s="25"/>
      <c r="AN648" s="14"/>
      <c r="AV648" s="36"/>
      <c r="AW648" s="14"/>
      <c r="AX648" s="234"/>
      <c r="AY648" s="96"/>
      <c r="AZ648" s="14"/>
      <c r="BA648"/>
      <c r="BB648" s="14"/>
      <c r="BC648" s="14"/>
      <c r="BD648" s="14"/>
      <c r="BE648" s="36"/>
      <c r="BF648" s="20"/>
      <c r="BG648"/>
      <c r="BH648"/>
      <c r="BI648"/>
      <c r="BJ648"/>
      <c r="BK648"/>
      <c r="BL648"/>
      <c r="BM648"/>
      <c r="BN648"/>
      <c r="BS648"/>
      <c r="BT648"/>
      <c r="BU648"/>
      <c r="BV648"/>
    </row>
    <row r="649" spans="1:74" x14ac:dyDescent="0.3">
      <c r="A649" s="93">
        <v>46262</v>
      </c>
      <c r="B649">
        <v>4792</v>
      </c>
      <c r="C649" s="56" t="s">
        <v>1204</v>
      </c>
      <c r="D649" t="s">
        <v>315</v>
      </c>
      <c r="E649" t="s">
        <v>950</v>
      </c>
      <c r="F649" t="s">
        <v>364</v>
      </c>
      <c r="G649" t="s">
        <v>310</v>
      </c>
      <c r="H649" t="s">
        <v>311</v>
      </c>
      <c r="I649" s="93">
        <v>46237</v>
      </c>
      <c r="J649" s="93">
        <v>46237</v>
      </c>
      <c r="K649" s="93">
        <v>46239</v>
      </c>
      <c r="L649" s="93">
        <v>46422</v>
      </c>
      <c r="M649" s="14">
        <v>1</v>
      </c>
      <c r="N649" s="14">
        <v>40000000000</v>
      </c>
      <c r="O649" s="56">
        <v>100.498115008</v>
      </c>
      <c r="P649" s="56">
        <v>0</v>
      </c>
      <c r="Q649" s="14">
        <v>41643278880</v>
      </c>
      <c r="R649">
        <v>6</v>
      </c>
      <c r="S649" t="s">
        <v>1184</v>
      </c>
      <c r="T649" s="57">
        <f>IF(Dealps[[#This Row],[MATURITY_DATE]]-Dealps[[#This Row],[POSTED_DT]]&lt;0,0,IF(Dealps[[#This Row],[VALUE_DATE]]-Dealps[[#This Row],[POSTED_DT]]&gt;0,Dealps[[#This Row],[MATURITY_DATE]]-Dealps[[#This Row],[VALUE_DATE]],Dealps[[#This Row],[MATURITY_DATE]]-Dealps[[#This Row],[POSTED_DT]]))</f>
        <v>160</v>
      </c>
      <c r="U649" s="25">
        <f>IF(Dealps[[#This Row],[TENOR]]=0,0,IF(Dealps[[#This Row],[DEAL_TYPE]]="B",Dealps[[#This Row],[FACE_AMOUNT]],-Dealps[[#This Row],[FACE_AMOUNT]]))</f>
        <v>-40000000000</v>
      </c>
      <c r="V649" s="25">
        <f>_xlfn.XLOOKUP(Dealps[[#This Row],[PAPER_CODE]],FNRP!D:D,FNRP!H:H,0,0)/100*Dealps[[#This Row],[AMOUNT]]</f>
        <v>0</v>
      </c>
      <c r="W649" s="57" t="str">
        <f>IF(Dealps[[#This Row],[TRANSACTION_STATUS]]&lt;&gt;"V","Ngoai BS",IF(Dealps[[#This Row],[POSTED_DT]]&gt;=Dealps[[#This Row],[VALUE_DATE]],"On BS","Off BS"))</f>
        <v>On BS</v>
      </c>
      <c r="X649" s="25">
        <f>SUMIFS(U:U,C:C,Dealps[[#This Row],[PAPER_CODE]])</f>
        <v>1000000000000</v>
      </c>
      <c r="Y649" s="25">
        <f>_xlfn.XLOOKUP(Dealps[[#This Row],[DEAL_ID]],Ref!N:N,Ref!Q:Q,0,0)</f>
        <v>0</v>
      </c>
      <c r="Z649" s="25" t="str">
        <f>IF(Dealps[[#This Row],[CPTY_CODE]]=Dealps[[#This Row],[CPTY_CODE_ISSUER]],"Yes","No")</f>
        <v>No</v>
      </c>
      <c r="AA649" s="25"/>
      <c r="AC649" s="14"/>
      <c r="AG649" s="96"/>
      <c r="AH649" s="25"/>
      <c r="AI649" s="25"/>
      <c r="AN649" s="14"/>
      <c r="AV649" s="36"/>
      <c r="AW649" s="14"/>
      <c r="AX649" s="234"/>
      <c r="AY649" s="96"/>
      <c r="AZ649" s="14"/>
      <c r="BA649"/>
      <c r="BB649" s="14"/>
      <c r="BC649" s="14"/>
      <c r="BD649" s="14"/>
      <c r="BE649" s="36"/>
      <c r="BF649" s="20"/>
      <c r="BG649"/>
      <c r="BH649"/>
      <c r="BI649"/>
      <c r="BJ649"/>
      <c r="BK649"/>
      <c r="BL649"/>
      <c r="BM649"/>
      <c r="BN649"/>
      <c r="BS649"/>
      <c r="BT649"/>
      <c r="BU649"/>
      <c r="BV649"/>
    </row>
    <row r="650" spans="1:74" x14ac:dyDescent="0.3">
      <c r="A650" s="93">
        <v>46262</v>
      </c>
      <c r="B650">
        <v>4794</v>
      </c>
      <c r="C650" s="56" t="s">
        <v>1010</v>
      </c>
      <c r="D650" t="s">
        <v>328</v>
      </c>
      <c r="E650" t="s">
        <v>322</v>
      </c>
      <c r="F650" t="s">
        <v>364</v>
      </c>
      <c r="G650" t="s">
        <v>310</v>
      </c>
      <c r="H650" t="s">
        <v>311</v>
      </c>
      <c r="I650" s="93">
        <v>46238</v>
      </c>
      <c r="J650" s="93">
        <v>46238</v>
      </c>
      <c r="K650" s="93">
        <v>46239</v>
      </c>
      <c r="L650" s="93">
        <v>46329</v>
      </c>
      <c r="M650" s="14">
        <v>1</v>
      </c>
      <c r="N650" s="14">
        <v>500000000000</v>
      </c>
      <c r="O650" s="56">
        <v>99.750081632000004</v>
      </c>
      <c r="P650" s="56">
        <v>0</v>
      </c>
      <c r="Q650" s="14">
        <v>522396983500.00006</v>
      </c>
      <c r="R650">
        <v>7</v>
      </c>
      <c r="S650" t="s">
        <v>1184</v>
      </c>
      <c r="T650" s="57">
        <f>IF(Dealps[[#This Row],[MATURITY_DATE]]-Dealps[[#This Row],[POSTED_DT]]&lt;0,0,IF(Dealps[[#This Row],[VALUE_DATE]]-Dealps[[#This Row],[POSTED_DT]]&gt;0,Dealps[[#This Row],[MATURITY_DATE]]-Dealps[[#This Row],[VALUE_DATE]],Dealps[[#This Row],[MATURITY_DATE]]-Dealps[[#This Row],[POSTED_DT]]))</f>
        <v>67</v>
      </c>
      <c r="U650" s="25">
        <f>IF(Dealps[[#This Row],[TENOR]]=0,0,IF(Dealps[[#This Row],[DEAL_TYPE]]="B",Dealps[[#This Row],[FACE_AMOUNT]],-Dealps[[#This Row],[FACE_AMOUNT]]))</f>
        <v>-500000000000</v>
      </c>
      <c r="V650" s="25">
        <f>_xlfn.XLOOKUP(Dealps[[#This Row],[PAPER_CODE]],FNRP!D:D,FNRP!H:H,0,0)/100*Dealps[[#This Row],[AMOUNT]]</f>
        <v>0</v>
      </c>
      <c r="W650" s="57" t="str">
        <f>IF(Dealps[[#This Row],[TRANSACTION_STATUS]]&lt;&gt;"V","Ngoai BS",IF(Dealps[[#This Row],[POSTED_DT]]&gt;=Dealps[[#This Row],[VALUE_DATE]],"On BS","Off BS"))</f>
        <v>On BS</v>
      </c>
      <c r="X650" s="25">
        <f>SUMIFS(U:U,C:C,Dealps[[#This Row],[PAPER_CODE]])</f>
        <v>2000000000000</v>
      </c>
      <c r="Y650" s="25">
        <f>_xlfn.XLOOKUP(Dealps[[#This Row],[DEAL_ID]],Ref!N:N,Ref!Q:Q,0,0)</f>
        <v>0</v>
      </c>
      <c r="Z650" s="25" t="str">
        <f>IF(Dealps[[#This Row],[CPTY_CODE]]=Dealps[[#This Row],[CPTY_CODE_ISSUER]],"Yes","No")</f>
        <v>No</v>
      </c>
      <c r="AA650" s="25"/>
      <c r="AC650" s="14"/>
      <c r="AG650" s="96"/>
      <c r="AH650" s="14"/>
      <c r="AI650"/>
      <c r="AN650" s="14"/>
      <c r="AV650" s="36"/>
      <c r="AW650" s="14"/>
      <c r="AX650" s="234"/>
      <c r="AY650" s="96"/>
      <c r="AZ650" s="14"/>
      <c r="BA650"/>
      <c r="BB650" s="14"/>
      <c r="BC650" s="14"/>
      <c r="BD650" s="14"/>
      <c r="BE650" s="36"/>
      <c r="BF650" s="20"/>
      <c r="BG650"/>
      <c r="BH650"/>
      <c r="BI650"/>
      <c r="BJ650"/>
      <c r="BK650"/>
      <c r="BL650"/>
      <c r="BM650"/>
      <c r="BN650"/>
      <c r="BS650"/>
      <c r="BT650"/>
      <c r="BU650"/>
      <c r="BV650"/>
    </row>
    <row r="651" spans="1:74" x14ac:dyDescent="0.3">
      <c r="A651" s="93">
        <v>46262</v>
      </c>
      <c r="B651">
        <v>4796</v>
      </c>
      <c r="C651" s="56" t="s">
        <v>1207</v>
      </c>
      <c r="D651" t="s">
        <v>384</v>
      </c>
      <c r="E651" t="s">
        <v>1254</v>
      </c>
      <c r="F651" t="s">
        <v>364</v>
      </c>
      <c r="G651" t="s">
        <v>310</v>
      </c>
      <c r="H651" t="s">
        <v>311</v>
      </c>
      <c r="I651" s="93">
        <v>46238</v>
      </c>
      <c r="J651" s="93">
        <v>46238</v>
      </c>
      <c r="K651" s="93">
        <v>46239</v>
      </c>
      <c r="L651" s="93">
        <v>46419</v>
      </c>
      <c r="M651" s="14">
        <v>1</v>
      </c>
      <c r="N651" s="14">
        <v>23000000000</v>
      </c>
      <c r="O651" s="56">
        <v>100.10019365300001</v>
      </c>
      <c r="P651" s="56">
        <v>0</v>
      </c>
      <c r="Q651" s="14">
        <v>23910277417</v>
      </c>
      <c r="R651">
        <v>7.5</v>
      </c>
      <c r="S651" t="s">
        <v>1184</v>
      </c>
      <c r="T651" s="57">
        <f>IF(Dealps[[#This Row],[MATURITY_DATE]]-Dealps[[#This Row],[POSTED_DT]]&lt;0,0,IF(Dealps[[#This Row],[VALUE_DATE]]-Dealps[[#This Row],[POSTED_DT]]&gt;0,Dealps[[#This Row],[MATURITY_DATE]]-Dealps[[#This Row],[VALUE_DATE]],Dealps[[#This Row],[MATURITY_DATE]]-Dealps[[#This Row],[POSTED_DT]]))</f>
        <v>157</v>
      </c>
      <c r="U651" s="25">
        <f>IF(Dealps[[#This Row],[TENOR]]=0,0,IF(Dealps[[#This Row],[DEAL_TYPE]]="B",Dealps[[#This Row],[FACE_AMOUNT]],-Dealps[[#This Row],[FACE_AMOUNT]]))</f>
        <v>-23000000000</v>
      </c>
      <c r="V651" s="25">
        <f>_xlfn.XLOOKUP(Dealps[[#This Row],[PAPER_CODE]],FNRP!D:D,FNRP!H:H,0,0)/100*Dealps[[#This Row],[AMOUNT]]</f>
        <v>0</v>
      </c>
      <c r="W651" s="57" t="str">
        <f>IF(Dealps[[#This Row],[TRANSACTION_STATUS]]&lt;&gt;"V","Ngoai BS",IF(Dealps[[#This Row],[POSTED_DT]]&gt;=Dealps[[#This Row],[VALUE_DATE]],"On BS","Off BS"))</f>
        <v>On BS</v>
      </c>
      <c r="X651" s="25">
        <f>SUMIFS(U:U,C:C,Dealps[[#This Row],[PAPER_CODE]])</f>
        <v>200000000000</v>
      </c>
      <c r="Y651" s="25">
        <f>_xlfn.XLOOKUP(Dealps[[#This Row],[DEAL_ID]],Ref!N:N,Ref!Q:Q,0,0)</f>
        <v>0</v>
      </c>
      <c r="Z651" s="25" t="str">
        <f>IF(Dealps[[#This Row],[CPTY_CODE]]=Dealps[[#This Row],[CPTY_CODE_ISSUER]],"Yes","No")</f>
        <v>No</v>
      </c>
      <c r="AA651" s="25"/>
      <c r="AC651" s="14"/>
      <c r="AG651" s="96"/>
      <c r="AH651" s="14"/>
      <c r="AI651"/>
      <c r="AN651" s="14"/>
      <c r="AV651" s="36"/>
      <c r="AW651" s="14"/>
      <c r="AX651" s="234"/>
      <c r="AY651" s="96"/>
      <c r="AZ651" s="14"/>
      <c r="BA651"/>
      <c r="BB651" s="14"/>
      <c r="BC651" s="14"/>
      <c r="BD651" s="14"/>
      <c r="BE651" s="36"/>
      <c r="BF651" s="20"/>
      <c r="BG651"/>
      <c r="BH651"/>
      <c r="BI651"/>
      <c r="BJ651"/>
      <c r="BK651"/>
      <c r="BL651"/>
      <c r="BM651"/>
      <c r="BN651"/>
      <c r="BS651"/>
      <c r="BT651"/>
      <c r="BU651"/>
      <c r="BV651"/>
    </row>
    <row r="652" spans="1:74" x14ac:dyDescent="0.3">
      <c r="A652" s="93">
        <v>46262</v>
      </c>
      <c r="B652">
        <v>4797</v>
      </c>
      <c r="C652" s="56" t="s">
        <v>1207</v>
      </c>
      <c r="D652" t="s">
        <v>384</v>
      </c>
      <c r="E652" t="s">
        <v>1254</v>
      </c>
      <c r="F652" t="s">
        <v>364</v>
      </c>
      <c r="G652" t="s">
        <v>310</v>
      </c>
      <c r="H652" t="s">
        <v>311</v>
      </c>
      <c r="I652" s="93">
        <v>46238</v>
      </c>
      <c r="J652" s="93">
        <v>46238</v>
      </c>
      <c r="K652" s="93">
        <v>46241</v>
      </c>
      <c r="L652" s="93">
        <v>46419</v>
      </c>
      <c r="M652" s="14">
        <v>1</v>
      </c>
      <c r="N652" s="14">
        <v>48000000000</v>
      </c>
      <c r="O652" s="56">
        <v>100.097572937</v>
      </c>
      <c r="P652" s="56">
        <v>0</v>
      </c>
      <c r="Q652" s="14">
        <v>49919492544</v>
      </c>
      <c r="R652">
        <v>7.5</v>
      </c>
      <c r="S652" t="s">
        <v>1184</v>
      </c>
      <c r="T652" s="57">
        <f>IF(Dealps[[#This Row],[MATURITY_DATE]]-Dealps[[#This Row],[POSTED_DT]]&lt;0,0,IF(Dealps[[#This Row],[VALUE_DATE]]-Dealps[[#This Row],[POSTED_DT]]&gt;0,Dealps[[#This Row],[MATURITY_DATE]]-Dealps[[#This Row],[VALUE_DATE]],Dealps[[#This Row],[MATURITY_DATE]]-Dealps[[#This Row],[POSTED_DT]]))</f>
        <v>157</v>
      </c>
      <c r="U652" s="25">
        <f>IF(Dealps[[#This Row],[TENOR]]=0,0,IF(Dealps[[#This Row],[DEAL_TYPE]]="B",Dealps[[#This Row],[FACE_AMOUNT]],-Dealps[[#This Row],[FACE_AMOUNT]]))</f>
        <v>-48000000000</v>
      </c>
      <c r="V652" s="25">
        <f>_xlfn.XLOOKUP(Dealps[[#This Row],[PAPER_CODE]],FNRP!D:D,FNRP!H:H,0,0)/100*Dealps[[#This Row],[AMOUNT]]</f>
        <v>0</v>
      </c>
      <c r="W652" s="57" t="str">
        <f>IF(Dealps[[#This Row],[TRANSACTION_STATUS]]&lt;&gt;"V","Ngoai BS",IF(Dealps[[#This Row],[POSTED_DT]]&gt;=Dealps[[#This Row],[VALUE_DATE]],"On BS","Off BS"))</f>
        <v>On BS</v>
      </c>
      <c r="X652" s="25">
        <f>SUMIFS(U:U,C:C,Dealps[[#This Row],[PAPER_CODE]])</f>
        <v>200000000000</v>
      </c>
      <c r="Y652" s="25">
        <f>_xlfn.XLOOKUP(Dealps[[#This Row],[DEAL_ID]],Ref!N:N,Ref!Q:Q,0,0)</f>
        <v>0</v>
      </c>
      <c r="Z652" s="25" t="str">
        <f>IF(Dealps[[#This Row],[CPTY_CODE]]=Dealps[[#This Row],[CPTY_CODE_ISSUER]],"Yes","No")</f>
        <v>No</v>
      </c>
      <c r="AA652" s="25"/>
      <c r="AC652" s="14"/>
      <c r="AG652" s="96"/>
      <c r="AH652" s="14"/>
      <c r="AI652" s="20"/>
      <c r="AN652" s="14"/>
      <c r="AV652" s="36"/>
      <c r="AW652" s="14"/>
      <c r="AX652" s="234"/>
      <c r="AY652" s="96"/>
      <c r="AZ652" s="14"/>
      <c r="BA652"/>
      <c r="BB652" s="14"/>
      <c r="BC652" s="14"/>
      <c r="BD652" s="14"/>
      <c r="BE652" s="36"/>
      <c r="BF652" s="20"/>
      <c r="BG652"/>
      <c r="BH652"/>
      <c r="BI652"/>
      <c r="BJ652"/>
      <c r="BK652"/>
      <c r="BL652"/>
      <c r="BM652"/>
      <c r="BN652"/>
      <c r="BS652"/>
      <c r="BT652"/>
      <c r="BU652"/>
      <c r="BV652"/>
    </row>
    <row r="653" spans="1:74" x14ac:dyDescent="0.3">
      <c r="A653" s="93">
        <v>46262</v>
      </c>
      <c r="B653">
        <v>4798</v>
      </c>
      <c r="C653" s="56" t="s">
        <v>1207</v>
      </c>
      <c r="D653" t="s">
        <v>384</v>
      </c>
      <c r="E653" t="s">
        <v>1254</v>
      </c>
      <c r="F653" t="s">
        <v>364</v>
      </c>
      <c r="G653" t="s">
        <v>310</v>
      </c>
      <c r="H653" t="s">
        <v>311</v>
      </c>
      <c r="I653" s="93">
        <v>46238</v>
      </c>
      <c r="J653" s="93">
        <v>46238</v>
      </c>
      <c r="K653" s="93">
        <v>46244</v>
      </c>
      <c r="L653" s="93">
        <v>46419</v>
      </c>
      <c r="M653" s="14">
        <v>1</v>
      </c>
      <c r="N653" s="14">
        <v>48000000000</v>
      </c>
      <c r="O653" s="56">
        <v>100.093703112</v>
      </c>
      <c r="P653" s="56">
        <v>0</v>
      </c>
      <c r="Q653" s="14">
        <v>49949196672</v>
      </c>
      <c r="R653">
        <v>7.5</v>
      </c>
      <c r="S653" t="s">
        <v>1184</v>
      </c>
      <c r="T653" s="57">
        <f>IF(Dealps[[#This Row],[MATURITY_DATE]]-Dealps[[#This Row],[POSTED_DT]]&lt;0,0,IF(Dealps[[#This Row],[VALUE_DATE]]-Dealps[[#This Row],[POSTED_DT]]&gt;0,Dealps[[#This Row],[MATURITY_DATE]]-Dealps[[#This Row],[VALUE_DATE]],Dealps[[#This Row],[MATURITY_DATE]]-Dealps[[#This Row],[POSTED_DT]]))</f>
        <v>157</v>
      </c>
      <c r="U653" s="25">
        <f>IF(Dealps[[#This Row],[TENOR]]=0,0,IF(Dealps[[#This Row],[DEAL_TYPE]]="B",Dealps[[#This Row],[FACE_AMOUNT]],-Dealps[[#This Row],[FACE_AMOUNT]]))</f>
        <v>-48000000000</v>
      </c>
      <c r="V653" s="25">
        <f>_xlfn.XLOOKUP(Dealps[[#This Row],[PAPER_CODE]],FNRP!D:D,FNRP!H:H,0,0)/100*Dealps[[#This Row],[AMOUNT]]</f>
        <v>0</v>
      </c>
      <c r="W653" s="57" t="str">
        <f>IF(Dealps[[#This Row],[TRANSACTION_STATUS]]&lt;&gt;"V","Ngoai BS",IF(Dealps[[#This Row],[POSTED_DT]]&gt;=Dealps[[#This Row],[VALUE_DATE]],"On BS","Off BS"))</f>
        <v>On BS</v>
      </c>
      <c r="X653" s="25">
        <f>SUMIFS(U:U,C:C,Dealps[[#This Row],[PAPER_CODE]])</f>
        <v>200000000000</v>
      </c>
      <c r="Y653" s="25">
        <f>_xlfn.XLOOKUP(Dealps[[#This Row],[DEAL_ID]],Ref!N:N,Ref!Q:Q,0,0)</f>
        <v>0</v>
      </c>
      <c r="Z653" s="25" t="str">
        <f>IF(Dealps[[#This Row],[CPTY_CODE]]=Dealps[[#This Row],[CPTY_CODE_ISSUER]],"Yes","No")</f>
        <v>No</v>
      </c>
      <c r="AA653" s="25"/>
      <c r="AC653" s="14"/>
      <c r="AG653" s="96"/>
      <c r="AH653" s="14"/>
      <c r="AI653"/>
      <c r="AN653" s="14"/>
      <c r="AV653" s="36"/>
      <c r="AW653" s="14"/>
      <c r="AX653" s="234"/>
      <c r="AY653" s="96"/>
      <c r="AZ653" s="14"/>
      <c r="BA653"/>
      <c r="BB653" s="14"/>
      <c r="BC653" s="14"/>
      <c r="BD653" s="14"/>
      <c r="BE653" s="36"/>
      <c r="BF653" s="20"/>
      <c r="BG653"/>
      <c r="BH653"/>
      <c r="BI653"/>
      <c r="BJ653"/>
      <c r="BK653"/>
      <c r="BL653"/>
      <c r="BM653"/>
      <c r="BN653"/>
      <c r="BS653"/>
      <c r="BT653"/>
      <c r="BU653"/>
      <c r="BV653"/>
    </row>
    <row r="654" spans="1:74" x14ac:dyDescent="0.3">
      <c r="A654" s="93">
        <v>46262</v>
      </c>
      <c r="B654">
        <v>4799</v>
      </c>
      <c r="C654" s="56" t="s">
        <v>1207</v>
      </c>
      <c r="D654" t="s">
        <v>384</v>
      </c>
      <c r="E654" t="s">
        <v>1254</v>
      </c>
      <c r="F654" t="s">
        <v>364</v>
      </c>
      <c r="G654" t="s">
        <v>310</v>
      </c>
      <c r="H654" t="s">
        <v>300</v>
      </c>
      <c r="I654" s="93">
        <v>46238</v>
      </c>
      <c r="J654" s="93">
        <v>46331</v>
      </c>
      <c r="K654" s="93">
        <v>46331</v>
      </c>
      <c r="L654" s="93">
        <v>46419</v>
      </c>
      <c r="M654" s="14">
        <v>1</v>
      </c>
      <c r="N654" s="14">
        <v>23000000000</v>
      </c>
      <c r="O654" s="56">
        <v>99.917968396999996</v>
      </c>
      <c r="P654" s="56">
        <v>0</v>
      </c>
      <c r="Q654" s="14">
        <v>24332146430</v>
      </c>
      <c r="R654">
        <v>7.8836300000000001</v>
      </c>
      <c r="S654" t="s">
        <v>651</v>
      </c>
      <c r="T654" s="57">
        <f>IF(Dealps[[#This Row],[MATURITY_DATE]]-Dealps[[#This Row],[POSTED_DT]]&lt;0,0,IF(Dealps[[#This Row],[VALUE_DATE]]-Dealps[[#This Row],[POSTED_DT]]&gt;0,Dealps[[#This Row],[MATURITY_DATE]]-Dealps[[#This Row],[VALUE_DATE]],Dealps[[#This Row],[MATURITY_DATE]]-Dealps[[#This Row],[POSTED_DT]]))</f>
        <v>88</v>
      </c>
      <c r="U654" s="25">
        <f>IF(Dealps[[#This Row],[TENOR]]=0,0,IF(Dealps[[#This Row],[DEAL_TYPE]]="B",Dealps[[#This Row],[FACE_AMOUNT]],-Dealps[[#This Row],[FACE_AMOUNT]]))</f>
        <v>23000000000</v>
      </c>
      <c r="V654" s="25">
        <f>_xlfn.XLOOKUP(Dealps[[#This Row],[PAPER_CODE]],FNRP!D:D,FNRP!H:H,0,0)/100*Dealps[[#This Row],[AMOUNT]]</f>
        <v>0</v>
      </c>
      <c r="W654" s="57" t="str">
        <f>IF(Dealps[[#This Row],[TRANSACTION_STATUS]]&lt;&gt;"V","Ngoai BS",IF(Dealps[[#This Row],[POSTED_DT]]&gt;=Dealps[[#This Row],[VALUE_DATE]],"On BS","Off BS"))</f>
        <v>Ngoai BS</v>
      </c>
      <c r="X654" s="25">
        <f>SUMIFS(U:U,C:C,Dealps[[#This Row],[PAPER_CODE]])</f>
        <v>200000000000</v>
      </c>
      <c r="Y654" s="25">
        <f>_xlfn.XLOOKUP(Dealps[[#This Row],[DEAL_ID]],Ref!N:N,Ref!Q:Q,0,0)</f>
        <v>0</v>
      </c>
      <c r="Z654" s="25" t="str">
        <f>IF(Dealps[[#This Row],[CPTY_CODE]]=Dealps[[#This Row],[CPTY_CODE_ISSUER]],"Yes","No")</f>
        <v>No</v>
      </c>
      <c r="AA654" s="25"/>
      <c r="AC654" s="14"/>
      <c r="AG654" s="96"/>
      <c r="AH654" s="14"/>
      <c r="AI654"/>
      <c r="AN654" s="14"/>
      <c r="AV654" s="36"/>
      <c r="AW654" s="14"/>
      <c r="AX654" s="234"/>
      <c r="AY654" s="96"/>
      <c r="AZ654" s="14"/>
      <c r="BA654"/>
      <c r="BB654" s="14"/>
      <c r="BC654" s="14"/>
      <c r="BD654" s="14"/>
      <c r="BE654" s="36"/>
      <c r="BF654" s="20"/>
      <c r="BG654"/>
      <c r="BH654"/>
      <c r="BI654"/>
      <c r="BJ654"/>
      <c r="BK654"/>
      <c r="BL654"/>
      <c r="BM654"/>
      <c r="BN654"/>
      <c r="BS654"/>
      <c r="BT654"/>
      <c r="BU654"/>
      <c r="BV654"/>
    </row>
    <row r="655" spans="1:74" x14ac:dyDescent="0.3">
      <c r="A655" s="93">
        <v>46262</v>
      </c>
      <c r="B655">
        <v>4800</v>
      </c>
      <c r="C655" s="56" t="s">
        <v>1207</v>
      </c>
      <c r="D655" t="s">
        <v>384</v>
      </c>
      <c r="E655" t="s">
        <v>1254</v>
      </c>
      <c r="F655" t="s">
        <v>364</v>
      </c>
      <c r="G655" t="s">
        <v>310</v>
      </c>
      <c r="H655" t="s">
        <v>300</v>
      </c>
      <c r="I655" s="93">
        <v>46238</v>
      </c>
      <c r="J655" s="93">
        <v>46332</v>
      </c>
      <c r="K655" s="93">
        <v>46332</v>
      </c>
      <c r="L655" s="93">
        <v>46419</v>
      </c>
      <c r="M655" s="14">
        <v>1</v>
      </c>
      <c r="N655" s="14">
        <v>48000000000</v>
      </c>
      <c r="O655" s="56">
        <v>99.918047588999997</v>
      </c>
      <c r="P655" s="56">
        <v>0</v>
      </c>
      <c r="Q655" s="14">
        <v>50790690240</v>
      </c>
      <c r="R655">
        <v>7.8853730000000004</v>
      </c>
      <c r="S655" t="s">
        <v>651</v>
      </c>
      <c r="T655" s="57">
        <f>IF(Dealps[[#This Row],[MATURITY_DATE]]-Dealps[[#This Row],[POSTED_DT]]&lt;0,0,IF(Dealps[[#This Row],[VALUE_DATE]]-Dealps[[#This Row],[POSTED_DT]]&gt;0,Dealps[[#This Row],[MATURITY_DATE]]-Dealps[[#This Row],[VALUE_DATE]],Dealps[[#This Row],[MATURITY_DATE]]-Dealps[[#This Row],[POSTED_DT]]))</f>
        <v>87</v>
      </c>
      <c r="U655" s="25">
        <f>IF(Dealps[[#This Row],[TENOR]]=0,0,IF(Dealps[[#This Row],[DEAL_TYPE]]="B",Dealps[[#This Row],[FACE_AMOUNT]],-Dealps[[#This Row],[FACE_AMOUNT]]))</f>
        <v>48000000000</v>
      </c>
      <c r="V655" s="25">
        <f>_xlfn.XLOOKUP(Dealps[[#This Row],[PAPER_CODE]],FNRP!D:D,FNRP!H:H,0,0)/100*Dealps[[#This Row],[AMOUNT]]</f>
        <v>0</v>
      </c>
      <c r="W655" s="57" t="str">
        <f>IF(Dealps[[#This Row],[TRANSACTION_STATUS]]&lt;&gt;"V","Ngoai BS",IF(Dealps[[#This Row],[POSTED_DT]]&gt;=Dealps[[#This Row],[VALUE_DATE]],"On BS","Off BS"))</f>
        <v>Ngoai BS</v>
      </c>
      <c r="X655" s="25">
        <f>SUMIFS(U:U,C:C,Dealps[[#This Row],[PAPER_CODE]])</f>
        <v>200000000000</v>
      </c>
      <c r="Y655" s="25">
        <f>_xlfn.XLOOKUP(Dealps[[#This Row],[DEAL_ID]],Ref!N:N,Ref!Q:Q,0,0)</f>
        <v>0</v>
      </c>
      <c r="Z655" s="25" t="str">
        <f>IF(Dealps[[#This Row],[CPTY_CODE]]=Dealps[[#This Row],[CPTY_CODE_ISSUER]],"Yes","No")</f>
        <v>No</v>
      </c>
      <c r="AA655" s="25"/>
      <c r="AC655" s="14"/>
      <c r="AG655" s="96"/>
      <c r="AH655" s="14"/>
      <c r="AI655"/>
      <c r="AN655" s="14"/>
      <c r="AV655" s="36"/>
      <c r="AW655" s="14"/>
      <c r="AX655" s="234"/>
      <c r="AY655" s="96"/>
      <c r="AZ655" s="14"/>
      <c r="BA655"/>
      <c r="BB655" s="14"/>
      <c r="BC655" s="14"/>
      <c r="BD655" s="14"/>
      <c r="BE655" s="36"/>
      <c r="BF655" s="20"/>
      <c r="BG655"/>
      <c r="BH655"/>
      <c r="BI655"/>
      <c r="BJ655"/>
      <c r="BK655"/>
      <c r="BL655"/>
      <c r="BM655"/>
      <c r="BN655"/>
      <c r="BS655"/>
      <c r="BT655"/>
      <c r="BU655"/>
      <c r="BV655"/>
    </row>
    <row r="656" spans="1:74" x14ac:dyDescent="0.3">
      <c r="A656" s="93">
        <v>46262</v>
      </c>
      <c r="B656">
        <v>4801</v>
      </c>
      <c r="C656" s="56" t="s">
        <v>1207</v>
      </c>
      <c r="D656" t="s">
        <v>384</v>
      </c>
      <c r="E656" t="s">
        <v>1254</v>
      </c>
      <c r="F656" t="s">
        <v>364</v>
      </c>
      <c r="G656" t="s">
        <v>310</v>
      </c>
      <c r="H656" t="s">
        <v>300</v>
      </c>
      <c r="I656" s="93">
        <v>46238</v>
      </c>
      <c r="J656" s="93">
        <v>46336</v>
      </c>
      <c r="K656" s="93">
        <v>46336</v>
      </c>
      <c r="L656" s="93">
        <v>46419</v>
      </c>
      <c r="M656" s="14">
        <v>1</v>
      </c>
      <c r="N656" s="14">
        <v>48000000000</v>
      </c>
      <c r="O656" s="56">
        <v>99.913296856000002</v>
      </c>
      <c r="P656" s="56">
        <v>0</v>
      </c>
      <c r="Q656" s="14">
        <v>50830492080</v>
      </c>
      <c r="R656">
        <v>7.914574</v>
      </c>
      <c r="S656" t="s">
        <v>651</v>
      </c>
      <c r="T656" s="57">
        <f>IF(Dealps[[#This Row],[MATURITY_DATE]]-Dealps[[#This Row],[POSTED_DT]]&lt;0,0,IF(Dealps[[#This Row],[VALUE_DATE]]-Dealps[[#This Row],[POSTED_DT]]&gt;0,Dealps[[#This Row],[MATURITY_DATE]]-Dealps[[#This Row],[VALUE_DATE]],Dealps[[#This Row],[MATURITY_DATE]]-Dealps[[#This Row],[POSTED_DT]]))</f>
        <v>83</v>
      </c>
      <c r="U656" s="25">
        <f>IF(Dealps[[#This Row],[TENOR]]=0,0,IF(Dealps[[#This Row],[DEAL_TYPE]]="B",Dealps[[#This Row],[FACE_AMOUNT]],-Dealps[[#This Row],[FACE_AMOUNT]]))</f>
        <v>48000000000</v>
      </c>
      <c r="V656" s="25">
        <f>_xlfn.XLOOKUP(Dealps[[#This Row],[PAPER_CODE]],FNRP!D:D,FNRP!H:H,0,0)/100*Dealps[[#This Row],[AMOUNT]]</f>
        <v>0</v>
      </c>
      <c r="W656" s="57" t="str">
        <f>IF(Dealps[[#This Row],[TRANSACTION_STATUS]]&lt;&gt;"V","Ngoai BS",IF(Dealps[[#This Row],[POSTED_DT]]&gt;=Dealps[[#This Row],[VALUE_DATE]],"On BS","Off BS"))</f>
        <v>Ngoai BS</v>
      </c>
      <c r="X656" s="25">
        <f>SUMIFS(U:U,C:C,Dealps[[#This Row],[PAPER_CODE]])</f>
        <v>200000000000</v>
      </c>
      <c r="Y656" s="25">
        <f>_xlfn.XLOOKUP(Dealps[[#This Row],[DEAL_ID]],Ref!N:N,Ref!Q:Q,0,0)</f>
        <v>0</v>
      </c>
      <c r="Z656" s="25" t="str">
        <f>IF(Dealps[[#This Row],[CPTY_CODE]]=Dealps[[#This Row],[CPTY_CODE_ISSUER]],"Yes","No")</f>
        <v>No</v>
      </c>
      <c r="AA656" s="25"/>
      <c r="AC656" s="14"/>
      <c r="AG656" s="96"/>
      <c r="AH656" s="14"/>
      <c r="AI656"/>
      <c r="AN656" s="14"/>
      <c r="AV656" s="36"/>
      <c r="AW656" s="14"/>
      <c r="AX656" s="234"/>
      <c r="AY656" s="96"/>
      <c r="AZ656" s="14"/>
      <c r="BA656"/>
      <c r="BB656" s="14"/>
      <c r="BC656" s="14"/>
      <c r="BD656" s="14"/>
      <c r="BE656" s="36"/>
      <c r="BF656" s="20"/>
      <c r="BG656"/>
      <c r="BH656"/>
      <c r="BI656"/>
      <c r="BJ656"/>
      <c r="BK656"/>
      <c r="BL656"/>
      <c r="BM656"/>
      <c r="BN656"/>
      <c r="BS656"/>
      <c r="BT656"/>
      <c r="BU656"/>
      <c r="BV656"/>
    </row>
    <row r="657" spans="1:74" x14ac:dyDescent="0.3">
      <c r="A657" s="93">
        <v>46262</v>
      </c>
      <c r="B657">
        <v>4802</v>
      </c>
      <c r="C657" s="56" t="s">
        <v>1010</v>
      </c>
      <c r="D657" t="s">
        <v>328</v>
      </c>
      <c r="E657" t="s">
        <v>322</v>
      </c>
      <c r="F657" t="s">
        <v>364</v>
      </c>
      <c r="G657" t="s">
        <v>310</v>
      </c>
      <c r="H657" t="s">
        <v>311</v>
      </c>
      <c r="I657" s="93">
        <v>46238</v>
      </c>
      <c r="J657" s="93">
        <v>46238</v>
      </c>
      <c r="K657" s="93">
        <v>46239</v>
      </c>
      <c r="L657" s="93">
        <v>46329</v>
      </c>
      <c r="M657" s="14">
        <v>1</v>
      </c>
      <c r="N657" s="14">
        <v>500000000000</v>
      </c>
      <c r="O657" s="56">
        <v>99.750081632000004</v>
      </c>
      <c r="P657" s="56">
        <v>0</v>
      </c>
      <c r="Q657" s="14">
        <v>522396983500.00006</v>
      </c>
      <c r="R657">
        <v>7</v>
      </c>
      <c r="S657" t="s">
        <v>1184</v>
      </c>
      <c r="T657" s="57">
        <f>IF(Dealps[[#This Row],[MATURITY_DATE]]-Dealps[[#This Row],[POSTED_DT]]&lt;0,0,IF(Dealps[[#This Row],[VALUE_DATE]]-Dealps[[#This Row],[POSTED_DT]]&gt;0,Dealps[[#This Row],[MATURITY_DATE]]-Dealps[[#This Row],[VALUE_DATE]],Dealps[[#This Row],[MATURITY_DATE]]-Dealps[[#This Row],[POSTED_DT]]))</f>
        <v>67</v>
      </c>
      <c r="U657" s="25">
        <f>IF(Dealps[[#This Row],[TENOR]]=0,0,IF(Dealps[[#This Row],[DEAL_TYPE]]="B",Dealps[[#This Row],[FACE_AMOUNT]],-Dealps[[#This Row],[FACE_AMOUNT]]))</f>
        <v>-500000000000</v>
      </c>
      <c r="V657" s="25">
        <f>_xlfn.XLOOKUP(Dealps[[#This Row],[PAPER_CODE]],FNRP!D:D,FNRP!H:H,0,0)/100*Dealps[[#This Row],[AMOUNT]]</f>
        <v>0</v>
      </c>
      <c r="W657" s="57" t="str">
        <f>IF(Dealps[[#This Row],[TRANSACTION_STATUS]]&lt;&gt;"V","Ngoai BS",IF(Dealps[[#This Row],[POSTED_DT]]&gt;=Dealps[[#This Row],[VALUE_DATE]],"On BS","Off BS"))</f>
        <v>On BS</v>
      </c>
      <c r="X657" s="25">
        <f>SUMIFS(U:U,C:C,Dealps[[#This Row],[PAPER_CODE]])</f>
        <v>2000000000000</v>
      </c>
      <c r="Y657" s="25">
        <f>_xlfn.XLOOKUP(Dealps[[#This Row],[DEAL_ID]],Ref!N:N,Ref!Q:Q,0,0)</f>
        <v>0</v>
      </c>
      <c r="Z657" s="25" t="str">
        <f>IF(Dealps[[#This Row],[CPTY_CODE]]=Dealps[[#This Row],[CPTY_CODE_ISSUER]],"Yes","No")</f>
        <v>No</v>
      </c>
      <c r="AA657" s="25"/>
      <c r="AC657" s="14"/>
      <c r="AG657" s="96"/>
      <c r="AH657" s="14"/>
      <c r="AI657"/>
      <c r="AN657" s="14"/>
      <c r="AV657" s="36"/>
      <c r="AW657" s="14"/>
      <c r="AX657" s="234"/>
      <c r="AY657" s="96"/>
      <c r="AZ657" s="14"/>
      <c r="BA657"/>
      <c r="BB657" s="14"/>
      <c r="BC657" s="14"/>
      <c r="BD657" s="14"/>
      <c r="BE657" s="36"/>
      <c r="BF657" s="20"/>
      <c r="BG657"/>
      <c r="BH657"/>
      <c r="BI657"/>
      <c r="BJ657"/>
      <c r="BK657"/>
      <c r="BL657"/>
      <c r="BM657"/>
      <c r="BN657"/>
      <c r="BS657"/>
      <c r="BT657"/>
      <c r="BU657"/>
      <c r="BV657"/>
    </row>
    <row r="658" spans="1:74" x14ac:dyDescent="0.3">
      <c r="A658" s="93">
        <v>46262</v>
      </c>
      <c r="B658">
        <v>4804</v>
      </c>
      <c r="C658" s="56" t="s">
        <v>1010</v>
      </c>
      <c r="D658" t="s">
        <v>328</v>
      </c>
      <c r="E658" t="s">
        <v>347</v>
      </c>
      <c r="F658" t="s">
        <v>364</v>
      </c>
      <c r="G658" t="s">
        <v>310</v>
      </c>
      <c r="H658" t="s">
        <v>300</v>
      </c>
      <c r="I658" s="93">
        <v>46239</v>
      </c>
      <c r="J658" s="93">
        <v>46239</v>
      </c>
      <c r="K658" s="93">
        <v>46239</v>
      </c>
      <c r="L658" s="93">
        <v>46329</v>
      </c>
      <c r="M658" s="14">
        <v>1</v>
      </c>
      <c r="N658" s="14">
        <v>1000000000000</v>
      </c>
      <c r="O658" s="56">
        <v>100.662123532</v>
      </c>
      <c r="P658" s="56">
        <v>0</v>
      </c>
      <c r="Q658" s="14">
        <v>1053914385999.9999</v>
      </c>
      <c r="R658">
        <v>3.429805</v>
      </c>
      <c r="S658" t="s">
        <v>1184</v>
      </c>
      <c r="T658" s="57">
        <f>IF(Dealps[[#This Row],[MATURITY_DATE]]-Dealps[[#This Row],[POSTED_DT]]&lt;0,0,IF(Dealps[[#This Row],[VALUE_DATE]]-Dealps[[#This Row],[POSTED_DT]]&gt;0,Dealps[[#This Row],[MATURITY_DATE]]-Dealps[[#This Row],[VALUE_DATE]],Dealps[[#This Row],[MATURITY_DATE]]-Dealps[[#This Row],[POSTED_DT]]))</f>
        <v>67</v>
      </c>
      <c r="U658" s="25">
        <f>IF(Dealps[[#This Row],[TENOR]]=0,0,IF(Dealps[[#This Row],[DEAL_TYPE]]="B",Dealps[[#This Row],[FACE_AMOUNT]],-Dealps[[#This Row],[FACE_AMOUNT]]))</f>
        <v>1000000000000</v>
      </c>
      <c r="V658" s="25">
        <f>_xlfn.XLOOKUP(Dealps[[#This Row],[PAPER_CODE]],FNRP!D:D,FNRP!H:H,0,0)/100*Dealps[[#This Row],[AMOUNT]]</f>
        <v>0</v>
      </c>
      <c r="W658" s="57" t="str">
        <f>IF(Dealps[[#This Row],[TRANSACTION_STATUS]]&lt;&gt;"V","Ngoai BS",IF(Dealps[[#This Row],[POSTED_DT]]&gt;=Dealps[[#This Row],[VALUE_DATE]],"On BS","Off BS"))</f>
        <v>On BS</v>
      </c>
      <c r="X658" s="25">
        <f>SUMIFS(U:U,C:C,Dealps[[#This Row],[PAPER_CODE]])</f>
        <v>2000000000000</v>
      </c>
      <c r="Y658" s="25">
        <f>_xlfn.XLOOKUP(Dealps[[#This Row],[DEAL_ID]],Ref!N:N,Ref!Q:Q,0,0)</f>
        <v>0</v>
      </c>
      <c r="Z658" s="25" t="str">
        <f>IF(Dealps[[#This Row],[CPTY_CODE]]=Dealps[[#This Row],[CPTY_CODE_ISSUER]],"Yes","No")</f>
        <v>No</v>
      </c>
      <c r="AA658" s="25"/>
      <c r="AC658" s="14"/>
      <c r="AG658" s="96"/>
      <c r="AH658" s="14"/>
      <c r="AI658"/>
      <c r="AN658" s="14"/>
      <c r="AV658" s="36"/>
      <c r="AW658" s="14"/>
      <c r="AX658" s="234"/>
      <c r="AY658" s="96"/>
      <c r="AZ658" s="14"/>
      <c r="BA658"/>
      <c r="BB658" s="14"/>
      <c r="BC658" s="14"/>
      <c r="BD658" s="14"/>
      <c r="BE658" s="36"/>
      <c r="BF658" s="20"/>
      <c r="BG658"/>
      <c r="BH658"/>
      <c r="BI658"/>
      <c r="BJ658"/>
      <c r="BK658"/>
      <c r="BL658"/>
      <c r="BM658"/>
      <c r="BN658"/>
      <c r="BS658"/>
      <c r="BT658"/>
      <c r="BU658"/>
      <c r="BV658"/>
    </row>
    <row r="659" spans="1:74" x14ac:dyDescent="0.3">
      <c r="A659" s="93">
        <v>46262</v>
      </c>
      <c r="B659">
        <v>4805</v>
      </c>
      <c r="C659" s="56" t="s">
        <v>1260</v>
      </c>
      <c r="D659" t="s">
        <v>384</v>
      </c>
      <c r="E659" t="s">
        <v>1254</v>
      </c>
      <c r="F659" t="s">
        <v>364</v>
      </c>
      <c r="G659" t="s">
        <v>310</v>
      </c>
      <c r="H659" t="s">
        <v>300</v>
      </c>
      <c r="I659" s="93">
        <v>46239</v>
      </c>
      <c r="J659" s="93">
        <v>46239</v>
      </c>
      <c r="K659" s="93">
        <v>46239</v>
      </c>
      <c r="L659" s="93">
        <v>46524</v>
      </c>
      <c r="M659" s="14">
        <v>1</v>
      </c>
      <c r="N659" s="14">
        <v>24000000000</v>
      </c>
      <c r="O659" s="56">
        <v>99.903545700999999</v>
      </c>
      <c r="P659" s="56">
        <v>0</v>
      </c>
      <c r="Q659" s="14">
        <v>24663974256</v>
      </c>
      <c r="R659">
        <v>9.3644560000000006</v>
      </c>
      <c r="S659" t="s">
        <v>1184</v>
      </c>
      <c r="T659" s="57">
        <f>IF(Dealps[[#This Row],[MATURITY_DATE]]-Dealps[[#This Row],[POSTED_DT]]&lt;0,0,IF(Dealps[[#This Row],[VALUE_DATE]]-Dealps[[#This Row],[POSTED_DT]]&gt;0,Dealps[[#This Row],[MATURITY_DATE]]-Dealps[[#This Row],[VALUE_DATE]],Dealps[[#This Row],[MATURITY_DATE]]-Dealps[[#This Row],[POSTED_DT]]))</f>
        <v>262</v>
      </c>
      <c r="U659" s="25">
        <f>IF(Dealps[[#This Row],[TENOR]]=0,0,IF(Dealps[[#This Row],[DEAL_TYPE]]="B",Dealps[[#This Row],[FACE_AMOUNT]],-Dealps[[#This Row],[FACE_AMOUNT]]))</f>
        <v>24000000000</v>
      </c>
      <c r="V659" s="25">
        <f>_xlfn.XLOOKUP(Dealps[[#This Row],[PAPER_CODE]],FNRP!D:D,FNRP!H:H,0,0)/100*Dealps[[#This Row],[AMOUNT]]</f>
        <v>0</v>
      </c>
      <c r="W659" s="57" t="str">
        <f>IF(Dealps[[#This Row],[TRANSACTION_STATUS]]&lt;&gt;"V","Ngoai BS",IF(Dealps[[#This Row],[POSTED_DT]]&gt;=Dealps[[#This Row],[VALUE_DATE]],"On BS","Off BS"))</f>
        <v>On BS</v>
      </c>
      <c r="X659" s="25">
        <f>SUMIFS(U:U,C:C,Dealps[[#This Row],[PAPER_CODE]])</f>
        <v>400000000000</v>
      </c>
      <c r="Y659" s="25">
        <f>_xlfn.XLOOKUP(Dealps[[#This Row],[DEAL_ID]],Ref!N:N,Ref!Q:Q,0,0)</f>
        <v>0</v>
      </c>
      <c r="Z659" s="25" t="str">
        <f>IF(Dealps[[#This Row],[CPTY_CODE]]=Dealps[[#This Row],[CPTY_CODE_ISSUER]],"Yes","No")</f>
        <v>No</v>
      </c>
      <c r="AA659" s="25"/>
      <c r="AC659" s="14"/>
      <c r="AG659" s="96"/>
      <c r="AH659" s="14"/>
      <c r="AI659"/>
      <c r="AN659" s="14"/>
      <c r="AV659" s="36"/>
      <c r="AW659" s="14"/>
      <c r="AX659" s="234"/>
      <c r="AY659" s="96"/>
      <c r="AZ659" s="14"/>
      <c r="BA659"/>
      <c r="BB659" s="14"/>
      <c r="BC659" s="14"/>
      <c r="BD659" s="14"/>
      <c r="BE659" s="36"/>
      <c r="BF659" s="20"/>
      <c r="BG659"/>
      <c r="BH659"/>
      <c r="BI659"/>
      <c r="BJ659"/>
      <c r="BK659"/>
      <c r="BL659"/>
      <c r="BM659"/>
      <c r="BN659"/>
      <c r="BS659"/>
      <c r="BT659"/>
      <c r="BU659"/>
      <c r="BV659"/>
    </row>
    <row r="660" spans="1:74" x14ac:dyDescent="0.3">
      <c r="A660" s="93">
        <v>46262</v>
      </c>
      <c r="B660">
        <v>4806</v>
      </c>
      <c r="C660" s="56" t="s">
        <v>1204</v>
      </c>
      <c r="D660" t="s">
        <v>315</v>
      </c>
      <c r="E660" t="s">
        <v>345</v>
      </c>
      <c r="F660" t="s">
        <v>364</v>
      </c>
      <c r="G660" t="s">
        <v>310</v>
      </c>
      <c r="H660" t="s">
        <v>300</v>
      </c>
      <c r="I660" s="93">
        <v>46239</v>
      </c>
      <c r="J660" s="93">
        <v>46239</v>
      </c>
      <c r="K660" s="93">
        <v>46239</v>
      </c>
      <c r="L660" s="93">
        <v>46422</v>
      </c>
      <c r="M660" s="14">
        <v>1</v>
      </c>
      <c r="N660" s="14">
        <v>600000000000</v>
      </c>
      <c r="O660" s="56">
        <v>100.52425150800001</v>
      </c>
      <c r="P660" s="56">
        <v>0</v>
      </c>
      <c r="Q660" s="14">
        <v>624806002200</v>
      </c>
      <c r="R660">
        <v>5.9484339999999998</v>
      </c>
      <c r="S660" t="s">
        <v>1184</v>
      </c>
      <c r="T660" s="57">
        <f>IF(Dealps[[#This Row],[MATURITY_DATE]]-Dealps[[#This Row],[POSTED_DT]]&lt;0,0,IF(Dealps[[#This Row],[VALUE_DATE]]-Dealps[[#This Row],[POSTED_DT]]&gt;0,Dealps[[#This Row],[MATURITY_DATE]]-Dealps[[#This Row],[VALUE_DATE]],Dealps[[#This Row],[MATURITY_DATE]]-Dealps[[#This Row],[POSTED_DT]]))</f>
        <v>160</v>
      </c>
      <c r="U660" s="25">
        <f>IF(Dealps[[#This Row],[TENOR]]=0,0,IF(Dealps[[#This Row],[DEAL_TYPE]]="B",Dealps[[#This Row],[FACE_AMOUNT]],-Dealps[[#This Row],[FACE_AMOUNT]]))</f>
        <v>600000000000</v>
      </c>
      <c r="V660" s="25">
        <f>_xlfn.XLOOKUP(Dealps[[#This Row],[PAPER_CODE]],FNRP!D:D,FNRP!H:H,0,0)/100*Dealps[[#This Row],[AMOUNT]]</f>
        <v>0</v>
      </c>
      <c r="W660" s="57" t="str">
        <f>IF(Dealps[[#This Row],[TRANSACTION_STATUS]]&lt;&gt;"V","Ngoai BS",IF(Dealps[[#This Row],[POSTED_DT]]&gt;=Dealps[[#This Row],[VALUE_DATE]],"On BS","Off BS"))</f>
        <v>On BS</v>
      </c>
      <c r="X660" s="25">
        <f>SUMIFS(U:U,C:C,Dealps[[#This Row],[PAPER_CODE]])</f>
        <v>1000000000000</v>
      </c>
      <c r="Y660" s="25">
        <f>_xlfn.XLOOKUP(Dealps[[#This Row],[DEAL_ID]],Ref!N:N,Ref!Q:Q,0,0)</f>
        <v>0</v>
      </c>
      <c r="Z660" s="25" t="str">
        <f>IF(Dealps[[#This Row],[CPTY_CODE]]=Dealps[[#This Row],[CPTY_CODE_ISSUER]],"Yes","No")</f>
        <v>No</v>
      </c>
      <c r="AA660" s="25"/>
      <c r="AC660" s="14"/>
      <c r="AG660" s="96"/>
      <c r="AH660" s="14"/>
      <c r="AI660"/>
      <c r="AN660" s="14"/>
      <c r="AV660" s="36"/>
      <c r="AW660" s="14"/>
      <c r="AX660" s="234"/>
      <c r="AY660" s="96"/>
      <c r="AZ660" s="14"/>
      <c r="BA660"/>
      <c r="BB660" s="14"/>
      <c r="BC660" s="14"/>
      <c r="BD660" s="14"/>
      <c r="BE660" s="36"/>
      <c r="BF660" s="20"/>
      <c r="BG660"/>
      <c r="BH660"/>
      <c r="BI660"/>
      <c r="BJ660"/>
      <c r="BK660"/>
      <c r="BL660"/>
      <c r="BM660"/>
      <c r="BN660"/>
      <c r="BS660"/>
      <c r="BT660"/>
      <c r="BU660"/>
      <c r="BV660"/>
    </row>
    <row r="661" spans="1:74" x14ac:dyDescent="0.3">
      <c r="A661" s="93">
        <v>46262</v>
      </c>
      <c r="B661">
        <v>4807</v>
      </c>
      <c r="C661" s="56" t="s">
        <v>1292</v>
      </c>
      <c r="D661" t="s">
        <v>334</v>
      </c>
      <c r="E661" t="s">
        <v>315</v>
      </c>
      <c r="F661" t="s">
        <v>364</v>
      </c>
      <c r="G661" t="s">
        <v>310</v>
      </c>
      <c r="H661" t="s">
        <v>311</v>
      </c>
      <c r="I661" s="93">
        <v>46239</v>
      </c>
      <c r="J661" s="93">
        <v>46239</v>
      </c>
      <c r="K661" s="93">
        <v>46241</v>
      </c>
      <c r="L661" s="93">
        <v>46527</v>
      </c>
      <c r="M661" s="14">
        <v>1</v>
      </c>
      <c r="N661" s="14">
        <v>1000000000000</v>
      </c>
      <c r="O661" s="56">
        <v>100.261523944</v>
      </c>
      <c r="P661" s="56">
        <v>0</v>
      </c>
      <c r="Q661" s="14">
        <v>1020779623000.0001</v>
      </c>
      <c r="R661">
        <v>8</v>
      </c>
      <c r="S661" t="s">
        <v>1184</v>
      </c>
      <c r="T661" s="57">
        <f>IF(Dealps[[#This Row],[MATURITY_DATE]]-Dealps[[#This Row],[POSTED_DT]]&lt;0,0,IF(Dealps[[#This Row],[VALUE_DATE]]-Dealps[[#This Row],[POSTED_DT]]&gt;0,Dealps[[#This Row],[MATURITY_DATE]]-Dealps[[#This Row],[VALUE_DATE]],Dealps[[#This Row],[MATURITY_DATE]]-Dealps[[#This Row],[POSTED_DT]]))</f>
        <v>265</v>
      </c>
      <c r="U661" s="25">
        <f>IF(Dealps[[#This Row],[TENOR]]=0,0,IF(Dealps[[#This Row],[DEAL_TYPE]]="B",Dealps[[#This Row],[FACE_AMOUNT]],-Dealps[[#This Row],[FACE_AMOUNT]]))</f>
        <v>-1000000000000</v>
      </c>
      <c r="V661" s="25">
        <f>_xlfn.XLOOKUP(Dealps[[#This Row],[PAPER_CODE]],FNRP!D:D,FNRP!H:H,0,0)/100*Dealps[[#This Row],[AMOUNT]]</f>
        <v>0</v>
      </c>
      <c r="W661" s="57" t="str">
        <f>IF(Dealps[[#This Row],[TRANSACTION_STATUS]]&lt;&gt;"V","Ngoai BS",IF(Dealps[[#This Row],[POSTED_DT]]&gt;=Dealps[[#This Row],[VALUE_DATE]],"On BS","Off BS"))</f>
        <v>On BS</v>
      </c>
      <c r="X661" s="25">
        <f>SUMIFS(U:U,C:C,Dealps[[#This Row],[PAPER_CODE]])</f>
        <v>2000000000000</v>
      </c>
      <c r="Y661" s="25">
        <f>_xlfn.XLOOKUP(Dealps[[#This Row],[DEAL_ID]],Ref!N:N,Ref!Q:Q,0,0)</f>
        <v>0</v>
      </c>
      <c r="Z661" s="25" t="str">
        <f>IF(Dealps[[#This Row],[CPTY_CODE]]=Dealps[[#This Row],[CPTY_CODE_ISSUER]],"Yes","No")</f>
        <v>No</v>
      </c>
      <c r="AA661" s="25"/>
      <c r="AC661" s="14"/>
      <c r="AG661" s="96"/>
      <c r="AH661" s="14"/>
      <c r="AI661"/>
      <c r="AN661" s="14"/>
      <c r="AV661" s="36"/>
      <c r="AW661" s="14"/>
      <c r="AX661" s="234"/>
      <c r="AY661" s="96"/>
      <c r="AZ661" s="14"/>
      <c r="BA661"/>
      <c r="BB661" s="14"/>
      <c r="BC661" s="14"/>
      <c r="BD661" s="14"/>
      <c r="BE661" s="36"/>
      <c r="BF661" s="20"/>
      <c r="BG661"/>
      <c r="BH661"/>
      <c r="BI661"/>
      <c r="BJ661"/>
      <c r="BK661"/>
      <c r="BL661"/>
      <c r="BM661"/>
      <c r="BN661"/>
      <c r="BS661"/>
      <c r="BT661"/>
      <c r="BU661"/>
      <c r="BV661"/>
    </row>
    <row r="662" spans="1:74" x14ac:dyDescent="0.3">
      <c r="A662" s="93">
        <v>46262</v>
      </c>
      <c r="B662">
        <v>4809</v>
      </c>
      <c r="C662" s="56" t="s">
        <v>1258</v>
      </c>
      <c r="D662" t="s">
        <v>321</v>
      </c>
      <c r="E662" t="s">
        <v>322</v>
      </c>
      <c r="F662" t="s">
        <v>364</v>
      </c>
      <c r="G662" t="s">
        <v>310</v>
      </c>
      <c r="H662" t="s">
        <v>311</v>
      </c>
      <c r="I662" s="93">
        <v>46239</v>
      </c>
      <c r="J662" s="93">
        <v>46239</v>
      </c>
      <c r="K662" s="93">
        <v>46241</v>
      </c>
      <c r="L662" s="93">
        <v>46485</v>
      </c>
      <c r="M662" s="14">
        <v>1</v>
      </c>
      <c r="N662" s="14">
        <v>500000000000</v>
      </c>
      <c r="O662" s="56">
        <v>100.775744558</v>
      </c>
      <c r="P662" s="56">
        <v>0</v>
      </c>
      <c r="Q662" s="14">
        <v>517111599499.99994</v>
      </c>
      <c r="R662">
        <v>7</v>
      </c>
      <c r="S662" t="s">
        <v>1184</v>
      </c>
      <c r="T662" s="57">
        <f>IF(Dealps[[#This Row],[MATURITY_DATE]]-Dealps[[#This Row],[POSTED_DT]]&lt;0,0,IF(Dealps[[#This Row],[VALUE_DATE]]-Dealps[[#This Row],[POSTED_DT]]&gt;0,Dealps[[#This Row],[MATURITY_DATE]]-Dealps[[#This Row],[VALUE_DATE]],Dealps[[#This Row],[MATURITY_DATE]]-Dealps[[#This Row],[POSTED_DT]]))</f>
        <v>223</v>
      </c>
      <c r="U662" s="25">
        <f>IF(Dealps[[#This Row],[TENOR]]=0,0,IF(Dealps[[#This Row],[DEAL_TYPE]]="B",Dealps[[#This Row],[FACE_AMOUNT]],-Dealps[[#This Row],[FACE_AMOUNT]]))</f>
        <v>-500000000000</v>
      </c>
      <c r="V662" s="25">
        <f>_xlfn.XLOOKUP(Dealps[[#This Row],[PAPER_CODE]],FNRP!D:D,FNRP!H:H,0,0)/100*Dealps[[#This Row],[AMOUNT]]</f>
        <v>0</v>
      </c>
      <c r="W662" s="57" t="str">
        <f>IF(Dealps[[#This Row],[TRANSACTION_STATUS]]&lt;&gt;"V","Ngoai BS",IF(Dealps[[#This Row],[POSTED_DT]]&gt;=Dealps[[#This Row],[VALUE_DATE]],"On BS","Off BS"))</f>
        <v>On BS</v>
      </c>
      <c r="X662" s="25">
        <f>SUMIFS(U:U,C:C,Dealps[[#This Row],[PAPER_CODE]])</f>
        <v>2000000000000</v>
      </c>
      <c r="Y662" s="25">
        <f>_xlfn.XLOOKUP(Dealps[[#This Row],[DEAL_ID]],Ref!N:N,Ref!Q:Q,0,0)</f>
        <v>0</v>
      </c>
      <c r="Z662" s="25" t="str">
        <f>IF(Dealps[[#This Row],[CPTY_CODE]]=Dealps[[#This Row],[CPTY_CODE_ISSUER]],"Yes","No")</f>
        <v>No</v>
      </c>
      <c r="AA662" s="25"/>
      <c r="AC662" s="14"/>
      <c r="AG662" s="96"/>
      <c r="AH662" s="14"/>
      <c r="AI662"/>
      <c r="AN662" s="14"/>
      <c r="AV662" s="36"/>
      <c r="AW662" s="14"/>
      <c r="AX662" s="234"/>
      <c r="AY662" s="96"/>
      <c r="AZ662" s="14"/>
      <c r="BA662"/>
      <c r="BB662" s="14"/>
      <c r="BC662" s="14"/>
      <c r="BD662" s="14"/>
      <c r="BE662" s="36"/>
      <c r="BF662" s="20"/>
      <c r="BG662"/>
      <c r="BH662"/>
      <c r="BI662"/>
      <c r="BJ662"/>
      <c r="BK662"/>
      <c r="BL662"/>
      <c r="BM662"/>
      <c r="BN662"/>
      <c r="BS662"/>
      <c r="BT662"/>
      <c r="BU662"/>
      <c r="BV662"/>
    </row>
    <row r="663" spans="1:74" x14ac:dyDescent="0.3">
      <c r="A663" s="93">
        <v>46262</v>
      </c>
      <c r="B663">
        <v>4810</v>
      </c>
      <c r="C663" s="56" t="s">
        <v>1004</v>
      </c>
      <c r="D663" t="s">
        <v>324</v>
      </c>
      <c r="E663" t="s">
        <v>322</v>
      </c>
      <c r="F663" t="s">
        <v>364</v>
      </c>
      <c r="G663" t="s">
        <v>310</v>
      </c>
      <c r="H663" t="s">
        <v>311</v>
      </c>
      <c r="I663" s="93">
        <v>46239</v>
      </c>
      <c r="J663" s="93">
        <v>46239</v>
      </c>
      <c r="K663" s="93">
        <v>46241</v>
      </c>
      <c r="L663" s="93">
        <v>46323</v>
      </c>
      <c r="M663" s="14">
        <v>1</v>
      </c>
      <c r="N663" s="14">
        <v>500000000000</v>
      </c>
      <c r="O663" s="56">
        <v>99.769814801999999</v>
      </c>
      <c r="P663" s="56">
        <v>0</v>
      </c>
      <c r="Q663" s="14">
        <v>523186060309.99994</v>
      </c>
      <c r="R663">
        <v>7</v>
      </c>
      <c r="S663" t="s">
        <v>1184</v>
      </c>
      <c r="T663" s="57">
        <f>IF(Dealps[[#This Row],[MATURITY_DATE]]-Dealps[[#This Row],[POSTED_DT]]&lt;0,0,IF(Dealps[[#This Row],[VALUE_DATE]]-Dealps[[#This Row],[POSTED_DT]]&gt;0,Dealps[[#This Row],[MATURITY_DATE]]-Dealps[[#This Row],[VALUE_DATE]],Dealps[[#This Row],[MATURITY_DATE]]-Dealps[[#This Row],[POSTED_DT]]))</f>
        <v>61</v>
      </c>
      <c r="U663" s="25">
        <f>IF(Dealps[[#This Row],[TENOR]]=0,0,IF(Dealps[[#This Row],[DEAL_TYPE]]="B",Dealps[[#This Row],[FACE_AMOUNT]],-Dealps[[#This Row],[FACE_AMOUNT]]))</f>
        <v>-500000000000</v>
      </c>
      <c r="V663" s="25">
        <f>_xlfn.XLOOKUP(Dealps[[#This Row],[PAPER_CODE]],FNRP!D:D,FNRP!H:H,0,0)/100*Dealps[[#This Row],[AMOUNT]]</f>
        <v>0</v>
      </c>
      <c r="W663" s="57" t="str">
        <f>IF(Dealps[[#This Row],[TRANSACTION_STATUS]]&lt;&gt;"V","Ngoai BS",IF(Dealps[[#This Row],[POSTED_DT]]&gt;=Dealps[[#This Row],[VALUE_DATE]],"On BS","Off BS"))</f>
        <v>On BS</v>
      </c>
      <c r="X663" s="25">
        <f>SUMIFS(U:U,C:C,Dealps[[#This Row],[PAPER_CODE]])</f>
        <v>500000000000</v>
      </c>
      <c r="Y663" s="25">
        <f>_xlfn.XLOOKUP(Dealps[[#This Row],[DEAL_ID]],Ref!N:N,Ref!Q:Q,0,0)</f>
        <v>0</v>
      </c>
      <c r="Z663" s="25" t="str">
        <f>IF(Dealps[[#This Row],[CPTY_CODE]]=Dealps[[#This Row],[CPTY_CODE_ISSUER]],"Yes","No")</f>
        <v>No</v>
      </c>
      <c r="AA663" s="25"/>
      <c r="AC663" s="14"/>
      <c r="AG663" s="96"/>
      <c r="AH663" s="14"/>
      <c r="AI663"/>
      <c r="AN663" s="14"/>
      <c r="AV663" s="36"/>
      <c r="AW663" s="14"/>
      <c r="AX663" s="234"/>
      <c r="AY663" s="96"/>
      <c r="AZ663" s="14"/>
      <c r="BA663"/>
      <c r="BB663" s="14"/>
      <c r="BC663" s="14"/>
      <c r="BD663" s="14"/>
      <c r="BE663" s="36"/>
      <c r="BF663" s="20"/>
      <c r="BG663"/>
      <c r="BH663"/>
      <c r="BI663"/>
      <c r="BJ663"/>
      <c r="BK663"/>
      <c r="BL663"/>
      <c r="BM663"/>
      <c r="BN663"/>
      <c r="BS663"/>
      <c r="BT663"/>
      <c r="BU663"/>
      <c r="BV663"/>
    </row>
    <row r="664" spans="1:74" x14ac:dyDescent="0.3">
      <c r="A664" s="93">
        <v>46262</v>
      </c>
      <c r="B664">
        <v>4811</v>
      </c>
      <c r="C664" s="56" t="s">
        <v>1010</v>
      </c>
      <c r="D664" t="s">
        <v>328</v>
      </c>
      <c r="E664" t="s">
        <v>322</v>
      </c>
      <c r="F664" t="s">
        <v>364</v>
      </c>
      <c r="G664" t="s">
        <v>310</v>
      </c>
      <c r="H664" t="s">
        <v>311</v>
      </c>
      <c r="I664" s="93">
        <v>46239</v>
      </c>
      <c r="J664" s="93">
        <v>46239</v>
      </c>
      <c r="K664" s="93">
        <v>46241</v>
      </c>
      <c r="L664" s="93">
        <v>46329</v>
      </c>
      <c r="M664" s="14">
        <v>1</v>
      </c>
      <c r="N664" s="14">
        <v>500000000000</v>
      </c>
      <c r="O664" s="56">
        <v>99.754970283999995</v>
      </c>
      <c r="P664" s="56">
        <v>0</v>
      </c>
      <c r="Q664" s="14">
        <v>522594029499.99994</v>
      </c>
      <c r="R664">
        <v>7</v>
      </c>
      <c r="S664" t="s">
        <v>1184</v>
      </c>
      <c r="T664" s="57">
        <f>IF(Dealps[[#This Row],[MATURITY_DATE]]-Dealps[[#This Row],[POSTED_DT]]&lt;0,0,IF(Dealps[[#This Row],[VALUE_DATE]]-Dealps[[#This Row],[POSTED_DT]]&gt;0,Dealps[[#This Row],[MATURITY_DATE]]-Dealps[[#This Row],[VALUE_DATE]],Dealps[[#This Row],[MATURITY_DATE]]-Dealps[[#This Row],[POSTED_DT]]))</f>
        <v>67</v>
      </c>
      <c r="U664" s="25">
        <f>IF(Dealps[[#This Row],[TENOR]]=0,0,IF(Dealps[[#This Row],[DEAL_TYPE]]="B",Dealps[[#This Row],[FACE_AMOUNT]],-Dealps[[#This Row],[FACE_AMOUNT]]))</f>
        <v>-500000000000</v>
      </c>
      <c r="V664" s="25">
        <f>_xlfn.XLOOKUP(Dealps[[#This Row],[PAPER_CODE]],FNRP!D:D,FNRP!H:H,0,0)/100*Dealps[[#This Row],[AMOUNT]]</f>
        <v>0</v>
      </c>
      <c r="W664" s="57" t="str">
        <f>IF(Dealps[[#This Row],[TRANSACTION_STATUS]]&lt;&gt;"V","Ngoai BS",IF(Dealps[[#This Row],[POSTED_DT]]&gt;=Dealps[[#This Row],[VALUE_DATE]],"On BS","Off BS"))</f>
        <v>On BS</v>
      </c>
      <c r="X664" s="25">
        <f>SUMIFS(U:U,C:C,Dealps[[#This Row],[PAPER_CODE]])</f>
        <v>2000000000000</v>
      </c>
      <c r="Y664" s="25">
        <f>_xlfn.XLOOKUP(Dealps[[#This Row],[DEAL_ID]],Ref!N:N,Ref!Q:Q,0,0)</f>
        <v>0</v>
      </c>
      <c r="Z664" s="25" t="str">
        <f>IF(Dealps[[#This Row],[CPTY_CODE]]=Dealps[[#This Row],[CPTY_CODE_ISSUER]],"Yes","No")</f>
        <v>No</v>
      </c>
      <c r="AA664" s="25"/>
      <c r="AC664" s="14"/>
      <c r="AG664" s="96"/>
      <c r="AH664" s="14"/>
      <c r="AI664"/>
      <c r="AN664" s="14"/>
      <c r="AV664" s="36"/>
      <c r="AW664" s="14"/>
      <c r="AX664" s="234"/>
      <c r="AY664" s="96"/>
      <c r="AZ664" s="14"/>
      <c r="BA664"/>
      <c r="BB664" s="14"/>
      <c r="BC664" s="14"/>
      <c r="BD664" s="14"/>
      <c r="BE664" s="36"/>
      <c r="BF664" s="20"/>
      <c r="BG664"/>
      <c r="BH664"/>
      <c r="BI664"/>
      <c r="BJ664"/>
      <c r="BK664"/>
      <c r="BL664"/>
      <c r="BM664"/>
      <c r="BN664"/>
      <c r="BS664"/>
      <c r="BT664"/>
      <c r="BU664"/>
      <c r="BV664"/>
    </row>
    <row r="665" spans="1:74" x14ac:dyDescent="0.3">
      <c r="A665" s="93">
        <v>46262</v>
      </c>
      <c r="B665">
        <v>4812</v>
      </c>
      <c r="C665" s="56" t="s">
        <v>1010</v>
      </c>
      <c r="D665" t="s">
        <v>328</v>
      </c>
      <c r="E665" t="s">
        <v>322</v>
      </c>
      <c r="F665" t="s">
        <v>364</v>
      </c>
      <c r="G665" t="s">
        <v>310</v>
      </c>
      <c r="H665" t="s">
        <v>311</v>
      </c>
      <c r="I665" s="93">
        <v>46239</v>
      </c>
      <c r="J665" s="93">
        <v>46239</v>
      </c>
      <c r="K665" s="93">
        <v>46241</v>
      </c>
      <c r="L665" s="93">
        <v>46329</v>
      </c>
      <c r="M665" s="14">
        <v>1</v>
      </c>
      <c r="N665" s="14">
        <v>500000000000</v>
      </c>
      <c r="O665" s="56">
        <v>99.754970283999995</v>
      </c>
      <c r="P665" s="56">
        <v>0</v>
      </c>
      <c r="Q665" s="14">
        <v>522594029499.99994</v>
      </c>
      <c r="R665">
        <v>7</v>
      </c>
      <c r="S665" t="s">
        <v>1184</v>
      </c>
      <c r="T665" s="57">
        <f>IF(Dealps[[#This Row],[MATURITY_DATE]]-Dealps[[#This Row],[POSTED_DT]]&lt;0,0,IF(Dealps[[#This Row],[VALUE_DATE]]-Dealps[[#This Row],[POSTED_DT]]&gt;0,Dealps[[#This Row],[MATURITY_DATE]]-Dealps[[#This Row],[VALUE_DATE]],Dealps[[#This Row],[MATURITY_DATE]]-Dealps[[#This Row],[POSTED_DT]]))</f>
        <v>67</v>
      </c>
      <c r="U665" s="25">
        <f>IF(Dealps[[#This Row],[TENOR]]=0,0,IF(Dealps[[#This Row],[DEAL_TYPE]]="B",Dealps[[#This Row],[FACE_AMOUNT]],-Dealps[[#This Row],[FACE_AMOUNT]]))</f>
        <v>-500000000000</v>
      </c>
      <c r="V665" s="25">
        <f>_xlfn.XLOOKUP(Dealps[[#This Row],[PAPER_CODE]],FNRP!D:D,FNRP!H:H,0,0)/100*Dealps[[#This Row],[AMOUNT]]</f>
        <v>0</v>
      </c>
      <c r="W665" s="57" t="str">
        <f>IF(Dealps[[#This Row],[TRANSACTION_STATUS]]&lt;&gt;"V","Ngoai BS",IF(Dealps[[#This Row],[POSTED_DT]]&gt;=Dealps[[#This Row],[VALUE_DATE]],"On BS","Off BS"))</f>
        <v>On BS</v>
      </c>
      <c r="X665" s="25">
        <f>SUMIFS(U:U,C:C,Dealps[[#This Row],[PAPER_CODE]])</f>
        <v>2000000000000</v>
      </c>
      <c r="Y665" s="25">
        <f>_xlfn.XLOOKUP(Dealps[[#This Row],[DEAL_ID]],Ref!N:N,Ref!Q:Q,0,0)</f>
        <v>0</v>
      </c>
      <c r="Z665" s="25" t="str">
        <f>IF(Dealps[[#This Row],[CPTY_CODE]]=Dealps[[#This Row],[CPTY_CODE_ISSUER]],"Yes","No")</f>
        <v>No</v>
      </c>
      <c r="AA665" s="25"/>
      <c r="AC665" s="14"/>
      <c r="AG665" s="96"/>
      <c r="AH665" s="14"/>
      <c r="AI665"/>
      <c r="AN665" s="14"/>
      <c r="AV665" s="36"/>
      <c r="AW665" s="14"/>
      <c r="AX665" s="234"/>
      <c r="AY665" s="96"/>
      <c r="AZ665" s="14"/>
      <c r="BA665"/>
      <c r="BB665" s="14"/>
      <c r="BC665" s="14"/>
      <c r="BD665" s="14"/>
      <c r="BE665" s="36"/>
      <c r="BF665" s="20"/>
      <c r="BG665"/>
      <c r="BH665"/>
      <c r="BI665"/>
      <c r="BJ665"/>
      <c r="BK665"/>
      <c r="BL665"/>
      <c r="BM665"/>
      <c r="BN665"/>
      <c r="BS665"/>
      <c r="BT665"/>
      <c r="BU665"/>
      <c r="BV665"/>
    </row>
    <row r="666" spans="1:74" x14ac:dyDescent="0.3">
      <c r="A666" s="93">
        <v>46262</v>
      </c>
      <c r="B666">
        <v>4817</v>
      </c>
      <c r="C666" s="56" t="s">
        <v>1204</v>
      </c>
      <c r="D666" t="s">
        <v>315</v>
      </c>
      <c r="E666" t="s">
        <v>320</v>
      </c>
      <c r="F666" t="s">
        <v>364</v>
      </c>
      <c r="G666" t="s">
        <v>310</v>
      </c>
      <c r="H666" t="s">
        <v>311</v>
      </c>
      <c r="I666" s="93">
        <v>46239</v>
      </c>
      <c r="J666" s="93">
        <v>46239</v>
      </c>
      <c r="K666" s="93">
        <v>46240</v>
      </c>
      <c r="L666" s="93">
        <v>46422</v>
      </c>
      <c r="M666" s="14">
        <v>1</v>
      </c>
      <c r="N666" s="14">
        <v>900000000000</v>
      </c>
      <c r="O666" s="56">
        <v>100.494895992</v>
      </c>
      <c r="P666" s="56">
        <v>0</v>
      </c>
      <c r="Q666" s="14">
        <v>937123324200</v>
      </c>
      <c r="R666">
        <v>6</v>
      </c>
      <c r="S666" t="s">
        <v>1184</v>
      </c>
      <c r="T666" s="57">
        <f>IF(Dealps[[#This Row],[MATURITY_DATE]]-Dealps[[#This Row],[POSTED_DT]]&lt;0,0,IF(Dealps[[#This Row],[VALUE_DATE]]-Dealps[[#This Row],[POSTED_DT]]&gt;0,Dealps[[#This Row],[MATURITY_DATE]]-Dealps[[#This Row],[VALUE_DATE]],Dealps[[#This Row],[MATURITY_DATE]]-Dealps[[#This Row],[POSTED_DT]]))</f>
        <v>160</v>
      </c>
      <c r="U666" s="25">
        <f>IF(Dealps[[#This Row],[TENOR]]=0,0,IF(Dealps[[#This Row],[DEAL_TYPE]]="B",Dealps[[#This Row],[FACE_AMOUNT]],-Dealps[[#This Row],[FACE_AMOUNT]]))</f>
        <v>-900000000000</v>
      </c>
      <c r="V666" s="25">
        <f>_xlfn.XLOOKUP(Dealps[[#This Row],[PAPER_CODE]],FNRP!D:D,FNRP!H:H,0,0)/100*Dealps[[#This Row],[AMOUNT]]</f>
        <v>0</v>
      </c>
      <c r="W666" s="57" t="str">
        <f>IF(Dealps[[#This Row],[TRANSACTION_STATUS]]&lt;&gt;"V","Ngoai BS",IF(Dealps[[#This Row],[POSTED_DT]]&gt;=Dealps[[#This Row],[VALUE_DATE]],"On BS","Off BS"))</f>
        <v>On BS</v>
      </c>
      <c r="X666" s="25">
        <f>SUMIFS(U:U,C:C,Dealps[[#This Row],[PAPER_CODE]])</f>
        <v>1000000000000</v>
      </c>
      <c r="Y666" s="25">
        <f>_xlfn.XLOOKUP(Dealps[[#This Row],[DEAL_ID]],Ref!N:N,Ref!Q:Q,0,0)</f>
        <v>0</v>
      </c>
      <c r="Z666" s="25" t="str">
        <f>IF(Dealps[[#This Row],[CPTY_CODE]]=Dealps[[#This Row],[CPTY_CODE_ISSUER]],"Yes","No")</f>
        <v>No</v>
      </c>
      <c r="AA666" s="25"/>
      <c r="AC666" s="14"/>
      <c r="AG666" s="96"/>
      <c r="AH666" s="14"/>
      <c r="AI666"/>
      <c r="AN666" s="14"/>
      <c r="AV666" s="36"/>
      <c r="AW666" s="14"/>
      <c r="AX666" s="234"/>
      <c r="AY666" s="96"/>
      <c r="AZ666" s="14"/>
      <c r="BA666"/>
      <c r="BB666" s="14"/>
      <c r="BC666" s="14"/>
      <c r="BD666" s="14"/>
      <c r="BE666" s="36"/>
      <c r="BF666" s="20"/>
      <c r="BG666"/>
      <c r="BH666"/>
      <c r="BI666"/>
      <c r="BJ666"/>
      <c r="BK666"/>
      <c r="BL666"/>
      <c r="BM666"/>
      <c r="BN666"/>
      <c r="BS666"/>
      <c r="BT666"/>
      <c r="BU666"/>
      <c r="BV666"/>
    </row>
    <row r="667" spans="1:74" x14ac:dyDescent="0.3">
      <c r="A667" s="93">
        <v>46262</v>
      </c>
      <c r="B667">
        <v>4818</v>
      </c>
      <c r="C667" s="56" t="s">
        <v>1071</v>
      </c>
      <c r="D667" t="s">
        <v>328</v>
      </c>
      <c r="E667" t="s">
        <v>320</v>
      </c>
      <c r="F667" t="s">
        <v>364</v>
      </c>
      <c r="G667" t="s">
        <v>310</v>
      </c>
      <c r="H667" t="s">
        <v>311</v>
      </c>
      <c r="I667" s="93">
        <v>46239</v>
      </c>
      <c r="J667" s="93">
        <v>46239</v>
      </c>
      <c r="K667" s="93">
        <v>46240</v>
      </c>
      <c r="L667" s="93">
        <v>46352</v>
      </c>
      <c r="M667" s="14">
        <v>1</v>
      </c>
      <c r="N667" s="14">
        <v>200000000000</v>
      </c>
      <c r="O667" s="56">
        <v>100.09840447099999</v>
      </c>
      <c r="P667" s="56">
        <v>0</v>
      </c>
      <c r="Q667" s="14">
        <v>209310233600</v>
      </c>
      <c r="R667">
        <v>6</v>
      </c>
      <c r="S667" t="s">
        <v>1184</v>
      </c>
      <c r="T667" s="57">
        <f>IF(Dealps[[#This Row],[MATURITY_DATE]]-Dealps[[#This Row],[POSTED_DT]]&lt;0,0,IF(Dealps[[#This Row],[VALUE_DATE]]-Dealps[[#This Row],[POSTED_DT]]&gt;0,Dealps[[#This Row],[MATURITY_DATE]]-Dealps[[#This Row],[VALUE_DATE]],Dealps[[#This Row],[MATURITY_DATE]]-Dealps[[#This Row],[POSTED_DT]]))</f>
        <v>90</v>
      </c>
      <c r="U667" s="25">
        <f>IF(Dealps[[#This Row],[TENOR]]=0,0,IF(Dealps[[#This Row],[DEAL_TYPE]]="B",Dealps[[#This Row],[FACE_AMOUNT]],-Dealps[[#This Row],[FACE_AMOUNT]]))</f>
        <v>-200000000000</v>
      </c>
      <c r="V667" s="25">
        <f>_xlfn.XLOOKUP(Dealps[[#This Row],[PAPER_CODE]],FNRP!D:D,FNRP!H:H,0,0)/100*Dealps[[#This Row],[AMOUNT]]</f>
        <v>0</v>
      </c>
      <c r="W667" s="57" t="str">
        <f>IF(Dealps[[#This Row],[TRANSACTION_STATUS]]&lt;&gt;"V","Ngoai BS",IF(Dealps[[#This Row],[POSTED_DT]]&gt;=Dealps[[#This Row],[VALUE_DATE]],"On BS","Off BS"))</f>
        <v>On BS</v>
      </c>
      <c r="X667" s="25">
        <f>SUMIFS(U:U,C:C,Dealps[[#This Row],[PAPER_CODE]])</f>
        <v>1500000000000</v>
      </c>
      <c r="Y667" s="25">
        <f>_xlfn.XLOOKUP(Dealps[[#This Row],[DEAL_ID]],Ref!N:N,Ref!Q:Q,0,0)</f>
        <v>0</v>
      </c>
      <c r="Z667" s="25" t="str">
        <f>IF(Dealps[[#This Row],[CPTY_CODE]]=Dealps[[#This Row],[CPTY_CODE_ISSUER]],"Yes","No")</f>
        <v>No</v>
      </c>
      <c r="AA667" s="25"/>
      <c r="AC667" s="14"/>
      <c r="AG667" s="96"/>
      <c r="AH667" s="14"/>
      <c r="AI667"/>
      <c r="AN667" s="14"/>
      <c r="AV667" s="36"/>
      <c r="AW667" s="14"/>
      <c r="AX667" s="234"/>
      <c r="AY667" s="96"/>
      <c r="AZ667" s="14"/>
      <c r="BA667"/>
      <c r="BB667" s="14"/>
      <c r="BC667" s="14"/>
      <c r="BD667" s="14"/>
      <c r="BE667" s="36"/>
      <c r="BF667" s="20"/>
      <c r="BG667"/>
      <c r="BH667"/>
      <c r="BI667"/>
      <c r="BJ667"/>
      <c r="BK667"/>
      <c r="BL667"/>
      <c r="BM667"/>
      <c r="BN667"/>
      <c r="BS667"/>
      <c r="BT667"/>
      <c r="BU667"/>
      <c r="BV667"/>
    </row>
    <row r="668" spans="1:74" x14ac:dyDescent="0.3">
      <c r="A668" s="93">
        <v>46262</v>
      </c>
      <c r="B668">
        <v>4819</v>
      </c>
      <c r="C668" s="56" t="s">
        <v>1256</v>
      </c>
      <c r="D668" t="s">
        <v>316</v>
      </c>
      <c r="E668" t="s">
        <v>320</v>
      </c>
      <c r="F668" t="s">
        <v>364</v>
      </c>
      <c r="G668" t="s">
        <v>310</v>
      </c>
      <c r="H668" t="s">
        <v>311</v>
      </c>
      <c r="I668" s="93">
        <v>46239</v>
      </c>
      <c r="J668" s="93">
        <v>46239</v>
      </c>
      <c r="K668" s="93">
        <v>46240</v>
      </c>
      <c r="L668" s="93">
        <v>46486</v>
      </c>
      <c r="M668" s="14">
        <v>1</v>
      </c>
      <c r="N668" s="14">
        <v>100000000000</v>
      </c>
      <c r="O668" s="56">
        <v>101.638756544</v>
      </c>
      <c r="P668" s="56">
        <v>0</v>
      </c>
      <c r="Q668" s="14">
        <v>104475194900</v>
      </c>
      <c r="R668">
        <v>6</v>
      </c>
      <c r="S668" t="s">
        <v>1184</v>
      </c>
      <c r="T668" s="57">
        <f>IF(Dealps[[#This Row],[MATURITY_DATE]]-Dealps[[#This Row],[POSTED_DT]]&lt;0,0,IF(Dealps[[#This Row],[VALUE_DATE]]-Dealps[[#This Row],[POSTED_DT]]&gt;0,Dealps[[#This Row],[MATURITY_DATE]]-Dealps[[#This Row],[VALUE_DATE]],Dealps[[#This Row],[MATURITY_DATE]]-Dealps[[#This Row],[POSTED_DT]]))</f>
        <v>224</v>
      </c>
      <c r="U668" s="25">
        <f>IF(Dealps[[#This Row],[TENOR]]=0,0,IF(Dealps[[#This Row],[DEAL_TYPE]]="B",Dealps[[#This Row],[FACE_AMOUNT]],-Dealps[[#This Row],[FACE_AMOUNT]]))</f>
        <v>-100000000000</v>
      </c>
      <c r="V668" s="25">
        <f>_xlfn.XLOOKUP(Dealps[[#This Row],[PAPER_CODE]],FNRP!D:D,FNRP!H:H,0,0)/100*Dealps[[#This Row],[AMOUNT]]</f>
        <v>0</v>
      </c>
      <c r="W668" s="57" t="str">
        <f>IF(Dealps[[#This Row],[TRANSACTION_STATUS]]&lt;&gt;"V","Ngoai BS",IF(Dealps[[#This Row],[POSTED_DT]]&gt;=Dealps[[#This Row],[VALUE_DATE]],"On BS","Off BS"))</f>
        <v>On BS</v>
      </c>
      <c r="X668" s="25">
        <f>SUMIFS(U:U,C:C,Dealps[[#This Row],[PAPER_CODE]])</f>
        <v>200000000000</v>
      </c>
      <c r="Y668" s="25">
        <f>_xlfn.XLOOKUP(Dealps[[#This Row],[DEAL_ID]],Ref!N:N,Ref!Q:Q,0,0)</f>
        <v>0</v>
      </c>
      <c r="Z668" s="25" t="str">
        <f>IF(Dealps[[#This Row],[CPTY_CODE]]=Dealps[[#This Row],[CPTY_CODE_ISSUER]],"Yes","No")</f>
        <v>No</v>
      </c>
      <c r="AA668" s="25"/>
      <c r="AC668" s="14"/>
      <c r="AG668" s="96"/>
      <c r="AH668" s="14"/>
      <c r="AI668"/>
      <c r="AN668" s="14"/>
      <c r="AV668" s="36"/>
      <c r="AW668" s="14"/>
      <c r="AX668" s="234"/>
      <c r="AY668" s="96"/>
      <c r="AZ668" s="14"/>
      <c r="BA668"/>
      <c r="BB668" s="14"/>
      <c r="BC668" s="14"/>
      <c r="BD668" s="14"/>
      <c r="BE668" s="36"/>
      <c r="BF668" s="20"/>
      <c r="BG668"/>
      <c r="BH668"/>
      <c r="BI668"/>
      <c r="BJ668"/>
      <c r="BK668"/>
      <c r="BL668"/>
      <c r="BM668"/>
      <c r="BN668"/>
      <c r="BS668"/>
      <c r="BT668"/>
      <c r="BU668"/>
      <c r="BV668"/>
    </row>
    <row r="669" spans="1:74" x14ac:dyDescent="0.3">
      <c r="A669" s="93">
        <v>46262</v>
      </c>
      <c r="B669">
        <v>4824</v>
      </c>
      <c r="C669" s="56" t="s">
        <v>1292</v>
      </c>
      <c r="D669" t="s">
        <v>334</v>
      </c>
      <c r="E669" t="s">
        <v>322</v>
      </c>
      <c r="F669" t="s">
        <v>364</v>
      </c>
      <c r="G669" t="s">
        <v>310</v>
      </c>
      <c r="H669" t="s">
        <v>311</v>
      </c>
      <c r="I669" s="93">
        <v>46240</v>
      </c>
      <c r="J669" s="93">
        <v>46240</v>
      </c>
      <c r="K669" s="93">
        <v>46244</v>
      </c>
      <c r="L669" s="93">
        <v>46527</v>
      </c>
      <c r="M669" s="14">
        <v>1</v>
      </c>
      <c r="N669" s="14">
        <v>400000000000</v>
      </c>
      <c r="O669" s="56">
        <v>100.25486053</v>
      </c>
      <c r="P669" s="56">
        <v>0</v>
      </c>
      <c r="Q669" s="14">
        <v>408564647600</v>
      </c>
      <c r="R669">
        <v>8</v>
      </c>
      <c r="S669" t="s">
        <v>1184</v>
      </c>
      <c r="T669" s="57">
        <f>IF(Dealps[[#This Row],[MATURITY_DATE]]-Dealps[[#This Row],[POSTED_DT]]&lt;0,0,IF(Dealps[[#This Row],[VALUE_DATE]]-Dealps[[#This Row],[POSTED_DT]]&gt;0,Dealps[[#This Row],[MATURITY_DATE]]-Dealps[[#This Row],[VALUE_DATE]],Dealps[[#This Row],[MATURITY_DATE]]-Dealps[[#This Row],[POSTED_DT]]))</f>
        <v>265</v>
      </c>
      <c r="U669" s="25">
        <f>IF(Dealps[[#This Row],[TENOR]]=0,0,IF(Dealps[[#This Row],[DEAL_TYPE]]="B",Dealps[[#This Row],[FACE_AMOUNT]],-Dealps[[#This Row],[FACE_AMOUNT]]))</f>
        <v>-400000000000</v>
      </c>
      <c r="V669" s="25">
        <f>_xlfn.XLOOKUP(Dealps[[#This Row],[PAPER_CODE]],FNRP!D:D,FNRP!H:H,0,0)/100*Dealps[[#This Row],[AMOUNT]]</f>
        <v>0</v>
      </c>
      <c r="W669" s="57" t="str">
        <f>IF(Dealps[[#This Row],[TRANSACTION_STATUS]]&lt;&gt;"V","Ngoai BS",IF(Dealps[[#This Row],[POSTED_DT]]&gt;=Dealps[[#This Row],[VALUE_DATE]],"On BS","Off BS"))</f>
        <v>On BS</v>
      </c>
      <c r="X669" s="25">
        <f>SUMIFS(U:U,C:C,Dealps[[#This Row],[PAPER_CODE]])</f>
        <v>2000000000000</v>
      </c>
      <c r="Y669" s="25">
        <f>_xlfn.XLOOKUP(Dealps[[#This Row],[DEAL_ID]],Ref!N:N,Ref!Q:Q,0,0)</f>
        <v>0</v>
      </c>
      <c r="Z669" s="25" t="str">
        <f>IF(Dealps[[#This Row],[CPTY_CODE]]=Dealps[[#This Row],[CPTY_CODE_ISSUER]],"Yes","No")</f>
        <v>No</v>
      </c>
      <c r="AA669" s="25"/>
      <c r="AC669" s="14"/>
      <c r="AG669" s="96"/>
      <c r="AH669" s="14"/>
      <c r="AI669"/>
      <c r="AN669" s="14"/>
      <c r="AV669" s="36"/>
      <c r="AW669" s="14"/>
      <c r="AX669" s="234"/>
      <c r="AY669" s="96"/>
      <c r="AZ669" s="14"/>
      <c r="BA669"/>
      <c r="BB669" s="14"/>
      <c r="BC669" s="14"/>
      <c r="BD669" s="14"/>
      <c r="BE669" s="36"/>
      <c r="BF669" s="20"/>
      <c r="BG669"/>
      <c r="BH669"/>
      <c r="BI669"/>
      <c r="BJ669"/>
      <c r="BK669"/>
      <c r="BL669"/>
      <c r="BM669"/>
      <c r="BN669"/>
      <c r="BS669"/>
      <c r="BT669"/>
      <c r="BU669"/>
      <c r="BV669"/>
    </row>
    <row r="670" spans="1:74" x14ac:dyDescent="0.3">
      <c r="A670" s="93">
        <v>46262</v>
      </c>
      <c r="B670">
        <v>4826</v>
      </c>
      <c r="C670" s="56" t="s">
        <v>1494</v>
      </c>
      <c r="D670" t="s">
        <v>322</v>
      </c>
      <c r="E670" t="s">
        <v>1152</v>
      </c>
      <c r="F670" t="s">
        <v>364</v>
      </c>
      <c r="G670" t="s">
        <v>310</v>
      </c>
      <c r="H670" t="s">
        <v>300</v>
      </c>
      <c r="I670" s="93">
        <v>46240</v>
      </c>
      <c r="J670" s="93">
        <v>46240</v>
      </c>
      <c r="K670" s="93">
        <v>46244</v>
      </c>
      <c r="L670" s="93">
        <v>46300</v>
      </c>
      <c r="M670" s="14">
        <v>1</v>
      </c>
      <c r="N670" s="14">
        <v>100000000000</v>
      </c>
      <c r="O670" s="56">
        <v>99.603753979999993</v>
      </c>
      <c r="P670" s="56">
        <v>0</v>
      </c>
      <c r="Q670" s="14">
        <v>104666767679</v>
      </c>
      <c r="R670">
        <v>8.1999999999999993</v>
      </c>
      <c r="S670" t="s">
        <v>1184</v>
      </c>
      <c r="T670" s="57">
        <f>IF(Dealps[[#This Row],[MATURITY_DATE]]-Dealps[[#This Row],[POSTED_DT]]&lt;0,0,IF(Dealps[[#This Row],[VALUE_DATE]]-Dealps[[#This Row],[POSTED_DT]]&gt;0,Dealps[[#This Row],[MATURITY_DATE]]-Dealps[[#This Row],[VALUE_DATE]],Dealps[[#This Row],[MATURITY_DATE]]-Dealps[[#This Row],[POSTED_DT]]))</f>
        <v>38</v>
      </c>
      <c r="U670" s="25">
        <f>IF(Dealps[[#This Row],[TENOR]]=0,0,IF(Dealps[[#This Row],[DEAL_TYPE]]="B",Dealps[[#This Row],[FACE_AMOUNT]],-Dealps[[#This Row],[FACE_AMOUNT]]))</f>
        <v>100000000000</v>
      </c>
      <c r="V670" s="25">
        <f>_xlfn.XLOOKUP(Dealps[[#This Row],[PAPER_CODE]],FNRP!D:D,FNRP!H:H,0,0)/100*Dealps[[#This Row],[AMOUNT]]</f>
        <v>0</v>
      </c>
      <c r="W670" s="57" t="str">
        <f>IF(Dealps[[#This Row],[TRANSACTION_STATUS]]&lt;&gt;"V","Ngoai BS",IF(Dealps[[#This Row],[POSTED_DT]]&gt;=Dealps[[#This Row],[VALUE_DATE]],"On BS","Off BS"))</f>
        <v>On BS</v>
      </c>
      <c r="X670" s="25">
        <f>SUMIFS(U:U,C:C,Dealps[[#This Row],[PAPER_CODE]])</f>
        <v>200000000000</v>
      </c>
      <c r="Y670" s="25">
        <f>_xlfn.XLOOKUP(Dealps[[#This Row],[DEAL_ID]],Ref!N:N,Ref!Q:Q,0,0)</f>
        <v>0</v>
      </c>
      <c r="Z670" s="25" t="str">
        <f>IF(Dealps[[#This Row],[CPTY_CODE]]=Dealps[[#This Row],[CPTY_CODE_ISSUER]],"Yes","No")</f>
        <v>No</v>
      </c>
      <c r="AA670" s="25"/>
      <c r="AC670" s="14"/>
      <c r="AG670" s="96"/>
      <c r="AH670" s="14"/>
      <c r="AI670"/>
      <c r="AN670" s="14"/>
      <c r="AV670" s="36"/>
      <c r="AW670" s="14"/>
      <c r="AX670" s="234"/>
      <c r="AY670" s="96"/>
      <c r="AZ670" s="14"/>
      <c r="BA670"/>
      <c r="BB670" s="14"/>
      <c r="BC670" s="14"/>
      <c r="BD670" s="14"/>
      <c r="BE670" s="36"/>
      <c r="BF670" s="20"/>
      <c r="BG670"/>
      <c r="BH670"/>
      <c r="BI670"/>
      <c r="BJ670"/>
      <c r="BK670"/>
      <c r="BL670"/>
      <c r="BM670"/>
      <c r="BN670"/>
      <c r="BS670"/>
      <c r="BT670"/>
      <c r="BU670"/>
      <c r="BV670"/>
    </row>
    <row r="671" spans="1:74" x14ac:dyDescent="0.3">
      <c r="A671" s="93">
        <v>46262</v>
      </c>
      <c r="B671">
        <v>4827</v>
      </c>
      <c r="C671" s="56" t="s">
        <v>1494</v>
      </c>
      <c r="D671" t="s">
        <v>322</v>
      </c>
      <c r="E671" t="s">
        <v>1152</v>
      </c>
      <c r="F671" t="s">
        <v>364</v>
      </c>
      <c r="G671" t="s">
        <v>310</v>
      </c>
      <c r="H671" t="s">
        <v>300</v>
      </c>
      <c r="I671" s="93">
        <v>46240</v>
      </c>
      <c r="J671" s="93">
        <v>46240</v>
      </c>
      <c r="K671" s="93">
        <v>46247</v>
      </c>
      <c r="L671" s="93">
        <v>46300</v>
      </c>
      <c r="M671" s="14">
        <v>1</v>
      </c>
      <c r="N671" s="14">
        <v>100000000000</v>
      </c>
      <c r="O671" s="56">
        <v>99.624151389999994</v>
      </c>
      <c r="P671" s="56">
        <v>0</v>
      </c>
      <c r="Q671" s="14">
        <v>104736480157</v>
      </c>
      <c r="R671">
        <v>8.1999999999999993</v>
      </c>
      <c r="S671" t="s">
        <v>1184</v>
      </c>
      <c r="T671" s="57">
        <f>IF(Dealps[[#This Row],[MATURITY_DATE]]-Dealps[[#This Row],[POSTED_DT]]&lt;0,0,IF(Dealps[[#This Row],[VALUE_DATE]]-Dealps[[#This Row],[POSTED_DT]]&gt;0,Dealps[[#This Row],[MATURITY_DATE]]-Dealps[[#This Row],[VALUE_DATE]],Dealps[[#This Row],[MATURITY_DATE]]-Dealps[[#This Row],[POSTED_DT]]))</f>
        <v>38</v>
      </c>
      <c r="U671" s="25">
        <f>IF(Dealps[[#This Row],[TENOR]]=0,0,IF(Dealps[[#This Row],[DEAL_TYPE]]="B",Dealps[[#This Row],[FACE_AMOUNT]],-Dealps[[#This Row],[FACE_AMOUNT]]))</f>
        <v>100000000000</v>
      </c>
      <c r="V671" s="25">
        <f>_xlfn.XLOOKUP(Dealps[[#This Row],[PAPER_CODE]],FNRP!D:D,FNRP!H:H,0,0)/100*Dealps[[#This Row],[AMOUNT]]</f>
        <v>0</v>
      </c>
      <c r="W671" s="57" t="str">
        <f>IF(Dealps[[#This Row],[TRANSACTION_STATUS]]&lt;&gt;"V","Ngoai BS",IF(Dealps[[#This Row],[POSTED_DT]]&gt;=Dealps[[#This Row],[VALUE_DATE]],"On BS","Off BS"))</f>
        <v>On BS</v>
      </c>
      <c r="X671" s="25">
        <f>SUMIFS(U:U,C:C,Dealps[[#This Row],[PAPER_CODE]])</f>
        <v>200000000000</v>
      </c>
      <c r="Y671" s="25">
        <f>_xlfn.XLOOKUP(Dealps[[#This Row],[DEAL_ID]],Ref!N:N,Ref!Q:Q,0,0)</f>
        <v>0</v>
      </c>
      <c r="Z671" s="25" t="str">
        <f>IF(Dealps[[#This Row],[CPTY_CODE]]=Dealps[[#This Row],[CPTY_CODE_ISSUER]],"Yes","No")</f>
        <v>No</v>
      </c>
      <c r="AA671" s="25"/>
      <c r="AC671" s="14"/>
      <c r="AG671" s="96"/>
      <c r="AH671" s="14"/>
      <c r="AI671"/>
      <c r="AN671" s="14"/>
      <c r="AV671" s="36"/>
      <c r="AW671" s="14"/>
      <c r="AX671" s="234"/>
      <c r="AY671" s="96"/>
      <c r="AZ671" s="14"/>
      <c r="BA671"/>
      <c r="BB671" s="14"/>
      <c r="BC671" s="14"/>
      <c r="BD671" s="14"/>
      <c r="BE671" s="36"/>
      <c r="BF671" s="20"/>
      <c r="BG671"/>
      <c r="BH671"/>
      <c r="BI671"/>
      <c r="BJ671"/>
      <c r="BK671"/>
      <c r="BL671"/>
      <c r="BM671"/>
      <c r="BN671"/>
      <c r="BS671"/>
      <c r="BT671"/>
      <c r="BU671"/>
      <c r="BV671"/>
    </row>
    <row r="672" spans="1:74" x14ac:dyDescent="0.3">
      <c r="A672" s="93">
        <v>46262</v>
      </c>
      <c r="B672">
        <v>4828</v>
      </c>
      <c r="C672" s="56" t="s">
        <v>1495</v>
      </c>
      <c r="D672" t="s">
        <v>315</v>
      </c>
      <c r="E672" t="s">
        <v>1152</v>
      </c>
      <c r="F672" t="s">
        <v>364</v>
      </c>
      <c r="G672" t="s">
        <v>310</v>
      </c>
      <c r="H672" t="s">
        <v>300</v>
      </c>
      <c r="I672" s="93">
        <v>46240</v>
      </c>
      <c r="J672" s="93">
        <v>46240</v>
      </c>
      <c r="K672" s="93">
        <v>46251</v>
      </c>
      <c r="L672" s="93">
        <v>46314</v>
      </c>
      <c r="M672" s="14">
        <v>1</v>
      </c>
      <c r="N672" s="14">
        <v>200000000000</v>
      </c>
      <c r="O672" s="56">
        <v>99.556520355000004</v>
      </c>
      <c r="P672" s="56">
        <v>0</v>
      </c>
      <c r="Q672" s="14">
        <v>209008931120</v>
      </c>
      <c r="R672">
        <v>8.1999999999999993</v>
      </c>
      <c r="S672" t="s">
        <v>1184</v>
      </c>
      <c r="T672" s="57">
        <f>IF(Dealps[[#This Row],[MATURITY_DATE]]-Dealps[[#This Row],[POSTED_DT]]&lt;0,0,IF(Dealps[[#This Row],[VALUE_DATE]]-Dealps[[#This Row],[POSTED_DT]]&gt;0,Dealps[[#This Row],[MATURITY_DATE]]-Dealps[[#This Row],[VALUE_DATE]],Dealps[[#This Row],[MATURITY_DATE]]-Dealps[[#This Row],[POSTED_DT]]))</f>
        <v>52</v>
      </c>
      <c r="U672" s="25">
        <f>IF(Dealps[[#This Row],[TENOR]]=0,0,IF(Dealps[[#This Row],[DEAL_TYPE]]="B",Dealps[[#This Row],[FACE_AMOUNT]],-Dealps[[#This Row],[FACE_AMOUNT]]))</f>
        <v>200000000000</v>
      </c>
      <c r="V672" s="25">
        <f>_xlfn.XLOOKUP(Dealps[[#This Row],[PAPER_CODE]],FNRP!D:D,FNRP!H:H,0,0)/100*Dealps[[#This Row],[AMOUNT]]</f>
        <v>0</v>
      </c>
      <c r="W672" s="57" t="str">
        <f>IF(Dealps[[#This Row],[TRANSACTION_STATUS]]&lt;&gt;"V","Ngoai BS",IF(Dealps[[#This Row],[POSTED_DT]]&gt;=Dealps[[#This Row],[VALUE_DATE]],"On BS","Off BS"))</f>
        <v>On BS</v>
      </c>
      <c r="X672" s="25">
        <f>SUMIFS(U:U,C:C,Dealps[[#This Row],[PAPER_CODE]])</f>
        <v>0</v>
      </c>
      <c r="Y672" s="25">
        <f>_xlfn.XLOOKUP(Dealps[[#This Row],[DEAL_ID]],Ref!N:N,Ref!Q:Q,0,0)</f>
        <v>0</v>
      </c>
      <c r="Z672" s="25" t="str">
        <f>IF(Dealps[[#This Row],[CPTY_CODE]]=Dealps[[#This Row],[CPTY_CODE_ISSUER]],"Yes","No")</f>
        <v>No</v>
      </c>
      <c r="AA672" s="25"/>
      <c r="AC672" s="14"/>
      <c r="AG672" s="96"/>
      <c r="AH672" s="14"/>
      <c r="AI672"/>
      <c r="AN672" s="14"/>
      <c r="AV672" s="36"/>
      <c r="AW672" s="14"/>
      <c r="AX672" s="234"/>
      <c r="AY672" s="96"/>
      <c r="AZ672" s="14"/>
      <c r="BA672"/>
      <c r="BB672" s="14"/>
      <c r="BC672" s="14"/>
      <c r="BD672" s="14"/>
      <c r="BE672" s="36"/>
      <c r="BF672" s="20"/>
      <c r="BG672"/>
      <c r="BH672"/>
      <c r="BI672"/>
      <c r="BJ672"/>
      <c r="BK672"/>
      <c r="BL672"/>
      <c r="BM672"/>
      <c r="BN672"/>
      <c r="BS672"/>
      <c r="BT672"/>
      <c r="BU672"/>
      <c r="BV672"/>
    </row>
    <row r="673" spans="1:74" x14ac:dyDescent="0.3">
      <c r="A673" s="93">
        <v>46262</v>
      </c>
      <c r="B673">
        <v>4829</v>
      </c>
      <c r="C673" s="56" t="s">
        <v>1495</v>
      </c>
      <c r="D673" t="s">
        <v>315</v>
      </c>
      <c r="E673" t="s">
        <v>314</v>
      </c>
      <c r="F673" t="s">
        <v>364</v>
      </c>
      <c r="G673" t="s">
        <v>310</v>
      </c>
      <c r="H673" t="s">
        <v>311</v>
      </c>
      <c r="I673" s="93">
        <v>46240</v>
      </c>
      <c r="J673" s="93">
        <v>46240</v>
      </c>
      <c r="K673" s="93">
        <v>46252</v>
      </c>
      <c r="L673" s="93">
        <v>46314</v>
      </c>
      <c r="M673" s="14">
        <v>1</v>
      </c>
      <c r="N673" s="14">
        <v>200000000000</v>
      </c>
      <c r="O673" s="56">
        <v>99.615797998000005</v>
      </c>
      <c r="P673" s="56">
        <v>0</v>
      </c>
      <c r="Q673" s="14">
        <v>209160363120</v>
      </c>
      <c r="R673">
        <v>7.9</v>
      </c>
      <c r="S673" t="s">
        <v>1184</v>
      </c>
      <c r="T673" s="57">
        <f>IF(Dealps[[#This Row],[MATURITY_DATE]]-Dealps[[#This Row],[POSTED_DT]]&lt;0,0,IF(Dealps[[#This Row],[VALUE_DATE]]-Dealps[[#This Row],[POSTED_DT]]&gt;0,Dealps[[#This Row],[MATURITY_DATE]]-Dealps[[#This Row],[VALUE_DATE]],Dealps[[#This Row],[MATURITY_DATE]]-Dealps[[#This Row],[POSTED_DT]]))</f>
        <v>52</v>
      </c>
      <c r="U673" s="25">
        <f>IF(Dealps[[#This Row],[TENOR]]=0,0,IF(Dealps[[#This Row],[DEAL_TYPE]]="B",Dealps[[#This Row],[FACE_AMOUNT]],-Dealps[[#This Row],[FACE_AMOUNT]]))</f>
        <v>-200000000000</v>
      </c>
      <c r="V673" s="25">
        <f>_xlfn.XLOOKUP(Dealps[[#This Row],[PAPER_CODE]],FNRP!D:D,FNRP!H:H,0,0)/100*Dealps[[#This Row],[AMOUNT]]</f>
        <v>0</v>
      </c>
      <c r="W673" s="57" t="str">
        <f>IF(Dealps[[#This Row],[TRANSACTION_STATUS]]&lt;&gt;"V","Ngoai BS",IF(Dealps[[#This Row],[POSTED_DT]]&gt;=Dealps[[#This Row],[VALUE_DATE]],"On BS","Off BS"))</f>
        <v>On BS</v>
      </c>
      <c r="X673" s="25">
        <f>SUMIFS(U:U,C:C,Dealps[[#This Row],[PAPER_CODE]])</f>
        <v>0</v>
      </c>
      <c r="Y673" s="25">
        <f>_xlfn.XLOOKUP(Dealps[[#This Row],[DEAL_ID]],Ref!N:N,Ref!Q:Q,0,0)</f>
        <v>0</v>
      </c>
      <c r="Z673" s="25" t="str">
        <f>IF(Dealps[[#This Row],[CPTY_CODE]]=Dealps[[#This Row],[CPTY_CODE_ISSUER]],"Yes","No")</f>
        <v>No</v>
      </c>
      <c r="AA673" s="25"/>
      <c r="AC673" s="14"/>
      <c r="AG673" s="96"/>
      <c r="AH673" s="14"/>
      <c r="AI673"/>
      <c r="AN673" s="14"/>
      <c r="AV673" s="36"/>
      <c r="AW673" s="14"/>
      <c r="AX673" s="234"/>
      <c r="AY673" s="96"/>
      <c r="AZ673" s="14"/>
      <c r="BA673"/>
      <c r="BB673" s="14"/>
      <c r="BC673" s="14"/>
      <c r="BD673" s="14"/>
      <c r="BE673" s="36"/>
      <c r="BF673" s="20"/>
      <c r="BG673"/>
      <c r="BH673"/>
      <c r="BI673"/>
      <c r="BJ673"/>
      <c r="BK673"/>
      <c r="BL673"/>
      <c r="BM673"/>
      <c r="BN673"/>
      <c r="BS673"/>
      <c r="BT673"/>
      <c r="BU673"/>
      <c r="BV673"/>
    </row>
    <row r="674" spans="1:74" x14ac:dyDescent="0.3">
      <c r="A674" s="93">
        <v>46262</v>
      </c>
      <c r="B674">
        <v>4830</v>
      </c>
      <c r="C674" s="56" t="s">
        <v>1158</v>
      </c>
      <c r="D674" t="s">
        <v>327</v>
      </c>
      <c r="E674" t="s">
        <v>322</v>
      </c>
      <c r="F674" t="s">
        <v>364</v>
      </c>
      <c r="G674" t="s">
        <v>310</v>
      </c>
      <c r="H674" t="s">
        <v>300</v>
      </c>
      <c r="I674" s="93">
        <v>46241</v>
      </c>
      <c r="J674" s="93">
        <v>46213</v>
      </c>
      <c r="K674" s="93">
        <v>46241</v>
      </c>
      <c r="L674" s="93">
        <v>46409</v>
      </c>
      <c r="M674" s="14">
        <v>1</v>
      </c>
      <c r="N674" s="14">
        <v>500000000000</v>
      </c>
      <c r="O674" s="56">
        <v>99.790732419999998</v>
      </c>
      <c r="P674" s="56">
        <v>0</v>
      </c>
      <c r="Q674" s="14">
        <v>518285168951</v>
      </c>
      <c r="R674">
        <v>7.384601</v>
      </c>
      <c r="S674" t="s">
        <v>1184</v>
      </c>
      <c r="T674" s="57">
        <f>IF(Dealps[[#This Row],[MATURITY_DATE]]-Dealps[[#This Row],[POSTED_DT]]&lt;0,0,IF(Dealps[[#This Row],[VALUE_DATE]]-Dealps[[#This Row],[POSTED_DT]]&gt;0,Dealps[[#This Row],[MATURITY_DATE]]-Dealps[[#This Row],[VALUE_DATE]],Dealps[[#This Row],[MATURITY_DATE]]-Dealps[[#This Row],[POSTED_DT]]))</f>
        <v>147</v>
      </c>
      <c r="U674" s="25">
        <f>IF(Dealps[[#This Row],[TENOR]]=0,0,IF(Dealps[[#This Row],[DEAL_TYPE]]="B",Dealps[[#This Row],[FACE_AMOUNT]],-Dealps[[#This Row],[FACE_AMOUNT]]))</f>
        <v>500000000000</v>
      </c>
      <c r="V674" s="25">
        <f>_xlfn.XLOOKUP(Dealps[[#This Row],[PAPER_CODE]],FNRP!D:D,FNRP!H:H,0,0)/100*Dealps[[#This Row],[AMOUNT]]</f>
        <v>0</v>
      </c>
      <c r="W674" s="57" t="str">
        <f>IF(Dealps[[#This Row],[TRANSACTION_STATUS]]&lt;&gt;"V","Ngoai BS",IF(Dealps[[#This Row],[POSTED_DT]]&gt;=Dealps[[#This Row],[VALUE_DATE]],"On BS","Off BS"))</f>
        <v>On BS</v>
      </c>
      <c r="X674" s="25">
        <f>SUMIFS(U:U,C:C,Dealps[[#This Row],[PAPER_CODE]])</f>
        <v>2000000000000</v>
      </c>
      <c r="Y674" s="25">
        <f>_xlfn.XLOOKUP(Dealps[[#This Row],[DEAL_ID]],Ref!N:N,Ref!Q:Q,0,0)</f>
        <v>0</v>
      </c>
      <c r="Z674" s="25" t="str">
        <f>IF(Dealps[[#This Row],[CPTY_CODE]]=Dealps[[#This Row],[CPTY_CODE_ISSUER]],"Yes","No")</f>
        <v>No</v>
      </c>
      <c r="AA674" s="25"/>
      <c r="AC674" s="14"/>
      <c r="AG674" s="96"/>
      <c r="AH674" s="14"/>
      <c r="AI674"/>
      <c r="AN674" s="14"/>
      <c r="AV674" s="36"/>
      <c r="AW674" s="14"/>
      <c r="AX674" s="234"/>
      <c r="AY674" s="96"/>
      <c r="AZ674" s="14"/>
      <c r="BA674"/>
      <c r="BB674" s="14"/>
      <c r="BC674" s="14"/>
      <c r="BD674" s="14"/>
      <c r="BE674" s="36"/>
      <c r="BF674" s="20"/>
      <c r="BG674"/>
      <c r="BH674"/>
      <c r="BI674"/>
      <c r="BJ674"/>
      <c r="BK674"/>
      <c r="BL674"/>
      <c r="BM674"/>
      <c r="BN674"/>
      <c r="BS674"/>
      <c r="BT674"/>
      <c r="BU674"/>
      <c r="BV674"/>
    </row>
    <row r="675" spans="1:74" x14ac:dyDescent="0.3">
      <c r="A675" s="93">
        <v>46262</v>
      </c>
      <c r="B675">
        <v>4831</v>
      </c>
      <c r="C675" s="56" t="s">
        <v>1260</v>
      </c>
      <c r="D675" t="s">
        <v>384</v>
      </c>
      <c r="E675" t="s">
        <v>1254</v>
      </c>
      <c r="F675" t="s">
        <v>364</v>
      </c>
      <c r="G675" t="s">
        <v>310</v>
      </c>
      <c r="H675" t="s">
        <v>300</v>
      </c>
      <c r="I675" s="93">
        <v>46241</v>
      </c>
      <c r="J675" s="93">
        <v>46241</v>
      </c>
      <c r="K675" s="93">
        <v>46241</v>
      </c>
      <c r="L675" s="93">
        <v>46524</v>
      </c>
      <c r="M675" s="14">
        <v>1</v>
      </c>
      <c r="N675" s="14">
        <v>49000000000</v>
      </c>
      <c r="O675" s="56">
        <v>99.907071707</v>
      </c>
      <c r="P675" s="56">
        <v>0</v>
      </c>
      <c r="Q675" s="14">
        <v>50382848698</v>
      </c>
      <c r="R675">
        <v>9.3558199999999996</v>
      </c>
      <c r="S675" t="s">
        <v>1184</v>
      </c>
      <c r="T675" s="57">
        <f>IF(Dealps[[#This Row],[MATURITY_DATE]]-Dealps[[#This Row],[POSTED_DT]]&lt;0,0,IF(Dealps[[#This Row],[VALUE_DATE]]-Dealps[[#This Row],[POSTED_DT]]&gt;0,Dealps[[#This Row],[MATURITY_DATE]]-Dealps[[#This Row],[VALUE_DATE]],Dealps[[#This Row],[MATURITY_DATE]]-Dealps[[#This Row],[POSTED_DT]]))</f>
        <v>262</v>
      </c>
      <c r="U675" s="25">
        <f>IF(Dealps[[#This Row],[TENOR]]=0,0,IF(Dealps[[#This Row],[DEAL_TYPE]]="B",Dealps[[#This Row],[FACE_AMOUNT]],-Dealps[[#This Row],[FACE_AMOUNT]]))</f>
        <v>49000000000</v>
      </c>
      <c r="V675" s="25">
        <f>_xlfn.XLOOKUP(Dealps[[#This Row],[PAPER_CODE]],FNRP!D:D,FNRP!H:H,0,0)/100*Dealps[[#This Row],[AMOUNT]]</f>
        <v>0</v>
      </c>
      <c r="W675" s="57" t="str">
        <f>IF(Dealps[[#This Row],[TRANSACTION_STATUS]]&lt;&gt;"V","Ngoai BS",IF(Dealps[[#This Row],[POSTED_DT]]&gt;=Dealps[[#This Row],[VALUE_DATE]],"On BS","Off BS"))</f>
        <v>On BS</v>
      </c>
      <c r="X675" s="25">
        <f>SUMIFS(U:U,C:C,Dealps[[#This Row],[PAPER_CODE]])</f>
        <v>400000000000</v>
      </c>
      <c r="Y675" s="25">
        <f>_xlfn.XLOOKUP(Dealps[[#This Row],[DEAL_ID]],Ref!N:N,Ref!Q:Q,0,0)</f>
        <v>0</v>
      </c>
      <c r="Z675" s="25" t="str">
        <f>IF(Dealps[[#This Row],[CPTY_CODE]]=Dealps[[#This Row],[CPTY_CODE_ISSUER]],"Yes","No")</f>
        <v>No</v>
      </c>
      <c r="AA675" s="25"/>
      <c r="AC675" s="14"/>
      <c r="AG675" s="96"/>
      <c r="AH675" s="14"/>
      <c r="AI675"/>
      <c r="AN675" s="14"/>
      <c r="AV675" s="36"/>
      <c r="AW675" s="14"/>
      <c r="AX675" s="234"/>
      <c r="AY675" s="96"/>
      <c r="AZ675" s="14"/>
      <c r="BA675"/>
      <c r="BB675" s="14"/>
      <c r="BC675" s="14"/>
      <c r="BD675" s="14"/>
      <c r="BE675" s="36"/>
      <c r="BF675" s="20"/>
      <c r="BG675"/>
      <c r="BH675"/>
      <c r="BI675"/>
      <c r="BJ675"/>
      <c r="BK675"/>
      <c r="BL675"/>
      <c r="BM675"/>
      <c r="BN675"/>
      <c r="BS675"/>
      <c r="BT675"/>
      <c r="BU675"/>
      <c r="BV675"/>
    </row>
    <row r="676" spans="1:74" x14ac:dyDescent="0.3">
      <c r="A676" s="93">
        <v>46262</v>
      </c>
      <c r="B676">
        <v>4832</v>
      </c>
      <c r="C676" s="56" t="s">
        <v>1256</v>
      </c>
      <c r="D676" t="s">
        <v>316</v>
      </c>
      <c r="E676" t="s">
        <v>1383</v>
      </c>
      <c r="F676" t="s">
        <v>364</v>
      </c>
      <c r="G676" t="s">
        <v>310</v>
      </c>
      <c r="H676" t="s">
        <v>300</v>
      </c>
      <c r="I676" s="93">
        <v>46241</v>
      </c>
      <c r="J676" s="93">
        <v>46241</v>
      </c>
      <c r="K676" s="93">
        <v>46241</v>
      </c>
      <c r="L676" s="93">
        <v>46486</v>
      </c>
      <c r="M676" s="14">
        <v>1</v>
      </c>
      <c r="N676" s="14">
        <v>24000000000</v>
      </c>
      <c r="O676" s="56">
        <v>100.730088827</v>
      </c>
      <c r="P676" s="56">
        <v>0</v>
      </c>
      <c r="Q676" s="14">
        <v>24861687072</v>
      </c>
      <c r="R676">
        <v>7.3484800000000003</v>
      </c>
      <c r="S676" t="s">
        <v>1184</v>
      </c>
      <c r="T676" s="57">
        <f>IF(Dealps[[#This Row],[MATURITY_DATE]]-Dealps[[#This Row],[POSTED_DT]]&lt;0,0,IF(Dealps[[#This Row],[VALUE_DATE]]-Dealps[[#This Row],[POSTED_DT]]&gt;0,Dealps[[#This Row],[MATURITY_DATE]]-Dealps[[#This Row],[VALUE_DATE]],Dealps[[#This Row],[MATURITY_DATE]]-Dealps[[#This Row],[POSTED_DT]]))</f>
        <v>224</v>
      </c>
      <c r="U676" s="25">
        <f>IF(Dealps[[#This Row],[TENOR]]=0,0,IF(Dealps[[#This Row],[DEAL_TYPE]]="B",Dealps[[#This Row],[FACE_AMOUNT]],-Dealps[[#This Row],[FACE_AMOUNT]]))</f>
        <v>24000000000</v>
      </c>
      <c r="V676" s="25">
        <f>_xlfn.XLOOKUP(Dealps[[#This Row],[PAPER_CODE]],FNRP!D:D,FNRP!H:H,0,0)/100*Dealps[[#This Row],[AMOUNT]]</f>
        <v>0</v>
      </c>
      <c r="W676" s="57" t="str">
        <f>IF(Dealps[[#This Row],[TRANSACTION_STATUS]]&lt;&gt;"V","Ngoai BS",IF(Dealps[[#This Row],[POSTED_DT]]&gt;=Dealps[[#This Row],[VALUE_DATE]],"On BS","Off BS"))</f>
        <v>On BS</v>
      </c>
      <c r="X676" s="25">
        <f>SUMIFS(U:U,C:C,Dealps[[#This Row],[PAPER_CODE]])</f>
        <v>200000000000</v>
      </c>
      <c r="Y676" s="25">
        <f>_xlfn.XLOOKUP(Dealps[[#This Row],[DEAL_ID]],Ref!N:N,Ref!Q:Q,0,0)</f>
        <v>0</v>
      </c>
      <c r="Z676" s="25" t="str">
        <f>IF(Dealps[[#This Row],[CPTY_CODE]]=Dealps[[#This Row],[CPTY_CODE_ISSUER]],"Yes","No")</f>
        <v>No</v>
      </c>
      <c r="AA676" s="25"/>
      <c r="AC676" s="14"/>
      <c r="AG676" s="96"/>
      <c r="AH676" s="14"/>
      <c r="AI676"/>
      <c r="AN676" s="14"/>
      <c r="AV676" s="36"/>
      <c r="AW676" s="14"/>
      <c r="AX676" s="234"/>
      <c r="AY676" s="96"/>
      <c r="AZ676" s="14"/>
      <c r="BA676"/>
      <c r="BB676" s="14"/>
      <c r="BC676" s="14"/>
      <c r="BD676" s="14"/>
      <c r="BE676" s="36"/>
      <c r="BF676" s="20"/>
      <c r="BG676"/>
      <c r="BH676"/>
      <c r="BI676"/>
      <c r="BJ676"/>
      <c r="BK676"/>
      <c r="BL676"/>
      <c r="BM676"/>
      <c r="BN676"/>
      <c r="BS676"/>
      <c r="BT676"/>
      <c r="BU676"/>
      <c r="BV676"/>
    </row>
    <row r="677" spans="1:74" x14ac:dyDescent="0.3">
      <c r="A677" s="93">
        <v>46262</v>
      </c>
      <c r="B677">
        <v>4833</v>
      </c>
      <c r="C677" s="56" t="s">
        <v>1008</v>
      </c>
      <c r="D677" t="s">
        <v>473</v>
      </c>
      <c r="E677" t="s">
        <v>320</v>
      </c>
      <c r="F677" t="s">
        <v>364</v>
      </c>
      <c r="G677" t="s">
        <v>310</v>
      </c>
      <c r="H677" t="s">
        <v>311</v>
      </c>
      <c r="I677" s="93">
        <v>46241</v>
      </c>
      <c r="J677" s="93">
        <v>46241</v>
      </c>
      <c r="K677" s="93">
        <v>46245</v>
      </c>
      <c r="L677" s="93">
        <v>46324</v>
      </c>
      <c r="M677" s="14">
        <v>1</v>
      </c>
      <c r="N677" s="14">
        <v>300000000000</v>
      </c>
      <c r="O677" s="56">
        <v>100.226616488</v>
      </c>
      <c r="P677" s="56">
        <v>0</v>
      </c>
      <c r="Q677" s="14">
        <v>315178479600</v>
      </c>
      <c r="R677">
        <v>5</v>
      </c>
      <c r="S677" t="s">
        <v>1184</v>
      </c>
      <c r="T677" s="57">
        <f>IF(Dealps[[#This Row],[MATURITY_DATE]]-Dealps[[#This Row],[POSTED_DT]]&lt;0,0,IF(Dealps[[#This Row],[VALUE_DATE]]-Dealps[[#This Row],[POSTED_DT]]&gt;0,Dealps[[#This Row],[MATURITY_DATE]]-Dealps[[#This Row],[VALUE_DATE]],Dealps[[#This Row],[MATURITY_DATE]]-Dealps[[#This Row],[POSTED_DT]]))</f>
        <v>62</v>
      </c>
      <c r="U677" s="25">
        <f>IF(Dealps[[#This Row],[TENOR]]=0,0,IF(Dealps[[#This Row],[DEAL_TYPE]]="B",Dealps[[#This Row],[FACE_AMOUNT]],-Dealps[[#This Row],[FACE_AMOUNT]]))</f>
        <v>-300000000000</v>
      </c>
      <c r="V677" s="25">
        <f>_xlfn.XLOOKUP(Dealps[[#This Row],[PAPER_CODE]],FNRP!D:D,FNRP!H:H,0,0)/100*Dealps[[#This Row],[AMOUNT]]</f>
        <v>0</v>
      </c>
      <c r="W677" s="57" t="str">
        <f>IF(Dealps[[#This Row],[TRANSACTION_STATUS]]&lt;&gt;"V","Ngoai BS",IF(Dealps[[#This Row],[POSTED_DT]]&gt;=Dealps[[#This Row],[VALUE_DATE]],"On BS","Off BS"))</f>
        <v>On BS</v>
      </c>
      <c r="X677" s="25">
        <f>SUMIFS(U:U,C:C,Dealps[[#This Row],[PAPER_CODE]])</f>
        <v>500000000000</v>
      </c>
      <c r="Y677" s="25">
        <f>_xlfn.XLOOKUP(Dealps[[#This Row],[DEAL_ID]],Ref!N:N,Ref!Q:Q,0,0)</f>
        <v>0</v>
      </c>
      <c r="Z677" s="25" t="str">
        <f>IF(Dealps[[#This Row],[CPTY_CODE]]=Dealps[[#This Row],[CPTY_CODE_ISSUER]],"Yes","No")</f>
        <v>No</v>
      </c>
      <c r="AA677" s="25"/>
      <c r="AC677" s="14"/>
      <c r="AG677" s="96"/>
      <c r="AH677" s="14"/>
      <c r="AI677"/>
      <c r="AN677" s="14"/>
      <c r="AV677" s="36"/>
      <c r="AW677" s="14"/>
      <c r="AX677" s="234"/>
      <c r="AY677" s="96"/>
      <c r="AZ677" s="14"/>
      <c r="BA677"/>
      <c r="BB677" s="14"/>
      <c r="BC677" s="14"/>
      <c r="BD677" s="14"/>
      <c r="BE677" s="36"/>
      <c r="BF677" s="20"/>
      <c r="BG677"/>
      <c r="BH677"/>
      <c r="BI677"/>
      <c r="BJ677"/>
      <c r="BK677"/>
      <c r="BL677"/>
      <c r="BM677"/>
      <c r="BN677"/>
      <c r="BS677"/>
      <c r="BT677"/>
      <c r="BU677"/>
      <c r="BV677"/>
    </row>
    <row r="678" spans="1:74" x14ac:dyDescent="0.3">
      <c r="A678" s="93">
        <v>46262</v>
      </c>
      <c r="B678">
        <v>4834</v>
      </c>
      <c r="C678" s="56" t="s">
        <v>1158</v>
      </c>
      <c r="D678" t="s">
        <v>327</v>
      </c>
      <c r="E678" t="s">
        <v>320</v>
      </c>
      <c r="F678" t="s">
        <v>364</v>
      </c>
      <c r="G678" t="s">
        <v>310</v>
      </c>
      <c r="H678" t="s">
        <v>311</v>
      </c>
      <c r="I678" s="93">
        <v>46241</v>
      </c>
      <c r="J678" s="93">
        <v>46241</v>
      </c>
      <c r="K678" s="93">
        <v>46245</v>
      </c>
      <c r="L678" s="93">
        <v>46409</v>
      </c>
      <c r="M678" s="14">
        <v>1</v>
      </c>
      <c r="N678" s="14">
        <v>500000000000</v>
      </c>
      <c r="O678" s="56">
        <v>99.079150487000007</v>
      </c>
      <c r="P678" s="56">
        <v>0</v>
      </c>
      <c r="Q678" s="14">
        <v>519560135997.00006</v>
      </c>
      <c r="R678">
        <v>7</v>
      </c>
      <c r="S678" t="s">
        <v>1184</v>
      </c>
      <c r="T678" s="57">
        <f>IF(Dealps[[#This Row],[MATURITY_DATE]]-Dealps[[#This Row],[POSTED_DT]]&lt;0,0,IF(Dealps[[#This Row],[VALUE_DATE]]-Dealps[[#This Row],[POSTED_DT]]&gt;0,Dealps[[#This Row],[MATURITY_DATE]]-Dealps[[#This Row],[VALUE_DATE]],Dealps[[#This Row],[MATURITY_DATE]]-Dealps[[#This Row],[POSTED_DT]]))</f>
        <v>147</v>
      </c>
      <c r="U678" s="25">
        <f>IF(Dealps[[#This Row],[TENOR]]=0,0,IF(Dealps[[#This Row],[DEAL_TYPE]]="B",Dealps[[#This Row],[FACE_AMOUNT]],-Dealps[[#This Row],[FACE_AMOUNT]]))</f>
        <v>-500000000000</v>
      </c>
      <c r="V678" s="25">
        <f>_xlfn.XLOOKUP(Dealps[[#This Row],[PAPER_CODE]],FNRP!D:D,FNRP!H:H,0,0)/100*Dealps[[#This Row],[AMOUNT]]</f>
        <v>0</v>
      </c>
      <c r="W678" s="57" t="str">
        <f>IF(Dealps[[#This Row],[TRANSACTION_STATUS]]&lt;&gt;"V","Ngoai BS",IF(Dealps[[#This Row],[POSTED_DT]]&gt;=Dealps[[#This Row],[VALUE_DATE]],"On BS","Off BS"))</f>
        <v>On BS</v>
      </c>
      <c r="X678" s="25">
        <f>SUMIFS(U:U,C:C,Dealps[[#This Row],[PAPER_CODE]])</f>
        <v>2000000000000</v>
      </c>
      <c r="Y678" s="25">
        <f>_xlfn.XLOOKUP(Dealps[[#This Row],[DEAL_ID]],Ref!N:N,Ref!Q:Q,0,0)</f>
        <v>0</v>
      </c>
      <c r="Z678" s="25" t="str">
        <f>IF(Dealps[[#This Row],[CPTY_CODE]]=Dealps[[#This Row],[CPTY_CODE_ISSUER]],"Yes","No")</f>
        <v>No</v>
      </c>
      <c r="AA678" s="25"/>
      <c r="AC678" s="14"/>
      <c r="AG678" s="96"/>
      <c r="AH678" s="14"/>
      <c r="AI678"/>
      <c r="AN678" s="14"/>
      <c r="AV678" s="36"/>
      <c r="AW678" s="14"/>
      <c r="AX678" s="234"/>
      <c r="AY678" s="96"/>
      <c r="AZ678" s="14"/>
      <c r="BA678"/>
      <c r="BB678" s="14"/>
      <c r="BC678" s="14"/>
      <c r="BD678" s="14"/>
      <c r="BE678" s="36"/>
      <c r="BF678" s="20"/>
      <c r="BG678"/>
      <c r="BH678"/>
      <c r="BI678"/>
      <c r="BJ678"/>
      <c r="BK678"/>
      <c r="BL678"/>
      <c r="BM678"/>
      <c r="BN678"/>
      <c r="BS678"/>
      <c r="BT678"/>
      <c r="BU678"/>
      <c r="BV678"/>
    </row>
    <row r="679" spans="1:74" x14ac:dyDescent="0.3">
      <c r="A679" s="93">
        <v>46262</v>
      </c>
      <c r="B679">
        <v>4835</v>
      </c>
      <c r="C679" s="56" t="s">
        <v>1292</v>
      </c>
      <c r="D679" t="s">
        <v>334</v>
      </c>
      <c r="E679" t="s">
        <v>320</v>
      </c>
      <c r="F679" t="s">
        <v>364</v>
      </c>
      <c r="G679" t="s">
        <v>310</v>
      </c>
      <c r="H679" t="s">
        <v>311</v>
      </c>
      <c r="I679" s="93">
        <v>46241</v>
      </c>
      <c r="J679" s="93">
        <v>46241</v>
      </c>
      <c r="K679" s="93">
        <v>46245</v>
      </c>
      <c r="L679" s="93">
        <v>46527</v>
      </c>
      <c r="M679" s="14">
        <v>1</v>
      </c>
      <c r="N679" s="14">
        <v>200000000000</v>
      </c>
      <c r="O679" s="56">
        <v>101.00146775899999</v>
      </c>
      <c r="P679" s="56">
        <v>0</v>
      </c>
      <c r="Q679" s="14">
        <v>205822113600</v>
      </c>
      <c r="R679">
        <v>7</v>
      </c>
      <c r="S679" t="s">
        <v>1184</v>
      </c>
      <c r="T679" s="57">
        <f>IF(Dealps[[#This Row],[MATURITY_DATE]]-Dealps[[#This Row],[POSTED_DT]]&lt;0,0,IF(Dealps[[#This Row],[VALUE_DATE]]-Dealps[[#This Row],[POSTED_DT]]&gt;0,Dealps[[#This Row],[MATURITY_DATE]]-Dealps[[#This Row],[VALUE_DATE]],Dealps[[#This Row],[MATURITY_DATE]]-Dealps[[#This Row],[POSTED_DT]]))</f>
        <v>265</v>
      </c>
      <c r="U679" s="25">
        <f>IF(Dealps[[#This Row],[TENOR]]=0,0,IF(Dealps[[#This Row],[DEAL_TYPE]]="B",Dealps[[#This Row],[FACE_AMOUNT]],-Dealps[[#This Row],[FACE_AMOUNT]]))</f>
        <v>-200000000000</v>
      </c>
      <c r="V679" s="25">
        <f>_xlfn.XLOOKUP(Dealps[[#This Row],[PAPER_CODE]],FNRP!D:D,FNRP!H:H,0,0)/100*Dealps[[#This Row],[AMOUNT]]</f>
        <v>0</v>
      </c>
      <c r="W679" s="57" t="str">
        <f>IF(Dealps[[#This Row],[TRANSACTION_STATUS]]&lt;&gt;"V","Ngoai BS",IF(Dealps[[#This Row],[POSTED_DT]]&gt;=Dealps[[#This Row],[VALUE_DATE]],"On BS","Off BS"))</f>
        <v>On BS</v>
      </c>
      <c r="X679" s="25">
        <f>SUMIFS(U:U,C:C,Dealps[[#This Row],[PAPER_CODE]])</f>
        <v>2000000000000</v>
      </c>
      <c r="Y679" s="25">
        <f>_xlfn.XLOOKUP(Dealps[[#This Row],[DEAL_ID]],Ref!N:N,Ref!Q:Q,0,0)</f>
        <v>0</v>
      </c>
      <c r="Z679" s="25" t="str">
        <f>IF(Dealps[[#This Row],[CPTY_CODE]]=Dealps[[#This Row],[CPTY_CODE_ISSUER]],"Yes","No")</f>
        <v>No</v>
      </c>
      <c r="AA679" s="25"/>
      <c r="AC679" s="14"/>
      <c r="AG679" s="96"/>
      <c r="AH679" s="14"/>
      <c r="AI679"/>
      <c r="AN679" s="14"/>
      <c r="AV679" s="36"/>
      <c r="AW679" s="14"/>
      <c r="AX679" s="234"/>
      <c r="AY679" s="96"/>
      <c r="AZ679" s="14"/>
      <c r="BA679"/>
      <c r="BB679" s="14"/>
      <c r="BC679" s="14"/>
      <c r="BD679" s="14"/>
      <c r="BE679" s="36"/>
      <c r="BF679" s="20"/>
      <c r="BG679"/>
      <c r="BH679"/>
      <c r="BI679"/>
      <c r="BJ679"/>
      <c r="BK679"/>
      <c r="BL679"/>
      <c r="BM679"/>
      <c r="BN679"/>
      <c r="BS679"/>
      <c r="BT679"/>
      <c r="BU679"/>
      <c r="BV679"/>
    </row>
    <row r="680" spans="1:74" x14ac:dyDescent="0.3">
      <c r="A680" s="93">
        <v>46262</v>
      </c>
      <c r="B680">
        <v>4839</v>
      </c>
      <c r="C680" s="56" t="s">
        <v>1256</v>
      </c>
      <c r="D680" t="s">
        <v>316</v>
      </c>
      <c r="E680" t="s">
        <v>1499</v>
      </c>
      <c r="F680" t="s">
        <v>364</v>
      </c>
      <c r="G680" t="s">
        <v>310</v>
      </c>
      <c r="H680" t="s">
        <v>311</v>
      </c>
      <c r="I680" s="93">
        <v>46241</v>
      </c>
      <c r="J680" s="93">
        <v>46241</v>
      </c>
      <c r="K680" s="93">
        <v>46245</v>
      </c>
      <c r="L680" s="93">
        <v>46486</v>
      </c>
      <c r="M680" s="14">
        <v>1</v>
      </c>
      <c r="N680" s="14">
        <v>100000000000</v>
      </c>
      <c r="O680" s="56">
        <v>100.876777862</v>
      </c>
      <c r="P680" s="56">
        <v>0</v>
      </c>
      <c r="Q680" s="14">
        <v>103832394300</v>
      </c>
      <c r="R680">
        <v>7.1</v>
      </c>
      <c r="S680" t="s">
        <v>1184</v>
      </c>
      <c r="T680" s="57">
        <f>IF(Dealps[[#This Row],[MATURITY_DATE]]-Dealps[[#This Row],[POSTED_DT]]&lt;0,0,IF(Dealps[[#This Row],[VALUE_DATE]]-Dealps[[#This Row],[POSTED_DT]]&gt;0,Dealps[[#This Row],[MATURITY_DATE]]-Dealps[[#This Row],[VALUE_DATE]],Dealps[[#This Row],[MATURITY_DATE]]-Dealps[[#This Row],[POSTED_DT]]))</f>
        <v>224</v>
      </c>
      <c r="U680" s="25">
        <f>IF(Dealps[[#This Row],[TENOR]]=0,0,IF(Dealps[[#This Row],[DEAL_TYPE]]="B",Dealps[[#This Row],[FACE_AMOUNT]],-Dealps[[#This Row],[FACE_AMOUNT]]))</f>
        <v>-100000000000</v>
      </c>
      <c r="V680" s="25">
        <f>_xlfn.XLOOKUP(Dealps[[#This Row],[PAPER_CODE]],FNRP!D:D,FNRP!H:H,0,0)/100*Dealps[[#This Row],[AMOUNT]]</f>
        <v>0</v>
      </c>
      <c r="W680" s="57" t="str">
        <f>IF(Dealps[[#This Row],[TRANSACTION_STATUS]]&lt;&gt;"V","Ngoai BS",IF(Dealps[[#This Row],[POSTED_DT]]&gt;=Dealps[[#This Row],[VALUE_DATE]],"On BS","Off BS"))</f>
        <v>On BS</v>
      </c>
      <c r="X680" s="25">
        <f>SUMIFS(U:U,C:C,Dealps[[#This Row],[PAPER_CODE]])</f>
        <v>200000000000</v>
      </c>
      <c r="Y680" s="25">
        <f>_xlfn.XLOOKUP(Dealps[[#This Row],[DEAL_ID]],Ref!N:N,Ref!Q:Q,0,0)</f>
        <v>0</v>
      </c>
      <c r="Z680" s="25" t="str">
        <f>IF(Dealps[[#This Row],[CPTY_CODE]]=Dealps[[#This Row],[CPTY_CODE_ISSUER]],"Yes","No")</f>
        <v>No</v>
      </c>
      <c r="AA680" s="25"/>
      <c r="AC680" s="14"/>
      <c r="AG680" s="96"/>
      <c r="AH680" s="14"/>
      <c r="AI680"/>
      <c r="AN680" s="14"/>
      <c r="AV680" s="36"/>
      <c r="AW680" s="14"/>
      <c r="AX680" s="234"/>
      <c r="AY680" s="96"/>
      <c r="AZ680" s="14"/>
      <c r="BA680"/>
      <c r="BB680" s="14"/>
      <c r="BC680" s="14"/>
      <c r="BD680" s="14"/>
      <c r="BE680" s="36"/>
      <c r="BF680" s="20"/>
      <c r="BG680"/>
      <c r="BH680"/>
      <c r="BI680"/>
      <c r="BJ680"/>
      <c r="BK680"/>
      <c r="BL680"/>
      <c r="BM680"/>
      <c r="BN680"/>
      <c r="BS680"/>
      <c r="BT680"/>
      <c r="BU680"/>
      <c r="BV680"/>
    </row>
    <row r="681" spans="1:74" x14ac:dyDescent="0.3">
      <c r="A681" s="93">
        <v>46262</v>
      </c>
      <c r="B681">
        <v>4841</v>
      </c>
      <c r="C681" s="56" t="s">
        <v>1258</v>
      </c>
      <c r="D681" t="s">
        <v>321</v>
      </c>
      <c r="E681" t="s">
        <v>322</v>
      </c>
      <c r="F681" t="s">
        <v>364</v>
      </c>
      <c r="G681" t="s">
        <v>310</v>
      </c>
      <c r="H681" t="s">
        <v>300</v>
      </c>
      <c r="I681" s="93">
        <v>46244</v>
      </c>
      <c r="J681" s="93">
        <v>46212</v>
      </c>
      <c r="K681" s="93">
        <v>46244</v>
      </c>
      <c r="L681" s="93">
        <v>46485</v>
      </c>
      <c r="M681" s="14">
        <v>1</v>
      </c>
      <c r="N681" s="14">
        <v>300000000000</v>
      </c>
      <c r="O681" s="56">
        <v>100.033295462</v>
      </c>
      <c r="P681" s="56">
        <v>0</v>
      </c>
      <c r="Q681" s="14">
        <v>308246735700</v>
      </c>
      <c r="R681">
        <v>8.1261910000000004</v>
      </c>
      <c r="S681" t="s">
        <v>1184</v>
      </c>
      <c r="T681" s="57">
        <f>IF(Dealps[[#This Row],[MATURITY_DATE]]-Dealps[[#This Row],[POSTED_DT]]&lt;0,0,IF(Dealps[[#This Row],[VALUE_DATE]]-Dealps[[#This Row],[POSTED_DT]]&gt;0,Dealps[[#This Row],[MATURITY_DATE]]-Dealps[[#This Row],[VALUE_DATE]],Dealps[[#This Row],[MATURITY_DATE]]-Dealps[[#This Row],[POSTED_DT]]))</f>
        <v>223</v>
      </c>
      <c r="U681" s="25">
        <f>IF(Dealps[[#This Row],[TENOR]]=0,0,IF(Dealps[[#This Row],[DEAL_TYPE]]="B",Dealps[[#This Row],[FACE_AMOUNT]],-Dealps[[#This Row],[FACE_AMOUNT]]))</f>
        <v>300000000000</v>
      </c>
      <c r="V681" s="25">
        <f>_xlfn.XLOOKUP(Dealps[[#This Row],[PAPER_CODE]],FNRP!D:D,FNRP!H:H,0,0)/100*Dealps[[#This Row],[AMOUNT]]</f>
        <v>0</v>
      </c>
      <c r="W681" s="57" t="str">
        <f>IF(Dealps[[#This Row],[TRANSACTION_STATUS]]&lt;&gt;"V","Ngoai BS",IF(Dealps[[#This Row],[POSTED_DT]]&gt;=Dealps[[#This Row],[VALUE_DATE]],"On BS","Off BS"))</f>
        <v>On BS</v>
      </c>
      <c r="X681" s="25">
        <f>SUMIFS(U:U,C:C,Dealps[[#This Row],[PAPER_CODE]])</f>
        <v>2000000000000</v>
      </c>
      <c r="Y681" s="25">
        <f>_xlfn.XLOOKUP(Dealps[[#This Row],[DEAL_ID]],Ref!N:N,Ref!Q:Q,0,0)</f>
        <v>0</v>
      </c>
      <c r="Z681" s="25" t="str">
        <f>IF(Dealps[[#This Row],[CPTY_CODE]]=Dealps[[#This Row],[CPTY_CODE_ISSUER]],"Yes","No")</f>
        <v>No</v>
      </c>
      <c r="AA681" s="25"/>
      <c r="AC681" s="14"/>
      <c r="AG681" s="96"/>
      <c r="AH681" s="14"/>
      <c r="AI681"/>
      <c r="AN681" s="14"/>
      <c r="AV681" s="36"/>
      <c r="AW681" s="14"/>
      <c r="AX681" s="234"/>
      <c r="AY681" s="96"/>
      <c r="AZ681" s="14"/>
      <c r="BA681"/>
      <c r="BB681" s="14"/>
      <c r="BC681" s="14"/>
      <c r="BD681" s="14"/>
      <c r="BE681" s="36"/>
      <c r="BF681" s="20"/>
      <c r="BG681"/>
      <c r="BH681"/>
      <c r="BI681"/>
      <c r="BJ681"/>
      <c r="BK681"/>
      <c r="BL681"/>
      <c r="BM681"/>
      <c r="BN681"/>
      <c r="BS681"/>
      <c r="BT681"/>
      <c r="BU681"/>
      <c r="BV681"/>
    </row>
    <row r="682" spans="1:74" x14ac:dyDescent="0.3">
      <c r="A682" s="93">
        <v>46262</v>
      </c>
      <c r="B682">
        <v>4842</v>
      </c>
      <c r="C682" s="56" t="s">
        <v>1260</v>
      </c>
      <c r="D682" t="s">
        <v>384</v>
      </c>
      <c r="E682" t="s">
        <v>1254</v>
      </c>
      <c r="F682" t="s">
        <v>364</v>
      </c>
      <c r="G682" t="s">
        <v>310</v>
      </c>
      <c r="H682" t="s">
        <v>300</v>
      </c>
      <c r="I682" s="93">
        <v>46244</v>
      </c>
      <c r="J682" s="93">
        <v>46244</v>
      </c>
      <c r="K682" s="93">
        <v>46244</v>
      </c>
      <c r="L682" s="93">
        <v>46524</v>
      </c>
      <c r="M682" s="14">
        <v>1</v>
      </c>
      <c r="N682" s="14">
        <v>49000000000</v>
      </c>
      <c r="O682" s="56">
        <v>99.899182414999999</v>
      </c>
      <c r="P682" s="56">
        <v>0</v>
      </c>
      <c r="Q682" s="14">
        <v>50417243219</v>
      </c>
      <c r="R682">
        <v>9.3606809999999996</v>
      </c>
      <c r="S682" t="s">
        <v>1184</v>
      </c>
      <c r="T682" s="57">
        <f>IF(Dealps[[#This Row],[MATURITY_DATE]]-Dealps[[#This Row],[POSTED_DT]]&lt;0,0,IF(Dealps[[#This Row],[VALUE_DATE]]-Dealps[[#This Row],[POSTED_DT]]&gt;0,Dealps[[#This Row],[MATURITY_DATE]]-Dealps[[#This Row],[VALUE_DATE]],Dealps[[#This Row],[MATURITY_DATE]]-Dealps[[#This Row],[POSTED_DT]]))</f>
        <v>262</v>
      </c>
      <c r="U682" s="25">
        <f>IF(Dealps[[#This Row],[TENOR]]=0,0,IF(Dealps[[#This Row],[DEAL_TYPE]]="B",Dealps[[#This Row],[FACE_AMOUNT]],-Dealps[[#This Row],[FACE_AMOUNT]]))</f>
        <v>49000000000</v>
      </c>
      <c r="V682" s="25">
        <f>_xlfn.XLOOKUP(Dealps[[#This Row],[PAPER_CODE]],FNRP!D:D,FNRP!H:H,0,0)/100*Dealps[[#This Row],[AMOUNT]]</f>
        <v>0</v>
      </c>
      <c r="W682" s="57" t="str">
        <f>IF(Dealps[[#This Row],[TRANSACTION_STATUS]]&lt;&gt;"V","Ngoai BS",IF(Dealps[[#This Row],[POSTED_DT]]&gt;=Dealps[[#This Row],[VALUE_DATE]],"On BS","Off BS"))</f>
        <v>On BS</v>
      </c>
      <c r="X682" s="25">
        <f>SUMIFS(U:U,C:C,Dealps[[#This Row],[PAPER_CODE]])</f>
        <v>400000000000</v>
      </c>
      <c r="Y682" s="25">
        <f>_xlfn.XLOOKUP(Dealps[[#This Row],[DEAL_ID]],Ref!N:N,Ref!Q:Q,0,0)</f>
        <v>0</v>
      </c>
      <c r="Z682" s="25" t="str">
        <f>IF(Dealps[[#This Row],[CPTY_CODE]]=Dealps[[#This Row],[CPTY_CODE_ISSUER]],"Yes","No")</f>
        <v>No</v>
      </c>
      <c r="AA682" s="25"/>
      <c r="AC682" s="14"/>
      <c r="AG682" s="96"/>
      <c r="AH682" s="14"/>
      <c r="AI682"/>
      <c r="AN682" s="14"/>
      <c r="AV682" s="36"/>
      <c r="AW682" s="14"/>
      <c r="AX682" s="234"/>
      <c r="AY682" s="96"/>
      <c r="AZ682" s="14"/>
      <c r="BA682"/>
      <c r="BB682" s="14"/>
      <c r="BC682" s="14"/>
      <c r="BD682" s="14"/>
      <c r="BE682" s="36"/>
      <c r="BF682" s="20"/>
      <c r="BG682"/>
      <c r="BH682"/>
      <c r="BI682"/>
      <c r="BJ682"/>
      <c r="BK682"/>
      <c r="BL682"/>
      <c r="BM682"/>
      <c r="BN682"/>
      <c r="BS682"/>
      <c r="BT682"/>
      <c r="BU682"/>
      <c r="BV682"/>
    </row>
    <row r="683" spans="1:74" x14ac:dyDescent="0.3">
      <c r="A683" s="93">
        <v>46262</v>
      </c>
      <c r="B683">
        <v>4843</v>
      </c>
      <c r="C683" s="56" t="s">
        <v>1258</v>
      </c>
      <c r="D683" t="s">
        <v>321</v>
      </c>
      <c r="E683" t="s">
        <v>320</v>
      </c>
      <c r="F683" t="s">
        <v>364</v>
      </c>
      <c r="G683" t="s">
        <v>310</v>
      </c>
      <c r="H683" t="s">
        <v>311</v>
      </c>
      <c r="I683" s="93">
        <v>46244</v>
      </c>
      <c r="J683" s="93">
        <v>46244</v>
      </c>
      <c r="K683" s="93">
        <v>46246</v>
      </c>
      <c r="L683" s="93">
        <v>46485</v>
      </c>
      <c r="M683" s="14">
        <v>1</v>
      </c>
      <c r="N683" s="14">
        <v>300000000000</v>
      </c>
      <c r="O683" s="56">
        <v>100.432454264</v>
      </c>
      <c r="P683" s="56">
        <v>0</v>
      </c>
      <c r="Q683" s="14">
        <v>309582294300</v>
      </c>
      <c r="R683">
        <v>7.5</v>
      </c>
      <c r="S683" t="s">
        <v>1184</v>
      </c>
      <c r="T683" s="57">
        <f>IF(Dealps[[#This Row],[MATURITY_DATE]]-Dealps[[#This Row],[POSTED_DT]]&lt;0,0,IF(Dealps[[#This Row],[VALUE_DATE]]-Dealps[[#This Row],[POSTED_DT]]&gt;0,Dealps[[#This Row],[MATURITY_DATE]]-Dealps[[#This Row],[VALUE_DATE]],Dealps[[#This Row],[MATURITY_DATE]]-Dealps[[#This Row],[POSTED_DT]]))</f>
        <v>223</v>
      </c>
      <c r="U683" s="25">
        <f>IF(Dealps[[#This Row],[TENOR]]=0,0,IF(Dealps[[#This Row],[DEAL_TYPE]]="B",Dealps[[#This Row],[FACE_AMOUNT]],-Dealps[[#This Row],[FACE_AMOUNT]]))</f>
        <v>-300000000000</v>
      </c>
      <c r="V683" s="25">
        <f>_xlfn.XLOOKUP(Dealps[[#This Row],[PAPER_CODE]],FNRP!D:D,FNRP!H:H,0,0)/100*Dealps[[#This Row],[AMOUNT]]</f>
        <v>0</v>
      </c>
      <c r="W683" s="57" t="str">
        <f>IF(Dealps[[#This Row],[TRANSACTION_STATUS]]&lt;&gt;"V","Ngoai BS",IF(Dealps[[#This Row],[POSTED_DT]]&gt;=Dealps[[#This Row],[VALUE_DATE]],"On BS","Off BS"))</f>
        <v>On BS</v>
      </c>
      <c r="X683" s="25">
        <f>SUMIFS(U:U,C:C,Dealps[[#This Row],[PAPER_CODE]])</f>
        <v>2000000000000</v>
      </c>
      <c r="Y683" s="25">
        <f>_xlfn.XLOOKUP(Dealps[[#This Row],[DEAL_ID]],Ref!N:N,Ref!Q:Q,0,0)</f>
        <v>0</v>
      </c>
      <c r="Z683" s="25" t="str">
        <f>IF(Dealps[[#This Row],[CPTY_CODE]]=Dealps[[#This Row],[CPTY_CODE_ISSUER]],"Yes","No")</f>
        <v>No</v>
      </c>
      <c r="AA683" s="25"/>
      <c r="AC683" s="14"/>
      <c r="AG683" s="96"/>
      <c r="AH683" s="14"/>
      <c r="AI683"/>
      <c r="AN683" s="14"/>
      <c r="AV683" s="36"/>
      <c r="AW683" s="14"/>
      <c r="AX683" s="234"/>
      <c r="AY683" s="96"/>
      <c r="AZ683" s="14"/>
      <c r="BA683"/>
      <c r="BB683" s="14"/>
      <c r="BC683" s="14"/>
      <c r="BD683" s="14"/>
      <c r="BE683" s="36"/>
      <c r="BF683" s="20"/>
      <c r="BG683"/>
      <c r="BH683"/>
      <c r="BI683"/>
      <c r="BJ683"/>
      <c r="BK683"/>
      <c r="BL683"/>
      <c r="BM683"/>
      <c r="BN683"/>
      <c r="BS683"/>
      <c r="BT683"/>
      <c r="BU683"/>
      <c r="BV683"/>
    </row>
    <row r="684" spans="1:74" x14ac:dyDescent="0.3">
      <c r="A684" s="93">
        <v>46262</v>
      </c>
      <c r="B684">
        <v>4845</v>
      </c>
      <c r="C684" s="56" t="s">
        <v>1071</v>
      </c>
      <c r="D684" t="s">
        <v>328</v>
      </c>
      <c r="E684" t="s">
        <v>320</v>
      </c>
      <c r="F684" t="s">
        <v>364</v>
      </c>
      <c r="G684" t="s">
        <v>310</v>
      </c>
      <c r="H684" t="s">
        <v>300</v>
      </c>
      <c r="I684" s="93">
        <v>46245</v>
      </c>
      <c r="J684" s="93">
        <v>46245</v>
      </c>
      <c r="K684" s="93">
        <v>46245</v>
      </c>
      <c r="L684" s="93">
        <v>46352</v>
      </c>
      <c r="M684" s="14">
        <v>1</v>
      </c>
      <c r="N684" s="14">
        <v>1300000000000</v>
      </c>
      <c r="O684" s="56">
        <v>100.29567351199999</v>
      </c>
      <c r="P684" s="56">
        <v>0</v>
      </c>
      <c r="Q684" s="14">
        <v>1364256358400</v>
      </c>
      <c r="R684">
        <v>5.3280399999999997</v>
      </c>
      <c r="S684" t="s">
        <v>1184</v>
      </c>
      <c r="T684" s="57">
        <f>IF(Dealps[[#This Row],[MATURITY_DATE]]-Dealps[[#This Row],[POSTED_DT]]&lt;0,0,IF(Dealps[[#This Row],[VALUE_DATE]]-Dealps[[#This Row],[POSTED_DT]]&gt;0,Dealps[[#This Row],[MATURITY_DATE]]-Dealps[[#This Row],[VALUE_DATE]],Dealps[[#This Row],[MATURITY_DATE]]-Dealps[[#This Row],[POSTED_DT]]))</f>
        <v>90</v>
      </c>
      <c r="U684" s="25">
        <f>IF(Dealps[[#This Row],[TENOR]]=0,0,IF(Dealps[[#This Row],[DEAL_TYPE]]="B",Dealps[[#This Row],[FACE_AMOUNT]],-Dealps[[#This Row],[FACE_AMOUNT]]))</f>
        <v>1300000000000</v>
      </c>
      <c r="V684" s="25">
        <f>_xlfn.XLOOKUP(Dealps[[#This Row],[PAPER_CODE]],FNRP!D:D,FNRP!H:H,0,0)/100*Dealps[[#This Row],[AMOUNT]]</f>
        <v>0</v>
      </c>
      <c r="W684" s="57" t="str">
        <f>IF(Dealps[[#This Row],[TRANSACTION_STATUS]]&lt;&gt;"V","Ngoai BS",IF(Dealps[[#This Row],[POSTED_DT]]&gt;=Dealps[[#This Row],[VALUE_DATE]],"On BS","Off BS"))</f>
        <v>On BS</v>
      </c>
      <c r="X684" s="25">
        <f>SUMIFS(U:U,C:C,Dealps[[#This Row],[PAPER_CODE]])</f>
        <v>1500000000000</v>
      </c>
      <c r="Y684" s="25">
        <f>_xlfn.XLOOKUP(Dealps[[#This Row],[DEAL_ID]],Ref!N:N,Ref!Q:Q,0,0)</f>
        <v>0</v>
      </c>
      <c r="Z684" s="25" t="str">
        <f>IF(Dealps[[#This Row],[CPTY_CODE]]=Dealps[[#This Row],[CPTY_CODE_ISSUER]],"Yes","No")</f>
        <v>No</v>
      </c>
      <c r="AA684" s="25"/>
      <c r="AC684" s="14"/>
      <c r="AG684" s="96"/>
      <c r="AH684" s="14"/>
      <c r="AI684"/>
      <c r="AN684" s="14"/>
      <c r="AV684" s="36"/>
      <c r="AW684" s="14"/>
      <c r="AX684" s="234"/>
      <c r="AY684" s="96"/>
      <c r="AZ684" s="14"/>
      <c r="BA684"/>
      <c r="BB684" s="14"/>
      <c r="BC684" s="14"/>
      <c r="BD684" s="14"/>
      <c r="BE684" s="36"/>
      <c r="BF684" s="20"/>
      <c r="BG684"/>
      <c r="BH684"/>
      <c r="BI684"/>
      <c r="BJ684"/>
      <c r="BK684"/>
      <c r="BL684"/>
      <c r="BM684"/>
      <c r="BN684"/>
      <c r="BS684"/>
      <c r="BT684"/>
      <c r="BU684"/>
      <c r="BV684"/>
    </row>
    <row r="685" spans="1:74" x14ac:dyDescent="0.3">
      <c r="A685" s="93">
        <v>46262</v>
      </c>
      <c r="B685">
        <v>4846</v>
      </c>
      <c r="C685" s="56" t="s">
        <v>1158</v>
      </c>
      <c r="D685" t="s">
        <v>327</v>
      </c>
      <c r="E685" t="s">
        <v>322</v>
      </c>
      <c r="F685" t="s">
        <v>364</v>
      </c>
      <c r="G685" t="s">
        <v>310</v>
      </c>
      <c r="H685" t="s">
        <v>300</v>
      </c>
      <c r="I685" s="93">
        <v>46245</v>
      </c>
      <c r="J685" s="93">
        <v>46245</v>
      </c>
      <c r="K685" s="93">
        <v>46245</v>
      </c>
      <c r="L685" s="93">
        <v>46409</v>
      </c>
      <c r="M685" s="14">
        <v>1</v>
      </c>
      <c r="N685" s="14">
        <v>500000000000</v>
      </c>
      <c r="O685" s="56">
        <v>99.865472462</v>
      </c>
      <c r="P685" s="56">
        <v>0</v>
      </c>
      <c r="Q685" s="14">
        <v>519053389705.99994</v>
      </c>
      <c r="R685">
        <v>7.2241179999999998</v>
      </c>
      <c r="S685" t="s">
        <v>1184</v>
      </c>
      <c r="T685" s="57">
        <f>IF(Dealps[[#This Row],[MATURITY_DATE]]-Dealps[[#This Row],[POSTED_DT]]&lt;0,0,IF(Dealps[[#This Row],[VALUE_DATE]]-Dealps[[#This Row],[POSTED_DT]]&gt;0,Dealps[[#This Row],[MATURITY_DATE]]-Dealps[[#This Row],[VALUE_DATE]],Dealps[[#This Row],[MATURITY_DATE]]-Dealps[[#This Row],[POSTED_DT]]))</f>
        <v>147</v>
      </c>
      <c r="U685" s="25">
        <f>IF(Dealps[[#This Row],[TENOR]]=0,0,IF(Dealps[[#This Row],[DEAL_TYPE]]="B",Dealps[[#This Row],[FACE_AMOUNT]],-Dealps[[#This Row],[FACE_AMOUNT]]))</f>
        <v>500000000000</v>
      </c>
      <c r="V685" s="25">
        <f>_xlfn.XLOOKUP(Dealps[[#This Row],[PAPER_CODE]],FNRP!D:D,FNRP!H:H,0,0)/100*Dealps[[#This Row],[AMOUNT]]</f>
        <v>0</v>
      </c>
      <c r="W685" s="57" t="str">
        <f>IF(Dealps[[#This Row],[TRANSACTION_STATUS]]&lt;&gt;"V","Ngoai BS",IF(Dealps[[#This Row],[POSTED_DT]]&gt;=Dealps[[#This Row],[VALUE_DATE]],"On BS","Off BS"))</f>
        <v>On BS</v>
      </c>
      <c r="X685" s="25">
        <f>SUMIFS(U:U,C:C,Dealps[[#This Row],[PAPER_CODE]])</f>
        <v>2000000000000</v>
      </c>
      <c r="Y685" s="25">
        <f>_xlfn.XLOOKUP(Dealps[[#This Row],[DEAL_ID]],Ref!N:N,Ref!Q:Q,0,0)</f>
        <v>0</v>
      </c>
      <c r="Z685" s="25" t="str">
        <f>IF(Dealps[[#This Row],[CPTY_CODE]]=Dealps[[#This Row],[CPTY_CODE_ISSUER]],"Yes","No")</f>
        <v>No</v>
      </c>
      <c r="AA685" s="25"/>
      <c r="AC685" s="14"/>
      <c r="AG685" s="96"/>
      <c r="AH685" s="14"/>
      <c r="AI685"/>
      <c r="AN685" s="14"/>
      <c r="AV685" s="36"/>
      <c r="AW685" s="14"/>
      <c r="AX685" s="234"/>
      <c r="AY685" s="96"/>
      <c r="AZ685" s="14"/>
      <c r="BA685"/>
      <c r="BB685" s="14"/>
      <c r="BC685" s="14"/>
      <c r="BD685" s="14"/>
      <c r="BE685" s="36"/>
      <c r="BF685" s="20"/>
      <c r="BG685"/>
      <c r="BH685"/>
      <c r="BI685"/>
      <c r="BJ685"/>
      <c r="BK685"/>
      <c r="BL685"/>
      <c r="BM685"/>
      <c r="BN685"/>
      <c r="BS685"/>
      <c r="BT685"/>
      <c r="BU685"/>
      <c r="BV685"/>
    </row>
    <row r="686" spans="1:74" x14ac:dyDescent="0.3">
      <c r="A686" s="93">
        <v>46262</v>
      </c>
      <c r="B686">
        <v>4847</v>
      </c>
      <c r="C686" s="56" t="s">
        <v>963</v>
      </c>
      <c r="D686" t="s">
        <v>308</v>
      </c>
      <c r="E686" t="s">
        <v>1022</v>
      </c>
      <c r="F686" t="s">
        <v>364</v>
      </c>
      <c r="G686" t="s">
        <v>310</v>
      </c>
      <c r="H686" t="s">
        <v>311</v>
      </c>
      <c r="I686" s="93">
        <v>46245</v>
      </c>
      <c r="J686" s="93">
        <v>46245</v>
      </c>
      <c r="K686" s="93">
        <v>46247</v>
      </c>
      <c r="L686" s="93">
        <v>46295</v>
      </c>
      <c r="M686" s="14">
        <v>1</v>
      </c>
      <c r="N686" s="14">
        <v>50000000000</v>
      </c>
      <c r="O686" s="56">
        <v>100.24708461</v>
      </c>
      <c r="P686" s="56">
        <v>0</v>
      </c>
      <c r="Q686" s="14">
        <v>52764090250</v>
      </c>
      <c r="R686">
        <v>4</v>
      </c>
      <c r="S686" t="s">
        <v>1184</v>
      </c>
      <c r="T686" s="57">
        <f>IF(Dealps[[#This Row],[MATURITY_DATE]]-Dealps[[#This Row],[POSTED_DT]]&lt;0,0,IF(Dealps[[#This Row],[VALUE_DATE]]-Dealps[[#This Row],[POSTED_DT]]&gt;0,Dealps[[#This Row],[MATURITY_DATE]]-Dealps[[#This Row],[VALUE_DATE]],Dealps[[#This Row],[MATURITY_DATE]]-Dealps[[#This Row],[POSTED_DT]]))</f>
        <v>33</v>
      </c>
      <c r="U686" s="25">
        <f>IF(Dealps[[#This Row],[TENOR]]=0,0,IF(Dealps[[#This Row],[DEAL_TYPE]]="B",Dealps[[#This Row],[FACE_AMOUNT]],-Dealps[[#This Row],[FACE_AMOUNT]]))</f>
        <v>-50000000000</v>
      </c>
      <c r="V686" s="25">
        <f>_xlfn.XLOOKUP(Dealps[[#This Row],[PAPER_CODE]],FNRP!D:D,FNRP!H:H,0,0)/100*Dealps[[#This Row],[AMOUNT]]</f>
        <v>0</v>
      </c>
      <c r="W686" s="57" t="str">
        <f>IF(Dealps[[#This Row],[TRANSACTION_STATUS]]&lt;&gt;"V","Ngoai BS",IF(Dealps[[#This Row],[POSTED_DT]]&gt;=Dealps[[#This Row],[VALUE_DATE]],"On BS","Off BS"))</f>
        <v>On BS</v>
      </c>
      <c r="X686" s="25">
        <f>SUMIFS(U:U,C:C,Dealps[[#This Row],[PAPER_CODE]])</f>
        <v>400000000000</v>
      </c>
      <c r="Y686" s="25">
        <f>_xlfn.XLOOKUP(Dealps[[#This Row],[DEAL_ID]],Ref!N:N,Ref!Q:Q,0,0)</f>
        <v>0</v>
      </c>
      <c r="Z686" s="25" t="str">
        <f>IF(Dealps[[#This Row],[CPTY_CODE]]=Dealps[[#This Row],[CPTY_CODE_ISSUER]],"Yes","No")</f>
        <v>No</v>
      </c>
      <c r="AA686" s="25"/>
      <c r="AC686" s="14"/>
      <c r="AG686" s="96"/>
      <c r="AH686" s="14"/>
      <c r="AI686"/>
      <c r="AN686" s="14"/>
      <c r="AV686" s="36"/>
      <c r="AW686" s="14"/>
      <c r="AX686" s="234"/>
      <c r="AY686" s="96"/>
      <c r="AZ686" s="14"/>
      <c r="BA686"/>
      <c r="BB686" s="14"/>
      <c r="BC686" s="14"/>
      <c r="BD686" s="14"/>
      <c r="BE686" s="36"/>
      <c r="BF686" s="20"/>
      <c r="BG686"/>
      <c r="BH686"/>
      <c r="BI686"/>
      <c r="BJ686"/>
      <c r="BK686"/>
      <c r="BL686"/>
      <c r="BM686"/>
      <c r="BN686"/>
      <c r="BS686"/>
      <c r="BT686"/>
      <c r="BU686"/>
      <c r="BV686"/>
    </row>
    <row r="687" spans="1:74" x14ac:dyDescent="0.3">
      <c r="A687" s="93">
        <v>46262</v>
      </c>
      <c r="B687">
        <v>4849</v>
      </c>
      <c r="C687" s="56" t="s">
        <v>1071</v>
      </c>
      <c r="D687" t="s">
        <v>328</v>
      </c>
      <c r="E687" t="s">
        <v>322</v>
      </c>
      <c r="F687" t="s">
        <v>364</v>
      </c>
      <c r="G687" t="s">
        <v>310</v>
      </c>
      <c r="H687" t="s">
        <v>311</v>
      </c>
      <c r="I687" s="93">
        <v>46245</v>
      </c>
      <c r="J687" s="93">
        <v>46245</v>
      </c>
      <c r="K687" s="93">
        <v>46247</v>
      </c>
      <c r="L687" s="93">
        <v>46352</v>
      </c>
      <c r="M687" s="14">
        <v>1</v>
      </c>
      <c r="N687" s="14">
        <v>500000000000</v>
      </c>
      <c r="O687" s="56">
        <v>99.794757228999998</v>
      </c>
      <c r="P687" s="56">
        <v>0</v>
      </c>
      <c r="Q687" s="14">
        <v>522390224500.00006</v>
      </c>
      <c r="R687">
        <v>7</v>
      </c>
      <c r="S687" t="s">
        <v>1184</v>
      </c>
      <c r="T687" s="57">
        <f>IF(Dealps[[#This Row],[MATURITY_DATE]]-Dealps[[#This Row],[POSTED_DT]]&lt;0,0,IF(Dealps[[#This Row],[VALUE_DATE]]-Dealps[[#This Row],[POSTED_DT]]&gt;0,Dealps[[#This Row],[MATURITY_DATE]]-Dealps[[#This Row],[VALUE_DATE]],Dealps[[#This Row],[MATURITY_DATE]]-Dealps[[#This Row],[POSTED_DT]]))</f>
        <v>90</v>
      </c>
      <c r="U687" s="25">
        <f>IF(Dealps[[#This Row],[TENOR]]=0,0,IF(Dealps[[#This Row],[DEAL_TYPE]]="B",Dealps[[#This Row],[FACE_AMOUNT]],-Dealps[[#This Row],[FACE_AMOUNT]]))</f>
        <v>-500000000000</v>
      </c>
      <c r="V687" s="25">
        <f>_xlfn.XLOOKUP(Dealps[[#This Row],[PAPER_CODE]],FNRP!D:D,FNRP!H:H,0,0)/100*Dealps[[#This Row],[AMOUNT]]</f>
        <v>0</v>
      </c>
      <c r="W687" s="57" t="str">
        <f>IF(Dealps[[#This Row],[TRANSACTION_STATUS]]&lt;&gt;"V","Ngoai BS",IF(Dealps[[#This Row],[POSTED_DT]]&gt;=Dealps[[#This Row],[VALUE_DATE]],"On BS","Off BS"))</f>
        <v>On BS</v>
      </c>
      <c r="X687" s="25">
        <f>SUMIFS(U:U,C:C,Dealps[[#This Row],[PAPER_CODE]])</f>
        <v>1500000000000</v>
      </c>
      <c r="Y687" s="25">
        <f>_xlfn.XLOOKUP(Dealps[[#This Row],[DEAL_ID]],Ref!N:N,Ref!Q:Q,0,0)</f>
        <v>0</v>
      </c>
      <c r="Z687" s="25" t="str">
        <f>IF(Dealps[[#This Row],[CPTY_CODE]]=Dealps[[#This Row],[CPTY_CODE_ISSUER]],"Yes","No")</f>
        <v>No</v>
      </c>
      <c r="AA687" s="25"/>
      <c r="AC687" s="14"/>
      <c r="AG687" s="96"/>
      <c r="AH687" s="14"/>
      <c r="AI687"/>
      <c r="AN687" s="14"/>
      <c r="AV687" s="36"/>
      <c r="AW687" s="14"/>
      <c r="AX687" s="234"/>
      <c r="AY687" s="96"/>
      <c r="AZ687" s="14"/>
      <c r="BA687"/>
      <c r="BB687" s="14"/>
      <c r="BC687" s="14"/>
      <c r="BD687" s="14"/>
      <c r="BE687" s="36"/>
      <c r="BF687" s="20"/>
      <c r="BG687"/>
      <c r="BH687"/>
      <c r="BI687"/>
      <c r="BJ687"/>
      <c r="BK687"/>
      <c r="BL687"/>
      <c r="BM687"/>
      <c r="BN687"/>
      <c r="BS687"/>
      <c r="BT687"/>
      <c r="BU687"/>
      <c r="BV687"/>
    </row>
    <row r="688" spans="1:74" x14ac:dyDescent="0.3">
      <c r="A688" s="93">
        <v>46262</v>
      </c>
      <c r="B688">
        <v>4850</v>
      </c>
      <c r="C688" s="56" t="s">
        <v>1158</v>
      </c>
      <c r="D688" t="s">
        <v>327</v>
      </c>
      <c r="E688" t="s">
        <v>322</v>
      </c>
      <c r="F688" t="s">
        <v>364</v>
      </c>
      <c r="G688" t="s">
        <v>310</v>
      </c>
      <c r="H688" t="s">
        <v>311</v>
      </c>
      <c r="I688" s="93">
        <v>46245</v>
      </c>
      <c r="J688" s="93">
        <v>46245</v>
      </c>
      <c r="K688" s="93">
        <v>46247</v>
      </c>
      <c r="L688" s="93">
        <v>46409</v>
      </c>
      <c r="M688" s="14">
        <v>1</v>
      </c>
      <c r="N688" s="14">
        <v>500000000000</v>
      </c>
      <c r="O688" s="56">
        <v>99.966025359</v>
      </c>
      <c r="P688" s="56">
        <v>0</v>
      </c>
      <c r="Q688" s="14">
        <v>519753414466</v>
      </c>
      <c r="R688">
        <v>7</v>
      </c>
      <c r="S688" t="s">
        <v>1184</v>
      </c>
      <c r="T688" s="57">
        <f>IF(Dealps[[#This Row],[MATURITY_DATE]]-Dealps[[#This Row],[POSTED_DT]]&lt;0,0,IF(Dealps[[#This Row],[VALUE_DATE]]-Dealps[[#This Row],[POSTED_DT]]&gt;0,Dealps[[#This Row],[MATURITY_DATE]]-Dealps[[#This Row],[VALUE_DATE]],Dealps[[#This Row],[MATURITY_DATE]]-Dealps[[#This Row],[POSTED_DT]]))</f>
        <v>147</v>
      </c>
      <c r="U688" s="25">
        <f>IF(Dealps[[#This Row],[TENOR]]=0,0,IF(Dealps[[#This Row],[DEAL_TYPE]]="B",Dealps[[#This Row],[FACE_AMOUNT]],-Dealps[[#This Row],[FACE_AMOUNT]]))</f>
        <v>-500000000000</v>
      </c>
      <c r="V688" s="25">
        <f>_xlfn.XLOOKUP(Dealps[[#This Row],[PAPER_CODE]],FNRP!D:D,FNRP!H:H,0,0)/100*Dealps[[#This Row],[AMOUNT]]</f>
        <v>0</v>
      </c>
      <c r="W688" s="57" t="str">
        <f>IF(Dealps[[#This Row],[TRANSACTION_STATUS]]&lt;&gt;"V","Ngoai BS",IF(Dealps[[#This Row],[POSTED_DT]]&gt;=Dealps[[#This Row],[VALUE_DATE]],"On BS","Off BS"))</f>
        <v>On BS</v>
      </c>
      <c r="X688" s="25">
        <f>SUMIFS(U:U,C:C,Dealps[[#This Row],[PAPER_CODE]])</f>
        <v>2000000000000</v>
      </c>
      <c r="Y688" s="25">
        <f>_xlfn.XLOOKUP(Dealps[[#This Row],[DEAL_ID]],Ref!N:N,Ref!Q:Q,0,0)</f>
        <v>0</v>
      </c>
      <c r="Z688" s="25" t="str">
        <f>IF(Dealps[[#This Row],[CPTY_CODE]]=Dealps[[#This Row],[CPTY_CODE_ISSUER]],"Yes","No")</f>
        <v>No</v>
      </c>
      <c r="AA688" s="25"/>
      <c r="AC688" s="14"/>
      <c r="AG688" s="96"/>
      <c r="AH688" s="14"/>
      <c r="AI688"/>
      <c r="AN688" s="14"/>
      <c r="AV688" s="36"/>
      <c r="AW688" s="14"/>
      <c r="AX688" s="234"/>
      <c r="AY688" s="96"/>
      <c r="AZ688" s="14"/>
      <c r="BA688"/>
      <c r="BB688" s="14"/>
      <c r="BC688" s="14"/>
      <c r="BD688" s="14"/>
      <c r="BE688" s="36"/>
      <c r="BF688" s="20"/>
      <c r="BG688"/>
      <c r="BH688"/>
      <c r="BI688"/>
      <c r="BJ688"/>
      <c r="BK688"/>
      <c r="BL688"/>
      <c r="BM688"/>
      <c r="BN688"/>
      <c r="BS688"/>
      <c r="BT688"/>
      <c r="BU688"/>
      <c r="BV688"/>
    </row>
    <row r="689" spans="1:74" x14ac:dyDescent="0.3">
      <c r="A689" s="93">
        <v>46262</v>
      </c>
      <c r="B689">
        <v>4853</v>
      </c>
      <c r="C689" s="56" t="s">
        <v>1204</v>
      </c>
      <c r="D689" t="s">
        <v>315</v>
      </c>
      <c r="E689" t="s">
        <v>320</v>
      </c>
      <c r="F689" t="s">
        <v>364</v>
      </c>
      <c r="G689" t="s">
        <v>310</v>
      </c>
      <c r="H689" t="s">
        <v>300</v>
      </c>
      <c r="I689" s="93">
        <v>46246</v>
      </c>
      <c r="J689" s="93">
        <v>46246</v>
      </c>
      <c r="K689" s="93">
        <v>46246</v>
      </c>
      <c r="L689" s="93">
        <v>46422</v>
      </c>
      <c r="M689" s="14">
        <v>1</v>
      </c>
      <c r="N689" s="14">
        <v>900000000000</v>
      </c>
      <c r="O689" s="56">
        <v>100.485427293</v>
      </c>
      <c r="P689" s="56">
        <v>0</v>
      </c>
      <c r="Q689" s="14">
        <v>938109229200</v>
      </c>
      <c r="R689">
        <v>5.9800719999999998</v>
      </c>
      <c r="S689" t="s">
        <v>1184</v>
      </c>
      <c r="T689" s="57">
        <f>IF(Dealps[[#This Row],[MATURITY_DATE]]-Dealps[[#This Row],[POSTED_DT]]&lt;0,0,IF(Dealps[[#This Row],[VALUE_DATE]]-Dealps[[#This Row],[POSTED_DT]]&gt;0,Dealps[[#This Row],[MATURITY_DATE]]-Dealps[[#This Row],[VALUE_DATE]],Dealps[[#This Row],[MATURITY_DATE]]-Dealps[[#This Row],[POSTED_DT]]))</f>
        <v>160</v>
      </c>
      <c r="U689" s="25">
        <f>IF(Dealps[[#This Row],[TENOR]]=0,0,IF(Dealps[[#This Row],[DEAL_TYPE]]="B",Dealps[[#This Row],[FACE_AMOUNT]],-Dealps[[#This Row],[FACE_AMOUNT]]))</f>
        <v>900000000000</v>
      </c>
      <c r="V689" s="25">
        <f>_xlfn.XLOOKUP(Dealps[[#This Row],[PAPER_CODE]],FNRP!D:D,FNRP!H:H,0,0)/100*Dealps[[#This Row],[AMOUNT]]</f>
        <v>0</v>
      </c>
      <c r="W689" s="57" t="str">
        <f>IF(Dealps[[#This Row],[TRANSACTION_STATUS]]&lt;&gt;"V","Ngoai BS",IF(Dealps[[#This Row],[POSTED_DT]]&gt;=Dealps[[#This Row],[VALUE_DATE]],"On BS","Off BS"))</f>
        <v>On BS</v>
      </c>
      <c r="X689" s="25">
        <f>SUMIFS(U:U,C:C,Dealps[[#This Row],[PAPER_CODE]])</f>
        <v>1000000000000</v>
      </c>
      <c r="Y689" s="25">
        <f>_xlfn.XLOOKUP(Dealps[[#This Row],[DEAL_ID]],Ref!N:N,Ref!Q:Q,0,0)</f>
        <v>0</v>
      </c>
      <c r="Z689" s="25" t="str">
        <f>IF(Dealps[[#This Row],[CPTY_CODE]]=Dealps[[#This Row],[CPTY_CODE_ISSUER]],"Yes","No")</f>
        <v>No</v>
      </c>
      <c r="AA689" s="25"/>
      <c r="AC689" s="14"/>
      <c r="AG689" s="96"/>
      <c r="AH689" s="14"/>
      <c r="AI689"/>
      <c r="AN689" s="14"/>
      <c r="AV689" s="36"/>
      <c r="AW689" s="14"/>
      <c r="AX689" s="234"/>
      <c r="AY689" s="96"/>
      <c r="AZ689" s="14"/>
      <c r="BA689"/>
      <c r="BB689" s="14"/>
      <c r="BC689" s="14"/>
      <c r="BD689" s="14"/>
      <c r="BE689" s="36"/>
      <c r="BF689" s="20"/>
      <c r="BG689"/>
      <c r="BH689"/>
      <c r="BI689"/>
      <c r="BJ689"/>
      <c r="BK689"/>
      <c r="BL689"/>
      <c r="BM689"/>
      <c r="BN689"/>
      <c r="BS689"/>
      <c r="BT689"/>
      <c r="BU689"/>
      <c r="BV689"/>
    </row>
    <row r="690" spans="1:74" x14ac:dyDescent="0.3">
      <c r="A690" s="93">
        <v>46262</v>
      </c>
      <c r="B690">
        <v>4854</v>
      </c>
      <c r="C690" s="56" t="s">
        <v>1071</v>
      </c>
      <c r="D690" t="s">
        <v>328</v>
      </c>
      <c r="E690" t="s">
        <v>320</v>
      </c>
      <c r="F690" t="s">
        <v>364</v>
      </c>
      <c r="G690" t="s">
        <v>310</v>
      </c>
      <c r="H690" t="s">
        <v>300</v>
      </c>
      <c r="I690" s="93">
        <v>46246</v>
      </c>
      <c r="J690" s="93">
        <v>46246</v>
      </c>
      <c r="K690" s="93">
        <v>46246</v>
      </c>
      <c r="L690" s="93">
        <v>46352</v>
      </c>
      <c r="M690" s="14">
        <v>1</v>
      </c>
      <c r="N690" s="14">
        <v>200000000000</v>
      </c>
      <c r="O690" s="56">
        <v>100.100014221</v>
      </c>
      <c r="P690" s="56">
        <v>0</v>
      </c>
      <c r="Q690" s="14">
        <v>209530439400</v>
      </c>
      <c r="R690">
        <v>5.9710760000000001</v>
      </c>
      <c r="S690" t="s">
        <v>1184</v>
      </c>
      <c r="T690" s="57">
        <f>IF(Dealps[[#This Row],[MATURITY_DATE]]-Dealps[[#This Row],[POSTED_DT]]&lt;0,0,IF(Dealps[[#This Row],[VALUE_DATE]]-Dealps[[#This Row],[POSTED_DT]]&gt;0,Dealps[[#This Row],[MATURITY_DATE]]-Dealps[[#This Row],[VALUE_DATE]],Dealps[[#This Row],[MATURITY_DATE]]-Dealps[[#This Row],[POSTED_DT]]))</f>
        <v>90</v>
      </c>
      <c r="U690" s="25">
        <f>IF(Dealps[[#This Row],[TENOR]]=0,0,IF(Dealps[[#This Row],[DEAL_TYPE]]="B",Dealps[[#This Row],[FACE_AMOUNT]],-Dealps[[#This Row],[FACE_AMOUNT]]))</f>
        <v>200000000000</v>
      </c>
      <c r="V690" s="25">
        <f>_xlfn.XLOOKUP(Dealps[[#This Row],[PAPER_CODE]],FNRP!D:D,FNRP!H:H,0,0)/100*Dealps[[#This Row],[AMOUNT]]</f>
        <v>0</v>
      </c>
      <c r="W690" s="57" t="str">
        <f>IF(Dealps[[#This Row],[TRANSACTION_STATUS]]&lt;&gt;"V","Ngoai BS",IF(Dealps[[#This Row],[POSTED_DT]]&gt;=Dealps[[#This Row],[VALUE_DATE]],"On BS","Off BS"))</f>
        <v>On BS</v>
      </c>
      <c r="X690" s="25">
        <f>SUMIFS(U:U,C:C,Dealps[[#This Row],[PAPER_CODE]])</f>
        <v>1500000000000</v>
      </c>
      <c r="Y690" s="25">
        <f>_xlfn.XLOOKUP(Dealps[[#This Row],[DEAL_ID]],Ref!N:N,Ref!Q:Q,0,0)</f>
        <v>0</v>
      </c>
      <c r="Z690" s="25" t="str">
        <f>IF(Dealps[[#This Row],[CPTY_CODE]]=Dealps[[#This Row],[CPTY_CODE_ISSUER]],"Yes","No")</f>
        <v>No</v>
      </c>
      <c r="AA690" s="25"/>
      <c r="AC690" s="14"/>
      <c r="AG690" s="96"/>
      <c r="AH690" s="14"/>
      <c r="AI690"/>
      <c r="AN690" s="14"/>
      <c r="AV690" s="36"/>
      <c r="AW690" s="14"/>
      <c r="AX690" s="234"/>
      <c r="AY690" s="96"/>
      <c r="AZ690" s="14"/>
      <c r="BA690"/>
      <c r="BB690" s="14"/>
      <c r="BC690" s="14"/>
      <c r="BD690" s="14"/>
      <c r="BE690" s="36"/>
      <c r="BF690" s="20"/>
      <c r="BG690"/>
      <c r="BH690"/>
      <c r="BI690"/>
      <c r="BJ690"/>
      <c r="BK690"/>
      <c r="BL690"/>
      <c r="BM690"/>
      <c r="BN690"/>
      <c r="BS690"/>
      <c r="BT690"/>
      <c r="BU690"/>
      <c r="BV690"/>
    </row>
    <row r="691" spans="1:74" x14ac:dyDescent="0.3">
      <c r="A691" s="93">
        <v>46262</v>
      </c>
      <c r="B691">
        <v>4855</v>
      </c>
      <c r="C691" s="56" t="s">
        <v>1256</v>
      </c>
      <c r="D691" t="s">
        <v>316</v>
      </c>
      <c r="E691" t="s">
        <v>320</v>
      </c>
      <c r="F691" t="s">
        <v>364</v>
      </c>
      <c r="G691" t="s">
        <v>310</v>
      </c>
      <c r="H691" t="s">
        <v>300</v>
      </c>
      <c r="I691" s="93">
        <v>46246</v>
      </c>
      <c r="J691" s="93">
        <v>46246</v>
      </c>
      <c r="K691" s="93">
        <v>46246</v>
      </c>
      <c r="L691" s="93">
        <v>46486</v>
      </c>
      <c r="M691" s="14">
        <v>1</v>
      </c>
      <c r="N691" s="14">
        <v>100000000000</v>
      </c>
      <c r="O691" s="56">
        <v>101.60565644499999</v>
      </c>
      <c r="P691" s="56">
        <v>0</v>
      </c>
      <c r="Q691" s="14">
        <v>104585108500</v>
      </c>
      <c r="R691">
        <v>5.9837049999999996</v>
      </c>
      <c r="S691" t="s">
        <v>1184</v>
      </c>
      <c r="T691" s="57">
        <f>IF(Dealps[[#This Row],[MATURITY_DATE]]-Dealps[[#This Row],[POSTED_DT]]&lt;0,0,IF(Dealps[[#This Row],[VALUE_DATE]]-Dealps[[#This Row],[POSTED_DT]]&gt;0,Dealps[[#This Row],[MATURITY_DATE]]-Dealps[[#This Row],[VALUE_DATE]],Dealps[[#This Row],[MATURITY_DATE]]-Dealps[[#This Row],[POSTED_DT]]))</f>
        <v>224</v>
      </c>
      <c r="U691" s="25">
        <f>IF(Dealps[[#This Row],[TENOR]]=0,0,IF(Dealps[[#This Row],[DEAL_TYPE]]="B",Dealps[[#This Row],[FACE_AMOUNT]],-Dealps[[#This Row],[FACE_AMOUNT]]))</f>
        <v>100000000000</v>
      </c>
      <c r="V691" s="25">
        <f>_xlfn.XLOOKUP(Dealps[[#This Row],[PAPER_CODE]],FNRP!D:D,FNRP!H:H,0,0)/100*Dealps[[#This Row],[AMOUNT]]</f>
        <v>0</v>
      </c>
      <c r="W691" s="57" t="str">
        <f>IF(Dealps[[#This Row],[TRANSACTION_STATUS]]&lt;&gt;"V","Ngoai BS",IF(Dealps[[#This Row],[POSTED_DT]]&gt;=Dealps[[#This Row],[VALUE_DATE]],"On BS","Off BS"))</f>
        <v>On BS</v>
      </c>
      <c r="X691" s="25">
        <f>SUMIFS(U:U,C:C,Dealps[[#This Row],[PAPER_CODE]])</f>
        <v>200000000000</v>
      </c>
      <c r="Y691" s="25">
        <f>_xlfn.XLOOKUP(Dealps[[#This Row],[DEAL_ID]],Ref!N:N,Ref!Q:Q,0,0)</f>
        <v>0</v>
      </c>
      <c r="Z691" s="25" t="str">
        <f>IF(Dealps[[#This Row],[CPTY_CODE]]=Dealps[[#This Row],[CPTY_CODE_ISSUER]],"Yes","No")</f>
        <v>No</v>
      </c>
      <c r="AA691" s="25"/>
      <c r="AC691" s="14"/>
      <c r="AG691" s="96"/>
      <c r="AH691" s="14"/>
      <c r="AI691"/>
      <c r="AN691" s="14"/>
      <c r="AV691" s="36"/>
      <c r="AW691" s="14"/>
      <c r="AX691" s="234"/>
      <c r="AY691" s="96"/>
      <c r="AZ691" s="14"/>
      <c r="BA691"/>
      <c r="BB691" s="14"/>
      <c r="BC691" s="14"/>
      <c r="BD691" s="14"/>
      <c r="BE691" s="36"/>
      <c r="BF691" s="20"/>
      <c r="BG691"/>
      <c r="BH691"/>
      <c r="BI691"/>
      <c r="BJ691"/>
      <c r="BK691"/>
      <c r="BL691"/>
      <c r="BM691"/>
      <c r="BN691"/>
      <c r="BS691"/>
      <c r="BT691"/>
      <c r="BU691"/>
      <c r="BV691"/>
    </row>
    <row r="692" spans="1:74" x14ac:dyDescent="0.3">
      <c r="A692" s="93">
        <v>46262</v>
      </c>
      <c r="B692">
        <v>4856</v>
      </c>
      <c r="C692" s="56" t="s">
        <v>1008</v>
      </c>
      <c r="D692" t="s">
        <v>473</v>
      </c>
      <c r="E692" t="s">
        <v>1443</v>
      </c>
      <c r="F692" t="s">
        <v>364</v>
      </c>
      <c r="G692" t="s">
        <v>310</v>
      </c>
      <c r="H692" t="s">
        <v>300</v>
      </c>
      <c r="I692" s="93">
        <v>46246</v>
      </c>
      <c r="J692" s="93">
        <v>46223</v>
      </c>
      <c r="K692" s="93">
        <v>46246</v>
      </c>
      <c r="L692" s="93">
        <v>46324</v>
      </c>
      <c r="M692" s="14">
        <v>1</v>
      </c>
      <c r="N692" s="14">
        <v>200000000000</v>
      </c>
      <c r="O692" s="56">
        <v>99.717331114000004</v>
      </c>
      <c r="P692" s="56">
        <v>0</v>
      </c>
      <c r="Q692" s="14">
        <v>209134936200</v>
      </c>
      <c r="R692">
        <v>7.2897869999999996</v>
      </c>
      <c r="S692" t="s">
        <v>1184</v>
      </c>
      <c r="T692" s="57">
        <f>IF(Dealps[[#This Row],[MATURITY_DATE]]-Dealps[[#This Row],[POSTED_DT]]&lt;0,0,IF(Dealps[[#This Row],[VALUE_DATE]]-Dealps[[#This Row],[POSTED_DT]]&gt;0,Dealps[[#This Row],[MATURITY_DATE]]-Dealps[[#This Row],[VALUE_DATE]],Dealps[[#This Row],[MATURITY_DATE]]-Dealps[[#This Row],[POSTED_DT]]))</f>
        <v>62</v>
      </c>
      <c r="U692" s="25">
        <f>IF(Dealps[[#This Row],[TENOR]]=0,0,IF(Dealps[[#This Row],[DEAL_TYPE]]="B",Dealps[[#This Row],[FACE_AMOUNT]],-Dealps[[#This Row],[FACE_AMOUNT]]))</f>
        <v>200000000000</v>
      </c>
      <c r="V692" s="25">
        <f>_xlfn.XLOOKUP(Dealps[[#This Row],[PAPER_CODE]],FNRP!D:D,FNRP!H:H,0,0)/100*Dealps[[#This Row],[AMOUNT]]</f>
        <v>0</v>
      </c>
      <c r="W692" s="57" t="str">
        <f>IF(Dealps[[#This Row],[TRANSACTION_STATUS]]&lt;&gt;"V","Ngoai BS",IF(Dealps[[#This Row],[POSTED_DT]]&gt;=Dealps[[#This Row],[VALUE_DATE]],"On BS","Off BS"))</f>
        <v>On BS</v>
      </c>
      <c r="X692" s="25">
        <f>SUMIFS(U:U,C:C,Dealps[[#This Row],[PAPER_CODE]])</f>
        <v>500000000000</v>
      </c>
      <c r="Y692" s="25">
        <f>_xlfn.XLOOKUP(Dealps[[#This Row],[DEAL_ID]],Ref!N:N,Ref!Q:Q,0,0)</f>
        <v>0</v>
      </c>
      <c r="Z692" s="25" t="str">
        <f>IF(Dealps[[#This Row],[CPTY_CODE]]=Dealps[[#This Row],[CPTY_CODE_ISSUER]],"Yes","No")</f>
        <v>No</v>
      </c>
      <c r="AA692" s="25"/>
      <c r="AC692" s="14"/>
      <c r="AG692" s="96"/>
      <c r="AH692" s="14"/>
      <c r="AI692"/>
      <c r="AN692" s="14"/>
      <c r="AV692" s="36"/>
      <c r="AW692" s="14"/>
      <c r="AX692" s="234"/>
      <c r="AY692" s="96"/>
      <c r="AZ692" s="14"/>
      <c r="BA692"/>
      <c r="BB692" s="14"/>
      <c r="BC692" s="14"/>
      <c r="BD692" s="14"/>
      <c r="BE692" s="36"/>
      <c r="BF692" s="20"/>
      <c r="BG692"/>
      <c r="BH692"/>
      <c r="BI692"/>
      <c r="BJ692"/>
      <c r="BK692"/>
      <c r="BL692"/>
      <c r="BM692"/>
      <c r="BN692"/>
      <c r="BS692"/>
      <c r="BT692"/>
      <c r="BU692"/>
      <c r="BV692"/>
    </row>
    <row r="693" spans="1:74" x14ac:dyDescent="0.3">
      <c r="A693" s="93">
        <v>46262</v>
      </c>
      <c r="B693">
        <v>4858</v>
      </c>
      <c r="C693" s="56" t="s">
        <v>1061</v>
      </c>
      <c r="D693" t="s">
        <v>312</v>
      </c>
      <c r="E693" t="s">
        <v>954</v>
      </c>
      <c r="F693" t="s">
        <v>364</v>
      </c>
      <c r="G693" t="s">
        <v>310</v>
      </c>
      <c r="H693" t="s">
        <v>300</v>
      </c>
      <c r="I693" s="93">
        <v>46246</v>
      </c>
      <c r="J693" s="93">
        <v>46237</v>
      </c>
      <c r="K693" s="93">
        <v>46246</v>
      </c>
      <c r="L693" s="93">
        <v>46343</v>
      </c>
      <c r="M693" s="14">
        <v>1</v>
      </c>
      <c r="N693" s="14">
        <v>300000000000</v>
      </c>
      <c r="O693" s="56">
        <v>100.49937694899999</v>
      </c>
      <c r="P693" s="56">
        <v>0</v>
      </c>
      <c r="Q693" s="14">
        <v>315323610300</v>
      </c>
      <c r="R693">
        <v>4.206061</v>
      </c>
      <c r="S693" t="s">
        <v>1184</v>
      </c>
      <c r="T693" s="57">
        <f>IF(Dealps[[#This Row],[MATURITY_DATE]]-Dealps[[#This Row],[POSTED_DT]]&lt;0,0,IF(Dealps[[#This Row],[VALUE_DATE]]-Dealps[[#This Row],[POSTED_DT]]&gt;0,Dealps[[#This Row],[MATURITY_DATE]]-Dealps[[#This Row],[VALUE_DATE]],Dealps[[#This Row],[MATURITY_DATE]]-Dealps[[#This Row],[POSTED_DT]]))</f>
        <v>81</v>
      </c>
      <c r="U693" s="25">
        <f>IF(Dealps[[#This Row],[TENOR]]=0,0,IF(Dealps[[#This Row],[DEAL_TYPE]]="B",Dealps[[#This Row],[FACE_AMOUNT]],-Dealps[[#This Row],[FACE_AMOUNT]]))</f>
        <v>300000000000</v>
      </c>
      <c r="V693" s="25">
        <f>_xlfn.XLOOKUP(Dealps[[#This Row],[PAPER_CODE]],FNRP!D:D,FNRP!H:H,0,0)/100*Dealps[[#This Row],[AMOUNT]]</f>
        <v>0</v>
      </c>
      <c r="W693" s="57" t="str">
        <f>IF(Dealps[[#This Row],[TRANSACTION_STATUS]]&lt;&gt;"V","Ngoai BS",IF(Dealps[[#This Row],[POSTED_DT]]&gt;=Dealps[[#This Row],[VALUE_DATE]],"On BS","Off BS"))</f>
        <v>On BS</v>
      </c>
      <c r="X693" s="25">
        <f>SUMIFS(U:U,C:C,Dealps[[#This Row],[PAPER_CODE]])</f>
        <v>1500000000000</v>
      </c>
      <c r="Y693" s="25">
        <f>_xlfn.XLOOKUP(Dealps[[#This Row],[DEAL_ID]],Ref!N:N,Ref!Q:Q,0,0)</f>
        <v>0</v>
      </c>
      <c r="Z693" s="25" t="str">
        <f>IF(Dealps[[#This Row],[CPTY_CODE]]=Dealps[[#This Row],[CPTY_CODE_ISSUER]],"Yes","No")</f>
        <v>No</v>
      </c>
      <c r="AA693" s="25"/>
      <c r="AC693" s="14"/>
      <c r="AG693" s="96"/>
      <c r="AH693" s="14"/>
      <c r="AI693"/>
      <c r="AN693" s="14"/>
      <c r="AV693" s="36"/>
      <c r="AW693" s="14"/>
      <c r="AX693" s="234"/>
      <c r="AY693" s="96"/>
      <c r="AZ693" s="14"/>
      <c r="BA693"/>
      <c r="BB693" s="14"/>
      <c r="BC693" s="14"/>
      <c r="BD693" s="14"/>
      <c r="BE693" s="36"/>
      <c r="BF693" s="20"/>
      <c r="BG693"/>
      <c r="BH693"/>
      <c r="BI693"/>
      <c r="BJ693"/>
      <c r="BK693"/>
      <c r="BL693"/>
      <c r="BM693"/>
      <c r="BN693"/>
      <c r="BS693"/>
      <c r="BT693"/>
      <c r="BU693"/>
      <c r="BV693"/>
    </row>
    <row r="694" spans="1:74" x14ac:dyDescent="0.3">
      <c r="A694" s="93">
        <v>46262</v>
      </c>
      <c r="B694">
        <v>4859</v>
      </c>
      <c r="C694" s="56" t="s">
        <v>963</v>
      </c>
      <c r="D694" t="s">
        <v>308</v>
      </c>
      <c r="E694" t="s">
        <v>954</v>
      </c>
      <c r="F694" t="s">
        <v>364</v>
      </c>
      <c r="G694" t="s">
        <v>310</v>
      </c>
      <c r="H694" t="s">
        <v>300</v>
      </c>
      <c r="I694" s="93">
        <v>46246</v>
      </c>
      <c r="J694" s="93">
        <v>46237</v>
      </c>
      <c r="K694" s="93">
        <v>46246</v>
      </c>
      <c r="L694" s="93">
        <v>46295</v>
      </c>
      <c r="M694" s="14">
        <v>1</v>
      </c>
      <c r="N694" s="14">
        <v>100000000000</v>
      </c>
      <c r="O694" s="56">
        <v>100.525666238</v>
      </c>
      <c r="P694" s="56">
        <v>0</v>
      </c>
      <c r="Q694" s="14">
        <v>105790049800</v>
      </c>
      <c r="R694">
        <v>2.0647720000000001</v>
      </c>
      <c r="S694" t="s">
        <v>1184</v>
      </c>
      <c r="T694" s="57">
        <f>IF(Dealps[[#This Row],[MATURITY_DATE]]-Dealps[[#This Row],[POSTED_DT]]&lt;0,0,IF(Dealps[[#This Row],[VALUE_DATE]]-Dealps[[#This Row],[POSTED_DT]]&gt;0,Dealps[[#This Row],[MATURITY_DATE]]-Dealps[[#This Row],[VALUE_DATE]],Dealps[[#This Row],[MATURITY_DATE]]-Dealps[[#This Row],[POSTED_DT]]))</f>
        <v>33</v>
      </c>
      <c r="U694" s="25">
        <f>IF(Dealps[[#This Row],[TENOR]]=0,0,IF(Dealps[[#This Row],[DEAL_TYPE]]="B",Dealps[[#This Row],[FACE_AMOUNT]],-Dealps[[#This Row],[FACE_AMOUNT]]))</f>
        <v>100000000000</v>
      </c>
      <c r="V694" s="25">
        <f>_xlfn.XLOOKUP(Dealps[[#This Row],[PAPER_CODE]],FNRP!D:D,FNRP!H:H,0,0)/100*Dealps[[#This Row],[AMOUNT]]</f>
        <v>0</v>
      </c>
      <c r="W694" s="57" t="str">
        <f>IF(Dealps[[#This Row],[TRANSACTION_STATUS]]&lt;&gt;"V","Ngoai BS",IF(Dealps[[#This Row],[POSTED_DT]]&gt;=Dealps[[#This Row],[VALUE_DATE]],"On BS","Off BS"))</f>
        <v>On BS</v>
      </c>
      <c r="X694" s="25">
        <f>SUMIFS(U:U,C:C,Dealps[[#This Row],[PAPER_CODE]])</f>
        <v>400000000000</v>
      </c>
      <c r="Y694" s="25">
        <f>_xlfn.XLOOKUP(Dealps[[#This Row],[DEAL_ID]],Ref!N:N,Ref!Q:Q,0,0)</f>
        <v>0</v>
      </c>
      <c r="Z694" s="25" t="str">
        <f>IF(Dealps[[#This Row],[CPTY_CODE]]=Dealps[[#This Row],[CPTY_CODE_ISSUER]],"Yes","No")</f>
        <v>No</v>
      </c>
      <c r="AA694" s="25"/>
      <c r="AC694" s="14"/>
      <c r="AG694" s="96"/>
      <c r="AH694" s="14"/>
      <c r="AI694"/>
      <c r="AN694" s="14"/>
      <c r="AV694" s="36"/>
      <c r="AW694" s="14"/>
      <c r="AX694" s="234"/>
      <c r="AY694" s="96"/>
      <c r="AZ694" s="14"/>
      <c r="BA694"/>
      <c r="BB694" s="14"/>
      <c r="BC694" s="14"/>
      <c r="BD694" s="14"/>
      <c r="BE694" s="36"/>
      <c r="BF694" s="20"/>
      <c r="BG694"/>
      <c r="BH694"/>
      <c r="BI694"/>
      <c r="BJ694"/>
      <c r="BK694"/>
      <c r="BL694"/>
      <c r="BM694"/>
      <c r="BN694"/>
      <c r="BS694"/>
      <c r="BT694"/>
      <c r="BU694"/>
      <c r="BV694"/>
    </row>
    <row r="695" spans="1:74" x14ac:dyDescent="0.3">
      <c r="A695" s="93">
        <v>46262</v>
      </c>
      <c r="B695">
        <v>4860</v>
      </c>
      <c r="C695" s="56" t="s">
        <v>1292</v>
      </c>
      <c r="D695" t="s">
        <v>334</v>
      </c>
      <c r="E695" t="s">
        <v>315</v>
      </c>
      <c r="F695" t="s">
        <v>364</v>
      </c>
      <c r="G695" t="s">
        <v>310</v>
      </c>
      <c r="H695" t="s">
        <v>311</v>
      </c>
      <c r="I695" s="93">
        <v>46246</v>
      </c>
      <c r="J695" s="93">
        <v>46246</v>
      </c>
      <c r="K695" s="93">
        <v>46248</v>
      </c>
      <c r="L695" s="93">
        <v>46527</v>
      </c>
      <c r="M695" s="14">
        <v>1</v>
      </c>
      <c r="N695" s="14">
        <v>400000000000</v>
      </c>
      <c r="O695" s="56">
        <v>99.879236144999993</v>
      </c>
      <c r="P695" s="56">
        <v>0</v>
      </c>
      <c r="Q695" s="14">
        <v>407434752800</v>
      </c>
      <c r="R695">
        <v>8.5</v>
      </c>
      <c r="S695" t="s">
        <v>1184</v>
      </c>
      <c r="T695" s="57">
        <f>IF(Dealps[[#This Row],[MATURITY_DATE]]-Dealps[[#This Row],[POSTED_DT]]&lt;0,0,IF(Dealps[[#This Row],[VALUE_DATE]]-Dealps[[#This Row],[POSTED_DT]]&gt;0,Dealps[[#This Row],[MATURITY_DATE]]-Dealps[[#This Row],[VALUE_DATE]],Dealps[[#This Row],[MATURITY_DATE]]-Dealps[[#This Row],[POSTED_DT]]))</f>
        <v>265</v>
      </c>
      <c r="U695" s="25">
        <f>IF(Dealps[[#This Row],[TENOR]]=0,0,IF(Dealps[[#This Row],[DEAL_TYPE]]="B",Dealps[[#This Row],[FACE_AMOUNT]],-Dealps[[#This Row],[FACE_AMOUNT]]))</f>
        <v>-400000000000</v>
      </c>
      <c r="V695" s="25">
        <f>_xlfn.XLOOKUP(Dealps[[#This Row],[PAPER_CODE]],FNRP!D:D,FNRP!H:H,0,0)/100*Dealps[[#This Row],[AMOUNT]]</f>
        <v>0</v>
      </c>
      <c r="W695" s="57" t="str">
        <f>IF(Dealps[[#This Row],[TRANSACTION_STATUS]]&lt;&gt;"V","Ngoai BS",IF(Dealps[[#This Row],[POSTED_DT]]&gt;=Dealps[[#This Row],[VALUE_DATE]],"On BS","Off BS"))</f>
        <v>On BS</v>
      </c>
      <c r="X695" s="25">
        <f>SUMIFS(U:U,C:C,Dealps[[#This Row],[PAPER_CODE]])</f>
        <v>2000000000000</v>
      </c>
      <c r="Y695" s="25">
        <f>_xlfn.XLOOKUP(Dealps[[#This Row],[DEAL_ID]],Ref!N:N,Ref!Q:Q,0,0)</f>
        <v>0</v>
      </c>
      <c r="Z695" s="25" t="str">
        <f>IF(Dealps[[#This Row],[CPTY_CODE]]=Dealps[[#This Row],[CPTY_CODE_ISSUER]],"Yes","No")</f>
        <v>No</v>
      </c>
      <c r="AA695" s="25"/>
      <c r="AC695" s="14"/>
      <c r="AG695" s="96"/>
      <c r="AH695" s="14"/>
      <c r="AI695"/>
      <c r="AN695" s="14"/>
      <c r="AV695" s="36"/>
      <c r="AW695" s="14"/>
      <c r="AX695" s="234"/>
      <c r="AY695" s="96"/>
      <c r="AZ695" s="14"/>
      <c r="BA695"/>
      <c r="BB695" s="14"/>
      <c r="BC695" s="14"/>
      <c r="BD695" s="14"/>
      <c r="BE695" s="36"/>
      <c r="BF695" s="20"/>
      <c r="BG695"/>
      <c r="BH695"/>
      <c r="BI695"/>
      <c r="BJ695"/>
      <c r="BK695"/>
      <c r="BL695"/>
      <c r="BM695"/>
      <c r="BN695"/>
      <c r="BS695"/>
      <c r="BT695"/>
      <c r="BU695"/>
      <c r="BV695"/>
    </row>
    <row r="696" spans="1:74" x14ac:dyDescent="0.3">
      <c r="A696" s="93">
        <v>46262</v>
      </c>
      <c r="B696">
        <v>4861</v>
      </c>
      <c r="C696" s="56" t="s">
        <v>1071</v>
      </c>
      <c r="D696" t="s">
        <v>328</v>
      </c>
      <c r="E696" t="s">
        <v>322</v>
      </c>
      <c r="F696" t="s">
        <v>364</v>
      </c>
      <c r="G696" t="s">
        <v>310</v>
      </c>
      <c r="H696" t="s">
        <v>311</v>
      </c>
      <c r="I696" s="93">
        <v>46246</v>
      </c>
      <c r="J696" s="93">
        <v>46246</v>
      </c>
      <c r="K696" s="93">
        <v>46251</v>
      </c>
      <c r="L696" s="93">
        <v>46352</v>
      </c>
      <c r="M696" s="14">
        <v>1</v>
      </c>
      <c r="N696" s="14">
        <v>500000000000</v>
      </c>
      <c r="O696" s="56">
        <v>99.801052962</v>
      </c>
      <c r="P696" s="56">
        <v>0</v>
      </c>
      <c r="Q696" s="14">
        <v>522783347000</v>
      </c>
      <c r="R696">
        <v>7</v>
      </c>
      <c r="S696" t="s">
        <v>1184</v>
      </c>
      <c r="T696" s="57">
        <f>IF(Dealps[[#This Row],[MATURITY_DATE]]-Dealps[[#This Row],[POSTED_DT]]&lt;0,0,IF(Dealps[[#This Row],[VALUE_DATE]]-Dealps[[#This Row],[POSTED_DT]]&gt;0,Dealps[[#This Row],[MATURITY_DATE]]-Dealps[[#This Row],[VALUE_DATE]],Dealps[[#This Row],[MATURITY_DATE]]-Dealps[[#This Row],[POSTED_DT]]))</f>
        <v>90</v>
      </c>
      <c r="U696" s="25">
        <f>IF(Dealps[[#This Row],[TENOR]]=0,0,IF(Dealps[[#This Row],[DEAL_TYPE]]="B",Dealps[[#This Row],[FACE_AMOUNT]],-Dealps[[#This Row],[FACE_AMOUNT]]))</f>
        <v>-500000000000</v>
      </c>
      <c r="V696" s="25">
        <f>_xlfn.XLOOKUP(Dealps[[#This Row],[PAPER_CODE]],FNRP!D:D,FNRP!H:H,0,0)/100*Dealps[[#This Row],[AMOUNT]]</f>
        <v>0</v>
      </c>
      <c r="W696" s="57" t="str">
        <f>IF(Dealps[[#This Row],[TRANSACTION_STATUS]]&lt;&gt;"V","Ngoai BS",IF(Dealps[[#This Row],[POSTED_DT]]&gt;=Dealps[[#This Row],[VALUE_DATE]],"On BS","Off BS"))</f>
        <v>On BS</v>
      </c>
      <c r="X696" s="25">
        <f>SUMIFS(U:U,C:C,Dealps[[#This Row],[PAPER_CODE]])</f>
        <v>1500000000000</v>
      </c>
      <c r="Y696" s="25">
        <f>_xlfn.XLOOKUP(Dealps[[#This Row],[DEAL_ID]],Ref!N:N,Ref!Q:Q,0,0)</f>
        <v>0</v>
      </c>
      <c r="Z696" s="25" t="str">
        <f>IF(Dealps[[#This Row],[CPTY_CODE]]=Dealps[[#This Row],[CPTY_CODE_ISSUER]],"Yes","No")</f>
        <v>No</v>
      </c>
      <c r="AA696" s="25"/>
      <c r="AC696" s="14"/>
      <c r="AG696" s="96"/>
      <c r="AH696" s="14"/>
      <c r="AI696"/>
      <c r="AN696" s="14"/>
      <c r="AV696" s="36"/>
      <c r="AW696" s="14"/>
      <c r="AX696" s="234"/>
      <c r="AY696" s="96"/>
      <c r="AZ696" s="14"/>
      <c r="BA696"/>
      <c r="BB696" s="14"/>
      <c r="BC696" s="14"/>
      <c r="BD696" s="14"/>
      <c r="BE696" s="36"/>
      <c r="BF696" s="20"/>
      <c r="BG696"/>
      <c r="BH696"/>
      <c r="BI696"/>
      <c r="BJ696"/>
      <c r="BK696"/>
      <c r="BL696"/>
      <c r="BM696"/>
      <c r="BN696"/>
      <c r="BS696"/>
      <c r="BT696"/>
      <c r="BU696"/>
      <c r="BV696"/>
    </row>
    <row r="697" spans="1:74" x14ac:dyDescent="0.3">
      <c r="A697" s="93">
        <v>46262</v>
      </c>
      <c r="B697">
        <v>4864</v>
      </c>
      <c r="C697" s="56" t="s">
        <v>1104</v>
      </c>
      <c r="D697" t="s">
        <v>334</v>
      </c>
      <c r="E697" t="s">
        <v>315</v>
      </c>
      <c r="F697" t="s">
        <v>364</v>
      </c>
      <c r="G697" t="s">
        <v>310</v>
      </c>
      <c r="H697" t="s">
        <v>311</v>
      </c>
      <c r="I697" s="93">
        <v>46246</v>
      </c>
      <c r="J697" s="93">
        <v>46246</v>
      </c>
      <c r="K697" s="93">
        <v>46248</v>
      </c>
      <c r="L697" s="93">
        <v>46360</v>
      </c>
      <c r="M697" s="14">
        <v>1</v>
      </c>
      <c r="N697" s="14">
        <v>600000000000</v>
      </c>
      <c r="O697" s="56">
        <v>99.712864984000007</v>
      </c>
      <c r="P697" s="56">
        <v>0</v>
      </c>
      <c r="Q697" s="14">
        <v>626860203600</v>
      </c>
      <c r="R697">
        <v>7.5</v>
      </c>
      <c r="S697" t="s">
        <v>1184</v>
      </c>
      <c r="T697" s="57">
        <f>IF(Dealps[[#This Row],[MATURITY_DATE]]-Dealps[[#This Row],[POSTED_DT]]&lt;0,0,IF(Dealps[[#This Row],[VALUE_DATE]]-Dealps[[#This Row],[POSTED_DT]]&gt;0,Dealps[[#This Row],[MATURITY_DATE]]-Dealps[[#This Row],[VALUE_DATE]],Dealps[[#This Row],[MATURITY_DATE]]-Dealps[[#This Row],[POSTED_DT]]))</f>
        <v>98</v>
      </c>
      <c r="U697" s="25">
        <f>IF(Dealps[[#This Row],[TENOR]]=0,0,IF(Dealps[[#This Row],[DEAL_TYPE]]="B",Dealps[[#This Row],[FACE_AMOUNT]],-Dealps[[#This Row],[FACE_AMOUNT]]))</f>
        <v>-600000000000</v>
      </c>
      <c r="V697" s="25">
        <f>_xlfn.XLOOKUP(Dealps[[#This Row],[PAPER_CODE]],FNRP!D:D,FNRP!H:H,0,0)/100*Dealps[[#This Row],[AMOUNT]]</f>
        <v>0</v>
      </c>
      <c r="W697" s="57" t="str">
        <f>IF(Dealps[[#This Row],[TRANSACTION_STATUS]]&lt;&gt;"V","Ngoai BS",IF(Dealps[[#This Row],[POSTED_DT]]&gt;=Dealps[[#This Row],[VALUE_DATE]],"On BS","Off BS"))</f>
        <v>On BS</v>
      </c>
      <c r="X697" s="25">
        <f>SUMIFS(U:U,C:C,Dealps[[#This Row],[PAPER_CODE]])</f>
        <v>1000000000000</v>
      </c>
      <c r="Y697" s="25">
        <f>_xlfn.XLOOKUP(Dealps[[#This Row],[DEAL_ID]],Ref!N:N,Ref!Q:Q,0,0)</f>
        <v>0</v>
      </c>
      <c r="Z697" s="25" t="str">
        <f>IF(Dealps[[#This Row],[CPTY_CODE]]=Dealps[[#This Row],[CPTY_CODE_ISSUER]],"Yes","No")</f>
        <v>No</v>
      </c>
      <c r="AA697" s="25"/>
      <c r="AC697" s="14"/>
      <c r="AG697" s="96"/>
      <c r="AH697" s="14"/>
      <c r="AI697"/>
      <c r="AN697" s="14"/>
      <c r="AV697" s="36"/>
      <c r="AW697" s="14"/>
      <c r="AX697" s="234"/>
      <c r="AY697" s="96"/>
      <c r="AZ697" s="14"/>
      <c r="BA697"/>
      <c r="BB697" s="14"/>
      <c r="BC697" s="14"/>
      <c r="BD697" s="14"/>
      <c r="BE697" s="36"/>
      <c r="BF697" s="20"/>
      <c r="BG697"/>
      <c r="BH697"/>
      <c r="BI697"/>
      <c r="BJ697"/>
      <c r="BK697"/>
      <c r="BL697"/>
      <c r="BM697"/>
      <c r="BN697"/>
      <c r="BS697"/>
      <c r="BT697"/>
      <c r="BU697"/>
      <c r="BV697"/>
    </row>
    <row r="698" spans="1:74" x14ac:dyDescent="0.3">
      <c r="A698" s="93">
        <v>46262</v>
      </c>
      <c r="B698">
        <v>4866</v>
      </c>
      <c r="C698" s="56" t="s">
        <v>1508</v>
      </c>
      <c r="D698" t="s">
        <v>313</v>
      </c>
      <c r="E698" t="s">
        <v>313</v>
      </c>
      <c r="F698" t="s">
        <v>364</v>
      </c>
      <c r="G698" t="s">
        <v>310</v>
      </c>
      <c r="H698" t="s">
        <v>300</v>
      </c>
      <c r="I698" s="93">
        <v>46246</v>
      </c>
      <c r="J698" s="93">
        <v>46246</v>
      </c>
      <c r="K698" s="93">
        <v>46247</v>
      </c>
      <c r="L698" s="93">
        <v>46605</v>
      </c>
      <c r="M698" s="14">
        <v>1</v>
      </c>
      <c r="N698" s="14">
        <v>200000000000</v>
      </c>
      <c r="O698" s="56">
        <v>100</v>
      </c>
      <c r="P698" s="56">
        <v>0</v>
      </c>
      <c r="Q698" s="14">
        <v>200000000000</v>
      </c>
      <c r="R698">
        <v>9.8000000000000007</v>
      </c>
      <c r="S698" t="s">
        <v>1184</v>
      </c>
      <c r="T698" s="57">
        <f>IF(Dealps[[#This Row],[MATURITY_DATE]]-Dealps[[#This Row],[POSTED_DT]]&lt;0,0,IF(Dealps[[#This Row],[VALUE_DATE]]-Dealps[[#This Row],[POSTED_DT]]&gt;0,Dealps[[#This Row],[MATURITY_DATE]]-Dealps[[#This Row],[VALUE_DATE]],Dealps[[#This Row],[MATURITY_DATE]]-Dealps[[#This Row],[POSTED_DT]]))</f>
        <v>343</v>
      </c>
      <c r="U698" s="25">
        <f>IF(Dealps[[#This Row],[TENOR]]=0,0,IF(Dealps[[#This Row],[DEAL_TYPE]]="B",Dealps[[#This Row],[FACE_AMOUNT]],-Dealps[[#This Row],[FACE_AMOUNT]]))</f>
        <v>200000000000</v>
      </c>
      <c r="V698" s="25">
        <f>_xlfn.XLOOKUP(Dealps[[#This Row],[PAPER_CODE]],FNRP!D:D,FNRP!H:H,0,0)/100*Dealps[[#This Row],[AMOUNT]]</f>
        <v>0</v>
      </c>
      <c r="W698" s="57" t="str">
        <f>IF(Dealps[[#This Row],[TRANSACTION_STATUS]]&lt;&gt;"V","Ngoai BS",IF(Dealps[[#This Row],[POSTED_DT]]&gt;=Dealps[[#This Row],[VALUE_DATE]],"On BS","Off BS"))</f>
        <v>On BS</v>
      </c>
      <c r="X698" s="25">
        <f>SUMIFS(U:U,C:C,Dealps[[#This Row],[PAPER_CODE]])</f>
        <v>200000000000</v>
      </c>
      <c r="Y698" s="25">
        <f>_xlfn.XLOOKUP(Dealps[[#This Row],[DEAL_ID]],Ref!N:N,Ref!Q:Q,0,0)</f>
        <v>0</v>
      </c>
      <c r="Z698" s="25" t="str">
        <f>IF(Dealps[[#This Row],[CPTY_CODE]]=Dealps[[#This Row],[CPTY_CODE_ISSUER]],"Yes","No")</f>
        <v>Yes</v>
      </c>
      <c r="AA698" s="25"/>
      <c r="AC698" s="14"/>
      <c r="AG698" s="96"/>
      <c r="AH698" s="14"/>
      <c r="AI698"/>
      <c r="AN698" s="14"/>
      <c r="AV698" s="36"/>
      <c r="AW698" s="14"/>
      <c r="AX698" s="234"/>
      <c r="AY698" s="96"/>
      <c r="AZ698" s="14"/>
      <c r="BA698"/>
      <c r="BB698" s="14"/>
      <c r="BC698" s="14"/>
      <c r="BD698" s="14"/>
      <c r="BE698" s="36"/>
      <c r="BF698" s="20"/>
      <c r="BG698"/>
      <c r="BH698"/>
      <c r="BI698"/>
      <c r="BJ698"/>
      <c r="BK698"/>
      <c r="BL698"/>
      <c r="BM698"/>
      <c r="BN698"/>
      <c r="BS698"/>
      <c r="BT698"/>
      <c r="BU698"/>
      <c r="BV698"/>
    </row>
    <row r="699" spans="1:74" x14ac:dyDescent="0.3">
      <c r="A699" s="93">
        <v>46262</v>
      </c>
      <c r="B699">
        <v>4867</v>
      </c>
      <c r="C699" s="56" t="s">
        <v>1507</v>
      </c>
      <c r="D699" t="s">
        <v>347</v>
      </c>
      <c r="E699" t="s">
        <v>347</v>
      </c>
      <c r="F699" t="s">
        <v>364</v>
      </c>
      <c r="G699" t="s">
        <v>310</v>
      </c>
      <c r="H699" t="s">
        <v>300</v>
      </c>
      <c r="I699" s="93">
        <v>46246</v>
      </c>
      <c r="J699" s="93">
        <v>46246</v>
      </c>
      <c r="K699" s="93">
        <v>46247</v>
      </c>
      <c r="L699" s="93">
        <v>46604</v>
      </c>
      <c r="M699" s="14">
        <v>1</v>
      </c>
      <c r="N699" s="14">
        <v>1000000000000</v>
      </c>
      <c r="O699" s="56">
        <v>100</v>
      </c>
      <c r="P699" s="56">
        <v>0</v>
      </c>
      <c r="Q699" s="14">
        <v>1000000000000</v>
      </c>
      <c r="R699">
        <v>9.1</v>
      </c>
      <c r="S699" t="s">
        <v>1184</v>
      </c>
      <c r="T699" s="57">
        <f>IF(Dealps[[#This Row],[MATURITY_DATE]]-Dealps[[#This Row],[POSTED_DT]]&lt;0,0,IF(Dealps[[#This Row],[VALUE_DATE]]-Dealps[[#This Row],[POSTED_DT]]&gt;0,Dealps[[#This Row],[MATURITY_DATE]]-Dealps[[#This Row],[VALUE_DATE]],Dealps[[#This Row],[MATURITY_DATE]]-Dealps[[#This Row],[POSTED_DT]]))</f>
        <v>342</v>
      </c>
      <c r="U699" s="25">
        <f>IF(Dealps[[#This Row],[TENOR]]=0,0,IF(Dealps[[#This Row],[DEAL_TYPE]]="B",Dealps[[#This Row],[FACE_AMOUNT]],-Dealps[[#This Row],[FACE_AMOUNT]]))</f>
        <v>1000000000000</v>
      </c>
      <c r="V699" s="25">
        <f>_xlfn.XLOOKUP(Dealps[[#This Row],[PAPER_CODE]],FNRP!D:D,FNRP!H:H,0,0)/100*Dealps[[#This Row],[AMOUNT]]</f>
        <v>0</v>
      </c>
      <c r="W699" s="57" t="str">
        <f>IF(Dealps[[#This Row],[TRANSACTION_STATUS]]&lt;&gt;"V","Ngoai BS",IF(Dealps[[#This Row],[POSTED_DT]]&gt;=Dealps[[#This Row],[VALUE_DATE]],"On BS","Off BS"))</f>
        <v>On BS</v>
      </c>
      <c r="X699" s="25">
        <f>SUMIFS(U:U,C:C,Dealps[[#This Row],[PAPER_CODE]])</f>
        <v>1000000000000</v>
      </c>
      <c r="Y699" s="25">
        <f>_xlfn.XLOOKUP(Dealps[[#This Row],[DEAL_ID]],Ref!N:N,Ref!Q:Q,0,0)</f>
        <v>0</v>
      </c>
      <c r="Z699" s="25" t="str">
        <f>IF(Dealps[[#This Row],[CPTY_CODE]]=Dealps[[#This Row],[CPTY_CODE_ISSUER]],"Yes","No")</f>
        <v>Yes</v>
      </c>
      <c r="AA699" s="25"/>
      <c r="AC699" s="14"/>
      <c r="AG699" s="96"/>
      <c r="AH699" s="14"/>
      <c r="AI699"/>
      <c r="AN699" s="14"/>
      <c r="AV699" s="36"/>
      <c r="AW699" s="14"/>
      <c r="AX699" s="234"/>
      <c r="AY699" s="96"/>
      <c r="AZ699" s="14"/>
      <c r="BA699"/>
      <c r="BE699" s="14"/>
      <c r="BF699" s="25"/>
      <c r="BL699" s="15"/>
      <c r="BN699"/>
      <c r="BR699" s="14"/>
      <c r="BV699"/>
    </row>
    <row r="700" spans="1:74" x14ac:dyDescent="0.3">
      <c r="A700" s="93">
        <v>46262</v>
      </c>
      <c r="B700">
        <v>4868</v>
      </c>
      <c r="C700" s="56" t="s">
        <v>1204</v>
      </c>
      <c r="D700" t="s">
        <v>315</v>
      </c>
      <c r="E700" t="s">
        <v>384</v>
      </c>
      <c r="F700" t="s">
        <v>364</v>
      </c>
      <c r="G700" t="s">
        <v>310</v>
      </c>
      <c r="H700" t="s">
        <v>311</v>
      </c>
      <c r="I700" s="93">
        <v>46247</v>
      </c>
      <c r="J700" s="93">
        <v>46247</v>
      </c>
      <c r="K700" s="93">
        <v>46247</v>
      </c>
      <c r="L700" s="93">
        <v>46422</v>
      </c>
      <c r="M700" s="14">
        <v>1</v>
      </c>
      <c r="N700" s="14">
        <v>500000000000</v>
      </c>
      <c r="O700" s="56">
        <v>100.715984277</v>
      </c>
      <c r="P700" s="56">
        <v>0</v>
      </c>
      <c r="Q700" s="14">
        <v>522423757000.00006</v>
      </c>
      <c r="R700">
        <v>5.5</v>
      </c>
      <c r="S700" t="s">
        <v>1184</v>
      </c>
      <c r="T700" s="57">
        <f>IF(Dealps[[#This Row],[MATURITY_DATE]]-Dealps[[#This Row],[POSTED_DT]]&lt;0,0,IF(Dealps[[#This Row],[VALUE_DATE]]-Dealps[[#This Row],[POSTED_DT]]&gt;0,Dealps[[#This Row],[MATURITY_DATE]]-Dealps[[#This Row],[VALUE_DATE]],Dealps[[#This Row],[MATURITY_DATE]]-Dealps[[#This Row],[POSTED_DT]]))</f>
        <v>160</v>
      </c>
      <c r="U700" s="25">
        <f>IF(Dealps[[#This Row],[TENOR]]=0,0,IF(Dealps[[#This Row],[DEAL_TYPE]]="B",Dealps[[#This Row],[FACE_AMOUNT]],-Dealps[[#This Row],[FACE_AMOUNT]]))</f>
        <v>-500000000000</v>
      </c>
      <c r="V700" s="25">
        <f>_xlfn.XLOOKUP(Dealps[[#This Row],[PAPER_CODE]],FNRP!D:D,FNRP!H:H,0,0)/100*Dealps[[#This Row],[AMOUNT]]</f>
        <v>0</v>
      </c>
      <c r="W700" s="57" t="str">
        <f>IF(Dealps[[#This Row],[TRANSACTION_STATUS]]&lt;&gt;"V","Ngoai BS",IF(Dealps[[#This Row],[POSTED_DT]]&gt;=Dealps[[#This Row],[VALUE_DATE]],"On BS","Off BS"))</f>
        <v>On BS</v>
      </c>
      <c r="X700" s="25">
        <f>SUMIFS(U:U,C:C,Dealps[[#This Row],[PAPER_CODE]])</f>
        <v>1000000000000</v>
      </c>
      <c r="Y700" s="25">
        <f>_xlfn.XLOOKUP(Dealps[[#This Row],[DEAL_ID]],Ref!N:N,Ref!Q:Q,0,0)</f>
        <v>0</v>
      </c>
      <c r="Z700" s="25" t="str">
        <f>IF(Dealps[[#This Row],[CPTY_CODE]]=Dealps[[#This Row],[CPTY_CODE_ISSUER]],"Yes","No")</f>
        <v>No</v>
      </c>
      <c r="AA700" s="25"/>
      <c r="AC700" s="14"/>
      <c r="AG700" s="96"/>
      <c r="AH700" s="14"/>
      <c r="AI700"/>
      <c r="AN700" s="14"/>
      <c r="AV700" s="36"/>
      <c r="AW700" s="14"/>
      <c r="AX700" s="234"/>
      <c r="AY700" s="96"/>
      <c r="AZ700" s="14"/>
      <c r="BA700"/>
      <c r="BE700" s="14"/>
      <c r="BF700" s="25"/>
      <c r="BL700" s="15"/>
      <c r="BN700"/>
      <c r="BR700" s="14"/>
      <c r="BV700"/>
    </row>
    <row r="701" spans="1:74" x14ac:dyDescent="0.3">
      <c r="A701" s="93">
        <v>46262</v>
      </c>
      <c r="B701">
        <v>4870</v>
      </c>
      <c r="C701" s="56" t="s">
        <v>1071</v>
      </c>
      <c r="D701" t="s">
        <v>328</v>
      </c>
      <c r="E701" t="s">
        <v>1443</v>
      </c>
      <c r="F701" t="s">
        <v>364</v>
      </c>
      <c r="G701" t="s">
        <v>310</v>
      </c>
      <c r="H701" t="s">
        <v>311</v>
      </c>
      <c r="I701" s="93">
        <v>46247</v>
      </c>
      <c r="J701" s="93">
        <v>46247</v>
      </c>
      <c r="K701" s="93">
        <v>46248</v>
      </c>
      <c r="L701" s="93">
        <v>46352</v>
      </c>
      <c r="M701" s="14">
        <v>1</v>
      </c>
      <c r="N701" s="14">
        <v>500000000000</v>
      </c>
      <c r="O701" s="56">
        <v>100.383449137</v>
      </c>
      <c r="P701" s="56">
        <v>0</v>
      </c>
      <c r="Q701" s="14">
        <v>525424095000.00006</v>
      </c>
      <c r="R701">
        <v>5</v>
      </c>
      <c r="S701" t="s">
        <v>1184</v>
      </c>
      <c r="T701" s="57">
        <f>IF(Dealps[[#This Row],[MATURITY_DATE]]-Dealps[[#This Row],[POSTED_DT]]&lt;0,0,IF(Dealps[[#This Row],[VALUE_DATE]]-Dealps[[#This Row],[POSTED_DT]]&gt;0,Dealps[[#This Row],[MATURITY_DATE]]-Dealps[[#This Row],[VALUE_DATE]],Dealps[[#This Row],[MATURITY_DATE]]-Dealps[[#This Row],[POSTED_DT]]))</f>
        <v>90</v>
      </c>
      <c r="U701" s="25">
        <f>IF(Dealps[[#This Row],[TENOR]]=0,0,IF(Dealps[[#This Row],[DEAL_TYPE]]="B",Dealps[[#This Row],[FACE_AMOUNT]],-Dealps[[#This Row],[FACE_AMOUNT]]))</f>
        <v>-500000000000</v>
      </c>
      <c r="V701" s="25">
        <f>_xlfn.XLOOKUP(Dealps[[#This Row],[PAPER_CODE]],FNRP!D:D,FNRP!H:H,0,0)/100*Dealps[[#This Row],[AMOUNT]]</f>
        <v>0</v>
      </c>
      <c r="W701" s="57" t="str">
        <f>IF(Dealps[[#This Row],[TRANSACTION_STATUS]]&lt;&gt;"V","Ngoai BS",IF(Dealps[[#This Row],[POSTED_DT]]&gt;=Dealps[[#This Row],[VALUE_DATE]],"On BS","Off BS"))</f>
        <v>On BS</v>
      </c>
      <c r="X701" s="25">
        <f>SUMIFS(U:U,C:C,Dealps[[#This Row],[PAPER_CODE]])</f>
        <v>1500000000000</v>
      </c>
      <c r="Y701" s="25">
        <f>_xlfn.XLOOKUP(Dealps[[#This Row],[DEAL_ID]],Ref!N:N,Ref!Q:Q,0,0)</f>
        <v>0</v>
      </c>
      <c r="Z701" s="25" t="str">
        <f>IF(Dealps[[#This Row],[CPTY_CODE]]=Dealps[[#This Row],[CPTY_CODE_ISSUER]],"Yes","No")</f>
        <v>No</v>
      </c>
      <c r="AA701" s="25"/>
      <c r="AC701" s="14"/>
      <c r="AG701" s="96"/>
      <c r="AH701" s="14"/>
      <c r="AI701"/>
      <c r="AN701" s="14"/>
      <c r="AV701" s="36"/>
      <c r="AW701" s="14"/>
      <c r="AX701" s="234"/>
      <c r="AY701" s="96"/>
      <c r="AZ701" s="14"/>
      <c r="BA701"/>
      <c r="BB701" s="20"/>
      <c r="BC701" s="20"/>
      <c r="BD701" s="20"/>
      <c r="BE701" s="14"/>
      <c r="BF701" s="25"/>
      <c r="BL701" s="15"/>
      <c r="BN701"/>
      <c r="BR701" s="14"/>
      <c r="BV701"/>
    </row>
    <row r="702" spans="1:74" x14ac:dyDescent="0.3">
      <c r="A702" s="93">
        <v>46262</v>
      </c>
      <c r="B702">
        <v>4872</v>
      </c>
      <c r="C702" s="56" t="s">
        <v>1207</v>
      </c>
      <c r="D702" t="s">
        <v>384</v>
      </c>
      <c r="E702" t="s">
        <v>1383</v>
      </c>
      <c r="F702" t="s">
        <v>364</v>
      </c>
      <c r="G702" t="s">
        <v>310</v>
      </c>
      <c r="H702" t="s">
        <v>311</v>
      </c>
      <c r="I702" s="93">
        <v>46247</v>
      </c>
      <c r="J702" s="93">
        <v>46247</v>
      </c>
      <c r="K702" s="93">
        <v>46248</v>
      </c>
      <c r="L702" s="93">
        <v>46419</v>
      </c>
      <c r="M702" s="14">
        <v>1</v>
      </c>
      <c r="N702" s="14">
        <v>24000000000</v>
      </c>
      <c r="O702" s="56">
        <v>100.80050577900001</v>
      </c>
      <c r="P702" s="56">
        <v>0</v>
      </c>
      <c r="Q702" s="14">
        <v>25165272072</v>
      </c>
      <c r="R702">
        <v>6</v>
      </c>
      <c r="S702" t="s">
        <v>1184</v>
      </c>
      <c r="T702" s="57">
        <f>IF(Dealps[[#This Row],[MATURITY_DATE]]-Dealps[[#This Row],[POSTED_DT]]&lt;0,0,IF(Dealps[[#This Row],[VALUE_DATE]]-Dealps[[#This Row],[POSTED_DT]]&gt;0,Dealps[[#This Row],[MATURITY_DATE]]-Dealps[[#This Row],[VALUE_DATE]],Dealps[[#This Row],[MATURITY_DATE]]-Dealps[[#This Row],[POSTED_DT]]))</f>
        <v>157</v>
      </c>
      <c r="U702" s="25">
        <f>IF(Dealps[[#This Row],[TENOR]]=0,0,IF(Dealps[[#This Row],[DEAL_TYPE]]="B",Dealps[[#This Row],[FACE_AMOUNT]],-Dealps[[#This Row],[FACE_AMOUNT]]))</f>
        <v>-24000000000</v>
      </c>
      <c r="V702" s="25">
        <f>_xlfn.XLOOKUP(Dealps[[#This Row],[PAPER_CODE]],FNRP!D:D,FNRP!H:H,0,0)/100*Dealps[[#This Row],[AMOUNT]]</f>
        <v>0</v>
      </c>
      <c r="W702" s="57" t="str">
        <f>IF(Dealps[[#This Row],[TRANSACTION_STATUS]]&lt;&gt;"V","Ngoai BS",IF(Dealps[[#This Row],[POSTED_DT]]&gt;=Dealps[[#This Row],[VALUE_DATE]],"On BS","Off BS"))</f>
        <v>On BS</v>
      </c>
      <c r="X702" s="25">
        <f>SUMIFS(U:U,C:C,Dealps[[#This Row],[PAPER_CODE]])</f>
        <v>200000000000</v>
      </c>
      <c r="Y702" s="25">
        <f>_xlfn.XLOOKUP(Dealps[[#This Row],[DEAL_ID]],Ref!N:N,Ref!Q:Q,0,0)</f>
        <v>0</v>
      </c>
      <c r="Z702" s="25" t="str">
        <f>IF(Dealps[[#This Row],[CPTY_CODE]]=Dealps[[#This Row],[CPTY_CODE_ISSUER]],"Yes","No")</f>
        <v>No</v>
      </c>
      <c r="AA702" s="25"/>
      <c r="AC702" s="14"/>
      <c r="AG702" s="96"/>
      <c r="AH702" s="14"/>
      <c r="AI702"/>
      <c r="AN702" s="14"/>
      <c r="AV702" s="36"/>
      <c r="AW702" s="14"/>
      <c r="AX702" s="234"/>
      <c r="AY702" s="96"/>
      <c r="AZ702" s="14"/>
      <c r="BA702"/>
      <c r="BE702" s="14"/>
      <c r="BF702" s="25"/>
      <c r="BL702" s="15"/>
      <c r="BN702"/>
      <c r="BR702" s="14"/>
      <c r="BV702"/>
    </row>
    <row r="703" spans="1:74" x14ac:dyDescent="0.3">
      <c r="A703" s="93">
        <v>46262</v>
      </c>
      <c r="B703">
        <v>4874</v>
      </c>
      <c r="C703" s="56" t="s">
        <v>1382</v>
      </c>
      <c r="D703" t="s">
        <v>473</v>
      </c>
      <c r="E703" t="s">
        <v>1005</v>
      </c>
      <c r="F703" t="s">
        <v>364</v>
      </c>
      <c r="G703" t="s">
        <v>310</v>
      </c>
      <c r="H703" t="s">
        <v>300</v>
      </c>
      <c r="I703" s="93">
        <v>46248</v>
      </c>
      <c r="J703" s="93">
        <v>46248</v>
      </c>
      <c r="K703" s="93">
        <v>46248</v>
      </c>
      <c r="L703" s="93">
        <v>46563</v>
      </c>
      <c r="M703" s="14">
        <v>1</v>
      </c>
      <c r="N703" s="14">
        <v>1000000000000</v>
      </c>
      <c r="O703" s="56">
        <v>99.922506361999993</v>
      </c>
      <c r="P703" s="56">
        <v>0</v>
      </c>
      <c r="Q703" s="14">
        <v>1009581228000</v>
      </c>
      <c r="R703">
        <v>9.0035290000000003</v>
      </c>
      <c r="S703" t="s">
        <v>1184</v>
      </c>
      <c r="T703" s="57">
        <f>IF(Dealps[[#This Row],[MATURITY_DATE]]-Dealps[[#This Row],[POSTED_DT]]&lt;0,0,IF(Dealps[[#This Row],[VALUE_DATE]]-Dealps[[#This Row],[POSTED_DT]]&gt;0,Dealps[[#This Row],[MATURITY_DATE]]-Dealps[[#This Row],[VALUE_DATE]],Dealps[[#This Row],[MATURITY_DATE]]-Dealps[[#This Row],[POSTED_DT]]))</f>
        <v>301</v>
      </c>
      <c r="U703" s="25">
        <f>IF(Dealps[[#This Row],[TENOR]]=0,0,IF(Dealps[[#This Row],[DEAL_TYPE]]="B",Dealps[[#This Row],[FACE_AMOUNT]],-Dealps[[#This Row],[FACE_AMOUNT]]))</f>
        <v>1000000000000</v>
      </c>
      <c r="V703" s="25">
        <f>_xlfn.XLOOKUP(Dealps[[#This Row],[PAPER_CODE]],FNRP!D:D,FNRP!H:H,0,0)/100*Dealps[[#This Row],[AMOUNT]]</f>
        <v>0</v>
      </c>
      <c r="W703" s="57" t="str">
        <f>IF(Dealps[[#This Row],[TRANSACTION_STATUS]]&lt;&gt;"V","Ngoai BS",IF(Dealps[[#This Row],[POSTED_DT]]&gt;=Dealps[[#This Row],[VALUE_DATE]],"On BS","Off BS"))</f>
        <v>On BS</v>
      </c>
      <c r="X703" s="25">
        <f>SUMIFS(U:U,C:C,Dealps[[#This Row],[PAPER_CODE]])</f>
        <v>1000000000000</v>
      </c>
      <c r="Y703" s="25">
        <f>_xlfn.XLOOKUP(Dealps[[#This Row],[DEAL_ID]],Ref!N:N,Ref!Q:Q,0,0)</f>
        <v>0</v>
      </c>
      <c r="Z703" s="25" t="str">
        <f>IF(Dealps[[#This Row],[CPTY_CODE]]=Dealps[[#This Row],[CPTY_CODE_ISSUER]],"Yes","No")</f>
        <v>No</v>
      </c>
      <c r="AA703" s="25"/>
      <c r="AC703" s="14"/>
      <c r="AG703" s="96"/>
      <c r="AH703" s="14"/>
      <c r="AI703"/>
      <c r="AN703" s="14"/>
      <c r="AV703" s="36"/>
      <c r="AW703" s="14"/>
      <c r="AX703" s="234"/>
      <c r="AY703" s="96"/>
      <c r="AZ703" s="14"/>
      <c r="BA703"/>
      <c r="BE703" s="14"/>
      <c r="BF703" s="25"/>
      <c r="BL703" s="15"/>
      <c r="BN703"/>
      <c r="BR703" s="14"/>
      <c r="BV703"/>
    </row>
    <row r="704" spans="1:74" x14ac:dyDescent="0.3">
      <c r="A704" s="93">
        <v>46262</v>
      </c>
      <c r="B704">
        <v>4875</v>
      </c>
      <c r="C704" s="56" t="s">
        <v>1382</v>
      </c>
      <c r="D704" t="s">
        <v>473</v>
      </c>
      <c r="E704" t="s">
        <v>347</v>
      </c>
      <c r="F704" t="s">
        <v>364</v>
      </c>
      <c r="G704" t="s">
        <v>310</v>
      </c>
      <c r="H704" t="s">
        <v>311</v>
      </c>
      <c r="I704" s="93">
        <v>46248</v>
      </c>
      <c r="J704" s="93">
        <v>46248</v>
      </c>
      <c r="K704" s="93">
        <v>46251</v>
      </c>
      <c r="L704" s="93">
        <v>46563</v>
      </c>
      <c r="M704" s="14">
        <v>1</v>
      </c>
      <c r="N704" s="14">
        <v>1000000000000</v>
      </c>
      <c r="O704" s="56">
        <v>100.323287959</v>
      </c>
      <c r="P704" s="56">
        <v>0</v>
      </c>
      <c r="Q704" s="14">
        <v>1014328770000</v>
      </c>
      <c r="R704">
        <v>8.5</v>
      </c>
      <c r="S704" t="s">
        <v>1184</v>
      </c>
      <c r="T704" s="57">
        <f>IF(Dealps[[#This Row],[MATURITY_DATE]]-Dealps[[#This Row],[POSTED_DT]]&lt;0,0,IF(Dealps[[#This Row],[VALUE_DATE]]-Dealps[[#This Row],[POSTED_DT]]&gt;0,Dealps[[#This Row],[MATURITY_DATE]]-Dealps[[#This Row],[VALUE_DATE]],Dealps[[#This Row],[MATURITY_DATE]]-Dealps[[#This Row],[POSTED_DT]]))</f>
        <v>301</v>
      </c>
      <c r="U704" s="25">
        <f>IF(Dealps[[#This Row],[TENOR]]=0,0,IF(Dealps[[#This Row],[DEAL_TYPE]]="B",Dealps[[#This Row],[FACE_AMOUNT]],-Dealps[[#This Row],[FACE_AMOUNT]]))</f>
        <v>-1000000000000</v>
      </c>
      <c r="V704" s="25">
        <f>_xlfn.XLOOKUP(Dealps[[#This Row],[PAPER_CODE]],FNRP!D:D,FNRP!H:H,0,0)/100*Dealps[[#This Row],[AMOUNT]]</f>
        <v>0</v>
      </c>
      <c r="W704" s="57" t="str">
        <f>IF(Dealps[[#This Row],[TRANSACTION_STATUS]]&lt;&gt;"V","Ngoai BS",IF(Dealps[[#This Row],[POSTED_DT]]&gt;=Dealps[[#This Row],[VALUE_DATE]],"On BS","Off BS"))</f>
        <v>On BS</v>
      </c>
      <c r="X704" s="25">
        <f>SUMIFS(U:U,C:C,Dealps[[#This Row],[PAPER_CODE]])</f>
        <v>1000000000000</v>
      </c>
      <c r="Y704" s="25">
        <f>_xlfn.XLOOKUP(Dealps[[#This Row],[DEAL_ID]],Ref!N:N,Ref!Q:Q,0,0)</f>
        <v>0</v>
      </c>
      <c r="Z704" s="25" t="str">
        <f>IF(Dealps[[#This Row],[CPTY_CODE]]=Dealps[[#This Row],[CPTY_CODE_ISSUER]],"Yes","No")</f>
        <v>No</v>
      </c>
      <c r="AA704" s="25"/>
      <c r="AC704" s="14"/>
      <c r="AG704" s="96"/>
      <c r="AH704" s="14"/>
      <c r="AI704"/>
      <c r="AN704" s="14"/>
      <c r="AV704" s="36"/>
      <c r="AW704" s="14"/>
      <c r="AX704" s="234"/>
      <c r="AY704" s="96"/>
      <c r="AZ704" s="14"/>
      <c r="BA704"/>
      <c r="BE704" s="14"/>
      <c r="BF704" s="25"/>
      <c r="BL704" s="15"/>
      <c r="BN704"/>
      <c r="BR704" s="14"/>
      <c r="BV704"/>
    </row>
    <row r="705" spans="1:74" x14ac:dyDescent="0.3">
      <c r="A705" s="93">
        <v>46262</v>
      </c>
      <c r="B705">
        <v>4876</v>
      </c>
      <c r="C705" s="56" t="s">
        <v>1382</v>
      </c>
      <c r="D705" t="s">
        <v>473</v>
      </c>
      <c r="E705" t="s">
        <v>347</v>
      </c>
      <c r="F705" t="s">
        <v>364</v>
      </c>
      <c r="G705" t="s">
        <v>310</v>
      </c>
      <c r="H705" t="s">
        <v>300</v>
      </c>
      <c r="I705" s="93">
        <v>46248</v>
      </c>
      <c r="J705" s="93">
        <v>46274</v>
      </c>
      <c r="K705" s="93">
        <v>46274</v>
      </c>
      <c r="L705" s="93">
        <v>46563</v>
      </c>
      <c r="M705" s="14">
        <v>1</v>
      </c>
      <c r="N705" s="14">
        <v>1000000000000</v>
      </c>
      <c r="O705" s="56">
        <v>100.20358097099999</v>
      </c>
      <c r="P705" s="56">
        <v>0</v>
      </c>
      <c r="Q705" s="14">
        <v>1018802933000.0001</v>
      </c>
      <c r="R705">
        <v>8.5815239999999999</v>
      </c>
      <c r="S705" t="s">
        <v>651</v>
      </c>
      <c r="T705" s="57">
        <f>IF(Dealps[[#This Row],[MATURITY_DATE]]-Dealps[[#This Row],[POSTED_DT]]&lt;0,0,IF(Dealps[[#This Row],[VALUE_DATE]]-Dealps[[#This Row],[POSTED_DT]]&gt;0,Dealps[[#This Row],[MATURITY_DATE]]-Dealps[[#This Row],[VALUE_DATE]],Dealps[[#This Row],[MATURITY_DATE]]-Dealps[[#This Row],[POSTED_DT]]))</f>
        <v>289</v>
      </c>
      <c r="U705" s="25">
        <f>IF(Dealps[[#This Row],[TENOR]]=0,0,IF(Dealps[[#This Row],[DEAL_TYPE]]="B",Dealps[[#This Row],[FACE_AMOUNT]],-Dealps[[#This Row],[FACE_AMOUNT]]))</f>
        <v>1000000000000</v>
      </c>
      <c r="V705" s="25">
        <f>_xlfn.XLOOKUP(Dealps[[#This Row],[PAPER_CODE]],FNRP!D:D,FNRP!H:H,0,0)/100*Dealps[[#This Row],[AMOUNT]]</f>
        <v>0</v>
      </c>
      <c r="W705" s="57" t="str">
        <f>IF(Dealps[[#This Row],[TRANSACTION_STATUS]]&lt;&gt;"V","Ngoai BS",IF(Dealps[[#This Row],[POSTED_DT]]&gt;=Dealps[[#This Row],[VALUE_DATE]],"On BS","Off BS"))</f>
        <v>Ngoai BS</v>
      </c>
      <c r="X705" s="25">
        <f>SUMIFS(U:U,C:C,Dealps[[#This Row],[PAPER_CODE]])</f>
        <v>1000000000000</v>
      </c>
      <c r="Y705" s="25">
        <f>_xlfn.XLOOKUP(Dealps[[#This Row],[DEAL_ID]],Ref!N:N,Ref!Q:Q,0,0)</f>
        <v>0</v>
      </c>
      <c r="Z705" s="25" t="str">
        <f>IF(Dealps[[#This Row],[CPTY_CODE]]=Dealps[[#This Row],[CPTY_CODE_ISSUER]],"Yes","No")</f>
        <v>No</v>
      </c>
      <c r="AA705" s="25"/>
      <c r="AC705" s="14"/>
      <c r="AG705" s="96"/>
      <c r="AH705" s="14"/>
      <c r="AI705"/>
      <c r="AN705" s="14"/>
      <c r="AV705" s="36"/>
      <c r="AW705" s="14"/>
      <c r="AX705" s="234"/>
      <c r="AY705" s="96"/>
      <c r="AZ705" s="14"/>
      <c r="BA705"/>
      <c r="BE705" s="14"/>
      <c r="BF705" s="25"/>
      <c r="BL705" s="15"/>
      <c r="BN705"/>
      <c r="BR705" s="14"/>
      <c r="BV705"/>
    </row>
    <row r="706" spans="1:74" x14ac:dyDescent="0.3">
      <c r="A706" s="93">
        <v>46262</v>
      </c>
      <c r="B706">
        <v>4877</v>
      </c>
      <c r="C706" s="56" t="s">
        <v>1073</v>
      </c>
      <c r="D706" t="s">
        <v>325</v>
      </c>
      <c r="E706" t="s">
        <v>347</v>
      </c>
      <c r="F706" t="s">
        <v>364</v>
      </c>
      <c r="G706" t="s">
        <v>310</v>
      </c>
      <c r="H706" t="s">
        <v>311</v>
      </c>
      <c r="I706" s="93">
        <v>46248</v>
      </c>
      <c r="J706" s="93">
        <v>46248</v>
      </c>
      <c r="K706" s="93">
        <v>46251</v>
      </c>
      <c r="L706" s="93">
        <v>46356</v>
      </c>
      <c r="M706" s="14">
        <v>1</v>
      </c>
      <c r="N706" s="14">
        <v>200000000000</v>
      </c>
      <c r="O706" s="56">
        <v>99.942275429000006</v>
      </c>
      <c r="P706" s="56">
        <v>0</v>
      </c>
      <c r="Q706" s="14">
        <v>209251126200</v>
      </c>
      <c r="R706">
        <v>6.5</v>
      </c>
      <c r="S706" t="s">
        <v>1184</v>
      </c>
      <c r="T706" s="57">
        <f>IF(Dealps[[#This Row],[MATURITY_DATE]]-Dealps[[#This Row],[POSTED_DT]]&lt;0,0,IF(Dealps[[#This Row],[VALUE_DATE]]-Dealps[[#This Row],[POSTED_DT]]&gt;0,Dealps[[#This Row],[MATURITY_DATE]]-Dealps[[#This Row],[VALUE_DATE]],Dealps[[#This Row],[MATURITY_DATE]]-Dealps[[#This Row],[POSTED_DT]]))</f>
        <v>94</v>
      </c>
      <c r="U706" s="25">
        <f>IF(Dealps[[#This Row],[TENOR]]=0,0,IF(Dealps[[#This Row],[DEAL_TYPE]]="B",Dealps[[#This Row],[FACE_AMOUNT]],-Dealps[[#This Row],[FACE_AMOUNT]]))</f>
        <v>-200000000000</v>
      </c>
      <c r="V706" s="25">
        <f>_xlfn.XLOOKUP(Dealps[[#This Row],[PAPER_CODE]],FNRP!D:D,FNRP!H:H,0,0)/100*Dealps[[#This Row],[AMOUNT]]</f>
        <v>0</v>
      </c>
      <c r="W706" s="57" t="str">
        <f>IF(Dealps[[#This Row],[TRANSACTION_STATUS]]&lt;&gt;"V","Ngoai BS",IF(Dealps[[#This Row],[POSTED_DT]]&gt;=Dealps[[#This Row],[VALUE_DATE]],"On BS","Off BS"))</f>
        <v>On BS</v>
      </c>
      <c r="X706" s="25">
        <f>SUMIFS(U:U,C:C,Dealps[[#This Row],[PAPER_CODE]])</f>
        <v>400000000000</v>
      </c>
      <c r="Y706" s="25">
        <f>_xlfn.XLOOKUP(Dealps[[#This Row],[DEAL_ID]],Ref!N:N,Ref!Q:Q,0,0)</f>
        <v>0</v>
      </c>
      <c r="Z706" s="25" t="str">
        <f>IF(Dealps[[#This Row],[CPTY_CODE]]=Dealps[[#This Row],[CPTY_CODE_ISSUER]],"Yes","No")</f>
        <v>No</v>
      </c>
      <c r="AA706" s="25"/>
      <c r="AC706" s="14"/>
      <c r="AG706" s="96"/>
      <c r="AH706" s="14"/>
      <c r="AI706"/>
      <c r="AN706" s="14"/>
      <c r="AV706" s="36"/>
      <c r="AW706" s="14"/>
      <c r="AX706" s="234"/>
      <c r="AY706" s="96"/>
      <c r="AZ706" s="14"/>
      <c r="BA706"/>
      <c r="BE706" s="14"/>
      <c r="BF706" s="25"/>
      <c r="BL706" s="15"/>
      <c r="BN706"/>
      <c r="BR706" s="14"/>
      <c r="BV706"/>
    </row>
    <row r="707" spans="1:74" x14ac:dyDescent="0.3">
      <c r="A707" s="93">
        <v>46262</v>
      </c>
      <c r="B707">
        <v>4878</v>
      </c>
      <c r="C707" s="56" t="s">
        <v>1073</v>
      </c>
      <c r="D707" t="s">
        <v>325</v>
      </c>
      <c r="E707" t="s">
        <v>347</v>
      </c>
      <c r="F707" t="s">
        <v>364</v>
      </c>
      <c r="G707" t="s">
        <v>310</v>
      </c>
      <c r="H707" t="s">
        <v>300</v>
      </c>
      <c r="I707" s="93">
        <v>46248</v>
      </c>
      <c r="J707" s="93">
        <v>46274</v>
      </c>
      <c r="K707" s="93">
        <v>46274</v>
      </c>
      <c r="L707" s="93">
        <v>46356</v>
      </c>
      <c r="M707" s="14">
        <v>1</v>
      </c>
      <c r="N707" s="14">
        <v>200000000000</v>
      </c>
      <c r="O707" s="56">
        <v>99.987884117999997</v>
      </c>
      <c r="P707" s="56">
        <v>0</v>
      </c>
      <c r="Q707" s="14">
        <v>210174124400</v>
      </c>
      <c r="R707">
        <v>6.3318260000000004</v>
      </c>
      <c r="S707" t="s">
        <v>651</v>
      </c>
      <c r="T707" s="57">
        <f>IF(Dealps[[#This Row],[MATURITY_DATE]]-Dealps[[#This Row],[POSTED_DT]]&lt;0,0,IF(Dealps[[#This Row],[VALUE_DATE]]-Dealps[[#This Row],[POSTED_DT]]&gt;0,Dealps[[#This Row],[MATURITY_DATE]]-Dealps[[#This Row],[VALUE_DATE]],Dealps[[#This Row],[MATURITY_DATE]]-Dealps[[#This Row],[POSTED_DT]]))</f>
        <v>82</v>
      </c>
      <c r="U707" s="25">
        <f>IF(Dealps[[#This Row],[TENOR]]=0,0,IF(Dealps[[#This Row],[DEAL_TYPE]]="B",Dealps[[#This Row],[FACE_AMOUNT]],-Dealps[[#This Row],[FACE_AMOUNT]]))</f>
        <v>200000000000</v>
      </c>
      <c r="V707" s="25">
        <f>_xlfn.XLOOKUP(Dealps[[#This Row],[PAPER_CODE]],FNRP!D:D,FNRP!H:H,0,0)/100*Dealps[[#This Row],[AMOUNT]]</f>
        <v>0</v>
      </c>
      <c r="W707" s="57" t="str">
        <f>IF(Dealps[[#This Row],[TRANSACTION_STATUS]]&lt;&gt;"V","Ngoai BS",IF(Dealps[[#This Row],[POSTED_DT]]&gt;=Dealps[[#This Row],[VALUE_DATE]],"On BS","Off BS"))</f>
        <v>Ngoai BS</v>
      </c>
      <c r="X707" s="25">
        <f>SUMIFS(U:U,C:C,Dealps[[#This Row],[PAPER_CODE]])</f>
        <v>400000000000</v>
      </c>
      <c r="Y707" s="25">
        <f>_xlfn.XLOOKUP(Dealps[[#This Row],[DEAL_ID]],Ref!N:N,Ref!Q:Q,0,0)</f>
        <v>0</v>
      </c>
      <c r="Z707" s="25" t="str">
        <f>IF(Dealps[[#This Row],[CPTY_CODE]]=Dealps[[#This Row],[CPTY_CODE_ISSUER]],"Yes","No")</f>
        <v>No</v>
      </c>
      <c r="AA707" s="25"/>
      <c r="AC707" s="14"/>
      <c r="AG707" s="96"/>
      <c r="AH707" s="14"/>
      <c r="AI707"/>
      <c r="AN707" s="14"/>
      <c r="AV707" s="36"/>
      <c r="AW707" s="14"/>
      <c r="AX707" s="234"/>
      <c r="AY707" s="96"/>
      <c r="AZ707" s="14"/>
      <c r="BA707"/>
      <c r="BE707" s="14"/>
      <c r="BF707" s="25"/>
      <c r="BL707" s="15"/>
      <c r="BN707"/>
      <c r="BR707" s="14"/>
      <c r="BV707"/>
    </row>
    <row r="708" spans="1:74" x14ac:dyDescent="0.3">
      <c r="A708" s="93">
        <v>46262</v>
      </c>
      <c r="B708">
        <v>4879</v>
      </c>
      <c r="C708" s="56" t="s">
        <v>1518</v>
      </c>
      <c r="D708" t="s">
        <v>316</v>
      </c>
      <c r="E708" t="s">
        <v>322</v>
      </c>
      <c r="F708" t="s">
        <v>364</v>
      </c>
      <c r="G708" t="s">
        <v>310</v>
      </c>
      <c r="H708" t="s">
        <v>300</v>
      </c>
      <c r="I708" s="93">
        <v>46248</v>
      </c>
      <c r="J708" s="93">
        <v>46248</v>
      </c>
      <c r="K708" s="93">
        <v>46251</v>
      </c>
      <c r="L708" s="93">
        <v>46358</v>
      </c>
      <c r="M708" s="14">
        <v>1</v>
      </c>
      <c r="N708" s="14">
        <v>500000000000</v>
      </c>
      <c r="O708" s="56">
        <v>99.560356489</v>
      </c>
      <c r="P708" s="56">
        <v>0</v>
      </c>
      <c r="Q708" s="14">
        <v>519981234500</v>
      </c>
      <c r="R708">
        <v>7.5</v>
      </c>
      <c r="S708" t="s">
        <v>1184</v>
      </c>
      <c r="T708" s="57">
        <f>IF(Dealps[[#This Row],[MATURITY_DATE]]-Dealps[[#This Row],[POSTED_DT]]&lt;0,0,IF(Dealps[[#This Row],[VALUE_DATE]]-Dealps[[#This Row],[POSTED_DT]]&gt;0,Dealps[[#This Row],[MATURITY_DATE]]-Dealps[[#This Row],[VALUE_DATE]],Dealps[[#This Row],[MATURITY_DATE]]-Dealps[[#This Row],[POSTED_DT]]))</f>
        <v>96</v>
      </c>
      <c r="U708" s="25">
        <f>IF(Dealps[[#This Row],[TENOR]]=0,0,IF(Dealps[[#This Row],[DEAL_TYPE]]="B",Dealps[[#This Row],[FACE_AMOUNT]],-Dealps[[#This Row],[FACE_AMOUNT]]))</f>
        <v>500000000000</v>
      </c>
      <c r="V708" s="25">
        <f>_xlfn.XLOOKUP(Dealps[[#This Row],[PAPER_CODE]],FNRP!D:D,FNRP!H:H,0,0)/100*Dealps[[#This Row],[AMOUNT]]</f>
        <v>0</v>
      </c>
      <c r="W708" s="57" t="str">
        <f>IF(Dealps[[#This Row],[TRANSACTION_STATUS]]&lt;&gt;"V","Ngoai BS",IF(Dealps[[#This Row],[POSTED_DT]]&gt;=Dealps[[#This Row],[VALUE_DATE]],"On BS","Off BS"))</f>
        <v>On BS</v>
      </c>
      <c r="X708" s="25">
        <f>SUMIFS(U:U,C:C,Dealps[[#This Row],[PAPER_CODE]])</f>
        <v>0</v>
      </c>
      <c r="Y708" s="25">
        <f>_xlfn.XLOOKUP(Dealps[[#This Row],[DEAL_ID]],Ref!N:N,Ref!Q:Q,0,0)</f>
        <v>0</v>
      </c>
      <c r="Z708" s="25" t="str">
        <f>IF(Dealps[[#This Row],[CPTY_CODE]]=Dealps[[#This Row],[CPTY_CODE_ISSUER]],"Yes","No")</f>
        <v>No</v>
      </c>
      <c r="AA708" s="25"/>
      <c r="AC708" s="14"/>
      <c r="AG708" s="96"/>
      <c r="AH708" s="14"/>
      <c r="AI708"/>
      <c r="AN708" s="14"/>
      <c r="AV708" s="36"/>
      <c r="AW708" s="14"/>
      <c r="AX708" s="234"/>
      <c r="AY708" s="96"/>
      <c r="AZ708" s="14"/>
      <c r="BA708"/>
      <c r="BE708" s="14"/>
      <c r="BF708" s="25"/>
      <c r="BL708" s="15"/>
      <c r="BN708"/>
      <c r="BR708" s="14"/>
      <c r="BV708"/>
    </row>
    <row r="709" spans="1:74" x14ac:dyDescent="0.3">
      <c r="A709" s="93">
        <v>46262</v>
      </c>
      <c r="B709">
        <v>4881</v>
      </c>
      <c r="C709" s="56" t="s">
        <v>1514</v>
      </c>
      <c r="D709" t="s">
        <v>325</v>
      </c>
      <c r="E709" t="s">
        <v>325</v>
      </c>
      <c r="F709" t="s">
        <v>364</v>
      </c>
      <c r="G709" t="s">
        <v>310</v>
      </c>
      <c r="H709" t="s">
        <v>300</v>
      </c>
      <c r="I709" s="93">
        <v>46248</v>
      </c>
      <c r="J709" s="93">
        <v>46248</v>
      </c>
      <c r="K709" s="93">
        <v>46252</v>
      </c>
      <c r="L709" s="93">
        <v>46525</v>
      </c>
      <c r="M709" s="14">
        <v>1</v>
      </c>
      <c r="N709" s="14">
        <v>400000000000</v>
      </c>
      <c r="O709" s="56">
        <v>100</v>
      </c>
      <c r="P709" s="56">
        <v>0</v>
      </c>
      <c r="Q709" s="14">
        <v>400000000000</v>
      </c>
      <c r="R709">
        <v>9.3000000000000007</v>
      </c>
      <c r="S709" t="s">
        <v>1184</v>
      </c>
      <c r="T709" s="57">
        <f>IF(Dealps[[#This Row],[MATURITY_DATE]]-Dealps[[#This Row],[POSTED_DT]]&lt;0,0,IF(Dealps[[#This Row],[VALUE_DATE]]-Dealps[[#This Row],[POSTED_DT]]&gt;0,Dealps[[#This Row],[MATURITY_DATE]]-Dealps[[#This Row],[VALUE_DATE]],Dealps[[#This Row],[MATURITY_DATE]]-Dealps[[#This Row],[POSTED_DT]]))</f>
        <v>263</v>
      </c>
      <c r="U709" s="25">
        <f>IF(Dealps[[#This Row],[TENOR]]=0,0,IF(Dealps[[#This Row],[DEAL_TYPE]]="B",Dealps[[#This Row],[FACE_AMOUNT]],-Dealps[[#This Row],[FACE_AMOUNT]]))</f>
        <v>400000000000</v>
      </c>
      <c r="V709" s="25">
        <f>_xlfn.XLOOKUP(Dealps[[#This Row],[PAPER_CODE]],FNRP!D:D,FNRP!H:H,0,0)/100*Dealps[[#This Row],[AMOUNT]]</f>
        <v>0</v>
      </c>
      <c r="W709" s="57" t="str">
        <f>IF(Dealps[[#This Row],[TRANSACTION_STATUS]]&lt;&gt;"V","Ngoai BS",IF(Dealps[[#This Row],[POSTED_DT]]&gt;=Dealps[[#This Row],[VALUE_DATE]],"On BS","Off BS"))</f>
        <v>On BS</v>
      </c>
      <c r="X709" s="25">
        <f>SUMIFS(U:U,C:C,Dealps[[#This Row],[PAPER_CODE]])</f>
        <v>400000000000</v>
      </c>
      <c r="Y709" s="25">
        <f>_xlfn.XLOOKUP(Dealps[[#This Row],[DEAL_ID]],Ref!N:N,Ref!Q:Q,0,0)</f>
        <v>0</v>
      </c>
      <c r="Z709" s="25" t="str">
        <f>IF(Dealps[[#This Row],[CPTY_CODE]]=Dealps[[#This Row],[CPTY_CODE_ISSUER]],"Yes","No")</f>
        <v>Yes</v>
      </c>
      <c r="AA709" s="25"/>
      <c r="AC709" s="14"/>
      <c r="AG709" s="96"/>
      <c r="AH709" s="14"/>
      <c r="AI709"/>
      <c r="AN709" s="14"/>
      <c r="AV709" s="36"/>
      <c r="AW709" s="14"/>
      <c r="AX709" s="234"/>
      <c r="AY709" s="96"/>
      <c r="AZ709" s="14"/>
      <c r="BA709"/>
      <c r="BE709" s="14"/>
      <c r="BF709" s="25"/>
      <c r="BL709" s="15"/>
      <c r="BN709"/>
      <c r="BR709" s="14"/>
      <c r="BV709"/>
    </row>
    <row r="710" spans="1:74" x14ac:dyDescent="0.3">
      <c r="A710" s="93">
        <v>46262</v>
      </c>
      <c r="B710">
        <v>4883</v>
      </c>
      <c r="C710" s="56" t="s">
        <v>1515</v>
      </c>
      <c r="D710" t="s">
        <v>312</v>
      </c>
      <c r="E710" t="s">
        <v>312</v>
      </c>
      <c r="F710" t="s">
        <v>364</v>
      </c>
      <c r="G710" t="s">
        <v>310</v>
      </c>
      <c r="H710" t="s">
        <v>300</v>
      </c>
      <c r="I710" s="93">
        <v>46248</v>
      </c>
      <c r="J710" s="93">
        <v>46248</v>
      </c>
      <c r="K710" s="93">
        <v>46251</v>
      </c>
      <c r="L710" s="93">
        <v>46615</v>
      </c>
      <c r="M710" s="14">
        <v>1</v>
      </c>
      <c r="N710" s="14">
        <v>1000000000000</v>
      </c>
      <c r="O710" s="56">
        <v>100</v>
      </c>
      <c r="P710" s="56">
        <v>0</v>
      </c>
      <c r="Q710" s="14">
        <v>1000000000000</v>
      </c>
      <c r="R710">
        <v>9.1</v>
      </c>
      <c r="S710" t="s">
        <v>1184</v>
      </c>
      <c r="T710" s="57">
        <f>IF(Dealps[[#This Row],[MATURITY_DATE]]-Dealps[[#This Row],[POSTED_DT]]&lt;0,0,IF(Dealps[[#This Row],[VALUE_DATE]]-Dealps[[#This Row],[POSTED_DT]]&gt;0,Dealps[[#This Row],[MATURITY_DATE]]-Dealps[[#This Row],[VALUE_DATE]],Dealps[[#This Row],[MATURITY_DATE]]-Dealps[[#This Row],[POSTED_DT]]))</f>
        <v>353</v>
      </c>
      <c r="U710" s="25">
        <f>IF(Dealps[[#This Row],[TENOR]]=0,0,IF(Dealps[[#This Row],[DEAL_TYPE]]="B",Dealps[[#This Row],[FACE_AMOUNT]],-Dealps[[#This Row],[FACE_AMOUNT]]))</f>
        <v>1000000000000</v>
      </c>
      <c r="V710" s="25">
        <f>_xlfn.XLOOKUP(Dealps[[#This Row],[PAPER_CODE]],FNRP!D:D,FNRP!H:H,0,0)/100*Dealps[[#This Row],[AMOUNT]]</f>
        <v>0</v>
      </c>
      <c r="W710" s="57" t="str">
        <f>IF(Dealps[[#This Row],[TRANSACTION_STATUS]]&lt;&gt;"V","Ngoai BS",IF(Dealps[[#This Row],[POSTED_DT]]&gt;=Dealps[[#This Row],[VALUE_DATE]],"On BS","Off BS"))</f>
        <v>On BS</v>
      </c>
      <c r="X710" s="25">
        <f>SUMIFS(U:U,C:C,Dealps[[#This Row],[PAPER_CODE]])</f>
        <v>1000000000000</v>
      </c>
      <c r="Y710" s="25">
        <f>_xlfn.XLOOKUP(Dealps[[#This Row],[DEAL_ID]],Ref!N:N,Ref!Q:Q,0,0)</f>
        <v>0</v>
      </c>
      <c r="Z710" s="25" t="str">
        <f>IF(Dealps[[#This Row],[CPTY_CODE]]=Dealps[[#This Row],[CPTY_CODE_ISSUER]],"Yes","No")</f>
        <v>Yes</v>
      </c>
      <c r="AA710" s="25"/>
      <c r="AC710" s="14"/>
      <c r="AG710" s="96"/>
      <c r="AH710" s="14"/>
      <c r="AI710"/>
      <c r="AN710" s="14"/>
      <c r="AV710" s="36"/>
      <c r="AW710" s="14"/>
      <c r="AX710" s="234"/>
      <c r="AY710" s="96"/>
      <c r="AZ710" s="14"/>
      <c r="BA710"/>
      <c r="BE710" s="14"/>
      <c r="BF710" s="25"/>
      <c r="BL710" s="15"/>
      <c r="BN710"/>
      <c r="BR710" s="14"/>
      <c r="BV710"/>
    </row>
    <row r="711" spans="1:74" x14ac:dyDescent="0.3">
      <c r="A711" s="93">
        <v>46262</v>
      </c>
      <c r="B711">
        <v>4884</v>
      </c>
      <c r="C711" s="56" t="s">
        <v>1210</v>
      </c>
      <c r="D711" t="s">
        <v>316</v>
      </c>
      <c r="E711" t="s">
        <v>1152</v>
      </c>
      <c r="F711" t="s">
        <v>364</v>
      </c>
      <c r="G711" t="s">
        <v>310</v>
      </c>
      <c r="H711" t="s">
        <v>300</v>
      </c>
      <c r="I711" s="93">
        <v>46251</v>
      </c>
      <c r="J711" s="93">
        <v>46251</v>
      </c>
      <c r="K711" s="93">
        <v>46252</v>
      </c>
      <c r="L711" s="93">
        <v>46406</v>
      </c>
      <c r="M711" s="14">
        <v>1</v>
      </c>
      <c r="N711" s="14">
        <v>400000000000</v>
      </c>
      <c r="O711" s="56">
        <v>100.29492666199999</v>
      </c>
      <c r="P711" s="56">
        <v>0</v>
      </c>
      <c r="Q711" s="14">
        <v>418522172400</v>
      </c>
      <c r="R711">
        <v>6.5</v>
      </c>
      <c r="S711" t="s">
        <v>1184</v>
      </c>
      <c r="T711" s="57">
        <f>IF(Dealps[[#This Row],[MATURITY_DATE]]-Dealps[[#This Row],[POSTED_DT]]&lt;0,0,IF(Dealps[[#This Row],[VALUE_DATE]]-Dealps[[#This Row],[POSTED_DT]]&gt;0,Dealps[[#This Row],[MATURITY_DATE]]-Dealps[[#This Row],[VALUE_DATE]],Dealps[[#This Row],[MATURITY_DATE]]-Dealps[[#This Row],[POSTED_DT]]))</f>
        <v>144</v>
      </c>
      <c r="U711" s="25">
        <f>IF(Dealps[[#This Row],[TENOR]]=0,0,IF(Dealps[[#This Row],[DEAL_TYPE]]="B",Dealps[[#This Row],[FACE_AMOUNT]],-Dealps[[#This Row],[FACE_AMOUNT]]))</f>
        <v>400000000000</v>
      </c>
      <c r="V711" s="25">
        <f>_xlfn.XLOOKUP(Dealps[[#This Row],[PAPER_CODE]],FNRP!D:D,FNRP!H:H,0,0)/100*Dealps[[#This Row],[AMOUNT]]</f>
        <v>0</v>
      </c>
      <c r="W711" s="57" t="str">
        <f>IF(Dealps[[#This Row],[TRANSACTION_STATUS]]&lt;&gt;"V","Ngoai BS",IF(Dealps[[#This Row],[POSTED_DT]]&gt;=Dealps[[#This Row],[VALUE_DATE]],"On BS","Off BS"))</f>
        <v>On BS</v>
      </c>
      <c r="X711" s="25">
        <f>SUMIFS(U:U,C:C,Dealps[[#This Row],[PAPER_CODE]])</f>
        <v>0</v>
      </c>
      <c r="Y711" s="25">
        <f>_xlfn.XLOOKUP(Dealps[[#This Row],[DEAL_ID]],Ref!N:N,Ref!Q:Q,0,0)</f>
        <v>0</v>
      </c>
      <c r="Z711" s="25" t="str">
        <f>IF(Dealps[[#This Row],[CPTY_CODE]]=Dealps[[#This Row],[CPTY_CODE_ISSUER]],"Yes","No")</f>
        <v>No</v>
      </c>
      <c r="AA711" s="25"/>
      <c r="AC711" s="14"/>
      <c r="AG711" s="96"/>
      <c r="AH711" s="14"/>
      <c r="AI711"/>
      <c r="AN711" s="14"/>
      <c r="AV711" s="36"/>
      <c r="AW711" s="14"/>
      <c r="AX711" s="234"/>
      <c r="AY711" s="96"/>
      <c r="AZ711" s="14"/>
      <c r="BA711"/>
      <c r="BE711" s="14"/>
      <c r="BF711" s="25"/>
      <c r="BL711" s="15"/>
      <c r="BN711"/>
      <c r="BR711" s="14"/>
      <c r="BV711"/>
    </row>
    <row r="712" spans="1:74" x14ac:dyDescent="0.3">
      <c r="A712" s="93">
        <v>46262</v>
      </c>
      <c r="B712">
        <v>4885</v>
      </c>
      <c r="C712" s="56" t="s">
        <v>1210</v>
      </c>
      <c r="D712" t="s">
        <v>316</v>
      </c>
      <c r="E712" t="s">
        <v>1152</v>
      </c>
      <c r="F712" t="s">
        <v>364</v>
      </c>
      <c r="G712" t="s">
        <v>310</v>
      </c>
      <c r="H712" t="s">
        <v>311</v>
      </c>
      <c r="I712" s="93">
        <v>46251</v>
      </c>
      <c r="J712" s="93">
        <v>46282</v>
      </c>
      <c r="K712" s="93">
        <v>46282</v>
      </c>
      <c r="L712" s="93">
        <v>46406</v>
      </c>
      <c r="M712" s="14">
        <v>1</v>
      </c>
      <c r="N712" s="14">
        <v>400000000000</v>
      </c>
      <c r="O712" s="56">
        <v>100.29767180499999</v>
      </c>
      <c r="P712" s="56">
        <v>0</v>
      </c>
      <c r="Q712" s="14">
        <v>420998906400</v>
      </c>
      <c r="R712">
        <v>6.2934020000000004</v>
      </c>
      <c r="S712" t="s">
        <v>651</v>
      </c>
      <c r="T712" s="57">
        <f>IF(Dealps[[#This Row],[MATURITY_DATE]]-Dealps[[#This Row],[POSTED_DT]]&lt;0,0,IF(Dealps[[#This Row],[VALUE_DATE]]-Dealps[[#This Row],[POSTED_DT]]&gt;0,Dealps[[#This Row],[MATURITY_DATE]]-Dealps[[#This Row],[VALUE_DATE]],Dealps[[#This Row],[MATURITY_DATE]]-Dealps[[#This Row],[POSTED_DT]]))</f>
        <v>124</v>
      </c>
      <c r="U712" s="25">
        <f>IF(Dealps[[#This Row],[TENOR]]=0,0,IF(Dealps[[#This Row],[DEAL_TYPE]]="B",Dealps[[#This Row],[FACE_AMOUNT]],-Dealps[[#This Row],[FACE_AMOUNT]]))</f>
        <v>-400000000000</v>
      </c>
      <c r="V712" s="25">
        <f>_xlfn.XLOOKUP(Dealps[[#This Row],[PAPER_CODE]],FNRP!D:D,FNRP!H:H,0,0)/100*Dealps[[#This Row],[AMOUNT]]</f>
        <v>0</v>
      </c>
      <c r="W712" s="57" t="str">
        <f>IF(Dealps[[#This Row],[TRANSACTION_STATUS]]&lt;&gt;"V","Ngoai BS",IF(Dealps[[#This Row],[POSTED_DT]]&gt;=Dealps[[#This Row],[VALUE_DATE]],"On BS","Off BS"))</f>
        <v>Ngoai BS</v>
      </c>
      <c r="X712" s="25">
        <f>SUMIFS(U:U,C:C,Dealps[[#This Row],[PAPER_CODE]])</f>
        <v>0</v>
      </c>
      <c r="Y712" s="25">
        <f>_xlfn.XLOOKUP(Dealps[[#This Row],[DEAL_ID]],Ref!N:N,Ref!Q:Q,0,0)</f>
        <v>0</v>
      </c>
      <c r="Z712" s="25" t="str">
        <f>IF(Dealps[[#This Row],[CPTY_CODE]]=Dealps[[#This Row],[CPTY_CODE_ISSUER]],"Yes","No")</f>
        <v>No</v>
      </c>
      <c r="AA712" s="25"/>
      <c r="AC712" s="14"/>
      <c r="AG712" s="96"/>
      <c r="AH712" s="14"/>
      <c r="AI712"/>
      <c r="AN712" s="14"/>
      <c r="AV712" s="36"/>
      <c r="AW712" s="14"/>
      <c r="AX712" s="234"/>
      <c r="AY712" s="96"/>
      <c r="AZ712" s="14"/>
      <c r="BA712"/>
      <c r="BE712" s="14"/>
      <c r="BF712" s="25"/>
      <c r="BL712" s="15"/>
      <c r="BN712"/>
      <c r="BR712" s="14"/>
      <c r="BV712"/>
    </row>
    <row r="713" spans="1:74" x14ac:dyDescent="0.3">
      <c r="A713" s="93">
        <v>46262</v>
      </c>
      <c r="B713">
        <v>4886</v>
      </c>
      <c r="C713" s="56" t="s">
        <v>1209</v>
      </c>
      <c r="D713" t="s">
        <v>316</v>
      </c>
      <c r="E713" t="s">
        <v>1152</v>
      </c>
      <c r="F713" t="s">
        <v>364</v>
      </c>
      <c r="G713" t="s">
        <v>310</v>
      </c>
      <c r="H713" t="s">
        <v>300</v>
      </c>
      <c r="I713" s="93">
        <v>46251</v>
      </c>
      <c r="J713" s="93">
        <v>46251</v>
      </c>
      <c r="K713" s="93">
        <v>46252</v>
      </c>
      <c r="L713" s="93">
        <v>46401</v>
      </c>
      <c r="M713" s="14">
        <v>1</v>
      </c>
      <c r="N713" s="14">
        <v>300000000000</v>
      </c>
      <c r="O713" s="56">
        <v>100.282943136</v>
      </c>
      <c r="P713" s="56">
        <v>0</v>
      </c>
      <c r="Q713" s="14">
        <v>314163897899.99994</v>
      </c>
      <c r="R713">
        <v>6.5</v>
      </c>
      <c r="S713" t="s">
        <v>1184</v>
      </c>
      <c r="T713" s="57">
        <f>IF(Dealps[[#This Row],[MATURITY_DATE]]-Dealps[[#This Row],[POSTED_DT]]&lt;0,0,IF(Dealps[[#This Row],[VALUE_DATE]]-Dealps[[#This Row],[POSTED_DT]]&gt;0,Dealps[[#This Row],[MATURITY_DATE]]-Dealps[[#This Row],[VALUE_DATE]],Dealps[[#This Row],[MATURITY_DATE]]-Dealps[[#This Row],[POSTED_DT]]))</f>
        <v>139</v>
      </c>
      <c r="U713" s="25">
        <f>IF(Dealps[[#This Row],[TENOR]]=0,0,IF(Dealps[[#This Row],[DEAL_TYPE]]="B",Dealps[[#This Row],[FACE_AMOUNT]],-Dealps[[#This Row],[FACE_AMOUNT]]))</f>
        <v>300000000000</v>
      </c>
      <c r="V713" s="25">
        <f>_xlfn.XLOOKUP(Dealps[[#This Row],[PAPER_CODE]],FNRP!D:D,FNRP!H:H,0,0)/100*Dealps[[#This Row],[AMOUNT]]</f>
        <v>0</v>
      </c>
      <c r="W713" s="57" t="str">
        <f>IF(Dealps[[#This Row],[TRANSACTION_STATUS]]&lt;&gt;"V","Ngoai BS",IF(Dealps[[#This Row],[POSTED_DT]]&gt;=Dealps[[#This Row],[VALUE_DATE]],"On BS","Off BS"))</f>
        <v>On BS</v>
      </c>
      <c r="X713" s="25">
        <f>SUMIFS(U:U,C:C,Dealps[[#This Row],[PAPER_CODE]])</f>
        <v>0</v>
      </c>
      <c r="Y713" s="25">
        <f>_xlfn.XLOOKUP(Dealps[[#This Row],[DEAL_ID]],Ref!N:N,Ref!Q:Q,0,0)</f>
        <v>0</v>
      </c>
      <c r="Z713" s="25" t="str">
        <f>IF(Dealps[[#This Row],[CPTY_CODE]]=Dealps[[#This Row],[CPTY_CODE_ISSUER]],"Yes","No")</f>
        <v>No</v>
      </c>
      <c r="AA713" s="25"/>
      <c r="AC713" s="14"/>
      <c r="AG713" s="96"/>
      <c r="AH713" s="14"/>
      <c r="AI713"/>
      <c r="AN713" s="14"/>
      <c r="AV713" s="36"/>
      <c r="AW713" s="14"/>
      <c r="AX713" s="234"/>
      <c r="AY713" s="96"/>
      <c r="AZ713" s="14"/>
      <c r="BA713"/>
      <c r="BE713" s="14"/>
      <c r="BF713" s="25"/>
      <c r="BL713" s="15"/>
      <c r="BN713"/>
      <c r="BR713" s="14"/>
      <c r="BV713"/>
    </row>
    <row r="714" spans="1:74" x14ac:dyDescent="0.3">
      <c r="A714" s="93">
        <v>46262</v>
      </c>
      <c r="B714">
        <v>4887</v>
      </c>
      <c r="C714" s="56" t="s">
        <v>1209</v>
      </c>
      <c r="D714" t="s">
        <v>316</v>
      </c>
      <c r="E714" t="s">
        <v>1152</v>
      </c>
      <c r="F714" t="s">
        <v>364</v>
      </c>
      <c r="G714" t="s">
        <v>310</v>
      </c>
      <c r="H714" t="s">
        <v>311</v>
      </c>
      <c r="I714" s="93">
        <v>46251</v>
      </c>
      <c r="J714" s="93">
        <v>46283</v>
      </c>
      <c r="K714" s="93">
        <v>46283</v>
      </c>
      <c r="L714" s="93">
        <v>46401</v>
      </c>
      <c r="M714" s="14">
        <v>1</v>
      </c>
      <c r="N714" s="14">
        <v>300000000000</v>
      </c>
      <c r="O714" s="56">
        <v>100.28633473399999</v>
      </c>
      <c r="P714" s="56">
        <v>0</v>
      </c>
      <c r="Q714" s="14">
        <v>316085031600</v>
      </c>
      <c r="R714">
        <v>6.2777130000000003</v>
      </c>
      <c r="S714" t="s">
        <v>651</v>
      </c>
      <c r="T714" s="57">
        <f>IF(Dealps[[#This Row],[MATURITY_DATE]]-Dealps[[#This Row],[POSTED_DT]]&lt;0,0,IF(Dealps[[#This Row],[VALUE_DATE]]-Dealps[[#This Row],[POSTED_DT]]&gt;0,Dealps[[#This Row],[MATURITY_DATE]]-Dealps[[#This Row],[VALUE_DATE]],Dealps[[#This Row],[MATURITY_DATE]]-Dealps[[#This Row],[POSTED_DT]]))</f>
        <v>118</v>
      </c>
      <c r="U714" s="25">
        <f>IF(Dealps[[#This Row],[TENOR]]=0,0,IF(Dealps[[#This Row],[DEAL_TYPE]]="B",Dealps[[#This Row],[FACE_AMOUNT]],-Dealps[[#This Row],[FACE_AMOUNT]]))</f>
        <v>-300000000000</v>
      </c>
      <c r="V714" s="25">
        <f>_xlfn.XLOOKUP(Dealps[[#This Row],[PAPER_CODE]],FNRP!D:D,FNRP!H:H,0,0)/100*Dealps[[#This Row],[AMOUNT]]</f>
        <v>0</v>
      </c>
      <c r="W714" s="57" t="str">
        <f>IF(Dealps[[#This Row],[TRANSACTION_STATUS]]&lt;&gt;"V","Ngoai BS",IF(Dealps[[#This Row],[POSTED_DT]]&gt;=Dealps[[#This Row],[VALUE_DATE]],"On BS","Off BS"))</f>
        <v>Ngoai BS</v>
      </c>
      <c r="X714" s="25">
        <f>SUMIFS(U:U,C:C,Dealps[[#This Row],[PAPER_CODE]])</f>
        <v>0</v>
      </c>
      <c r="Y714" s="25">
        <f>_xlfn.XLOOKUP(Dealps[[#This Row],[DEAL_ID]],Ref!N:N,Ref!Q:Q,0,0)</f>
        <v>0</v>
      </c>
      <c r="Z714" s="25" t="str">
        <f>IF(Dealps[[#This Row],[CPTY_CODE]]=Dealps[[#This Row],[CPTY_CODE_ISSUER]],"Yes","No")</f>
        <v>No</v>
      </c>
      <c r="AA714" s="25"/>
      <c r="AC714" s="14"/>
      <c r="AG714" s="96"/>
      <c r="AH714" s="14"/>
      <c r="AI714"/>
      <c r="AN714" s="14"/>
      <c r="AV714" s="36"/>
      <c r="AW714" s="14"/>
      <c r="AX714" s="234"/>
      <c r="AY714" s="96"/>
      <c r="AZ714" s="14"/>
      <c r="BA714"/>
      <c r="BE714" s="14"/>
      <c r="BF714" s="25"/>
      <c r="BL714" s="15"/>
      <c r="BN714"/>
      <c r="BR714" s="14"/>
      <c r="BV714"/>
    </row>
    <row r="715" spans="1:74" x14ac:dyDescent="0.3">
      <c r="A715" s="93">
        <v>46262</v>
      </c>
      <c r="B715">
        <v>4888</v>
      </c>
      <c r="C715" s="56" t="s">
        <v>1159</v>
      </c>
      <c r="D715" t="s">
        <v>334</v>
      </c>
      <c r="E715" t="s">
        <v>320</v>
      </c>
      <c r="F715" t="s">
        <v>364</v>
      </c>
      <c r="G715" t="s">
        <v>310</v>
      </c>
      <c r="H715" t="s">
        <v>300</v>
      </c>
      <c r="I715" s="93">
        <v>46251</v>
      </c>
      <c r="J715" s="93">
        <v>46251</v>
      </c>
      <c r="K715" s="93">
        <v>46251</v>
      </c>
      <c r="L715" s="93">
        <v>46412</v>
      </c>
      <c r="M715" s="14">
        <v>1</v>
      </c>
      <c r="N715" s="14">
        <v>600000000000</v>
      </c>
      <c r="O715" s="56">
        <v>100.014063323</v>
      </c>
      <c r="P715" s="56">
        <v>0</v>
      </c>
      <c r="Q715" s="14">
        <v>625111777200</v>
      </c>
      <c r="R715">
        <v>7.1681109999999997</v>
      </c>
      <c r="S715" t="s">
        <v>1184</v>
      </c>
      <c r="T715" s="57">
        <f>IF(Dealps[[#This Row],[MATURITY_DATE]]-Dealps[[#This Row],[POSTED_DT]]&lt;0,0,IF(Dealps[[#This Row],[VALUE_DATE]]-Dealps[[#This Row],[POSTED_DT]]&gt;0,Dealps[[#This Row],[MATURITY_DATE]]-Dealps[[#This Row],[VALUE_DATE]],Dealps[[#This Row],[MATURITY_DATE]]-Dealps[[#This Row],[POSTED_DT]]))</f>
        <v>150</v>
      </c>
      <c r="U715" s="25">
        <f>IF(Dealps[[#This Row],[TENOR]]=0,0,IF(Dealps[[#This Row],[DEAL_TYPE]]="B",Dealps[[#This Row],[FACE_AMOUNT]],-Dealps[[#This Row],[FACE_AMOUNT]]))</f>
        <v>600000000000</v>
      </c>
      <c r="V715" s="25">
        <f>_xlfn.XLOOKUP(Dealps[[#This Row],[PAPER_CODE]],FNRP!D:D,FNRP!H:H,0,0)/100*Dealps[[#This Row],[AMOUNT]]</f>
        <v>0</v>
      </c>
      <c r="W715" s="57" t="str">
        <f>IF(Dealps[[#This Row],[TRANSACTION_STATUS]]&lt;&gt;"V","Ngoai BS",IF(Dealps[[#This Row],[POSTED_DT]]&gt;=Dealps[[#This Row],[VALUE_DATE]],"On BS","Off BS"))</f>
        <v>On BS</v>
      </c>
      <c r="X715" s="25">
        <f>SUMIFS(U:U,C:C,Dealps[[#This Row],[PAPER_CODE]])</f>
        <v>1000000000000</v>
      </c>
      <c r="Y715" s="25">
        <f>_xlfn.XLOOKUP(Dealps[[#This Row],[DEAL_ID]],Ref!N:N,Ref!Q:Q,0,0)</f>
        <v>0</v>
      </c>
      <c r="Z715" s="25" t="str">
        <f>IF(Dealps[[#This Row],[CPTY_CODE]]=Dealps[[#This Row],[CPTY_CODE_ISSUER]],"Yes","No")</f>
        <v>No</v>
      </c>
      <c r="AA715" s="25"/>
      <c r="AC715" s="14"/>
      <c r="AG715" s="96"/>
      <c r="AH715" s="14"/>
      <c r="AI715"/>
      <c r="AN715" s="14"/>
      <c r="AV715" s="36"/>
      <c r="AW715" s="14"/>
      <c r="AX715" s="234"/>
      <c r="AY715" s="96"/>
      <c r="AZ715" s="14"/>
      <c r="BA715"/>
      <c r="BE715" s="14"/>
      <c r="BF715" s="25"/>
      <c r="BL715" s="15"/>
      <c r="BN715"/>
      <c r="BR715" s="14"/>
      <c r="BV715"/>
    </row>
    <row r="716" spans="1:74" x14ac:dyDescent="0.3">
      <c r="A716" s="93">
        <v>46262</v>
      </c>
      <c r="B716">
        <v>4889</v>
      </c>
      <c r="C716" s="56" t="s">
        <v>1159</v>
      </c>
      <c r="D716" t="s">
        <v>334</v>
      </c>
      <c r="E716" t="s">
        <v>320</v>
      </c>
      <c r="F716" t="s">
        <v>364</v>
      </c>
      <c r="G716" t="s">
        <v>310</v>
      </c>
      <c r="H716" t="s">
        <v>300</v>
      </c>
      <c r="I716" s="93">
        <v>46251</v>
      </c>
      <c r="J716" s="93">
        <v>46251</v>
      </c>
      <c r="K716" s="93">
        <v>46251</v>
      </c>
      <c r="L716" s="93">
        <v>46412</v>
      </c>
      <c r="M716" s="14">
        <v>1</v>
      </c>
      <c r="N716" s="14">
        <v>400000000000</v>
      </c>
      <c r="O716" s="56">
        <v>100.014063323</v>
      </c>
      <c r="P716" s="56">
        <v>0</v>
      </c>
      <c r="Q716" s="14">
        <v>416741184800</v>
      </c>
      <c r="R716">
        <v>7.1681109999999997</v>
      </c>
      <c r="S716" t="s">
        <v>1184</v>
      </c>
      <c r="T716" s="57">
        <f>IF(Dealps[[#This Row],[MATURITY_DATE]]-Dealps[[#This Row],[POSTED_DT]]&lt;0,0,IF(Dealps[[#This Row],[VALUE_DATE]]-Dealps[[#This Row],[POSTED_DT]]&gt;0,Dealps[[#This Row],[MATURITY_DATE]]-Dealps[[#This Row],[VALUE_DATE]],Dealps[[#This Row],[MATURITY_DATE]]-Dealps[[#This Row],[POSTED_DT]]))</f>
        <v>150</v>
      </c>
      <c r="U716" s="25">
        <f>IF(Dealps[[#This Row],[TENOR]]=0,0,IF(Dealps[[#This Row],[DEAL_TYPE]]="B",Dealps[[#This Row],[FACE_AMOUNT]],-Dealps[[#This Row],[FACE_AMOUNT]]))</f>
        <v>400000000000</v>
      </c>
      <c r="V716" s="25">
        <f>_xlfn.XLOOKUP(Dealps[[#This Row],[PAPER_CODE]],FNRP!D:D,FNRP!H:H,0,0)/100*Dealps[[#This Row],[AMOUNT]]</f>
        <v>0</v>
      </c>
      <c r="W716" s="57" t="str">
        <f>IF(Dealps[[#This Row],[TRANSACTION_STATUS]]&lt;&gt;"V","Ngoai BS",IF(Dealps[[#This Row],[POSTED_DT]]&gt;=Dealps[[#This Row],[VALUE_DATE]],"On BS","Off BS"))</f>
        <v>On BS</v>
      </c>
      <c r="X716" s="25">
        <f>SUMIFS(U:U,C:C,Dealps[[#This Row],[PAPER_CODE]])</f>
        <v>1000000000000</v>
      </c>
      <c r="Y716" s="25">
        <f>_xlfn.XLOOKUP(Dealps[[#This Row],[DEAL_ID]],Ref!N:N,Ref!Q:Q,0,0)</f>
        <v>0</v>
      </c>
      <c r="Z716" s="25" t="str">
        <f>IF(Dealps[[#This Row],[CPTY_CODE]]=Dealps[[#This Row],[CPTY_CODE_ISSUER]],"Yes","No")</f>
        <v>No</v>
      </c>
      <c r="AA716" s="25"/>
      <c r="AC716" s="14"/>
      <c r="AG716" s="96"/>
      <c r="AH716" s="14"/>
      <c r="AI716"/>
      <c r="AN716" s="14"/>
      <c r="AV716" s="36"/>
      <c r="AW716" s="14"/>
      <c r="AX716" s="234"/>
      <c r="AY716" s="96"/>
      <c r="AZ716" s="14"/>
      <c r="BA716"/>
      <c r="BE716" s="14"/>
      <c r="BF716" s="25"/>
      <c r="BL716" s="15"/>
      <c r="BN716"/>
      <c r="BR716" s="14"/>
      <c r="BV716"/>
    </row>
    <row r="717" spans="1:74" x14ac:dyDescent="0.3">
      <c r="A717" s="93">
        <v>46262</v>
      </c>
      <c r="B717">
        <v>4890</v>
      </c>
      <c r="C717" s="56" t="s">
        <v>1204</v>
      </c>
      <c r="D717" t="s">
        <v>315</v>
      </c>
      <c r="E717" t="s">
        <v>1387</v>
      </c>
      <c r="F717" t="s">
        <v>364</v>
      </c>
      <c r="G717" t="s">
        <v>310</v>
      </c>
      <c r="H717" t="s">
        <v>300</v>
      </c>
      <c r="I717" s="93">
        <v>46251</v>
      </c>
      <c r="J717" s="93">
        <v>46251</v>
      </c>
      <c r="K717" s="93">
        <v>46251</v>
      </c>
      <c r="L717" s="93">
        <v>46422</v>
      </c>
      <c r="M717" s="14">
        <v>1</v>
      </c>
      <c r="N717" s="14">
        <v>50000000000</v>
      </c>
      <c r="O717" s="56">
        <v>100.486594811</v>
      </c>
      <c r="P717" s="56">
        <v>0</v>
      </c>
      <c r="Q717" s="14">
        <v>52167352200</v>
      </c>
      <c r="R717">
        <v>5.9437189999999998</v>
      </c>
      <c r="S717" t="s">
        <v>1184</v>
      </c>
      <c r="T717" s="57">
        <f>IF(Dealps[[#This Row],[MATURITY_DATE]]-Dealps[[#This Row],[POSTED_DT]]&lt;0,0,IF(Dealps[[#This Row],[VALUE_DATE]]-Dealps[[#This Row],[POSTED_DT]]&gt;0,Dealps[[#This Row],[MATURITY_DATE]]-Dealps[[#This Row],[VALUE_DATE]],Dealps[[#This Row],[MATURITY_DATE]]-Dealps[[#This Row],[POSTED_DT]]))</f>
        <v>160</v>
      </c>
      <c r="U717" s="25">
        <f>IF(Dealps[[#This Row],[TENOR]]=0,0,IF(Dealps[[#This Row],[DEAL_TYPE]]="B",Dealps[[#This Row],[FACE_AMOUNT]],-Dealps[[#This Row],[FACE_AMOUNT]]))</f>
        <v>50000000000</v>
      </c>
      <c r="V717" s="25">
        <f>_xlfn.XLOOKUP(Dealps[[#This Row],[PAPER_CODE]],FNRP!D:D,FNRP!H:H,0,0)/100*Dealps[[#This Row],[AMOUNT]]</f>
        <v>0</v>
      </c>
      <c r="W717" s="57" t="str">
        <f>IF(Dealps[[#This Row],[TRANSACTION_STATUS]]&lt;&gt;"V","Ngoai BS",IF(Dealps[[#This Row],[POSTED_DT]]&gt;=Dealps[[#This Row],[VALUE_DATE]],"On BS","Off BS"))</f>
        <v>On BS</v>
      </c>
      <c r="X717" s="25">
        <f>SUMIFS(U:U,C:C,Dealps[[#This Row],[PAPER_CODE]])</f>
        <v>1000000000000</v>
      </c>
      <c r="Y717" s="25">
        <f>_xlfn.XLOOKUP(Dealps[[#This Row],[DEAL_ID]],Ref!N:N,Ref!Q:Q,0,0)</f>
        <v>0</v>
      </c>
      <c r="Z717" s="25" t="str">
        <f>IF(Dealps[[#This Row],[CPTY_CODE]]=Dealps[[#This Row],[CPTY_CODE_ISSUER]],"Yes","No")</f>
        <v>No</v>
      </c>
      <c r="AA717" s="25"/>
      <c r="AC717" s="14"/>
      <c r="AG717" s="96"/>
      <c r="AH717" s="14"/>
      <c r="AI717"/>
      <c r="AN717" s="14"/>
      <c r="AV717" s="36"/>
      <c r="AW717" s="14"/>
      <c r="AX717" s="234"/>
      <c r="AY717" s="96"/>
      <c r="AZ717" s="14"/>
      <c r="BA717"/>
      <c r="BE717" s="14"/>
      <c r="BF717" s="25"/>
      <c r="BL717" s="15"/>
      <c r="BN717"/>
      <c r="BR717" s="14"/>
      <c r="BV717"/>
    </row>
    <row r="718" spans="1:74" x14ac:dyDescent="0.3">
      <c r="A718" s="93">
        <v>46262</v>
      </c>
      <c r="B718">
        <v>4891</v>
      </c>
      <c r="C718" s="56" t="s">
        <v>1275</v>
      </c>
      <c r="D718" t="s">
        <v>325</v>
      </c>
      <c r="E718" t="s">
        <v>405</v>
      </c>
      <c r="F718" t="s">
        <v>364</v>
      </c>
      <c r="G718" t="s">
        <v>310</v>
      </c>
      <c r="H718" t="s">
        <v>311</v>
      </c>
      <c r="I718" s="93">
        <v>46251</v>
      </c>
      <c r="J718" s="93">
        <v>46251</v>
      </c>
      <c r="K718" s="93">
        <v>46252</v>
      </c>
      <c r="L718" s="93">
        <v>46520</v>
      </c>
      <c r="M718" s="14">
        <v>1</v>
      </c>
      <c r="N718" s="14">
        <v>100000000000</v>
      </c>
      <c r="O718" s="56">
        <v>99.862606421999999</v>
      </c>
      <c r="P718" s="56">
        <v>0</v>
      </c>
      <c r="Q718" s="14">
        <v>102150825600</v>
      </c>
      <c r="R718">
        <v>8.6999999999999993</v>
      </c>
      <c r="S718" t="s">
        <v>1184</v>
      </c>
      <c r="T718" s="57">
        <f>IF(Dealps[[#This Row],[MATURITY_DATE]]-Dealps[[#This Row],[POSTED_DT]]&lt;0,0,IF(Dealps[[#This Row],[VALUE_DATE]]-Dealps[[#This Row],[POSTED_DT]]&gt;0,Dealps[[#This Row],[MATURITY_DATE]]-Dealps[[#This Row],[VALUE_DATE]],Dealps[[#This Row],[MATURITY_DATE]]-Dealps[[#This Row],[POSTED_DT]]))</f>
        <v>258</v>
      </c>
      <c r="U718" s="25">
        <f>IF(Dealps[[#This Row],[TENOR]]=0,0,IF(Dealps[[#This Row],[DEAL_TYPE]]="B",Dealps[[#This Row],[FACE_AMOUNT]],-Dealps[[#This Row],[FACE_AMOUNT]]))</f>
        <v>-100000000000</v>
      </c>
      <c r="V718" s="25">
        <f>_xlfn.XLOOKUP(Dealps[[#This Row],[PAPER_CODE]],FNRP!D:D,FNRP!H:H,0,0)/100*Dealps[[#This Row],[AMOUNT]]</f>
        <v>0</v>
      </c>
      <c r="W718" s="57" t="str">
        <f>IF(Dealps[[#This Row],[TRANSACTION_STATUS]]&lt;&gt;"V","Ngoai BS",IF(Dealps[[#This Row],[POSTED_DT]]&gt;=Dealps[[#This Row],[VALUE_DATE]],"On BS","Off BS"))</f>
        <v>On BS</v>
      </c>
      <c r="X718" s="25">
        <f>SUMIFS(U:U,C:C,Dealps[[#This Row],[PAPER_CODE]])</f>
        <v>800000000000</v>
      </c>
      <c r="Y718" s="25">
        <f>_xlfn.XLOOKUP(Dealps[[#This Row],[DEAL_ID]],Ref!N:N,Ref!Q:Q,0,0)</f>
        <v>0</v>
      </c>
      <c r="Z718" s="25" t="str">
        <f>IF(Dealps[[#This Row],[CPTY_CODE]]=Dealps[[#This Row],[CPTY_CODE_ISSUER]],"Yes","No")</f>
        <v>No</v>
      </c>
      <c r="AA718" s="25"/>
      <c r="AC718" s="14"/>
      <c r="AG718" s="96"/>
      <c r="AH718" s="14"/>
      <c r="AI718"/>
      <c r="AN718" s="14"/>
      <c r="AV718" s="36"/>
      <c r="AW718" s="14"/>
      <c r="AX718" s="234"/>
      <c r="AY718" s="96"/>
      <c r="AZ718" s="14"/>
      <c r="BA718"/>
      <c r="BE718" s="14"/>
      <c r="BF718" s="25"/>
      <c r="BL718" s="15"/>
      <c r="BN718"/>
      <c r="BR718" s="14"/>
      <c r="BV718"/>
    </row>
    <row r="719" spans="1:74" x14ac:dyDescent="0.3">
      <c r="A719" s="93">
        <v>46262</v>
      </c>
      <c r="B719">
        <v>4893</v>
      </c>
      <c r="C719" s="56" t="s">
        <v>1275</v>
      </c>
      <c r="D719" t="s">
        <v>325</v>
      </c>
      <c r="E719" t="s">
        <v>318</v>
      </c>
      <c r="F719" t="s">
        <v>364</v>
      </c>
      <c r="G719" t="s">
        <v>310</v>
      </c>
      <c r="H719" t="s">
        <v>311</v>
      </c>
      <c r="I719" s="93">
        <v>46251</v>
      </c>
      <c r="J719" s="93">
        <v>46251</v>
      </c>
      <c r="K719" s="93">
        <v>46252</v>
      </c>
      <c r="L719" s="93">
        <v>46520</v>
      </c>
      <c r="M719" s="14">
        <v>1</v>
      </c>
      <c r="N719" s="14">
        <v>500000000000</v>
      </c>
      <c r="O719" s="56">
        <v>99.651542321999997</v>
      </c>
      <c r="P719" s="56">
        <v>0</v>
      </c>
      <c r="Q719" s="14">
        <v>509698807500</v>
      </c>
      <c r="R719">
        <v>9</v>
      </c>
      <c r="S719" t="s">
        <v>1184</v>
      </c>
      <c r="T719" s="57">
        <f>IF(Dealps[[#This Row],[MATURITY_DATE]]-Dealps[[#This Row],[POSTED_DT]]&lt;0,0,IF(Dealps[[#This Row],[VALUE_DATE]]-Dealps[[#This Row],[POSTED_DT]]&gt;0,Dealps[[#This Row],[MATURITY_DATE]]-Dealps[[#This Row],[VALUE_DATE]],Dealps[[#This Row],[MATURITY_DATE]]-Dealps[[#This Row],[POSTED_DT]]))</f>
        <v>258</v>
      </c>
      <c r="U719" s="25">
        <f>IF(Dealps[[#This Row],[TENOR]]=0,0,IF(Dealps[[#This Row],[DEAL_TYPE]]="B",Dealps[[#This Row],[FACE_AMOUNT]],-Dealps[[#This Row],[FACE_AMOUNT]]))</f>
        <v>-500000000000</v>
      </c>
      <c r="V719" s="25">
        <f>_xlfn.XLOOKUP(Dealps[[#This Row],[PAPER_CODE]],FNRP!D:D,FNRP!H:H,0,0)/100*Dealps[[#This Row],[AMOUNT]]</f>
        <v>0</v>
      </c>
      <c r="W719" s="57" t="str">
        <f>IF(Dealps[[#This Row],[TRANSACTION_STATUS]]&lt;&gt;"V","Ngoai BS",IF(Dealps[[#This Row],[POSTED_DT]]&gt;=Dealps[[#This Row],[VALUE_DATE]],"On BS","Off BS"))</f>
        <v>On BS</v>
      </c>
      <c r="X719" s="25">
        <f>SUMIFS(U:U,C:C,Dealps[[#This Row],[PAPER_CODE]])</f>
        <v>800000000000</v>
      </c>
      <c r="Y719" s="25">
        <f>_xlfn.XLOOKUP(Dealps[[#This Row],[DEAL_ID]],Ref!N:N,Ref!Q:Q,0,0)</f>
        <v>0</v>
      </c>
      <c r="Z719" s="25" t="str">
        <f>IF(Dealps[[#This Row],[CPTY_CODE]]=Dealps[[#This Row],[CPTY_CODE_ISSUER]],"Yes","No")</f>
        <v>No</v>
      </c>
      <c r="AA719" s="25"/>
      <c r="AC719" s="14"/>
      <c r="AG719" s="96"/>
      <c r="AH719" s="14"/>
      <c r="AI719"/>
      <c r="AN719" s="14"/>
      <c r="AV719" s="36"/>
      <c r="AW719" s="14"/>
      <c r="AX719" s="234"/>
      <c r="AY719" s="96"/>
      <c r="AZ719" s="14"/>
      <c r="BA719"/>
      <c r="BE719" s="14"/>
      <c r="BF719" s="25"/>
      <c r="BL719" s="15"/>
      <c r="BN719"/>
      <c r="BR719" s="14"/>
      <c r="BV719"/>
    </row>
    <row r="720" spans="1:74" x14ac:dyDescent="0.3">
      <c r="A720" s="93">
        <v>46262</v>
      </c>
      <c r="B720">
        <v>4895</v>
      </c>
      <c r="C720" s="56" t="s">
        <v>1204</v>
      </c>
      <c r="D720" t="s">
        <v>315</v>
      </c>
      <c r="E720" t="s">
        <v>384</v>
      </c>
      <c r="F720" t="s">
        <v>364</v>
      </c>
      <c r="G720" t="s">
        <v>310</v>
      </c>
      <c r="H720" t="s">
        <v>311</v>
      </c>
      <c r="I720" s="93">
        <v>46251</v>
      </c>
      <c r="J720" s="93">
        <v>46251</v>
      </c>
      <c r="K720" s="93">
        <v>46252</v>
      </c>
      <c r="L720" s="93">
        <v>46422</v>
      </c>
      <c r="M720" s="14">
        <v>1</v>
      </c>
      <c r="N720" s="14">
        <v>460000000000</v>
      </c>
      <c r="O720" s="56">
        <v>100.64609939499999</v>
      </c>
      <c r="P720" s="56">
        <v>0</v>
      </c>
      <c r="Q720" s="14">
        <v>480764605160</v>
      </c>
      <c r="R720">
        <v>5.6</v>
      </c>
      <c r="S720" t="s">
        <v>1184</v>
      </c>
      <c r="T720" s="57">
        <f>IF(Dealps[[#This Row],[MATURITY_DATE]]-Dealps[[#This Row],[POSTED_DT]]&lt;0,0,IF(Dealps[[#This Row],[VALUE_DATE]]-Dealps[[#This Row],[POSTED_DT]]&gt;0,Dealps[[#This Row],[MATURITY_DATE]]-Dealps[[#This Row],[VALUE_DATE]],Dealps[[#This Row],[MATURITY_DATE]]-Dealps[[#This Row],[POSTED_DT]]))</f>
        <v>160</v>
      </c>
      <c r="U720" s="25">
        <f>IF(Dealps[[#This Row],[TENOR]]=0,0,IF(Dealps[[#This Row],[DEAL_TYPE]]="B",Dealps[[#This Row],[FACE_AMOUNT]],-Dealps[[#This Row],[FACE_AMOUNT]]))</f>
        <v>-460000000000</v>
      </c>
      <c r="V720" s="25">
        <f>_xlfn.XLOOKUP(Dealps[[#This Row],[PAPER_CODE]],FNRP!D:D,FNRP!H:H,0,0)/100*Dealps[[#This Row],[AMOUNT]]</f>
        <v>0</v>
      </c>
      <c r="W720" s="57" t="str">
        <f>IF(Dealps[[#This Row],[TRANSACTION_STATUS]]&lt;&gt;"V","Ngoai BS",IF(Dealps[[#This Row],[POSTED_DT]]&gt;=Dealps[[#This Row],[VALUE_DATE]],"On BS","Off BS"))</f>
        <v>On BS</v>
      </c>
      <c r="X720" s="25">
        <f>SUMIFS(U:U,C:C,Dealps[[#This Row],[PAPER_CODE]])</f>
        <v>1000000000000</v>
      </c>
      <c r="Y720" s="25">
        <f>_xlfn.XLOOKUP(Dealps[[#This Row],[DEAL_ID]],Ref!N:N,Ref!Q:Q,0,0)</f>
        <v>0</v>
      </c>
      <c r="Z720" s="25" t="str">
        <f>IF(Dealps[[#This Row],[CPTY_CODE]]=Dealps[[#This Row],[CPTY_CODE_ISSUER]],"Yes","No")</f>
        <v>No</v>
      </c>
      <c r="AA720" s="25"/>
      <c r="AC720" s="14"/>
      <c r="AG720" s="96"/>
      <c r="AH720" s="14"/>
      <c r="AI720"/>
      <c r="AN720" s="14"/>
      <c r="AV720" s="36"/>
      <c r="AW720" s="14"/>
      <c r="AX720" s="234"/>
      <c r="AY720" s="96"/>
      <c r="AZ720" s="14"/>
      <c r="BA720"/>
      <c r="BE720" s="14"/>
      <c r="BF720" s="25"/>
      <c r="BL720" s="15"/>
      <c r="BN720"/>
      <c r="BR720" s="14"/>
      <c r="BV720"/>
    </row>
    <row r="721" spans="1:74" x14ac:dyDescent="0.3">
      <c r="A721" s="93">
        <v>46262</v>
      </c>
      <c r="B721">
        <v>4898</v>
      </c>
      <c r="C721" s="56" t="s">
        <v>1061</v>
      </c>
      <c r="D721" t="s">
        <v>312</v>
      </c>
      <c r="E721" t="s">
        <v>1005</v>
      </c>
      <c r="F721" t="s">
        <v>364</v>
      </c>
      <c r="G721" t="s">
        <v>310</v>
      </c>
      <c r="H721" t="s">
        <v>311</v>
      </c>
      <c r="I721" s="93">
        <v>46251</v>
      </c>
      <c r="J721" s="93">
        <v>46251</v>
      </c>
      <c r="K721" s="93">
        <v>46252</v>
      </c>
      <c r="L721" s="93">
        <v>46343</v>
      </c>
      <c r="M721" s="14">
        <v>1</v>
      </c>
      <c r="N721" s="14">
        <v>300000000000</v>
      </c>
      <c r="O721" s="56">
        <v>99.111628104999994</v>
      </c>
      <c r="P721" s="56">
        <v>0</v>
      </c>
      <c r="Q721" s="14">
        <v>311471048700</v>
      </c>
      <c r="R721">
        <v>9.5</v>
      </c>
      <c r="S721" t="s">
        <v>1184</v>
      </c>
      <c r="T721" s="57">
        <f>IF(Dealps[[#This Row],[MATURITY_DATE]]-Dealps[[#This Row],[POSTED_DT]]&lt;0,0,IF(Dealps[[#This Row],[VALUE_DATE]]-Dealps[[#This Row],[POSTED_DT]]&gt;0,Dealps[[#This Row],[MATURITY_DATE]]-Dealps[[#This Row],[VALUE_DATE]],Dealps[[#This Row],[MATURITY_DATE]]-Dealps[[#This Row],[POSTED_DT]]))</f>
        <v>81</v>
      </c>
      <c r="U721" s="25">
        <f>IF(Dealps[[#This Row],[TENOR]]=0,0,IF(Dealps[[#This Row],[DEAL_TYPE]]="B",Dealps[[#This Row],[FACE_AMOUNT]],-Dealps[[#This Row],[FACE_AMOUNT]]))</f>
        <v>-300000000000</v>
      </c>
      <c r="V721" s="25">
        <f>_xlfn.XLOOKUP(Dealps[[#This Row],[PAPER_CODE]],FNRP!D:D,FNRP!H:H,0,0)/100*Dealps[[#This Row],[AMOUNT]]</f>
        <v>0</v>
      </c>
      <c r="W721" s="57" t="str">
        <f>IF(Dealps[[#This Row],[TRANSACTION_STATUS]]&lt;&gt;"V","Ngoai BS",IF(Dealps[[#This Row],[POSTED_DT]]&gt;=Dealps[[#This Row],[VALUE_DATE]],"On BS","Off BS"))</f>
        <v>On BS</v>
      </c>
      <c r="X721" s="25">
        <f>SUMIFS(U:U,C:C,Dealps[[#This Row],[PAPER_CODE]])</f>
        <v>1500000000000</v>
      </c>
      <c r="Y721" s="25">
        <f>_xlfn.XLOOKUP(Dealps[[#This Row],[DEAL_ID]],Ref!N:N,Ref!Q:Q,0,0)</f>
        <v>0</v>
      </c>
      <c r="Z721" s="25" t="str">
        <f>IF(Dealps[[#This Row],[CPTY_CODE]]=Dealps[[#This Row],[CPTY_CODE_ISSUER]],"Yes","No")</f>
        <v>No</v>
      </c>
      <c r="AA721" s="25"/>
      <c r="AC721" s="14"/>
      <c r="AG721" s="96"/>
      <c r="AH721" s="14"/>
      <c r="AI721"/>
      <c r="AN721" s="14"/>
      <c r="AV721" s="36"/>
      <c r="AW721" s="14"/>
      <c r="AX721" s="234"/>
      <c r="AY721" s="96"/>
      <c r="AZ721" s="14"/>
      <c r="BA721"/>
      <c r="BE721" s="14"/>
      <c r="BF721" s="25"/>
      <c r="BL721" s="15"/>
      <c r="BN721"/>
      <c r="BR721" s="14"/>
      <c r="BV721"/>
    </row>
    <row r="722" spans="1:74" x14ac:dyDescent="0.3">
      <c r="A722" s="93">
        <v>46262</v>
      </c>
      <c r="B722">
        <v>4900</v>
      </c>
      <c r="C722" s="56" t="s">
        <v>1494</v>
      </c>
      <c r="D722" t="s">
        <v>322</v>
      </c>
      <c r="E722" t="s">
        <v>1005</v>
      </c>
      <c r="F722" t="s">
        <v>364</v>
      </c>
      <c r="G722" t="s">
        <v>310</v>
      </c>
      <c r="H722" t="s">
        <v>311</v>
      </c>
      <c r="I722" s="93">
        <v>46251</v>
      </c>
      <c r="J722" s="93">
        <v>46251</v>
      </c>
      <c r="K722" s="93">
        <v>46252</v>
      </c>
      <c r="L722" s="93">
        <v>46300</v>
      </c>
      <c r="M722" s="14">
        <v>1</v>
      </c>
      <c r="N722" s="14">
        <v>200000000000</v>
      </c>
      <c r="O722" s="56">
        <v>99.481310152000006</v>
      </c>
      <c r="P722" s="56">
        <v>0</v>
      </c>
      <c r="Q722" s="14">
        <v>209351661400.00003</v>
      </c>
      <c r="R722">
        <v>9.5</v>
      </c>
      <c r="S722" t="s">
        <v>1184</v>
      </c>
      <c r="T722" s="57">
        <f>IF(Dealps[[#This Row],[MATURITY_DATE]]-Dealps[[#This Row],[POSTED_DT]]&lt;0,0,IF(Dealps[[#This Row],[VALUE_DATE]]-Dealps[[#This Row],[POSTED_DT]]&gt;0,Dealps[[#This Row],[MATURITY_DATE]]-Dealps[[#This Row],[VALUE_DATE]],Dealps[[#This Row],[MATURITY_DATE]]-Dealps[[#This Row],[POSTED_DT]]))</f>
        <v>38</v>
      </c>
      <c r="U722" s="25">
        <f>IF(Dealps[[#This Row],[TENOR]]=0,0,IF(Dealps[[#This Row],[DEAL_TYPE]]="B",Dealps[[#This Row],[FACE_AMOUNT]],-Dealps[[#This Row],[FACE_AMOUNT]]))</f>
        <v>-200000000000</v>
      </c>
      <c r="V722" s="25">
        <f>_xlfn.XLOOKUP(Dealps[[#This Row],[PAPER_CODE]],FNRP!D:D,FNRP!H:H,0,0)/100*Dealps[[#This Row],[AMOUNT]]</f>
        <v>0</v>
      </c>
      <c r="W722" s="57" t="str">
        <f>IF(Dealps[[#This Row],[TRANSACTION_STATUS]]&lt;&gt;"V","Ngoai BS",IF(Dealps[[#This Row],[POSTED_DT]]&gt;=Dealps[[#This Row],[VALUE_DATE]],"On BS","Off BS"))</f>
        <v>On BS</v>
      </c>
      <c r="X722" s="25">
        <f>SUMIFS(U:U,C:C,Dealps[[#This Row],[PAPER_CODE]])</f>
        <v>200000000000</v>
      </c>
      <c r="Y722" s="25">
        <f>_xlfn.XLOOKUP(Dealps[[#This Row],[DEAL_ID]],Ref!N:N,Ref!Q:Q,0,0)</f>
        <v>0</v>
      </c>
      <c r="Z722" s="25" t="str">
        <f>IF(Dealps[[#This Row],[CPTY_CODE]]=Dealps[[#This Row],[CPTY_CODE_ISSUER]],"Yes","No")</f>
        <v>No</v>
      </c>
      <c r="AA722" s="25"/>
      <c r="AC722" s="14"/>
      <c r="AG722" s="96"/>
      <c r="AH722" s="14"/>
      <c r="AI722"/>
      <c r="AN722" s="14"/>
      <c r="AV722" s="36"/>
      <c r="AW722" s="14"/>
      <c r="AX722" s="234"/>
      <c r="AY722" s="96"/>
      <c r="AZ722" s="14"/>
      <c r="BA722"/>
      <c r="BE722" s="14"/>
      <c r="BF722" s="25"/>
      <c r="BL722" s="15"/>
      <c r="BN722"/>
      <c r="BR722" s="14"/>
      <c r="BV722"/>
    </row>
    <row r="723" spans="1:74" x14ac:dyDescent="0.3">
      <c r="A723" s="93">
        <v>46262</v>
      </c>
      <c r="B723">
        <v>4902</v>
      </c>
      <c r="C723" s="56" t="s">
        <v>1517</v>
      </c>
      <c r="D723" t="s">
        <v>325</v>
      </c>
      <c r="E723" t="s">
        <v>325</v>
      </c>
      <c r="F723" t="s">
        <v>364</v>
      </c>
      <c r="G723" t="s">
        <v>310</v>
      </c>
      <c r="H723" t="s">
        <v>300</v>
      </c>
      <c r="I723" s="93">
        <v>46251</v>
      </c>
      <c r="J723" s="93">
        <v>46251</v>
      </c>
      <c r="K723" s="93">
        <v>46252</v>
      </c>
      <c r="L723" s="93">
        <v>46525</v>
      </c>
      <c r="M723" s="14">
        <v>1</v>
      </c>
      <c r="N723" s="14">
        <v>900000000000</v>
      </c>
      <c r="O723" s="56">
        <v>100</v>
      </c>
      <c r="P723" s="56">
        <v>0</v>
      </c>
      <c r="Q723" s="14">
        <v>900000000000</v>
      </c>
      <c r="R723">
        <v>9.3000000000000007</v>
      </c>
      <c r="S723" t="s">
        <v>1184</v>
      </c>
      <c r="T723" s="57">
        <f>IF(Dealps[[#This Row],[MATURITY_DATE]]-Dealps[[#This Row],[POSTED_DT]]&lt;0,0,IF(Dealps[[#This Row],[VALUE_DATE]]-Dealps[[#This Row],[POSTED_DT]]&gt;0,Dealps[[#This Row],[MATURITY_DATE]]-Dealps[[#This Row],[VALUE_DATE]],Dealps[[#This Row],[MATURITY_DATE]]-Dealps[[#This Row],[POSTED_DT]]))</f>
        <v>263</v>
      </c>
      <c r="U723" s="25">
        <f>IF(Dealps[[#This Row],[TENOR]]=0,0,IF(Dealps[[#This Row],[DEAL_TYPE]]="B",Dealps[[#This Row],[FACE_AMOUNT]],-Dealps[[#This Row],[FACE_AMOUNT]]))</f>
        <v>900000000000</v>
      </c>
      <c r="V723" s="25">
        <f>_xlfn.XLOOKUP(Dealps[[#This Row],[PAPER_CODE]],FNRP!D:D,FNRP!H:H,0,0)/100*Dealps[[#This Row],[AMOUNT]]</f>
        <v>0</v>
      </c>
      <c r="W723" s="57" t="str">
        <f>IF(Dealps[[#This Row],[TRANSACTION_STATUS]]&lt;&gt;"V","Ngoai BS",IF(Dealps[[#This Row],[POSTED_DT]]&gt;=Dealps[[#This Row],[VALUE_DATE]],"On BS","Off BS"))</f>
        <v>On BS</v>
      </c>
      <c r="X723" s="25">
        <f>SUMIFS(U:U,C:C,Dealps[[#This Row],[PAPER_CODE]])</f>
        <v>900000000000</v>
      </c>
      <c r="Y723" s="25">
        <f>_xlfn.XLOOKUP(Dealps[[#This Row],[DEAL_ID]],Ref!N:N,Ref!Q:Q,0,0)</f>
        <v>0</v>
      </c>
      <c r="Z723" s="25" t="str">
        <f>IF(Dealps[[#This Row],[CPTY_CODE]]=Dealps[[#This Row],[CPTY_CODE_ISSUER]],"Yes","No")</f>
        <v>Yes</v>
      </c>
      <c r="AA723" s="25"/>
      <c r="AC723" s="14"/>
      <c r="AG723" s="96"/>
      <c r="AH723" s="14"/>
      <c r="AI723"/>
      <c r="AN723" s="14"/>
      <c r="AV723" s="36"/>
      <c r="AW723" s="14"/>
      <c r="AX723" s="234"/>
      <c r="AY723" s="96"/>
      <c r="AZ723" s="14"/>
      <c r="BA723"/>
      <c r="BE723" s="14"/>
      <c r="BF723" s="25"/>
      <c r="BL723" s="15"/>
      <c r="BN723"/>
      <c r="BR723" s="14"/>
      <c r="BV723"/>
    </row>
    <row r="724" spans="1:74" x14ac:dyDescent="0.3">
      <c r="A724" s="93">
        <v>46262</v>
      </c>
      <c r="B724">
        <v>4903</v>
      </c>
      <c r="C724" s="56" t="s">
        <v>1526</v>
      </c>
      <c r="D724" t="s">
        <v>954</v>
      </c>
      <c r="E724" t="s">
        <v>319</v>
      </c>
      <c r="F724" t="s">
        <v>364</v>
      </c>
      <c r="G724" t="s">
        <v>310</v>
      </c>
      <c r="H724" t="s">
        <v>300</v>
      </c>
      <c r="I724" s="93">
        <v>46252</v>
      </c>
      <c r="J724" s="93">
        <v>46252</v>
      </c>
      <c r="K724" s="93">
        <v>46253</v>
      </c>
      <c r="L724" s="93">
        <v>46617</v>
      </c>
      <c r="M724" s="14">
        <v>1</v>
      </c>
      <c r="N724" s="14">
        <v>39100000000</v>
      </c>
      <c r="O724" s="56">
        <v>99.999712329000005</v>
      </c>
      <c r="P724" s="56">
        <v>0</v>
      </c>
      <c r="Q724" s="14">
        <v>39108993000</v>
      </c>
      <c r="R724">
        <v>8.4983339999999998</v>
      </c>
      <c r="S724" t="s">
        <v>1184</v>
      </c>
      <c r="T724" s="57">
        <f>IF(Dealps[[#This Row],[MATURITY_DATE]]-Dealps[[#This Row],[POSTED_DT]]&lt;0,0,IF(Dealps[[#This Row],[VALUE_DATE]]-Dealps[[#This Row],[POSTED_DT]]&gt;0,Dealps[[#This Row],[MATURITY_DATE]]-Dealps[[#This Row],[VALUE_DATE]],Dealps[[#This Row],[MATURITY_DATE]]-Dealps[[#This Row],[POSTED_DT]]))</f>
        <v>355</v>
      </c>
      <c r="U724" s="25">
        <f>IF(Dealps[[#This Row],[TENOR]]=0,0,IF(Dealps[[#This Row],[DEAL_TYPE]]="B",Dealps[[#This Row],[FACE_AMOUNT]],-Dealps[[#This Row],[FACE_AMOUNT]]))</f>
        <v>39100000000</v>
      </c>
      <c r="V724" s="25">
        <f>_xlfn.XLOOKUP(Dealps[[#This Row],[PAPER_CODE]],FNRP!D:D,FNRP!H:H,0,0)/100*Dealps[[#This Row],[AMOUNT]]</f>
        <v>0</v>
      </c>
      <c r="W724" s="57" t="str">
        <f>IF(Dealps[[#This Row],[TRANSACTION_STATUS]]&lt;&gt;"V","Ngoai BS",IF(Dealps[[#This Row],[POSTED_DT]]&gt;=Dealps[[#This Row],[VALUE_DATE]],"On BS","Off BS"))</f>
        <v>On BS</v>
      </c>
      <c r="X724" s="25">
        <f>SUMIFS(U:U,C:C,Dealps[[#This Row],[PAPER_CODE]])</f>
        <v>39100000000</v>
      </c>
      <c r="Y724" s="25">
        <f>_xlfn.XLOOKUP(Dealps[[#This Row],[DEAL_ID]],Ref!N:N,Ref!Q:Q,0,0)</f>
        <v>0</v>
      </c>
      <c r="Z724" s="25" t="str">
        <f>IF(Dealps[[#This Row],[CPTY_CODE]]=Dealps[[#This Row],[CPTY_CODE_ISSUER]],"Yes","No")</f>
        <v>No</v>
      </c>
      <c r="AA724" s="25"/>
      <c r="AC724" s="14"/>
      <c r="AG724" s="96"/>
      <c r="AH724" s="14"/>
      <c r="AI724"/>
      <c r="AN724" s="14"/>
      <c r="AV724" s="36"/>
      <c r="AW724" s="14"/>
      <c r="AX724" s="234"/>
      <c r="AY724" s="96"/>
      <c r="AZ724" s="14"/>
      <c r="BA724"/>
      <c r="BE724" s="14"/>
      <c r="BF724" s="25"/>
      <c r="BL724" s="15"/>
      <c r="BN724"/>
      <c r="BR724" s="14"/>
      <c r="BV724"/>
    </row>
    <row r="725" spans="1:74" x14ac:dyDescent="0.3">
      <c r="A725" s="93">
        <v>46262</v>
      </c>
      <c r="B725">
        <v>4904</v>
      </c>
      <c r="C725" s="56" t="s">
        <v>1515</v>
      </c>
      <c r="D725" t="s">
        <v>312</v>
      </c>
      <c r="E725" t="s">
        <v>315</v>
      </c>
      <c r="F725" t="s">
        <v>364</v>
      </c>
      <c r="G725" t="s">
        <v>310</v>
      </c>
      <c r="H725" t="s">
        <v>311</v>
      </c>
      <c r="I725" s="93">
        <v>46252</v>
      </c>
      <c r="J725" s="93">
        <v>46252</v>
      </c>
      <c r="K725" s="93">
        <v>46254</v>
      </c>
      <c r="L725" s="93">
        <v>46615</v>
      </c>
      <c r="M725" s="14">
        <v>1</v>
      </c>
      <c r="N725" s="14">
        <v>1000000000000</v>
      </c>
      <c r="O725" s="56">
        <v>99.993824179000001</v>
      </c>
      <c r="P725" s="56">
        <v>0</v>
      </c>
      <c r="Q725" s="14">
        <v>1000686187000</v>
      </c>
      <c r="R725">
        <v>9.1</v>
      </c>
      <c r="S725" t="s">
        <v>1184</v>
      </c>
      <c r="T725" s="57">
        <f>IF(Dealps[[#This Row],[MATURITY_DATE]]-Dealps[[#This Row],[POSTED_DT]]&lt;0,0,IF(Dealps[[#This Row],[VALUE_DATE]]-Dealps[[#This Row],[POSTED_DT]]&gt;0,Dealps[[#This Row],[MATURITY_DATE]]-Dealps[[#This Row],[VALUE_DATE]],Dealps[[#This Row],[MATURITY_DATE]]-Dealps[[#This Row],[POSTED_DT]]))</f>
        <v>353</v>
      </c>
      <c r="U725" s="25">
        <f>IF(Dealps[[#This Row],[TENOR]]=0,0,IF(Dealps[[#This Row],[DEAL_TYPE]]="B",Dealps[[#This Row],[FACE_AMOUNT]],-Dealps[[#This Row],[FACE_AMOUNT]]))</f>
        <v>-1000000000000</v>
      </c>
      <c r="V725" s="25">
        <f>_xlfn.XLOOKUP(Dealps[[#This Row],[PAPER_CODE]],FNRP!D:D,FNRP!H:H,0,0)/100*Dealps[[#This Row],[AMOUNT]]</f>
        <v>0</v>
      </c>
      <c r="W725" s="57" t="str">
        <f>IF(Dealps[[#This Row],[TRANSACTION_STATUS]]&lt;&gt;"V","Ngoai BS",IF(Dealps[[#This Row],[POSTED_DT]]&gt;=Dealps[[#This Row],[VALUE_DATE]],"On BS","Off BS"))</f>
        <v>On BS</v>
      </c>
      <c r="X725" s="25">
        <f>SUMIFS(U:U,C:C,Dealps[[#This Row],[PAPER_CODE]])</f>
        <v>1000000000000</v>
      </c>
      <c r="Y725" s="25">
        <f>_xlfn.XLOOKUP(Dealps[[#This Row],[DEAL_ID]],Ref!N:N,Ref!Q:Q,0,0)</f>
        <v>0</v>
      </c>
      <c r="Z725" s="25" t="str">
        <f>IF(Dealps[[#This Row],[CPTY_CODE]]=Dealps[[#This Row],[CPTY_CODE_ISSUER]],"Yes","No")</f>
        <v>No</v>
      </c>
      <c r="AA725" s="25"/>
      <c r="AC725" s="14"/>
      <c r="AG725" s="96"/>
      <c r="AH725" s="14"/>
      <c r="AI725"/>
      <c r="AN725" s="14"/>
      <c r="AV725" s="36"/>
      <c r="AW725" s="14"/>
      <c r="AX725" s="234"/>
      <c r="AY725" s="96"/>
      <c r="AZ725" s="14"/>
      <c r="BA725"/>
      <c r="BE725" s="14"/>
      <c r="BF725" s="25"/>
      <c r="BL725" s="15"/>
      <c r="BN725"/>
      <c r="BR725" s="14"/>
      <c r="BV725"/>
    </row>
    <row r="726" spans="1:74" x14ac:dyDescent="0.3">
      <c r="A726" s="93">
        <v>46262</v>
      </c>
      <c r="B726">
        <v>4905</v>
      </c>
      <c r="C726" s="56" t="s">
        <v>1515</v>
      </c>
      <c r="D726" t="s">
        <v>312</v>
      </c>
      <c r="E726" t="s">
        <v>315</v>
      </c>
      <c r="F726" t="s">
        <v>364</v>
      </c>
      <c r="G726" t="s">
        <v>310</v>
      </c>
      <c r="H726" t="s">
        <v>300</v>
      </c>
      <c r="I726" s="93">
        <v>46252</v>
      </c>
      <c r="J726" s="93">
        <v>46275</v>
      </c>
      <c r="K726" s="93">
        <v>46275</v>
      </c>
      <c r="L726" s="93">
        <v>46615</v>
      </c>
      <c r="M726" s="14">
        <v>1</v>
      </c>
      <c r="N726" s="14">
        <v>1000000000000</v>
      </c>
      <c r="O726" s="56">
        <v>99.884793336000001</v>
      </c>
      <c r="P726" s="56">
        <v>0</v>
      </c>
      <c r="Q726" s="14">
        <v>1004831495000</v>
      </c>
      <c r="R726">
        <v>9.1793279999999999</v>
      </c>
      <c r="S726" t="s">
        <v>651</v>
      </c>
      <c r="T726" s="57">
        <f>IF(Dealps[[#This Row],[MATURITY_DATE]]-Dealps[[#This Row],[POSTED_DT]]&lt;0,0,IF(Dealps[[#This Row],[VALUE_DATE]]-Dealps[[#This Row],[POSTED_DT]]&gt;0,Dealps[[#This Row],[MATURITY_DATE]]-Dealps[[#This Row],[VALUE_DATE]],Dealps[[#This Row],[MATURITY_DATE]]-Dealps[[#This Row],[POSTED_DT]]))</f>
        <v>340</v>
      </c>
      <c r="U726" s="25">
        <f>IF(Dealps[[#This Row],[TENOR]]=0,0,IF(Dealps[[#This Row],[DEAL_TYPE]]="B",Dealps[[#This Row],[FACE_AMOUNT]],-Dealps[[#This Row],[FACE_AMOUNT]]))</f>
        <v>1000000000000</v>
      </c>
      <c r="V726" s="25">
        <f>_xlfn.XLOOKUP(Dealps[[#This Row],[PAPER_CODE]],FNRP!D:D,FNRP!H:H,0,0)/100*Dealps[[#This Row],[AMOUNT]]</f>
        <v>0</v>
      </c>
      <c r="W726" s="57" t="str">
        <f>IF(Dealps[[#This Row],[TRANSACTION_STATUS]]&lt;&gt;"V","Ngoai BS",IF(Dealps[[#This Row],[POSTED_DT]]&gt;=Dealps[[#This Row],[VALUE_DATE]],"On BS","Off BS"))</f>
        <v>Ngoai BS</v>
      </c>
      <c r="X726" s="25">
        <f>SUMIFS(U:U,C:C,Dealps[[#This Row],[PAPER_CODE]])</f>
        <v>1000000000000</v>
      </c>
      <c r="Y726" s="25">
        <f>_xlfn.XLOOKUP(Dealps[[#This Row],[DEAL_ID]],Ref!N:N,Ref!Q:Q,0,0)</f>
        <v>0</v>
      </c>
      <c r="Z726" s="25" t="str">
        <f>IF(Dealps[[#This Row],[CPTY_CODE]]=Dealps[[#This Row],[CPTY_CODE_ISSUER]],"Yes","No")</f>
        <v>No</v>
      </c>
      <c r="AA726" s="25"/>
      <c r="AC726" s="14"/>
      <c r="AG726" s="96"/>
      <c r="AH726" s="14"/>
      <c r="AI726"/>
      <c r="AN726" s="14"/>
      <c r="AV726" s="36"/>
      <c r="AW726" s="14"/>
      <c r="AX726" s="234"/>
      <c r="AY726" s="96"/>
      <c r="AZ726" s="14"/>
      <c r="BA726"/>
      <c r="BE726" s="14"/>
      <c r="BF726" s="25"/>
      <c r="BL726" s="15"/>
      <c r="BN726"/>
      <c r="BR726" s="14"/>
      <c r="BV726"/>
    </row>
    <row r="727" spans="1:74" x14ac:dyDescent="0.3">
      <c r="A727" s="93">
        <v>46262</v>
      </c>
      <c r="B727">
        <v>4906</v>
      </c>
      <c r="C727" s="56" t="s">
        <v>1525</v>
      </c>
      <c r="D727" t="s">
        <v>954</v>
      </c>
      <c r="E727" t="s">
        <v>319</v>
      </c>
      <c r="F727" t="s">
        <v>364</v>
      </c>
      <c r="G727" t="s">
        <v>310</v>
      </c>
      <c r="H727" t="s">
        <v>300</v>
      </c>
      <c r="I727" s="93">
        <v>46252</v>
      </c>
      <c r="J727" s="93">
        <v>46252</v>
      </c>
      <c r="K727" s="93">
        <v>46253</v>
      </c>
      <c r="L727" s="93">
        <v>46617</v>
      </c>
      <c r="M727" s="14">
        <v>1</v>
      </c>
      <c r="N727" s="14">
        <v>460000000000</v>
      </c>
      <c r="O727" s="56">
        <v>91.499712329000005</v>
      </c>
      <c r="P727" s="56">
        <v>0</v>
      </c>
      <c r="Q727" s="14">
        <v>421005800000</v>
      </c>
      <c r="R727">
        <v>18.600396</v>
      </c>
      <c r="S727" t="s">
        <v>1184</v>
      </c>
      <c r="T727" s="57">
        <f>IF(Dealps[[#This Row],[MATURITY_DATE]]-Dealps[[#This Row],[POSTED_DT]]&lt;0,0,IF(Dealps[[#This Row],[VALUE_DATE]]-Dealps[[#This Row],[POSTED_DT]]&gt;0,Dealps[[#This Row],[MATURITY_DATE]]-Dealps[[#This Row],[VALUE_DATE]],Dealps[[#This Row],[MATURITY_DATE]]-Dealps[[#This Row],[POSTED_DT]]))</f>
        <v>355</v>
      </c>
      <c r="U727" s="25">
        <f>IF(Dealps[[#This Row],[TENOR]]=0,0,IF(Dealps[[#This Row],[DEAL_TYPE]]="B",Dealps[[#This Row],[FACE_AMOUNT]],-Dealps[[#This Row],[FACE_AMOUNT]]))</f>
        <v>460000000000</v>
      </c>
      <c r="V727" s="25">
        <f>_xlfn.XLOOKUP(Dealps[[#This Row],[PAPER_CODE]],FNRP!D:D,FNRP!H:H,0,0)/100*Dealps[[#This Row],[AMOUNT]]</f>
        <v>0</v>
      </c>
      <c r="W727" s="57" t="str">
        <f>IF(Dealps[[#This Row],[TRANSACTION_STATUS]]&lt;&gt;"V","Ngoai BS",IF(Dealps[[#This Row],[POSTED_DT]]&gt;=Dealps[[#This Row],[VALUE_DATE]],"On BS","Off BS"))</f>
        <v>On BS</v>
      </c>
      <c r="X727" s="25">
        <f>SUMIFS(U:U,C:C,Dealps[[#This Row],[PAPER_CODE]])</f>
        <v>460000000000</v>
      </c>
      <c r="Y727" s="25">
        <f>_xlfn.XLOOKUP(Dealps[[#This Row],[DEAL_ID]],Ref!N:N,Ref!Q:Q,0,0)</f>
        <v>0</v>
      </c>
      <c r="Z727" s="25" t="str">
        <f>IF(Dealps[[#This Row],[CPTY_CODE]]=Dealps[[#This Row],[CPTY_CODE_ISSUER]],"Yes","No")</f>
        <v>No</v>
      </c>
      <c r="AA727" s="25"/>
      <c r="AC727" s="14"/>
      <c r="AG727" s="96"/>
      <c r="AH727" s="14"/>
      <c r="AI727"/>
      <c r="AN727" s="14"/>
      <c r="AV727" s="36"/>
      <c r="AW727" s="14"/>
      <c r="AX727" s="234"/>
      <c r="AY727" s="96"/>
      <c r="AZ727" s="14"/>
      <c r="BA727"/>
      <c r="BE727" s="14"/>
      <c r="BF727" s="25"/>
      <c r="BL727" s="15"/>
      <c r="BN727"/>
      <c r="BR727" s="14"/>
      <c r="BV727"/>
    </row>
    <row r="728" spans="1:74" x14ac:dyDescent="0.3">
      <c r="A728" s="93">
        <v>46262</v>
      </c>
      <c r="B728">
        <v>4907</v>
      </c>
      <c r="C728" s="56" t="s">
        <v>963</v>
      </c>
      <c r="D728" t="s">
        <v>308</v>
      </c>
      <c r="E728" t="s">
        <v>347</v>
      </c>
      <c r="F728" t="s">
        <v>364</v>
      </c>
      <c r="G728" t="s">
        <v>310</v>
      </c>
      <c r="H728" t="s">
        <v>311</v>
      </c>
      <c r="I728" s="93">
        <v>46252</v>
      </c>
      <c r="J728" s="93">
        <v>46252</v>
      </c>
      <c r="K728" s="93">
        <v>46255</v>
      </c>
      <c r="L728" s="93">
        <v>46295</v>
      </c>
      <c r="M728" s="14">
        <v>1</v>
      </c>
      <c r="N728" s="14">
        <v>300000000000</v>
      </c>
      <c r="O728" s="56">
        <v>100.147909979</v>
      </c>
      <c r="P728" s="56">
        <v>0</v>
      </c>
      <c r="Q728" s="14">
        <v>316688113500</v>
      </c>
      <c r="R728">
        <v>4.5</v>
      </c>
      <c r="S728" t="s">
        <v>1184</v>
      </c>
      <c r="T728" s="57">
        <f>IF(Dealps[[#This Row],[MATURITY_DATE]]-Dealps[[#This Row],[POSTED_DT]]&lt;0,0,IF(Dealps[[#This Row],[VALUE_DATE]]-Dealps[[#This Row],[POSTED_DT]]&gt;0,Dealps[[#This Row],[MATURITY_DATE]]-Dealps[[#This Row],[VALUE_DATE]],Dealps[[#This Row],[MATURITY_DATE]]-Dealps[[#This Row],[POSTED_DT]]))</f>
        <v>33</v>
      </c>
      <c r="U728" s="25">
        <f>IF(Dealps[[#This Row],[TENOR]]=0,0,IF(Dealps[[#This Row],[DEAL_TYPE]]="B",Dealps[[#This Row],[FACE_AMOUNT]],-Dealps[[#This Row],[FACE_AMOUNT]]))</f>
        <v>-300000000000</v>
      </c>
      <c r="V728" s="25">
        <f>_xlfn.XLOOKUP(Dealps[[#This Row],[PAPER_CODE]],FNRP!D:D,FNRP!H:H,0,0)/100*Dealps[[#This Row],[AMOUNT]]</f>
        <v>0</v>
      </c>
      <c r="W728" s="57" t="str">
        <f>IF(Dealps[[#This Row],[TRANSACTION_STATUS]]&lt;&gt;"V","Ngoai BS",IF(Dealps[[#This Row],[POSTED_DT]]&gt;=Dealps[[#This Row],[VALUE_DATE]],"On BS","Off BS"))</f>
        <v>On BS</v>
      </c>
      <c r="X728" s="25">
        <f>SUMIFS(U:U,C:C,Dealps[[#This Row],[PAPER_CODE]])</f>
        <v>400000000000</v>
      </c>
      <c r="Y728" s="25">
        <f>_xlfn.XLOOKUP(Dealps[[#This Row],[DEAL_ID]],Ref!N:N,Ref!Q:Q,0,0)</f>
        <v>0</v>
      </c>
      <c r="Z728" s="25" t="str">
        <f>IF(Dealps[[#This Row],[CPTY_CODE]]=Dealps[[#This Row],[CPTY_CODE_ISSUER]],"Yes","No")</f>
        <v>No</v>
      </c>
      <c r="AA728" s="25"/>
      <c r="AC728" s="14"/>
      <c r="AG728" s="96"/>
      <c r="AH728" s="14"/>
      <c r="AI728"/>
      <c r="AN728" s="14"/>
      <c r="AV728" s="36"/>
      <c r="AW728" s="14"/>
      <c r="AX728" s="234"/>
      <c r="AY728" s="96"/>
      <c r="AZ728" s="14"/>
      <c r="BA728"/>
      <c r="BE728" s="14"/>
      <c r="BF728" s="25"/>
      <c r="BL728" s="15"/>
      <c r="BN728"/>
      <c r="BR728" s="14"/>
      <c r="BV728"/>
    </row>
    <row r="729" spans="1:74" x14ac:dyDescent="0.3">
      <c r="A729" s="93">
        <v>46262</v>
      </c>
      <c r="B729">
        <v>4908</v>
      </c>
      <c r="C729" s="56" t="s">
        <v>963</v>
      </c>
      <c r="D729" t="s">
        <v>308</v>
      </c>
      <c r="E729" t="s">
        <v>347</v>
      </c>
      <c r="F729" t="s">
        <v>364</v>
      </c>
      <c r="G729" t="s">
        <v>310</v>
      </c>
      <c r="H729" t="s">
        <v>300</v>
      </c>
      <c r="I729" s="93">
        <v>46252</v>
      </c>
      <c r="J729" s="93">
        <v>46275</v>
      </c>
      <c r="K729" s="93">
        <v>46275</v>
      </c>
      <c r="L729" s="93">
        <v>46295</v>
      </c>
      <c r="M729" s="14">
        <v>1</v>
      </c>
      <c r="N729" s="14">
        <v>300000000000</v>
      </c>
      <c r="O729" s="56">
        <v>100.230130004</v>
      </c>
      <c r="P729" s="56">
        <v>0</v>
      </c>
      <c r="Q729" s="14">
        <v>317937513300</v>
      </c>
      <c r="R729">
        <v>1.7929250000000001</v>
      </c>
      <c r="S729" t="s">
        <v>651</v>
      </c>
      <c r="T729" s="57">
        <f>IF(Dealps[[#This Row],[MATURITY_DATE]]-Dealps[[#This Row],[POSTED_DT]]&lt;0,0,IF(Dealps[[#This Row],[VALUE_DATE]]-Dealps[[#This Row],[POSTED_DT]]&gt;0,Dealps[[#This Row],[MATURITY_DATE]]-Dealps[[#This Row],[VALUE_DATE]],Dealps[[#This Row],[MATURITY_DATE]]-Dealps[[#This Row],[POSTED_DT]]))</f>
        <v>20</v>
      </c>
      <c r="U729" s="25">
        <f>IF(Dealps[[#This Row],[TENOR]]=0,0,IF(Dealps[[#This Row],[DEAL_TYPE]]="B",Dealps[[#This Row],[FACE_AMOUNT]],-Dealps[[#This Row],[FACE_AMOUNT]]))</f>
        <v>300000000000</v>
      </c>
      <c r="V729" s="25">
        <f>_xlfn.XLOOKUP(Dealps[[#This Row],[PAPER_CODE]],FNRP!D:D,FNRP!H:H,0,0)/100*Dealps[[#This Row],[AMOUNT]]</f>
        <v>0</v>
      </c>
      <c r="W729" s="57" t="str">
        <f>IF(Dealps[[#This Row],[TRANSACTION_STATUS]]&lt;&gt;"V","Ngoai BS",IF(Dealps[[#This Row],[POSTED_DT]]&gt;=Dealps[[#This Row],[VALUE_DATE]],"On BS","Off BS"))</f>
        <v>Ngoai BS</v>
      </c>
      <c r="X729" s="25">
        <f>SUMIFS(U:U,C:C,Dealps[[#This Row],[PAPER_CODE]])</f>
        <v>400000000000</v>
      </c>
      <c r="Y729" s="25">
        <f>_xlfn.XLOOKUP(Dealps[[#This Row],[DEAL_ID]],Ref!N:N,Ref!Q:Q,0,0)</f>
        <v>0</v>
      </c>
      <c r="Z729" s="25" t="str">
        <f>IF(Dealps[[#This Row],[CPTY_CODE]]=Dealps[[#This Row],[CPTY_CODE_ISSUER]],"Yes","No")</f>
        <v>No</v>
      </c>
      <c r="AA729" s="25"/>
      <c r="AC729" s="14"/>
      <c r="AG729" s="96"/>
      <c r="AH729" s="14"/>
      <c r="AI729"/>
      <c r="AN729" s="14"/>
      <c r="AV729" s="36"/>
      <c r="AW729" s="14"/>
      <c r="AX729" s="234"/>
      <c r="AY729" s="96"/>
      <c r="AZ729" s="14"/>
      <c r="BA729"/>
      <c r="BE729" s="14"/>
      <c r="BF729" s="25"/>
      <c r="BL729" s="15"/>
      <c r="BN729"/>
      <c r="BR729" s="14"/>
      <c r="BV729"/>
    </row>
    <row r="730" spans="1:74" x14ac:dyDescent="0.3">
      <c r="A730" s="93">
        <v>46262</v>
      </c>
      <c r="B730">
        <v>4909</v>
      </c>
      <c r="C730" s="56" t="s">
        <v>1507</v>
      </c>
      <c r="D730" t="s">
        <v>347</v>
      </c>
      <c r="E730" t="s">
        <v>322</v>
      </c>
      <c r="F730" t="s">
        <v>364</v>
      </c>
      <c r="G730" t="s">
        <v>310</v>
      </c>
      <c r="H730" t="s">
        <v>311</v>
      </c>
      <c r="I730" s="93">
        <v>46252</v>
      </c>
      <c r="J730" s="93">
        <v>46252</v>
      </c>
      <c r="K730" s="93">
        <v>46254</v>
      </c>
      <c r="L730" s="93">
        <v>46604</v>
      </c>
      <c r="M730" s="14">
        <v>1</v>
      </c>
      <c r="N730" s="14">
        <v>500000000000</v>
      </c>
      <c r="O730" s="56">
        <v>99.985993452000002</v>
      </c>
      <c r="P730" s="56">
        <v>0</v>
      </c>
      <c r="Q730" s="14">
        <v>500802570000.00006</v>
      </c>
      <c r="R730">
        <v>9.1</v>
      </c>
      <c r="S730" t="s">
        <v>1184</v>
      </c>
      <c r="T730" s="57">
        <f>IF(Dealps[[#This Row],[MATURITY_DATE]]-Dealps[[#This Row],[POSTED_DT]]&lt;0,0,IF(Dealps[[#This Row],[VALUE_DATE]]-Dealps[[#This Row],[POSTED_DT]]&gt;0,Dealps[[#This Row],[MATURITY_DATE]]-Dealps[[#This Row],[VALUE_DATE]],Dealps[[#This Row],[MATURITY_DATE]]-Dealps[[#This Row],[POSTED_DT]]))</f>
        <v>342</v>
      </c>
      <c r="U730" s="25">
        <f>IF(Dealps[[#This Row],[TENOR]]=0,0,IF(Dealps[[#This Row],[DEAL_TYPE]]="B",Dealps[[#This Row],[FACE_AMOUNT]],-Dealps[[#This Row],[FACE_AMOUNT]]))</f>
        <v>-500000000000</v>
      </c>
      <c r="V730" s="25">
        <f>_xlfn.XLOOKUP(Dealps[[#This Row],[PAPER_CODE]],FNRP!D:D,FNRP!H:H,0,0)/100*Dealps[[#This Row],[AMOUNT]]</f>
        <v>0</v>
      </c>
      <c r="W730" s="57" t="str">
        <f>IF(Dealps[[#This Row],[TRANSACTION_STATUS]]&lt;&gt;"V","Ngoai BS",IF(Dealps[[#This Row],[POSTED_DT]]&gt;=Dealps[[#This Row],[VALUE_DATE]],"On BS","Off BS"))</f>
        <v>On BS</v>
      </c>
      <c r="X730" s="25">
        <f>SUMIFS(U:U,C:C,Dealps[[#This Row],[PAPER_CODE]])</f>
        <v>1000000000000</v>
      </c>
      <c r="Y730" s="25">
        <f>_xlfn.XLOOKUP(Dealps[[#This Row],[DEAL_ID]],Ref!N:N,Ref!Q:Q,0,0)</f>
        <v>0</v>
      </c>
      <c r="Z730" s="25" t="str">
        <f>IF(Dealps[[#This Row],[CPTY_CODE]]=Dealps[[#This Row],[CPTY_CODE_ISSUER]],"Yes","No")</f>
        <v>No</v>
      </c>
      <c r="AA730" s="25"/>
      <c r="AC730" s="14"/>
      <c r="AG730" s="96"/>
      <c r="AH730" s="14"/>
      <c r="AI730"/>
      <c r="AN730" s="14"/>
      <c r="AV730" s="36"/>
      <c r="AW730" s="14"/>
      <c r="AX730" s="234"/>
      <c r="AY730" s="96"/>
      <c r="AZ730" s="14"/>
      <c r="BA730"/>
      <c r="BE730" s="14"/>
      <c r="BF730" s="25"/>
      <c r="BL730" s="15"/>
      <c r="BN730"/>
      <c r="BR730" s="14"/>
      <c r="BV730"/>
    </row>
    <row r="731" spans="1:74" x14ac:dyDescent="0.3">
      <c r="A731" s="93">
        <v>46262</v>
      </c>
      <c r="B731">
        <v>4911</v>
      </c>
      <c r="C731" s="56" t="s">
        <v>1507</v>
      </c>
      <c r="D731" t="s">
        <v>347</v>
      </c>
      <c r="E731" t="s">
        <v>636</v>
      </c>
      <c r="F731" t="s">
        <v>364</v>
      </c>
      <c r="G731" t="s">
        <v>310</v>
      </c>
      <c r="H731" t="s">
        <v>311</v>
      </c>
      <c r="I731" s="93">
        <v>46252</v>
      </c>
      <c r="J731" s="93">
        <v>46252</v>
      </c>
      <c r="K731" s="93">
        <v>46255</v>
      </c>
      <c r="L731" s="93">
        <v>46604</v>
      </c>
      <c r="M731" s="14">
        <v>1</v>
      </c>
      <c r="N731" s="14">
        <v>300000000000</v>
      </c>
      <c r="O731" s="56">
        <v>99.984034644999994</v>
      </c>
      <c r="P731" s="56">
        <v>0</v>
      </c>
      <c r="Q731" s="14">
        <v>300550460100</v>
      </c>
      <c r="R731">
        <v>9.1</v>
      </c>
      <c r="S731" t="s">
        <v>1184</v>
      </c>
      <c r="T731" s="57">
        <f>IF(Dealps[[#This Row],[MATURITY_DATE]]-Dealps[[#This Row],[POSTED_DT]]&lt;0,0,IF(Dealps[[#This Row],[VALUE_DATE]]-Dealps[[#This Row],[POSTED_DT]]&gt;0,Dealps[[#This Row],[MATURITY_DATE]]-Dealps[[#This Row],[VALUE_DATE]],Dealps[[#This Row],[MATURITY_DATE]]-Dealps[[#This Row],[POSTED_DT]]))</f>
        <v>342</v>
      </c>
      <c r="U731" s="25">
        <f>IF(Dealps[[#This Row],[TENOR]]=0,0,IF(Dealps[[#This Row],[DEAL_TYPE]]="B",Dealps[[#This Row],[FACE_AMOUNT]],-Dealps[[#This Row],[FACE_AMOUNT]]))</f>
        <v>-300000000000</v>
      </c>
      <c r="V731" s="25">
        <f>_xlfn.XLOOKUP(Dealps[[#This Row],[PAPER_CODE]],FNRP!D:D,FNRP!H:H,0,0)/100*Dealps[[#This Row],[AMOUNT]]</f>
        <v>0</v>
      </c>
      <c r="W731" s="57" t="str">
        <f>IF(Dealps[[#This Row],[TRANSACTION_STATUS]]&lt;&gt;"V","Ngoai BS",IF(Dealps[[#This Row],[POSTED_DT]]&gt;=Dealps[[#This Row],[VALUE_DATE]],"On BS","Off BS"))</f>
        <v>On BS</v>
      </c>
      <c r="X731" s="25">
        <f>SUMIFS(U:U,C:C,Dealps[[#This Row],[PAPER_CODE]])</f>
        <v>1000000000000</v>
      </c>
      <c r="Y731" s="25">
        <f>_xlfn.XLOOKUP(Dealps[[#This Row],[DEAL_ID]],Ref!N:N,Ref!Q:Q,0,0)</f>
        <v>0</v>
      </c>
      <c r="Z731" s="25" t="str">
        <f>IF(Dealps[[#This Row],[CPTY_CODE]]=Dealps[[#This Row],[CPTY_CODE_ISSUER]],"Yes","No")</f>
        <v>No</v>
      </c>
      <c r="AA731" s="25"/>
      <c r="AC731" s="14"/>
      <c r="AG731" s="96"/>
      <c r="AH731" s="14"/>
      <c r="AI731"/>
      <c r="AN731" s="14"/>
      <c r="AV731" s="36"/>
      <c r="AW731" s="14"/>
      <c r="AX731" s="234"/>
      <c r="AY731" s="96"/>
      <c r="AZ731" s="14"/>
      <c r="BA731"/>
      <c r="BE731" s="14"/>
      <c r="BF731" s="25"/>
      <c r="BL731" s="15"/>
      <c r="BN731"/>
      <c r="BR731" s="14"/>
      <c r="BV731"/>
    </row>
    <row r="732" spans="1:74" x14ac:dyDescent="0.3">
      <c r="A732" s="93">
        <v>46262</v>
      </c>
      <c r="B732">
        <v>4913</v>
      </c>
      <c r="C732" s="56" t="s">
        <v>1507</v>
      </c>
      <c r="D732" t="s">
        <v>347</v>
      </c>
      <c r="E732" t="s">
        <v>636</v>
      </c>
      <c r="F732" t="s">
        <v>364</v>
      </c>
      <c r="G732" t="s">
        <v>310</v>
      </c>
      <c r="H732" t="s">
        <v>300</v>
      </c>
      <c r="I732" s="93">
        <v>46252</v>
      </c>
      <c r="J732" s="93">
        <v>46276</v>
      </c>
      <c r="K732" s="93">
        <v>46276</v>
      </c>
      <c r="L732" s="93">
        <v>46604</v>
      </c>
      <c r="M732" s="14">
        <v>1</v>
      </c>
      <c r="N732" s="14">
        <v>300000000000</v>
      </c>
      <c r="O732" s="56">
        <v>99.875479701000003</v>
      </c>
      <c r="P732" s="56">
        <v>0</v>
      </c>
      <c r="Q732" s="14">
        <v>301795480200</v>
      </c>
      <c r="R732">
        <v>9.1836040000000008</v>
      </c>
      <c r="S732" t="s">
        <v>651</v>
      </c>
      <c r="T732" s="57">
        <f>IF(Dealps[[#This Row],[MATURITY_DATE]]-Dealps[[#This Row],[POSTED_DT]]&lt;0,0,IF(Dealps[[#This Row],[VALUE_DATE]]-Dealps[[#This Row],[POSTED_DT]]&gt;0,Dealps[[#This Row],[MATURITY_DATE]]-Dealps[[#This Row],[VALUE_DATE]],Dealps[[#This Row],[MATURITY_DATE]]-Dealps[[#This Row],[POSTED_DT]]))</f>
        <v>328</v>
      </c>
      <c r="U732" s="25">
        <f>IF(Dealps[[#This Row],[TENOR]]=0,0,IF(Dealps[[#This Row],[DEAL_TYPE]]="B",Dealps[[#This Row],[FACE_AMOUNT]],-Dealps[[#This Row],[FACE_AMOUNT]]))</f>
        <v>300000000000</v>
      </c>
      <c r="V732" s="25">
        <f>_xlfn.XLOOKUP(Dealps[[#This Row],[PAPER_CODE]],FNRP!D:D,FNRP!H:H,0,0)/100*Dealps[[#This Row],[AMOUNT]]</f>
        <v>0</v>
      </c>
      <c r="W732" s="57" t="str">
        <f>IF(Dealps[[#This Row],[TRANSACTION_STATUS]]&lt;&gt;"V","Ngoai BS",IF(Dealps[[#This Row],[POSTED_DT]]&gt;=Dealps[[#This Row],[VALUE_DATE]],"On BS","Off BS"))</f>
        <v>Ngoai BS</v>
      </c>
      <c r="X732" s="25">
        <f>SUMIFS(U:U,C:C,Dealps[[#This Row],[PAPER_CODE]])</f>
        <v>1000000000000</v>
      </c>
      <c r="Y732" s="25">
        <f>_xlfn.XLOOKUP(Dealps[[#This Row],[DEAL_ID]],Ref!N:N,Ref!Q:Q,0,0)</f>
        <v>0</v>
      </c>
      <c r="Z732" s="25" t="str">
        <f>IF(Dealps[[#This Row],[CPTY_CODE]]=Dealps[[#This Row],[CPTY_CODE_ISSUER]],"Yes","No")</f>
        <v>No</v>
      </c>
      <c r="AA732" s="25"/>
      <c r="AC732" s="14"/>
      <c r="AG732" s="96"/>
      <c r="AH732" s="14"/>
      <c r="AI732"/>
      <c r="AN732" s="14"/>
      <c r="AV732" s="36"/>
      <c r="AW732" s="14"/>
      <c r="AX732" s="234"/>
      <c r="AY732" s="96"/>
      <c r="AZ732" s="14"/>
      <c r="BA732"/>
      <c r="BE732" s="14"/>
      <c r="BF732" s="25"/>
      <c r="BL732" s="15"/>
      <c r="BN732"/>
      <c r="BR732" s="14"/>
      <c r="BV732"/>
    </row>
    <row r="733" spans="1:74" x14ac:dyDescent="0.3">
      <c r="A733" s="93">
        <v>46262</v>
      </c>
      <c r="B733">
        <v>4914</v>
      </c>
      <c r="C733" s="56" t="s">
        <v>1010</v>
      </c>
      <c r="D733" t="s">
        <v>328</v>
      </c>
      <c r="E733" t="s">
        <v>322</v>
      </c>
      <c r="F733" t="s">
        <v>364</v>
      </c>
      <c r="G733" t="s">
        <v>310</v>
      </c>
      <c r="H733" t="s">
        <v>300</v>
      </c>
      <c r="I733" s="93">
        <v>46253</v>
      </c>
      <c r="J733" s="93">
        <v>46240</v>
      </c>
      <c r="K733" s="93">
        <v>46253</v>
      </c>
      <c r="L733" s="93">
        <v>46329</v>
      </c>
      <c r="M733" s="14">
        <v>1</v>
      </c>
      <c r="N733" s="14">
        <v>500000000000</v>
      </c>
      <c r="O733" s="56">
        <v>99.776935495999993</v>
      </c>
      <c r="P733" s="56">
        <v>0</v>
      </c>
      <c r="Q733" s="14">
        <v>523739472000</v>
      </c>
      <c r="R733">
        <v>7.0371790000000001</v>
      </c>
      <c r="S733" t="s">
        <v>1184</v>
      </c>
      <c r="T733" s="57">
        <f>IF(Dealps[[#This Row],[MATURITY_DATE]]-Dealps[[#This Row],[POSTED_DT]]&lt;0,0,IF(Dealps[[#This Row],[VALUE_DATE]]-Dealps[[#This Row],[POSTED_DT]]&gt;0,Dealps[[#This Row],[MATURITY_DATE]]-Dealps[[#This Row],[VALUE_DATE]],Dealps[[#This Row],[MATURITY_DATE]]-Dealps[[#This Row],[POSTED_DT]]))</f>
        <v>67</v>
      </c>
      <c r="U733" s="25">
        <f>IF(Dealps[[#This Row],[TENOR]]=0,0,IF(Dealps[[#This Row],[DEAL_TYPE]]="B",Dealps[[#This Row],[FACE_AMOUNT]],-Dealps[[#This Row],[FACE_AMOUNT]]))</f>
        <v>500000000000</v>
      </c>
      <c r="V733" s="25">
        <f>_xlfn.XLOOKUP(Dealps[[#This Row],[PAPER_CODE]],FNRP!D:D,FNRP!H:H,0,0)/100*Dealps[[#This Row],[AMOUNT]]</f>
        <v>0</v>
      </c>
      <c r="W733" s="57" t="str">
        <f>IF(Dealps[[#This Row],[TRANSACTION_STATUS]]&lt;&gt;"V","Ngoai BS",IF(Dealps[[#This Row],[POSTED_DT]]&gt;=Dealps[[#This Row],[VALUE_DATE]],"On BS","Off BS"))</f>
        <v>On BS</v>
      </c>
      <c r="X733" s="25">
        <f>SUMIFS(U:U,C:C,Dealps[[#This Row],[PAPER_CODE]])</f>
        <v>2000000000000</v>
      </c>
      <c r="Y733" s="25">
        <f>_xlfn.XLOOKUP(Dealps[[#This Row],[DEAL_ID]],Ref!N:N,Ref!Q:Q,0,0)</f>
        <v>0</v>
      </c>
      <c r="Z733" s="25" t="str">
        <f>IF(Dealps[[#This Row],[CPTY_CODE]]=Dealps[[#This Row],[CPTY_CODE_ISSUER]],"Yes","No")</f>
        <v>No</v>
      </c>
      <c r="AA733" s="25"/>
      <c r="AC733" s="14"/>
      <c r="AG733" s="96"/>
      <c r="AH733" s="14"/>
      <c r="AI733"/>
      <c r="AN733" s="14"/>
      <c r="AV733" s="36"/>
      <c r="AW733" s="14"/>
      <c r="AX733" s="234"/>
      <c r="AY733" s="96"/>
      <c r="AZ733" s="14"/>
      <c r="BA733"/>
      <c r="BE733" s="14"/>
      <c r="BF733" s="25"/>
      <c r="BL733" s="15"/>
      <c r="BN733"/>
      <c r="BR733" s="14"/>
      <c r="BV733"/>
    </row>
    <row r="734" spans="1:74" x14ac:dyDescent="0.3">
      <c r="A734" s="93">
        <v>46262</v>
      </c>
      <c r="B734">
        <v>4915</v>
      </c>
      <c r="C734" s="56" t="s">
        <v>1010</v>
      </c>
      <c r="D734" t="s">
        <v>328</v>
      </c>
      <c r="E734" t="s">
        <v>322</v>
      </c>
      <c r="F734" t="s">
        <v>364</v>
      </c>
      <c r="G734" t="s">
        <v>310</v>
      </c>
      <c r="H734" t="s">
        <v>300</v>
      </c>
      <c r="I734" s="93">
        <v>46253</v>
      </c>
      <c r="J734" s="93">
        <v>46240</v>
      </c>
      <c r="K734" s="93">
        <v>46253</v>
      </c>
      <c r="L734" s="93">
        <v>46329</v>
      </c>
      <c r="M734" s="14">
        <v>1</v>
      </c>
      <c r="N734" s="14">
        <v>500000000000</v>
      </c>
      <c r="O734" s="56">
        <v>99.776935495999993</v>
      </c>
      <c r="P734" s="56">
        <v>0</v>
      </c>
      <c r="Q734" s="14">
        <v>523739472000</v>
      </c>
      <c r="R734">
        <v>7.0371790000000001</v>
      </c>
      <c r="S734" t="s">
        <v>1184</v>
      </c>
      <c r="T734" s="57">
        <f>IF(Dealps[[#This Row],[MATURITY_DATE]]-Dealps[[#This Row],[POSTED_DT]]&lt;0,0,IF(Dealps[[#This Row],[VALUE_DATE]]-Dealps[[#This Row],[POSTED_DT]]&gt;0,Dealps[[#This Row],[MATURITY_DATE]]-Dealps[[#This Row],[VALUE_DATE]],Dealps[[#This Row],[MATURITY_DATE]]-Dealps[[#This Row],[POSTED_DT]]))</f>
        <v>67</v>
      </c>
      <c r="U734" s="25">
        <f>IF(Dealps[[#This Row],[TENOR]]=0,0,IF(Dealps[[#This Row],[DEAL_TYPE]]="B",Dealps[[#This Row],[FACE_AMOUNT]],-Dealps[[#This Row],[FACE_AMOUNT]]))</f>
        <v>500000000000</v>
      </c>
      <c r="V734" s="25">
        <f>_xlfn.XLOOKUP(Dealps[[#This Row],[PAPER_CODE]],FNRP!D:D,FNRP!H:H,0,0)/100*Dealps[[#This Row],[AMOUNT]]</f>
        <v>0</v>
      </c>
      <c r="W734" s="57" t="str">
        <f>IF(Dealps[[#This Row],[TRANSACTION_STATUS]]&lt;&gt;"V","Ngoai BS",IF(Dealps[[#This Row],[POSTED_DT]]&gt;=Dealps[[#This Row],[VALUE_DATE]],"On BS","Off BS"))</f>
        <v>On BS</v>
      </c>
      <c r="X734" s="25">
        <f>SUMIFS(U:U,C:C,Dealps[[#This Row],[PAPER_CODE]])</f>
        <v>2000000000000</v>
      </c>
      <c r="Y734" s="25">
        <f>_xlfn.XLOOKUP(Dealps[[#This Row],[DEAL_ID]],Ref!N:N,Ref!Q:Q,0,0)</f>
        <v>0</v>
      </c>
      <c r="Z734" s="25" t="str">
        <f>IF(Dealps[[#This Row],[CPTY_CODE]]=Dealps[[#This Row],[CPTY_CODE_ISSUER]],"Yes","No")</f>
        <v>No</v>
      </c>
      <c r="AA734" s="25"/>
      <c r="AC734" s="14"/>
      <c r="AG734" s="96"/>
      <c r="AH734" s="14"/>
      <c r="AI734"/>
      <c r="AN734" s="14"/>
      <c r="AV734" s="36"/>
      <c r="AW734" s="14"/>
      <c r="AX734" s="234"/>
      <c r="AY734" s="96"/>
      <c r="AZ734" s="14"/>
      <c r="BA734"/>
      <c r="BE734" s="14"/>
      <c r="BF734" s="25"/>
      <c r="BL734" s="15"/>
      <c r="BN734"/>
      <c r="BR734" s="14"/>
      <c r="BV734"/>
    </row>
    <row r="735" spans="1:74" x14ac:dyDescent="0.3">
      <c r="A735" s="93">
        <v>46262</v>
      </c>
      <c r="B735">
        <v>4916</v>
      </c>
      <c r="C735" s="56" t="s">
        <v>963</v>
      </c>
      <c r="D735" t="s">
        <v>308</v>
      </c>
      <c r="E735" t="s">
        <v>474</v>
      </c>
      <c r="F735" t="s">
        <v>364</v>
      </c>
      <c r="G735" t="s">
        <v>310</v>
      </c>
      <c r="H735" t="s">
        <v>300</v>
      </c>
      <c r="I735" s="93">
        <v>46253</v>
      </c>
      <c r="J735" s="93">
        <v>46253</v>
      </c>
      <c r="K735" s="93">
        <v>46253</v>
      </c>
      <c r="L735" s="93">
        <v>46295</v>
      </c>
      <c r="M735" s="14">
        <v>1</v>
      </c>
      <c r="N735" s="14">
        <v>29000000000</v>
      </c>
      <c r="O735" s="56">
        <v>100.378539637</v>
      </c>
      <c r="P735" s="56">
        <v>0</v>
      </c>
      <c r="Q735" s="14">
        <v>30670373755.000004</v>
      </c>
      <c r="R735">
        <v>2.6572550000000001</v>
      </c>
      <c r="S735" t="s">
        <v>1184</v>
      </c>
      <c r="T735" s="57">
        <f>IF(Dealps[[#This Row],[MATURITY_DATE]]-Dealps[[#This Row],[POSTED_DT]]&lt;0,0,IF(Dealps[[#This Row],[VALUE_DATE]]-Dealps[[#This Row],[POSTED_DT]]&gt;0,Dealps[[#This Row],[MATURITY_DATE]]-Dealps[[#This Row],[VALUE_DATE]],Dealps[[#This Row],[MATURITY_DATE]]-Dealps[[#This Row],[POSTED_DT]]))</f>
        <v>33</v>
      </c>
      <c r="U735" s="25">
        <f>IF(Dealps[[#This Row],[TENOR]]=0,0,IF(Dealps[[#This Row],[DEAL_TYPE]]="B",Dealps[[#This Row],[FACE_AMOUNT]],-Dealps[[#This Row],[FACE_AMOUNT]]))</f>
        <v>29000000000</v>
      </c>
      <c r="V735" s="25">
        <f>_xlfn.XLOOKUP(Dealps[[#This Row],[PAPER_CODE]],FNRP!D:D,FNRP!H:H,0,0)/100*Dealps[[#This Row],[AMOUNT]]</f>
        <v>0</v>
      </c>
      <c r="W735" s="57" t="str">
        <f>IF(Dealps[[#This Row],[TRANSACTION_STATUS]]&lt;&gt;"V","Ngoai BS",IF(Dealps[[#This Row],[POSTED_DT]]&gt;=Dealps[[#This Row],[VALUE_DATE]],"On BS","Off BS"))</f>
        <v>On BS</v>
      </c>
      <c r="X735" s="25">
        <f>SUMIFS(U:U,C:C,Dealps[[#This Row],[PAPER_CODE]])</f>
        <v>400000000000</v>
      </c>
      <c r="Y735" s="25">
        <f>_xlfn.XLOOKUP(Dealps[[#This Row],[DEAL_ID]],Ref!N:N,Ref!Q:Q,0,0)</f>
        <v>0</v>
      </c>
      <c r="Z735" s="25" t="str">
        <f>IF(Dealps[[#This Row],[CPTY_CODE]]=Dealps[[#This Row],[CPTY_CODE_ISSUER]],"Yes","No")</f>
        <v>No</v>
      </c>
      <c r="AA735" s="25"/>
      <c r="AC735" s="14"/>
      <c r="AG735" s="96"/>
      <c r="AH735" s="14"/>
      <c r="AI735"/>
      <c r="AN735" s="14"/>
      <c r="AV735" s="36"/>
      <c r="AW735" s="14"/>
      <c r="AX735" s="234"/>
      <c r="AY735" s="96"/>
      <c r="AZ735" s="14"/>
      <c r="BA735"/>
      <c r="BE735" s="14"/>
      <c r="BF735" s="25"/>
      <c r="BL735" s="15"/>
      <c r="BN735"/>
      <c r="BR735" s="14"/>
      <c r="BV735"/>
    </row>
    <row r="736" spans="1:74" x14ac:dyDescent="0.3">
      <c r="A736" s="93">
        <v>46262</v>
      </c>
      <c r="B736">
        <v>4918</v>
      </c>
      <c r="C736" s="56" t="s">
        <v>1010</v>
      </c>
      <c r="D736" t="s">
        <v>328</v>
      </c>
      <c r="E736" t="s">
        <v>322</v>
      </c>
      <c r="F736" t="s">
        <v>364</v>
      </c>
      <c r="G736" t="s">
        <v>310</v>
      </c>
      <c r="H736" t="s">
        <v>311</v>
      </c>
      <c r="I736" s="93">
        <v>46253</v>
      </c>
      <c r="J736" s="93">
        <v>46253</v>
      </c>
      <c r="K736" s="93">
        <v>46258</v>
      </c>
      <c r="L736" s="93">
        <v>46329</v>
      </c>
      <c r="M736" s="14">
        <v>1</v>
      </c>
      <c r="N736" s="14">
        <v>500000000000</v>
      </c>
      <c r="O736" s="56">
        <v>99.757498526000006</v>
      </c>
      <c r="P736" s="56">
        <v>0</v>
      </c>
      <c r="Q736" s="14">
        <v>524073794000</v>
      </c>
      <c r="R736">
        <v>7.2</v>
      </c>
      <c r="S736" t="s">
        <v>1184</v>
      </c>
      <c r="T736" s="57">
        <f>IF(Dealps[[#This Row],[MATURITY_DATE]]-Dealps[[#This Row],[POSTED_DT]]&lt;0,0,IF(Dealps[[#This Row],[VALUE_DATE]]-Dealps[[#This Row],[POSTED_DT]]&gt;0,Dealps[[#This Row],[MATURITY_DATE]]-Dealps[[#This Row],[VALUE_DATE]],Dealps[[#This Row],[MATURITY_DATE]]-Dealps[[#This Row],[POSTED_DT]]))</f>
        <v>67</v>
      </c>
      <c r="U736" s="25">
        <f>IF(Dealps[[#This Row],[TENOR]]=0,0,IF(Dealps[[#This Row],[DEAL_TYPE]]="B",Dealps[[#This Row],[FACE_AMOUNT]],-Dealps[[#This Row],[FACE_AMOUNT]]))</f>
        <v>-500000000000</v>
      </c>
      <c r="V736" s="25">
        <f>_xlfn.XLOOKUP(Dealps[[#This Row],[PAPER_CODE]],FNRP!D:D,FNRP!H:H,0,0)/100*Dealps[[#This Row],[AMOUNT]]</f>
        <v>0</v>
      </c>
      <c r="W736" s="57" t="str">
        <f>IF(Dealps[[#This Row],[TRANSACTION_STATUS]]&lt;&gt;"V","Ngoai BS",IF(Dealps[[#This Row],[POSTED_DT]]&gt;=Dealps[[#This Row],[VALUE_DATE]],"On BS","Off BS"))</f>
        <v>On BS</v>
      </c>
      <c r="X736" s="25">
        <f>SUMIFS(U:U,C:C,Dealps[[#This Row],[PAPER_CODE]])</f>
        <v>2000000000000</v>
      </c>
      <c r="Y736" s="25">
        <f>_xlfn.XLOOKUP(Dealps[[#This Row],[DEAL_ID]],Ref!N:N,Ref!Q:Q,0,0)</f>
        <v>0</v>
      </c>
      <c r="Z736" s="25" t="str">
        <f>IF(Dealps[[#This Row],[CPTY_CODE]]=Dealps[[#This Row],[CPTY_CODE_ISSUER]],"Yes","No")</f>
        <v>No</v>
      </c>
      <c r="AA736" s="25"/>
      <c r="AC736" s="14"/>
      <c r="AG736" s="96"/>
      <c r="AH736" s="14"/>
      <c r="AI736"/>
      <c r="AN736" s="14"/>
      <c r="AV736" s="36"/>
      <c r="AW736" s="14"/>
      <c r="AX736" s="234"/>
      <c r="AY736" s="96"/>
      <c r="AZ736" s="14"/>
      <c r="BA736"/>
      <c r="BE736" s="14"/>
      <c r="BF736" s="25"/>
      <c r="BL736" s="15"/>
      <c r="BN736"/>
      <c r="BR736" s="14"/>
      <c r="BV736"/>
    </row>
    <row r="737" spans="1:74" x14ac:dyDescent="0.3">
      <c r="A737" s="93">
        <v>46262</v>
      </c>
      <c r="B737">
        <v>4923</v>
      </c>
      <c r="C737" s="56" t="s">
        <v>1010</v>
      </c>
      <c r="D737" t="s">
        <v>328</v>
      </c>
      <c r="E737" t="s">
        <v>321</v>
      </c>
      <c r="F737" t="s">
        <v>364</v>
      </c>
      <c r="G737" t="s">
        <v>310</v>
      </c>
      <c r="H737" t="s">
        <v>311</v>
      </c>
      <c r="I737" s="93">
        <v>46253</v>
      </c>
      <c r="J737" s="93">
        <v>46253</v>
      </c>
      <c r="K737" s="93">
        <v>46255</v>
      </c>
      <c r="L737" s="93">
        <v>46329</v>
      </c>
      <c r="M737" s="14">
        <v>1</v>
      </c>
      <c r="N737" s="14">
        <v>200000000000</v>
      </c>
      <c r="O737" s="56">
        <v>99.685385448000005</v>
      </c>
      <c r="P737" s="56">
        <v>0</v>
      </c>
      <c r="Q737" s="14">
        <v>209381729800</v>
      </c>
      <c r="R737">
        <v>7.5</v>
      </c>
      <c r="S737" t="s">
        <v>1184</v>
      </c>
      <c r="T737" s="57">
        <f>IF(Dealps[[#This Row],[MATURITY_DATE]]-Dealps[[#This Row],[POSTED_DT]]&lt;0,0,IF(Dealps[[#This Row],[VALUE_DATE]]-Dealps[[#This Row],[POSTED_DT]]&gt;0,Dealps[[#This Row],[MATURITY_DATE]]-Dealps[[#This Row],[VALUE_DATE]],Dealps[[#This Row],[MATURITY_DATE]]-Dealps[[#This Row],[POSTED_DT]]))</f>
        <v>67</v>
      </c>
      <c r="U737" s="25">
        <f>IF(Dealps[[#This Row],[TENOR]]=0,0,IF(Dealps[[#This Row],[DEAL_TYPE]]="B",Dealps[[#This Row],[FACE_AMOUNT]],-Dealps[[#This Row],[FACE_AMOUNT]]))</f>
        <v>-200000000000</v>
      </c>
      <c r="V737" s="25">
        <f>_xlfn.XLOOKUP(Dealps[[#This Row],[PAPER_CODE]],FNRP!D:D,FNRP!H:H,0,0)/100*Dealps[[#This Row],[AMOUNT]]</f>
        <v>0</v>
      </c>
      <c r="W737" s="57" t="str">
        <f>IF(Dealps[[#This Row],[TRANSACTION_STATUS]]&lt;&gt;"V","Ngoai BS",IF(Dealps[[#This Row],[POSTED_DT]]&gt;=Dealps[[#This Row],[VALUE_DATE]],"On BS","Off BS"))</f>
        <v>On BS</v>
      </c>
      <c r="X737" s="25">
        <f>SUMIFS(U:U,C:C,Dealps[[#This Row],[PAPER_CODE]])</f>
        <v>2000000000000</v>
      </c>
      <c r="Y737" s="25">
        <f>_xlfn.XLOOKUP(Dealps[[#This Row],[DEAL_ID]],Ref!N:N,Ref!Q:Q,0,0)</f>
        <v>0</v>
      </c>
      <c r="Z737" s="25" t="str">
        <f>IF(Dealps[[#This Row],[CPTY_CODE]]=Dealps[[#This Row],[CPTY_CODE_ISSUER]],"Yes","No")</f>
        <v>No</v>
      </c>
      <c r="AA737" s="25"/>
      <c r="AC737" s="14"/>
      <c r="AG737" s="96"/>
      <c r="AH737" s="14"/>
      <c r="AI737"/>
      <c r="AN737" s="14"/>
      <c r="AV737" s="36"/>
      <c r="AW737" s="14"/>
      <c r="AX737" s="234"/>
      <c r="AY737" s="96"/>
      <c r="AZ737" s="14"/>
      <c r="BA737"/>
      <c r="BE737" s="14"/>
      <c r="BF737" s="25"/>
      <c r="BL737" s="15"/>
      <c r="BN737"/>
      <c r="BR737" s="14"/>
      <c r="BV737"/>
    </row>
    <row r="738" spans="1:74" x14ac:dyDescent="0.3">
      <c r="A738" s="93">
        <v>46262</v>
      </c>
      <c r="B738">
        <v>4925</v>
      </c>
      <c r="C738" s="56" t="s">
        <v>1239</v>
      </c>
      <c r="D738" t="s">
        <v>384</v>
      </c>
      <c r="E738" t="s">
        <v>1015</v>
      </c>
      <c r="F738" t="s">
        <v>364</v>
      </c>
      <c r="G738" t="s">
        <v>310</v>
      </c>
      <c r="H738" t="s">
        <v>311</v>
      </c>
      <c r="I738" s="93">
        <v>46253</v>
      </c>
      <c r="J738" s="93">
        <v>46253</v>
      </c>
      <c r="K738" s="93">
        <v>46259</v>
      </c>
      <c r="L738" s="93">
        <v>46493</v>
      </c>
      <c r="M738" s="14">
        <v>1</v>
      </c>
      <c r="N738" s="14">
        <v>68000000000</v>
      </c>
      <c r="O738" s="56">
        <v>99.006254114000001</v>
      </c>
      <c r="P738" s="56">
        <v>0</v>
      </c>
      <c r="Q738" s="14">
        <v>70010345948</v>
      </c>
      <c r="R738">
        <v>10.15</v>
      </c>
      <c r="S738" t="s">
        <v>1184</v>
      </c>
      <c r="T738" s="57">
        <f>IF(Dealps[[#This Row],[MATURITY_DATE]]-Dealps[[#This Row],[POSTED_DT]]&lt;0,0,IF(Dealps[[#This Row],[VALUE_DATE]]-Dealps[[#This Row],[POSTED_DT]]&gt;0,Dealps[[#This Row],[MATURITY_DATE]]-Dealps[[#This Row],[VALUE_DATE]],Dealps[[#This Row],[MATURITY_DATE]]-Dealps[[#This Row],[POSTED_DT]]))</f>
        <v>231</v>
      </c>
      <c r="U738" s="25">
        <f>IF(Dealps[[#This Row],[TENOR]]=0,0,IF(Dealps[[#This Row],[DEAL_TYPE]]="B",Dealps[[#This Row],[FACE_AMOUNT]],-Dealps[[#This Row],[FACE_AMOUNT]]))</f>
        <v>-68000000000</v>
      </c>
      <c r="V738" s="25">
        <f>_xlfn.XLOOKUP(Dealps[[#This Row],[PAPER_CODE]],FNRP!D:D,FNRP!H:H,0,0)/100*Dealps[[#This Row],[AMOUNT]]</f>
        <v>0</v>
      </c>
      <c r="W738" s="57" t="str">
        <f>IF(Dealps[[#This Row],[TRANSACTION_STATUS]]&lt;&gt;"V","Ngoai BS",IF(Dealps[[#This Row],[POSTED_DT]]&gt;=Dealps[[#This Row],[VALUE_DATE]],"On BS","Off BS"))</f>
        <v>On BS</v>
      </c>
      <c r="X738" s="25">
        <f>SUMIFS(U:U,C:C,Dealps[[#This Row],[PAPER_CODE]])</f>
        <v>300000000000</v>
      </c>
      <c r="Y738" s="25">
        <f>_xlfn.XLOOKUP(Dealps[[#This Row],[DEAL_ID]],Ref!N:N,Ref!Q:Q,0,0)</f>
        <v>0</v>
      </c>
      <c r="Z738" s="25" t="str">
        <f>IF(Dealps[[#This Row],[CPTY_CODE]]=Dealps[[#This Row],[CPTY_CODE_ISSUER]],"Yes","No")</f>
        <v>No</v>
      </c>
      <c r="AA738" s="25"/>
      <c r="AC738" s="14"/>
      <c r="AG738" s="96"/>
      <c r="AH738" s="14"/>
      <c r="AI738"/>
      <c r="AN738" s="14"/>
      <c r="AV738" s="36"/>
      <c r="AW738" s="14"/>
      <c r="AX738" s="234"/>
      <c r="AY738" s="96"/>
      <c r="AZ738" s="14"/>
      <c r="BA738"/>
      <c r="BE738" s="14"/>
      <c r="BF738" s="25"/>
      <c r="BL738" s="15"/>
      <c r="BN738"/>
      <c r="BR738" s="14"/>
      <c r="BV738"/>
    </row>
    <row r="739" spans="1:74" x14ac:dyDescent="0.3">
      <c r="A739" s="93">
        <v>46262</v>
      </c>
      <c r="B739">
        <v>4927</v>
      </c>
      <c r="C739" s="56" t="s">
        <v>1239</v>
      </c>
      <c r="D739" t="s">
        <v>384</v>
      </c>
      <c r="E739" t="s">
        <v>1015</v>
      </c>
      <c r="F739" t="s">
        <v>364</v>
      </c>
      <c r="G739" t="s">
        <v>310</v>
      </c>
      <c r="H739" t="s">
        <v>311</v>
      </c>
      <c r="I739" s="93">
        <v>46253</v>
      </c>
      <c r="J739" s="93">
        <v>46253</v>
      </c>
      <c r="K739" s="93">
        <v>46260</v>
      </c>
      <c r="L739" s="93">
        <v>46493</v>
      </c>
      <c r="M739" s="14">
        <v>1</v>
      </c>
      <c r="N739" s="14">
        <v>68000000000</v>
      </c>
      <c r="O739" s="56">
        <v>98.883641052000002</v>
      </c>
      <c r="P739" s="56">
        <v>0</v>
      </c>
      <c r="Q739" s="14">
        <v>69943549888</v>
      </c>
      <c r="R739">
        <v>10.3529</v>
      </c>
      <c r="S739" t="s">
        <v>1184</v>
      </c>
      <c r="T739" s="57">
        <f>IF(Dealps[[#This Row],[MATURITY_DATE]]-Dealps[[#This Row],[POSTED_DT]]&lt;0,0,IF(Dealps[[#This Row],[VALUE_DATE]]-Dealps[[#This Row],[POSTED_DT]]&gt;0,Dealps[[#This Row],[MATURITY_DATE]]-Dealps[[#This Row],[VALUE_DATE]],Dealps[[#This Row],[MATURITY_DATE]]-Dealps[[#This Row],[POSTED_DT]]))</f>
        <v>231</v>
      </c>
      <c r="U739" s="25">
        <f>IF(Dealps[[#This Row],[TENOR]]=0,0,IF(Dealps[[#This Row],[DEAL_TYPE]]="B",Dealps[[#This Row],[FACE_AMOUNT]],-Dealps[[#This Row],[FACE_AMOUNT]]))</f>
        <v>-68000000000</v>
      </c>
      <c r="V739" s="25">
        <f>_xlfn.XLOOKUP(Dealps[[#This Row],[PAPER_CODE]],FNRP!D:D,FNRP!H:H,0,0)/100*Dealps[[#This Row],[AMOUNT]]</f>
        <v>0</v>
      </c>
      <c r="W739" s="57" t="str">
        <f>IF(Dealps[[#This Row],[TRANSACTION_STATUS]]&lt;&gt;"V","Ngoai BS",IF(Dealps[[#This Row],[POSTED_DT]]&gt;=Dealps[[#This Row],[VALUE_DATE]],"On BS","Off BS"))</f>
        <v>On BS</v>
      </c>
      <c r="X739" s="25">
        <f>SUMIFS(U:U,C:C,Dealps[[#This Row],[PAPER_CODE]])</f>
        <v>300000000000</v>
      </c>
      <c r="Y739" s="25">
        <f>_xlfn.XLOOKUP(Dealps[[#This Row],[DEAL_ID]],Ref!N:N,Ref!Q:Q,0,0)</f>
        <v>0</v>
      </c>
      <c r="Z739" s="25" t="str">
        <f>IF(Dealps[[#This Row],[CPTY_CODE]]=Dealps[[#This Row],[CPTY_CODE_ISSUER]],"Yes","No")</f>
        <v>No</v>
      </c>
      <c r="AA739" s="25"/>
      <c r="AC739" s="14"/>
      <c r="AG739" s="96"/>
      <c r="AH739" s="14"/>
      <c r="AI739"/>
      <c r="AN739" s="14"/>
      <c r="AV739" s="36"/>
      <c r="AW739" s="14"/>
      <c r="AX739" s="234"/>
      <c r="AY739" s="96"/>
      <c r="AZ739" s="14"/>
      <c r="BA739"/>
      <c r="BE739" s="14"/>
      <c r="BF739" s="25"/>
      <c r="BL739" s="15"/>
      <c r="BN739"/>
      <c r="BR739" s="14"/>
      <c r="BV739"/>
    </row>
    <row r="740" spans="1:74" x14ac:dyDescent="0.3">
      <c r="A740" s="93">
        <v>46262</v>
      </c>
      <c r="B740">
        <v>4929</v>
      </c>
      <c r="C740" s="56" t="s">
        <v>1239</v>
      </c>
      <c r="D740" t="s">
        <v>384</v>
      </c>
      <c r="E740" t="s">
        <v>1015</v>
      </c>
      <c r="F740" t="s">
        <v>364</v>
      </c>
      <c r="G740" t="s">
        <v>310</v>
      </c>
      <c r="H740" t="s">
        <v>311</v>
      </c>
      <c r="I740" s="93">
        <v>46253</v>
      </c>
      <c r="J740" s="93">
        <v>46253</v>
      </c>
      <c r="K740" s="93">
        <v>46261</v>
      </c>
      <c r="L740" s="93">
        <v>46493</v>
      </c>
      <c r="M740" s="14">
        <v>1</v>
      </c>
      <c r="N740" s="14">
        <v>68000000000</v>
      </c>
      <c r="O740" s="56">
        <v>98.925239689999998</v>
      </c>
      <c r="P740" s="56">
        <v>0</v>
      </c>
      <c r="Q740" s="14">
        <v>69988417784</v>
      </c>
      <c r="R740">
        <v>10.29</v>
      </c>
      <c r="S740" t="s">
        <v>1184</v>
      </c>
      <c r="T740" s="57">
        <f>IF(Dealps[[#This Row],[MATURITY_DATE]]-Dealps[[#This Row],[POSTED_DT]]&lt;0,0,IF(Dealps[[#This Row],[VALUE_DATE]]-Dealps[[#This Row],[POSTED_DT]]&gt;0,Dealps[[#This Row],[MATURITY_DATE]]-Dealps[[#This Row],[VALUE_DATE]],Dealps[[#This Row],[MATURITY_DATE]]-Dealps[[#This Row],[POSTED_DT]]))</f>
        <v>231</v>
      </c>
      <c r="U740" s="25">
        <f>IF(Dealps[[#This Row],[TENOR]]=0,0,IF(Dealps[[#This Row],[DEAL_TYPE]]="B",Dealps[[#This Row],[FACE_AMOUNT]],-Dealps[[#This Row],[FACE_AMOUNT]]))</f>
        <v>-68000000000</v>
      </c>
      <c r="V740" s="25">
        <f>_xlfn.XLOOKUP(Dealps[[#This Row],[PAPER_CODE]],FNRP!D:D,FNRP!H:H,0,0)/100*Dealps[[#This Row],[AMOUNT]]</f>
        <v>0</v>
      </c>
      <c r="W740" s="57" t="str">
        <f>IF(Dealps[[#This Row],[TRANSACTION_STATUS]]&lt;&gt;"V","Ngoai BS",IF(Dealps[[#This Row],[POSTED_DT]]&gt;=Dealps[[#This Row],[VALUE_DATE]],"On BS","Off BS"))</f>
        <v>On BS</v>
      </c>
      <c r="X740" s="25">
        <f>SUMIFS(U:U,C:C,Dealps[[#This Row],[PAPER_CODE]])</f>
        <v>300000000000</v>
      </c>
      <c r="Y740" s="25">
        <f>_xlfn.XLOOKUP(Dealps[[#This Row],[DEAL_ID]],Ref!N:N,Ref!Q:Q,0,0)</f>
        <v>0</v>
      </c>
      <c r="Z740" s="25" t="str">
        <f>IF(Dealps[[#This Row],[CPTY_CODE]]=Dealps[[#This Row],[CPTY_CODE_ISSUER]],"Yes","No")</f>
        <v>No</v>
      </c>
      <c r="AA740" s="25"/>
      <c r="AC740" s="14"/>
      <c r="AG740" s="96"/>
      <c r="AH740" s="14"/>
      <c r="AI740"/>
      <c r="AN740" s="14"/>
      <c r="AV740" s="36"/>
      <c r="AW740" s="14"/>
      <c r="AX740" s="234"/>
      <c r="AY740" s="96"/>
      <c r="AZ740" s="14"/>
      <c r="BA740"/>
      <c r="BE740" s="14"/>
      <c r="BF740" s="25"/>
      <c r="BL740" s="15"/>
      <c r="BN740"/>
      <c r="BR740" s="14"/>
      <c r="BV740"/>
    </row>
    <row r="741" spans="1:74" s="79" customFormat="1" x14ac:dyDescent="0.3">
      <c r="A741" s="235">
        <v>46262</v>
      </c>
      <c r="B741" s="79">
        <v>4931</v>
      </c>
      <c r="C741" s="236" t="s">
        <v>1159</v>
      </c>
      <c r="D741" s="79" t="s">
        <v>334</v>
      </c>
      <c r="E741" s="79" t="s">
        <v>313</v>
      </c>
      <c r="F741" s="79" t="s">
        <v>364</v>
      </c>
      <c r="G741" t="s">
        <v>310</v>
      </c>
      <c r="H741" s="79" t="s">
        <v>311</v>
      </c>
      <c r="I741" s="235">
        <v>46253</v>
      </c>
      <c r="J741" s="235">
        <v>46253</v>
      </c>
      <c r="K741" s="235">
        <v>46259</v>
      </c>
      <c r="L741" s="235">
        <v>46412</v>
      </c>
      <c r="M741" s="14">
        <v>1</v>
      </c>
      <c r="N741" s="237">
        <v>700000000000</v>
      </c>
      <c r="O741" s="236">
        <v>100.033271062</v>
      </c>
      <c r="P741" s="236">
        <v>0</v>
      </c>
      <c r="Q741" s="237">
        <v>730582212500</v>
      </c>
      <c r="R741" s="79">
        <v>7.11</v>
      </c>
      <c r="S741" t="s">
        <v>1184</v>
      </c>
      <c r="T741" s="57">
        <f>IF(Dealps[[#This Row],[MATURITY_DATE]]-Dealps[[#This Row],[POSTED_DT]]&lt;0,0,IF(Dealps[[#This Row],[VALUE_DATE]]-Dealps[[#This Row],[POSTED_DT]]&gt;0,Dealps[[#This Row],[MATURITY_DATE]]-Dealps[[#This Row],[VALUE_DATE]],Dealps[[#This Row],[MATURITY_DATE]]-Dealps[[#This Row],[POSTED_DT]]))</f>
        <v>150</v>
      </c>
      <c r="U741" s="25">
        <f>IF(Dealps[[#This Row],[TENOR]]=0,0,IF(Dealps[[#This Row],[DEAL_TYPE]]="B",Dealps[[#This Row],[FACE_AMOUNT]],-Dealps[[#This Row],[FACE_AMOUNT]]))</f>
        <v>-700000000000</v>
      </c>
      <c r="V741" s="25">
        <f>_xlfn.XLOOKUP(Dealps[[#This Row],[PAPER_CODE]],FNRP!D:D,FNRP!H:H,0,0)/100*Dealps[[#This Row],[AMOUNT]]</f>
        <v>0</v>
      </c>
      <c r="W741" s="57" t="str">
        <f>IF(Dealps[[#This Row],[TRANSACTION_STATUS]]&lt;&gt;"V","Ngoai BS",IF(Dealps[[#This Row],[POSTED_DT]]&gt;=Dealps[[#This Row],[VALUE_DATE]],"On BS","Off BS"))</f>
        <v>On BS</v>
      </c>
      <c r="X741" s="25">
        <f>SUMIFS(U:U,C:C,Dealps[[#This Row],[PAPER_CODE]])</f>
        <v>1000000000000</v>
      </c>
      <c r="Y741" s="25">
        <f>_xlfn.XLOOKUP(Dealps[[#This Row],[DEAL_ID]],Ref!N:N,Ref!Q:Q,0,0)</f>
        <v>0</v>
      </c>
      <c r="Z741" s="25" t="str">
        <f>IF(Dealps[[#This Row],[CPTY_CODE]]=Dealps[[#This Row],[CPTY_CODE_ISSUER]],"Yes","No")</f>
        <v>No</v>
      </c>
      <c r="AA741" s="238"/>
      <c r="AC741" s="14"/>
      <c r="AD741" s="14"/>
      <c r="AE741" s="14"/>
      <c r="AF741" s="14"/>
      <c r="AG741" s="96"/>
      <c r="AH741" s="14"/>
      <c r="AI741"/>
      <c r="AL741"/>
      <c r="AM741"/>
      <c r="AN741" s="14"/>
      <c r="AO741" s="14"/>
      <c r="AP741" s="14"/>
      <c r="AQ741" s="14"/>
      <c r="AR741" s="14"/>
      <c r="AS741" s="14"/>
      <c r="AT741" s="237"/>
      <c r="AU741" s="237"/>
      <c r="AV741" s="36"/>
      <c r="AW741" s="14"/>
      <c r="AX741" s="234"/>
      <c r="AY741" s="96"/>
      <c r="AZ741" s="237"/>
      <c r="BB741"/>
      <c r="BC741"/>
      <c r="BD741"/>
      <c r="BE741" s="14"/>
      <c r="BF741" s="25"/>
      <c r="BG741" s="25"/>
      <c r="BH741" s="25"/>
      <c r="BI741" s="25"/>
      <c r="BJ741" s="25"/>
      <c r="BK741" s="25"/>
      <c r="BL741" s="15"/>
      <c r="BM741" s="15"/>
      <c r="BN741"/>
      <c r="BO741"/>
      <c r="BP741"/>
      <c r="BQ741"/>
      <c r="BR741" s="14"/>
      <c r="BS741" s="14"/>
      <c r="BT741" s="14"/>
      <c r="BU741" s="14"/>
      <c r="BV741"/>
    </row>
    <row r="742" spans="1:74" x14ac:dyDescent="0.3">
      <c r="A742" s="93">
        <v>46262</v>
      </c>
      <c r="B742">
        <v>4932</v>
      </c>
      <c r="C742" s="56" t="s">
        <v>1159</v>
      </c>
      <c r="D742" t="s">
        <v>334</v>
      </c>
      <c r="E742" t="s">
        <v>313</v>
      </c>
      <c r="F742" t="s">
        <v>364</v>
      </c>
      <c r="G742" t="s">
        <v>310</v>
      </c>
      <c r="H742" t="s">
        <v>300</v>
      </c>
      <c r="I742" s="93">
        <v>46253</v>
      </c>
      <c r="J742" s="93">
        <v>46273</v>
      </c>
      <c r="K742" s="93">
        <v>46274</v>
      </c>
      <c r="L742" s="93">
        <v>46412</v>
      </c>
      <c r="M742" s="14">
        <v>1</v>
      </c>
      <c r="N742" s="14">
        <v>700000000000</v>
      </c>
      <c r="O742" s="56">
        <v>100.025291184</v>
      </c>
      <c r="P742" s="56">
        <v>0</v>
      </c>
      <c r="Q742" s="14">
        <v>732683887600</v>
      </c>
      <c r="R742">
        <v>7.1015269999999999</v>
      </c>
      <c r="S742" t="s">
        <v>651</v>
      </c>
      <c r="T742" s="57">
        <f>IF(Dealps[[#This Row],[MATURITY_DATE]]-Dealps[[#This Row],[POSTED_DT]]&lt;0,0,IF(Dealps[[#This Row],[VALUE_DATE]]-Dealps[[#This Row],[POSTED_DT]]&gt;0,Dealps[[#This Row],[MATURITY_DATE]]-Dealps[[#This Row],[VALUE_DATE]],Dealps[[#This Row],[MATURITY_DATE]]-Dealps[[#This Row],[POSTED_DT]]))</f>
        <v>138</v>
      </c>
      <c r="U742" s="25">
        <f>IF(Dealps[[#This Row],[TENOR]]=0,0,IF(Dealps[[#This Row],[DEAL_TYPE]]="B",Dealps[[#This Row],[FACE_AMOUNT]],-Dealps[[#This Row],[FACE_AMOUNT]]))</f>
        <v>700000000000</v>
      </c>
      <c r="V742" s="25">
        <f>_xlfn.XLOOKUP(Dealps[[#This Row],[PAPER_CODE]],FNRP!D:D,FNRP!H:H,0,0)/100*Dealps[[#This Row],[AMOUNT]]</f>
        <v>0</v>
      </c>
      <c r="W742" s="57" t="str">
        <f>IF(Dealps[[#This Row],[TRANSACTION_STATUS]]&lt;&gt;"V","Ngoai BS",IF(Dealps[[#This Row],[POSTED_DT]]&gt;=Dealps[[#This Row],[VALUE_DATE]],"On BS","Off BS"))</f>
        <v>Ngoai BS</v>
      </c>
      <c r="X742" s="25">
        <f>SUMIFS(U:U,C:C,Dealps[[#This Row],[PAPER_CODE]])</f>
        <v>1000000000000</v>
      </c>
      <c r="Y742" s="25">
        <f>_xlfn.XLOOKUP(Dealps[[#This Row],[DEAL_ID]],Ref!N:N,Ref!Q:Q,0,0)</f>
        <v>0</v>
      </c>
      <c r="Z742" s="25" t="str">
        <f>IF(Dealps[[#This Row],[CPTY_CODE]]=Dealps[[#This Row],[CPTY_CODE_ISSUER]],"Yes","No")</f>
        <v>No</v>
      </c>
      <c r="AA742" s="25"/>
      <c r="AC742" s="14"/>
      <c r="AG742" s="96"/>
      <c r="AH742" s="14"/>
      <c r="AI742"/>
      <c r="AN742" s="14"/>
      <c r="AV742" s="36"/>
      <c r="AW742" s="14"/>
      <c r="AX742" s="234"/>
      <c r="AY742" s="96"/>
      <c r="AZ742" s="14"/>
      <c r="BA742"/>
      <c r="BE742" s="14"/>
      <c r="BF742" s="25"/>
      <c r="BL742" s="15"/>
      <c r="BN742"/>
      <c r="BR742" s="14"/>
      <c r="BV742"/>
    </row>
    <row r="743" spans="1:74" x14ac:dyDescent="0.3">
      <c r="A743" s="93">
        <v>46262</v>
      </c>
      <c r="B743">
        <v>4933</v>
      </c>
      <c r="C743" s="56" t="s">
        <v>1159</v>
      </c>
      <c r="D743" t="s">
        <v>334</v>
      </c>
      <c r="E743" t="s">
        <v>313</v>
      </c>
      <c r="F743" t="s">
        <v>364</v>
      </c>
      <c r="G743" t="s">
        <v>310</v>
      </c>
      <c r="H743" t="s">
        <v>311</v>
      </c>
      <c r="I743" s="93">
        <v>46253</v>
      </c>
      <c r="J743" s="93">
        <v>46253</v>
      </c>
      <c r="K743" s="93">
        <v>46262</v>
      </c>
      <c r="L743" s="93">
        <v>46412</v>
      </c>
      <c r="M743" s="14">
        <v>1</v>
      </c>
      <c r="N743" s="14">
        <v>300000000000</v>
      </c>
      <c r="O743" s="56">
        <v>100.030887126</v>
      </c>
      <c r="P743" s="56">
        <v>0</v>
      </c>
      <c r="Q743" s="14">
        <v>313284442200</v>
      </c>
      <c r="R743">
        <v>7.11</v>
      </c>
      <c r="S743" t="s">
        <v>1184</v>
      </c>
      <c r="T743" s="57">
        <f>IF(Dealps[[#This Row],[MATURITY_DATE]]-Dealps[[#This Row],[POSTED_DT]]&lt;0,0,IF(Dealps[[#This Row],[VALUE_DATE]]-Dealps[[#This Row],[POSTED_DT]]&gt;0,Dealps[[#This Row],[MATURITY_DATE]]-Dealps[[#This Row],[VALUE_DATE]],Dealps[[#This Row],[MATURITY_DATE]]-Dealps[[#This Row],[POSTED_DT]]))</f>
        <v>150</v>
      </c>
      <c r="U743" s="25">
        <f>IF(Dealps[[#This Row],[TENOR]]=0,0,IF(Dealps[[#This Row],[DEAL_TYPE]]="B",Dealps[[#This Row],[FACE_AMOUNT]],-Dealps[[#This Row],[FACE_AMOUNT]]))</f>
        <v>-300000000000</v>
      </c>
      <c r="V743" s="25">
        <f>_xlfn.XLOOKUP(Dealps[[#This Row],[PAPER_CODE]],FNRP!D:D,FNRP!H:H,0,0)/100*Dealps[[#This Row],[AMOUNT]]</f>
        <v>0</v>
      </c>
      <c r="W743" s="57" t="str">
        <f>IF(Dealps[[#This Row],[TRANSACTION_STATUS]]&lt;&gt;"V","Ngoai BS",IF(Dealps[[#This Row],[POSTED_DT]]&gt;=Dealps[[#This Row],[VALUE_DATE]],"On BS","Off BS"))</f>
        <v>On BS</v>
      </c>
      <c r="X743" s="25">
        <f>SUMIFS(U:U,C:C,Dealps[[#This Row],[PAPER_CODE]])</f>
        <v>1000000000000</v>
      </c>
      <c r="Y743" s="25">
        <f>_xlfn.XLOOKUP(Dealps[[#This Row],[DEAL_ID]],Ref!N:N,Ref!Q:Q,0,0)</f>
        <v>0</v>
      </c>
      <c r="Z743" s="25" t="str">
        <f>IF(Dealps[[#This Row],[CPTY_CODE]]=Dealps[[#This Row],[CPTY_CODE_ISSUER]],"Yes","No")</f>
        <v>No</v>
      </c>
      <c r="AA743" s="25"/>
      <c r="AC743" s="14"/>
      <c r="AG743" s="96"/>
      <c r="AH743" s="14"/>
      <c r="AI743"/>
      <c r="AL743" s="79"/>
      <c r="AM743" s="79"/>
      <c r="AN743" s="237"/>
      <c r="AO743" s="237"/>
      <c r="AP743" s="237"/>
      <c r="AQ743" s="237"/>
      <c r="AR743" s="237"/>
      <c r="AS743" s="237"/>
      <c r="AV743" s="36"/>
      <c r="AW743" s="14"/>
      <c r="AX743" s="234"/>
      <c r="AY743" s="96"/>
      <c r="AZ743" s="14"/>
      <c r="BA743"/>
      <c r="BE743" s="14"/>
      <c r="BF743" s="25"/>
      <c r="BL743" s="15"/>
      <c r="BN743"/>
      <c r="BR743" s="14"/>
      <c r="BV743"/>
    </row>
    <row r="744" spans="1:74" x14ac:dyDescent="0.3">
      <c r="A744" s="93">
        <v>46262</v>
      </c>
      <c r="B744">
        <v>4934</v>
      </c>
      <c r="C744" s="56" t="s">
        <v>1159</v>
      </c>
      <c r="D744" t="s">
        <v>334</v>
      </c>
      <c r="E744" t="s">
        <v>313</v>
      </c>
      <c r="F744" t="s">
        <v>364</v>
      </c>
      <c r="G744" t="s">
        <v>310</v>
      </c>
      <c r="H744" t="s">
        <v>300</v>
      </c>
      <c r="I744" s="93">
        <v>46253</v>
      </c>
      <c r="J744" s="93">
        <v>46279</v>
      </c>
      <c r="K744" s="93">
        <v>46280</v>
      </c>
      <c r="L744" s="93">
        <v>46412</v>
      </c>
      <c r="M744" s="14">
        <v>1</v>
      </c>
      <c r="N744" s="14">
        <v>300000000000</v>
      </c>
      <c r="O744" s="56">
        <v>100.021515812</v>
      </c>
      <c r="P744" s="56">
        <v>0</v>
      </c>
      <c r="Q744" s="14">
        <v>314365917300</v>
      </c>
      <c r="R744">
        <v>7.1004889999999996</v>
      </c>
      <c r="S744" t="s">
        <v>651</v>
      </c>
      <c r="T744" s="57">
        <f>IF(Dealps[[#This Row],[MATURITY_DATE]]-Dealps[[#This Row],[POSTED_DT]]&lt;0,0,IF(Dealps[[#This Row],[VALUE_DATE]]-Dealps[[#This Row],[POSTED_DT]]&gt;0,Dealps[[#This Row],[MATURITY_DATE]]-Dealps[[#This Row],[VALUE_DATE]],Dealps[[#This Row],[MATURITY_DATE]]-Dealps[[#This Row],[POSTED_DT]]))</f>
        <v>132</v>
      </c>
      <c r="U744" s="25">
        <f>IF(Dealps[[#This Row],[TENOR]]=0,0,IF(Dealps[[#This Row],[DEAL_TYPE]]="B",Dealps[[#This Row],[FACE_AMOUNT]],-Dealps[[#This Row],[FACE_AMOUNT]]))</f>
        <v>300000000000</v>
      </c>
      <c r="V744" s="25">
        <f>_xlfn.XLOOKUP(Dealps[[#This Row],[PAPER_CODE]],FNRP!D:D,FNRP!H:H,0,0)/100*Dealps[[#This Row],[AMOUNT]]</f>
        <v>0</v>
      </c>
      <c r="W744" s="57" t="str">
        <f>IF(Dealps[[#This Row],[TRANSACTION_STATUS]]&lt;&gt;"V","Ngoai BS",IF(Dealps[[#This Row],[POSTED_DT]]&gt;=Dealps[[#This Row],[VALUE_DATE]],"On BS","Off BS"))</f>
        <v>Ngoai BS</v>
      </c>
      <c r="X744" s="25">
        <f>SUMIFS(U:U,C:C,Dealps[[#This Row],[PAPER_CODE]])</f>
        <v>1000000000000</v>
      </c>
      <c r="Y744" s="25">
        <f>_xlfn.XLOOKUP(Dealps[[#This Row],[DEAL_ID]],Ref!N:N,Ref!Q:Q,0,0)</f>
        <v>0</v>
      </c>
      <c r="Z744" s="25" t="str">
        <f>IF(Dealps[[#This Row],[CPTY_CODE]]=Dealps[[#This Row],[CPTY_CODE_ISSUER]],"Yes","No")</f>
        <v>No</v>
      </c>
      <c r="AA744" s="25"/>
      <c r="AC744" s="14"/>
      <c r="AG744" s="96"/>
      <c r="AH744" s="14"/>
      <c r="AI744"/>
      <c r="AN744" s="14"/>
      <c r="AV744" s="36"/>
      <c r="AW744" s="14"/>
      <c r="AX744" s="234"/>
      <c r="AY744" s="96"/>
      <c r="AZ744" s="14"/>
      <c r="BA744"/>
      <c r="BE744" s="14"/>
      <c r="BF744" s="25"/>
      <c r="BL744" s="15"/>
      <c r="BN744"/>
      <c r="BR744" s="14"/>
      <c r="BV744"/>
    </row>
    <row r="745" spans="1:74" x14ac:dyDescent="0.3">
      <c r="A745" s="93">
        <v>46262</v>
      </c>
      <c r="B745">
        <v>4935</v>
      </c>
      <c r="C745" s="56" t="s">
        <v>1204</v>
      </c>
      <c r="D745" t="s">
        <v>315</v>
      </c>
      <c r="E745" t="s">
        <v>950</v>
      </c>
      <c r="F745" t="s">
        <v>364</v>
      </c>
      <c r="G745" t="s">
        <v>310</v>
      </c>
      <c r="H745" t="s">
        <v>300</v>
      </c>
      <c r="I745" s="93">
        <v>46254</v>
      </c>
      <c r="J745" s="93">
        <v>46254</v>
      </c>
      <c r="K745" s="93">
        <v>46254</v>
      </c>
      <c r="L745" s="93">
        <v>46422</v>
      </c>
      <c r="M745" s="14">
        <v>1</v>
      </c>
      <c r="N745" s="14">
        <v>40000000000</v>
      </c>
      <c r="O745" s="56">
        <v>100.469336962</v>
      </c>
      <c r="P745" s="56">
        <v>0</v>
      </c>
      <c r="Q745" s="14">
        <v>41750781360</v>
      </c>
      <c r="R745">
        <v>5.9594670000000001</v>
      </c>
      <c r="S745" t="s">
        <v>1184</v>
      </c>
      <c r="T745" s="57">
        <f>IF(Dealps[[#This Row],[MATURITY_DATE]]-Dealps[[#This Row],[POSTED_DT]]&lt;0,0,IF(Dealps[[#This Row],[VALUE_DATE]]-Dealps[[#This Row],[POSTED_DT]]&gt;0,Dealps[[#This Row],[MATURITY_DATE]]-Dealps[[#This Row],[VALUE_DATE]],Dealps[[#This Row],[MATURITY_DATE]]-Dealps[[#This Row],[POSTED_DT]]))</f>
        <v>160</v>
      </c>
      <c r="U745" s="25">
        <f>IF(Dealps[[#This Row],[TENOR]]=0,0,IF(Dealps[[#This Row],[DEAL_TYPE]]="B",Dealps[[#This Row],[FACE_AMOUNT]],-Dealps[[#This Row],[FACE_AMOUNT]]))</f>
        <v>40000000000</v>
      </c>
      <c r="V745" s="25">
        <f>_xlfn.XLOOKUP(Dealps[[#This Row],[PAPER_CODE]],FNRP!D:D,FNRP!H:H,0,0)/100*Dealps[[#This Row],[AMOUNT]]</f>
        <v>0</v>
      </c>
      <c r="W745" s="57" t="str">
        <f>IF(Dealps[[#This Row],[TRANSACTION_STATUS]]&lt;&gt;"V","Ngoai BS",IF(Dealps[[#This Row],[POSTED_DT]]&gt;=Dealps[[#This Row],[VALUE_DATE]],"On BS","Off BS"))</f>
        <v>On BS</v>
      </c>
      <c r="X745" s="25">
        <f>SUMIFS(U:U,C:C,Dealps[[#This Row],[PAPER_CODE]])</f>
        <v>1000000000000</v>
      </c>
      <c r="Y745" s="25">
        <f>_xlfn.XLOOKUP(Dealps[[#This Row],[DEAL_ID]],Ref!N:N,Ref!Q:Q,0,0)</f>
        <v>0</v>
      </c>
      <c r="Z745" s="25" t="str">
        <f>IF(Dealps[[#This Row],[CPTY_CODE]]=Dealps[[#This Row],[CPTY_CODE_ISSUER]],"Yes","No")</f>
        <v>No</v>
      </c>
      <c r="AA745" s="25"/>
      <c r="AC745" s="14"/>
      <c r="AG745" s="96"/>
      <c r="AH745" s="14"/>
      <c r="AI745"/>
      <c r="AN745" s="14"/>
      <c r="AV745" s="36"/>
      <c r="AW745" s="14"/>
      <c r="AX745" s="234"/>
      <c r="AY745" s="96"/>
      <c r="AZ745" s="14"/>
      <c r="BA745"/>
      <c r="BE745" s="14"/>
      <c r="BF745" s="25"/>
      <c r="BL745" s="15"/>
      <c r="BN745"/>
      <c r="BR745" s="14"/>
      <c r="BV745"/>
    </row>
    <row r="746" spans="1:74" x14ac:dyDescent="0.3">
      <c r="A746" s="93">
        <v>46262</v>
      </c>
      <c r="B746">
        <v>4936</v>
      </c>
      <c r="C746" s="56" t="s">
        <v>963</v>
      </c>
      <c r="D746" t="s">
        <v>308</v>
      </c>
      <c r="E746" t="s">
        <v>1022</v>
      </c>
      <c r="F746" t="s">
        <v>364</v>
      </c>
      <c r="G746" t="s">
        <v>310</v>
      </c>
      <c r="H746" t="s">
        <v>300</v>
      </c>
      <c r="I746" s="93">
        <v>46254</v>
      </c>
      <c r="J746" s="93">
        <v>46254</v>
      </c>
      <c r="K746" s="93">
        <v>46254</v>
      </c>
      <c r="L746" s="93">
        <v>46295</v>
      </c>
      <c r="M746" s="14">
        <v>1</v>
      </c>
      <c r="N746" s="14">
        <v>50000000000</v>
      </c>
      <c r="O746" s="56">
        <v>100.255575608</v>
      </c>
      <c r="P746" s="56">
        <v>0</v>
      </c>
      <c r="Q746" s="14">
        <v>52826828900</v>
      </c>
      <c r="R746">
        <v>3.6200860000000001</v>
      </c>
      <c r="S746" t="s">
        <v>1184</v>
      </c>
      <c r="T746" s="57">
        <f>IF(Dealps[[#This Row],[MATURITY_DATE]]-Dealps[[#This Row],[POSTED_DT]]&lt;0,0,IF(Dealps[[#This Row],[VALUE_DATE]]-Dealps[[#This Row],[POSTED_DT]]&gt;0,Dealps[[#This Row],[MATURITY_DATE]]-Dealps[[#This Row],[VALUE_DATE]],Dealps[[#This Row],[MATURITY_DATE]]-Dealps[[#This Row],[POSTED_DT]]))</f>
        <v>33</v>
      </c>
      <c r="U746" s="25">
        <f>IF(Dealps[[#This Row],[TENOR]]=0,0,IF(Dealps[[#This Row],[DEAL_TYPE]]="B",Dealps[[#This Row],[FACE_AMOUNT]],-Dealps[[#This Row],[FACE_AMOUNT]]))</f>
        <v>50000000000</v>
      </c>
      <c r="V746" s="25">
        <f>_xlfn.XLOOKUP(Dealps[[#This Row],[PAPER_CODE]],FNRP!D:D,FNRP!H:H,0,0)/100*Dealps[[#This Row],[AMOUNT]]</f>
        <v>0</v>
      </c>
      <c r="W746" s="57" t="str">
        <f>IF(Dealps[[#This Row],[TRANSACTION_STATUS]]&lt;&gt;"V","Ngoai BS",IF(Dealps[[#This Row],[POSTED_DT]]&gt;=Dealps[[#This Row],[VALUE_DATE]],"On BS","Off BS"))</f>
        <v>On BS</v>
      </c>
      <c r="X746" s="25">
        <f>SUMIFS(U:U,C:C,Dealps[[#This Row],[PAPER_CODE]])</f>
        <v>400000000000</v>
      </c>
      <c r="Y746" s="25">
        <f>_xlfn.XLOOKUP(Dealps[[#This Row],[DEAL_ID]],Ref!N:N,Ref!Q:Q,0,0)</f>
        <v>0</v>
      </c>
      <c r="Z746" s="25" t="str">
        <f>IF(Dealps[[#This Row],[CPTY_CODE]]=Dealps[[#This Row],[CPTY_CODE_ISSUER]],"Yes","No")</f>
        <v>No</v>
      </c>
      <c r="AA746" s="25"/>
      <c r="AC746" s="237"/>
      <c r="AD746" s="237"/>
      <c r="AE746" s="237"/>
      <c r="AF746" s="237"/>
      <c r="AG746" s="141"/>
      <c r="AH746" s="237"/>
      <c r="AI746" s="79"/>
      <c r="AN746" s="14"/>
      <c r="AV746" s="36"/>
      <c r="AW746" s="14"/>
      <c r="AX746" s="234"/>
      <c r="AY746" s="96"/>
      <c r="AZ746" s="14"/>
      <c r="BA746"/>
      <c r="BE746" s="14"/>
      <c r="BF746" s="25"/>
      <c r="BL746" s="15"/>
      <c r="BN746"/>
      <c r="BR746" s="14"/>
      <c r="BV746"/>
    </row>
    <row r="747" spans="1:74" x14ac:dyDescent="0.3">
      <c r="A747" s="93">
        <v>46262</v>
      </c>
      <c r="B747">
        <v>4937</v>
      </c>
      <c r="C747" s="56" t="s">
        <v>1258</v>
      </c>
      <c r="D747" t="s">
        <v>321</v>
      </c>
      <c r="E747" t="s">
        <v>320</v>
      </c>
      <c r="F747" t="s">
        <v>364</v>
      </c>
      <c r="G747" t="s">
        <v>310</v>
      </c>
      <c r="H747" t="s">
        <v>300</v>
      </c>
      <c r="I747" s="93">
        <v>46254</v>
      </c>
      <c r="J747" s="93">
        <v>46254</v>
      </c>
      <c r="K747" s="93">
        <v>46254</v>
      </c>
      <c r="L747" s="93">
        <v>46485</v>
      </c>
      <c r="M747" s="14">
        <v>1</v>
      </c>
      <c r="N747" s="14">
        <v>300000000000</v>
      </c>
      <c r="O747" s="56">
        <v>100.393099175</v>
      </c>
      <c r="P747" s="56">
        <v>0</v>
      </c>
      <c r="Q747" s="14">
        <v>310016557800</v>
      </c>
      <c r="R747">
        <v>7.5275359999999996</v>
      </c>
      <c r="S747" t="s">
        <v>1184</v>
      </c>
      <c r="T747" s="57">
        <f>IF(Dealps[[#This Row],[MATURITY_DATE]]-Dealps[[#This Row],[POSTED_DT]]&lt;0,0,IF(Dealps[[#This Row],[VALUE_DATE]]-Dealps[[#This Row],[POSTED_DT]]&gt;0,Dealps[[#This Row],[MATURITY_DATE]]-Dealps[[#This Row],[VALUE_DATE]],Dealps[[#This Row],[MATURITY_DATE]]-Dealps[[#This Row],[POSTED_DT]]))</f>
        <v>223</v>
      </c>
      <c r="U747" s="25">
        <f>IF(Dealps[[#This Row],[TENOR]]=0,0,IF(Dealps[[#This Row],[DEAL_TYPE]]="B",Dealps[[#This Row],[FACE_AMOUNT]],-Dealps[[#This Row],[FACE_AMOUNT]]))</f>
        <v>300000000000</v>
      </c>
      <c r="V747" s="25">
        <f>_xlfn.XLOOKUP(Dealps[[#This Row],[PAPER_CODE]],FNRP!D:D,FNRP!H:H,0,0)/100*Dealps[[#This Row],[AMOUNT]]</f>
        <v>0</v>
      </c>
      <c r="W747" s="57" t="str">
        <f>IF(Dealps[[#This Row],[TRANSACTION_STATUS]]&lt;&gt;"V","Ngoai BS",IF(Dealps[[#This Row],[POSTED_DT]]&gt;=Dealps[[#This Row],[VALUE_DATE]],"On BS","Off BS"))</f>
        <v>On BS</v>
      </c>
      <c r="X747" s="25">
        <f>SUMIFS(U:U,C:C,Dealps[[#This Row],[PAPER_CODE]])</f>
        <v>2000000000000</v>
      </c>
      <c r="Y747" s="25">
        <f>_xlfn.XLOOKUP(Dealps[[#This Row],[DEAL_ID]],Ref!N:N,Ref!Q:Q,0,0)</f>
        <v>0</v>
      </c>
      <c r="Z747" s="25" t="str">
        <f>IF(Dealps[[#This Row],[CPTY_CODE]]=Dealps[[#This Row],[CPTY_CODE_ISSUER]],"Yes","No")</f>
        <v>No</v>
      </c>
      <c r="AA747" s="25"/>
      <c r="AC747" s="14"/>
      <c r="AG747" s="96"/>
      <c r="AH747" s="14"/>
      <c r="AI747"/>
      <c r="AN747" s="14"/>
      <c r="AV747" s="36"/>
      <c r="AW747" s="14"/>
      <c r="AX747" s="234"/>
      <c r="AY747" s="96"/>
      <c r="AZ747" s="14"/>
      <c r="BA747"/>
      <c r="BE747" s="14"/>
      <c r="BF747" s="25"/>
      <c r="BL747" s="15"/>
      <c r="BN747"/>
      <c r="BR747" s="14"/>
      <c r="BV747"/>
    </row>
    <row r="748" spans="1:74" x14ac:dyDescent="0.3">
      <c r="A748" s="93">
        <v>46262</v>
      </c>
      <c r="B748">
        <v>4938</v>
      </c>
      <c r="C748" s="56" t="s">
        <v>1292</v>
      </c>
      <c r="D748" t="s">
        <v>334</v>
      </c>
      <c r="E748" t="s">
        <v>320</v>
      </c>
      <c r="F748" t="s">
        <v>364</v>
      </c>
      <c r="G748" t="s">
        <v>310</v>
      </c>
      <c r="H748" t="s">
        <v>300</v>
      </c>
      <c r="I748" s="93">
        <v>46254</v>
      </c>
      <c r="J748" s="93">
        <v>46254</v>
      </c>
      <c r="K748" s="93">
        <v>46254</v>
      </c>
      <c r="L748" s="93">
        <v>46527</v>
      </c>
      <c r="M748" s="14">
        <v>1</v>
      </c>
      <c r="N748" s="14">
        <v>200000000000</v>
      </c>
      <c r="O748" s="56">
        <v>100.949205718</v>
      </c>
      <c r="P748" s="56">
        <v>0</v>
      </c>
      <c r="Q748" s="14">
        <v>206136767600</v>
      </c>
      <c r="R748">
        <v>7.0156479999999997</v>
      </c>
      <c r="S748" t="s">
        <v>1184</v>
      </c>
      <c r="T748" s="57">
        <f>IF(Dealps[[#This Row],[MATURITY_DATE]]-Dealps[[#This Row],[POSTED_DT]]&lt;0,0,IF(Dealps[[#This Row],[VALUE_DATE]]-Dealps[[#This Row],[POSTED_DT]]&gt;0,Dealps[[#This Row],[MATURITY_DATE]]-Dealps[[#This Row],[VALUE_DATE]],Dealps[[#This Row],[MATURITY_DATE]]-Dealps[[#This Row],[POSTED_DT]]))</f>
        <v>265</v>
      </c>
      <c r="U748" s="25">
        <f>IF(Dealps[[#This Row],[TENOR]]=0,0,IF(Dealps[[#This Row],[DEAL_TYPE]]="B",Dealps[[#This Row],[FACE_AMOUNT]],-Dealps[[#This Row],[FACE_AMOUNT]]))</f>
        <v>200000000000</v>
      </c>
      <c r="V748" s="25">
        <f>_xlfn.XLOOKUP(Dealps[[#This Row],[PAPER_CODE]],FNRP!D:D,FNRP!H:H,0,0)/100*Dealps[[#This Row],[AMOUNT]]</f>
        <v>0</v>
      </c>
      <c r="W748" s="57" t="str">
        <f>IF(Dealps[[#This Row],[TRANSACTION_STATUS]]&lt;&gt;"V","Ngoai BS",IF(Dealps[[#This Row],[POSTED_DT]]&gt;=Dealps[[#This Row],[VALUE_DATE]],"On BS","Off BS"))</f>
        <v>On BS</v>
      </c>
      <c r="X748" s="25">
        <f>SUMIFS(U:U,C:C,Dealps[[#This Row],[PAPER_CODE]])</f>
        <v>2000000000000</v>
      </c>
      <c r="Y748" s="25">
        <f>_xlfn.XLOOKUP(Dealps[[#This Row],[DEAL_ID]],Ref!N:N,Ref!Q:Q,0,0)</f>
        <v>0</v>
      </c>
      <c r="Z748" s="25" t="str">
        <f>IF(Dealps[[#This Row],[CPTY_CODE]]=Dealps[[#This Row],[CPTY_CODE_ISSUER]],"Yes","No")</f>
        <v>No</v>
      </c>
      <c r="AA748" s="25"/>
      <c r="AC748" s="14"/>
      <c r="AG748" s="96"/>
      <c r="AH748" s="14"/>
      <c r="AI748"/>
      <c r="AN748" s="14"/>
      <c r="AV748" s="239"/>
      <c r="AW748" s="237"/>
      <c r="AX748" s="240"/>
      <c r="AY748" s="141"/>
      <c r="AZ748" s="14"/>
      <c r="BA748"/>
      <c r="BE748" s="14"/>
      <c r="BF748" s="25"/>
      <c r="BL748" s="15"/>
      <c r="BN748"/>
      <c r="BR748" s="14"/>
      <c r="BV748"/>
    </row>
    <row r="749" spans="1:74" x14ac:dyDescent="0.3">
      <c r="A749" s="93">
        <v>46262</v>
      </c>
      <c r="B749">
        <v>4939</v>
      </c>
      <c r="C749" s="56" t="s">
        <v>1158</v>
      </c>
      <c r="D749" t="s">
        <v>327</v>
      </c>
      <c r="E749" t="s">
        <v>320</v>
      </c>
      <c r="F749" t="s">
        <v>364</v>
      </c>
      <c r="G749" t="s">
        <v>310</v>
      </c>
      <c r="H749" t="s">
        <v>300</v>
      </c>
      <c r="I749" s="93">
        <v>46254</v>
      </c>
      <c r="J749" s="93">
        <v>46254</v>
      </c>
      <c r="K749" s="93">
        <v>46254</v>
      </c>
      <c r="L749" s="93">
        <v>46409</v>
      </c>
      <c r="M749" s="14">
        <v>1</v>
      </c>
      <c r="N749" s="14">
        <v>500000000000</v>
      </c>
      <c r="O749" s="56">
        <v>99.948144764000006</v>
      </c>
      <c r="P749" s="56">
        <v>0</v>
      </c>
      <c r="Q749" s="14">
        <v>520354422451.00006</v>
      </c>
      <c r="R749">
        <v>7.0356959999999997</v>
      </c>
      <c r="S749" t="s">
        <v>1184</v>
      </c>
      <c r="T749" s="57">
        <f>IF(Dealps[[#This Row],[MATURITY_DATE]]-Dealps[[#This Row],[POSTED_DT]]&lt;0,0,IF(Dealps[[#This Row],[VALUE_DATE]]-Dealps[[#This Row],[POSTED_DT]]&gt;0,Dealps[[#This Row],[MATURITY_DATE]]-Dealps[[#This Row],[VALUE_DATE]],Dealps[[#This Row],[MATURITY_DATE]]-Dealps[[#This Row],[POSTED_DT]]))</f>
        <v>147</v>
      </c>
      <c r="U749" s="25">
        <f>IF(Dealps[[#This Row],[TENOR]]=0,0,IF(Dealps[[#This Row],[DEAL_TYPE]]="B",Dealps[[#This Row],[FACE_AMOUNT]],-Dealps[[#This Row],[FACE_AMOUNT]]))</f>
        <v>500000000000</v>
      </c>
      <c r="V749" s="25">
        <f>_xlfn.XLOOKUP(Dealps[[#This Row],[PAPER_CODE]],FNRP!D:D,FNRP!H:H,0,0)/100*Dealps[[#This Row],[AMOUNT]]</f>
        <v>0</v>
      </c>
      <c r="W749" s="57" t="str">
        <f>IF(Dealps[[#This Row],[TRANSACTION_STATUS]]&lt;&gt;"V","Ngoai BS",IF(Dealps[[#This Row],[POSTED_DT]]&gt;=Dealps[[#This Row],[VALUE_DATE]],"On BS","Off BS"))</f>
        <v>On BS</v>
      </c>
      <c r="X749" s="25">
        <f>SUMIFS(U:U,C:C,Dealps[[#This Row],[PAPER_CODE]])</f>
        <v>2000000000000</v>
      </c>
      <c r="Y749" s="25">
        <f>_xlfn.XLOOKUP(Dealps[[#This Row],[DEAL_ID]],Ref!N:N,Ref!Q:Q,0,0)</f>
        <v>0</v>
      </c>
      <c r="Z749" s="25" t="str">
        <f>IF(Dealps[[#This Row],[CPTY_CODE]]=Dealps[[#This Row],[CPTY_CODE_ISSUER]],"Yes","No")</f>
        <v>No</v>
      </c>
      <c r="AA749" s="25"/>
      <c r="AC749" s="14"/>
      <c r="AG749" s="96"/>
      <c r="AH749" s="14"/>
      <c r="AI749"/>
      <c r="AN749" s="14"/>
      <c r="AV749" s="36"/>
      <c r="AW749" s="14"/>
      <c r="AX749" s="234"/>
      <c r="AY749" s="96"/>
      <c r="AZ749" s="14"/>
      <c r="BA749"/>
      <c r="BE749" s="14"/>
      <c r="BF749" s="25"/>
      <c r="BL749" s="15"/>
      <c r="BN749"/>
      <c r="BR749" s="14"/>
      <c r="BV749"/>
    </row>
    <row r="750" spans="1:74" x14ac:dyDescent="0.3">
      <c r="A750" s="93">
        <v>46262</v>
      </c>
      <c r="B750">
        <v>4940</v>
      </c>
      <c r="C750" s="56" t="s">
        <v>1008</v>
      </c>
      <c r="D750" t="s">
        <v>473</v>
      </c>
      <c r="E750" t="s">
        <v>320</v>
      </c>
      <c r="F750" t="s">
        <v>364</v>
      </c>
      <c r="G750" t="s">
        <v>310</v>
      </c>
      <c r="H750" t="s">
        <v>300</v>
      </c>
      <c r="I750" s="93">
        <v>46254</v>
      </c>
      <c r="J750" s="93">
        <v>46254</v>
      </c>
      <c r="K750" s="93">
        <v>46254</v>
      </c>
      <c r="L750" s="93">
        <v>46324</v>
      </c>
      <c r="M750" s="14">
        <v>1</v>
      </c>
      <c r="N750" s="14">
        <v>300000000000</v>
      </c>
      <c r="O750" s="56">
        <v>100.231885522</v>
      </c>
      <c r="P750" s="56">
        <v>0</v>
      </c>
      <c r="Q750" s="14">
        <v>315660314100</v>
      </c>
      <c r="R750">
        <v>4.838317</v>
      </c>
      <c r="S750" t="s">
        <v>1184</v>
      </c>
      <c r="T750" s="57">
        <f>IF(Dealps[[#This Row],[MATURITY_DATE]]-Dealps[[#This Row],[POSTED_DT]]&lt;0,0,IF(Dealps[[#This Row],[VALUE_DATE]]-Dealps[[#This Row],[POSTED_DT]]&gt;0,Dealps[[#This Row],[MATURITY_DATE]]-Dealps[[#This Row],[VALUE_DATE]],Dealps[[#This Row],[MATURITY_DATE]]-Dealps[[#This Row],[POSTED_DT]]))</f>
        <v>62</v>
      </c>
      <c r="U750" s="25">
        <f>IF(Dealps[[#This Row],[TENOR]]=0,0,IF(Dealps[[#This Row],[DEAL_TYPE]]="B",Dealps[[#This Row],[FACE_AMOUNT]],-Dealps[[#This Row],[FACE_AMOUNT]]))</f>
        <v>300000000000</v>
      </c>
      <c r="V750" s="25">
        <f>_xlfn.XLOOKUP(Dealps[[#This Row],[PAPER_CODE]],FNRP!D:D,FNRP!H:H,0,0)/100*Dealps[[#This Row],[AMOUNT]]</f>
        <v>0</v>
      </c>
      <c r="W750" s="57" t="str">
        <f>IF(Dealps[[#This Row],[TRANSACTION_STATUS]]&lt;&gt;"V","Ngoai BS",IF(Dealps[[#This Row],[POSTED_DT]]&gt;=Dealps[[#This Row],[VALUE_DATE]],"On BS","Off BS"))</f>
        <v>On BS</v>
      </c>
      <c r="X750" s="25">
        <f>SUMIFS(U:U,C:C,Dealps[[#This Row],[PAPER_CODE]])</f>
        <v>500000000000</v>
      </c>
      <c r="Y750" s="25">
        <f>_xlfn.XLOOKUP(Dealps[[#This Row],[DEAL_ID]],Ref!N:N,Ref!Q:Q,0,0)</f>
        <v>0</v>
      </c>
      <c r="Z750" s="25" t="str">
        <f>IF(Dealps[[#This Row],[CPTY_CODE]]=Dealps[[#This Row],[CPTY_CODE_ISSUER]],"Yes","No")</f>
        <v>No</v>
      </c>
      <c r="AA750" s="25"/>
      <c r="AC750" s="14"/>
      <c r="AG750" s="96"/>
      <c r="AH750" s="14"/>
      <c r="AI750"/>
      <c r="AN750" s="14"/>
      <c r="AV750" s="36"/>
      <c r="AW750" s="14"/>
      <c r="AX750" s="234"/>
      <c r="AY750" s="96"/>
      <c r="AZ750" s="14"/>
      <c r="BA750"/>
      <c r="BE750" s="14"/>
      <c r="BF750" s="25"/>
      <c r="BL750" s="15"/>
      <c r="BN750"/>
      <c r="BR750" s="14"/>
      <c r="BV750"/>
    </row>
    <row r="751" spans="1:74" x14ac:dyDescent="0.3">
      <c r="A751" s="93">
        <v>46262</v>
      </c>
      <c r="B751">
        <v>4941</v>
      </c>
      <c r="C751" s="56" t="s">
        <v>1573</v>
      </c>
      <c r="D751" t="s">
        <v>322</v>
      </c>
      <c r="E751" t="s">
        <v>1152</v>
      </c>
      <c r="F751" t="s">
        <v>364</v>
      </c>
      <c r="G751" t="s">
        <v>310</v>
      </c>
      <c r="H751" t="s">
        <v>300</v>
      </c>
      <c r="I751" s="93">
        <v>46254</v>
      </c>
      <c r="J751" s="93">
        <v>46254</v>
      </c>
      <c r="K751" s="93">
        <v>46255</v>
      </c>
      <c r="L751" s="93">
        <v>46381</v>
      </c>
      <c r="M751" s="14">
        <v>1</v>
      </c>
      <c r="N751" s="14">
        <v>300000000000</v>
      </c>
      <c r="O751" s="56">
        <v>100.000000001</v>
      </c>
      <c r="P751" s="56">
        <v>0</v>
      </c>
      <c r="Q751" s="14">
        <v>315683835618</v>
      </c>
      <c r="R751">
        <v>5.511844</v>
      </c>
      <c r="S751" t="s">
        <v>1184</v>
      </c>
      <c r="T751" s="57">
        <f>IF(Dealps[[#This Row],[MATURITY_DATE]]-Dealps[[#This Row],[POSTED_DT]]&lt;0,0,IF(Dealps[[#This Row],[VALUE_DATE]]-Dealps[[#This Row],[POSTED_DT]]&gt;0,Dealps[[#This Row],[MATURITY_DATE]]-Dealps[[#This Row],[VALUE_DATE]],Dealps[[#This Row],[MATURITY_DATE]]-Dealps[[#This Row],[POSTED_DT]]))</f>
        <v>119</v>
      </c>
      <c r="U751" s="25">
        <f>IF(Dealps[[#This Row],[TENOR]]=0,0,IF(Dealps[[#This Row],[DEAL_TYPE]]="B",Dealps[[#This Row],[FACE_AMOUNT]],-Dealps[[#This Row],[FACE_AMOUNT]]))</f>
        <v>300000000000</v>
      </c>
      <c r="V751" s="25">
        <f>_xlfn.XLOOKUP(Dealps[[#This Row],[PAPER_CODE]],FNRP!D:D,FNRP!H:H,0,0)/100*Dealps[[#This Row],[AMOUNT]]</f>
        <v>0</v>
      </c>
      <c r="W751" s="57" t="str">
        <f>IF(Dealps[[#This Row],[TRANSACTION_STATUS]]&lt;&gt;"V","Ngoai BS",IF(Dealps[[#This Row],[POSTED_DT]]&gt;=Dealps[[#This Row],[VALUE_DATE]],"On BS","Off BS"))</f>
        <v>On BS</v>
      </c>
      <c r="X751" s="25">
        <f>SUMIFS(U:U,C:C,Dealps[[#This Row],[PAPER_CODE]])</f>
        <v>0</v>
      </c>
      <c r="Y751" s="25">
        <f>_xlfn.XLOOKUP(Dealps[[#This Row],[DEAL_ID]],Ref!N:N,Ref!Q:Q,0,0)</f>
        <v>0</v>
      </c>
      <c r="Z751" s="25" t="str">
        <f>IF(Dealps[[#This Row],[CPTY_CODE]]=Dealps[[#This Row],[CPTY_CODE_ISSUER]],"Yes","No")</f>
        <v>No</v>
      </c>
      <c r="AA751" s="25"/>
      <c r="AC751" s="14"/>
      <c r="AG751" s="96"/>
      <c r="AH751" s="14"/>
      <c r="AI751"/>
      <c r="AN751" s="14"/>
      <c r="AV751" s="36"/>
      <c r="AW751" s="14"/>
      <c r="AX751" s="234"/>
      <c r="AY751" s="96"/>
      <c r="AZ751" s="14"/>
      <c r="BA751"/>
      <c r="BE751" s="14"/>
      <c r="BF751" s="25"/>
      <c r="BL751" s="15"/>
      <c r="BN751"/>
      <c r="BR751" s="14"/>
      <c r="BV751"/>
    </row>
    <row r="752" spans="1:74" x14ac:dyDescent="0.3">
      <c r="A752" s="93">
        <v>46262</v>
      </c>
      <c r="B752">
        <v>4942</v>
      </c>
      <c r="C752" s="56" t="s">
        <v>1573</v>
      </c>
      <c r="D752" t="s">
        <v>322</v>
      </c>
      <c r="E752" t="s">
        <v>1152</v>
      </c>
      <c r="F752" t="s">
        <v>364</v>
      </c>
      <c r="G752" t="s">
        <v>310</v>
      </c>
      <c r="H752" t="s">
        <v>311</v>
      </c>
      <c r="I752" s="93">
        <v>46254</v>
      </c>
      <c r="J752" s="93">
        <v>46286</v>
      </c>
      <c r="K752" s="93">
        <v>46286</v>
      </c>
      <c r="L752" s="93">
        <v>46381</v>
      </c>
      <c r="M752" s="14">
        <v>1</v>
      </c>
      <c r="N752" s="14">
        <v>300000000000</v>
      </c>
      <c r="O752" s="56">
        <v>100.15087335299999</v>
      </c>
      <c r="P752" s="56">
        <v>0</v>
      </c>
      <c r="Q752" s="14">
        <v>317614263894</v>
      </c>
      <c r="R752">
        <v>4.9308199999999998</v>
      </c>
      <c r="S752" t="s">
        <v>651</v>
      </c>
      <c r="T752" s="57">
        <f>IF(Dealps[[#This Row],[MATURITY_DATE]]-Dealps[[#This Row],[POSTED_DT]]&lt;0,0,IF(Dealps[[#This Row],[VALUE_DATE]]-Dealps[[#This Row],[POSTED_DT]]&gt;0,Dealps[[#This Row],[MATURITY_DATE]]-Dealps[[#This Row],[VALUE_DATE]],Dealps[[#This Row],[MATURITY_DATE]]-Dealps[[#This Row],[POSTED_DT]]))</f>
        <v>95</v>
      </c>
      <c r="U752" s="25">
        <f>IF(Dealps[[#This Row],[TENOR]]=0,0,IF(Dealps[[#This Row],[DEAL_TYPE]]="B",Dealps[[#This Row],[FACE_AMOUNT]],-Dealps[[#This Row],[FACE_AMOUNT]]))</f>
        <v>-300000000000</v>
      </c>
      <c r="V752" s="25">
        <f>_xlfn.XLOOKUP(Dealps[[#This Row],[PAPER_CODE]],FNRP!D:D,FNRP!H:H,0,0)/100*Dealps[[#This Row],[AMOUNT]]</f>
        <v>0</v>
      </c>
      <c r="W752" s="57" t="str">
        <f>IF(Dealps[[#This Row],[TRANSACTION_STATUS]]&lt;&gt;"V","Ngoai BS",IF(Dealps[[#This Row],[POSTED_DT]]&gt;=Dealps[[#This Row],[VALUE_DATE]],"On BS","Off BS"))</f>
        <v>Ngoai BS</v>
      </c>
      <c r="X752" s="25">
        <f>SUMIFS(U:U,C:C,Dealps[[#This Row],[PAPER_CODE]])</f>
        <v>0</v>
      </c>
      <c r="Y752" s="25">
        <f>_xlfn.XLOOKUP(Dealps[[#This Row],[DEAL_ID]],Ref!N:N,Ref!Q:Q,0,0)</f>
        <v>0</v>
      </c>
      <c r="Z752" s="25" t="str">
        <f>IF(Dealps[[#This Row],[CPTY_CODE]]=Dealps[[#This Row],[CPTY_CODE_ISSUER]],"Yes","No")</f>
        <v>No</v>
      </c>
      <c r="AA752" s="25"/>
      <c r="AC752" s="14"/>
      <c r="AG752" s="96"/>
      <c r="AH752" s="14"/>
      <c r="AI752"/>
      <c r="AN752" s="14"/>
      <c r="AV752" s="36"/>
      <c r="AW752" s="14"/>
      <c r="AX752" s="234"/>
      <c r="AY752" s="96"/>
      <c r="AZ752" s="14"/>
      <c r="BA752"/>
      <c r="BE752" s="14"/>
      <c r="BF752" s="25"/>
      <c r="BL752" s="15"/>
      <c r="BN752"/>
      <c r="BR752" s="14"/>
      <c r="BV752"/>
    </row>
    <row r="753" spans="1:74" x14ac:dyDescent="0.3">
      <c r="A753" s="93">
        <v>46262</v>
      </c>
      <c r="B753">
        <v>4943</v>
      </c>
      <c r="C753" s="56" t="s">
        <v>1204</v>
      </c>
      <c r="D753" t="s">
        <v>315</v>
      </c>
      <c r="E753" t="s">
        <v>384</v>
      </c>
      <c r="F753" t="s">
        <v>364</v>
      </c>
      <c r="G753" t="s">
        <v>310</v>
      </c>
      <c r="H753" t="s">
        <v>300</v>
      </c>
      <c r="I753" s="93">
        <v>46254</v>
      </c>
      <c r="J753" s="93">
        <v>46254</v>
      </c>
      <c r="K753" s="93">
        <v>46254</v>
      </c>
      <c r="L753" s="93">
        <v>46422</v>
      </c>
      <c r="M753" s="14">
        <v>1</v>
      </c>
      <c r="N753" s="14">
        <v>500000000000</v>
      </c>
      <c r="O753" s="56">
        <v>100.69135256200001</v>
      </c>
      <c r="P753" s="56">
        <v>0</v>
      </c>
      <c r="Q753" s="14">
        <v>522994845000</v>
      </c>
      <c r="R753">
        <v>5.4856699999999998</v>
      </c>
      <c r="S753" t="s">
        <v>1184</v>
      </c>
      <c r="T753" s="57">
        <f>IF(Dealps[[#This Row],[MATURITY_DATE]]-Dealps[[#This Row],[POSTED_DT]]&lt;0,0,IF(Dealps[[#This Row],[VALUE_DATE]]-Dealps[[#This Row],[POSTED_DT]]&gt;0,Dealps[[#This Row],[MATURITY_DATE]]-Dealps[[#This Row],[VALUE_DATE]],Dealps[[#This Row],[MATURITY_DATE]]-Dealps[[#This Row],[POSTED_DT]]))</f>
        <v>160</v>
      </c>
      <c r="U753" s="25">
        <f>IF(Dealps[[#This Row],[TENOR]]=0,0,IF(Dealps[[#This Row],[DEAL_TYPE]]="B",Dealps[[#This Row],[FACE_AMOUNT]],-Dealps[[#This Row],[FACE_AMOUNT]]))</f>
        <v>500000000000</v>
      </c>
      <c r="V753" s="25">
        <f>_xlfn.XLOOKUP(Dealps[[#This Row],[PAPER_CODE]],FNRP!D:D,FNRP!H:H,0,0)/100*Dealps[[#This Row],[AMOUNT]]</f>
        <v>0</v>
      </c>
      <c r="W753" s="57" t="str">
        <f>IF(Dealps[[#This Row],[TRANSACTION_STATUS]]&lt;&gt;"V","Ngoai BS",IF(Dealps[[#This Row],[POSTED_DT]]&gt;=Dealps[[#This Row],[VALUE_DATE]],"On BS","Off BS"))</f>
        <v>On BS</v>
      </c>
      <c r="X753" s="25">
        <f>SUMIFS(U:U,C:C,Dealps[[#This Row],[PAPER_CODE]])</f>
        <v>1000000000000</v>
      </c>
      <c r="Y753" s="25">
        <f>_xlfn.XLOOKUP(Dealps[[#This Row],[DEAL_ID]],Ref!N:N,Ref!Q:Q,0,0)</f>
        <v>0</v>
      </c>
      <c r="Z753" s="25" t="str">
        <f>IF(Dealps[[#This Row],[CPTY_CODE]]=Dealps[[#This Row],[CPTY_CODE_ISSUER]],"Yes","No")</f>
        <v>No</v>
      </c>
      <c r="AA753" s="25"/>
      <c r="AC753" s="14"/>
      <c r="AG753" s="96"/>
      <c r="AH753" s="14"/>
      <c r="AI753"/>
      <c r="AN753" s="14"/>
      <c r="AV753" s="36"/>
      <c r="AW753" s="14"/>
      <c r="AX753" s="234"/>
      <c r="AY753" s="96"/>
      <c r="AZ753" s="14"/>
      <c r="BA753"/>
      <c r="BE753" s="14"/>
      <c r="BF753" s="25"/>
      <c r="BL753" s="15"/>
      <c r="BN753"/>
      <c r="BR753" s="14"/>
      <c r="BV753"/>
    </row>
    <row r="754" spans="1:74" x14ac:dyDescent="0.3">
      <c r="A754" s="93">
        <v>46262</v>
      </c>
      <c r="B754">
        <v>4944</v>
      </c>
      <c r="C754" s="56" t="s">
        <v>1204</v>
      </c>
      <c r="D754" t="s">
        <v>315</v>
      </c>
      <c r="E754" t="s">
        <v>474</v>
      </c>
      <c r="F754" t="s">
        <v>364</v>
      </c>
      <c r="G754" t="s">
        <v>310</v>
      </c>
      <c r="H754" t="s">
        <v>311</v>
      </c>
      <c r="I754" s="93">
        <v>46254</v>
      </c>
      <c r="J754" s="93">
        <v>46254</v>
      </c>
      <c r="K754" s="93">
        <v>46258</v>
      </c>
      <c r="L754" s="93">
        <v>46422</v>
      </c>
      <c r="M754" s="14">
        <v>1</v>
      </c>
      <c r="N754" s="14">
        <v>135000000000</v>
      </c>
      <c r="O754" s="56">
        <v>100.620934496</v>
      </c>
      <c r="P754" s="56">
        <v>0</v>
      </c>
      <c r="Q754" s="14">
        <v>141220656090</v>
      </c>
      <c r="R754">
        <v>5.6</v>
      </c>
      <c r="S754" t="s">
        <v>1184</v>
      </c>
      <c r="T754" s="57">
        <f>IF(Dealps[[#This Row],[MATURITY_DATE]]-Dealps[[#This Row],[POSTED_DT]]&lt;0,0,IF(Dealps[[#This Row],[VALUE_DATE]]-Dealps[[#This Row],[POSTED_DT]]&gt;0,Dealps[[#This Row],[MATURITY_DATE]]-Dealps[[#This Row],[VALUE_DATE]],Dealps[[#This Row],[MATURITY_DATE]]-Dealps[[#This Row],[POSTED_DT]]))</f>
        <v>160</v>
      </c>
      <c r="U754" s="25">
        <f>IF(Dealps[[#This Row],[TENOR]]=0,0,IF(Dealps[[#This Row],[DEAL_TYPE]]="B",Dealps[[#This Row],[FACE_AMOUNT]],-Dealps[[#This Row],[FACE_AMOUNT]]))</f>
        <v>-135000000000</v>
      </c>
      <c r="V754" s="25">
        <f>_xlfn.XLOOKUP(Dealps[[#This Row],[PAPER_CODE]],FNRP!D:D,FNRP!H:H,0,0)/100*Dealps[[#This Row],[AMOUNT]]</f>
        <v>0</v>
      </c>
      <c r="W754" s="57" t="str">
        <f>IF(Dealps[[#This Row],[TRANSACTION_STATUS]]&lt;&gt;"V","Ngoai BS",IF(Dealps[[#This Row],[POSTED_DT]]&gt;=Dealps[[#This Row],[VALUE_DATE]],"On BS","Off BS"))</f>
        <v>On BS</v>
      </c>
      <c r="X754" s="25">
        <f>SUMIFS(U:U,C:C,Dealps[[#This Row],[PAPER_CODE]])</f>
        <v>1000000000000</v>
      </c>
      <c r="Y754" s="25">
        <f>_xlfn.XLOOKUP(Dealps[[#This Row],[DEAL_ID]],Ref!N:N,Ref!Q:Q,0,0)</f>
        <v>0</v>
      </c>
      <c r="Z754" s="25" t="str">
        <f>IF(Dealps[[#This Row],[CPTY_CODE]]=Dealps[[#This Row],[CPTY_CODE_ISSUER]],"Yes","No")</f>
        <v>No</v>
      </c>
      <c r="AA754" s="25"/>
      <c r="AC754" s="14"/>
      <c r="AG754" s="96"/>
      <c r="AH754" s="14"/>
      <c r="AI754"/>
      <c r="AN754" s="14"/>
      <c r="AV754" s="36"/>
      <c r="AW754" s="14"/>
      <c r="AX754" s="234"/>
      <c r="AY754" s="96"/>
      <c r="AZ754" s="14"/>
      <c r="BA754"/>
      <c r="BE754" s="14"/>
      <c r="BF754" s="25"/>
      <c r="BL754" s="15"/>
      <c r="BN754"/>
      <c r="BR754" s="14"/>
      <c r="BV754"/>
    </row>
    <row r="755" spans="1:74" x14ac:dyDescent="0.3">
      <c r="A755" s="93">
        <v>46262</v>
      </c>
      <c r="B755">
        <v>4945</v>
      </c>
      <c r="C755" s="56" t="s">
        <v>1204</v>
      </c>
      <c r="D755" t="s">
        <v>315</v>
      </c>
      <c r="E755" t="s">
        <v>474</v>
      </c>
      <c r="F755" t="s">
        <v>364</v>
      </c>
      <c r="G755" t="s">
        <v>310</v>
      </c>
      <c r="H755" t="s">
        <v>300</v>
      </c>
      <c r="I755" s="93">
        <v>46254</v>
      </c>
      <c r="J755" s="93">
        <v>46275</v>
      </c>
      <c r="K755" s="93">
        <v>46275</v>
      </c>
      <c r="L755" s="93">
        <v>46422</v>
      </c>
      <c r="M755" s="14">
        <v>1</v>
      </c>
      <c r="N755" s="14">
        <v>135000000000</v>
      </c>
      <c r="O755" s="56">
        <v>100.600418616</v>
      </c>
      <c r="P755" s="56">
        <v>0</v>
      </c>
      <c r="Q755" s="14">
        <v>141648187050</v>
      </c>
      <c r="R755">
        <v>5.47933</v>
      </c>
      <c r="S755" t="s">
        <v>651</v>
      </c>
      <c r="T755" s="57">
        <f>IF(Dealps[[#This Row],[MATURITY_DATE]]-Dealps[[#This Row],[POSTED_DT]]&lt;0,0,IF(Dealps[[#This Row],[VALUE_DATE]]-Dealps[[#This Row],[POSTED_DT]]&gt;0,Dealps[[#This Row],[MATURITY_DATE]]-Dealps[[#This Row],[VALUE_DATE]],Dealps[[#This Row],[MATURITY_DATE]]-Dealps[[#This Row],[POSTED_DT]]))</f>
        <v>147</v>
      </c>
      <c r="U755" s="25">
        <f>IF(Dealps[[#This Row],[TENOR]]=0,0,IF(Dealps[[#This Row],[DEAL_TYPE]]="B",Dealps[[#This Row],[FACE_AMOUNT]],-Dealps[[#This Row],[FACE_AMOUNT]]))</f>
        <v>135000000000</v>
      </c>
      <c r="V755" s="25">
        <f>_xlfn.XLOOKUP(Dealps[[#This Row],[PAPER_CODE]],FNRP!D:D,FNRP!H:H,0,0)/100*Dealps[[#This Row],[AMOUNT]]</f>
        <v>0</v>
      </c>
      <c r="W755" s="57" t="str">
        <f>IF(Dealps[[#This Row],[TRANSACTION_STATUS]]&lt;&gt;"V","Ngoai BS",IF(Dealps[[#This Row],[POSTED_DT]]&gt;=Dealps[[#This Row],[VALUE_DATE]],"On BS","Off BS"))</f>
        <v>Ngoai BS</v>
      </c>
      <c r="X755" s="25">
        <f>SUMIFS(U:U,C:C,Dealps[[#This Row],[PAPER_CODE]])</f>
        <v>1000000000000</v>
      </c>
      <c r="Y755" s="25">
        <f>_xlfn.XLOOKUP(Dealps[[#This Row],[DEAL_ID]],Ref!N:N,Ref!Q:Q,0,0)</f>
        <v>0</v>
      </c>
      <c r="Z755" s="25" t="str">
        <f>IF(Dealps[[#This Row],[CPTY_CODE]]=Dealps[[#This Row],[CPTY_CODE_ISSUER]],"Yes","No")</f>
        <v>No</v>
      </c>
      <c r="AA755" s="25"/>
      <c r="AC755" s="14"/>
      <c r="AG755" s="96"/>
      <c r="AH755" s="14"/>
      <c r="AI755"/>
      <c r="AN755" s="14"/>
      <c r="AV755" s="36"/>
      <c r="AW755" s="14"/>
      <c r="AX755" s="234"/>
      <c r="AY755" s="96"/>
      <c r="AZ755" s="14"/>
      <c r="BA755"/>
      <c r="BE755" s="14"/>
      <c r="BF755" s="25"/>
      <c r="BL755" s="15"/>
      <c r="BN755"/>
      <c r="BR755" s="14"/>
      <c r="BV755"/>
    </row>
    <row r="756" spans="1:74" x14ac:dyDescent="0.3">
      <c r="A756" s="93">
        <v>46262</v>
      </c>
      <c r="B756">
        <v>4946</v>
      </c>
      <c r="C756" s="56" t="s">
        <v>1292</v>
      </c>
      <c r="D756" t="s">
        <v>334</v>
      </c>
      <c r="E756" t="s">
        <v>315</v>
      </c>
      <c r="F756" t="s">
        <v>364</v>
      </c>
      <c r="G756" t="s">
        <v>310</v>
      </c>
      <c r="H756" t="s">
        <v>300</v>
      </c>
      <c r="I756" s="93">
        <v>46255</v>
      </c>
      <c r="J756" s="93">
        <v>46254</v>
      </c>
      <c r="K756" s="93">
        <v>46255</v>
      </c>
      <c r="L756" s="93">
        <v>46527</v>
      </c>
      <c r="M756" s="14">
        <v>1</v>
      </c>
      <c r="N756" s="14">
        <v>1000000000000</v>
      </c>
      <c r="O756" s="56">
        <v>100.186076947</v>
      </c>
      <c r="P756" s="56">
        <v>0</v>
      </c>
      <c r="Q756" s="14">
        <v>1023285427000</v>
      </c>
      <c r="R756">
        <v>8.0625610000000005</v>
      </c>
      <c r="S756" t="s">
        <v>1184</v>
      </c>
      <c r="T756" s="57">
        <f>IF(Dealps[[#This Row],[MATURITY_DATE]]-Dealps[[#This Row],[POSTED_DT]]&lt;0,0,IF(Dealps[[#This Row],[VALUE_DATE]]-Dealps[[#This Row],[POSTED_DT]]&gt;0,Dealps[[#This Row],[MATURITY_DATE]]-Dealps[[#This Row],[VALUE_DATE]],Dealps[[#This Row],[MATURITY_DATE]]-Dealps[[#This Row],[POSTED_DT]]))</f>
        <v>265</v>
      </c>
      <c r="U756" s="25">
        <f>IF(Dealps[[#This Row],[TENOR]]=0,0,IF(Dealps[[#This Row],[DEAL_TYPE]]="B",Dealps[[#This Row],[FACE_AMOUNT]],-Dealps[[#This Row],[FACE_AMOUNT]]))</f>
        <v>1000000000000</v>
      </c>
      <c r="V756" s="25">
        <f>_xlfn.XLOOKUP(Dealps[[#This Row],[PAPER_CODE]],FNRP!D:D,FNRP!H:H,0,0)/100*Dealps[[#This Row],[AMOUNT]]</f>
        <v>0</v>
      </c>
      <c r="W756" s="57" t="str">
        <f>IF(Dealps[[#This Row],[TRANSACTION_STATUS]]&lt;&gt;"V","Ngoai BS",IF(Dealps[[#This Row],[POSTED_DT]]&gt;=Dealps[[#This Row],[VALUE_DATE]],"On BS","Off BS"))</f>
        <v>On BS</v>
      </c>
      <c r="X756" s="25">
        <f>SUMIFS(U:U,C:C,Dealps[[#This Row],[PAPER_CODE]])</f>
        <v>2000000000000</v>
      </c>
      <c r="Y756" s="25">
        <f>_xlfn.XLOOKUP(Dealps[[#This Row],[DEAL_ID]],Ref!N:N,Ref!Q:Q,0,0)</f>
        <v>0</v>
      </c>
      <c r="Z756" s="25" t="str">
        <f>IF(Dealps[[#This Row],[CPTY_CODE]]=Dealps[[#This Row],[CPTY_CODE_ISSUER]],"Yes","No")</f>
        <v>No</v>
      </c>
      <c r="AA756" s="25"/>
      <c r="AC756" s="14"/>
      <c r="AG756" s="96"/>
      <c r="AH756" s="14"/>
      <c r="AI756"/>
      <c r="AN756" s="14"/>
      <c r="AV756" s="36"/>
      <c r="AW756" s="14"/>
      <c r="AX756" s="234"/>
      <c r="AY756" s="96"/>
      <c r="AZ756" s="14"/>
      <c r="BA756"/>
      <c r="BE756" s="14"/>
      <c r="BF756" s="25"/>
      <c r="BL756" s="15"/>
      <c r="BN756"/>
      <c r="BR756" s="14"/>
      <c r="BV756"/>
    </row>
    <row r="757" spans="1:74" x14ac:dyDescent="0.3">
      <c r="A757" s="93">
        <v>46262</v>
      </c>
      <c r="B757">
        <v>4947</v>
      </c>
      <c r="C757" s="56" t="s">
        <v>1010</v>
      </c>
      <c r="D757" t="s">
        <v>328</v>
      </c>
      <c r="E757" t="s">
        <v>322</v>
      </c>
      <c r="F757" t="s">
        <v>364</v>
      </c>
      <c r="G757" t="s">
        <v>310</v>
      </c>
      <c r="H757" t="s">
        <v>300</v>
      </c>
      <c r="I757" s="93">
        <v>46255</v>
      </c>
      <c r="J757" s="93">
        <v>46244</v>
      </c>
      <c r="K757" s="93">
        <v>46255</v>
      </c>
      <c r="L757" s="93">
        <v>46329</v>
      </c>
      <c r="M757" s="14">
        <v>1</v>
      </c>
      <c r="N757" s="14">
        <v>500000000000</v>
      </c>
      <c r="O757" s="56">
        <v>99.769898647999995</v>
      </c>
      <c r="P757" s="56">
        <v>0</v>
      </c>
      <c r="Q757" s="14">
        <v>523876890500</v>
      </c>
      <c r="R757">
        <v>7.0960939999999999</v>
      </c>
      <c r="S757" t="s">
        <v>1184</v>
      </c>
      <c r="T757" s="57">
        <f>IF(Dealps[[#This Row],[MATURITY_DATE]]-Dealps[[#This Row],[POSTED_DT]]&lt;0,0,IF(Dealps[[#This Row],[VALUE_DATE]]-Dealps[[#This Row],[POSTED_DT]]&gt;0,Dealps[[#This Row],[MATURITY_DATE]]-Dealps[[#This Row],[VALUE_DATE]],Dealps[[#This Row],[MATURITY_DATE]]-Dealps[[#This Row],[POSTED_DT]]))</f>
        <v>67</v>
      </c>
      <c r="U757" s="25">
        <f>IF(Dealps[[#This Row],[TENOR]]=0,0,IF(Dealps[[#This Row],[DEAL_TYPE]]="B",Dealps[[#This Row],[FACE_AMOUNT]],-Dealps[[#This Row],[FACE_AMOUNT]]))</f>
        <v>500000000000</v>
      </c>
      <c r="V757" s="25">
        <f>_xlfn.XLOOKUP(Dealps[[#This Row],[PAPER_CODE]],FNRP!D:D,FNRP!H:H,0,0)/100*Dealps[[#This Row],[AMOUNT]]</f>
        <v>0</v>
      </c>
      <c r="W757" s="57" t="str">
        <f>IF(Dealps[[#This Row],[TRANSACTION_STATUS]]&lt;&gt;"V","Ngoai BS",IF(Dealps[[#This Row],[POSTED_DT]]&gt;=Dealps[[#This Row],[VALUE_DATE]],"On BS","Off BS"))</f>
        <v>On BS</v>
      </c>
      <c r="X757" s="25">
        <f>SUMIFS(U:U,C:C,Dealps[[#This Row],[PAPER_CODE]])</f>
        <v>2000000000000</v>
      </c>
      <c r="Y757" s="25">
        <f>_xlfn.XLOOKUP(Dealps[[#This Row],[DEAL_ID]],Ref!N:N,Ref!Q:Q,0,0)</f>
        <v>0</v>
      </c>
      <c r="Z757" s="25" t="str">
        <f>IF(Dealps[[#This Row],[CPTY_CODE]]=Dealps[[#This Row],[CPTY_CODE_ISSUER]],"Yes","No")</f>
        <v>No</v>
      </c>
      <c r="AA757" s="25"/>
      <c r="AC757" s="14"/>
      <c r="AG757" s="96"/>
      <c r="AH757" s="14"/>
      <c r="AI757"/>
      <c r="AN757" s="14"/>
      <c r="AV757" s="36"/>
      <c r="AW757" s="14"/>
      <c r="AX757" s="234"/>
      <c r="AY757" s="96"/>
      <c r="AZ757" s="14"/>
      <c r="BA757"/>
      <c r="BE757" s="14"/>
      <c r="BF757" s="25"/>
      <c r="BL757" s="15"/>
      <c r="BN757"/>
      <c r="BR757" s="14"/>
      <c r="BV757"/>
    </row>
    <row r="758" spans="1:74" x14ac:dyDescent="0.3">
      <c r="A758" s="93">
        <v>46262</v>
      </c>
      <c r="B758">
        <v>4948</v>
      </c>
      <c r="C758" s="56" t="s">
        <v>1010</v>
      </c>
      <c r="D758" t="s">
        <v>328</v>
      </c>
      <c r="E758" t="s">
        <v>322</v>
      </c>
      <c r="F758" t="s">
        <v>364</v>
      </c>
      <c r="G758" t="s">
        <v>310</v>
      </c>
      <c r="H758" t="s">
        <v>300</v>
      </c>
      <c r="I758" s="93">
        <v>46255</v>
      </c>
      <c r="J758" s="93">
        <v>46244</v>
      </c>
      <c r="K758" s="93">
        <v>46255</v>
      </c>
      <c r="L758" s="93">
        <v>46329</v>
      </c>
      <c r="M758" s="14">
        <v>1</v>
      </c>
      <c r="N758" s="14">
        <v>500000000000</v>
      </c>
      <c r="O758" s="56">
        <v>99.769898647999995</v>
      </c>
      <c r="P758" s="56">
        <v>0</v>
      </c>
      <c r="Q758" s="14">
        <v>523876890500</v>
      </c>
      <c r="R758">
        <v>7.0960939999999999</v>
      </c>
      <c r="S758" t="s">
        <v>1184</v>
      </c>
      <c r="T758" s="57">
        <f>IF(Dealps[[#This Row],[MATURITY_DATE]]-Dealps[[#This Row],[POSTED_DT]]&lt;0,0,IF(Dealps[[#This Row],[VALUE_DATE]]-Dealps[[#This Row],[POSTED_DT]]&gt;0,Dealps[[#This Row],[MATURITY_DATE]]-Dealps[[#This Row],[VALUE_DATE]],Dealps[[#This Row],[MATURITY_DATE]]-Dealps[[#This Row],[POSTED_DT]]))</f>
        <v>67</v>
      </c>
      <c r="U758" s="25">
        <f>IF(Dealps[[#This Row],[TENOR]]=0,0,IF(Dealps[[#This Row],[DEAL_TYPE]]="B",Dealps[[#This Row],[FACE_AMOUNT]],-Dealps[[#This Row],[FACE_AMOUNT]]))</f>
        <v>500000000000</v>
      </c>
      <c r="V758" s="25">
        <f>_xlfn.XLOOKUP(Dealps[[#This Row],[PAPER_CODE]],FNRP!D:D,FNRP!H:H,0,0)/100*Dealps[[#This Row],[AMOUNT]]</f>
        <v>0</v>
      </c>
      <c r="W758" s="57" t="str">
        <f>IF(Dealps[[#This Row],[TRANSACTION_STATUS]]&lt;&gt;"V","Ngoai BS",IF(Dealps[[#This Row],[POSTED_DT]]&gt;=Dealps[[#This Row],[VALUE_DATE]],"On BS","Off BS"))</f>
        <v>On BS</v>
      </c>
      <c r="X758" s="25">
        <f>SUMIFS(U:U,C:C,Dealps[[#This Row],[PAPER_CODE]])</f>
        <v>2000000000000</v>
      </c>
      <c r="Y758" s="25">
        <f>_xlfn.XLOOKUP(Dealps[[#This Row],[DEAL_ID]],Ref!N:N,Ref!Q:Q,0,0)</f>
        <v>0</v>
      </c>
      <c r="Z758" s="25" t="str">
        <f>IF(Dealps[[#This Row],[CPTY_CODE]]=Dealps[[#This Row],[CPTY_CODE_ISSUER]],"Yes","No")</f>
        <v>No</v>
      </c>
      <c r="AA758" s="25"/>
      <c r="AC758" s="14"/>
      <c r="AG758" s="96"/>
      <c r="AH758" s="14"/>
      <c r="AI758"/>
      <c r="AN758" s="14"/>
      <c r="AV758" s="36"/>
      <c r="AW758" s="14"/>
      <c r="AX758" s="234"/>
      <c r="AY758" s="96"/>
      <c r="AZ758" s="14"/>
      <c r="BA758"/>
      <c r="BE758" s="14"/>
      <c r="BF758" s="25"/>
      <c r="BL758" s="15"/>
      <c r="BN758"/>
      <c r="BR758" s="14"/>
      <c r="BV758"/>
    </row>
    <row r="759" spans="1:74" x14ac:dyDescent="0.3">
      <c r="A759" s="93">
        <v>46262</v>
      </c>
      <c r="B759">
        <v>4949</v>
      </c>
      <c r="C759" s="56" t="s">
        <v>1004</v>
      </c>
      <c r="D759" t="s">
        <v>324</v>
      </c>
      <c r="E759" t="s">
        <v>322</v>
      </c>
      <c r="F759" t="s">
        <v>364</v>
      </c>
      <c r="G759" t="s">
        <v>310</v>
      </c>
      <c r="H759" t="s">
        <v>300</v>
      </c>
      <c r="I759" s="93">
        <v>46255</v>
      </c>
      <c r="J759" s="93">
        <v>46244</v>
      </c>
      <c r="K759" s="93">
        <v>46255</v>
      </c>
      <c r="L759" s="93">
        <v>46323</v>
      </c>
      <c r="M759" s="14">
        <v>1</v>
      </c>
      <c r="N759" s="14">
        <v>500000000000</v>
      </c>
      <c r="O759" s="56">
        <v>99.785033820999999</v>
      </c>
      <c r="P759" s="56">
        <v>0</v>
      </c>
      <c r="Q759" s="14">
        <v>524470374584.99994</v>
      </c>
      <c r="R759">
        <v>7.1060850000000002</v>
      </c>
      <c r="S759" t="s">
        <v>1184</v>
      </c>
      <c r="T759" s="57">
        <f>IF(Dealps[[#This Row],[MATURITY_DATE]]-Dealps[[#This Row],[POSTED_DT]]&lt;0,0,IF(Dealps[[#This Row],[VALUE_DATE]]-Dealps[[#This Row],[POSTED_DT]]&gt;0,Dealps[[#This Row],[MATURITY_DATE]]-Dealps[[#This Row],[VALUE_DATE]],Dealps[[#This Row],[MATURITY_DATE]]-Dealps[[#This Row],[POSTED_DT]]))</f>
        <v>61</v>
      </c>
      <c r="U759" s="25">
        <f>IF(Dealps[[#This Row],[TENOR]]=0,0,IF(Dealps[[#This Row],[DEAL_TYPE]]="B",Dealps[[#This Row],[FACE_AMOUNT]],-Dealps[[#This Row],[FACE_AMOUNT]]))</f>
        <v>500000000000</v>
      </c>
      <c r="V759" s="25">
        <f>_xlfn.XLOOKUP(Dealps[[#This Row],[PAPER_CODE]],FNRP!D:D,FNRP!H:H,0,0)/100*Dealps[[#This Row],[AMOUNT]]</f>
        <v>0</v>
      </c>
      <c r="W759" s="57" t="str">
        <f>IF(Dealps[[#This Row],[TRANSACTION_STATUS]]&lt;&gt;"V","Ngoai BS",IF(Dealps[[#This Row],[POSTED_DT]]&gt;=Dealps[[#This Row],[VALUE_DATE]],"On BS","Off BS"))</f>
        <v>On BS</v>
      </c>
      <c r="X759" s="25">
        <f>SUMIFS(U:U,C:C,Dealps[[#This Row],[PAPER_CODE]])</f>
        <v>500000000000</v>
      </c>
      <c r="Y759" s="25">
        <f>_xlfn.XLOOKUP(Dealps[[#This Row],[DEAL_ID]],Ref!N:N,Ref!Q:Q,0,0)</f>
        <v>0</v>
      </c>
      <c r="Z759" s="25" t="str">
        <f>IF(Dealps[[#This Row],[CPTY_CODE]]=Dealps[[#This Row],[CPTY_CODE_ISSUER]],"Yes","No")</f>
        <v>No</v>
      </c>
      <c r="AA759" s="25"/>
      <c r="AC759" s="14"/>
      <c r="AG759" s="96"/>
      <c r="AH759" s="14"/>
      <c r="AI759"/>
      <c r="AN759" s="14"/>
      <c r="AV759" s="36"/>
      <c r="AW759" s="14"/>
      <c r="AX759" s="234"/>
      <c r="AY759" s="96"/>
      <c r="AZ759" s="14"/>
      <c r="BA759"/>
      <c r="BE759" s="14"/>
      <c r="BF759" s="25"/>
      <c r="BL759" s="15"/>
      <c r="BN759"/>
      <c r="BR759" s="14"/>
      <c r="BV759"/>
    </row>
    <row r="760" spans="1:74" x14ac:dyDescent="0.3">
      <c r="A760" s="93">
        <v>46262</v>
      </c>
      <c r="B760">
        <v>4950</v>
      </c>
      <c r="C760" s="56" t="s">
        <v>1258</v>
      </c>
      <c r="D760" t="s">
        <v>321</v>
      </c>
      <c r="E760" t="s">
        <v>322</v>
      </c>
      <c r="F760" t="s">
        <v>364</v>
      </c>
      <c r="G760" t="s">
        <v>310</v>
      </c>
      <c r="H760" t="s">
        <v>300</v>
      </c>
      <c r="I760" s="93">
        <v>46255</v>
      </c>
      <c r="J760" s="93">
        <v>46244</v>
      </c>
      <c r="K760" s="93">
        <v>46255</v>
      </c>
      <c r="L760" s="93">
        <v>46485</v>
      </c>
      <c r="M760" s="14">
        <v>1</v>
      </c>
      <c r="N760" s="14">
        <v>500000000000</v>
      </c>
      <c r="O760" s="56">
        <v>100.70743327700001</v>
      </c>
      <c r="P760" s="56">
        <v>0</v>
      </c>
      <c r="Q760" s="14">
        <v>518381002000</v>
      </c>
      <c r="R760">
        <v>7.0192909999999999</v>
      </c>
      <c r="S760" t="s">
        <v>1184</v>
      </c>
      <c r="T760" s="57">
        <f>IF(Dealps[[#This Row],[MATURITY_DATE]]-Dealps[[#This Row],[POSTED_DT]]&lt;0,0,IF(Dealps[[#This Row],[VALUE_DATE]]-Dealps[[#This Row],[POSTED_DT]]&gt;0,Dealps[[#This Row],[MATURITY_DATE]]-Dealps[[#This Row],[VALUE_DATE]],Dealps[[#This Row],[MATURITY_DATE]]-Dealps[[#This Row],[POSTED_DT]]))</f>
        <v>223</v>
      </c>
      <c r="U760" s="25">
        <f>IF(Dealps[[#This Row],[TENOR]]=0,0,IF(Dealps[[#This Row],[DEAL_TYPE]]="B",Dealps[[#This Row],[FACE_AMOUNT]],-Dealps[[#This Row],[FACE_AMOUNT]]))</f>
        <v>500000000000</v>
      </c>
      <c r="V760" s="25">
        <f>_xlfn.XLOOKUP(Dealps[[#This Row],[PAPER_CODE]],FNRP!D:D,FNRP!H:H,0,0)/100*Dealps[[#This Row],[AMOUNT]]</f>
        <v>0</v>
      </c>
      <c r="W760" s="57" t="str">
        <f>IF(Dealps[[#This Row],[TRANSACTION_STATUS]]&lt;&gt;"V","Ngoai BS",IF(Dealps[[#This Row],[POSTED_DT]]&gt;=Dealps[[#This Row],[VALUE_DATE]],"On BS","Off BS"))</f>
        <v>On BS</v>
      </c>
      <c r="X760" s="25">
        <f>SUMIFS(U:U,C:C,Dealps[[#This Row],[PAPER_CODE]])</f>
        <v>2000000000000</v>
      </c>
      <c r="Y760" s="25">
        <f>_xlfn.XLOOKUP(Dealps[[#This Row],[DEAL_ID]],Ref!N:N,Ref!Q:Q,0,0)</f>
        <v>0</v>
      </c>
      <c r="Z760" s="25" t="str">
        <f>IF(Dealps[[#This Row],[CPTY_CODE]]=Dealps[[#This Row],[CPTY_CODE_ISSUER]],"Yes","No")</f>
        <v>No</v>
      </c>
      <c r="AA760" s="25"/>
      <c r="AC760" s="14"/>
      <c r="AG760" s="96"/>
      <c r="AH760" s="14"/>
      <c r="AI760"/>
      <c r="AN760" s="14"/>
      <c r="AV760" s="36"/>
      <c r="AW760" s="14"/>
      <c r="AX760" s="234"/>
      <c r="AY760" s="96"/>
      <c r="AZ760" s="14"/>
      <c r="BA760"/>
      <c r="BE760" s="14"/>
      <c r="BF760" s="25"/>
      <c r="BL760" s="15"/>
      <c r="BN760"/>
      <c r="BR760" s="14"/>
      <c r="BV760"/>
    </row>
    <row r="761" spans="1:74" x14ac:dyDescent="0.3">
      <c r="A761" s="93">
        <v>46262</v>
      </c>
      <c r="B761">
        <v>4951</v>
      </c>
      <c r="C761" s="56" t="s">
        <v>1507</v>
      </c>
      <c r="D761" t="s">
        <v>347</v>
      </c>
      <c r="E761" t="s">
        <v>1228</v>
      </c>
      <c r="F761" t="s">
        <v>364</v>
      </c>
      <c r="G761" t="s">
        <v>310</v>
      </c>
      <c r="H761" t="s">
        <v>311</v>
      </c>
      <c r="I761" s="93">
        <v>46255</v>
      </c>
      <c r="J761" s="93">
        <v>46255</v>
      </c>
      <c r="K761" s="93">
        <v>46258</v>
      </c>
      <c r="L761" s="93">
        <v>46604</v>
      </c>
      <c r="M761" s="14">
        <v>1</v>
      </c>
      <c r="N761" s="14">
        <v>200000000000</v>
      </c>
      <c r="O761" s="56">
        <v>99.978221325000007</v>
      </c>
      <c r="P761" s="56">
        <v>0</v>
      </c>
      <c r="Q761" s="14">
        <v>200504935800</v>
      </c>
      <c r="R761">
        <v>9.1</v>
      </c>
      <c r="S761" t="s">
        <v>1184</v>
      </c>
      <c r="T761" s="57">
        <f>IF(Dealps[[#This Row],[MATURITY_DATE]]-Dealps[[#This Row],[POSTED_DT]]&lt;0,0,IF(Dealps[[#This Row],[VALUE_DATE]]-Dealps[[#This Row],[POSTED_DT]]&gt;0,Dealps[[#This Row],[MATURITY_DATE]]-Dealps[[#This Row],[VALUE_DATE]],Dealps[[#This Row],[MATURITY_DATE]]-Dealps[[#This Row],[POSTED_DT]]))</f>
        <v>342</v>
      </c>
      <c r="U761" s="25">
        <f>IF(Dealps[[#This Row],[TENOR]]=0,0,IF(Dealps[[#This Row],[DEAL_TYPE]]="B",Dealps[[#This Row],[FACE_AMOUNT]],-Dealps[[#This Row],[FACE_AMOUNT]]))</f>
        <v>-200000000000</v>
      </c>
      <c r="V761" s="25">
        <f>_xlfn.XLOOKUP(Dealps[[#This Row],[PAPER_CODE]],FNRP!D:D,FNRP!H:H,0,0)/100*Dealps[[#This Row],[AMOUNT]]</f>
        <v>0</v>
      </c>
      <c r="W761" s="57" t="str">
        <f>IF(Dealps[[#This Row],[TRANSACTION_STATUS]]&lt;&gt;"V","Ngoai BS",IF(Dealps[[#This Row],[POSTED_DT]]&gt;=Dealps[[#This Row],[VALUE_DATE]],"On BS","Off BS"))</f>
        <v>On BS</v>
      </c>
      <c r="X761" s="25">
        <f>SUMIFS(U:U,C:C,Dealps[[#This Row],[PAPER_CODE]])</f>
        <v>1000000000000</v>
      </c>
      <c r="Y761" s="25">
        <f>_xlfn.XLOOKUP(Dealps[[#This Row],[DEAL_ID]],Ref!N:N,Ref!Q:Q,0,0)</f>
        <v>0</v>
      </c>
      <c r="Z761" s="25" t="str">
        <f>IF(Dealps[[#This Row],[CPTY_CODE]]=Dealps[[#This Row],[CPTY_CODE_ISSUER]],"Yes","No")</f>
        <v>No</v>
      </c>
      <c r="AA761" s="25"/>
      <c r="AC761" s="14"/>
      <c r="AG761" s="96"/>
      <c r="AH761" s="14"/>
      <c r="AI761"/>
      <c r="AN761" s="14"/>
      <c r="AV761" s="36"/>
      <c r="AW761" s="14"/>
      <c r="AX761" s="234"/>
      <c r="AY761" s="96"/>
      <c r="AZ761" s="14"/>
      <c r="BA761"/>
      <c r="BE761" s="14"/>
      <c r="BF761" s="25"/>
      <c r="BL761" s="15"/>
      <c r="BN761"/>
      <c r="BR761" s="14"/>
      <c r="BV761"/>
    </row>
    <row r="762" spans="1:74" x14ac:dyDescent="0.3">
      <c r="A762" s="93">
        <v>46262</v>
      </c>
      <c r="B762">
        <v>4952</v>
      </c>
      <c r="C762" s="56" t="s">
        <v>1507</v>
      </c>
      <c r="D762" t="s">
        <v>347</v>
      </c>
      <c r="E762" t="s">
        <v>1228</v>
      </c>
      <c r="F762" t="s">
        <v>364</v>
      </c>
      <c r="G762" t="s">
        <v>310</v>
      </c>
      <c r="H762" t="s">
        <v>300</v>
      </c>
      <c r="I762" s="93">
        <v>46255</v>
      </c>
      <c r="J762" s="93">
        <v>46268</v>
      </c>
      <c r="K762" s="93">
        <v>46268</v>
      </c>
      <c r="L762" s="93">
        <v>46604</v>
      </c>
      <c r="M762" s="14">
        <v>1</v>
      </c>
      <c r="N762" s="14">
        <v>200000000000</v>
      </c>
      <c r="O762" s="56">
        <v>99.882718256000004</v>
      </c>
      <c r="P762" s="56">
        <v>0</v>
      </c>
      <c r="Q762" s="14">
        <v>200812559800</v>
      </c>
      <c r="R762">
        <v>9.1900670000000009</v>
      </c>
      <c r="S762" t="s">
        <v>651</v>
      </c>
      <c r="T762" s="57">
        <f>IF(Dealps[[#This Row],[MATURITY_DATE]]-Dealps[[#This Row],[POSTED_DT]]&lt;0,0,IF(Dealps[[#This Row],[VALUE_DATE]]-Dealps[[#This Row],[POSTED_DT]]&gt;0,Dealps[[#This Row],[MATURITY_DATE]]-Dealps[[#This Row],[VALUE_DATE]],Dealps[[#This Row],[MATURITY_DATE]]-Dealps[[#This Row],[POSTED_DT]]))</f>
        <v>336</v>
      </c>
      <c r="U762" s="25">
        <f>IF(Dealps[[#This Row],[TENOR]]=0,0,IF(Dealps[[#This Row],[DEAL_TYPE]]="B",Dealps[[#This Row],[FACE_AMOUNT]],-Dealps[[#This Row],[FACE_AMOUNT]]))</f>
        <v>200000000000</v>
      </c>
      <c r="V762" s="25">
        <f>_xlfn.XLOOKUP(Dealps[[#This Row],[PAPER_CODE]],FNRP!D:D,FNRP!H:H,0,0)/100*Dealps[[#This Row],[AMOUNT]]</f>
        <v>0</v>
      </c>
      <c r="W762" s="57" t="str">
        <f>IF(Dealps[[#This Row],[TRANSACTION_STATUS]]&lt;&gt;"V","Ngoai BS",IF(Dealps[[#This Row],[POSTED_DT]]&gt;=Dealps[[#This Row],[VALUE_DATE]],"On BS","Off BS"))</f>
        <v>Ngoai BS</v>
      </c>
      <c r="X762" s="25">
        <f>SUMIFS(U:U,C:C,Dealps[[#This Row],[PAPER_CODE]])</f>
        <v>1000000000000</v>
      </c>
      <c r="Y762" s="25">
        <f>_xlfn.XLOOKUP(Dealps[[#This Row],[DEAL_ID]],Ref!N:N,Ref!Q:Q,0,0)</f>
        <v>0</v>
      </c>
      <c r="Z762" s="25" t="str">
        <f>IF(Dealps[[#This Row],[CPTY_CODE]]=Dealps[[#This Row],[CPTY_CODE_ISSUER]],"Yes","No")</f>
        <v>No</v>
      </c>
      <c r="AA762" s="25"/>
      <c r="AC762" s="14"/>
      <c r="AG762" s="96"/>
      <c r="AH762" s="14"/>
      <c r="AI762"/>
      <c r="AN762" s="14"/>
      <c r="AV762" s="36"/>
      <c r="AW762" s="14"/>
      <c r="AX762" s="234"/>
      <c r="AY762" s="96"/>
      <c r="AZ762" s="14"/>
      <c r="BA762"/>
      <c r="BE762" s="14"/>
      <c r="BF762" s="25"/>
      <c r="BL762" s="15"/>
      <c r="BN762"/>
      <c r="BR762" s="14"/>
      <c r="BV762"/>
    </row>
    <row r="763" spans="1:74" x14ac:dyDescent="0.3">
      <c r="A763" s="93">
        <v>46262</v>
      </c>
      <c r="B763">
        <v>4953</v>
      </c>
      <c r="C763" s="56" t="s">
        <v>1207</v>
      </c>
      <c r="D763" t="s">
        <v>384</v>
      </c>
      <c r="E763" t="s">
        <v>1383</v>
      </c>
      <c r="F763" t="s">
        <v>364</v>
      </c>
      <c r="G763" t="s">
        <v>310</v>
      </c>
      <c r="H763" t="s">
        <v>300</v>
      </c>
      <c r="I763" s="93">
        <v>46255</v>
      </c>
      <c r="J763" s="93">
        <v>46272</v>
      </c>
      <c r="K763" s="93">
        <v>46272</v>
      </c>
      <c r="L763" s="93">
        <v>46419</v>
      </c>
      <c r="M763" s="14">
        <v>1</v>
      </c>
      <c r="N763" s="14">
        <v>24000000000</v>
      </c>
      <c r="O763" s="56">
        <v>100.622929982</v>
      </c>
      <c r="P763" s="56">
        <v>0</v>
      </c>
      <c r="Q763" s="14">
        <v>25248900456</v>
      </c>
      <c r="R763">
        <v>6.1340669999999999</v>
      </c>
      <c r="S763" t="s">
        <v>651</v>
      </c>
      <c r="T763" s="57">
        <f>IF(Dealps[[#This Row],[MATURITY_DATE]]-Dealps[[#This Row],[POSTED_DT]]&lt;0,0,IF(Dealps[[#This Row],[VALUE_DATE]]-Dealps[[#This Row],[POSTED_DT]]&gt;0,Dealps[[#This Row],[MATURITY_DATE]]-Dealps[[#This Row],[VALUE_DATE]],Dealps[[#This Row],[MATURITY_DATE]]-Dealps[[#This Row],[POSTED_DT]]))</f>
        <v>147</v>
      </c>
      <c r="U763" s="25">
        <f>IF(Dealps[[#This Row],[TENOR]]=0,0,IF(Dealps[[#This Row],[DEAL_TYPE]]="B",Dealps[[#This Row],[FACE_AMOUNT]],-Dealps[[#This Row],[FACE_AMOUNT]]))</f>
        <v>24000000000</v>
      </c>
      <c r="V763" s="25">
        <f>_xlfn.XLOOKUP(Dealps[[#This Row],[PAPER_CODE]],FNRP!D:D,FNRP!H:H,0,0)/100*Dealps[[#This Row],[AMOUNT]]</f>
        <v>0</v>
      </c>
      <c r="W763" s="57" t="str">
        <f>IF(Dealps[[#This Row],[TRANSACTION_STATUS]]&lt;&gt;"V","Ngoai BS",IF(Dealps[[#This Row],[POSTED_DT]]&gt;=Dealps[[#This Row],[VALUE_DATE]],"On BS","Off BS"))</f>
        <v>Ngoai BS</v>
      </c>
      <c r="X763" s="25">
        <f>SUMIFS(U:U,C:C,Dealps[[#This Row],[PAPER_CODE]])</f>
        <v>200000000000</v>
      </c>
      <c r="Y763" s="25">
        <f>_xlfn.XLOOKUP(Dealps[[#This Row],[DEAL_ID]],Ref!N:N,Ref!Q:Q,0,0)</f>
        <v>0</v>
      </c>
      <c r="Z763" s="25" t="str">
        <f>IF(Dealps[[#This Row],[CPTY_CODE]]=Dealps[[#This Row],[CPTY_CODE_ISSUER]],"Yes","No")</f>
        <v>No</v>
      </c>
      <c r="AA763" s="25"/>
      <c r="AC763" s="14"/>
      <c r="AG763" s="96"/>
      <c r="AH763" s="14"/>
      <c r="AI763"/>
      <c r="AN763" s="14"/>
      <c r="AV763" s="36"/>
      <c r="AW763" s="14"/>
      <c r="AX763" s="234"/>
      <c r="AY763" s="96"/>
      <c r="AZ763" s="14"/>
      <c r="BA763"/>
      <c r="BE763" s="14"/>
      <c r="BF763" s="25"/>
      <c r="BL763" s="15"/>
      <c r="BN763"/>
      <c r="BR763" s="14"/>
      <c r="BV763"/>
    </row>
    <row r="764" spans="1:74" x14ac:dyDescent="0.3">
      <c r="A764" s="93">
        <v>46262</v>
      </c>
      <c r="B764">
        <v>4954</v>
      </c>
      <c r="C764" s="56" t="s">
        <v>1010</v>
      </c>
      <c r="D764" t="s">
        <v>328</v>
      </c>
      <c r="E764" t="s">
        <v>321</v>
      </c>
      <c r="F764" t="s">
        <v>364</v>
      </c>
      <c r="G764" t="s">
        <v>310</v>
      </c>
      <c r="H764" t="s">
        <v>311</v>
      </c>
      <c r="I764" s="93">
        <v>46255</v>
      </c>
      <c r="J764" s="93">
        <v>46255</v>
      </c>
      <c r="K764" s="93">
        <v>46259</v>
      </c>
      <c r="L764" s="93">
        <v>46329</v>
      </c>
      <c r="M764" s="14">
        <v>1</v>
      </c>
      <c r="N764" s="14">
        <v>500000000000</v>
      </c>
      <c r="O764" s="56">
        <v>99.701171552000005</v>
      </c>
      <c r="P764" s="56">
        <v>0</v>
      </c>
      <c r="Q764" s="14">
        <v>523878460499.99994</v>
      </c>
      <c r="R764">
        <v>7.5</v>
      </c>
      <c r="S764" t="s">
        <v>1184</v>
      </c>
      <c r="T764" s="57">
        <f>IF(Dealps[[#This Row],[MATURITY_DATE]]-Dealps[[#This Row],[POSTED_DT]]&lt;0,0,IF(Dealps[[#This Row],[VALUE_DATE]]-Dealps[[#This Row],[POSTED_DT]]&gt;0,Dealps[[#This Row],[MATURITY_DATE]]-Dealps[[#This Row],[VALUE_DATE]],Dealps[[#This Row],[MATURITY_DATE]]-Dealps[[#This Row],[POSTED_DT]]))</f>
        <v>67</v>
      </c>
      <c r="U764" s="25">
        <f>IF(Dealps[[#This Row],[TENOR]]=0,0,IF(Dealps[[#This Row],[DEAL_TYPE]]="B",Dealps[[#This Row],[FACE_AMOUNT]],-Dealps[[#This Row],[FACE_AMOUNT]]))</f>
        <v>-500000000000</v>
      </c>
      <c r="V764" s="25">
        <f>_xlfn.XLOOKUP(Dealps[[#This Row],[PAPER_CODE]],FNRP!D:D,FNRP!H:H,0,0)/100*Dealps[[#This Row],[AMOUNT]]</f>
        <v>0</v>
      </c>
      <c r="W764" s="57" t="str">
        <f>IF(Dealps[[#This Row],[TRANSACTION_STATUS]]&lt;&gt;"V","Ngoai BS",IF(Dealps[[#This Row],[POSTED_DT]]&gt;=Dealps[[#This Row],[VALUE_DATE]],"On BS","Off BS"))</f>
        <v>On BS</v>
      </c>
      <c r="X764" s="25">
        <f>SUMIFS(U:U,C:C,Dealps[[#This Row],[PAPER_CODE]])</f>
        <v>2000000000000</v>
      </c>
      <c r="Y764" s="25">
        <f>_xlfn.XLOOKUP(Dealps[[#This Row],[DEAL_ID]],Ref!N:N,Ref!Q:Q,0,0)</f>
        <v>0</v>
      </c>
      <c r="Z764" s="25" t="str">
        <f>IF(Dealps[[#This Row],[CPTY_CODE]]=Dealps[[#This Row],[CPTY_CODE_ISSUER]],"Yes","No")</f>
        <v>No</v>
      </c>
      <c r="AA764" s="25"/>
      <c r="AC764" s="14"/>
      <c r="AG764" s="96"/>
      <c r="AH764" s="14"/>
      <c r="AI764"/>
      <c r="AN764" s="14"/>
      <c r="AV764" s="36"/>
      <c r="AW764" s="14"/>
      <c r="AX764" s="234"/>
      <c r="AY764" s="96"/>
      <c r="AZ764" s="14"/>
      <c r="BA764"/>
      <c r="BE764" s="14"/>
      <c r="BF764" s="25"/>
      <c r="BL764" s="15"/>
      <c r="BN764"/>
      <c r="BR764" s="14"/>
      <c r="BV764"/>
    </row>
    <row r="765" spans="1:74" x14ac:dyDescent="0.3">
      <c r="A765" s="93">
        <v>46262</v>
      </c>
      <c r="B765">
        <v>4956</v>
      </c>
      <c r="C765" s="56" t="s">
        <v>1258</v>
      </c>
      <c r="D765" t="s">
        <v>321</v>
      </c>
      <c r="E765" t="s">
        <v>636</v>
      </c>
      <c r="F765" t="s">
        <v>364</v>
      </c>
      <c r="G765" t="s">
        <v>310</v>
      </c>
      <c r="H765" t="s">
        <v>311</v>
      </c>
      <c r="I765" s="93">
        <v>46255</v>
      </c>
      <c r="J765" s="93">
        <v>46255</v>
      </c>
      <c r="K765" s="93">
        <v>46259</v>
      </c>
      <c r="L765" s="93">
        <v>46485</v>
      </c>
      <c r="M765" s="14">
        <v>1</v>
      </c>
      <c r="N765" s="14">
        <v>200000000000</v>
      </c>
      <c r="O765" s="56">
        <v>100.826991982</v>
      </c>
      <c r="P765" s="56">
        <v>0</v>
      </c>
      <c r="Q765" s="14">
        <v>207775627800</v>
      </c>
      <c r="R765">
        <v>6.8</v>
      </c>
      <c r="S765" t="s">
        <v>1184</v>
      </c>
      <c r="T765" s="57">
        <f>IF(Dealps[[#This Row],[MATURITY_DATE]]-Dealps[[#This Row],[POSTED_DT]]&lt;0,0,IF(Dealps[[#This Row],[VALUE_DATE]]-Dealps[[#This Row],[POSTED_DT]]&gt;0,Dealps[[#This Row],[MATURITY_DATE]]-Dealps[[#This Row],[VALUE_DATE]],Dealps[[#This Row],[MATURITY_DATE]]-Dealps[[#This Row],[POSTED_DT]]))</f>
        <v>223</v>
      </c>
      <c r="U765" s="25">
        <f>IF(Dealps[[#This Row],[TENOR]]=0,0,IF(Dealps[[#This Row],[DEAL_TYPE]]="B",Dealps[[#This Row],[FACE_AMOUNT]],-Dealps[[#This Row],[FACE_AMOUNT]]))</f>
        <v>-200000000000</v>
      </c>
      <c r="V765" s="25">
        <f>_xlfn.XLOOKUP(Dealps[[#This Row],[PAPER_CODE]],FNRP!D:D,FNRP!H:H,0,0)/100*Dealps[[#This Row],[AMOUNT]]</f>
        <v>0</v>
      </c>
      <c r="W765" s="57" t="str">
        <f>IF(Dealps[[#This Row],[TRANSACTION_STATUS]]&lt;&gt;"V","Ngoai BS",IF(Dealps[[#This Row],[POSTED_DT]]&gt;=Dealps[[#This Row],[VALUE_DATE]],"On BS","Off BS"))</f>
        <v>On BS</v>
      </c>
      <c r="X765" s="25">
        <f>SUMIFS(U:U,C:C,Dealps[[#This Row],[PAPER_CODE]])</f>
        <v>2000000000000</v>
      </c>
      <c r="Y765" s="25">
        <f>_xlfn.XLOOKUP(Dealps[[#This Row],[DEAL_ID]],Ref!N:N,Ref!Q:Q,0,0)</f>
        <v>0</v>
      </c>
      <c r="Z765" s="25" t="str">
        <f>IF(Dealps[[#This Row],[CPTY_CODE]]=Dealps[[#This Row],[CPTY_CODE_ISSUER]],"Yes","No")</f>
        <v>No</v>
      </c>
      <c r="AA765" s="25"/>
      <c r="AC765" s="14"/>
      <c r="AG765" s="96"/>
      <c r="AH765" s="14"/>
      <c r="AI765"/>
      <c r="AN765" s="14"/>
      <c r="AV765" s="36"/>
      <c r="AW765" s="14"/>
      <c r="AX765" s="234"/>
      <c r="AY765" s="96"/>
      <c r="AZ765" s="14"/>
      <c r="BA765"/>
      <c r="BE765" s="14"/>
      <c r="BF765" s="25"/>
      <c r="BL765" s="15"/>
      <c r="BN765"/>
      <c r="BR765" s="14"/>
      <c r="BV765"/>
    </row>
    <row r="766" spans="1:74" x14ac:dyDescent="0.3">
      <c r="A766" s="93">
        <v>46262</v>
      </c>
      <c r="B766">
        <v>4957</v>
      </c>
      <c r="C766" s="56" t="s">
        <v>1158</v>
      </c>
      <c r="D766" t="s">
        <v>327</v>
      </c>
      <c r="E766" t="s">
        <v>321</v>
      </c>
      <c r="F766" t="s">
        <v>364</v>
      </c>
      <c r="G766" t="s">
        <v>310</v>
      </c>
      <c r="H766" t="s">
        <v>311</v>
      </c>
      <c r="I766" s="93">
        <v>46255</v>
      </c>
      <c r="J766" s="93">
        <v>46255</v>
      </c>
      <c r="K766" s="93">
        <v>46259</v>
      </c>
      <c r="L766" s="93">
        <v>46409</v>
      </c>
      <c r="M766" s="14">
        <v>1</v>
      </c>
      <c r="N766" s="14">
        <v>500000000000</v>
      </c>
      <c r="O766" s="56">
        <v>99.423616228</v>
      </c>
      <c r="P766" s="56">
        <v>0</v>
      </c>
      <c r="Q766" s="14">
        <v>518224930454</v>
      </c>
      <c r="R766">
        <v>8.3000000000000007</v>
      </c>
      <c r="S766" t="s">
        <v>1184</v>
      </c>
      <c r="T766" s="57">
        <f>IF(Dealps[[#This Row],[MATURITY_DATE]]-Dealps[[#This Row],[POSTED_DT]]&lt;0,0,IF(Dealps[[#This Row],[VALUE_DATE]]-Dealps[[#This Row],[POSTED_DT]]&gt;0,Dealps[[#This Row],[MATURITY_DATE]]-Dealps[[#This Row],[VALUE_DATE]],Dealps[[#This Row],[MATURITY_DATE]]-Dealps[[#This Row],[POSTED_DT]]))</f>
        <v>147</v>
      </c>
      <c r="U766" s="25">
        <f>IF(Dealps[[#This Row],[TENOR]]=0,0,IF(Dealps[[#This Row],[DEAL_TYPE]]="B",Dealps[[#This Row],[FACE_AMOUNT]],-Dealps[[#This Row],[FACE_AMOUNT]]))</f>
        <v>-500000000000</v>
      </c>
      <c r="V766" s="25">
        <f>_xlfn.XLOOKUP(Dealps[[#This Row],[PAPER_CODE]],FNRP!D:D,FNRP!H:H,0,0)/100*Dealps[[#This Row],[AMOUNT]]</f>
        <v>0</v>
      </c>
      <c r="W766" s="57" t="str">
        <f>IF(Dealps[[#This Row],[TRANSACTION_STATUS]]&lt;&gt;"V","Ngoai BS",IF(Dealps[[#This Row],[POSTED_DT]]&gt;=Dealps[[#This Row],[VALUE_DATE]],"On BS","Off BS"))</f>
        <v>On BS</v>
      </c>
      <c r="X766" s="25">
        <f>SUMIFS(U:U,C:C,Dealps[[#This Row],[PAPER_CODE]])</f>
        <v>2000000000000</v>
      </c>
      <c r="Y766" s="25">
        <f>_xlfn.XLOOKUP(Dealps[[#This Row],[DEAL_ID]],Ref!N:N,Ref!Q:Q,0,0)</f>
        <v>0</v>
      </c>
      <c r="Z766" s="25" t="str">
        <f>IF(Dealps[[#This Row],[CPTY_CODE]]=Dealps[[#This Row],[CPTY_CODE_ISSUER]],"Yes","No")</f>
        <v>No</v>
      </c>
      <c r="AA766" s="25"/>
      <c r="AC766" s="14"/>
      <c r="AG766" s="96"/>
      <c r="AH766" s="14"/>
      <c r="AI766"/>
      <c r="AN766" s="14"/>
      <c r="AV766" s="36"/>
      <c r="AW766" s="14"/>
      <c r="AX766" s="234"/>
      <c r="AY766" s="96"/>
      <c r="AZ766" s="14"/>
      <c r="BA766"/>
      <c r="BE766" s="14"/>
      <c r="BF766" s="25"/>
      <c r="BL766" s="15"/>
      <c r="BN766"/>
      <c r="BR766" s="14"/>
      <c r="BV766"/>
    </row>
    <row r="767" spans="1:74" x14ac:dyDescent="0.3">
      <c r="A767" s="93">
        <v>46262</v>
      </c>
      <c r="B767">
        <v>4959</v>
      </c>
      <c r="C767" s="56" t="s">
        <v>1258</v>
      </c>
      <c r="D767" t="s">
        <v>321</v>
      </c>
      <c r="E767" t="s">
        <v>636</v>
      </c>
      <c r="F767" t="s">
        <v>364</v>
      </c>
      <c r="G767" t="s">
        <v>310</v>
      </c>
      <c r="H767" t="s">
        <v>300</v>
      </c>
      <c r="I767" s="93">
        <v>46255</v>
      </c>
      <c r="J767" s="93">
        <v>46280</v>
      </c>
      <c r="K767" s="93">
        <v>46280</v>
      </c>
      <c r="L767" s="93">
        <v>46485</v>
      </c>
      <c r="M767" s="14">
        <v>1</v>
      </c>
      <c r="N767" s="14">
        <v>200000000000</v>
      </c>
      <c r="O767" s="56">
        <v>100.750147611</v>
      </c>
      <c r="P767" s="56">
        <v>0</v>
      </c>
      <c r="Q767" s="14">
        <v>208588514400</v>
      </c>
      <c r="R767">
        <v>6.7735000000000003</v>
      </c>
      <c r="S767" t="s">
        <v>651</v>
      </c>
      <c r="T767" s="57">
        <f>IF(Dealps[[#This Row],[MATURITY_DATE]]-Dealps[[#This Row],[POSTED_DT]]&lt;0,0,IF(Dealps[[#This Row],[VALUE_DATE]]-Dealps[[#This Row],[POSTED_DT]]&gt;0,Dealps[[#This Row],[MATURITY_DATE]]-Dealps[[#This Row],[VALUE_DATE]],Dealps[[#This Row],[MATURITY_DATE]]-Dealps[[#This Row],[POSTED_DT]]))</f>
        <v>205</v>
      </c>
      <c r="U767" s="25">
        <f>IF(Dealps[[#This Row],[TENOR]]=0,0,IF(Dealps[[#This Row],[DEAL_TYPE]]="B",Dealps[[#This Row],[FACE_AMOUNT]],-Dealps[[#This Row],[FACE_AMOUNT]]))</f>
        <v>200000000000</v>
      </c>
      <c r="V767" s="25">
        <f>_xlfn.XLOOKUP(Dealps[[#This Row],[PAPER_CODE]],FNRP!D:D,FNRP!H:H,0,0)/100*Dealps[[#This Row],[AMOUNT]]</f>
        <v>0</v>
      </c>
      <c r="W767" s="57" t="str">
        <f>IF(Dealps[[#This Row],[TRANSACTION_STATUS]]&lt;&gt;"V","Ngoai BS",IF(Dealps[[#This Row],[POSTED_DT]]&gt;=Dealps[[#This Row],[VALUE_DATE]],"On BS","Off BS"))</f>
        <v>Ngoai BS</v>
      </c>
      <c r="X767" s="25">
        <f>SUMIFS(U:U,C:C,Dealps[[#This Row],[PAPER_CODE]])</f>
        <v>2000000000000</v>
      </c>
      <c r="Y767" s="25">
        <f>_xlfn.XLOOKUP(Dealps[[#This Row],[DEAL_ID]],Ref!N:N,Ref!Q:Q,0,0)</f>
        <v>0</v>
      </c>
      <c r="Z767" s="25" t="str">
        <f>IF(Dealps[[#This Row],[CPTY_CODE]]=Dealps[[#This Row],[CPTY_CODE_ISSUER]],"Yes","No")</f>
        <v>No</v>
      </c>
      <c r="AA767" s="25"/>
      <c r="AC767" s="14"/>
      <c r="AG767" s="96"/>
      <c r="AH767" s="14"/>
      <c r="AI767"/>
      <c r="AN767" s="14"/>
      <c r="AV767" s="36"/>
      <c r="AW767" s="14"/>
      <c r="AX767" s="234"/>
      <c r="AY767" s="96"/>
      <c r="AZ767" s="14"/>
      <c r="BA767"/>
      <c r="BE767" s="14"/>
      <c r="BF767" s="25"/>
      <c r="BL767" s="15"/>
      <c r="BN767"/>
      <c r="BR767" s="14"/>
      <c r="BV767"/>
    </row>
    <row r="768" spans="1:74" x14ac:dyDescent="0.3">
      <c r="A768" s="93">
        <v>46262</v>
      </c>
      <c r="B768">
        <v>4960</v>
      </c>
      <c r="C768" s="56" t="s">
        <v>1583</v>
      </c>
      <c r="D768" t="s">
        <v>316</v>
      </c>
      <c r="E768" t="s">
        <v>328</v>
      </c>
      <c r="F768" t="s">
        <v>364</v>
      </c>
      <c r="G768" t="s">
        <v>310</v>
      </c>
      <c r="H768" t="s">
        <v>300</v>
      </c>
      <c r="I768" s="93">
        <v>46255</v>
      </c>
      <c r="J768" s="93">
        <v>46255</v>
      </c>
      <c r="K768" s="93">
        <v>46259</v>
      </c>
      <c r="L768" s="93">
        <v>46416</v>
      </c>
      <c r="M768" s="14">
        <v>1</v>
      </c>
      <c r="N768" s="14">
        <v>1000000000000</v>
      </c>
      <c r="O768" s="56">
        <v>100.131485371</v>
      </c>
      <c r="P768" s="56">
        <v>0</v>
      </c>
      <c r="Q768" s="14">
        <v>1043281977000</v>
      </c>
      <c r="R768">
        <v>6.8</v>
      </c>
      <c r="S768" t="s">
        <v>1184</v>
      </c>
      <c r="T768" s="57">
        <f>IF(Dealps[[#This Row],[MATURITY_DATE]]-Dealps[[#This Row],[POSTED_DT]]&lt;0,0,IF(Dealps[[#This Row],[VALUE_DATE]]-Dealps[[#This Row],[POSTED_DT]]&gt;0,Dealps[[#This Row],[MATURITY_DATE]]-Dealps[[#This Row],[VALUE_DATE]],Dealps[[#This Row],[MATURITY_DATE]]-Dealps[[#This Row],[POSTED_DT]]))</f>
        <v>154</v>
      </c>
      <c r="U768" s="25">
        <f>IF(Dealps[[#This Row],[TENOR]]=0,0,IF(Dealps[[#This Row],[DEAL_TYPE]]="B",Dealps[[#This Row],[FACE_AMOUNT]],-Dealps[[#This Row],[FACE_AMOUNT]]))</f>
        <v>1000000000000</v>
      </c>
      <c r="V768" s="25">
        <f>_xlfn.XLOOKUP(Dealps[[#This Row],[PAPER_CODE]],FNRP!D:D,FNRP!H:H,0,0)/100*Dealps[[#This Row],[AMOUNT]]</f>
        <v>0</v>
      </c>
      <c r="W768" s="57" t="str">
        <f>IF(Dealps[[#This Row],[TRANSACTION_STATUS]]&lt;&gt;"V","Ngoai BS",IF(Dealps[[#This Row],[POSTED_DT]]&gt;=Dealps[[#This Row],[VALUE_DATE]],"On BS","Off BS"))</f>
        <v>On BS</v>
      </c>
      <c r="X768" s="25">
        <f>SUMIFS(U:U,C:C,Dealps[[#This Row],[PAPER_CODE]])</f>
        <v>0</v>
      </c>
      <c r="Y768" s="25">
        <f>_xlfn.XLOOKUP(Dealps[[#This Row],[DEAL_ID]],Ref!N:N,Ref!Q:Q,0,0)</f>
        <v>0</v>
      </c>
      <c r="Z768" s="25" t="str">
        <f>IF(Dealps[[#This Row],[CPTY_CODE]]=Dealps[[#This Row],[CPTY_CODE_ISSUER]],"Yes","No")</f>
        <v>No</v>
      </c>
      <c r="AA768" s="25"/>
      <c r="AC768" s="14"/>
      <c r="AG768" s="96"/>
      <c r="AH768" s="14"/>
      <c r="AI768"/>
      <c r="AN768" s="14"/>
      <c r="AV768" s="36"/>
      <c r="AW768" s="14"/>
      <c r="AX768" s="234"/>
      <c r="AY768" s="96"/>
      <c r="AZ768" s="14"/>
      <c r="BA768"/>
      <c r="BE768" s="14"/>
      <c r="BF768" s="25"/>
      <c r="BL768" s="15"/>
      <c r="BN768"/>
      <c r="BR768" s="14"/>
      <c r="BV768"/>
    </row>
    <row r="769" spans="1:74" x14ac:dyDescent="0.3">
      <c r="A769" s="93">
        <v>46262</v>
      </c>
      <c r="B769">
        <v>4962</v>
      </c>
      <c r="C769" s="56" t="s">
        <v>1583</v>
      </c>
      <c r="D769" t="s">
        <v>316</v>
      </c>
      <c r="E769" t="s">
        <v>328</v>
      </c>
      <c r="F769" t="s">
        <v>364</v>
      </c>
      <c r="G769" t="s">
        <v>310</v>
      </c>
      <c r="H769" t="s">
        <v>300</v>
      </c>
      <c r="I769" s="93">
        <v>46255</v>
      </c>
      <c r="J769" s="93">
        <v>46255</v>
      </c>
      <c r="K769" s="93">
        <v>46259</v>
      </c>
      <c r="L769" s="93">
        <v>46416</v>
      </c>
      <c r="M769" s="14">
        <v>1</v>
      </c>
      <c r="N769" s="14">
        <v>1000000000000</v>
      </c>
      <c r="O769" s="56">
        <v>100.131485371</v>
      </c>
      <c r="P769" s="56">
        <v>0</v>
      </c>
      <c r="Q769" s="14">
        <v>1043281977000</v>
      </c>
      <c r="R769">
        <v>6.8</v>
      </c>
      <c r="S769" t="s">
        <v>1184</v>
      </c>
      <c r="T769" s="57">
        <f>IF(Dealps[[#This Row],[MATURITY_DATE]]-Dealps[[#This Row],[POSTED_DT]]&lt;0,0,IF(Dealps[[#This Row],[VALUE_DATE]]-Dealps[[#This Row],[POSTED_DT]]&gt;0,Dealps[[#This Row],[MATURITY_DATE]]-Dealps[[#This Row],[VALUE_DATE]],Dealps[[#This Row],[MATURITY_DATE]]-Dealps[[#This Row],[POSTED_DT]]))</f>
        <v>154</v>
      </c>
      <c r="U769" s="25">
        <f>IF(Dealps[[#This Row],[TENOR]]=0,0,IF(Dealps[[#This Row],[DEAL_TYPE]]="B",Dealps[[#This Row],[FACE_AMOUNT]],-Dealps[[#This Row],[FACE_AMOUNT]]))</f>
        <v>1000000000000</v>
      </c>
      <c r="V769" s="25">
        <f>_xlfn.XLOOKUP(Dealps[[#This Row],[PAPER_CODE]],FNRP!D:D,FNRP!H:H,0,0)/100*Dealps[[#This Row],[AMOUNT]]</f>
        <v>0</v>
      </c>
      <c r="W769" s="57" t="str">
        <f>IF(Dealps[[#This Row],[TRANSACTION_STATUS]]&lt;&gt;"V","Ngoai BS",IF(Dealps[[#This Row],[POSTED_DT]]&gt;=Dealps[[#This Row],[VALUE_DATE]],"On BS","Off BS"))</f>
        <v>On BS</v>
      </c>
      <c r="X769" s="25">
        <f>SUMIFS(U:U,C:C,Dealps[[#This Row],[PAPER_CODE]])</f>
        <v>0</v>
      </c>
      <c r="Y769" s="25">
        <f>_xlfn.XLOOKUP(Dealps[[#This Row],[DEAL_ID]],Ref!N:N,Ref!Q:Q,0,0)</f>
        <v>0</v>
      </c>
      <c r="Z769" s="25" t="str">
        <f>IF(Dealps[[#This Row],[CPTY_CODE]]=Dealps[[#This Row],[CPTY_CODE_ISSUER]],"Yes","No")</f>
        <v>No</v>
      </c>
      <c r="AA769" s="25"/>
      <c r="AC769" s="14"/>
      <c r="AG769" s="96"/>
      <c r="AH769" s="14"/>
      <c r="AI769"/>
      <c r="AN769" s="14"/>
      <c r="AV769" s="36"/>
      <c r="AW769" s="14"/>
      <c r="AX769" s="234"/>
      <c r="AY769" s="96"/>
      <c r="AZ769" s="14"/>
      <c r="BA769"/>
      <c r="BE769" s="14"/>
      <c r="BF769" s="25"/>
      <c r="BL769" s="15"/>
      <c r="BN769"/>
      <c r="BR769" s="14"/>
      <c r="BV769"/>
    </row>
    <row r="770" spans="1:74" x14ac:dyDescent="0.3">
      <c r="A770" s="93">
        <v>46262</v>
      </c>
      <c r="B770">
        <v>4965</v>
      </c>
      <c r="C770" s="56" t="s">
        <v>1584</v>
      </c>
      <c r="D770" t="s">
        <v>316</v>
      </c>
      <c r="E770" t="s">
        <v>328</v>
      </c>
      <c r="F770" t="s">
        <v>364</v>
      </c>
      <c r="G770" t="s">
        <v>310</v>
      </c>
      <c r="H770" t="s">
        <v>300</v>
      </c>
      <c r="I770" s="93">
        <v>46255</v>
      </c>
      <c r="J770" s="93">
        <v>46255</v>
      </c>
      <c r="K770" s="93">
        <v>46260</v>
      </c>
      <c r="L770" s="93">
        <v>46514</v>
      </c>
      <c r="M770" s="14">
        <v>1</v>
      </c>
      <c r="N770" s="14">
        <v>1000000000000</v>
      </c>
      <c r="O770" s="56">
        <v>100.00151702300001</v>
      </c>
      <c r="P770" s="56">
        <v>0</v>
      </c>
      <c r="Q770" s="14">
        <v>1024727499000</v>
      </c>
      <c r="R770">
        <v>8</v>
      </c>
      <c r="S770" t="s">
        <v>1184</v>
      </c>
      <c r="T770" s="57">
        <f>IF(Dealps[[#This Row],[MATURITY_DATE]]-Dealps[[#This Row],[POSTED_DT]]&lt;0,0,IF(Dealps[[#This Row],[VALUE_DATE]]-Dealps[[#This Row],[POSTED_DT]]&gt;0,Dealps[[#This Row],[MATURITY_DATE]]-Dealps[[#This Row],[VALUE_DATE]],Dealps[[#This Row],[MATURITY_DATE]]-Dealps[[#This Row],[POSTED_DT]]))</f>
        <v>252</v>
      </c>
      <c r="U770" s="25">
        <f>IF(Dealps[[#This Row],[TENOR]]=0,0,IF(Dealps[[#This Row],[DEAL_TYPE]]="B",Dealps[[#This Row],[FACE_AMOUNT]],-Dealps[[#This Row],[FACE_AMOUNT]]))</f>
        <v>1000000000000</v>
      </c>
      <c r="V770" s="25">
        <f>_xlfn.XLOOKUP(Dealps[[#This Row],[PAPER_CODE]],FNRP!D:D,FNRP!H:H,0,0)/100*Dealps[[#This Row],[AMOUNT]]</f>
        <v>0</v>
      </c>
      <c r="W770" s="57" t="str">
        <f>IF(Dealps[[#This Row],[TRANSACTION_STATUS]]&lt;&gt;"V","Ngoai BS",IF(Dealps[[#This Row],[POSTED_DT]]&gt;=Dealps[[#This Row],[VALUE_DATE]],"On BS","Off BS"))</f>
        <v>On BS</v>
      </c>
      <c r="X770" s="25">
        <f>SUMIFS(U:U,C:C,Dealps[[#This Row],[PAPER_CODE]])</f>
        <v>0</v>
      </c>
      <c r="Y770" s="25">
        <f>_xlfn.XLOOKUP(Dealps[[#This Row],[DEAL_ID]],Ref!N:N,Ref!Q:Q,0,0)</f>
        <v>0</v>
      </c>
      <c r="Z770" s="25" t="str">
        <f>IF(Dealps[[#This Row],[CPTY_CODE]]=Dealps[[#This Row],[CPTY_CODE_ISSUER]],"Yes","No")</f>
        <v>No</v>
      </c>
      <c r="AA770" s="25"/>
      <c r="AC770" s="14"/>
      <c r="AG770" s="96"/>
      <c r="AH770" s="14"/>
      <c r="AI770"/>
      <c r="AN770" s="14"/>
      <c r="AV770" s="36"/>
      <c r="AW770" s="14"/>
      <c r="AX770" s="234"/>
      <c r="AY770" s="96"/>
      <c r="AZ770" s="14"/>
      <c r="BA770"/>
      <c r="BE770" s="14"/>
      <c r="BF770" s="25"/>
      <c r="BL770" s="15"/>
      <c r="BN770"/>
      <c r="BR770" s="14"/>
      <c r="BV770"/>
    </row>
    <row r="771" spans="1:74" x14ac:dyDescent="0.3">
      <c r="A771" s="93">
        <v>46262</v>
      </c>
      <c r="B771">
        <v>50562</v>
      </c>
      <c r="C771" s="56" t="s">
        <v>1582</v>
      </c>
      <c r="D771" t="s">
        <v>343</v>
      </c>
      <c r="E771" t="s">
        <v>343</v>
      </c>
      <c r="F771" t="s">
        <v>35</v>
      </c>
      <c r="G771" t="s">
        <v>310</v>
      </c>
      <c r="H771" t="s">
        <v>300</v>
      </c>
      <c r="I771" s="93">
        <v>46255</v>
      </c>
      <c r="J771" s="93">
        <v>46258</v>
      </c>
      <c r="K771" s="93">
        <v>46258</v>
      </c>
      <c r="L771" s="93">
        <v>46989</v>
      </c>
      <c r="M771" s="14">
        <v>200</v>
      </c>
      <c r="N771" s="14">
        <v>200000000000</v>
      </c>
      <c r="O771" s="56">
        <v>100</v>
      </c>
      <c r="P771" s="56">
        <v>0</v>
      </c>
      <c r="Q771" s="14">
        <v>200000000000</v>
      </c>
      <c r="R771">
        <v>9.7866132189999995</v>
      </c>
      <c r="S771" t="s">
        <v>1184</v>
      </c>
      <c r="T771" s="57">
        <f>IF(Dealps[[#This Row],[MATURITY_DATE]]-Dealps[[#This Row],[POSTED_DT]]&lt;0,0,IF(Dealps[[#This Row],[VALUE_DATE]]-Dealps[[#This Row],[POSTED_DT]]&gt;0,Dealps[[#This Row],[MATURITY_DATE]]-Dealps[[#This Row],[VALUE_DATE]],Dealps[[#This Row],[MATURITY_DATE]]-Dealps[[#This Row],[POSTED_DT]]))</f>
        <v>727</v>
      </c>
      <c r="U771" s="25">
        <f>IF(Dealps[[#This Row],[TENOR]]=0,0,IF(Dealps[[#This Row],[DEAL_TYPE]]="B",Dealps[[#This Row],[FACE_AMOUNT]],-Dealps[[#This Row],[FACE_AMOUNT]]))</f>
        <v>200000000000</v>
      </c>
      <c r="V771" s="25">
        <f>_xlfn.XLOOKUP(Dealps[[#This Row],[PAPER_CODE]],FNRP!D:D,FNRP!H:H,0,0)/100*Dealps[[#This Row],[AMOUNT]]</f>
        <v>220863170148</v>
      </c>
      <c r="W771" s="57" t="str">
        <f>IF(Dealps[[#This Row],[TRANSACTION_STATUS]]&lt;&gt;"V","Ngoai BS",IF(Dealps[[#This Row],[POSTED_DT]]&gt;=Dealps[[#This Row],[VALUE_DATE]],"On BS","Off BS"))</f>
        <v>On BS</v>
      </c>
      <c r="X771" s="25">
        <f>SUMIFS(U:U,C:C,Dealps[[#This Row],[PAPER_CODE]])</f>
        <v>200000000000</v>
      </c>
      <c r="Y771" s="25">
        <f>_xlfn.XLOOKUP(Dealps[[#This Row],[DEAL_ID]],Ref!N:N,Ref!Q:Q,0,0)</f>
        <v>0</v>
      </c>
      <c r="Z771" s="25" t="str">
        <f>IF(Dealps[[#This Row],[CPTY_CODE]]=Dealps[[#This Row],[CPTY_CODE_ISSUER]],"Yes","No")</f>
        <v>Yes</v>
      </c>
      <c r="AA771" s="25"/>
      <c r="AC771" s="14"/>
      <c r="AG771" s="96"/>
      <c r="AH771" s="14"/>
      <c r="AI771"/>
      <c r="AN771" s="14"/>
      <c r="AV771" s="36"/>
      <c r="AW771" s="14"/>
      <c r="AX771" s="234"/>
      <c r="AY771" s="96"/>
      <c r="AZ771" s="14"/>
      <c r="BA771"/>
      <c r="BE771" s="14"/>
      <c r="BF771" s="25"/>
      <c r="BL771" s="15"/>
      <c r="BN771"/>
      <c r="BR771" s="14"/>
      <c r="BV771"/>
    </row>
    <row r="772" spans="1:74" x14ac:dyDescent="0.3">
      <c r="A772" s="93">
        <v>46262</v>
      </c>
      <c r="B772">
        <v>4967</v>
      </c>
      <c r="C772" s="56" t="s">
        <v>1204</v>
      </c>
      <c r="D772" t="s">
        <v>315</v>
      </c>
      <c r="E772" t="s">
        <v>1499</v>
      </c>
      <c r="F772" t="s">
        <v>364</v>
      </c>
      <c r="G772" t="s">
        <v>310</v>
      </c>
      <c r="H772" t="s">
        <v>311</v>
      </c>
      <c r="I772" s="93">
        <v>46258</v>
      </c>
      <c r="J772" s="93">
        <v>46258</v>
      </c>
      <c r="K772" s="93">
        <v>46259</v>
      </c>
      <c r="L772" s="93">
        <v>46422</v>
      </c>
      <c r="M772" s="14">
        <v>1</v>
      </c>
      <c r="N772" s="14">
        <v>100000000000</v>
      </c>
      <c r="O772" s="56">
        <v>100.708000979</v>
      </c>
      <c r="P772" s="56">
        <v>0</v>
      </c>
      <c r="Q772" s="14">
        <v>104714795500</v>
      </c>
      <c r="R772">
        <v>5.4</v>
      </c>
      <c r="S772" t="s">
        <v>1184</v>
      </c>
      <c r="T772" s="57">
        <f>IF(Dealps[[#This Row],[MATURITY_DATE]]-Dealps[[#This Row],[POSTED_DT]]&lt;0,0,IF(Dealps[[#This Row],[VALUE_DATE]]-Dealps[[#This Row],[POSTED_DT]]&gt;0,Dealps[[#This Row],[MATURITY_DATE]]-Dealps[[#This Row],[VALUE_DATE]],Dealps[[#This Row],[MATURITY_DATE]]-Dealps[[#This Row],[POSTED_DT]]))</f>
        <v>160</v>
      </c>
      <c r="U772" s="25">
        <f>IF(Dealps[[#This Row],[TENOR]]=0,0,IF(Dealps[[#This Row],[DEAL_TYPE]]="B",Dealps[[#This Row],[FACE_AMOUNT]],-Dealps[[#This Row],[FACE_AMOUNT]]))</f>
        <v>-100000000000</v>
      </c>
      <c r="V772" s="25">
        <f>_xlfn.XLOOKUP(Dealps[[#This Row],[PAPER_CODE]],FNRP!D:D,FNRP!H:H,0,0)/100*Dealps[[#This Row],[AMOUNT]]</f>
        <v>0</v>
      </c>
      <c r="W772" s="57" t="str">
        <f>IF(Dealps[[#This Row],[TRANSACTION_STATUS]]&lt;&gt;"V","Ngoai BS",IF(Dealps[[#This Row],[POSTED_DT]]&gt;=Dealps[[#This Row],[VALUE_DATE]],"On BS","Off BS"))</f>
        <v>On BS</v>
      </c>
      <c r="X772" s="25">
        <f>SUMIFS(U:U,C:C,Dealps[[#This Row],[PAPER_CODE]])</f>
        <v>1000000000000</v>
      </c>
      <c r="Y772" s="25">
        <f>_xlfn.XLOOKUP(Dealps[[#This Row],[DEAL_ID]],Ref!N:N,Ref!Q:Q,0,0)</f>
        <v>0</v>
      </c>
      <c r="Z772" s="25" t="str">
        <f>IF(Dealps[[#This Row],[CPTY_CODE]]=Dealps[[#This Row],[CPTY_CODE_ISSUER]],"Yes","No")</f>
        <v>No</v>
      </c>
      <c r="AA772" s="25"/>
      <c r="AC772" s="14"/>
      <c r="AG772" s="96"/>
      <c r="AH772" s="14"/>
      <c r="AI772"/>
      <c r="AN772" s="14"/>
      <c r="AV772" s="36"/>
      <c r="AW772" s="14"/>
      <c r="AX772" s="234"/>
      <c r="AY772" s="96"/>
      <c r="AZ772" s="14"/>
      <c r="BA772"/>
      <c r="BE772" s="14"/>
      <c r="BF772" s="25"/>
      <c r="BL772" s="15"/>
      <c r="BN772"/>
      <c r="BR772" s="14"/>
      <c r="BV772"/>
    </row>
    <row r="773" spans="1:74" x14ac:dyDescent="0.3">
      <c r="A773" s="93">
        <v>46262</v>
      </c>
      <c r="B773">
        <v>4968</v>
      </c>
      <c r="C773" s="56" t="s">
        <v>1204</v>
      </c>
      <c r="D773" t="s">
        <v>315</v>
      </c>
      <c r="E773" t="s">
        <v>1499</v>
      </c>
      <c r="F773" t="s">
        <v>364</v>
      </c>
      <c r="G773" t="s">
        <v>310</v>
      </c>
      <c r="H773" t="s">
        <v>300</v>
      </c>
      <c r="I773" s="93">
        <v>46258</v>
      </c>
      <c r="J773" s="93">
        <v>46269</v>
      </c>
      <c r="K773" s="93">
        <v>46269</v>
      </c>
      <c r="L773" s="93">
        <v>46422</v>
      </c>
      <c r="M773" s="14">
        <v>1</v>
      </c>
      <c r="N773" s="14">
        <v>100000000000</v>
      </c>
      <c r="O773" s="56">
        <v>100.698992115</v>
      </c>
      <c r="P773" s="56">
        <v>0</v>
      </c>
      <c r="Q773" s="14">
        <v>104904142800</v>
      </c>
      <c r="R773">
        <v>5.3119639999999997</v>
      </c>
      <c r="S773" t="s">
        <v>651</v>
      </c>
      <c r="T773" s="57">
        <f>IF(Dealps[[#This Row],[MATURITY_DATE]]-Dealps[[#This Row],[POSTED_DT]]&lt;0,0,IF(Dealps[[#This Row],[VALUE_DATE]]-Dealps[[#This Row],[POSTED_DT]]&gt;0,Dealps[[#This Row],[MATURITY_DATE]]-Dealps[[#This Row],[VALUE_DATE]],Dealps[[#This Row],[MATURITY_DATE]]-Dealps[[#This Row],[POSTED_DT]]))</f>
        <v>153</v>
      </c>
      <c r="U773" s="25">
        <f>IF(Dealps[[#This Row],[TENOR]]=0,0,IF(Dealps[[#This Row],[DEAL_TYPE]]="B",Dealps[[#This Row],[FACE_AMOUNT]],-Dealps[[#This Row],[FACE_AMOUNT]]))</f>
        <v>100000000000</v>
      </c>
      <c r="V773" s="25">
        <f>_xlfn.XLOOKUP(Dealps[[#This Row],[PAPER_CODE]],FNRP!D:D,FNRP!H:H,0,0)/100*Dealps[[#This Row],[AMOUNT]]</f>
        <v>0</v>
      </c>
      <c r="W773" s="57" t="str">
        <f>IF(Dealps[[#This Row],[TRANSACTION_STATUS]]&lt;&gt;"V","Ngoai BS",IF(Dealps[[#This Row],[POSTED_DT]]&gt;=Dealps[[#This Row],[VALUE_DATE]],"On BS","Off BS"))</f>
        <v>Ngoai BS</v>
      </c>
      <c r="X773" s="25">
        <f>SUMIFS(U:U,C:C,Dealps[[#This Row],[PAPER_CODE]])</f>
        <v>1000000000000</v>
      </c>
      <c r="Y773" s="25">
        <f>_xlfn.XLOOKUP(Dealps[[#This Row],[DEAL_ID]],Ref!N:N,Ref!Q:Q,0,0)</f>
        <v>0</v>
      </c>
      <c r="Z773" s="25" t="str">
        <f>IF(Dealps[[#This Row],[CPTY_CODE]]=Dealps[[#This Row],[CPTY_CODE_ISSUER]],"Yes","No")</f>
        <v>No</v>
      </c>
      <c r="AA773" s="25"/>
      <c r="AC773" s="14"/>
      <c r="AG773" s="96"/>
      <c r="AH773" s="14"/>
      <c r="AI773"/>
      <c r="AN773" s="14"/>
      <c r="AV773" s="36"/>
      <c r="AW773" s="14"/>
      <c r="AX773" s="234"/>
      <c r="AY773" s="96"/>
      <c r="AZ773" s="14"/>
      <c r="BA773"/>
      <c r="BE773" s="14"/>
      <c r="BF773" s="25"/>
      <c r="BL773" s="15"/>
      <c r="BN773"/>
      <c r="BR773" s="14"/>
      <c r="BV773"/>
    </row>
    <row r="774" spans="1:74" x14ac:dyDescent="0.3">
      <c r="A774" s="93">
        <v>46262</v>
      </c>
      <c r="B774">
        <v>4969</v>
      </c>
      <c r="C774" s="56" t="s">
        <v>1256</v>
      </c>
      <c r="D774" t="s">
        <v>316</v>
      </c>
      <c r="E774" t="s">
        <v>1499</v>
      </c>
      <c r="F774" t="s">
        <v>364</v>
      </c>
      <c r="G774" t="s">
        <v>310</v>
      </c>
      <c r="H774" t="s">
        <v>300</v>
      </c>
      <c r="I774" s="93">
        <v>46259</v>
      </c>
      <c r="J774" s="93">
        <v>46259</v>
      </c>
      <c r="K774" s="93">
        <v>46259</v>
      </c>
      <c r="L774" s="93">
        <v>46486</v>
      </c>
      <c r="M774" s="14">
        <v>1</v>
      </c>
      <c r="N774" s="14">
        <v>100000000000</v>
      </c>
      <c r="O774" s="56">
        <v>100.79000123199999</v>
      </c>
      <c r="P774" s="56">
        <v>0</v>
      </c>
      <c r="Q774" s="14">
        <v>104079316300</v>
      </c>
      <c r="R774">
        <v>7.1385300000000003</v>
      </c>
      <c r="S774" t="s">
        <v>1184</v>
      </c>
      <c r="T774" s="57">
        <f>IF(Dealps[[#This Row],[MATURITY_DATE]]-Dealps[[#This Row],[POSTED_DT]]&lt;0,0,IF(Dealps[[#This Row],[VALUE_DATE]]-Dealps[[#This Row],[POSTED_DT]]&gt;0,Dealps[[#This Row],[MATURITY_DATE]]-Dealps[[#This Row],[VALUE_DATE]],Dealps[[#This Row],[MATURITY_DATE]]-Dealps[[#This Row],[POSTED_DT]]))</f>
        <v>224</v>
      </c>
      <c r="U774" s="25">
        <f>IF(Dealps[[#This Row],[TENOR]]=0,0,IF(Dealps[[#This Row],[DEAL_TYPE]]="B",Dealps[[#This Row],[FACE_AMOUNT]],-Dealps[[#This Row],[FACE_AMOUNT]]))</f>
        <v>100000000000</v>
      </c>
      <c r="V774" s="25">
        <f>_xlfn.XLOOKUP(Dealps[[#This Row],[PAPER_CODE]],FNRP!D:D,FNRP!H:H,0,0)/100*Dealps[[#This Row],[AMOUNT]]</f>
        <v>0</v>
      </c>
      <c r="W774" s="57" t="str">
        <f>IF(Dealps[[#This Row],[TRANSACTION_STATUS]]&lt;&gt;"V","Ngoai BS",IF(Dealps[[#This Row],[POSTED_DT]]&gt;=Dealps[[#This Row],[VALUE_DATE]],"On BS","Off BS"))</f>
        <v>On BS</v>
      </c>
      <c r="X774" s="25">
        <f>SUMIFS(U:U,C:C,Dealps[[#This Row],[PAPER_CODE]])</f>
        <v>200000000000</v>
      </c>
      <c r="Y774" s="25">
        <f>_xlfn.XLOOKUP(Dealps[[#This Row],[DEAL_ID]],Ref!N:N,Ref!Q:Q,0,0)</f>
        <v>0</v>
      </c>
      <c r="Z774" s="25" t="str">
        <f>IF(Dealps[[#This Row],[CPTY_CODE]]=Dealps[[#This Row],[CPTY_CODE_ISSUER]],"Yes","No")</f>
        <v>No</v>
      </c>
      <c r="AA774" s="25"/>
      <c r="AC774" s="14"/>
      <c r="AG774" s="96"/>
      <c r="AH774" s="14"/>
      <c r="AI774"/>
      <c r="AN774" s="14"/>
      <c r="AV774" s="36"/>
      <c r="AW774" s="14"/>
      <c r="AX774" s="234"/>
      <c r="AY774" s="96"/>
      <c r="AZ774" s="14"/>
      <c r="BA774"/>
      <c r="BE774" s="14"/>
      <c r="BF774" s="25"/>
      <c r="BL774" s="15"/>
      <c r="BN774"/>
      <c r="BR774" s="14"/>
      <c r="BV774"/>
    </row>
    <row r="775" spans="1:74" x14ac:dyDescent="0.3">
      <c r="A775" s="93">
        <v>46262</v>
      </c>
      <c r="B775">
        <v>4970</v>
      </c>
      <c r="C775" s="56" t="s">
        <v>1292</v>
      </c>
      <c r="D775" t="s">
        <v>334</v>
      </c>
      <c r="E775" t="s">
        <v>322</v>
      </c>
      <c r="F775" t="s">
        <v>364</v>
      </c>
      <c r="G775" t="s">
        <v>310</v>
      </c>
      <c r="H775" t="s">
        <v>300</v>
      </c>
      <c r="I775" s="93">
        <v>46259</v>
      </c>
      <c r="J775" s="93">
        <v>46245</v>
      </c>
      <c r="K775" s="93">
        <v>46259</v>
      </c>
      <c r="L775" s="93">
        <v>46527</v>
      </c>
      <c r="M775" s="14">
        <v>1</v>
      </c>
      <c r="N775" s="14">
        <v>400000000000</v>
      </c>
      <c r="O775" s="56">
        <v>100.161597962</v>
      </c>
      <c r="P775" s="56">
        <v>0</v>
      </c>
      <c r="Q775" s="14">
        <v>409588857600</v>
      </c>
      <c r="R775">
        <v>8.0860730000000007</v>
      </c>
      <c r="S775" t="s">
        <v>1184</v>
      </c>
      <c r="T775" s="57">
        <f>IF(Dealps[[#This Row],[MATURITY_DATE]]-Dealps[[#This Row],[POSTED_DT]]&lt;0,0,IF(Dealps[[#This Row],[VALUE_DATE]]-Dealps[[#This Row],[POSTED_DT]]&gt;0,Dealps[[#This Row],[MATURITY_DATE]]-Dealps[[#This Row],[VALUE_DATE]],Dealps[[#This Row],[MATURITY_DATE]]-Dealps[[#This Row],[POSTED_DT]]))</f>
        <v>265</v>
      </c>
      <c r="U775" s="25">
        <f>IF(Dealps[[#This Row],[TENOR]]=0,0,IF(Dealps[[#This Row],[DEAL_TYPE]]="B",Dealps[[#This Row],[FACE_AMOUNT]],-Dealps[[#This Row],[FACE_AMOUNT]]))</f>
        <v>400000000000</v>
      </c>
      <c r="V775" s="25">
        <f>_xlfn.XLOOKUP(Dealps[[#This Row],[PAPER_CODE]],FNRP!D:D,FNRP!H:H,0,0)/100*Dealps[[#This Row],[AMOUNT]]</f>
        <v>0</v>
      </c>
      <c r="W775" s="57" t="str">
        <f>IF(Dealps[[#This Row],[TRANSACTION_STATUS]]&lt;&gt;"V","Ngoai BS",IF(Dealps[[#This Row],[POSTED_DT]]&gt;=Dealps[[#This Row],[VALUE_DATE]],"On BS","Off BS"))</f>
        <v>On BS</v>
      </c>
      <c r="X775" s="25">
        <f>SUMIFS(U:U,C:C,Dealps[[#This Row],[PAPER_CODE]])</f>
        <v>2000000000000</v>
      </c>
      <c r="Y775" s="25">
        <f>_xlfn.XLOOKUP(Dealps[[#This Row],[DEAL_ID]],Ref!N:N,Ref!Q:Q,0,0)</f>
        <v>0</v>
      </c>
      <c r="Z775" s="25" t="str">
        <f>IF(Dealps[[#This Row],[CPTY_CODE]]=Dealps[[#This Row],[CPTY_CODE_ISSUER]],"Yes","No")</f>
        <v>No</v>
      </c>
      <c r="AA775" s="25"/>
      <c r="AC775" s="14"/>
      <c r="AG775" s="96"/>
      <c r="AH775" s="14"/>
      <c r="AI775"/>
      <c r="AN775" s="14"/>
      <c r="AV775" s="36"/>
      <c r="AW775" s="14"/>
      <c r="AX775" s="234"/>
      <c r="AY775" s="96"/>
      <c r="AZ775" s="14"/>
      <c r="BA775"/>
      <c r="BE775" s="14"/>
      <c r="BF775" s="25"/>
      <c r="BL775" s="15"/>
      <c r="BN775"/>
      <c r="BR775" s="14"/>
      <c r="BV775"/>
    </row>
    <row r="776" spans="1:74" x14ac:dyDescent="0.3">
      <c r="A776" s="93">
        <v>46262</v>
      </c>
      <c r="B776">
        <v>4971</v>
      </c>
      <c r="C776" s="56" t="s">
        <v>1602</v>
      </c>
      <c r="D776" t="s">
        <v>405</v>
      </c>
      <c r="E776" t="s">
        <v>405</v>
      </c>
      <c r="F776" t="s">
        <v>364</v>
      </c>
      <c r="G776" t="s">
        <v>310</v>
      </c>
      <c r="H776" t="s">
        <v>300</v>
      </c>
      <c r="I776" s="93">
        <v>46259</v>
      </c>
      <c r="J776" s="93">
        <v>46259</v>
      </c>
      <c r="K776" s="93">
        <v>46259</v>
      </c>
      <c r="L776" s="93">
        <v>46618</v>
      </c>
      <c r="M776" s="14">
        <v>1</v>
      </c>
      <c r="N776" s="14">
        <v>600000000000</v>
      </c>
      <c r="O776" s="56">
        <v>100</v>
      </c>
      <c r="P776" s="56">
        <v>0</v>
      </c>
      <c r="Q776" s="14">
        <v>600000000000</v>
      </c>
      <c r="R776">
        <v>9.1999999999999993</v>
      </c>
      <c r="S776" t="s">
        <v>1184</v>
      </c>
      <c r="T776" s="57">
        <f>IF(Dealps[[#This Row],[MATURITY_DATE]]-Dealps[[#This Row],[POSTED_DT]]&lt;0,0,IF(Dealps[[#This Row],[VALUE_DATE]]-Dealps[[#This Row],[POSTED_DT]]&gt;0,Dealps[[#This Row],[MATURITY_DATE]]-Dealps[[#This Row],[VALUE_DATE]],Dealps[[#This Row],[MATURITY_DATE]]-Dealps[[#This Row],[POSTED_DT]]))</f>
        <v>356</v>
      </c>
      <c r="U776" s="25">
        <f>IF(Dealps[[#This Row],[TENOR]]=0,0,IF(Dealps[[#This Row],[DEAL_TYPE]]="B",Dealps[[#This Row],[FACE_AMOUNT]],-Dealps[[#This Row],[FACE_AMOUNT]]))</f>
        <v>600000000000</v>
      </c>
      <c r="V776" s="25">
        <f>_xlfn.XLOOKUP(Dealps[[#This Row],[PAPER_CODE]],FNRP!D:D,FNRP!H:H,0,0)/100*Dealps[[#This Row],[AMOUNT]]</f>
        <v>0</v>
      </c>
      <c r="W776" s="57" t="str">
        <f>IF(Dealps[[#This Row],[TRANSACTION_STATUS]]&lt;&gt;"V","Ngoai BS",IF(Dealps[[#This Row],[POSTED_DT]]&gt;=Dealps[[#This Row],[VALUE_DATE]],"On BS","Off BS"))</f>
        <v>On BS</v>
      </c>
      <c r="X776" s="25">
        <f>SUMIFS(U:U,C:C,Dealps[[#This Row],[PAPER_CODE]])</f>
        <v>600000000000</v>
      </c>
      <c r="Y776" s="25">
        <f>_xlfn.XLOOKUP(Dealps[[#This Row],[DEAL_ID]],Ref!N:N,Ref!Q:Q,0,0)</f>
        <v>0</v>
      </c>
      <c r="Z776" s="25" t="str">
        <f>IF(Dealps[[#This Row],[CPTY_CODE]]=Dealps[[#This Row],[CPTY_CODE_ISSUER]],"Yes","No")</f>
        <v>Yes</v>
      </c>
      <c r="AA776" s="25"/>
      <c r="AC776" s="14"/>
      <c r="AG776" s="96"/>
      <c r="AH776" s="14"/>
      <c r="AI776"/>
      <c r="AN776" s="14"/>
      <c r="AV776" s="36"/>
      <c r="AW776" s="14"/>
      <c r="AX776" s="234"/>
      <c r="AY776" s="96"/>
      <c r="AZ776" s="14"/>
      <c r="BA776"/>
      <c r="BE776" s="14"/>
      <c r="BF776" s="25"/>
      <c r="BL776" s="15"/>
      <c r="BN776"/>
      <c r="BR776" s="14"/>
      <c r="BV776"/>
    </row>
    <row r="777" spans="1:74" x14ac:dyDescent="0.3">
      <c r="A777" s="93">
        <v>46262</v>
      </c>
      <c r="B777">
        <v>4972</v>
      </c>
      <c r="C777" s="56" t="s">
        <v>1204</v>
      </c>
      <c r="D777" t="s">
        <v>315</v>
      </c>
      <c r="E777" t="s">
        <v>384</v>
      </c>
      <c r="F777" t="s">
        <v>364</v>
      </c>
      <c r="G777" t="s">
        <v>310</v>
      </c>
      <c r="H777" t="s">
        <v>300</v>
      </c>
      <c r="I777" s="93">
        <v>46259</v>
      </c>
      <c r="J777" s="93">
        <v>46259</v>
      </c>
      <c r="K777" s="93">
        <v>46259</v>
      </c>
      <c r="L777" s="93">
        <v>46422</v>
      </c>
      <c r="M777" s="14">
        <v>1</v>
      </c>
      <c r="N777" s="14">
        <v>460000000000</v>
      </c>
      <c r="O777" s="56">
        <v>100.637534679</v>
      </c>
      <c r="P777" s="56">
        <v>0</v>
      </c>
      <c r="Q777" s="14">
        <v>481363914320</v>
      </c>
      <c r="R777">
        <v>5.5544260000000003</v>
      </c>
      <c r="S777" t="s">
        <v>1184</v>
      </c>
      <c r="T777" s="57">
        <f>IF(Dealps[[#This Row],[MATURITY_DATE]]-Dealps[[#This Row],[POSTED_DT]]&lt;0,0,IF(Dealps[[#This Row],[VALUE_DATE]]-Dealps[[#This Row],[POSTED_DT]]&gt;0,Dealps[[#This Row],[MATURITY_DATE]]-Dealps[[#This Row],[VALUE_DATE]],Dealps[[#This Row],[MATURITY_DATE]]-Dealps[[#This Row],[POSTED_DT]]))</f>
        <v>160</v>
      </c>
      <c r="U777" s="25">
        <f>IF(Dealps[[#This Row],[TENOR]]=0,0,IF(Dealps[[#This Row],[DEAL_TYPE]]="B",Dealps[[#This Row],[FACE_AMOUNT]],-Dealps[[#This Row],[FACE_AMOUNT]]))</f>
        <v>460000000000</v>
      </c>
      <c r="V777" s="25">
        <f>_xlfn.XLOOKUP(Dealps[[#This Row],[PAPER_CODE]],FNRP!D:D,FNRP!H:H,0,0)/100*Dealps[[#This Row],[AMOUNT]]</f>
        <v>0</v>
      </c>
      <c r="W777" s="57" t="str">
        <f>IF(Dealps[[#This Row],[TRANSACTION_STATUS]]&lt;&gt;"V","Ngoai BS",IF(Dealps[[#This Row],[POSTED_DT]]&gt;=Dealps[[#This Row],[VALUE_DATE]],"On BS","Off BS"))</f>
        <v>On BS</v>
      </c>
      <c r="X777" s="25">
        <f>SUMIFS(U:U,C:C,Dealps[[#This Row],[PAPER_CODE]])</f>
        <v>1000000000000</v>
      </c>
      <c r="Y777" s="25">
        <f>_xlfn.XLOOKUP(Dealps[[#This Row],[DEAL_ID]],Ref!N:N,Ref!Q:Q,0,0)</f>
        <v>0</v>
      </c>
      <c r="Z777" s="25" t="str">
        <f>IF(Dealps[[#This Row],[CPTY_CODE]]=Dealps[[#This Row],[CPTY_CODE_ISSUER]],"Yes","No")</f>
        <v>No</v>
      </c>
      <c r="AA777" s="25"/>
      <c r="AC777" s="14"/>
      <c r="AG777" s="96"/>
      <c r="AH777" s="14"/>
      <c r="AI777"/>
      <c r="AN777" s="14"/>
      <c r="AV777" s="36"/>
      <c r="AW777" s="14"/>
      <c r="AX777" s="234"/>
      <c r="AY777" s="96"/>
      <c r="AZ777" s="14"/>
      <c r="BA777"/>
      <c r="BE777" s="14"/>
      <c r="BF777" s="25"/>
      <c r="BL777" s="15"/>
      <c r="BN777"/>
      <c r="BR777" s="14"/>
      <c r="BV777"/>
    </row>
    <row r="778" spans="1:74" x14ac:dyDescent="0.3">
      <c r="A778" s="93">
        <v>46262</v>
      </c>
      <c r="B778">
        <v>4973</v>
      </c>
      <c r="C778" s="56" t="s">
        <v>1258</v>
      </c>
      <c r="D778" t="s">
        <v>321</v>
      </c>
      <c r="E778" t="s">
        <v>954</v>
      </c>
      <c r="F778" t="s">
        <v>364</v>
      </c>
      <c r="G778" t="s">
        <v>310</v>
      </c>
      <c r="H778" t="s">
        <v>311</v>
      </c>
      <c r="I778" s="93">
        <v>46259</v>
      </c>
      <c r="J778" s="93">
        <v>46259</v>
      </c>
      <c r="K778" s="93">
        <v>46261</v>
      </c>
      <c r="L778" s="93">
        <v>46485</v>
      </c>
      <c r="M778" s="14">
        <v>1</v>
      </c>
      <c r="N778" s="14">
        <v>600000000000</v>
      </c>
      <c r="O778" s="56">
        <v>101.002118985</v>
      </c>
      <c r="P778" s="56">
        <v>0</v>
      </c>
      <c r="Q778" s="14">
        <v>624653809800</v>
      </c>
      <c r="R778">
        <v>6.5</v>
      </c>
      <c r="S778" t="s">
        <v>1184</v>
      </c>
      <c r="T778" s="57">
        <f>IF(Dealps[[#This Row],[MATURITY_DATE]]-Dealps[[#This Row],[POSTED_DT]]&lt;0,0,IF(Dealps[[#This Row],[VALUE_DATE]]-Dealps[[#This Row],[POSTED_DT]]&gt;0,Dealps[[#This Row],[MATURITY_DATE]]-Dealps[[#This Row],[VALUE_DATE]],Dealps[[#This Row],[MATURITY_DATE]]-Dealps[[#This Row],[POSTED_DT]]))</f>
        <v>223</v>
      </c>
      <c r="U778" s="25">
        <f>IF(Dealps[[#This Row],[TENOR]]=0,0,IF(Dealps[[#This Row],[DEAL_TYPE]]="B",Dealps[[#This Row],[FACE_AMOUNT]],-Dealps[[#This Row],[FACE_AMOUNT]]))</f>
        <v>-600000000000</v>
      </c>
      <c r="V778" s="25">
        <f>_xlfn.XLOOKUP(Dealps[[#This Row],[PAPER_CODE]],FNRP!D:D,FNRP!H:H,0,0)/100*Dealps[[#This Row],[AMOUNT]]</f>
        <v>0</v>
      </c>
      <c r="W778" s="57" t="str">
        <f>IF(Dealps[[#This Row],[TRANSACTION_STATUS]]&lt;&gt;"V","Ngoai BS",IF(Dealps[[#This Row],[POSTED_DT]]&gt;=Dealps[[#This Row],[VALUE_DATE]],"On BS","Off BS"))</f>
        <v>On BS</v>
      </c>
      <c r="X778" s="25">
        <f>SUMIFS(U:U,C:C,Dealps[[#This Row],[PAPER_CODE]])</f>
        <v>2000000000000</v>
      </c>
      <c r="Y778" s="25">
        <f>_xlfn.XLOOKUP(Dealps[[#This Row],[DEAL_ID]],Ref!N:N,Ref!Q:Q,0,0)</f>
        <v>0</v>
      </c>
      <c r="Z778" s="25" t="str">
        <f>IF(Dealps[[#This Row],[CPTY_CODE]]=Dealps[[#This Row],[CPTY_CODE_ISSUER]],"Yes","No")</f>
        <v>No</v>
      </c>
      <c r="AA778" s="25"/>
      <c r="AC778" s="14"/>
      <c r="AG778" s="96"/>
      <c r="AH778" s="14"/>
      <c r="AI778"/>
      <c r="AN778" s="14"/>
      <c r="AV778" s="36"/>
      <c r="AW778" s="14"/>
      <c r="AX778" s="234"/>
      <c r="AY778" s="96"/>
      <c r="AZ778" s="14"/>
      <c r="BA778"/>
      <c r="BE778" s="14"/>
      <c r="BF778" s="25"/>
      <c r="BL778" s="15"/>
      <c r="BN778"/>
      <c r="BR778" s="14"/>
      <c r="BV778"/>
    </row>
    <row r="779" spans="1:74" x14ac:dyDescent="0.3">
      <c r="A779" s="93">
        <v>46262</v>
      </c>
      <c r="B779">
        <v>4978</v>
      </c>
      <c r="C779" s="56" t="s">
        <v>1239</v>
      </c>
      <c r="D779" t="s">
        <v>384</v>
      </c>
      <c r="E779" t="s">
        <v>1015</v>
      </c>
      <c r="F779" t="s">
        <v>364</v>
      </c>
      <c r="G779" t="s">
        <v>310</v>
      </c>
      <c r="H779" t="s">
        <v>300</v>
      </c>
      <c r="I779" s="93">
        <v>46260</v>
      </c>
      <c r="J779" s="93">
        <v>46260</v>
      </c>
      <c r="K779" s="93">
        <v>46260</v>
      </c>
      <c r="L779" s="93">
        <v>46493</v>
      </c>
      <c r="M779" s="14">
        <v>1</v>
      </c>
      <c r="N779" s="14">
        <v>68000000000</v>
      </c>
      <c r="O779" s="56">
        <v>100.434220052</v>
      </c>
      <c r="P779" s="56">
        <v>0</v>
      </c>
      <c r="Q779" s="14">
        <v>70997943608</v>
      </c>
      <c r="R779">
        <v>7.8726969999999996</v>
      </c>
      <c r="S779" t="s">
        <v>1184</v>
      </c>
      <c r="T779" s="57">
        <f>IF(Dealps[[#This Row],[MATURITY_DATE]]-Dealps[[#This Row],[POSTED_DT]]&lt;0,0,IF(Dealps[[#This Row],[VALUE_DATE]]-Dealps[[#This Row],[POSTED_DT]]&gt;0,Dealps[[#This Row],[MATURITY_DATE]]-Dealps[[#This Row],[VALUE_DATE]],Dealps[[#This Row],[MATURITY_DATE]]-Dealps[[#This Row],[POSTED_DT]]))</f>
        <v>231</v>
      </c>
      <c r="U779" s="25">
        <f>IF(Dealps[[#This Row],[TENOR]]=0,0,IF(Dealps[[#This Row],[DEAL_TYPE]]="B",Dealps[[#This Row],[FACE_AMOUNT]],-Dealps[[#This Row],[FACE_AMOUNT]]))</f>
        <v>68000000000</v>
      </c>
      <c r="V779" s="25">
        <f>_xlfn.XLOOKUP(Dealps[[#This Row],[PAPER_CODE]],FNRP!D:D,FNRP!H:H,0,0)/100*Dealps[[#This Row],[AMOUNT]]</f>
        <v>0</v>
      </c>
      <c r="W779" s="57" t="str">
        <f>IF(Dealps[[#This Row],[TRANSACTION_STATUS]]&lt;&gt;"V","Ngoai BS",IF(Dealps[[#This Row],[POSTED_DT]]&gt;=Dealps[[#This Row],[VALUE_DATE]],"On BS","Off BS"))</f>
        <v>On BS</v>
      </c>
      <c r="X779" s="25">
        <f>SUMIFS(U:U,C:C,Dealps[[#This Row],[PAPER_CODE]])</f>
        <v>300000000000</v>
      </c>
      <c r="Y779" s="25">
        <f>_xlfn.XLOOKUP(Dealps[[#This Row],[DEAL_ID]],Ref!N:N,Ref!Q:Q,0,0)</f>
        <v>0</v>
      </c>
      <c r="Z779" s="25" t="str">
        <f>IF(Dealps[[#This Row],[CPTY_CODE]]=Dealps[[#This Row],[CPTY_CODE_ISSUER]],"Yes","No")</f>
        <v>No</v>
      </c>
      <c r="AA779" s="25"/>
      <c r="AC779" s="14"/>
      <c r="AG779" s="96"/>
      <c r="AH779" s="14"/>
      <c r="AI779"/>
      <c r="AN779" s="14"/>
      <c r="AV779" s="36"/>
      <c r="AW779" s="14"/>
      <c r="AX779" s="234"/>
      <c r="AY779" s="96"/>
      <c r="AZ779" s="14"/>
      <c r="BA779"/>
      <c r="BE779" s="14"/>
      <c r="BF779" s="25"/>
      <c r="BL779" s="15"/>
      <c r="BN779"/>
      <c r="BR779" s="14"/>
      <c r="BV779" s="79"/>
    </row>
    <row r="780" spans="1:74" x14ac:dyDescent="0.3">
      <c r="A780" s="93">
        <v>46262</v>
      </c>
      <c r="B780">
        <v>4979</v>
      </c>
      <c r="C780" s="56" t="s">
        <v>1071</v>
      </c>
      <c r="D780" t="s">
        <v>328</v>
      </c>
      <c r="E780" t="s">
        <v>1443</v>
      </c>
      <c r="F780" t="s">
        <v>364</v>
      </c>
      <c r="G780" t="s">
        <v>310</v>
      </c>
      <c r="H780" t="s">
        <v>300</v>
      </c>
      <c r="I780" s="93">
        <v>46260</v>
      </c>
      <c r="J780" s="93">
        <v>46248</v>
      </c>
      <c r="K780" s="93">
        <v>46260</v>
      </c>
      <c r="L780" s="93">
        <v>46352</v>
      </c>
      <c r="M780" s="14">
        <v>1</v>
      </c>
      <c r="N780" s="14">
        <v>500000000000</v>
      </c>
      <c r="O780" s="56">
        <v>100.36338893600001</v>
      </c>
      <c r="P780" s="56">
        <v>0</v>
      </c>
      <c r="Q780" s="14">
        <v>526408725500</v>
      </c>
      <c r="R780">
        <v>4.8995139999999999</v>
      </c>
      <c r="S780" t="s">
        <v>1184</v>
      </c>
      <c r="T780" s="57">
        <f>IF(Dealps[[#This Row],[MATURITY_DATE]]-Dealps[[#This Row],[POSTED_DT]]&lt;0,0,IF(Dealps[[#This Row],[VALUE_DATE]]-Dealps[[#This Row],[POSTED_DT]]&gt;0,Dealps[[#This Row],[MATURITY_DATE]]-Dealps[[#This Row],[VALUE_DATE]],Dealps[[#This Row],[MATURITY_DATE]]-Dealps[[#This Row],[POSTED_DT]]))</f>
        <v>90</v>
      </c>
      <c r="U780" s="25">
        <f>IF(Dealps[[#This Row],[TENOR]]=0,0,IF(Dealps[[#This Row],[DEAL_TYPE]]="B",Dealps[[#This Row],[FACE_AMOUNT]],-Dealps[[#This Row],[FACE_AMOUNT]]))</f>
        <v>500000000000</v>
      </c>
      <c r="V780" s="25">
        <f>_xlfn.XLOOKUP(Dealps[[#This Row],[PAPER_CODE]],FNRP!D:D,FNRP!H:H,0,0)/100*Dealps[[#This Row],[AMOUNT]]</f>
        <v>0</v>
      </c>
      <c r="W780" s="57" t="str">
        <f>IF(Dealps[[#This Row],[TRANSACTION_STATUS]]&lt;&gt;"V","Ngoai BS",IF(Dealps[[#This Row],[POSTED_DT]]&gt;=Dealps[[#This Row],[VALUE_DATE]],"On BS","Off BS"))</f>
        <v>On BS</v>
      </c>
      <c r="X780" s="25">
        <f>SUMIFS(U:U,C:C,Dealps[[#This Row],[PAPER_CODE]])</f>
        <v>1500000000000</v>
      </c>
      <c r="Y780" s="25">
        <f>_xlfn.XLOOKUP(Dealps[[#This Row],[DEAL_ID]],Ref!N:N,Ref!Q:Q,0,0)</f>
        <v>0</v>
      </c>
      <c r="Z780" s="25" t="str">
        <f>IF(Dealps[[#This Row],[CPTY_CODE]]=Dealps[[#This Row],[CPTY_CODE_ISSUER]],"Yes","No")</f>
        <v>No</v>
      </c>
      <c r="AA780" s="25"/>
      <c r="AC780" s="14"/>
      <c r="AG780" s="96"/>
      <c r="AH780" s="14"/>
      <c r="AI780"/>
      <c r="AN780" s="14"/>
      <c r="AV780" s="36"/>
      <c r="AW780" s="14"/>
      <c r="AX780" s="234"/>
      <c r="AY780" s="96"/>
      <c r="AZ780" s="14"/>
      <c r="BA780"/>
      <c r="BE780" s="14"/>
      <c r="BF780" s="25"/>
      <c r="BL780" s="15"/>
      <c r="BN780"/>
      <c r="BR780" s="14"/>
      <c r="BV780"/>
    </row>
    <row r="781" spans="1:74" x14ac:dyDescent="0.3">
      <c r="A781" s="93">
        <v>46262</v>
      </c>
      <c r="B781">
        <v>4980</v>
      </c>
      <c r="C781" s="56" t="s">
        <v>1583</v>
      </c>
      <c r="D781" t="s">
        <v>316</v>
      </c>
      <c r="E781" t="s">
        <v>328</v>
      </c>
      <c r="F781" t="s">
        <v>364</v>
      </c>
      <c r="G781" t="s">
        <v>310</v>
      </c>
      <c r="H781" t="s">
        <v>311</v>
      </c>
      <c r="I781" s="93">
        <v>46260</v>
      </c>
      <c r="J781" s="93">
        <v>46260</v>
      </c>
      <c r="K781" s="93">
        <v>46260</v>
      </c>
      <c r="L781" s="93">
        <v>46416</v>
      </c>
      <c r="M781" s="14">
        <v>1</v>
      </c>
      <c r="N781" s="14">
        <v>1000000000000</v>
      </c>
      <c r="O781" s="56">
        <v>100.128361199</v>
      </c>
      <c r="P781" s="56">
        <v>0</v>
      </c>
      <c r="Q781" s="14">
        <v>1043453474999.9999</v>
      </c>
      <c r="R781">
        <v>6.8040099999999999</v>
      </c>
      <c r="S781" t="s">
        <v>1184</v>
      </c>
      <c r="T781" s="57">
        <f>IF(Dealps[[#This Row],[MATURITY_DATE]]-Dealps[[#This Row],[POSTED_DT]]&lt;0,0,IF(Dealps[[#This Row],[VALUE_DATE]]-Dealps[[#This Row],[POSTED_DT]]&gt;0,Dealps[[#This Row],[MATURITY_DATE]]-Dealps[[#This Row],[VALUE_DATE]],Dealps[[#This Row],[MATURITY_DATE]]-Dealps[[#This Row],[POSTED_DT]]))</f>
        <v>154</v>
      </c>
      <c r="U781" s="25">
        <f>IF(Dealps[[#This Row],[TENOR]]=0,0,IF(Dealps[[#This Row],[DEAL_TYPE]]="B",Dealps[[#This Row],[FACE_AMOUNT]],-Dealps[[#This Row],[FACE_AMOUNT]]))</f>
        <v>-1000000000000</v>
      </c>
      <c r="V781" s="25">
        <f>_xlfn.XLOOKUP(Dealps[[#This Row],[PAPER_CODE]],FNRP!D:D,FNRP!H:H,0,0)/100*Dealps[[#This Row],[AMOUNT]]</f>
        <v>0</v>
      </c>
      <c r="W781" s="57" t="str">
        <f>IF(Dealps[[#This Row],[TRANSACTION_STATUS]]&lt;&gt;"V","Ngoai BS",IF(Dealps[[#This Row],[POSTED_DT]]&gt;=Dealps[[#This Row],[VALUE_DATE]],"On BS","Off BS"))</f>
        <v>On BS</v>
      </c>
      <c r="X781" s="25">
        <f>SUMIFS(U:U,C:C,Dealps[[#This Row],[PAPER_CODE]])</f>
        <v>0</v>
      </c>
      <c r="Y781" s="25">
        <f>_xlfn.XLOOKUP(Dealps[[#This Row],[DEAL_ID]],Ref!N:N,Ref!Q:Q,0,0)</f>
        <v>0</v>
      </c>
      <c r="Z781" s="25" t="str">
        <f>IF(Dealps[[#This Row],[CPTY_CODE]]=Dealps[[#This Row],[CPTY_CODE_ISSUER]],"Yes","No")</f>
        <v>No</v>
      </c>
      <c r="AA781" s="25"/>
      <c r="AC781" s="14"/>
      <c r="AG781" s="96"/>
      <c r="AH781" s="14"/>
      <c r="AI781"/>
      <c r="AN781" s="14"/>
      <c r="AV781" s="36"/>
      <c r="AW781" s="14"/>
      <c r="AX781" s="234"/>
      <c r="AY781" s="96"/>
      <c r="AZ781" s="14"/>
      <c r="BA781"/>
      <c r="BE781" s="14"/>
      <c r="BF781" s="25"/>
      <c r="BL781" s="15"/>
      <c r="BN781"/>
      <c r="BR781" s="14"/>
      <c r="BV781"/>
    </row>
    <row r="782" spans="1:74" x14ac:dyDescent="0.3">
      <c r="A782" s="93">
        <v>46262</v>
      </c>
      <c r="B782">
        <v>4981</v>
      </c>
      <c r="C782" s="56" t="s">
        <v>1583</v>
      </c>
      <c r="D782" t="s">
        <v>316</v>
      </c>
      <c r="E782" t="s">
        <v>328</v>
      </c>
      <c r="F782" t="s">
        <v>364</v>
      </c>
      <c r="G782" t="s">
        <v>310</v>
      </c>
      <c r="H782" t="s">
        <v>311</v>
      </c>
      <c r="I782" s="93">
        <v>46260</v>
      </c>
      <c r="J782" s="93">
        <v>46260</v>
      </c>
      <c r="K782" s="93">
        <v>46260</v>
      </c>
      <c r="L782" s="93">
        <v>46416</v>
      </c>
      <c r="M782" s="14">
        <v>1</v>
      </c>
      <c r="N782" s="14">
        <v>1000000000000</v>
      </c>
      <c r="O782" s="56">
        <v>100.128361199</v>
      </c>
      <c r="P782" s="56">
        <v>0</v>
      </c>
      <c r="Q782" s="14">
        <v>1043453474999.9999</v>
      </c>
      <c r="R782">
        <v>6.8040099999999999</v>
      </c>
      <c r="S782" t="s">
        <v>1184</v>
      </c>
      <c r="T782" s="57">
        <f>IF(Dealps[[#This Row],[MATURITY_DATE]]-Dealps[[#This Row],[POSTED_DT]]&lt;0,0,IF(Dealps[[#This Row],[VALUE_DATE]]-Dealps[[#This Row],[POSTED_DT]]&gt;0,Dealps[[#This Row],[MATURITY_DATE]]-Dealps[[#This Row],[VALUE_DATE]],Dealps[[#This Row],[MATURITY_DATE]]-Dealps[[#This Row],[POSTED_DT]]))</f>
        <v>154</v>
      </c>
      <c r="U782" s="25">
        <f>IF(Dealps[[#This Row],[TENOR]]=0,0,IF(Dealps[[#This Row],[DEAL_TYPE]]="B",Dealps[[#This Row],[FACE_AMOUNT]],-Dealps[[#This Row],[FACE_AMOUNT]]))</f>
        <v>-1000000000000</v>
      </c>
      <c r="V782" s="25">
        <f>_xlfn.XLOOKUP(Dealps[[#This Row],[PAPER_CODE]],FNRP!D:D,FNRP!H:H,0,0)/100*Dealps[[#This Row],[AMOUNT]]</f>
        <v>0</v>
      </c>
      <c r="W782" s="57" t="str">
        <f>IF(Dealps[[#This Row],[TRANSACTION_STATUS]]&lt;&gt;"V","Ngoai BS",IF(Dealps[[#This Row],[POSTED_DT]]&gt;=Dealps[[#This Row],[VALUE_DATE]],"On BS","Off BS"))</f>
        <v>On BS</v>
      </c>
      <c r="X782" s="25">
        <f>SUMIFS(U:U,C:C,Dealps[[#This Row],[PAPER_CODE]])</f>
        <v>0</v>
      </c>
      <c r="Y782" s="25">
        <f>_xlfn.XLOOKUP(Dealps[[#This Row],[DEAL_ID]],Ref!N:N,Ref!Q:Q,0,0)</f>
        <v>0</v>
      </c>
      <c r="Z782" s="25" t="str">
        <f>IF(Dealps[[#This Row],[CPTY_CODE]]=Dealps[[#This Row],[CPTY_CODE_ISSUER]],"Yes","No")</f>
        <v>No</v>
      </c>
      <c r="AA782" s="25"/>
      <c r="AC782" s="14"/>
      <c r="AG782" s="96"/>
      <c r="AH782" s="14"/>
      <c r="AI782"/>
      <c r="AN782" s="14"/>
      <c r="AV782" s="36"/>
      <c r="AW782" s="14"/>
      <c r="AX782" s="234"/>
      <c r="AY782" s="96"/>
      <c r="AZ782" s="14"/>
      <c r="BA782"/>
      <c r="BE782" s="14"/>
      <c r="BF782" s="25"/>
      <c r="BL782" s="15"/>
      <c r="BN782"/>
      <c r="BR782" s="14"/>
      <c r="BV782"/>
    </row>
    <row r="783" spans="1:74" x14ac:dyDescent="0.3">
      <c r="A783" s="93">
        <v>46262</v>
      </c>
      <c r="B783">
        <v>4982</v>
      </c>
      <c r="C783" s="56" t="s">
        <v>1071</v>
      </c>
      <c r="D783" t="s">
        <v>328</v>
      </c>
      <c r="E783" t="s">
        <v>322</v>
      </c>
      <c r="F783" t="s">
        <v>364</v>
      </c>
      <c r="G783" t="s">
        <v>310</v>
      </c>
      <c r="H783" t="s">
        <v>300</v>
      </c>
      <c r="I783" s="93">
        <v>46260</v>
      </c>
      <c r="J783" s="93">
        <v>46252</v>
      </c>
      <c r="K783" s="93">
        <v>46260</v>
      </c>
      <c r="L783" s="93">
        <v>46352</v>
      </c>
      <c r="M783" s="14">
        <v>1</v>
      </c>
      <c r="N783" s="14">
        <v>500000000000</v>
      </c>
      <c r="O783" s="56">
        <v>99.790421735999999</v>
      </c>
      <c r="P783" s="56">
        <v>0</v>
      </c>
      <c r="Q783" s="14">
        <v>523543889500</v>
      </c>
      <c r="R783">
        <v>7.0972840000000001</v>
      </c>
      <c r="S783" t="s">
        <v>1184</v>
      </c>
      <c r="T783" s="57">
        <f>IF(Dealps[[#This Row],[MATURITY_DATE]]-Dealps[[#This Row],[POSTED_DT]]&lt;0,0,IF(Dealps[[#This Row],[VALUE_DATE]]-Dealps[[#This Row],[POSTED_DT]]&gt;0,Dealps[[#This Row],[MATURITY_DATE]]-Dealps[[#This Row],[VALUE_DATE]],Dealps[[#This Row],[MATURITY_DATE]]-Dealps[[#This Row],[POSTED_DT]]))</f>
        <v>90</v>
      </c>
      <c r="U783" s="25">
        <f>IF(Dealps[[#This Row],[TENOR]]=0,0,IF(Dealps[[#This Row],[DEAL_TYPE]]="B",Dealps[[#This Row],[FACE_AMOUNT]],-Dealps[[#This Row],[FACE_AMOUNT]]))</f>
        <v>500000000000</v>
      </c>
      <c r="V783" s="25">
        <f>_xlfn.XLOOKUP(Dealps[[#This Row],[PAPER_CODE]],FNRP!D:D,FNRP!H:H,0,0)/100*Dealps[[#This Row],[AMOUNT]]</f>
        <v>0</v>
      </c>
      <c r="W783" s="57" t="str">
        <f>IF(Dealps[[#This Row],[TRANSACTION_STATUS]]&lt;&gt;"V","Ngoai BS",IF(Dealps[[#This Row],[POSTED_DT]]&gt;=Dealps[[#This Row],[VALUE_DATE]],"On BS","Off BS"))</f>
        <v>On BS</v>
      </c>
      <c r="X783" s="25">
        <f>SUMIFS(U:U,C:C,Dealps[[#This Row],[PAPER_CODE]])</f>
        <v>1500000000000</v>
      </c>
      <c r="Y783" s="25">
        <f>_xlfn.XLOOKUP(Dealps[[#This Row],[DEAL_ID]],Ref!N:N,Ref!Q:Q,0,0)</f>
        <v>0</v>
      </c>
      <c r="Z783" s="25" t="str">
        <f>IF(Dealps[[#This Row],[CPTY_CODE]]=Dealps[[#This Row],[CPTY_CODE_ISSUER]],"Yes","No")</f>
        <v>No</v>
      </c>
      <c r="AA783" s="25"/>
      <c r="AC783" s="14"/>
      <c r="AG783" s="96"/>
      <c r="AH783" s="14"/>
      <c r="AI783"/>
      <c r="AN783" s="14"/>
      <c r="AV783" s="36"/>
      <c r="AW783" s="14"/>
      <c r="AX783" s="234"/>
      <c r="AY783" s="96"/>
      <c r="AZ783" s="14"/>
      <c r="BA783"/>
      <c r="BE783" s="14"/>
      <c r="BF783" s="25"/>
      <c r="BL783" s="15"/>
      <c r="BN783"/>
      <c r="BR783" s="14"/>
      <c r="BV783"/>
    </row>
    <row r="784" spans="1:74" x14ac:dyDescent="0.3">
      <c r="A784" s="93">
        <v>46262</v>
      </c>
      <c r="B784">
        <v>4983</v>
      </c>
      <c r="C784" s="56" t="s">
        <v>963</v>
      </c>
      <c r="D784" t="s">
        <v>308</v>
      </c>
      <c r="E784" t="s">
        <v>347</v>
      </c>
      <c r="F784" t="s">
        <v>364</v>
      </c>
      <c r="G784" t="s">
        <v>310</v>
      </c>
      <c r="H784" t="s">
        <v>311</v>
      </c>
      <c r="I784" s="93">
        <v>46260</v>
      </c>
      <c r="J784" s="93">
        <v>46260</v>
      </c>
      <c r="K784" s="93">
        <v>46262</v>
      </c>
      <c r="L784" s="93">
        <v>46295</v>
      </c>
      <c r="M784" s="14">
        <v>1</v>
      </c>
      <c r="N784" s="14">
        <v>100000000000</v>
      </c>
      <c r="O784" s="56">
        <v>100.21687757799999</v>
      </c>
      <c r="P784" s="56">
        <v>0</v>
      </c>
      <c r="Q784" s="14">
        <v>105748658400</v>
      </c>
      <c r="R784">
        <v>3.5</v>
      </c>
      <c r="S784" t="s">
        <v>1184</v>
      </c>
      <c r="T784" s="57">
        <f>IF(Dealps[[#This Row],[MATURITY_DATE]]-Dealps[[#This Row],[POSTED_DT]]&lt;0,0,IF(Dealps[[#This Row],[VALUE_DATE]]-Dealps[[#This Row],[POSTED_DT]]&gt;0,Dealps[[#This Row],[MATURITY_DATE]]-Dealps[[#This Row],[VALUE_DATE]],Dealps[[#This Row],[MATURITY_DATE]]-Dealps[[#This Row],[POSTED_DT]]))</f>
        <v>33</v>
      </c>
      <c r="U784" s="25">
        <f>IF(Dealps[[#This Row],[TENOR]]=0,0,IF(Dealps[[#This Row],[DEAL_TYPE]]="B",Dealps[[#This Row],[FACE_AMOUNT]],-Dealps[[#This Row],[FACE_AMOUNT]]))</f>
        <v>-100000000000</v>
      </c>
      <c r="V784" s="25">
        <f>_xlfn.XLOOKUP(Dealps[[#This Row],[PAPER_CODE]],FNRP!D:D,FNRP!H:H,0,0)/100*Dealps[[#This Row],[AMOUNT]]</f>
        <v>0</v>
      </c>
      <c r="W784" s="57" t="str">
        <f>IF(Dealps[[#This Row],[TRANSACTION_STATUS]]&lt;&gt;"V","Ngoai BS",IF(Dealps[[#This Row],[POSTED_DT]]&gt;=Dealps[[#This Row],[VALUE_DATE]],"On BS","Off BS"))</f>
        <v>On BS</v>
      </c>
      <c r="X784" s="25">
        <f>SUMIFS(U:U,C:C,Dealps[[#This Row],[PAPER_CODE]])</f>
        <v>400000000000</v>
      </c>
      <c r="Y784" s="25">
        <f>_xlfn.XLOOKUP(Dealps[[#This Row],[DEAL_ID]],Ref!N:N,Ref!Q:Q,0,0)</f>
        <v>0</v>
      </c>
      <c r="Z784" s="25" t="str">
        <f>IF(Dealps[[#This Row],[CPTY_CODE]]=Dealps[[#This Row],[CPTY_CODE_ISSUER]],"Yes","No")</f>
        <v>No</v>
      </c>
      <c r="AA784" s="25"/>
      <c r="AC784" s="14"/>
      <c r="AG784" s="96"/>
      <c r="AH784" s="14"/>
      <c r="AI784"/>
      <c r="AN784" s="14"/>
      <c r="AV784" s="36"/>
      <c r="AW784" s="14"/>
      <c r="AX784" s="234"/>
      <c r="AY784" s="96"/>
      <c r="AZ784" s="14"/>
      <c r="BA784"/>
      <c r="BE784" s="14"/>
      <c r="BF784" s="25"/>
      <c r="BL784" s="15"/>
      <c r="BN784"/>
      <c r="BR784" s="14"/>
      <c r="BV784"/>
    </row>
    <row r="785" spans="1:74" x14ac:dyDescent="0.3">
      <c r="A785" s="93">
        <v>46262</v>
      </c>
      <c r="B785">
        <v>4984</v>
      </c>
      <c r="C785" s="56" t="s">
        <v>963</v>
      </c>
      <c r="D785" t="s">
        <v>308</v>
      </c>
      <c r="E785" t="s">
        <v>347</v>
      </c>
      <c r="F785" t="s">
        <v>364</v>
      </c>
      <c r="G785" t="s">
        <v>310</v>
      </c>
      <c r="H785" t="s">
        <v>300</v>
      </c>
      <c r="I785" s="93">
        <v>46260</v>
      </c>
      <c r="J785" s="93">
        <v>46275</v>
      </c>
      <c r="K785" s="93">
        <v>46276</v>
      </c>
      <c r="L785" s="93">
        <v>46295</v>
      </c>
      <c r="M785" s="14">
        <v>1</v>
      </c>
      <c r="N785" s="14">
        <v>100000000000</v>
      </c>
      <c r="O785" s="56">
        <v>100.26683287500001</v>
      </c>
      <c r="P785" s="56">
        <v>0</v>
      </c>
      <c r="Q785" s="14">
        <v>106032586300</v>
      </c>
      <c r="R785">
        <v>0.91858600000000001</v>
      </c>
      <c r="S785" t="s">
        <v>651</v>
      </c>
      <c r="T785" s="57">
        <f>IF(Dealps[[#This Row],[MATURITY_DATE]]-Dealps[[#This Row],[POSTED_DT]]&lt;0,0,IF(Dealps[[#This Row],[VALUE_DATE]]-Dealps[[#This Row],[POSTED_DT]]&gt;0,Dealps[[#This Row],[MATURITY_DATE]]-Dealps[[#This Row],[VALUE_DATE]],Dealps[[#This Row],[MATURITY_DATE]]-Dealps[[#This Row],[POSTED_DT]]))</f>
        <v>19</v>
      </c>
      <c r="U785" s="25">
        <f>IF(Dealps[[#This Row],[TENOR]]=0,0,IF(Dealps[[#This Row],[DEAL_TYPE]]="B",Dealps[[#This Row],[FACE_AMOUNT]],-Dealps[[#This Row],[FACE_AMOUNT]]))</f>
        <v>100000000000</v>
      </c>
      <c r="V785" s="25">
        <f>_xlfn.XLOOKUP(Dealps[[#This Row],[PAPER_CODE]],FNRP!D:D,FNRP!H:H,0,0)/100*Dealps[[#This Row],[AMOUNT]]</f>
        <v>0</v>
      </c>
      <c r="W785" s="57" t="str">
        <f>IF(Dealps[[#This Row],[TRANSACTION_STATUS]]&lt;&gt;"V","Ngoai BS",IF(Dealps[[#This Row],[POSTED_DT]]&gt;=Dealps[[#This Row],[VALUE_DATE]],"On BS","Off BS"))</f>
        <v>Ngoai BS</v>
      </c>
      <c r="X785" s="25">
        <f>SUMIFS(U:U,C:C,Dealps[[#This Row],[PAPER_CODE]])</f>
        <v>400000000000</v>
      </c>
      <c r="Y785" s="25">
        <f>_xlfn.XLOOKUP(Dealps[[#This Row],[DEAL_ID]],Ref!N:N,Ref!Q:Q,0,0)</f>
        <v>0</v>
      </c>
      <c r="Z785" s="25" t="str">
        <f>IF(Dealps[[#This Row],[CPTY_CODE]]=Dealps[[#This Row],[CPTY_CODE_ISSUER]],"Yes","No")</f>
        <v>No</v>
      </c>
      <c r="AA785" s="25"/>
      <c r="AC785" s="14"/>
      <c r="AG785" s="96"/>
      <c r="AH785" s="14"/>
      <c r="AI785"/>
      <c r="AN785" s="14"/>
      <c r="AV785" s="36"/>
      <c r="AW785" s="14"/>
      <c r="AX785" s="234"/>
      <c r="AY785" s="96"/>
      <c r="AZ785" s="14"/>
      <c r="BA785"/>
      <c r="BE785" s="14"/>
      <c r="BF785" s="25"/>
      <c r="BL785" s="15"/>
      <c r="BN785"/>
      <c r="BR785" s="14"/>
      <c r="BV785"/>
    </row>
    <row r="786" spans="1:74" x14ac:dyDescent="0.3">
      <c r="A786" s="93">
        <v>46262</v>
      </c>
      <c r="B786">
        <v>4985</v>
      </c>
      <c r="C786" s="56" t="s">
        <v>1061</v>
      </c>
      <c r="D786" t="s">
        <v>312</v>
      </c>
      <c r="E786" t="s">
        <v>347</v>
      </c>
      <c r="F786" t="s">
        <v>364</v>
      </c>
      <c r="G786" t="s">
        <v>310</v>
      </c>
      <c r="H786" t="s">
        <v>311</v>
      </c>
      <c r="I786" s="93">
        <v>46260</v>
      </c>
      <c r="J786" s="93">
        <v>46260</v>
      </c>
      <c r="K786" s="93">
        <v>46262</v>
      </c>
      <c r="L786" s="93">
        <v>46343</v>
      </c>
      <c r="M786" s="14">
        <v>1</v>
      </c>
      <c r="N786" s="14">
        <v>300000000000</v>
      </c>
      <c r="O786" s="56">
        <v>100.43977416600001</v>
      </c>
      <c r="P786" s="56">
        <v>0</v>
      </c>
      <c r="Q786" s="14">
        <v>315973295100</v>
      </c>
      <c r="R786">
        <v>4.0999999999999996</v>
      </c>
      <c r="S786" t="s">
        <v>1184</v>
      </c>
      <c r="T786" s="57">
        <f>IF(Dealps[[#This Row],[MATURITY_DATE]]-Dealps[[#This Row],[POSTED_DT]]&lt;0,0,IF(Dealps[[#This Row],[VALUE_DATE]]-Dealps[[#This Row],[POSTED_DT]]&gt;0,Dealps[[#This Row],[MATURITY_DATE]]-Dealps[[#This Row],[VALUE_DATE]],Dealps[[#This Row],[MATURITY_DATE]]-Dealps[[#This Row],[POSTED_DT]]))</f>
        <v>81</v>
      </c>
      <c r="U786" s="25">
        <f>IF(Dealps[[#This Row],[TENOR]]=0,0,IF(Dealps[[#This Row],[DEAL_TYPE]]="B",Dealps[[#This Row],[FACE_AMOUNT]],-Dealps[[#This Row],[FACE_AMOUNT]]))</f>
        <v>-300000000000</v>
      </c>
      <c r="V786" s="25">
        <f>_xlfn.XLOOKUP(Dealps[[#This Row],[PAPER_CODE]],FNRP!D:D,FNRP!H:H,0,0)/100*Dealps[[#This Row],[AMOUNT]]</f>
        <v>0</v>
      </c>
      <c r="W786" s="57" t="str">
        <f>IF(Dealps[[#This Row],[TRANSACTION_STATUS]]&lt;&gt;"V","Ngoai BS",IF(Dealps[[#This Row],[POSTED_DT]]&gt;=Dealps[[#This Row],[VALUE_DATE]],"On BS","Off BS"))</f>
        <v>On BS</v>
      </c>
      <c r="X786" s="25">
        <f>SUMIFS(U:U,C:C,Dealps[[#This Row],[PAPER_CODE]])</f>
        <v>1500000000000</v>
      </c>
      <c r="Y786" s="25">
        <f>_xlfn.XLOOKUP(Dealps[[#This Row],[DEAL_ID]],Ref!N:N,Ref!Q:Q,0,0)</f>
        <v>0</v>
      </c>
      <c r="Z786" s="25" t="str">
        <f>IF(Dealps[[#This Row],[CPTY_CODE]]=Dealps[[#This Row],[CPTY_CODE_ISSUER]],"Yes","No")</f>
        <v>No</v>
      </c>
      <c r="AA786" s="25"/>
      <c r="AC786" s="14"/>
      <c r="AG786" s="96"/>
      <c r="AH786" s="14"/>
      <c r="AI786"/>
      <c r="AN786" s="14"/>
      <c r="AV786" s="36"/>
      <c r="AW786" s="14"/>
      <c r="AX786" s="234"/>
      <c r="AY786" s="96"/>
      <c r="AZ786" s="14"/>
      <c r="BA786"/>
      <c r="BE786" s="14"/>
      <c r="BF786" s="25"/>
      <c r="BL786" s="15"/>
      <c r="BN786"/>
      <c r="BR786" s="14"/>
      <c r="BV786"/>
    </row>
    <row r="787" spans="1:74" x14ac:dyDescent="0.3">
      <c r="A787" s="93">
        <v>46262</v>
      </c>
      <c r="B787">
        <v>4986</v>
      </c>
      <c r="C787" s="56" t="s">
        <v>1061</v>
      </c>
      <c r="D787" t="s">
        <v>312</v>
      </c>
      <c r="E787" t="s">
        <v>347</v>
      </c>
      <c r="F787" t="s">
        <v>364</v>
      </c>
      <c r="G787" t="s">
        <v>310</v>
      </c>
      <c r="H787" t="s">
        <v>300</v>
      </c>
      <c r="I787" s="93">
        <v>46260</v>
      </c>
      <c r="J787" s="93">
        <v>46275</v>
      </c>
      <c r="K787" s="93">
        <v>46276</v>
      </c>
      <c r="L787" s="93">
        <v>46343</v>
      </c>
      <c r="M787" s="14">
        <v>1</v>
      </c>
      <c r="N787" s="14">
        <v>300000000000</v>
      </c>
      <c r="O787" s="56">
        <v>100.48091923</v>
      </c>
      <c r="P787" s="56">
        <v>0</v>
      </c>
      <c r="Q787" s="14">
        <v>316821661800</v>
      </c>
      <c r="R787">
        <v>3.484674</v>
      </c>
      <c r="S787" t="s">
        <v>651</v>
      </c>
      <c r="T787" s="57">
        <f>IF(Dealps[[#This Row],[MATURITY_DATE]]-Dealps[[#This Row],[POSTED_DT]]&lt;0,0,IF(Dealps[[#This Row],[VALUE_DATE]]-Dealps[[#This Row],[POSTED_DT]]&gt;0,Dealps[[#This Row],[MATURITY_DATE]]-Dealps[[#This Row],[VALUE_DATE]],Dealps[[#This Row],[MATURITY_DATE]]-Dealps[[#This Row],[POSTED_DT]]))</f>
        <v>67</v>
      </c>
      <c r="U787" s="25">
        <f>IF(Dealps[[#This Row],[TENOR]]=0,0,IF(Dealps[[#This Row],[DEAL_TYPE]]="B",Dealps[[#This Row],[FACE_AMOUNT]],-Dealps[[#This Row],[FACE_AMOUNT]]))</f>
        <v>300000000000</v>
      </c>
      <c r="V787" s="25">
        <f>_xlfn.XLOOKUP(Dealps[[#This Row],[PAPER_CODE]],FNRP!D:D,FNRP!H:H,0,0)/100*Dealps[[#This Row],[AMOUNT]]</f>
        <v>0</v>
      </c>
      <c r="W787" s="57" t="str">
        <f>IF(Dealps[[#This Row],[TRANSACTION_STATUS]]&lt;&gt;"V","Ngoai BS",IF(Dealps[[#This Row],[POSTED_DT]]&gt;=Dealps[[#This Row],[VALUE_DATE]],"On BS","Off BS"))</f>
        <v>Ngoai BS</v>
      </c>
      <c r="X787" s="25">
        <f>SUMIFS(U:U,C:C,Dealps[[#This Row],[PAPER_CODE]])</f>
        <v>1500000000000</v>
      </c>
      <c r="Y787" s="25">
        <f>_xlfn.XLOOKUP(Dealps[[#This Row],[DEAL_ID]],Ref!N:N,Ref!Q:Q,0,0)</f>
        <v>0</v>
      </c>
      <c r="Z787" s="25" t="str">
        <f>IF(Dealps[[#This Row],[CPTY_CODE]]=Dealps[[#This Row],[CPTY_CODE_ISSUER]],"Yes","No")</f>
        <v>No</v>
      </c>
      <c r="AA787" s="25"/>
      <c r="AC787" s="14"/>
      <c r="AG787" s="96"/>
      <c r="AH787" s="14"/>
      <c r="AI787"/>
      <c r="AN787" s="14"/>
      <c r="AV787" s="36"/>
      <c r="AW787" s="14"/>
      <c r="AX787" s="234"/>
      <c r="AY787" s="96"/>
      <c r="AZ787" s="14"/>
      <c r="BA787"/>
      <c r="BE787" s="14"/>
      <c r="BF787" s="25"/>
      <c r="BL787" s="15"/>
      <c r="BN787"/>
      <c r="BR787" s="14"/>
      <c r="BV787"/>
    </row>
    <row r="788" spans="1:74" x14ac:dyDescent="0.3">
      <c r="A788" s="93">
        <v>46262</v>
      </c>
      <c r="B788">
        <v>4987</v>
      </c>
      <c r="C788" s="56" t="s">
        <v>1494</v>
      </c>
      <c r="D788" t="s">
        <v>322</v>
      </c>
      <c r="E788" t="s">
        <v>347</v>
      </c>
      <c r="F788" t="s">
        <v>364</v>
      </c>
      <c r="G788" t="s">
        <v>310</v>
      </c>
      <c r="H788" t="s">
        <v>311</v>
      </c>
      <c r="I788" s="93">
        <v>46260</v>
      </c>
      <c r="J788" s="93">
        <v>46260</v>
      </c>
      <c r="K788" s="93">
        <v>46262</v>
      </c>
      <c r="L788" s="93">
        <v>46300</v>
      </c>
      <c r="M788" s="14">
        <v>1</v>
      </c>
      <c r="N788" s="14">
        <v>200000000000</v>
      </c>
      <c r="O788" s="56">
        <v>99.781803531999998</v>
      </c>
      <c r="P788" s="56">
        <v>0</v>
      </c>
      <c r="Q788" s="14">
        <v>210281415284</v>
      </c>
      <c r="R788">
        <v>7.7</v>
      </c>
      <c r="S788" t="s">
        <v>1184</v>
      </c>
      <c r="T788" s="57">
        <f>IF(Dealps[[#This Row],[MATURITY_DATE]]-Dealps[[#This Row],[POSTED_DT]]&lt;0,0,IF(Dealps[[#This Row],[VALUE_DATE]]-Dealps[[#This Row],[POSTED_DT]]&gt;0,Dealps[[#This Row],[MATURITY_DATE]]-Dealps[[#This Row],[VALUE_DATE]],Dealps[[#This Row],[MATURITY_DATE]]-Dealps[[#This Row],[POSTED_DT]]))</f>
        <v>38</v>
      </c>
      <c r="U788" s="25">
        <f>IF(Dealps[[#This Row],[TENOR]]=0,0,IF(Dealps[[#This Row],[DEAL_TYPE]]="B",Dealps[[#This Row],[FACE_AMOUNT]],-Dealps[[#This Row],[FACE_AMOUNT]]))</f>
        <v>-200000000000</v>
      </c>
      <c r="V788" s="25">
        <f>_xlfn.XLOOKUP(Dealps[[#This Row],[PAPER_CODE]],FNRP!D:D,FNRP!H:H,0,0)/100*Dealps[[#This Row],[AMOUNT]]</f>
        <v>0</v>
      </c>
      <c r="W788" s="57" t="str">
        <f>IF(Dealps[[#This Row],[TRANSACTION_STATUS]]&lt;&gt;"V","Ngoai BS",IF(Dealps[[#This Row],[POSTED_DT]]&gt;=Dealps[[#This Row],[VALUE_DATE]],"On BS","Off BS"))</f>
        <v>On BS</v>
      </c>
      <c r="X788" s="25">
        <f>SUMIFS(U:U,C:C,Dealps[[#This Row],[PAPER_CODE]])</f>
        <v>200000000000</v>
      </c>
      <c r="Y788" s="25">
        <f>_xlfn.XLOOKUP(Dealps[[#This Row],[DEAL_ID]],Ref!N:N,Ref!Q:Q,0,0)</f>
        <v>0</v>
      </c>
      <c r="Z788" s="25" t="str">
        <f>IF(Dealps[[#This Row],[CPTY_CODE]]=Dealps[[#This Row],[CPTY_CODE_ISSUER]],"Yes","No")</f>
        <v>No</v>
      </c>
      <c r="AA788" s="25"/>
      <c r="AC788" s="14"/>
      <c r="AG788" s="96"/>
      <c r="AH788" s="14"/>
      <c r="AI788"/>
      <c r="AN788" s="14"/>
      <c r="AV788" s="36"/>
      <c r="AW788" s="14"/>
      <c r="AX788" s="234"/>
      <c r="AY788" s="96"/>
      <c r="AZ788" s="14"/>
      <c r="BA788"/>
      <c r="BE788" s="14"/>
      <c r="BF788" s="25"/>
      <c r="BL788" s="15"/>
      <c r="BN788"/>
      <c r="BR788" s="14"/>
      <c r="BV788"/>
    </row>
    <row r="789" spans="1:74" x14ac:dyDescent="0.3">
      <c r="A789" s="93">
        <v>46262</v>
      </c>
      <c r="B789">
        <v>4988</v>
      </c>
      <c r="C789" s="56" t="s">
        <v>1494</v>
      </c>
      <c r="D789" t="s">
        <v>322</v>
      </c>
      <c r="E789" t="s">
        <v>347</v>
      </c>
      <c r="F789" t="s">
        <v>364</v>
      </c>
      <c r="G789" t="s">
        <v>310</v>
      </c>
      <c r="H789" t="s">
        <v>300</v>
      </c>
      <c r="I789" s="93">
        <v>46260</v>
      </c>
      <c r="J789" s="93">
        <v>46275</v>
      </c>
      <c r="K789" s="93">
        <v>46276</v>
      </c>
      <c r="L789" s="93">
        <v>46300</v>
      </c>
      <c r="M789" s="14">
        <v>1</v>
      </c>
      <c r="N789" s="14">
        <v>200000000000</v>
      </c>
      <c r="O789" s="56">
        <v>99.833962145000001</v>
      </c>
      <c r="P789" s="56">
        <v>0</v>
      </c>
      <c r="Q789" s="14">
        <v>210846006482</v>
      </c>
      <c r="R789">
        <v>8.0866209999999992</v>
      </c>
      <c r="S789" t="s">
        <v>651</v>
      </c>
      <c r="T789" s="57">
        <f>IF(Dealps[[#This Row],[MATURITY_DATE]]-Dealps[[#This Row],[POSTED_DT]]&lt;0,0,IF(Dealps[[#This Row],[VALUE_DATE]]-Dealps[[#This Row],[POSTED_DT]]&gt;0,Dealps[[#This Row],[MATURITY_DATE]]-Dealps[[#This Row],[VALUE_DATE]],Dealps[[#This Row],[MATURITY_DATE]]-Dealps[[#This Row],[POSTED_DT]]))</f>
        <v>24</v>
      </c>
      <c r="U789" s="25">
        <f>IF(Dealps[[#This Row],[TENOR]]=0,0,IF(Dealps[[#This Row],[DEAL_TYPE]]="B",Dealps[[#This Row],[FACE_AMOUNT]],-Dealps[[#This Row],[FACE_AMOUNT]]))</f>
        <v>200000000000</v>
      </c>
      <c r="V789" s="25">
        <f>_xlfn.XLOOKUP(Dealps[[#This Row],[PAPER_CODE]],FNRP!D:D,FNRP!H:H,0,0)/100*Dealps[[#This Row],[AMOUNT]]</f>
        <v>0</v>
      </c>
      <c r="W789" s="57" t="str">
        <f>IF(Dealps[[#This Row],[TRANSACTION_STATUS]]&lt;&gt;"V","Ngoai BS",IF(Dealps[[#This Row],[POSTED_DT]]&gt;=Dealps[[#This Row],[VALUE_DATE]],"On BS","Off BS"))</f>
        <v>Ngoai BS</v>
      </c>
      <c r="X789" s="25">
        <f>SUMIFS(U:U,C:C,Dealps[[#This Row],[PAPER_CODE]])</f>
        <v>200000000000</v>
      </c>
      <c r="Y789" s="25">
        <f>_xlfn.XLOOKUP(Dealps[[#This Row],[DEAL_ID]],Ref!N:N,Ref!Q:Q,0,0)</f>
        <v>0</v>
      </c>
      <c r="Z789" s="25" t="str">
        <f>IF(Dealps[[#This Row],[CPTY_CODE]]=Dealps[[#This Row],[CPTY_CODE_ISSUER]],"Yes","No")</f>
        <v>No</v>
      </c>
      <c r="AA789" s="25"/>
      <c r="AC789" s="14"/>
      <c r="AG789" s="96"/>
      <c r="AH789" s="14"/>
      <c r="AI789"/>
      <c r="AN789" s="14"/>
      <c r="AV789" s="36"/>
      <c r="AW789" s="14"/>
      <c r="AX789" s="234"/>
      <c r="AY789" s="96"/>
      <c r="AZ789" s="14"/>
      <c r="BA789"/>
      <c r="BE789" s="14"/>
      <c r="BF789" s="25"/>
      <c r="BL789" s="15"/>
      <c r="BN789"/>
      <c r="BR789" s="14"/>
      <c r="BV789"/>
    </row>
    <row r="790" spans="1:74" x14ac:dyDescent="0.3">
      <c r="A790" s="93">
        <v>46262</v>
      </c>
      <c r="B790">
        <v>4989</v>
      </c>
      <c r="C790" s="56" t="s">
        <v>1061</v>
      </c>
      <c r="D790" t="s">
        <v>312</v>
      </c>
      <c r="E790" t="s">
        <v>1005</v>
      </c>
      <c r="F790" t="s">
        <v>364</v>
      </c>
      <c r="G790" t="s">
        <v>310</v>
      </c>
      <c r="H790" t="s">
        <v>300</v>
      </c>
      <c r="I790" s="93">
        <v>46260</v>
      </c>
      <c r="J790" s="93">
        <v>46261</v>
      </c>
      <c r="K790" s="93">
        <v>46261</v>
      </c>
      <c r="L790" s="93">
        <v>46343</v>
      </c>
      <c r="M790" s="14">
        <v>1</v>
      </c>
      <c r="N790" s="14">
        <v>300000000000</v>
      </c>
      <c r="O790" s="56">
        <v>100.45602134000001</v>
      </c>
      <c r="P790" s="56">
        <v>0</v>
      </c>
      <c r="Q790" s="14">
        <v>315970255800</v>
      </c>
      <c r="R790">
        <v>4.0543199999999997</v>
      </c>
      <c r="S790" t="s">
        <v>1184</v>
      </c>
      <c r="T790" s="57">
        <f>IF(Dealps[[#This Row],[MATURITY_DATE]]-Dealps[[#This Row],[POSTED_DT]]&lt;0,0,IF(Dealps[[#This Row],[VALUE_DATE]]-Dealps[[#This Row],[POSTED_DT]]&gt;0,Dealps[[#This Row],[MATURITY_DATE]]-Dealps[[#This Row],[VALUE_DATE]],Dealps[[#This Row],[MATURITY_DATE]]-Dealps[[#This Row],[POSTED_DT]]))</f>
        <v>81</v>
      </c>
      <c r="U790" s="25">
        <f>IF(Dealps[[#This Row],[TENOR]]=0,0,IF(Dealps[[#This Row],[DEAL_TYPE]]="B",Dealps[[#This Row],[FACE_AMOUNT]],-Dealps[[#This Row],[FACE_AMOUNT]]))</f>
        <v>300000000000</v>
      </c>
      <c r="V790" s="25">
        <f>_xlfn.XLOOKUP(Dealps[[#This Row],[PAPER_CODE]],FNRP!D:D,FNRP!H:H,0,0)/100*Dealps[[#This Row],[AMOUNT]]</f>
        <v>0</v>
      </c>
      <c r="W790" s="57" t="str">
        <f>IF(Dealps[[#This Row],[TRANSACTION_STATUS]]&lt;&gt;"V","Ngoai BS",IF(Dealps[[#This Row],[POSTED_DT]]&gt;=Dealps[[#This Row],[VALUE_DATE]],"On BS","Off BS"))</f>
        <v>On BS</v>
      </c>
      <c r="X790" s="25">
        <f>SUMIFS(U:U,C:C,Dealps[[#This Row],[PAPER_CODE]])</f>
        <v>1500000000000</v>
      </c>
      <c r="Y790" s="25">
        <f>_xlfn.XLOOKUP(Dealps[[#This Row],[DEAL_ID]],Ref!N:N,Ref!Q:Q,0,0)</f>
        <v>0</v>
      </c>
      <c r="Z790" s="25" t="str">
        <f>IF(Dealps[[#This Row],[CPTY_CODE]]=Dealps[[#This Row],[CPTY_CODE_ISSUER]],"Yes","No")</f>
        <v>No</v>
      </c>
      <c r="AA790" s="25"/>
      <c r="AC790" s="14"/>
      <c r="AG790" s="96"/>
      <c r="AH790" s="14"/>
      <c r="AI790"/>
      <c r="AN790" s="14"/>
      <c r="AV790" s="36"/>
      <c r="AW790" s="14"/>
      <c r="AX790" s="234"/>
      <c r="AY790" s="96"/>
      <c r="AZ790" s="14"/>
      <c r="BA790"/>
      <c r="BE790" s="14"/>
      <c r="BF790" s="25"/>
      <c r="BL790" s="15"/>
      <c r="BN790"/>
      <c r="BR790" s="14"/>
      <c r="BV790"/>
    </row>
    <row r="791" spans="1:74" x14ac:dyDescent="0.3">
      <c r="A791" s="93">
        <v>46262</v>
      </c>
      <c r="B791">
        <v>4990</v>
      </c>
      <c r="C791" s="56" t="s">
        <v>1494</v>
      </c>
      <c r="D791" t="s">
        <v>322</v>
      </c>
      <c r="E791" t="s">
        <v>1005</v>
      </c>
      <c r="F791" t="s">
        <v>364</v>
      </c>
      <c r="G791" t="s">
        <v>310</v>
      </c>
      <c r="H791" t="s">
        <v>300</v>
      </c>
      <c r="I791" s="93">
        <v>46260</v>
      </c>
      <c r="J791" s="93">
        <v>46261</v>
      </c>
      <c r="K791" s="93">
        <v>46261</v>
      </c>
      <c r="L791" s="93">
        <v>46300</v>
      </c>
      <c r="M791" s="14">
        <v>1</v>
      </c>
      <c r="N791" s="14">
        <v>200000000000</v>
      </c>
      <c r="O791" s="56">
        <v>99.751133046999996</v>
      </c>
      <c r="P791" s="56">
        <v>0</v>
      </c>
      <c r="Q791" s="14">
        <v>210187197600</v>
      </c>
      <c r="R791">
        <v>7.9254490000000004</v>
      </c>
      <c r="S791" t="s">
        <v>1184</v>
      </c>
      <c r="T791" s="57">
        <f>IF(Dealps[[#This Row],[MATURITY_DATE]]-Dealps[[#This Row],[POSTED_DT]]&lt;0,0,IF(Dealps[[#This Row],[VALUE_DATE]]-Dealps[[#This Row],[POSTED_DT]]&gt;0,Dealps[[#This Row],[MATURITY_DATE]]-Dealps[[#This Row],[VALUE_DATE]],Dealps[[#This Row],[MATURITY_DATE]]-Dealps[[#This Row],[POSTED_DT]]))</f>
        <v>38</v>
      </c>
      <c r="U791" s="25">
        <f>IF(Dealps[[#This Row],[TENOR]]=0,0,IF(Dealps[[#This Row],[DEAL_TYPE]]="B",Dealps[[#This Row],[FACE_AMOUNT]],-Dealps[[#This Row],[FACE_AMOUNT]]))</f>
        <v>200000000000</v>
      </c>
      <c r="V791" s="25">
        <f>_xlfn.XLOOKUP(Dealps[[#This Row],[PAPER_CODE]],FNRP!D:D,FNRP!H:H,0,0)/100*Dealps[[#This Row],[AMOUNT]]</f>
        <v>0</v>
      </c>
      <c r="W791" s="57" t="str">
        <f>IF(Dealps[[#This Row],[TRANSACTION_STATUS]]&lt;&gt;"V","Ngoai BS",IF(Dealps[[#This Row],[POSTED_DT]]&gt;=Dealps[[#This Row],[VALUE_DATE]],"On BS","Off BS"))</f>
        <v>On BS</v>
      </c>
      <c r="X791" s="25">
        <f>SUMIFS(U:U,C:C,Dealps[[#This Row],[PAPER_CODE]])</f>
        <v>200000000000</v>
      </c>
      <c r="Y791" s="25">
        <f>_xlfn.XLOOKUP(Dealps[[#This Row],[DEAL_ID]],Ref!N:N,Ref!Q:Q,0,0)</f>
        <v>0</v>
      </c>
      <c r="Z791" s="25" t="str">
        <f>IF(Dealps[[#This Row],[CPTY_CODE]]=Dealps[[#This Row],[CPTY_CODE_ISSUER]],"Yes","No")</f>
        <v>No</v>
      </c>
      <c r="AA791" s="25"/>
      <c r="AC791" s="14"/>
      <c r="AG791" s="96"/>
      <c r="AH791" s="14"/>
      <c r="AI791"/>
      <c r="AN791" s="14"/>
      <c r="AV791" s="36"/>
      <c r="AW791" s="14"/>
      <c r="AX791" s="234"/>
      <c r="AY791" s="96"/>
      <c r="AZ791" s="14"/>
      <c r="BA791"/>
      <c r="BE791" s="14"/>
      <c r="BF791" s="25"/>
      <c r="BL791" s="15"/>
      <c r="BN791"/>
      <c r="BR791" s="14"/>
      <c r="BV791"/>
    </row>
    <row r="792" spans="1:74" x14ac:dyDescent="0.3">
      <c r="A792" s="93">
        <v>46262</v>
      </c>
      <c r="B792">
        <v>4991</v>
      </c>
      <c r="C792" s="56" t="s">
        <v>1602</v>
      </c>
      <c r="D792" t="s">
        <v>405</v>
      </c>
      <c r="E792" t="s">
        <v>971</v>
      </c>
      <c r="F792" t="s">
        <v>364</v>
      </c>
      <c r="G792" t="s">
        <v>310</v>
      </c>
      <c r="H792" t="s">
        <v>311</v>
      </c>
      <c r="I792" s="93">
        <v>46260</v>
      </c>
      <c r="J792" s="93">
        <v>46260</v>
      </c>
      <c r="K792" s="93">
        <v>46261</v>
      </c>
      <c r="L792" s="93">
        <v>46618</v>
      </c>
      <c r="M792" s="14">
        <v>1</v>
      </c>
      <c r="N792" s="14">
        <v>300000000000</v>
      </c>
      <c r="O792" s="56">
        <v>100.022778127</v>
      </c>
      <c r="P792" s="56">
        <v>0</v>
      </c>
      <c r="Q792" s="14">
        <v>300219567258</v>
      </c>
      <c r="R792">
        <v>9.17</v>
      </c>
      <c r="S792" t="s">
        <v>1184</v>
      </c>
      <c r="T792" s="57">
        <f>IF(Dealps[[#This Row],[MATURITY_DATE]]-Dealps[[#This Row],[POSTED_DT]]&lt;0,0,IF(Dealps[[#This Row],[VALUE_DATE]]-Dealps[[#This Row],[POSTED_DT]]&gt;0,Dealps[[#This Row],[MATURITY_DATE]]-Dealps[[#This Row],[VALUE_DATE]],Dealps[[#This Row],[MATURITY_DATE]]-Dealps[[#This Row],[POSTED_DT]]))</f>
        <v>356</v>
      </c>
      <c r="U792" s="25">
        <f>IF(Dealps[[#This Row],[TENOR]]=0,0,IF(Dealps[[#This Row],[DEAL_TYPE]]="B",Dealps[[#This Row],[FACE_AMOUNT]],-Dealps[[#This Row],[FACE_AMOUNT]]))</f>
        <v>-300000000000</v>
      </c>
      <c r="V792" s="25">
        <f>_xlfn.XLOOKUP(Dealps[[#This Row],[PAPER_CODE]],FNRP!D:D,FNRP!H:H,0,0)/100*Dealps[[#This Row],[AMOUNT]]</f>
        <v>0</v>
      </c>
      <c r="W792" s="57" t="str">
        <f>IF(Dealps[[#This Row],[TRANSACTION_STATUS]]&lt;&gt;"V","Ngoai BS",IF(Dealps[[#This Row],[POSTED_DT]]&gt;=Dealps[[#This Row],[VALUE_DATE]],"On BS","Off BS"))</f>
        <v>On BS</v>
      </c>
      <c r="X792" s="25">
        <f>SUMIFS(U:U,C:C,Dealps[[#This Row],[PAPER_CODE]])</f>
        <v>600000000000</v>
      </c>
      <c r="Y792" s="25">
        <f>_xlfn.XLOOKUP(Dealps[[#This Row],[DEAL_ID]],Ref!N:N,Ref!Q:Q,0,0)</f>
        <v>0</v>
      </c>
      <c r="Z792" s="25" t="str">
        <f>IF(Dealps[[#This Row],[CPTY_CODE]]=Dealps[[#This Row],[CPTY_CODE_ISSUER]],"Yes","No")</f>
        <v>No</v>
      </c>
      <c r="AA792" s="25"/>
      <c r="AC792" s="14"/>
      <c r="AG792" s="96"/>
      <c r="AH792" s="14"/>
      <c r="AI792"/>
      <c r="AN792" s="14"/>
      <c r="AV792" s="36"/>
      <c r="AW792" s="14"/>
      <c r="AX792" s="234"/>
      <c r="AY792" s="96"/>
      <c r="AZ792" s="14"/>
      <c r="BA792"/>
      <c r="BE792" s="14"/>
      <c r="BF792" s="25"/>
      <c r="BL792" s="15"/>
      <c r="BN792"/>
      <c r="BR792" s="14"/>
      <c r="BV792"/>
    </row>
    <row r="793" spans="1:74" x14ac:dyDescent="0.3">
      <c r="A793" s="93">
        <v>46262</v>
      </c>
      <c r="B793">
        <v>4992</v>
      </c>
      <c r="C793" s="56" t="s">
        <v>1602</v>
      </c>
      <c r="D793" t="s">
        <v>405</v>
      </c>
      <c r="E793" t="s">
        <v>971</v>
      </c>
      <c r="F793" t="s">
        <v>364</v>
      </c>
      <c r="G793" t="s">
        <v>310</v>
      </c>
      <c r="H793" t="s">
        <v>300</v>
      </c>
      <c r="I793" s="93">
        <v>46260</v>
      </c>
      <c r="J793" s="93">
        <v>46268</v>
      </c>
      <c r="K793" s="93">
        <v>46268</v>
      </c>
      <c r="L793" s="93">
        <v>46618</v>
      </c>
      <c r="M793" s="14">
        <v>1</v>
      </c>
      <c r="N793" s="14">
        <v>300000000000</v>
      </c>
      <c r="O793" s="56">
        <v>99.974926964999995</v>
      </c>
      <c r="P793" s="56">
        <v>0</v>
      </c>
      <c r="Q793" s="14">
        <v>300605328840</v>
      </c>
      <c r="R793">
        <v>9.2075689999999994</v>
      </c>
      <c r="S793" t="s">
        <v>651</v>
      </c>
      <c r="T793" s="57">
        <f>IF(Dealps[[#This Row],[MATURITY_DATE]]-Dealps[[#This Row],[POSTED_DT]]&lt;0,0,IF(Dealps[[#This Row],[VALUE_DATE]]-Dealps[[#This Row],[POSTED_DT]]&gt;0,Dealps[[#This Row],[MATURITY_DATE]]-Dealps[[#This Row],[VALUE_DATE]],Dealps[[#This Row],[MATURITY_DATE]]-Dealps[[#This Row],[POSTED_DT]]))</f>
        <v>350</v>
      </c>
      <c r="U793" s="25">
        <f>IF(Dealps[[#This Row],[TENOR]]=0,0,IF(Dealps[[#This Row],[DEAL_TYPE]]="B",Dealps[[#This Row],[FACE_AMOUNT]],-Dealps[[#This Row],[FACE_AMOUNT]]))</f>
        <v>300000000000</v>
      </c>
      <c r="V793" s="25">
        <f>_xlfn.XLOOKUP(Dealps[[#This Row],[PAPER_CODE]],FNRP!D:D,FNRP!H:H,0,0)/100*Dealps[[#This Row],[AMOUNT]]</f>
        <v>0</v>
      </c>
      <c r="W793" s="57" t="str">
        <f>IF(Dealps[[#This Row],[TRANSACTION_STATUS]]&lt;&gt;"V","Ngoai BS",IF(Dealps[[#This Row],[POSTED_DT]]&gt;=Dealps[[#This Row],[VALUE_DATE]],"On BS","Off BS"))</f>
        <v>Ngoai BS</v>
      </c>
      <c r="X793" s="25">
        <f>SUMIFS(U:U,C:C,Dealps[[#This Row],[PAPER_CODE]])</f>
        <v>600000000000</v>
      </c>
      <c r="Y793" s="25">
        <f>_xlfn.XLOOKUP(Dealps[[#This Row],[DEAL_ID]],Ref!N:N,Ref!Q:Q,0,0)</f>
        <v>0</v>
      </c>
      <c r="Z793" s="25" t="str">
        <f>IF(Dealps[[#This Row],[CPTY_CODE]]=Dealps[[#This Row],[CPTY_CODE_ISSUER]],"Yes","No")</f>
        <v>No</v>
      </c>
      <c r="AA793" s="25"/>
      <c r="AC793" s="14"/>
      <c r="AG793" s="96"/>
      <c r="AH793" s="14"/>
      <c r="AI793"/>
      <c r="AN793" s="14"/>
      <c r="AV793" s="36"/>
      <c r="AW793" s="14"/>
      <c r="AX793" s="234"/>
      <c r="AY793" s="96"/>
      <c r="AZ793" s="14"/>
      <c r="BA793"/>
      <c r="BE793" s="14"/>
      <c r="BF793" s="25"/>
      <c r="BL793" s="15"/>
      <c r="BN793"/>
      <c r="BR793" s="14"/>
      <c r="BV793"/>
    </row>
    <row r="794" spans="1:74" x14ac:dyDescent="0.3">
      <c r="A794" s="93">
        <v>46262</v>
      </c>
      <c r="B794">
        <v>50609</v>
      </c>
      <c r="C794" s="56" t="s">
        <v>1608</v>
      </c>
      <c r="D794" t="s">
        <v>342</v>
      </c>
      <c r="E794" t="s">
        <v>342</v>
      </c>
      <c r="F794" t="s">
        <v>35</v>
      </c>
      <c r="G794" t="s">
        <v>310</v>
      </c>
      <c r="H794" t="s">
        <v>300</v>
      </c>
      <c r="I794" s="93">
        <v>46260</v>
      </c>
      <c r="J794" s="93">
        <v>46261</v>
      </c>
      <c r="K794" s="93">
        <v>46261</v>
      </c>
      <c r="L794" s="93">
        <v>48453</v>
      </c>
      <c r="M794" s="14">
        <v>1000</v>
      </c>
      <c r="N794" s="14">
        <v>1000000000000</v>
      </c>
      <c r="O794" s="56">
        <v>100</v>
      </c>
      <c r="P794" s="56">
        <v>0</v>
      </c>
      <c r="Q794" s="14">
        <v>1000000000000</v>
      </c>
      <c r="R794">
        <v>9.5034202269999994</v>
      </c>
      <c r="S794" t="s">
        <v>1184</v>
      </c>
      <c r="T794" s="57">
        <f>IF(Dealps[[#This Row],[MATURITY_DATE]]-Dealps[[#This Row],[POSTED_DT]]&lt;0,0,IF(Dealps[[#This Row],[VALUE_DATE]]-Dealps[[#This Row],[POSTED_DT]]&gt;0,Dealps[[#This Row],[MATURITY_DATE]]-Dealps[[#This Row],[VALUE_DATE]],Dealps[[#This Row],[MATURITY_DATE]]-Dealps[[#This Row],[POSTED_DT]]))</f>
        <v>2191</v>
      </c>
      <c r="U794" s="25">
        <f>IF(Dealps[[#This Row],[TENOR]]=0,0,IF(Dealps[[#This Row],[DEAL_TYPE]]="B",Dealps[[#This Row],[FACE_AMOUNT]],-Dealps[[#This Row],[FACE_AMOUNT]]))</f>
        <v>1000000000000</v>
      </c>
      <c r="V794" s="25">
        <f>_xlfn.XLOOKUP(Dealps[[#This Row],[PAPER_CODE]],FNRP!D:D,FNRP!H:H,0,0)/100*Dealps[[#This Row],[AMOUNT]]</f>
        <v>1241749231910</v>
      </c>
      <c r="W794" s="57" t="str">
        <f>IF(Dealps[[#This Row],[TRANSACTION_STATUS]]&lt;&gt;"V","Ngoai BS",IF(Dealps[[#This Row],[POSTED_DT]]&gt;=Dealps[[#This Row],[VALUE_DATE]],"On BS","Off BS"))</f>
        <v>On BS</v>
      </c>
      <c r="X794" s="25">
        <f>SUMIFS(U:U,C:C,Dealps[[#This Row],[PAPER_CODE]])</f>
        <v>1000000000000</v>
      </c>
      <c r="Y794" s="25">
        <f>_xlfn.XLOOKUP(Dealps[[#This Row],[DEAL_ID]],Ref!N:N,Ref!Q:Q,0,0)</f>
        <v>0</v>
      </c>
      <c r="Z794" s="25" t="str">
        <f>IF(Dealps[[#This Row],[CPTY_CODE]]=Dealps[[#This Row],[CPTY_CODE_ISSUER]],"Yes","No")</f>
        <v>Yes</v>
      </c>
      <c r="AA794" s="25"/>
      <c r="AC794" s="14"/>
      <c r="AG794" s="96"/>
      <c r="AH794" s="14"/>
      <c r="AI794"/>
      <c r="AN794" s="14"/>
      <c r="AV794" s="36"/>
      <c r="AW794" s="14"/>
      <c r="AX794" s="234"/>
      <c r="AY794" s="96"/>
      <c r="AZ794" s="14"/>
      <c r="BA794"/>
      <c r="BB794" s="79"/>
      <c r="BC794" s="79"/>
      <c r="BD794" s="79"/>
      <c r="BE794" s="237"/>
      <c r="BF794" s="238"/>
      <c r="BG794" s="238"/>
      <c r="BH794" s="238"/>
      <c r="BI794" s="238"/>
      <c r="BJ794" s="238"/>
      <c r="BK794" s="238"/>
      <c r="BL794" s="48"/>
      <c r="BM794" s="48"/>
      <c r="BN794" s="79"/>
      <c r="BO794" s="79"/>
      <c r="BP794" s="79"/>
      <c r="BQ794" s="79"/>
      <c r="BR794" s="237"/>
      <c r="BS794" s="237"/>
      <c r="BT794" s="237"/>
      <c r="BU794" s="237"/>
      <c r="BV794"/>
    </row>
    <row r="795" spans="1:74" x14ac:dyDescent="0.3">
      <c r="A795" s="93">
        <v>46262</v>
      </c>
      <c r="B795">
        <v>4993</v>
      </c>
      <c r="C795" s="56" t="s">
        <v>1584</v>
      </c>
      <c r="D795" t="s">
        <v>316</v>
      </c>
      <c r="E795" t="s">
        <v>328</v>
      </c>
      <c r="F795" t="s">
        <v>364</v>
      </c>
      <c r="G795" t="s">
        <v>310</v>
      </c>
      <c r="H795" t="s">
        <v>311</v>
      </c>
      <c r="I795" s="93">
        <v>46261</v>
      </c>
      <c r="J795" s="93">
        <v>46261</v>
      </c>
      <c r="K795" s="93">
        <v>46261</v>
      </c>
      <c r="L795" s="93">
        <v>46514</v>
      </c>
      <c r="M795" s="14">
        <v>1</v>
      </c>
      <c r="N795" s="14">
        <v>1000000000000</v>
      </c>
      <c r="O795" s="56">
        <v>99.995896070000001</v>
      </c>
      <c r="P795" s="56">
        <v>0</v>
      </c>
      <c r="Q795" s="14">
        <v>1024895947000</v>
      </c>
      <c r="R795">
        <v>8.006589</v>
      </c>
      <c r="S795" t="s">
        <v>1184</v>
      </c>
      <c r="T795" s="57">
        <f>IF(Dealps[[#This Row],[MATURITY_DATE]]-Dealps[[#This Row],[POSTED_DT]]&lt;0,0,IF(Dealps[[#This Row],[VALUE_DATE]]-Dealps[[#This Row],[POSTED_DT]]&gt;0,Dealps[[#This Row],[MATURITY_DATE]]-Dealps[[#This Row],[VALUE_DATE]],Dealps[[#This Row],[MATURITY_DATE]]-Dealps[[#This Row],[POSTED_DT]]))</f>
        <v>252</v>
      </c>
      <c r="U795" s="25">
        <f>IF(Dealps[[#This Row],[TENOR]]=0,0,IF(Dealps[[#This Row],[DEAL_TYPE]]="B",Dealps[[#This Row],[FACE_AMOUNT]],-Dealps[[#This Row],[FACE_AMOUNT]]))</f>
        <v>-1000000000000</v>
      </c>
      <c r="V795" s="25">
        <f>_xlfn.XLOOKUP(Dealps[[#This Row],[PAPER_CODE]],FNRP!D:D,FNRP!H:H,0,0)/100*Dealps[[#This Row],[AMOUNT]]</f>
        <v>0</v>
      </c>
      <c r="W795" s="57" t="str">
        <f>IF(Dealps[[#This Row],[TRANSACTION_STATUS]]&lt;&gt;"V","Ngoai BS",IF(Dealps[[#This Row],[POSTED_DT]]&gt;=Dealps[[#This Row],[VALUE_DATE]],"On BS","Off BS"))</f>
        <v>On BS</v>
      </c>
      <c r="X795" s="25">
        <f>SUMIFS(U:U,C:C,Dealps[[#This Row],[PAPER_CODE]])</f>
        <v>0</v>
      </c>
      <c r="Y795" s="25">
        <f>_xlfn.XLOOKUP(Dealps[[#This Row],[DEAL_ID]],Ref!N:N,Ref!Q:Q,0,0)</f>
        <v>0</v>
      </c>
      <c r="Z795" s="25" t="str">
        <f>IF(Dealps[[#This Row],[CPTY_CODE]]=Dealps[[#This Row],[CPTY_CODE_ISSUER]],"Yes","No")</f>
        <v>No</v>
      </c>
      <c r="AA795" s="25"/>
      <c r="AC795" s="14"/>
      <c r="AG795" s="96"/>
      <c r="AH795" s="14"/>
      <c r="AI795"/>
      <c r="AN795" s="14"/>
      <c r="AV795" s="36"/>
      <c r="AW795" s="14"/>
      <c r="AX795" s="234"/>
      <c r="AY795" s="96"/>
      <c r="AZ795" s="14"/>
      <c r="BA795"/>
      <c r="BE795" s="14"/>
      <c r="BF795" s="25"/>
      <c r="BL795" s="15"/>
      <c r="BN795"/>
      <c r="BR795" s="14"/>
      <c r="BV795"/>
    </row>
    <row r="796" spans="1:74" x14ac:dyDescent="0.3">
      <c r="A796" s="93">
        <v>46262</v>
      </c>
      <c r="B796">
        <v>4994</v>
      </c>
      <c r="C796" s="56" t="s">
        <v>1507</v>
      </c>
      <c r="D796" t="s">
        <v>347</v>
      </c>
      <c r="E796" t="s">
        <v>322</v>
      </c>
      <c r="F796" t="s">
        <v>364</v>
      </c>
      <c r="G796" t="s">
        <v>310</v>
      </c>
      <c r="H796" t="s">
        <v>300</v>
      </c>
      <c r="I796" s="93">
        <v>46261</v>
      </c>
      <c r="J796" s="93">
        <v>46255</v>
      </c>
      <c r="K796" s="93">
        <v>46261</v>
      </c>
      <c r="L796" s="93">
        <v>46604</v>
      </c>
      <c r="M796" s="14">
        <v>1</v>
      </c>
      <c r="N796" s="14">
        <v>500000000000</v>
      </c>
      <c r="O796" s="56">
        <v>99.922884303999993</v>
      </c>
      <c r="P796" s="56">
        <v>0</v>
      </c>
      <c r="Q796" s="14">
        <v>501359627000</v>
      </c>
      <c r="R796">
        <v>9.1571610000000003</v>
      </c>
      <c r="S796" t="s">
        <v>1184</v>
      </c>
      <c r="T796" s="57">
        <f>IF(Dealps[[#This Row],[MATURITY_DATE]]-Dealps[[#This Row],[POSTED_DT]]&lt;0,0,IF(Dealps[[#This Row],[VALUE_DATE]]-Dealps[[#This Row],[POSTED_DT]]&gt;0,Dealps[[#This Row],[MATURITY_DATE]]-Dealps[[#This Row],[VALUE_DATE]],Dealps[[#This Row],[MATURITY_DATE]]-Dealps[[#This Row],[POSTED_DT]]))</f>
        <v>342</v>
      </c>
      <c r="U796" s="25">
        <f>IF(Dealps[[#This Row],[TENOR]]=0,0,IF(Dealps[[#This Row],[DEAL_TYPE]]="B",Dealps[[#This Row],[FACE_AMOUNT]],-Dealps[[#This Row],[FACE_AMOUNT]]))</f>
        <v>500000000000</v>
      </c>
      <c r="V796" s="25">
        <f>_xlfn.XLOOKUP(Dealps[[#This Row],[PAPER_CODE]],FNRP!D:D,FNRP!H:H,0,0)/100*Dealps[[#This Row],[AMOUNT]]</f>
        <v>0</v>
      </c>
      <c r="W796" s="57" t="str">
        <f>IF(Dealps[[#This Row],[TRANSACTION_STATUS]]&lt;&gt;"V","Ngoai BS",IF(Dealps[[#This Row],[POSTED_DT]]&gt;=Dealps[[#This Row],[VALUE_DATE]],"On BS","Off BS"))</f>
        <v>On BS</v>
      </c>
      <c r="X796" s="25">
        <f>SUMIFS(U:U,C:C,Dealps[[#This Row],[PAPER_CODE]])</f>
        <v>1000000000000</v>
      </c>
      <c r="Y796" s="25">
        <f>_xlfn.XLOOKUP(Dealps[[#This Row],[DEAL_ID]],Ref!N:N,Ref!Q:Q,0,0)</f>
        <v>0</v>
      </c>
      <c r="Z796" s="25" t="str">
        <f>IF(Dealps[[#This Row],[CPTY_CODE]]=Dealps[[#This Row],[CPTY_CODE_ISSUER]],"Yes","No")</f>
        <v>No</v>
      </c>
      <c r="AA796" s="25"/>
      <c r="AC796" s="14"/>
      <c r="AG796" s="96"/>
      <c r="AH796" s="14"/>
      <c r="AI796"/>
      <c r="AN796" s="14"/>
      <c r="AV796" s="36"/>
      <c r="AW796" s="14"/>
      <c r="AX796" s="234"/>
      <c r="AY796" s="96"/>
      <c r="AZ796" s="14"/>
      <c r="BA796"/>
      <c r="BE796" s="14"/>
      <c r="BF796" s="25"/>
      <c r="BL796" s="15"/>
      <c r="BN796"/>
      <c r="BR796" s="14"/>
      <c r="BV796"/>
    </row>
    <row r="797" spans="1:74" x14ac:dyDescent="0.3">
      <c r="A797" s="93">
        <v>46262</v>
      </c>
      <c r="B797">
        <v>4995</v>
      </c>
      <c r="C797" s="56" t="s">
        <v>1071</v>
      </c>
      <c r="D797" t="s">
        <v>328</v>
      </c>
      <c r="E797" t="s">
        <v>322</v>
      </c>
      <c r="F797" t="s">
        <v>364</v>
      </c>
      <c r="G797" t="s">
        <v>310</v>
      </c>
      <c r="H797" t="s">
        <v>300</v>
      </c>
      <c r="I797" s="93">
        <v>46261</v>
      </c>
      <c r="J797" s="93">
        <v>46248</v>
      </c>
      <c r="K797" s="93">
        <v>46261</v>
      </c>
      <c r="L797" s="93">
        <v>46352</v>
      </c>
      <c r="M797" s="14">
        <v>1</v>
      </c>
      <c r="N797" s="14">
        <v>500000000000</v>
      </c>
      <c r="O797" s="56">
        <v>99.798078644</v>
      </c>
      <c r="P797" s="56">
        <v>0</v>
      </c>
      <c r="Q797" s="14">
        <v>523672584999.99994</v>
      </c>
      <c r="R797">
        <v>7.0749399999999998</v>
      </c>
      <c r="S797" t="s">
        <v>1184</v>
      </c>
      <c r="T797" s="57">
        <f>IF(Dealps[[#This Row],[MATURITY_DATE]]-Dealps[[#This Row],[POSTED_DT]]&lt;0,0,IF(Dealps[[#This Row],[VALUE_DATE]]-Dealps[[#This Row],[POSTED_DT]]&gt;0,Dealps[[#This Row],[MATURITY_DATE]]-Dealps[[#This Row],[VALUE_DATE]],Dealps[[#This Row],[MATURITY_DATE]]-Dealps[[#This Row],[POSTED_DT]]))</f>
        <v>90</v>
      </c>
      <c r="U797" s="25">
        <f>IF(Dealps[[#This Row],[TENOR]]=0,0,IF(Dealps[[#This Row],[DEAL_TYPE]]="B",Dealps[[#This Row],[FACE_AMOUNT]],-Dealps[[#This Row],[FACE_AMOUNT]]))</f>
        <v>500000000000</v>
      </c>
      <c r="V797" s="25">
        <f>_xlfn.XLOOKUP(Dealps[[#This Row],[PAPER_CODE]],FNRP!D:D,FNRP!H:H,0,0)/100*Dealps[[#This Row],[AMOUNT]]</f>
        <v>0</v>
      </c>
      <c r="W797" s="57" t="str">
        <f>IF(Dealps[[#This Row],[TRANSACTION_STATUS]]&lt;&gt;"V","Ngoai BS",IF(Dealps[[#This Row],[POSTED_DT]]&gt;=Dealps[[#This Row],[VALUE_DATE]],"On BS","Off BS"))</f>
        <v>On BS</v>
      </c>
      <c r="X797" s="25">
        <f>SUMIFS(U:U,C:C,Dealps[[#This Row],[PAPER_CODE]])</f>
        <v>1500000000000</v>
      </c>
      <c r="Y797" s="25">
        <f>_xlfn.XLOOKUP(Dealps[[#This Row],[DEAL_ID]],Ref!N:N,Ref!Q:Q,0,0)</f>
        <v>0</v>
      </c>
      <c r="Z797" s="25" t="str">
        <f>IF(Dealps[[#This Row],[CPTY_CODE]]=Dealps[[#This Row],[CPTY_CODE_ISSUER]],"Yes","No")</f>
        <v>No</v>
      </c>
      <c r="AA797" s="25"/>
      <c r="AC797" s="14"/>
      <c r="AG797" s="96"/>
      <c r="AH797" s="14"/>
      <c r="AI797"/>
      <c r="AN797" s="14"/>
      <c r="AV797" s="36"/>
      <c r="AW797" s="14"/>
      <c r="AX797" s="234"/>
      <c r="AY797" s="96"/>
      <c r="AZ797" s="14"/>
      <c r="BA797"/>
      <c r="BE797" s="14"/>
      <c r="BF797" s="25"/>
      <c r="BL797" s="15"/>
      <c r="BN797"/>
      <c r="BR797" s="14"/>
      <c r="BV797"/>
    </row>
    <row r="798" spans="1:74" x14ac:dyDescent="0.3">
      <c r="A798" s="93">
        <v>46262</v>
      </c>
      <c r="B798">
        <v>4996</v>
      </c>
      <c r="C798" s="56" t="s">
        <v>1158</v>
      </c>
      <c r="D798" t="s">
        <v>327</v>
      </c>
      <c r="E798" t="s">
        <v>322</v>
      </c>
      <c r="F798" t="s">
        <v>364</v>
      </c>
      <c r="G798" t="s">
        <v>310</v>
      </c>
      <c r="H798" t="s">
        <v>300</v>
      </c>
      <c r="I798" s="93">
        <v>46261</v>
      </c>
      <c r="J798" s="93">
        <v>46248</v>
      </c>
      <c r="K798" s="93">
        <v>46261</v>
      </c>
      <c r="L798" s="93">
        <v>46409</v>
      </c>
      <c r="M798" s="14">
        <v>1</v>
      </c>
      <c r="N798" s="14">
        <v>500000000000</v>
      </c>
      <c r="O798" s="56">
        <v>99.945038542000006</v>
      </c>
      <c r="P798" s="56">
        <v>0</v>
      </c>
      <c r="Q798" s="14">
        <v>521029302300</v>
      </c>
      <c r="R798">
        <v>7.0394759999999996</v>
      </c>
      <c r="S798" t="s">
        <v>1184</v>
      </c>
      <c r="T798" s="57">
        <f>IF(Dealps[[#This Row],[MATURITY_DATE]]-Dealps[[#This Row],[POSTED_DT]]&lt;0,0,IF(Dealps[[#This Row],[VALUE_DATE]]-Dealps[[#This Row],[POSTED_DT]]&gt;0,Dealps[[#This Row],[MATURITY_DATE]]-Dealps[[#This Row],[VALUE_DATE]],Dealps[[#This Row],[MATURITY_DATE]]-Dealps[[#This Row],[POSTED_DT]]))</f>
        <v>147</v>
      </c>
      <c r="U798" s="25">
        <f>IF(Dealps[[#This Row],[TENOR]]=0,0,IF(Dealps[[#This Row],[DEAL_TYPE]]="B",Dealps[[#This Row],[FACE_AMOUNT]],-Dealps[[#This Row],[FACE_AMOUNT]]))</f>
        <v>500000000000</v>
      </c>
      <c r="V798" s="25">
        <f>_xlfn.XLOOKUP(Dealps[[#This Row],[PAPER_CODE]],FNRP!D:D,FNRP!H:H,0,0)/100*Dealps[[#This Row],[AMOUNT]]</f>
        <v>0</v>
      </c>
      <c r="W798" s="57" t="str">
        <f>IF(Dealps[[#This Row],[TRANSACTION_STATUS]]&lt;&gt;"V","Ngoai BS",IF(Dealps[[#This Row],[POSTED_DT]]&gt;=Dealps[[#This Row],[VALUE_DATE]],"On BS","Off BS"))</f>
        <v>On BS</v>
      </c>
      <c r="X798" s="25">
        <f>SUMIFS(U:U,C:C,Dealps[[#This Row],[PAPER_CODE]])</f>
        <v>2000000000000</v>
      </c>
      <c r="Y798" s="25">
        <f>_xlfn.XLOOKUP(Dealps[[#This Row],[DEAL_ID]],Ref!N:N,Ref!Q:Q,0,0)</f>
        <v>0</v>
      </c>
      <c r="Z798" s="25" t="str">
        <f>IF(Dealps[[#This Row],[CPTY_CODE]]=Dealps[[#This Row],[CPTY_CODE_ISSUER]],"Yes","No")</f>
        <v>No</v>
      </c>
      <c r="AA798" s="25"/>
      <c r="AC798" s="14"/>
      <c r="AG798" s="96"/>
      <c r="AH798" s="14"/>
      <c r="AI798"/>
      <c r="AN798" s="14"/>
      <c r="AV798" s="36"/>
      <c r="AW798" s="14"/>
      <c r="AX798" s="234"/>
      <c r="AY798" s="96"/>
      <c r="AZ798" s="14"/>
      <c r="BA798"/>
      <c r="BE798" s="14"/>
      <c r="BF798" s="25"/>
      <c r="BL798" s="15"/>
      <c r="BN798"/>
      <c r="BR798" s="14"/>
      <c r="BV798"/>
    </row>
    <row r="799" spans="1:74" x14ac:dyDescent="0.3">
      <c r="A799" s="93">
        <v>46262</v>
      </c>
      <c r="B799">
        <v>4997</v>
      </c>
      <c r="C799" s="56" t="s">
        <v>1239</v>
      </c>
      <c r="D799" t="s">
        <v>384</v>
      </c>
      <c r="E799" t="s">
        <v>1015</v>
      </c>
      <c r="F799" t="s">
        <v>364</v>
      </c>
      <c r="G799" t="s">
        <v>310</v>
      </c>
      <c r="H799" t="s">
        <v>300</v>
      </c>
      <c r="I799" s="93">
        <v>46261</v>
      </c>
      <c r="J799" s="93">
        <v>46261</v>
      </c>
      <c r="K799" s="93">
        <v>46261</v>
      </c>
      <c r="L799" s="93">
        <v>46493</v>
      </c>
      <c r="M799" s="14">
        <v>1</v>
      </c>
      <c r="N799" s="14">
        <v>68000000000</v>
      </c>
      <c r="O799" s="56">
        <v>100.43226018999999</v>
      </c>
      <c r="P799" s="56">
        <v>0</v>
      </c>
      <c r="Q799" s="14">
        <v>71013191724</v>
      </c>
      <c r="R799">
        <v>7.8711520000000004</v>
      </c>
      <c r="S799" t="s">
        <v>1184</v>
      </c>
      <c r="T799" s="57">
        <f>IF(Dealps[[#This Row],[MATURITY_DATE]]-Dealps[[#This Row],[POSTED_DT]]&lt;0,0,IF(Dealps[[#This Row],[VALUE_DATE]]-Dealps[[#This Row],[POSTED_DT]]&gt;0,Dealps[[#This Row],[MATURITY_DATE]]-Dealps[[#This Row],[VALUE_DATE]],Dealps[[#This Row],[MATURITY_DATE]]-Dealps[[#This Row],[POSTED_DT]]))</f>
        <v>231</v>
      </c>
      <c r="U799" s="25">
        <f>IF(Dealps[[#This Row],[TENOR]]=0,0,IF(Dealps[[#This Row],[DEAL_TYPE]]="B",Dealps[[#This Row],[FACE_AMOUNT]],-Dealps[[#This Row],[FACE_AMOUNT]]))</f>
        <v>68000000000</v>
      </c>
      <c r="V799" s="25">
        <f>_xlfn.XLOOKUP(Dealps[[#This Row],[PAPER_CODE]],FNRP!D:D,FNRP!H:H,0,0)/100*Dealps[[#This Row],[AMOUNT]]</f>
        <v>0</v>
      </c>
      <c r="W799" s="57" t="str">
        <f>IF(Dealps[[#This Row],[TRANSACTION_STATUS]]&lt;&gt;"V","Ngoai BS",IF(Dealps[[#This Row],[POSTED_DT]]&gt;=Dealps[[#This Row],[VALUE_DATE]],"On BS","Off BS"))</f>
        <v>On BS</v>
      </c>
      <c r="X799" s="25">
        <f>SUMIFS(U:U,C:C,Dealps[[#This Row],[PAPER_CODE]])</f>
        <v>300000000000</v>
      </c>
      <c r="Y799" s="25">
        <f>_xlfn.XLOOKUP(Dealps[[#This Row],[DEAL_ID]],Ref!N:N,Ref!Q:Q,0,0)</f>
        <v>0</v>
      </c>
      <c r="Z799" s="25" t="str">
        <f>IF(Dealps[[#This Row],[CPTY_CODE]]=Dealps[[#This Row],[CPTY_CODE_ISSUER]],"Yes","No")</f>
        <v>No</v>
      </c>
      <c r="AA799" s="25"/>
      <c r="AC799" s="14"/>
      <c r="AG799" s="96"/>
      <c r="AH799" s="14"/>
      <c r="AI799"/>
      <c r="AN799" s="14"/>
      <c r="AV799" s="36"/>
      <c r="AW799" s="14"/>
      <c r="AX799" s="234"/>
      <c r="AY799" s="96"/>
      <c r="AZ799" s="14"/>
      <c r="BA799"/>
      <c r="BE799" s="14"/>
      <c r="BF799" s="25"/>
      <c r="BL799" s="15"/>
      <c r="BN799"/>
      <c r="BR799" s="14"/>
      <c r="BV799"/>
    </row>
    <row r="800" spans="1:74" x14ac:dyDescent="0.3">
      <c r="A800" s="93">
        <v>46262</v>
      </c>
      <c r="B800">
        <v>4998</v>
      </c>
      <c r="C800" s="56" t="s">
        <v>1204</v>
      </c>
      <c r="D800" t="s">
        <v>315</v>
      </c>
      <c r="E800" t="s">
        <v>1499</v>
      </c>
      <c r="F800" t="s">
        <v>364</v>
      </c>
      <c r="G800" t="s">
        <v>310</v>
      </c>
      <c r="H800" t="s">
        <v>311</v>
      </c>
      <c r="I800" s="93">
        <v>46261</v>
      </c>
      <c r="J800" s="93">
        <v>46261</v>
      </c>
      <c r="K800" s="93">
        <v>46262</v>
      </c>
      <c r="L800" s="93">
        <v>46422</v>
      </c>
      <c r="M800" s="14">
        <v>1</v>
      </c>
      <c r="N800" s="14">
        <v>50000000000</v>
      </c>
      <c r="O800" s="56">
        <v>100.64905443000001</v>
      </c>
      <c r="P800" s="56">
        <v>0</v>
      </c>
      <c r="Q800" s="14">
        <v>52357677900</v>
      </c>
      <c r="R800">
        <v>5.5</v>
      </c>
      <c r="S800" t="s">
        <v>1184</v>
      </c>
      <c r="T800" s="57">
        <f>IF(Dealps[[#This Row],[MATURITY_DATE]]-Dealps[[#This Row],[POSTED_DT]]&lt;0,0,IF(Dealps[[#This Row],[VALUE_DATE]]-Dealps[[#This Row],[POSTED_DT]]&gt;0,Dealps[[#This Row],[MATURITY_DATE]]-Dealps[[#This Row],[VALUE_DATE]],Dealps[[#This Row],[MATURITY_DATE]]-Dealps[[#This Row],[POSTED_DT]]))</f>
        <v>160</v>
      </c>
      <c r="U800" s="25">
        <f>IF(Dealps[[#This Row],[TENOR]]=0,0,IF(Dealps[[#This Row],[DEAL_TYPE]]="B",Dealps[[#This Row],[FACE_AMOUNT]],-Dealps[[#This Row],[FACE_AMOUNT]]))</f>
        <v>-50000000000</v>
      </c>
      <c r="V800" s="25">
        <f>_xlfn.XLOOKUP(Dealps[[#This Row],[PAPER_CODE]],FNRP!D:D,FNRP!H:H,0,0)/100*Dealps[[#This Row],[AMOUNT]]</f>
        <v>0</v>
      </c>
      <c r="W800" s="57" t="str">
        <f>IF(Dealps[[#This Row],[TRANSACTION_STATUS]]&lt;&gt;"V","Ngoai BS",IF(Dealps[[#This Row],[POSTED_DT]]&gt;=Dealps[[#This Row],[VALUE_DATE]],"On BS","Off BS"))</f>
        <v>On BS</v>
      </c>
      <c r="X800" s="25">
        <f>SUMIFS(U:U,C:C,Dealps[[#This Row],[PAPER_CODE]])</f>
        <v>1000000000000</v>
      </c>
      <c r="Y800" s="25">
        <f>_xlfn.XLOOKUP(Dealps[[#This Row],[DEAL_ID]],Ref!N:N,Ref!Q:Q,0,0)</f>
        <v>0</v>
      </c>
      <c r="Z800" s="25" t="str">
        <f>IF(Dealps[[#This Row],[CPTY_CODE]]=Dealps[[#This Row],[CPTY_CODE_ISSUER]],"Yes","No")</f>
        <v>No</v>
      </c>
      <c r="AA800" s="25"/>
      <c r="AC800" s="14"/>
      <c r="AG800" s="96"/>
      <c r="AH800" s="14"/>
      <c r="AI800"/>
      <c r="AN800" s="14"/>
      <c r="AV800" s="36"/>
      <c r="AW800" s="14"/>
      <c r="AX800" s="234"/>
      <c r="AY800" s="96"/>
      <c r="AZ800" s="14"/>
      <c r="BA800"/>
      <c r="BE800" s="14"/>
      <c r="BF800" s="25"/>
      <c r="BL800" s="15"/>
      <c r="BN800"/>
      <c r="BR800" s="14"/>
      <c r="BV800"/>
    </row>
    <row r="801" spans="1:74" x14ac:dyDescent="0.3">
      <c r="A801" s="93">
        <v>46262</v>
      </c>
      <c r="B801">
        <v>4999</v>
      </c>
      <c r="C801" s="56" t="s">
        <v>1204</v>
      </c>
      <c r="D801" t="s">
        <v>315</v>
      </c>
      <c r="E801" t="s">
        <v>1499</v>
      </c>
      <c r="F801" t="s">
        <v>364</v>
      </c>
      <c r="G801" t="s">
        <v>310</v>
      </c>
      <c r="H801" t="s">
        <v>300</v>
      </c>
      <c r="I801" s="93">
        <v>46261</v>
      </c>
      <c r="J801" s="93">
        <v>46276</v>
      </c>
      <c r="K801" s="93">
        <v>46276</v>
      </c>
      <c r="L801" s="93">
        <v>46422</v>
      </c>
      <c r="M801" s="14">
        <v>1</v>
      </c>
      <c r="N801" s="14">
        <v>50000000000</v>
      </c>
      <c r="O801" s="56">
        <v>100.6264022</v>
      </c>
      <c r="P801" s="56">
        <v>0</v>
      </c>
      <c r="Q801" s="14">
        <v>52485201100</v>
      </c>
      <c r="R801">
        <v>5.4053279999999999</v>
      </c>
      <c r="S801" t="s">
        <v>651</v>
      </c>
      <c r="T801" s="57">
        <f>IF(Dealps[[#This Row],[MATURITY_DATE]]-Dealps[[#This Row],[POSTED_DT]]&lt;0,0,IF(Dealps[[#This Row],[VALUE_DATE]]-Dealps[[#This Row],[POSTED_DT]]&gt;0,Dealps[[#This Row],[MATURITY_DATE]]-Dealps[[#This Row],[VALUE_DATE]],Dealps[[#This Row],[MATURITY_DATE]]-Dealps[[#This Row],[POSTED_DT]]))</f>
        <v>146</v>
      </c>
      <c r="U801" s="25">
        <f>IF(Dealps[[#This Row],[TENOR]]=0,0,IF(Dealps[[#This Row],[DEAL_TYPE]]="B",Dealps[[#This Row],[FACE_AMOUNT]],-Dealps[[#This Row],[FACE_AMOUNT]]))</f>
        <v>50000000000</v>
      </c>
      <c r="V801" s="25">
        <f>_xlfn.XLOOKUP(Dealps[[#This Row],[PAPER_CODE]],FNRP!D:D,FNRP!H:H,0,0)/100*Dealps[[#This Row],[AMOUNT]]</f>
        <v>0</v>
      </c>
      <c r="W801" s="57" t="str">
        <f>IF(Dealps[[#This Row],[TRANSACTION_STATUS]]&lt;&gt;"V","Ngoai BS",IF(Dealps[[#This Row],[POSTED_DT]]&gt;=Dealps[[#This Row],[VALUE_DATE]],"On BS","Off BS"))</f>
        <v>Ngoai BS</v>
      </c>
      <c r="X801" s="25">
        <f>SUMIFS(U:U,C:C,Dealps[[#This Row],[PAPER_CODE]])</f>
        <v>1000000000000</v>
      </c>
      <c r="Y801" s="25">
        <f>_xlfn.XLOOKUP(Dealps[[#This Row],[DEAL_ID]],Ref!N:N,Ref!Q:Q,0,0)</f>
        <v>0</v>
      </c>
      <c r="Z801" s="25" t="str">
        <f>IF(Dealps[[#This Row],[CPTY_CODE]]=Dealps[[#This Row],[CPTY_CODE_ISSUER]],"Yes","No")</f>
        <v>No</v>
      </c>
      <c r="AA801" s="25"/>
      <c r="AC801" s="14"/>
      <c r="AG801" s="96"/>
      <c r="AH801" s="14"/>
      <c r="AI801"/>
      <c r="AN801" s="14"/>
      <c r="AV801" s="36"/>
      <c r="AW801" s="14"/>
      <c r="AX801" s="234"/>
      <c r="AY801" s="96"/>
      <c r="AZ801" s="14"/>
      <c r="BA801"/>
      <c r="BE801" s="14"/>
      <c r="BF801" s="25"/>
      <c r="BL801" s="15"/>
      <c r="BN801"/>
      <c r="BR801" s="14"/>
      <c r="BV801"/>
    </row>
    <row r="802" spans="1:74" x14ac:dyDescent="0.3">
      <c r="A802" s="93">
        <v>46262</v>
      </c>
      <c r="B802">
        <v>5003</v>
      </c>
      <c r="C802" s="56" t="s">
        <v>1292</v>
      </c>
      <c r="D802" t="s">
        <v>334</v>
      </c>
      <c r="E802" t="s">
        <v>315</v>
      </c>
      <c r="F802" t="s">
        <v>364</v>
      </c>
      <c r="G802" t="s">
        <v>310</v>
      </c>
      <c r="H802" t="s">
        <v>300</v>
      </c>
      <c r="I802" s="93">
        <v>46261</v>
      </c>
      <c r="J802" s="93">
        <v>46261</v>
      </c>
      <c r="K802" s="93">
        <v>46262</v>
      </c>
      <c r="L802" s="93">
        <v>46527</v>
      </c>
      <c r="M802" s="14">
        <v>1</v>
      </c>
      <c r="N802" s="14">
        <v>400000000000</v>
      </c>
      <c r="O802" s="56">
        <v>99.787623248000003</v>
      </c>
      <c r="P802" s="56">
        <v>0</v>
      </c>
      <c r="Q802" s="14">
        <v>408372410800</v>
      </c>
      <c r="R802">
        <v>8.6122560000000004</v>
      </c>
      <c r="S802" t="s">
        <v>1184</v>
      </c>
      <c r="T802" s="57">
        <f>IF(Dealps[[#This Row],[MATURITY_DATE]]-Dealps[[#This Row],[POSTED_DT]]&lt;0,0,IF(Dealps[[#This Row],[VALUE_DATE]]-Dealps[[#This Row],[POSTED_DT]]&gt;0,Dealps[[#This Row],[MATURITY_DATE]]-Dealps[[#This Row],[VALUE_DATE]],Dealps[[#This Row],[MATURITY_DATE]]-Dealps[[#This Row],[POSTED_DT]]))</f>
        <v>265</v>
      </c>
      <c r="U802" s="25">
        <f>IF(Dealps[[#This Row],[TENOR]]=0,0,IF(Dealps[[#This Row],[DEAL_TYPE]]="B",Dealps[[#This Row],[FACE_AMOUNT]],-Dealps[[#This Row],[FACE_AMOUNT]]))</f>
        <v>400000000000</v>
      </c>
      <c r="V802" s="25">
        <f>_xlfn.XLOOKUP(Dealps[[#This Row],[PAPER_CODE]],FNRP!D:D,FNRP!H:H,0,0)/100*Dealps[[#This Row],[AMOUNT]]</f>
        <v>0</v>
      </c>
      <c r="W802" s="57" t="str">
        <f>IF(Dealps[[#This Row],[TRANSACTION_STATUS]]&lt;&gt;"V","Ngoai BS",IF(Dealps[[#This Row],[POSTED_DT]]&gt;=Dealps[[#This Row],[VALUE_DATE]],"On BS","Off BS"))</f>
        <v>On BS</v>
      </c>
      <c r="X802" s="25">
        <f>SUMIFS(U:U,C:C,Dealps[[#This Row],[PAPER_CODE]])</f>
        <v>2000000000000</v>
      </c>
      <c r="Y802" s="25">
        <f>_xlfn.XLOOKUP(Dealps[[#This Row],[DEAL_ID]],Ref!N:N,Ref!Q:Q,0,0)</f>
        <v>0</v>
      </c>
      <c r="Z802" s="25" t="str">
        <f>IF(Dealps[[#This Row],[CPTY_CODE]]=Dealps[[#This Row],[CPTY_CODE_ISSUER]],"Yes","No")</f>
        <v>No</v>
      </c>
      <c r="AA802" s="25"/>
      <c r="AC802" s="14"/>
      <c r="AG802" s="96"/>
      <c r="AH802" s="14"/>
      <c r="AI802"/>
      <c r="AN802" s="14"/>
      <c r="AV802" s="36"/>
      <c r="AW802" s="14"/>
      <c r="AX802" s="234"/>
      <c r="AY802" s="96"/>
      <c r="AZ802" s="14"/>
      <c r="BA802"/>
      <c r="BE802" s="14"/>
      <c r="BF802" s="25"/>
      <c r="BL802" s="15"/>
      <c r="BN802"/>
      <c r="BR802" s="14"/>
      <c r="BV802"/>
    </row>
    <row r="803" spans="1:74" x14ac:dyDescent="0.3">
      <c r="A803" s="93">
        <v>46262</v>
      </c>
      <c r="B803">
        <v>5004</v>
      </c>
      <c r="C803" s="56" t="s">
        <v>1104</v>
      </c>
      <c r="D803" t="s">
        <v>334</v>
      </c>
      <c r="E803" t="s">
        <v>315</v>
      </c>
      <c r="F803" t="s">
        <v>364</v>
      </c>
      <c r="G803" t="s">
        <v>310</v>
      </c>
      <c r="H803" t="s">
        <v>300</v>
      </c>
      <c r="I803" s="93">
        <v>46261</v>
      </c>
      <c r="J803" s="93">
        <v>46261</v>
      </c>
      <c r="K803" s="93">
        <v>46262</v>
      </c>
      <c r="L803" s="93">
        <v>46360</v>
      </c>
      <c r="M803" s="14">
        <v>1</v>
      </c>
      <c r="N803" s="14">
        <v>600000000000</v>
      </c>
      <c r="O803" s="56">
        <v>99.688646949000002</v>
      </c>
      <c r="P803" s="56">
        <v>0</v>
      </c>
      <c r="Q803" s="14">
        <v>628302840600</v>
      </c>
      <c r="R803">
        <v>7.6965729999999999</v>
      </c>
      <c r="S803" t="s">
        <v>1184</v>
      </c>
      <c r="T803" s="57">
        <f>IF(Dealps[[#This Row],[MATURITY_DATE]]-Dealps[[#This Row],[POSTED_DT]]&lt;0,0,IF(Dealps[[#This Row],[VALUE_DATE]]-Dealps[[#This Row],[POSTED_DT]]&gt;0,Dealps[[#This Row],[MATURITY_DATE]]-Dealps[[#This Row],[VALUE_DATE]],Dealps[[#This Row],[MATURITY_DATE]]-Dealps[[#This Row],[POSTED_DT]]))</f>
        <v>98</v>
      </c>
      <c r="U803" s="25">
        <f>IF(Dealps[[#This Row],[TENOR]]=0,0,IF(Dealps[[#This Row],[DEAL_TYPE]]="B",Dealps[[#This Row],[FACE_AMOUNT]],-Dealps[[#This Row],[FACE_AMOUNT]]))</f>
        <v>600000000000</v>
      </c>
      <c r="V803" s="25">
        <f>_xlfn.XLOOKUP(Dealps[[#This Row],[PAPER_CODE]],FNRP!D:D,FNRP!H:H,0,0)/100*Dealps[[#This Row],[AMOUNT]]</f>
        <v>0</v>
      </c>
      <c r="W803" s="57" t="str">
        <f>IF(Dealps[[#This Row],[TRANSACTION_STATUS]]&lt;&gt;"V","Ngoai BS",IF(Dealps[[#This Row],[POSTED_DT]]&gt;=Dealps[[#This Row],[VALUE_DATE]],"On BS","Off BS"))</f>
        <v>On BS</v>
      </c>
      <c r="X803" s="25">
        <f>SUMIFS(U:U,C:C,Dealps[[#This Row],[PAPER_CODE]])</f>
        <v>1000000000000</v>
      </c>
      <c r="Y803" s="25">
        <f>_xlfn.XLOOKUP(Dealps[[#This Row],[DEAL_ID]],Ref!N:N,Ref!Q:Q,0,0)</f>
        <v>0</v>
      </c>
      <c r="Z803" s="25" t="str">
        <f>IF(Dealps[[#This Row],[CPTY_CODE]]=Dealps[[#This Row],[CPTY_CODE_ISSUER]],"Yes","No")</f>
        <v>No</v>
      </c>
      <c r="AA803" s="25"/>
      <c r="AC803" s="14"/>
      <c r="AG803" s="96"/>
      <c r="AH803" s="14"/>
      <c r="AI803"/>
      <c r="AN803" s="14"/>
      <c r="AV803" s="36"/>
      <c r="AW803" s="14"/>
      <c r="AX803" s="234"/>
      <c r="AY803" s="96"/>
      <c r="AZ803" s="14"/>
      <c r="BA803"/>
      <c r="BE803" s="14"/>
      <c r="BF803" s="25"/>
      <c r="BL803" s="15"/>
      <c r="BN803"/>
      <c r="BR803" s="14"/>
      <c r="BV803"/>
    </row>
    <row r="804" spans="1:74" x14ac:dyDescent="0.3">
      <c r="A804" s="93">
        <v>46262</v>
      </c>
      <c r="B804">
        <v>5009</v>
      </c>
      <c r="C804" s="56" t="s">
        <v>1010</v>
      </c>
      <c r="D804" t="s">
        <v>328</v>
      </c>
      <c r="E804" t="s">
        <v>322</v>
      </c>
      <c r="F804" t="s">
        <v>364</v>
      </c>
      <c r="G804" t="s">
        <v>310</v>
      </c>
      <c r="H804" t="s">
        <v>300</v>
      </c>
      <c r="I804" s="93">
        <v>46261</v>
      </c>
      <c r="J804" s="93">
        <v>46259</v>
      </c>
      <c r="K804" s="93">
        <v>46279</v>
      </c>
      <c r="L804" s="93">
        <v>46329</v>
      </c>
      <c r="M804" s="14">
        <v>1</v>
      </c>
      <c r="N804" s="14">
        <v>500000000000</v>
      </c>
      <c r="O804" s="56">
        <v>99.823193872999994</v>
      </c>
      <c r="P804" s="56">
        <v>0</v>
      </c>
      <c r="Q804" s="14">
        <v>526214599500</v>
      </c>
      <c r="R804">
        <v>7.2125370000000002</v>
      </c>
      <c r="S804" t="s">
        <v>1487</v>
      </c>
      <c r="T804" s="57">
        <f>IF(Dealps[[#This Row],[MATURITY_DATE]]-Dealps[[#This Row],[POSTED_DT]]&lt;0,0,IF(Dealps[[#This Row],[VALUE_DATE]]-Dealps[[#This Row],[POSTED_DT]]&gt;0,Dealps[[#This Row],[MATURITY_DATE]]-Dealps[[#This Row],[VALUE_DATE]],Dealps[[#This Row],[MATURITY_DATE]]-Dealps[[#This Row],[POSTED_DT]]))</f>
        <v>50</v>
      </c>
      <c r="U804" s="25">
        <f>IF(Dealps[[#This Row],[TENOR]]=0,0,IF(Dealps[[#This Row],[DEAL_TYPE]]="B",Dealps[[#This Row],[FACE_AMOUNT]],-Dealps[[#This Row],[FACE_AMOUNT]]))</f>
        <v>500000000000</v>
      </c>
      <c r="V804" s="25">
        <f>_xlfn.XLOOKUP(Dealps[[#This Row],[PAPER_CODE]],FNRP!D:D,FNRP!H:H,0,0)/100*Dealps[[#This Row],[AMOUNT]]</f>
        <v>0</v>
      </c>
      <c r="W804" s="57" t="str">
        <f>IF(Dealps[[#This Row],[TRANSACTION_STATUS]]&lt;&gt;"V","Ngoai BS",IF(Dealps[[#This Row],[POSTED_DT]]&gt;=Dealps[[#This Row],[VALUE_DATE]],"On BS","Off BS"))</f>
        <v>Ngoai BS</v>
      </c>
      <c r="X804" s="25">
        <f>SUMIFS(U:U,C:C,Dealps[[#This Row],[PAPER_CODE]])</f>
        <v>2000000000000</v>
      </c>
      <c r="Y804" s="25">
        <f>_xlfn.XLOOKUP(Dealps[[#This Row],[DEAL_ID]],Ref!N:N,Ref!Q:Q,0,0)</f>
        <v>0</v>
      </c>
      <c r="Z804" s="25" t="str">
        <f>IF(Dealps[[#This Row],[CPTY_CODE]]=Dealps[[#This Row],[CPTY_CODE_ISSUER]],"Yes","No")</f>
        <v>No</v>
      </c>
      <c r="AA804" s="25"/>
      <c r="AC804" s="14"/>
      <c r="AG804" s="96"/>
      <c r="AH804" s="14"/>
      <c r="AI804"/>
      <c r="AN804" s="14"/>
      <c r="AV804" s="36"/>
      <c r="AW804" s="14"/>
      <c r="AX804" s="234"/>
      <c r="AY804" s="96"/>
      <c r="AZ804" s="14"/>
      <c r="BA804"/>
      <c r="BE804" s="14"/>
      <c r="BF804" s="25"/>
      <c r="BL804" s="15"/>
      <c r="BN804"/>
      <c r="BR804" s="14"/>
      <c r="BV804"/>
    </row>
    <row r="805" spans="1:74" x14ac:dyDescent="0.3">
      <c r="A805" s="93">
        <v>46262</v>
      </c>
      <c r="B805">
        <v>5010</v>
      </c>
      <c r="C805" s="56" t="s">
        <v>1275</v>
      </c>
      <c r="D805" t="s">
        <v>325</v>
      </c>
      <c r="E805" t="s">
        <v>318</v>
      </c>
      <c r="F805" t="s">
        <v>364</v>
      </c>
      <c r="G805" t="s">
        <v>310</v>
      </c>
      <c r="H805" t="s">
        <v>300</v>
      </c>
      <c r="I805" s="93">
        <v>46261</v>
      </c>
      <c r="J805" s="93">
        <v>46253</v>
      </c>
      <c r="K805" s="93">
        <v>46301</v>
      </c>
      <c r="L805" s="93">
        <v>46520</v>
      </c>
      <c r="M805" s="14">
        <v>1</v>
      </c>
      <c r="N805" s="14">
        <v>500000000000</v>
      </c>
      <c r="O805" s="56">
        <v>99.646827516000002</v>
      </c>
      <c r="P805" s="56">
        <v>0</v>
      </c>
      <c r="Q805" s="14">
        <v>515514959500.00006</v>
      </c>
      <c r="R805">
        <v>9.0090699999999995</v>
      </c>
      <c r="S805" t="s">
        <v>1487</v>
      </c>
      <c r="T805" s="57">
        <f>IF(Dealps[[#This Row],[MATURITY_DATE]]-Dealps[[#This Row],[POSTED_DT]]&lt;0,0,IF(Dealps[[#This Row],[VALUE_DATE]]-Dealps[[#This Row],[POSTED_DT]]&gt;0,Dealps[[#This Row],[MATURITY_DATE]]-Dealps[[#This Row],[VALUE_DATE]],Dealps[[#This Row],[MATURITY_DATE]]-Dealps[[#This Row],[POSTED_DT]]))</f>
        <v>219</v>
      </c>
      <c r="U805" s="25">
        <f>IF(Dealps[[#This Row],[TENOR]]=0,0,IF(Dealps[[#This Row],[DEAL_TYPE]]="B",Dealps[[#This Row],[FACE_AMOUNT]],-Dealps[[#This Row],[FACE_AMOUNT]]))</f>
        <v>500000000000</v>
      </c>
      <c r="V805" s="25">
        <f>_xlfn.XLOOKUP(Dealps[[#This Row],[PAPER_CODE]],FNRP!D:D,FNRP!H:H,0,0)/100*Dealps[[#This Row],[AMOUNT]]</f>
        <v>0</v>
      </c>
      <c r="W805" s="57" t="str">
        <f>IF(Dealps[[#This Row],[TRANSACTION_STATUS]]&lt;&gt;"V","Ngoai BS",IF(Dealps[[#This Row],[POSTED_DT]]&gt;=Dealps[[#This Row],[VALUE_DATE]],"On BS","Off BS"))</f>
        <v>Ngoai BS</v>
      </c>
      <c r="X805" s="25">
        <f>SUMIFS(U:U,C:C,Dealps[[#This Row],[PAPER_CODE]])</f>
        <v>800000000000</v>
      </c>
      <c r="Y805" s="25">
        <f>_xlfn.XLOOKUP(Dealps[[#This Row],[DEAL_ID]],Ref!N:N,Ref!Q:Q,0,0)</f>
        <v>0</v>
      </c>
      <c r="Z805" s="25" t="str">
        <f>IF(Dealps[[#This Row],[CPTY_CODE]]=Dealps[[#This Row],[CPTY_CODE_ISSUER]],"Yes","No")</f>
        <v>No</v>
      </c>
      <c r="AA805" s="25"/>
      <c r="AC805" s="14"/>
      <c r="AG805" s="96"/>
      <c r="AH805" s="14"/>
      <c r="AI805"/>
      <c r="AN805" s="14"/>
      <c r="AV805" s="36"/>
      <c r="AW805" s="14"/>
      <c r="AX805" s="234"/>
      <c r="AY805" s="96"/>
      <c r="AZ805" s="14"/>
      <c r="BA805"/>
      <c r="BE805" s="14"/>
      <c r="BF805" s="25"/>
      <c r="BL805" s="15"/>
      <c r="BN805"/>
      <c r="BR805" s="14"/>
      <c r="BV805"/>
    </row>
    <row r="806" spans="1:74" x14ac:dyDescent="0.3">
      <c r="A806" s="93">
        <v>46262</v>
      </c>
      <c r="B806">
        <v>5011</v>
      </c>
      <c r="C806" s="56" t="s">
        <v>1275</v>
      </c>
      <c r="D806" t="s">
        <v>325</v>
      </c>
      <c r="E806" t="s">
        <v>405</v>
      </c>
      <c r="F806" t="s">
        <v>364</v>
      </c>
      <c r="G806" t="s">
        <v>310</v>
      </c>
      <c r="H806" t="s">
        <v>300</v>
      </c>
      <c r="I806" s="93">
        <v>46261</v>
      </c>
      <c r="J806" s="93">
        <v>46259</v>
      </c>
      <c r="K806" s="93">
        <v>46274</v>
      </c>
      <c r="L806" s="93">
        <v>46520</v>
      </c>
      <c r="M806" s="14">
        <v>1</v>
      </c>
      <c r="N806" s="14">
        <v>100000000000</v>
      </c>
      <c r="O806" s="56">
        <v>99.830785759999998</v>
      </c>
      <c r="P806" s="56">
        <v>0</v>
      </c>
      <c r="Q806" s="14">
        <v>102643388500</v>
      </c>
      <c r="R806">
        <v>8.7205519999999996</v>
      </c>
      <c r="S806" t="s">
        <v>1487</v>
      </c>
      <c r="T806" s="57">
        <f>IF(Dealps[[#This Row],[MATURITY_DATE]]-Dealps[[#This Row],[POSTED_DT]]&lt;0,0,IF(Dealps[[#This Row],[VALUE_DATE]]-Dealps[[#This Row],[POSTED_DT]]&gt;0,Dealps[[#This Row],[MATURITY_DATE]]-Dealps[[#This Row],[VALUE_DATE]],Dealps[[#This Row],[MATURITY_DATE]]-Dealps[[#This Row],[POSTED_DT]]))</f>
        <v>246</v>
      </c>
      <c r="U806" s="25">
        <f>IF(Dealps[[#This Row],[TENOR]]=0,0,IF(Dealps[[#This Row],[DEAL_TYPE]]="B",Dealps[[#This Row],[FACE_AMOUNT]],-Dealps[[#This Row],[FACE_AMOUNT]]))</f>
        <v>100000000000</v>
      </c>
      <c r="V806" s="25">
        <f>_xlfn.XLOOKUP(Dealps[[#This Row],[PAPER_CODE]],FNRP!D:D,FNRP!H:H,0,0)/100*Dealps[[#This Row],[AMOUNT]]</f>
        <v>0</v>
      </c>
      <c r="W806" s="57" t="str">
        <f>IF(Dealps[[#This Row],[TRANSACTION_STATUS]]&lt;&gt;"V","Ngoai BS",IF(Dealps[[#This Row],[POSTED_DT]]&gt;=Dealps[[#This Row],[VALUE_DATE]],"On BS","Off BS"))</f>
        <v>Ngoai BS</v>
      </c>
      <c r="X806" s="25">
        <f>SUMIFS(U:U,C:C,Dealps[[#This Row],[PAPER_CODE]])</f>
        <v>800000000000</v>
      </c>
      <c r="Y806" s="25">
        <f>_xlfn.XLOOKUP(Dealps[[#This Row],[DEAL_ID]],Ref!N:N,Ref!Q:Q,0,0)</f>
        <v>0</v>
      </c>
      <c r="Z806" s="25" t="str">
        <f>IF(Dealps[[#This Row],[CPTY_CODE]]=Dealps[[#This Row],[CPTY_CODE_ISSUER]],"Yes","No")</f>
        <v>No</v>
      </c>
      <c r="AA806" s="25"/>
      <c r="AC806" s="14"/>
      <c r="AG806" s="96"/>
      <c r="AH806" s="14"/>
      <c r="AI806"/>
      <c r="AN806" s="14"/>
      <c r="AV806" s="36"/>
      <c r="AW806" s="14"/>
      <c r="AX806" s="234"/>
      <c r="AY806" s="96"/>
      <c r="AZ806" s="14"/>
      <c r="BA806"/>
      <c r="BE806" s="14"/>
      <c r="BF806" s="25"/>
      <c r="BL806" s="15"/>
      <c r="BN806"/>
      <c r="BR806" s="14"/>
      <c r="BV806"/>
    </row>
    <row r="807" spans="1:74" x14ac:dyDescent="0.3">
      <c r="A807" s="93">
        <v>46262</v>
      </c>
      <c r="B807">
        <v>5013</v>
      </c>
      <c r="C807" s="56" t="s">
        <v>1258</v>
      </c>
      <c r="D807" t="s">
        <v>321</v>
      </c>
      <c r="E807" t="s">
        <v>954</v>
      </c>
      <c r="F807" t="s">
        <v>364</v>
      </c>
      <c r="G807" t="s">
        <v>310</v>
      </c>
      <c r="H807" t="s">
        <v>300</v>
      </c>
      <c r="I807" s="93">
        <v>46261</v>
      </c>
      <c r="J807" s="93">
        <v>46261</v>
      </c>
      <c r="K807" s="93">
        <v>46275</v>
      </c>
      <c r="L807" s="93">
        <v>46485</v>
      </c>
      <c r="M807" s="14">
        <v>1</v>
      </c>
      <c r="N807" s="14">
        <v>600000000000</v>
      </c>
      <c r="O807" s="56">
        <v>100.95945260400001</v>
      </c>
      <c r="P807" s="56">
        <v>0</v>
      </c>
      <c r="Q807" s="14">
        <v>626330962200</v>
      </c>
      <c r="R807">
        <v>6.4493510000000001</v>
      </c>
      <c r="S807" t="s">
        <v>1487</v>
      </c>
      <c r="T807" s="57">
        <f>IF(Dealps[[#This Row],[MATURITY_DATE]]-Dealps[[#This Row],[POSTED_DT]]&lt;0,0,IF(Dealps[[#This Row],[VALUE_DATE]]-Dealps[[#This Row],[POSTED_DT]]&gt;0,Dealps[[#This Row],[MATURITY_DATE]]-Dealps[[#This Row],[VALUE_DATE]],Dealps[[#This Row],[MATURITY_DATE]]-Dealps[[#This Row],[POSTED_DT]]))</f>
        <v>210</v>
      </c>
      <c r="U807" s="25">
        <f>IF(Dealps[[#This Row],[TENOR]]=0,0,IF(Dealps[[#This Row],[DEAL_TYPE]]="B",Dealps[[#This Row],[FACE_AMOUNT]],-Dealps[[#This Row],[FACE_AMOUNT]]))</f>
        <v>600000000000</v>
      </c>
      <c r="V807" s="25">
        <f>_xlfn.XLOOKUP(Dealps[[#This Row],[PAPER_CODE]],FNRP!D:D,FNRP!H:H,0,0)/100*Dealps[[#This Row],[AMOUNT]]</f>
        <v>0</v>
      </c>
      <c r="W807" s="57" t="str">
        <f>IF(Dealps[[#This Row],[TRANSACTION_STATUS]]&lt;&gt;"V","Ngoai BS",IF(Dealps[[#This Row],[POSTED_DT]]&gt;=Dealps[[#This Row],[VALUE_DATE]],"On BS","Off BS"))</f>
        <v>Ngoai BS</v>
      </c>
      <c r="X807" s="25">
        <f>SUMIFS(U:U,C:C,Dealps[[#This Row],[PAPER_CODE]])</f>
        <v>2000000000000</v>
      </c>
      <c r="Y807" s="25">
        <f>_xlfn.XLOOKUP(Dealps[[#This Row],[DEAL_ID]],Ref!N:N,Ref!Q:Q,0,0)</f>
        <v>0</v>
      </c>
      <c r="Z807" s="25" t="str">
        <f>IF(Dealps[[#This Row],[CPTY_CODE]]=Dealps[[#This Row],[CPTY_CODE_ISSUER]],"Yes","No")</f>
        <v>No</v>
      </c>
      <c r="AA807" s="25"/>
      <c r="AC807" s="14"/>
      <c r="AG807" s="96"/>
      <c r="AH807" s="14"/>
      <c r="AI807"/>
      <c r="AN807" s="14"/>
      <c r="AV807" s="36"/>
      <c r="AW807" s="14"/>
      <c r="AX807" s="234"/>
      <c r="AY807" s="96"/>
      <c r="AZ807" s="14"/>
      <c r="BA807"/>
      <c r="BE807" s="14"/>
      <c r="BF807" s="25"/>
      <c r="BL807" s="15"/>
      <c r="BN807"/>
      <c r="BR807" s="14"/>
      <c r="BV807"/>
    </row>
    <row r="808" spans="1:74" x14ac:dyDescent="0.3">
      <c r="A808" s="93">
        <v>46262</v>
      </c>
      <c r="B808">
        <v>5014</v>
      </c>
      <c r="C808" s="56" t="s">
        <v>1158</v>
      </c>
      <c r="D808" t="s">
        <v>327</v>
      </c>
      <c r="E808" t="s">
        <v>321</v>
      </c>
      <c r="F808" t="s">
        <v>364</v>
      </c>
      <c r="G808" t="s">
        <v>310</v>
      </c>
      <c r="H808" t="s">
        <v>300</v>
      </c>
      <c r="I808" s="93">
        <v>46261</v>
      </c>
      <c r="J808" s="93">
        <v>46259</v>
      </c>
      <c r="K808" s="93">
        <v>46303</v>
      </c>
      <c r="L808" s="93">
        <v>46409</v>
      </c>
      <c r="M808" s="14">
        <v>1</v>
      </c>
      <c r="N808" s="14">
        <v>500000000000</v>
      </c>
      <c r="O808" s="56">
        <v>99.492735280999995</v>
      </c>
      <c r="P808" s="56">
        <v>0</v>
      </c>
      <c r="Q808" s="14">
        <v>522910251743</v>
      </c>
      <c r="R808">
        <v>8.5547310000000003</v>
      </c>
      <c r="S808" t="s">
        <v>1487</v>
      </c>
      <c r="T808" s="57">
        <f>IF(Dealps[[#This Row],[MATURITY_DATE]]-Dealps[[#This Row],[POSTED_DT]]&lt;0,0,IF(Dealps[[#This Row],[VALUE_DATE]]-Dealps[[#This Row],[POSTED_DT]]&gt;0,Dealps[[#This Row],[MATURITY_DATE]]-Dealps[[#This Row],[VALUE_DATE]],Dealps[[#This Row],[MATURITY_DATE]]-Dealps[[#This Row],[POSTED_DT]]))</f>
        <v>106</v>
      </c>
      <c r="U808" s="25">
        <f>IF(Dealps[[#This Row],[TENOR]]=0,0,IF(Dealps[[#This Row],[DEAL_TYPE]]="B",Dealps[[#This Row],[FACE_AMOUNT]],-Dealps[[#This Row],[FACE_AMOUNT]]))</f>
        <v>500000000000</v>
      </c>
      <c r="V808" s="25">
        <f>_xlfn.XLOOKUP(Dealps[[#This Row],[PAPER_CODE]],FNRP!D:D,FNRP!H:H,0,0)/100*Dealps[[#This Row],[AMOUNT]]</f>
        <v>0</v>
      </c>
      <c r="W808" s="57" t="str">
        <f>IF(Dealps[[#This Row],[TRANSACTION_STATUS]]&lt;&gt;"V","Ngoai BS",IF(Dealps[[#This Row],[POSTED_DT]]&gt;=Dealps[[#This Row],[VALUE_DATE]],"On BS","Off BS"))</f>
        <v>Ngoai BS</v>
      </c>
      <c r="X808" s="25">
        <f>SUMIFS(U:U,C:C,Dealps[[#This Row],[PAPER_CODE]])</f>
        <v>2000000000000</v>
      </c>
      <c r="Y808" s="25">
        <f>_xlfn.XLOOKUP(Dealps[[#This Row],[DEAL_ID]],Ref!N:N,Ref!Q:Q,0,0)</f>
        <v>0</v>
      </c>
      <c r="Z808" s="25" t="str">
        <f>IF(Dealps[[#This Row],[CPTY_CODE]]=Dealps[[#This Row],[CPTY_CODE_ISSUER]],"Yes","No")</f>
        <v>No</v>
      </c>
      <c r="AA808" s="25"/>
      <c r="AC808" s="14"/>
      <c r="AG808" s="96"/>
      <c r="AH808" s="14"/>
      <c r="AI808"/>
      <c r="AN808" s="14"/>
      <c r="AV808" s="36"/>
      <c r="AW808" s="14"/>
      <c r="AX808" s="234"/>
      <c r="AY808" s="96"/>
      <c r="AZ808" s="14"/>
      <c r="BA808"/>
      <c r="BE808" s="14"/>
      <c r="BF808" s="25"/>
      <c r="BL808" s="15"/>
      <c r="BN808"/>
      <c r="BR808" s="14"/>
      <c r="BV808"/>
    </row>
    <row r="809" spans="1:74" x14ac:dyDescent="0.3">
      <c r="A809" s="93">
        <v>46262</v>
      </c>
      <c r="B809">
        <v>5015</v>
      </c>
      <c r="C809" s="56" t="s">
        <v>1010</v>
      </c>
      <c r="D809" t="s">
        <v>328</v>
      </c>
      <c r="E809" t="s">
        <v>321</v>
      </c>
      <c r="F809" t="s">
        <v>364</v>
      </c>
      <c r="G809" t="s">
        <v>310</v>
      </c>
      <c r="H809" t="s">
        <v>300</v>
      </c>
      <c r="I809" s="93">
        <v>46261</v>
      </c>
      <c r="J809" s="93">
        <v>46259</v>
      </c>
      <c r="K809" s="93">
        <v>46303</v>
      </c>
      <c r="L809" s="93">
        <v>46329</v>
      </c>
      <c r="M809" s="14">
        <v>1</v>
      </c>
      <c r="N809" s="14">
        <v>500000000000</v>
      </c>
      <c r="O809" s="56">
        <v>99.889006597000005</v>
      </c>
      <c r="P809" s="56">
        <v>0</v>
      </c>
      <c r="Q809" s="14">
        <v>528614895999.99994</v>
      </c>
      <c r="R809">
        <v>7.4327990000000002</v>
      </c>
      <c r="S809" t="s">
        <v>1487</v>
      </c>
      <c r="T809" s="57">
        <f>IF(Dealps[[#This Row],[MATURITY_DATE]]-Dealps[[#This Row],[POSTED_DT]]&lt;0,0,IF(Dealps[[#This Row],[VALUE_DATE]]-Dealps[[#This Row],[POSTED_DT]]&gt;0,Dealps[[#This Row],[MATURITY_DATE]]-Dealps[[#This Row],[VALUE_DATE]],Dealps[[#This Row],[MATURITY_DATE]]-Dealps[[#This Row],[POSTED_DT]]))</f>
        <v>26</v>
      </c>
      <c r="U809" s="25">
        <f>IF(Dealps[[#This Row],[TENOR]]=0,0,IF(Dealps[[#This Row],[DEAL_TYPE]]="B",Dealps[[#This Row],[FACE_AMOUNT]],-Dealps[[#This Row],[FACE_AMOUNT]]))</f>
        <v>500000000000</v>
      </c>
      <c r="V809" s="25">
        <f>_xlfn.XLOOKUP(Dealps[[#This Row],[PAPER_CODE]],FNRP!D:D,FNRP!H:H,0,0)/100*Dealps[[#This Row],[AMOUNT]]</f>
        <v>0</v>
      </c>
      <c r="W809" s="57" t="str">
        <f>IF(Dealps[[#This Row],[TRANSACTION_STATUS]]&lt;&gt;"V","Ngoai BS",IF(Dealps[[#This Row],[POSTED_DT]]&gt;=Dealps[[#This Row],[VALUE_DATE]],"On BS","Off BS"))</f>
        <v>Ngoai BS</v>
      </c>
      <c r="X809" s="25">
        <f>SUMIFS(U:U,C:C,Dealps[[#This Row],[PAPER_CODE]])</f>
        <v>2000000000000</v>
      </c>
      <c r="Y809" s="25">
        <f>_xlfn.XLOOKUP(Dealps[[#This Row],[DEAL_ID]],Ref!N:N,Ref!Q:Q,0,0)</f>
        <v>0</v>
      </c>
      <c r="Z809" s="25" t="str">
        <f>IF(Dealps[[#This Row],[CPTY_CODE]]=Dealps[[#This Row],[CPTY_CODE_ISSUER]],"Yes","No")</f>
        <v>No</v>
      </c>
      <c r="AA809" s="25"/>
      <c r="AC809" s="14"/>
      <c r="AG809" s="96"/>
      <c r="AH809" s="14"/>
      <c r="AI809"/>
      <c r="AN809" s="14"/>
      <c r="AV809" s="36"/>
      <c r="AW809" s="14"/>
      <c r="AX809" s="234"/>
      <c r="AY809" s="96"/>
      <c r="AZ809" s="14"/>
      <c r="BA809"/>
      <c r="BE809" s="14"/>
      <c r="BF809" s="25"/>
      <c r="BL809" s="15"/>
      <c r="BN809"/>
      <c r="BR809" s="14"/>
      <c r="BV809"/>
    </row>
    <row r="810" spans="1:74" x14ac:dyDescent="0.3">
      <c r="A810" s="93">
        <v>46262</v>
      </c>
      <c r="B810">
        <v>5016</v>
      </c>
      <c r="C810" s="56" t="s">
        <v>1010</v>
      </c>
      <c r="D810" t="s">
        <v>328</v>
      </c>
      <c r="E810" t="s">
        <v>321</v>
      </c>
      <c r="F810" t="s">
        <v>364</v>
      </c>
      <c r="G810" t="s">
        <v>310</v>
      </c>
      <c r="H810" t="s">
        <v>300</v>
      </c>
      <c r="I810" s="93">
        <v>46261</v>
      </c>
      <c r="J810" s="93">
        <v>46258</v>
      </c>
      <c r="K810" s="93">
        <v>46279</v>
      </c>
      <c r="L810" s="93">
        <v>46329</v>
      </c>
      <c r="M810" s="14">
        <v>1</v>
      </c>
      <c r="N810" s="14">
        <v>200000000000</v>
      </c>
      <c r="O810" s="56">
        <v>99.759887473000006</v>
      </c>
      <c r="P810" s="56">
        <v>0</v>
      </c>
      <c r="Q810" s="14">
        <v>210359227000</v>
      </c>
      <c r="R810">
        <v>7.6562570000000001</v>
      </c>
      <c r="S810" t="s">
        <v>1487</v>
      </c>
      <c r="T810" s="57">
        <f>IF(Dealps[[#This Row],[MATURITY_DATE]]-Dealps[[#This Row],[POSTED_DT]]&lt;0,0,IF(Dealps[[#This Row],[VALUE_DATE]]-Dealps[[#This Row],[POSTED_DT]]&gt;0,Dealps[[#This Row],[MATURITY_DATE]]-Dealps[[#This Row],[VALUE_DATE]],Dealps[[#This Row],[MATURITY_DATE]]-Dealps[[#This Row],[POSTED_DT]]))</f>
        <v>50</v>
      </c>
      <c r="U810" s="25">
        <f>IF(Dealps[[#This Row],[TENOR]]=0,0,IF(Dealps[[#This Row],[DEAL_TYPE]]="B",Dealps[[#This Row],[FACE_AMOUNT]],-Dealps[[#This Row],[FACE_AMOUNT]]))</f>
        <v>200000000000</v>
      </c>
      <c r="V810" s="25">
        <f>_xlfn.XLOOKUP(Dealps[[#This Row],[PAPER_CODE]],FNRP!D:D,FNRP!H:H,0,0)/100*Dealps[[#This Row],[AMOUNT]]</f>
        <v>0</v>
      </c>
      <c r="W810" s="57" t="str">
        <f>IF(Dealps[[#This Row],[TRANSACTION_STATUS]]&lt;&gt;"V","Ngoai BS",IF(Dealps[[#This Row],[POSTED_DT]]&gt;=Dealps[[#This Row],[VALUE_DATE]],"On BS","Off BS"))</f>
        <v>Ngoai BS</v>
      </c>
      <c r="X810" s="25">
        <f>SUMIFS(U:U,C:C,Dealps[[#This Row],[PAPER_CODE]])</f>
        <v>2000000000000</v>
      </c>
      <c r="Y810" s="25">
        <f>_xlfn.XLOOKUP(Dealps[[#This Row],[DEAL_ID]],Ref!N:N,Ref!Q:Q,0,0)</f>
        <v>0</v>
      </c>
      <c r="Z810" s="25" t="str">
        <f>IF(Dealps[[#This Row],[CPTY_CODE]]=Dealps[[#This Row],[CPTY_CODE_ISSUER]],"Yes","No")</f>
        <v>No</v>
      </c>
      <c r="AA810" s="25"/>
      <c r="AC810" s="14"/>
      <c r="AG810" s="96"/>
      <c r="AH810" s="14"/>
      <c r="AI810"/>
      <c r="AN810" s="14"/>
      <c r="AV810" s="36"/>
      <c r="AW810" s="14"/>
      <c r="AX810" s="234"/>
      <c r="AY810" s="96"/>
      <c r="AZ810" s="14"/>
      <c r="BA810"/>
      <c r="BE810" s="14"/>
      <c r="BF810" s="25"/>
      <c r="BL810" s="15"/>
      <c r="BN810"/>
      <c r="BR810" s="14"/>
      <c r="BV810"/>
    </row>
    <row r="811" spans="1:74" x14ac:dyDescent="0.3">
      <c r="A811" s="93">
        <v>46262</v>
      </c>
      <c r="B811">
        <v>5017</v>
      </c>
      <c r="C811" s="56" t="s">
        <v>1158</v>
      </c>
      <c r="D811" t="s">
        <v>327</v>
      </c>
      <c r="E811" t="s">
        <v>321</v>
      </c>
      <c r="F811" t="s">
        <v>364</v>
      </c>
      <c r="G811" t="s">
        <v>310</v>
      </c>
      <c r="H811" t="s">
        <v>300</v>
      </c>
      <c r="I811" s="93">
        <v>46261</v>
      </c>
      <c r="J811" s="93">
        <v>46237</v>
      </c>
      <c r="K811" s="93">
        <v>46276</v>
      </c>
      <c r="L811" s="93">
        <v>46409</v>
      </c>
      <c r="M811" s="14">
        <v>1</v>
      </c>
      <c r="N811" s="14">
        <v>1000000000000</v>
      </c>
      <c r="O811" s="56">
        <v>99.687712796</v>
      </c>
      <c r="P811" s="56">
        <v>0</v>
      </c>
      <c r="Q811" s="14">
        <v>1042444251254</v>
      </c>
      <c r="R811">
        <v>7.7289779999999997</v>
      </c>
      <c r="S811" t="s">
        <v>1487</v>
      </c>
      <c r="T811" s="57">
        <f>IF(Dealps[[#This Row],[MATURITY_DATE]]-Dealps[[#This Row],[POSTED_DT]]&lt;0,0,IF(Dealps[[#This Row],[VALUE_DATE]]-Dealps[[#This Row],[POSTED_DT]]&gt;0,Dealps[[#This Row],[MATURITY_DATE]]-Dealps[[#This Row],[VALUE_DATE]],Dealps[[#This Row],[MATURITY_DATE]]-Dealps[[#This Row],[POSTED_DT]]))</f>
        <v>133</v>
      </c>
      <c r="U811" s="25">
        <f>IF(Dealps[[#This Row],[TENOR]]=0,0,IF(Dealps[[#This Row],[DEAL_TYPE]]="B",Dealps[[#This Row],[FACE_AMOUNT]],-Dealps[[#This Row],[FACE_AMOUNT]]))</f>
        <v>1000000000000</v>
      </c>
      <c r="V811" s="25">
        <f>_xlfn.XLOOKUP(Dealps[[#This Row],[PAPER_CODE]],FNRP!D:D,FNRP!H:H,0,0)/100*Dealps[[#This Row],[AMOUNT]]</f>
        <v>0</v>
      </c>
      <c r="W811" s="57" t="str">
        <f>IF(Dealps[[#This Row],[TRANSACTION_STATUS]]&lt;&gt;"V","Ngoai BS",IF(Dealps[[#This Row],[POSTED_DT]]&gt;=Dealps[[#This Row],[VALUE_DATE]],"On BS","Off BS"))</f>
        <v>Ngoai BS</v>
      </c>
      <c r="X811" s="25">
        <f>SUMIFS(U:U,C:C,Dealps[[#This Row],[PAPER_CODE]])</f>
        <v>2000000000000</v>
      </c>
      <c r="Y811" s="25">
        <f>_xlfn.XLOOKUP(Dealps[[#This Row],[DEAL_ID]],Ref!N:N,Ref!Q:Q,0,0)</f>
        <v>0</v>
      </c>
      <c r="Z811" s="25" t="str">
        <f>IF(Dealps[[#This Row],[CPTY_CODE]]=Dealps[[#This Row],[CPTY_CODE_ISSUER]],"Yes","No")</f>
        <v>No</v>
      </c>
      <c r="AA811" s="25"/>
      <c r="AC811" s="14"/>
      <c r="AG811" s="96"/>
      <c r="AH811" s="14"/>
      <c r="AI811"/>
      <c r="AN811" s="14"/>
      <c r="AV811" s="36"/>
      <c r="AW811" s="14"/>
      <c r="AX811" s="234"/>
      <c r="AY811" s="96"/>
      <c r="AZ811" s="14"/>
      <c r="BA811"/>
      <c r="BE811" s="14"/>
      <c r="BF811" s="25"/>
      <c r="BL811" s="15"/>
      <c r="BN811"/>
      <c r="BR811" s="14"/>
      <c r="BV811"/>
    </row>
    <row r="812" spans="1:74" x14ac:dyDescent="0.3">
      <c r="A812" s="93">
        <v>46262</v>
      </c>
      <c r="B812">
        <v>5018</v>
      </c>
      <c r="C812" s="56" t="s">
        <v>1518</v>
      </c>
      <c r="D812" t="s">
        <v>316</v>
      </c>
      <c r="E812" t="s">
        <v>322</v>
      </c>
      <c r="F812" t="s">
        <v>364</v>
      </c>
      <c r="G812" t="s">
        <v>310</v>
      </c>
      <c r="H812" t="s">
        <v>311</v>
      </c>
      <c r="I812" s="93">
        <v>46261</v>
      </c>
      <c r="J812" s="93">
        <v>46268</v>
      </c>
      <c r="K812" s="93">
        <v>46282</v>
      </c>
      <c r="L812" s="93">
        <v>46358</v>
      </c>
      <c r="M812" s="14">
        <v>1</v>
      </c>
      <c r="N812" s="14">
        <v>500000000000</v>
      </c>
      <c r="O812" s="56">
        <v>99.652399595999995</v>
      </c>
      <c r="P812" s="56">
        <v>0</v>
      </c>
      <c r="Q812" s="14">
        <v>523116792500</v>
      </c>
      <c r="R812">
        <v>7.6172250000000004</v>
      </c>
      <c r="S812" t="s">
        <v>651</v>
      </c>
      <c r="T812" s="57">
        <f>IF(Dealps[[#This Row],[MATURITY_DATE]]-Dealps[[#This Row],[POSTED_DT]]&lt;0,0,IF(Dealps[[#This Row],[VALUE_DATE]]-Dealps[[#This Row],[POSTED_DT]]&gt;0,Dealps[[#This Row],[MATURITY_DATE]]-Dealps[[#This Row],[VALUE_DATE]],Dealps[[#This Row],[MATURITY_DATE]]-Dealps[[#This Row],[POSTED_DT]]))</f>
        <v>76</v>
      </c>
      <c r="U812" s="25">
        <f>IF(Dealps[[#This Row],[TENOR]]=0,0,IF(Dealps[[#This Row],[DEAL_TYPE]]="B",Dealps[[#This Row],[FACE_AMOUNT]],-Dealps[[#This Row],[FACE_AMOUNT]]))</f>
        <v>-500000000000</v>
      </c>
      <c r="V812" s="25">
        <f>_xlfn.XLOOKUP(Dealps[[#This Row],[PAPER_CODE]],FNRP!D:D,FNRP!H:H,0,0)/100*Dealps[[#This Row],[AMOUNT]]</f>
        <v>0</v>
      </c>
      <c r="W812" s="57" t="str">
        <f>IF(Dealps[[#This Row],[TRANSACTION_STATUS]]&lt;&gt;"V","Ngoai BS",IF(Dealps[[#This Row],[POSTED_DT]]&gt;=Dealps[[#This Row],[VALUE_DATE]],"On BS","Off BS"))</f>
        <v>Ngoai BS</v>
      </c>
      <c r="X812" s="25">
        <f>SUMIFS(U:U,C:C,Dealps[[#This Row],[PAPER_CODE]])</f>
        <v>0</v>
      </c>
      <c r="Y812" s="25">
        <f>_xlfn.XLOOKUP(Dealps[[#This Row],[DEAL_ID]],Ref!N:N,Ref!Q:Q,0,0)</f>
        <v>0</v>
      </c>
      <c r="Z812" s="25" t="str">
        <f>IF(Dealps[[#This Row],[CPTY_CODE]]=Dealps[[#This Row],[CPTY_CODE_ISSUER]],"Yes","No")</f>
        <v>No</v>
      </c>
      <c r="AA812" s="25"/>
      <c r="AC812" s="14"/>
      <c r="AG812" s="96"/>
      <c r="AH812" s="14"/>
      <c r="AI812"/>
      <c r="AN812" s="14"/>
      <c r="AV812" s="36"/>
      <c r="AW812" s="14"/>
      <c r="AX812" s="234"/>
      <c r="AY812" s="96"/>
      <c r="AZ812" s="14"/>
      <c r="BA812"/>
      <c r="BE812" s="14"/>
      <c r="BF812" s="25"/>
      <c r="BL812" s="15"/>
      <c r="BN812"/>
      <c r="BR812" s="14"/>
      <c r="BV812"/>
    </row>
    <row r="813" spans="1:74" x14ac:dyDescent="0.3">
      <c r="A813" s="93">
        <v>46262</v>
      </c>
      <c r="B813">
        <v>5019</v>
      </c>
      <c r="C813" s="56" t="s">
        <v>1258</v>
      </c>
      <c r="D813" t="s">
        <v>321</v>
      </c>
      <c r="E813" t="s">
        <v>954</v>
      </c>
      <c r="F813" t="s">
        <v>364</v>
      </c>
      <c r="G813" t="s">
        <v>310</v>
      </c>
      <c r="H813" t="s">
        <v>300</v>
      </c>
      <c r="I813" s="93">
        <v>46261</v>
      </c>
      <c r="J813" s="93">
        <v>46233</v>
      </c>
      <c r="K813" s="93">
        <v>46268</v>
      </c>
      <c r="L813" s="93">
        <v>46485</v>
      </c>
      <c r="M813" s="14">
        <v>1</v>
      </c>
      <c r="N813" s="14">
        <v>400000000000</v>
      </c>
      <c r="O813" s="56">
        <v>100.163788295</v>
      </c>
      <c r="P813" s="56">
        <v>0</v>
      </c>
      <c r="Q813" s="14">
        <v>413726934000</v>
      </c>
      <c r="R813">
        <v>7.8549429999999996</v>
      </c>
      <c r="S813" t="s">
        <v>1487</v>
      </c>
      <c r="T813" s="57">
        <f>IF(Dealps[[#This Row],[MATURITY_DATE]]-Dealps[[#This Row],[POSTED_DT]]&lt;0,0,IF(Dealps[[#This Row],[VALUE_DATE]]-Dealps[[#This Row],[POSTED_DT]]&gt;0,Dealps[[#This Row],[MATURITY_DATE]]-Dealps[[#This Row],[VALUE_DATE]],Dealps[[#This Row],[MATURITY_DATE]]-Dealps[[#This Row],[POSTED_DT]]))</f>
        <v>217</v>
      </c>
      <c r="U813" s="25">
        <f>IF(Dealps[[#This Row],[TENOR]]=0,0,IF(Dealps[[#This Row],[DEAL_TYPE]]="B",Dealps[[#This Row],[FACE_AMOUNT]],-Dealps[[#This Row],[FACE_AMOUNT]]))</f>
        <v>400000000000</v>
      </c>
      <c r="V813" s="25">
        <f>_xlfn.XLOOKUP(Dealps[[#This Row],[PAPER_CODE]],FNRP!D:D,FNRP!H:H,0,0)/100*Dealps[[#This Row],[AMOUNT]]</f>
        <v>0</v>
      </c>
      <c r="W813" s="57" t="str">
        <f>IF(Dealps[[#This Row],[TRANSACTION_STATUS]]&lt;&gt;"V","Ngoai BS",IF(Dealps[[#This Row],[POSTED_DT]]&gt;=Dealps[[#This Row],[VALUE_DATE]],"On BS","Off BS"))</f>
        <v>Ngoai BS</v>
      </c>
      <c r="X813" s="25">
        <f>SUMIFS(U:U,C:C,Dealps[[#This Row],[PAPER_CODE]])</f>
        <v>2000000000000</v>
      </c>
      <c r="Y813" s="25">
        <f>_xlfn.XLOOKUP(Dealps[[#This Row],[DEAL_ID]],Ref!N:N,Ref!Q:Q,0,0)</f>
        <v>0</v>
      </c>
      <c r="Z813" s="25" t="str">
        <f>IF(Dealps[[#This Row],[CPTY_CODE]]=Dealps[[#This Row],[CPTY_CODE_ISSUER]],"Yes","No")</f>
        <v>No</v>
      </c>
      <c r="AA813" s="25"/>
      <c r="AC813" s="14"/>
      <c r="AG813" s="96"/>
      <c r="AH813" s="14"/>
      <c r="AI813"/>
      <c r="AN813" s="14"/>
      <c r="AV813" s="36"/>
      <c r="AW813" s="14"/>
      <c r="AX813" s="234"/>
      <c r="AY813" s="96"/>
      <c r="AZ813" s="14"/>
      <c r="BA813"/>
      <c r="BE813" s="14"/>
      <c r="BF813" s="25"/>
      <c r="BL813" s="15"/>
      <c r="BN813"/>
      <c r="BR813" s="14"/>
      <c r="BV813"/>
    </row>
    <row r="814" spans="1:74" x14ac:dyDescent="0.3">
      <c r="A814" s="93">
        <v>46262</v>
      </c>
      <c r="B814">
        <v>50613</v>
      </c>
      <c r="C814" s="56" t="s">
        <v>1617</v>
      </c>
      <c r="D814" t="s">
        <v>347</v>
      </c>
      <c r="E814" t="s">
        <v>347</v>
      </c>
      <c r="F814" t="s">
        <v>35</v>
      </c>
      <c r="G814" t="s">
        <v>310</v>
      </c>
      <c r="H814" t="s">
        <v>300</v>
      </c>
      <c r="I814" s="93">
        <v>46261</v>
      </c>
      <c r="J814" s="93">
        <v>46262</v>
      </c>
      <c r="K814" s="93">
        <v>46262</v>
      </c>
      <c r="L814" s="93">
        <v>48454</v>
      </c>
      <c r="M814" s="14">
        <v>1000</v>
      </c>
      <c r="N814" s="14">
        <v>1000000000000</v>
      </c>
      <c r="O814" s="56">
        <v>100</v>
      </c>
      <c r="P814" s="56">
        <v>0</v>
      </c>
      <c r="Q814" s="14">
        <v>1000000000000</v>
      </c>
      <c r="R814">
        <v>9.4996157369999992</v>
      </c>
      <c r="S814" t="s">
        <v>1184</v>
      </c>
      <c r="T814" s="57">
        <f>IF(Dealps[[#This Row],[MATURITY_DATE]]-Dealps[[#This Row],[POSTED_DT]]&lt;0,0,IF(Dealps[[#This Row],[VALUE_DATE]]-Dealps[[#This Row],[POSTED_DT]]&gt;0,Dealps[[#This Row],[MATURITY_DATE]]-Dealps[[#This Row],[VALUE_DATE]],Dealps[[#This Row],[MATURITY_DATE]]-Dealps[[#This Row],[POSTED_DT]]))</f>
        <v>2192</v>
      </c>
      <c r="U814" s="25">
        <f>IF(Dealps[[#This Row],[TENOR]]=0,0,IF(Dealps[[#This Row],[DEAL_TYPE]]="B",Dealps[[#This Row],[FACE_AMOUNT]],-Dealps[[#This Row],[FACE_AMOUNT]]))</f>
        <v>1000000000000</v>
      </c>
      <c r="V814" s="25">
        <f>_xlfn.XLOOKUP(Dealps[[#This Row],[PAPER_CODE]],FNRP!D:D,FNRP!H:H,0,0)/100*Dealps[[#This Row],[AMOUNT]]</f>
        <v>1241285117420</v>
      </c>
      <c r="W814" s="57" t="str">
        <f>IF(Dealps[[#This Row],[TRANSACTION_STATUS]]&lt;&gt;"V","Ngoai BS",IF(Dealps[[#This Row],[POSTED_DT]]&gt;=Dealps[[#This Row],[VALUE_DATE]],"On BS","Off BS"))</f>
        <v>On BS</v>
      </c>
      <c r="X814" s="25">
        <f>SUMIFS(U:U,C:C,Dealps[[#This Row],[PAPER_CODE]])</f>
        <v>1000000000000</v>
      </c>
      <c r="Y814" s="25">
        <f>_xlfn.XLOOKUP(Dealps[[#This Row],[DEAL_ID]],Ref!N:N,Ref!Q:Q,0,0)</f>
        <v>0</v>
      </c>
      <c r="Z814" s="25" t="str">
        <f>IF(Dealps[[#This Row],[CPTY_CODE]]=Dealps[[#This Row],[CPTY_CODE_ISSUER]],"Yes","No")</f>
        <v>Yes</v>
      </c>
      <c r="AA814" s="25"/>
      <c r="AC814" s="14"/>
      <c r="AG814" s="96"/>
      <c r="AH814" s="14"/>
      <c r="AI814"/>
      <c r="AN814" s="14"/>
      <c r="AV814" s="36"/>
      <c r="AW814" s="14"/>
      <c r="AX814" s="234"/>
      <c r="AY814" s="96"/>
      <c r="AZ814" s="14"/>
      <c r="BA814"/>
      <c r="BE814" s="14"/>
      <c r="BF814" s="25"/>
      <c r="BL814" s="15"/>
      <c r="BN814"/>
      <c r="BR814" s="14"/>
      <c r="BV814"/>
    </row>
    <row r="815" spans="1:74" x14ac:dyDescent="0.3">
      <c r="A815" s="93">
        <v>46262</v>
      </c>
      <c r="B815">
        <v>5020</v>
      </c>
      <c r="C815" s="56" t="s">
        <v>1239</v>
      </c>
      <c r="D815" t="s">
        <v>384</v>
      </c>
      <c r="E815" t="s">
        <v>1015</v>
      </c>
      <c r="F815" t="s">
        <v>364</v>
      </c>
      <c r="G815" t="s">
        <v>310</v>
      </c>
      <c r="H815" t="s">
        <v>300</v>
      </c>
      <c r="I815" s="93">
        <v>46261</v>
      </c>
      <c r="J815" s="93">
        <v>46262</v>
      </c>
      <c r="K815" s="93">
        <v>46262</v>
      </c>
      <c r="L815" s="93">
        <v>46493</v>
      </c>
      <c r="M815" s="14">
        <v>1</v>
      </c>
      <c r="N815" s="14">
        <v>68000000000</v>
      </c>
      <c r="O815" s="56">
        <v>100.374950829</v>
      </c>
      <c r="P815" s="56">
        <v>0</v>
      </c>
      <c r="Q815" s="14">
        <v>70990802180</v>
      </c>
      <c r="R815">
        <v>7.9575529999999999</v>
      </c>
      <c r="S815" t="s">
        <v>1184</v>
      </c>
      <c r="T815" s="57">
        <f>IF(Dealps[[#This Row],[MATURITY_DATE]]-Dealps[[#This Row],[POSTED_DT]]&lt;0,0,IF(Dealps[[#This Row],[VALUE_DATE]]-Dealps[[#This Row],[POSTED_DT]]&gt;0,Dealps[[#This Row],[MATURITY_DATE]]-Dealps[[#This Row],[VALUE_DATE]],Dealps[[#This Row],[MATURITY_DATE]]-Dealps[[#This Row],[POSTED_DT]]))</f>
        <v>231</v>
      </c>
      <c r="U815" s="25">
        <f>IF(Dealps[[#This Row],[TENOR]]=0,0,IF(Dealps[[#This Row],[DEAL_TYPE]]="B",Dealps[[#This Row],[FACE_AMOUNT]],-Dealps[[#This Row],[FACE_AMOUNT]]))</f>
        <v>68000000000</v>
      </c>
      <c r="V815" s="25">
        <f>_xlfn.XLOOKUP(Dealps[[#This Row],[PAPER_CODE]],FNRP!D:D,FNRP!H:H,0,0)/100*Dealps[[#This Row],[AMOUNT]]</f>
        <v>0</v>
      </c>
      <c r="W815" s="57" t="str">
        <f>IF(Dealps[[#This Row],[TRANSACTION_STATUS]]&lt;&gt;"V","Ngoai BS",IF(Dealps[[#This Row],[POSTED_DT]]&gt;=Dealps[[#This Row],[VALUE_DATE]],"On BS","Off BS"))</f>
        <v>On BS</v>
      </c>
      <c r="X815" s="25">
        <f>SUMIFS(U:U,C:C,Dealps[[#This Row],[PAPER_CODE]])</f>
        <v>300000000000</v>
      </c>
      <c r="Y815" s="25">
        <f>_xlfn.XLOOKUP(Dealps[[#This Row],[DEAL_ID]],Ref!N:N,Ref!Q:Q,0,0)</f>
        <v>0</v>
      </c>
      <c r="Z815" s="25" t="str">
        <f>IF(Dealps[[#This Row],[CPTY_CODE]]=Dealps[[#This Row],[CPTY_CODE_ISSUER]],"Yes","No")</f>
        <v>No</v>
      </c>
      <c r="AA815" s="25"/>
      <c r="AC815" s="14"/>
      <c r="AG815" s="96"/>
      <c r="AH815" s="14"/>
      <c r="AI815"/>
      <c r="AN815" s="14"/>
      <c r="AV815" s="36"/>
      <c r="AW815" s="14"/>
      <c r="AX815" s="234"/>
      <c r="AY815" s="96"/>
      <c r="AZ815" s="14"/>
      <c r="BA815"/>
      <c r="BE815" s="14"/>
      <c r="BF815" s="25"/>
      <c r="BL815" s="15"/>
      <c r="BN815"/>
      <c r="BR815" s="14"/>
      <c r="BV815"/>
    </row>
    <row r="816" spans="1:74" x14ac:dyDescent="0.3">
      <c r="A816" s="93">
        <v>46262</v>
      </c>
      <c r="B816">
        <v>5021</v>
      </c>
      <c r="C816" s="56" t="s">
        <v>1158</v>
      </c>
      <c r="D816" t="s">
        <v>327</v>
      </c>
      <c r="E816" t="s">
        <v>322</v>
      </c>
      <c r="F816" t="s">
        <v>364</v>
      </c>
      <c r="G816" t="s">
        <v>310</v>
      </c>
      <c r="H816" t="s">
        <v>311</v>
      </c>
      <c r="I816" s="93">
        <v>46262</v>
      </c>
      <c r="J816" s="93">
        <v>46262</v>
      </c>
      <c r="K816" s="93">
        <v>46268</v>
      </c>
      <c r="L816" s="93">
        <v>46409</v>
      </c>
      <c r="M816" s="14">
        <v>1</v>
      </c>
      <c r="N816" s="14">
        <v>500000000000</v>
      </c>
      <c r="O816" s="56">
        <v>99.959406771000005</v>
      </c>
      <c r="P816" s="56">
        <v>0</v>
      </c>
      <c r="Q816" s="14">
        <v>521791554406.00006</v>
      </c>
      <c r="R816">
        <v>7</v>
      </c>
      <c r="S816" t="s">
        <v>1487</v>
      </c>
      <c r="T816" s="57">
        <f>IF(Dealps[[#This Row],[MATURITY_DATE]]-Dealps[[#This Row],[POSTED_DT]]&lt;0,0,IF(Dealps[[#This Row],[VALUE_DATE]]-Dealps[[#This Row],[POSTED_DT]]&gt;0,Dealps[[#This Row],[MATURITY_DATE]]-Dealps[[#This Row],[VALUE_DATE]],Dealps[[#This Row],[MATURITY_DATE]]-Dealps[[#This Row],[POSTED_DT]]))</f>
        <v>141</v>
      </c>
      <c r="U816" s="25">
        <f>IF(Dealps[[#This Row],[TENOR]]=0,0,IF(Dealps[[#This Row],[DEAL_TYPE]]="B",Dealps[[#This Row],[FACE_AMOUNT]],-Dealps[[#This Row],[FACE_AMOUNT]]))</f>
        <v>-500000000000</v>
      </c>
      <c r="V816" s="25">
        <f>_xlfn.XLOOKUP(Dealps[[#This Row],[PAPER_CODE]],FNRP!D:D,FNRP!H:H,0,0)/100*Dealps[[#This Row],[AMOUNT]]</f>
        <v>0</v>
      </c>
      <c r="W816" s="57" t="str">
        <f>IF(Dealps[[#This Row],[TRANSACTION_STATUS]]&lt;&gt;"V","Ngoai BS",IF(Dealps[[#This Row],[POSTED_DT]]&gt;=Dealps[[#This Row],[VALUE_DATE]],"On BS","Off BS"))</f>
        <v>Ngoai BS</v>
      </c>
      <c r="X816" s="25">
        <f>SUMIFS(U:U,C:C,Dealps[[#This Row],[PAPER_CODE]])</f>
        <v>2000000000000</v>
      </c>
      <c r="Y816" s="25">
        <f>_xlfn.XLOOKUP(Dealps[[#This Row],[DEAL_ID]],Ref!N:N,Ref!Q:Q,0,0)</f>
        <v>0</v>
      </c>
      <c r="Z816" s="25" t="str">
        <f>IF(Dealps[[#This Row],[CPTY_CODE]]=Dealps[[#This Row],[CPTY_CODE_ISSUER]],"Yes","No")</f>
        <v>No</v>
      </c>
      <c r="AA816" s="25"/>
      <c r="AC816" s="14"/>
      <c r="AG816" s="96"/>
      <c r="AH816" s="14"/>
      <c r="AI816"/>
      <c r="AN816" s="14"/>
      <c r="AV816" s="36"/>
      <c r="AW816" s="14"/>
      <c r="AX816" s="234"/>
      <c r="AY816" s="96"/>
      <c r="AZ816" s="14"/>
      <c r="BA816"/>
      <c r="BE816" s="14"/>
      <c r="BF816" s="25"/>
      <c r="BL816" s="15"/>
      <c r="BN816"/>
      <c r="BR816" s="14"/>
      <c r="BV816"/>
    </row>
    <row r="817" spans="1:74" x14ac:dyDescent="0.3">
      <c r="A817" s="93">
        <v>46262</v>
      </c>
      <c r="B817">
        <v>5022</v>
      </c>
      <c r="C817" s="56" t="s">
        <v>1158</v>
      </c>
      <c r="D817" t="s">
        <v>327</v>
      </c>
      <c r="E817" t="s">
        <v>322</v>
      </c>
      <c r="F817" t="s">
        <v>364</v>
      </c>
      <c r="G817" t="s">
        <v>310</v>
      </c>
      <c r="H817" t="s">
        <v>300</v>
      </c>
      <c r="I817" s="93">
        <v>46262</v>
      </c>
      <c r="J817" s="93">
        <v>46269</v>
      </c>
      <c r="K817" s="93">
        <v>46280</v>
      </c>
      <c r="L817" s="93">
        <v>46409</v>
      </c>
      <c r="M817" s="14">
        <v>1</v>
      </c>
      <c r="N817" s="14">
        <v>500000000000</v>
      </c>
      <c r="O817" s="56">
        <v>99.962861515</v>
      </c>
      <c r="P817" s="56">
        <v>0</v>
      </c>
      <c r="Q817" s="14">
        <v>522992389764.00006</v>
      </c>
      <c r="R817">
        <v>6.9839270000000004</v>
      </c>
      <c r="S817" t="s">
        <v>651</v>
      </c>
      <c r="T817" s="57">
        <f>IF(Dealps[[#This Row],[MATURITY_DATE]]-Dealps[[#This Row],[POSTED_DT]]&lt;0,0,IF(Dealps[[#This Row],[VALUE_DATE]]-Dealps[[#This Row],[POSTED_DT]]&gt;0,Dealps[[#This Row],[MATURITY_DATE]]-Dealps[[#This Row],[VALUE_DATE]],Dealps[[#This Row],[MATURITY_DATE]]-Dealps[[#This Row],[POSTED_DT]]))</f>
        <v>129</v>
      </c>
      <c r="U817" s="25">
        <f>IF(Dealps[[#This Row],[TENOR]]=0,0,IF(Dealps[[#This Row],[DEAL_TYPE]]="B",Dealps[[#This Row],[FACE_AMOUNT]],-Dealps[[#This Row],[FACE_AMOUNT]]))</f>
        <v>500000000000</v>
      </c>
      <c r="V817" s="25">
        <f>_xlfn.XLOOKUP(Dealps[[#This Row],[PAPER_CODE]],FNRP!D:D,FNRP!H:H,0,0)/100*Dealps[[#This Row],[AMOUNT]]</f>
        <v>0</v>
      </c>
      <c r="W817" s="57" t="str">
        <f>IF(Dealps[[#This Row],[TRANSACTION_STATUS]]&lt;&gt;"V","Ngoai BS",IF(Dealps[[#This Row],[POSTED_DT]]&gt;=Dealps[[#This Row],[VALUE_DATE]],"On BS","Off BS"))</f>
        <v>Ngoai BS</v>
      </c>
      <c r="X817" s="25">
        <f>SUMIFS(U:U,C:C,Dealps[[#This Row],[PAPER_CODE]])</f>
        <v>2000000000000</v>
      </c>
      <c r="Y817" s="25">
        <f>_xlfn.XLOOKUP(Dealps[[#This Row],[DEAL_ID]],Ref!N:N,Ref!Q:Q,0,0)</f>
        <v>0</v>
      </c>
      <c r="Z817" s="25" t="str">
        <f>IF(Dealps[[#This Row],[CPTY_CODE]]=Dealps[[#This Row],[CPTY_CODE_ISSUER]],"Yes","No")</f>
        <v>No</v>
      </c>
      <c r="AA817" s="25"/>
      <c r="AC817" s="14"/>
      <c r="AG817" s="96"/>
      <c r="AH817" s="14"/>
      <c r="AI817"/>
      <c r="AN817" s="14"/>
      <c r="AV817" s="36"/>
      <c r="AW817" s="14"/>
      <c r="AX817" s="234"/>
      <c r="AY817" s="96"/>
      <c r="AZ817" s="14"/>
      <c r="BA817"/>
      <c r="BE817" s="14"/>
      <c r="BF817" s="25"/>
      <c r="BL817" s="15"/>
      <c r="BN817"/>
      <c r="BR817" s="14"/>
      <c r="BV817"/>
    </row>
    <row r="818" spans="1:74" x14ac:dyDescent="0.3">
      <c r="B818" s="20"/>
      <c r="C818" s="20"/>
      <c r="D818" s="20"/>
      <c r="E818" s="20"/>
      <c r="F818" s="20"/>
      <c r="G818" s="20"/>
      <c r="H818" s="20"/>
      <c r="O818" s="20"/>
      <c r="P818" s="20"/>
      <c r="R818" s="20"/>
      <c r="S818" s="20"/>
      <c r="T818" s="20"/>
      <c r="U818" s="20"/>
      <c r="X818" s="20"/>
      <c r="AA818" s="25"/>
      <c r="AC818" s="14"/>
      <c r="AG818" s="96"/>
      <c r="AH818" s="14"/>
      <c r="AI818"/>
      <c r="AN818" s="14"/>
      <c r="AV818" s="36"/>
      <c r="AW818" s="14"/>
      <c r="AX818" s="234"/>
      <c r="AY818" s="96"/>
      <c r="AZ818" s="14"/>
      <c r="BA818"/>
      <c r="BE818" s="14"/>
      <c r="BF818" s="25"/>
      <c r="BL818" s="15"/>
      <c r="BN818"/>
      <c r="BR818" s="14"/>
      <c r="BV818"/>
    </row>
    <row r="819" spans="1:74" x14ac:dyDescent="0.3">
      <c r="U819" s="391"/>
      <c r="AA819" s="25"/>
      <c r="AC819" s="14"/>
      <c r="AG819" s="96"/>
      <c r="AH819" s="14"/>
      <c r="AI819"/>
      <c r="AN819" s="14"/>
      <c r="AV819" s="36"/>
      <c r="AW819" s="14"/>
      <c r="AX819" s="234"/>
      <c r="AY819" s="96"/>
      <c r="AZ819" s="14"/>
      <c r="BA819"/>
      <c r="BE819" s="14"/>
      <c r="BF819" s="25"/>
      <c r="BL819" s="15"/>
      <c r="BN819"/>
      <c r="BR819" s="14"/>
      <c r="BV819"/>
    </row>
    <row r="820" spans="1:74" x14ac:dyDescent="0.3">
      <c r="AA820" s="25"/>
      <c r="AC820" s="14"/>
      <c r="AG820" s="96"/>
      <c r="AH820" s="14"/>
      <c r="AI820"/>
      <c r="AN820" s="14"/>
      <c r="AV820" s="36"/>
      <c r="AW820" s="14"/>
      <c r="AX820" s="234"/>
      <c r="AY820" s="96"/>
      <c r="AZ820" s="14"/>
      <c r="BA820"/>
      <c r="BE820" s="14"/>
      <c r="BF820" s="25"/>
      <c r="BL820" s="15"/>
      <c r="BN820"/>
      <c r="BR820" s="14"/>
      <c r="BV820"/>
    </row>
    <row r="821" spans="1:74" x14ac:dyDescent="0.3">
      <c r="AA821" s="25"/>
      <c r="AC821" s="14"/>
      <c r="AG821" s="96"/>
      <c r="AH821" s="14"/>
      <c r="AI821"/>
      <c r="AN821" s="14"/>
      <c r="AV821" s="36"/>
      <c r="AW821" s="14"/>
      <c r="AX821" s="234"/>
      <c r="AY821" s="96"/>
      <c r="AZ821" s="14"/>
      <c r="BA821"/>
      <c r="BE821" s="14"/>
      <c r="BF821" s="25"/>
      <c r="BL821" s="15"/>
      <c r="BN821"/>
      <c r="BR821" s="14"/>
      <c r="BV821"/>
    </row>
    <row r="822" spans="1:74" x14ac:dyDescent="0.3">
      <c r="AA822" s="25"/>
      <c r="AC822" s="14"/>
      <c r="AG822" s="96"/>
      <c r="AH822" s="14"/>
      <c r="AI822"/>
      <c r="AN822" s="14"/>
      <c r="AV822" s="36"/>
      <c r="AW822" s="14"/>
      <c r="AX822" s="234"/>
      <c r="AY822" s="96"/>
      <c r="AZ822" s="14"/>
      <c r="BA822"/>
      <c r="BE822" s="14"/>
      <c r="BF822" s="25"/>
      <c r="BL822" s="15"/>
      <c r="BN822"/>
      <c r="BR822" s="14"/>
      <c r="BV822"/>
    </row>
    <row r="823" spans="1:74" x14ac:dyDescent="0.3">
      <c r="AA823" s="25"/>
      <c r="AC823" s="14"/>
      <c r="AG823" s="96"/>
      <c r="AH823" s="14"/>
      <c r="AI823"/>
      <c r="AN823" s="14"/>
      <c r="AV823" s="36"/>
      <c r="AW823" s="14"/>
      <c r="AX823" s="234"/>
      <c r="AY823" s="96"/>
      <c r="AZ823" s="14"/>
      <c r="BA823"/>
      <c r="BE823" s="14"/>
      <c r="BF823" s="25"/>
      <c r="BL823" s="15"/>
      <c r="BN823"/>
      <c r="BR823" s="14"/>
      <c r="BV823"/>
    </row>
    <row r="824" spans="1:74" x14ac:dyDescent="0.3">
      <c r="O824" s="416"/>
      <c r="AA824" s="25"/>
      <c r="AC824" s="14"/>
      <c r="AG824" s="96"/>
      <c r="AH824" s="14"/>
      <c r="AI824"/>
      <c r="AN824" s="14"/>
      <c r="AV824" s="36"/>
      <c r="AW824" s="14"/>
      <c r="AX824" s="234"/>
      <c r="AY824" s="96"/>
      <c r="AZ824" s="14"/>
      <c r="BA824"/>
      <c r="BE824" s="14"/>
      <c r="BF824" s="25"/>
      <c r="BL824" s="15"/>
      <c r="BN824"/>
      <c r="BR824" s="14"/>
      <c r="BV824"/>
    </row>
    <row r="825" spans="1:74" x14ac:dyDescent="0.3">
      <c r="AA825" s="25"/>
      <c r="AC825" s="14"/>
      <c r="AG825" s="96"/>
      <c r="AH825" s="14"/>
      <c r="AI825"/>
      <c r="AN825" s="14"/>
      <c r="AV825" s="36"/>
      <c r="AW825" s="14"/>
      <c r="AX825" s="234"/>
      <c r="AY825" s="96"/>
      <c r="AZ825" s="14"/>
      <c r="BA825"/>
      <c r="BE825" s="14"/>
      <c r="BF825" s="25"/>
      <c r="BL825" s="15"/>
      <c r="BN825"/>
      <c r="BR825" s="14"/>
      <c r="BV825"/>
    </row>
    <row r="826" spans="1:74" x14ac:dyDescent="0.3">
      <c r="AA826" s="25"/>
      <c r="AC826" s="14"/>
      <c r="AG826" s="96"/>
      <c r="AH826" s="14"/>
      <c r="AI826"/>
      <c r="AN826" s="14"/>
      <c r="AV826" s="36"/>
      <c r="AW826" s="14"/>
      <c r="AX826" s="234"/>
      <c r="AY826" s="96"/>
      <c r="AZ826" s="14"/>
      <c r="BA826"/>
      <c r="BE826" s="14"/>
      <c r="BF826" s="25"/>
      <c r="BL826" s="15"/>
      <c r="BN826"/>
      <c r="BR826" s="14"/>
      <c r="BV826"/>
    </row>
    <row r="827" spans="1:74" x14ac:dyDescent="0.3">
      <c r="AA827" s="25"/>
      <c r="AC827" s="14"/>
      <c r="AG827" s="96"/>
      <c r="AH827" s="14"/>
      <c r="AI827"/>
      <c r="AN827" s="14"/>
      <c r="AV827" s="36"/>
      <c r="AW827" s="14"/>
      <c r="AX827" s="234"/>
      <c r="AY827" s="96"/>
      <c r="AZ827" s="14"/>
      <c r="BA827"/>
      <c r="BE827" s="14"/>
      <c r="BF827" s="25"/>
      <c r="BL827" s="15"/>
      <c r="BN827"/>
      <c r="BR827" s="14"/>
      <c r="BV827"/>
    </row>
    <row r="828" spans="1:74" x14ac:dyDescent="0.3">
      <c r="AA828" s="25"/>
      <c r="AC828" s="14"/>
      <c r="AG828" s="96"/>
      <c r="AH828" s="14"/>
      <c r="AI828"/>
      <c r="AN828" s="14"/>
      <c r="AV828" s="36"/>
      <c r="AW828" s="14"/>
      <c r="AX828" s="234"/>
      <c r="AY828" s="96"/>
      <c r="AZ828" s="14"/>
      <c r="BA828"/>
      <c r="BE828" s="14"/>
      <c r="BF828" s="25"/>
      <c r="BL828" s="15"/>
      <c r="BN828"/>
      <c r="BR828" s="14"/>
      <c r="BV828"/>
    </row>
    <row r="829" spans="1:74" x14ac:dyDescent="0.3">
      <c r="AA829" s="25"/>
      <c r="AC829" s="14"/>
      <c r="AG829" s="96"/>
      <c r="AH829" s="14"/>
      <c r="AI829"/>
      <c r="AN829" s="14"/>
      <c r="AV829" s="36"/>
      <c r="AW829" s="14"/>
      <c r="AX829" s="234"/>
      <c r="AY829" s="96"/>
      <c r="AZ829" s="14"/>
      <c r="BA829"/>
      <c r="BE829" s="14"/>
      <c r="BF829" s="25"/>
      <c r="BL829" s="15"/>
      <c r="BN829"/>
      <c r="BR829" s="14"/>
      <c r="BV829"/>
    </row>
    <row r="830" spans="1:74" x14ac:dyDescent="0.3">
      <c r="AA830" s="25"/>
      <c r="AC830" s="14"/>
      <c r="AG830" s="96"/>
      <c r="AH830" s="14"/>
      <c r="AI830"/>
      <c r="AN830" s="14"/>
      <c r="AV830" s="36"/>
      <c r="AW830" s="14"/>
      <c r="AX830" s="234"/>
      <c r="AY830" s="96"/>
      <c r="AZ830" s="14"/>
      <c r="BA830"/>
      <c r="BE830" s="14"/>
      <c r="BF830" s="25"/>
      <c r="BL830" s="15"/>
      <c r="BN830"/>
      <c r="BR830" s="14"/>
      <c r="BV830"/>
    </row>
    <row r="831" spans="1:74" x14ac:dyDescent="0.3">
      <c r="AA831" s="25"/>
      <c r="AC831" s="14"/>
      <c r="AG831" s="96"/>
      <c r="AH831" s="14"/>
      <c r="AI831"/>
      <c r="AN831" s="14"/>
      <c r="AV831" s="36"/>
      <c r="AW831" s="14"/>
      <c r="AX831" s="234"/>
      <c r="AY831" s="96"/>
      <c r="AZ831" s="14"/>
      <c r="BA831"/>
      <c r="BE831" s="14"/>
      <c r="BF831" s="25"/>
      <c r="BL831" s="15"/>
      <c r="BN831"/>
      <c r="BR831" s="14"/>
      <c r="BV831"/>
    </row>
    <row r="832" spans="1:74" x14ac:dyDescent="0.3">
      <c r="AA832" s="25"/>
      <c r="AC832" s="14"/>
      <c r="AG832" s="96"/>
      <c r="AH832" s="14"/>
      <c r="AI832"/>
      <c r="AN832" s="14"/>
      <c r="AV832" s="36"/>
      <c r="AW832" s="14"/>
      <c r="AX832" s="234"/>
      <c r="AY832" s="96"/>
      <c r="AZ832" s="14"/>
      <c r="BA832"/>
      <c r="BE832" s="14"/>
      <c r="BF832" s="25"/>
      <c r="BL832" s="15"/>
      <c r="BN832"/>
      <c r="BR832" s="14"/>
      <c r="BV832"/>
    </row>
    <row r="833" spans="27:74" x14ac:dyDescent="0.3">
      <c r="AA833" s="25"/>
      <c r="AC833" s="14"/>
      <c r="AG833" s="96"/>
      <c r="AH833" s="14"/>
      <c r="AI833"/>
      <c r="AN833" s="14"/>
      <c r="AV833" s="36"/>
      <c r="AW833" s="14"/>
      <c r="AX833" s="234"/>
      <c r="AY833" s="96"/>
      <c r="AZ833" s="14"/>
      <c r="BA833"/>
      <c r="BE833" s="14"/>
      <c r="BF833" s="25"/>
      <c r="BL833" s="15"/>
      <c r="BN833"/>
      <c r="BR833" s="14"/>
      <c r="BV833"/>
    </row>
    <row r="834" spans="27:74" x14ac:dyDescent="0.3">
      <c r="AA834" s="25"/>
      <c r="AC834" s="14"/>
      <c r="AG834" s="96"/>
      <c r="AH834" s="14"/>
      <c r="AI834"/>
      <c r="AN834" s="14"/>
      <c r="AV834" s="36"/>
      <c r="AW834" s="14"/>
      <c r="AX834" s="234"/>
      <c r="AY834" s="96"/>
      <c r="AZ834" s="14"/>
      <c r="BA834"/>
      <c r="BE834" s="14"/>
      <c r="BF834" s="25"/>
      <c r="BL834" s="15"/>
      <c r="BN834"/>
      <c r="BR834" s="14"/>
      <c r="BV834"/>
    </row>
    <row r="835" spans="27:74" x14ac:dyDescent="0.3">
      <c r="AA835" s="25"/>
      <c r="AC835" s="14"/>
      <c r="AG835" s="96"/>
      <c r="AH835" s="14"/>
      <c r="AI835"/>
      <c r="AN835" s="14"/>
      <c r="AV835" s="36"/>
      <c r="AW835" s="14"/>
      <c r="AX835" s="234"/>
      <c r="AY835" s="96"/>
      <c r="AZ835" s="14"/>
      <c r="BA835"/>
      <c r="BE835" s="14"/>
      <c r="BF835" s="25"/>
      <c r="BL835" s="15"/>
      <c r="BN835"/>
      <c r="BR835" s="14"/>
      <c r="BV835"/>
    </row>
    <row r="836" spans="27:74" x14ac:dyDescent="0.3">
      <c r="AA836" s="25"/>
      <c r="AC836" s="14"/>
      <c r="AG836" s="96"/>
      <c r="AH836" s="14"/>
      <c r="AI836"/>
      <c r="AN836" s="14"/>
      <c r="AV836" s="36"/>
      <c r="AW836" s="14"/>
      <c r="AX836" s="234"/>
      <c r="AY836" s="96"/>
      <c r="AZ836" s="14"/>
      <c r="BA836"/>
      <c r="BE836" s="14"/>
      <c r="BF836" s="25"/>
      <c r="BL836" s="15"/>
      <c r="BN836"/>
      <c r="BR836" s="14"/>
      <c r="BV836"/>
    </row>
    <row r="837" spans="27:74" x14ac:dyDescent="0.3">
      <c r="AA837" s="25"/>
      <c r="AC837" s="14"/>
      <c r="AG837" s="96"/>
      <c r="AH837" s="14"/>
      <c r="AI837"/>
      <c r="AN837" s="14"/>
      <c r="AV837" s="36"/>
      <c r="AW837" s="14"/>
      <c r="AX837" s="234"/>
      <c r="AY837" s="96"/>
      <c r="AZ837" s="14"/>
      <c r="BA837"/>
      <c r="BE837" s="14"/>
      <c r="BF837" s="25"/>
      <c r="BL837" s="15"/>
      <c r="BN837"/>
      <c r="BR837" s="14"/>
      <c r="BV837"/>
    </row>
    <row r="838" spans="27:74" x14ac:dyDescent="0.3">
      <c r="AA838" s="25"/>
      <c r="AC838" s="14"/>
      <c r="AG838" s="96"/>
      <c r="AH838" s="14"/>
      <c r="AI838"/>
      <c r="AN838" s="14"/>
      <c r="AV838" s="36"/>
      <c r="AW838" s="14"/>
      <c r="AX838" s="234"/>
      <c r="AY838" s="96"/>
      <c r="AZ838" s="14"/>
      <c r="BA838"/>
      <c r="BE838" s="14"/>
      <c r="BF838" s="25"/>
      <c r="BL838" s="15"/>
      <c r="BN838"/>
      <c r="BR838" s="14"/>
      <c r="BV838"/>
    </row>
    <row r="839" spans="27:74" x14ac:dyDescent="0.3">
      <c r="AA839" s="25"/>
      <c r="AC839" s="14"/>
      <c r="AG839" s="96"/>
      <c r="AH839" s="14"/>
      <c r="AI839"/>
      <c r="AN839" s="14"/>
      <c r="AV839" s="36"/>
      <c r="AW839" s="14"/>
      <c r="AX839" s="234"/>
      <c r="AY839" s="96"/>
      <c r="AZ839" s="14"/>
      <c r="BA839"/>
      <c r="BE839" s="14"/>
      <c r="BF839" s="25"/>
      <c r="BL839" s="15"/>
      <c r="BN839"/>
      <c r="BR839" s="14"/>
      <c r="BV839"/>
    </row>
    <row r="840" spans="27:74" x14ac:dyDescent="0.3">
      <c r="AA840" s="25"/>
      <c r="AC840" s="14"/>
      <c r="AG840" s="96"/>
      <c r="AH840" s="14"/>
      <c r="AI840"/>
      <c r="AN840" s="14"/>
      <c r="AV840" s="36"/>
      <c r="AW840" s="14"/>
      <c r="AX840" s="234"/>
      <c r="AY840" s="96"/>
      <c r="AZ840" s="14"/>
      <c r="BA840"/>
      <c r="BE840" s="14"/>
      <c r="BF840" s="25"/>
      <c r="BL840" s="15"/>
      <c r="BN840"/>
      <c r="BR840" s="14"/>
      <c r="BV840"/>
    </row>
    <row r="841" spans="27:74" x14ac:dyDescent="0.3">
      <c r="AA841" s="25"/>
      <c r="AC841" s="14"/>
      <c r="AG841" s="96"/>
      <c r="AH841" s="14"/>
      <c r="AI841"/>
      <c r="AN841" s="14"/>
      <c r="AV841" s="36"/>
      <c r="AW841" s="14"/>
      <c r="AX841" s="234"/>
      <c r="AY841" s="96"/>
      <c r="AZ841" s="14"/>
      <c r="BA841"/>
      <c r="BE841" s="14"/>
      <c r="BF841" s="25"/>
      <c r="BL841" s="15"/>
      <c r="BN841"/>
      <c r="BR841" s="14"/>
      <c r="BV841"/>
    </row>
    <row r="842" spans="27:74" x14ac:dyDescent="0.3">
      <c r="AA842" s="25"/>
      <c r="AC842" s="14"/>
      <c r="AG842" s="96"/>
      <c r="AH842" s="14"/>
      <c r="AI842"/>
      <c r="AN842" s="14"/>
      <c r="AV842" s="36"/>
      <c r="AW842" s="14"/>
      <c r="AX842" s="234"/>
      <c r="AY842" s="96"/>
      <c r="AZ842" s="14"/>
      <c r="BA842"/>
      <c r="BE842" s="14"/>
      <c r="BF842" s="25"/>
      <c r="BL842" s="15"/>
      <c r="BN842"/>
      <c r="BR842" s="14"/>
      <c r="BV842"/>
    </row>
    <row r="843" spans="27:74" x14ac:dyDescent="0.3">
      <c r="AA843" s="25"/>
      <c r="AC843" s="14"/>
      <c r="AG843" s="96"/>
      <c r="AH843" s="14"/>
      <c r="AI843"/>
      <c r="AN843" s="14"/>
      <c r="AV843" s="36"/>
      <c r="AW843" s="14"/>
      <c r="AX843" s="234"/>
      <c r="AY843" s="96"/>
      <c r="AZ843" s="14"/>
      <c r="BA843"/>
      <c r="BE843" s="14"/>
      <c r="BF843" s="25"/>
      <c r="BL843" s="15"/>
      <c r="BN843"/>
      <c r="BR843" s="14"/>
      <c r="BV843"/>
    </row>
    <row r="844" spans="27:74" x14ac:dyDescent="0.3">
      <c r="AA844" s="25"/>
      <c r="AC844" s="14"/>
      <c r="AG844" s="96"/>
      <c r="AH844" s="14"/>
      <c r="AI844"/>
      <c r="AN844" s="14"/>
      <c r="AV844" s="36"/>
      <c r="AW844" s="14"/>
      <c r="AX844" s="234"/>
      <c r="AY844" s="96"/>
      <c r="AZ844" s="14"/>
      <c r="BA844"/>
      <c r="BE844" s="14"/>
      <c r="BF844" s="25"/>
      <c r="BL844" s="15"/>
      <c r="BN844"/>
      <c r="BR844" s="14"/>
      <c r="BV844"/>
    </row>
    <row r="845" spans="27:74" x14ac:dyDescent="0.3">
      <c r="AA845" s="25"/>
      <c r="AC845" s="14"/>
      <c r="AG845" s="96"/>
      <c r="AH845" s="14"/>
      <c r="AI845"/>
      <c r="AN845" s="14"/>
      <c r="AV845" s="36"/>
      <c r="AW845" s="14"/>
      <c r="AX845" s="234"/>
      <c r="AY845" s="96"/>
      <c r="AZ845" s="14"/>
      <c r="BA845"/>
      <c r="BE845" s="14"/>
      <c r="BF845" s="25"/>
      <c r="BL845" s="15"/>
      <c r="BN845"/>
      <c r="BR845" s="14"/>
      <c r="BV845"/>
    </row>
    <row r="846" spans="27:74" x14ac:dyDescent="0.3">
      <c r="AA846" s="25"/>
      <c r="AC846" s="14"/>
      <c r="AG846" s="96"/>
      <c r="AH846" s="14"/>
      <c r="AI846"/>
      <c r="AN846" s="14"/>
      <c r="AV846" s="36"/>
      <c r="AW846" s="14"/>
      <c r="AX846" s="234"/>
      <c r="AY846" s="96"/>
      <c r="AZ846" s="14"/>
      <c r="BA846"/>
      <c r="BE846" s="14"/>
      <c r="BF846" s="25"/>
      <c r="BL846" s="15"/>
      <c r="BN846"/>
      <c r="BR846" s="14"/>
      <c r="BV846"/>
    </row>
    <row r="847" spans="27:74" x14ac:dyDescent="0.3">
      <c r="AA847" s="25"/>
      <c r="AC847" s="14"/>
      <c r="AG847" s="96"/>
      <c r="AH847" s="14"/>
      <c r="AI847"/>
      <c r="AN847" s="14"/>
      <c r="AV847" s="36"/>
      <c r="AW847" s="14"/>
      <c r="AX847" s="234"/>
      <c r="AY847" s="96"/>
      <c r="AZ847" s="14"/>
      <c r="BA847"/>
      <c r="BE847" s="14"/>
      <c r="BF847" s="25"/>
      <c r="BL847" s="15"/>
      <c r="BN847"/>
      <c r="BR847" s="14"/>
      <c r="BV847"/>
    </row>
    <row r="848" spans="27:74" x14ac:dyDescent="0.3">
      <c r="AA848" s="25"/>
      <c r="AC848" s="14"/>
      <c r="AG848" s="96"/>
      <c r="AH848" s="14"/>
      <c r="AI848"/>
      <c r="AJ848" s="15"/>
      <c r="AK848" s="15"/>
      <c r="AN848" s="14"/>
      <c r="AV848" s="36"/>
      <c r="AW848" s="14"/>
      <c r="AX848" s="234"/>
      <c r="AY848" s="96"/>
      <c r="AZ848" s="14"/>
      <c r="BE848" s="14"/>
      <c r="BF848" s="25"/>
      <c r="BL848" s="15"/>
      <c r="BN848"/>
      <c r="BR848" s="14"/>
      <c r="BV848"/>
    </row>
    <row r="849" spans="27:74" x14ac:dyDescent="0.3">
      <c r="AA849" s="25"/>
      <c r="AC849" s="14"/>
      <c r="AG849" s="96"/>
      <c r="AH849" s="14"/>
      <c r="AI849"/>
      <c r="AJ849" s="15"/>
      <c r="AK849" s="15"/>
      <c r="AN849" s="14"/>
      <c r="AV849" s="36"/>
      <c r="AW849" s="14"/>
      <c r="AX849" s="234"/>
      <c r="AY849" s="96"/>
      <c r="AZ849" s="14"/>
      <c r="BE849" s="14"/>
      <c r="BF849" s="25"/>
      <c r="BL849" s="15"/>
      <c r="BN849"/>
      <c r="BR849" s="14"/>
      <c r="BV849"/>
    </row>
    <row r="850" spans="27:74" x14ac:dyDescent="0.3">
      <c r="AA850" s="25"/>
      <c r="AC850" s="14"/>
      <c r="AG850" s="96"/>
      <c r="AH850" s="14"/>
      <c r="AI850"/>
      <c r="AJ850" s="15"/>
      <c r="AK850" s="15"/>
      <c r="AN850" s="14"/>
      <c r="AV850" s="36"/>
      <c r="AW850" s="14"/>
      <c r="AX850" s="234"/>
      <c r="AY850" s="96"/>
      <c r="AZ850" s="14"/>
      <c r="BE850" s="14"/>
      <c r="BF850" s="25"/>
      <c r="BL850" s="15"/>
      <c r="BN850"/>
      <c r="BR850" s="14"/>
      <c r="BV850"/>
    </row>
    <row r="851" spans="27:74" x14ac:dyDescent="0.3">
      <c r="AA851" s="25"/>
      <c r="AC851" s="14"/>
      <c r="AG851" s="96"/>
      <c r="AH851" s="14"/>
      <c r="AI851"/>
      <c r="AJ851" s="15"/>
      <c r="AK851" s="15"/>
      <c r="AN851" s="14"/>
      <c r="AV851" s="36"/>
      <c r="AW851" s="14"/>
      <c r="AX851" s="234"/>
      <c r="AY851" s="96"/>
      <c r="AZ851" s="14"/>
      <c r="BE851" s="14"/>
      <c r="BF851" s="25"/>
      <c r="BL851" s="15"/>
      <c r="BN851"/>
      <c r="BR851" s="14"/>
      <c r="BV851"/>
    </row>
    <row r="852" spans="27:74" x14ac:dyDescent="0.3">
      <c r="AA852" s="25"/>
      <c r="AC852" s="14"/>
      <c r="AG852" s="96"/>
      <c r="AH852" s="14"/>
      <c r="AI852"/>
      <c r="AJ852" s="15"/>
      <c r="AK852" s="15"/>
      <c r="AN852" s="14"/>
      <c r="AV852" s="36"/>
      <c r="AW852" s="14"/>
      <c r="AX852" s="234"/>
      <c r="AY852" s="96"/>
      <c r="AZ852" s="14"/>
      <c r="BE852" s="14"/>
      <c r="BF852" s="25"/>
      <c r="BL852" s="15"/>
      <c r="BN852"/>
      <c r="BR852" s="14"/>
      <c r="BV852"/>
    </row>
    <row r="853" spans="27:74" x14ac:dyDescent="0.3">
      <c r="AA853" s="25"/>
      <c r="AC853" s="14"/>
      <c r="AG853" s="96"/>
      <c r="AH853" s="14"/>
      <c r="AI853"/>
      <c r="AJ853" s="15"/>
      <c r="AK853" s="15"/>
      <c r="AN853" s="14"/>
      <c r="AV853" s="36"/>
      <c r="AW853" s="14"/>
      <c r="AX853" s="234"/>
      <c r="AY853" s="96"/>
      <c r="AZ853" s="14"/>
      <c r="BE853" s="14"/>
      <c r="BF853" s="25"/>
      <c r="BL853" s="15"/>
      <c r="BN853"/>
      <c r="BR853" s="14"/>
      <c r="BV853"/>
    </row>
    <row r="854" spans="27:74" x14ac:dyDescent="0.3">
      <c r="AA854" s="25"/>
      <c r="AC854" s="14"/>
      <c r="AG854" s="96"/>
      <c r="AH854" s="14"/>
      <c r="AI854"/>
      <c r="AJ854" s="15"/>
      <c r="AK854" s="15"/>
      <c r="AN854" s="14"/>
      <c r="AV854" s="36"/>
      <c r="AW854" s="14"/>
      <c r="AX854" s="234"/>
      <c r="AY854" s="96"/>
      <c r="AZ854" s="14"/>
      <c r="BE854" s="14"/>
      <c r="BF854" s="25"/>
      <c r="BL854" s="15"/>
      <c r="BN854"/>
      <c r="BR854" s="14"/>
      <c r="BV854"/>
    </row>
    <row r="855" spans="27:74" x14ac:dyDescent="0.3">
      <c r="AA855" s="25"/>
      <c r="AC855" s="14"/>
      <c r="AG855" s="96"/>
      <c r="AH855" s="14"/>
      <c r="AI855"/>
      <c r="AJ855" s="15"/>
      <c r="AK855" s="15"/>
      <c r="AN855" s="14"/>
      <c r="AV855" s="36"/>
      <c r="AW855" s="14"/>
      <c r="AX855" s="234"/>
      <c r="AY855" s="96"/>
      <c r="AZ855" s="14"/>
      <c r="BE855" s="14"/>
      <c r="BF855" s="25"/>
      <c r="BL855" s="15"/>
      <c r="BN855"/>
      <c r="BR855" s="14"/>
      <c r="BV855"/>
    </row>
    <row r="856" spans="27:74" x14ac:dyDescent="0.3">
      <c r="AA856" s="25"/>
      <c r="AC856" s="14"/>
      <c r="AG856" s="96"/>
      <c r="AH856" s="14"/>
      <c r="AI856"/>
      <c r="AJ856" s="15"/>
      <c r="AK856" s="15"/>
      <c r="AN856" s="14"/>
      <c r="AV856" s="36"/>
      <c r="AW856" s="14"/>
      <c r="AX856" s="234"/>
      <c r="AY856" s="96"/>
      <c r="AZ856" s="14"/>
      <c r="BE856" s="14"/>
      <c r="BF856" s="25"/>
      <c r="BL856" s="15"/>
      <c r="BN856"/>
      <c r="BR856" s="14"/>
      <c r="BV856"/>
    </row>
    <row r="857" spans="27:74" x14ac:dyDescent="0.3">
      <c r="AA857" s="25"/>
      <c r="AC857" s="14"/>
      <c r="AG857" s="96"/>
      <c r="AH857" s="14"/>
      <c r="AI857"/>
      <c r="AJ857" s="15"/>
      <c r="AK857" s="15"/>
      <c r="AN857" s="14"/>
      <c r="AV857" s="36"/>
      <c r="AW857" s="14"/>
      <c r="AX857" s="234"/>
      <c r="AY857" s="96"/>
      <c r="AZ857" s="14"/>
      <c r="BE857" s="14"/>
      <c r="BF857" s="25"/>
      <c r="BL857" s="15"/>
      <c r="BN857"/>
      <c r="BR857" s="14"/>
      <c r="BV857"/>
    </row>
    <row r="858" spans="27:74" x14ac:dyDescent="0.3">
      <c r="AA858" s="25"/>
      <c r="AC858" s="14"/>
      <c r="AG858" s="96"/>
      <c r="AH858" s="14"/>
      <c r="AI858"/>
      <c r="AJ858" s="15"/>
      <c r="AK858" s="15"/>
      <c r="AN858" s="14"/>
      <c r="AV858" s="36"/>
      <c r="AW858" s="14"/>
      <c r="AX858" s="234"/>
      <c r="AY858" s="96"/>
      <c r="AZ858" s="14"/>
      <c r="BE858" s="14"/>
      <c r="BF858" s="25"/>
      <c r="BL858" s="15"/>
      <c r="BN858"/>
      <c r="BR858" s="14"/>
      <c r="BV858"/>
    </row>
    <row r="859" spans="27:74" x14ac:dyDescent="0.3">
      <c r="AA859" s="25"/>
      <c r="AC859" s="14"/>
      <c r="AG859" s="96"/>
      <c r="AH859" s="14"/>
      <c r="AI859"/>
      <c r="AJ859" s="15"/>
      <c r="AK859" s="15"/>
      <c r="AN859" s="14"/>
      <c r="AV859" s="36"/>
      <c r="AW859" s="14"/>
      <c r="AX859" s="234"/>
      <c r="AY859" s="96"/>
      <c r="AZ859" s="14"/>
      <c r="BE859" s="14"/>
      <c r="BF859" s="25"/>
      <c r="BL859" s="15"/>
      <c r="BN859"/>
      <c r="BR859" s="14"/>
      <c r="BV859"/>
    </row>
    <row r="860" spans="27:74" x14ac:dyDescent="0.3">
      <c r="AA860" s="25"/>
      <c r="AC860" s="14"/>
      <c r="AG860" s="96"/>
      <c r="AH860" s="14"/>
      <c r="AI860"/>
      <c r="AJ860" s="15"/>
      <c r="AK860" s="15"/>
      <c r="AN860" s="14"/>
      <c r="AV860" s="36"/>
      <c r="AW860" s="14"/>
      <c r="AX860" s="234"/>
      <c r="AY860" s="96"/>
      <c r="AZ860" s="14"/>
      <c r="BE860" s="14"/>
      <c r="BF860" s="25"/>
      <c r="BL860" s="15"/>
      <c r="BN860"/>
      <c r="BR860" s="14"/>
      <c r="BV860"/>
    </row>
    <row r="861" spans="27:74" x14ac:dyDescent="0.3">
      <c r="AA861" s="25"/>
      <c r="AC861" s="14"/>
      <c r="AG861" s="96"/>
      <c r="AH861" s="14"/>
      <c r="AI861"/>
      <c r="AJ861" s="15"/>
      <c r="AK861" s="15"/>
      <c r="AN861" s="14"/>
      <c r="AV861" s="36"/>
      <c r="AW861" s="14"/>
      <c r="AX861" s="234"/>
      <c r="AY861" s="96"/>
      <c r="AZ861" s="14"/>
      <c r="BE861" s="14"/>
      <c r="BF861" s="25"/>
      <c r="BL861" s="15"/>
      <c r="BN861"/>
      <c r="BR861" s="14"/>
      <c r="BV861"/>
    </row>
    <row r="862" spans="27:74" x14ac:dyDescent="0.3">
      <c r="AA862" s="25"/>
      <c r="AC862" s="14"/>
      <c r="AG862" s="96"/>
      <c r="AH862" s="14"/>
      <c r="AI862"/>
      <c r="AJ862" s="15"/>
      <c r="AK862" s="15"/>
      <c r="AN862" s="14"/>
      <c r="AV862" s="36"/>
      <c r="AW862" s="14"/>
      <c r="AX862" s="234"/>
      <c r="AY862" s="96"/>
      <c r="AZ862" s="14"/>
      <c r="BE862" s="14"/>
      <c r="BF862" s="25"/>
      <c r="BL862" s="15"/>
      <c r="BN862"/>
      <c r="BR862" s="14"/>
      <c r="BV862"/>
    </row>
    <row r="863" spans="27:74" x14ac:dyDescent="0.3">
      <c r="AA863" s="43"/>
      <c r="AC863" s="14"/>
      <c r="AG863" s="96"/>
      <c r="AH863" s="14"/>
      <c r="AI863"/>
      <c r="AJ863" s="15"/>
      <c r="AK863" s="15"/>
      <c r="AN863" s="14"/>
      <c r="AV863" s="36"/>
      <c r="AW863" s="14"/>
      <c r="AX863" s="234"/>
      <c r="AY863" s="96"/>
      <c r="AZ863" s="14"/>
      <c r="BE863" s="14"/>
      <c r="BF863" s="25"/>
      <c r="BL863" s="15"/>
      <c r="BN863"/>
      <c r="BR863" s="14"/>
      <c r="BV863"/>
    </row>
    <row r="864" spans="27:74" x14ac:dyDescent="0.3">
      <c r="AA864" s="43"/>
      <c r="AC864" s="14"/>
      <c r="AG864" s="96"/>
      <c r="AH864" s="14"/>
      <c r="AI864"/>
      <c r="AJ864" s="15"/>
      <c r="AK864" s="15"/>
      <c r="AN864" s="14"/>
      <c r="AV864" s="36"/>
      <c r="AW864" s="14"/>
      <c r="AX864" s="234"/>
      <c r="AY864" s="96"/>
      <c r="AZ864" s="14"/>
      <c r="BE864" s="14"/>
      <c r="BF864" s="25"/>
      <c r="BL864" s="15"/>
      <c r="BN864"/>
      <c r="BR864" s="14"/>
      <c r="BV864"/>
    </row>
    <row r="865" spans="27:74" x14ac:dyDescent="0.3">
      <c r="AA865" s="43"/>
      <c r="AC865" s="14"/>
      <c r="AG865" s="96"/>
      <c r="AH865" s="14"/>
      <c r="AI865"/>
      <c r="AJ865" s="15"/>
      <c r="AK865" s="15"/>
      <c r="AN865" s="14"/>
      <c r="AV865" s="36"/>
      <c r="AW865" s="14"/>
      <c r="AX865" s="234"/>
      <c r="AY865" s="96"/>
      <c r="AZ865" s="14"/>
      <c r="BE865" s="14"/>
      <c r="BF865" s="25"/>
      <c r="BL865" s="15"/>
      <c r="BN865"/>
      <c r="BR865" s="14"/>
      <c r="BV865"/>
    </row>
    <row r="866" spans="27:74" x14ac:dyDescent="0.3">
      <c r="AA866" s="43"/>
      <c r="AC866" s="14"/>
      <c r="AG866" s="96"/>
      <c r="AH866" s="14"/>
      <c r="AI866"/>
      <c r="AJ866" s="15"/>
      <c r="AK866" s="15"/>
      <c r="AN866" s="14"/>
      <c r="AV866" s="36"/>
      <c r="AW866" s="14"/>
      <c r="AX866" s="234"/>
      <c r="AY866" s="96"/>
      <c r="AZ866" s="14"/>
      <c r="BE866" s="14"/>
      <c r="BF866" s="25"/>
      <c r="BL866" s="15"/>
      <c r="BN866"/>
      <c r="BR866" s="14"/>
      <c r="BV866"/>
    </row>
    <row r="867" spans="27:74" x14ac:dyDescent="0.3">
      <c r="AA867" s="43"/>
      <c r="AC867" s="14"/>
      <c r="AG867" s="96"/>
      <c r="AH867" s="14"/>
      <c r="AI867"/>
      <c r="AJ867" s="15"/>
      <c r="AK867" s="15"/>
      <c r="AN867" s="14"/>
      <c r="AV867" s="36"/>
      <c r="AW867" s="14"/>
      <c r="AX867" s="234"/>
      <c r="AY867" s="96"/>
      <c r="AZ867" s="14"/>
      <c r="BE867" s="14"/>
      <c r="BF867" s="25"/>
      <c r="BL867" s="15"/>
      <c r="BN867"/>
      <c r="BR867" s="14"/>
      <c r="BV867"/>
    </row>
    <row r="868" spans="27:74" x14ac:dyDescent="0.3">
      <c r="AA868" s="43"/>
      <c r="AC868" s="14"/>
      <c r="AG868" s="96"/>
      <c r="AH868" s="14"/>
      <c r="AI868"/>
      <c r="AJ868" s="15"/>
      <c r="AK868" s="15"/>
      <c r="AN868" s="14"/>
      <c r="AV868" s="36"/>
      <c r="AW868" s="14"/>
      <c r="AX868" s="234"/>
      <c r="AY868" s="96"/>
      <c r="AZ868" s="14"/>
      <c r="BE868" s="14"/>
      <c r="BF868" s="25"/>
      <c r="BL868" s="15"/>
      <c r="BN868"/>
      <c r="BR868" s="14"/>
      <c r="BV868"/>
    </row>
    <row r="869" spans="27:74" x14ac:dyDescent="0.3">
      <c r="AA869" s="43"/>
      <c r="AC869" s="14"/>
      <c r="AG869" s="96"/>
      <c r="AH869" s="14"/>
      <c r="AI869"/>
      <c r="AJ869" s="15"/>
      <c r="AK869" s="15"/>
      <c r="AN869" s="14"/>
      <c r="AV869" s="36"/>
      <c r="AW869" s="14"/>
      <c r="AX869" s="234"/>
      <c r="AY869" s="96"/>
      <c r="AZ869" s="14"/>
      <c r="BE869" s="14"/>
      <c r="BF869" s="25"/>
      <c r="BL869" s="15"/>
      <c r="BN869"/>
      <c r="BR869" s="14"/>
      <c r="BV869"/>
    </row>
    <row r="870" spans="27:74" x14ac:dyDescent="0.3">
      <c r="AA870" s="43"/>
      <c r="AC870" s="14"/>
      <c r="AG870" s="96"/>
      <c r="AH870" s="14"/>
      <c r="AI870"/>
      <c r="AJ870" s="15"/>
      <c r="AK870" s="15"/>
      <c r="AN870" s="14"/>
      <c r="AV870" s="36"/>
      <c r="AW870" s="14"/>
      <c r="AX870" s="234"/>
      <c r="AY870" s="96"/>
      <c r="AZ870" s="14"/>
      <c r="BE870" s="14"/>
      <c r="BF870" s="25"/>
      <c r="BL870" s="15"/>
      <c r="BN870"/>
      <c r="BR870" s="14"/>
      <c r="BV870"/>
    </row>
    <row r="871" spans="27:74" x14ac:dyDescent="0.3">
      <c r="AA871" s="43"/>
      <c r="AC871" s="14"/>
      <c r="AG871" s="96"/>
      <c r="AH871" s="14"/>
      <c r="AI871"/>
      <c r="AJ871" s="15"/>
      <c r="AK871" s="15"/>
      <c r="AN871" s="14"/>
      <c r="AV871" s="36"/>
      <c r="AW871" s="14"/>
      <c r="AX871" s="234"/>
      <c r="AY871" s="96"/>
      <c r="AZ871" s="14"/>
      <c r="BE871" s="14"/>
      <c r="BF871" s="25"/>
      <c r="BL871" s="15"/>
      <c r="BN871"/>
      <c r="BR871" s="14"/>
      <c r="BV871"/>
    </row>
    <row r="872" spans="27:74" x14ac:dyDescent="0.3">
      <c r="AA872" s="43"/>
      <c r="AC872" s="14"/>
      <c r="AG872" s="96"/>
      <c r="AH872" s="14"/>
      <c r="AI872"/>
      <c r="AJ872" s="15"/>
      <c r="AK872" s="15"/>
      <c r="AN872" s="14"/>
      <c r="AV872" s="36"/>
      <c r="AW872" s="14"/>
      <c r="AX872" s="234"/>
      <c r="AY872" s="96"/>
      <c r="AZ872" s="14"/>
      <c r="BE872" s="14"/>
      <c r="BF872" s="25"/>
      <c r="BL872" s="15"/>
      <c r="BN872"/>
      <c r="BR872" s="14"/>
      <c r="BV872"/>
    </row>
    <row r="873" spans="27:74" x14ac:dyDescent="0.3">
      <c r="AA873" s="43"/>
      <c r="AC873" s="14"/>
      <c r="AG873" s="96"/>
      <c r="AH873" s="14"/>
      <c r="AI873"/>
      <c r="AJ873" s="15"/>
      <c r="AK873" s="15"/>
      <c r="AN873" s="14"/>
      <c r="AV873" s="36"/>
      <c r="AW873" s="14"/>
      <c r="AX873" s="234"/>
      <c r="AY873" s="96"/>
      <c r="AZ873" s="14"/>
      <c r="BE873" s="14"/>
      <c r="BF873" s="25"/>
      <c r="BL873" s="15"/>
      <c r="BN873"/>
      <c r="BR873" s="14"/>
      <c r="BV873"/>
    </row>
    <row r="874" spans="27:74" x14ac:dyDescent="0.3">
      <c r="AA874" s="43"/>
      <c r="AC874" s="14"/>
      <c r="AG874" s="96"/>
      <c r="AH874" s="14"/>
      <c r="AI874"/>
      <c r="AJ874" s="15"/>
      <c r="AK874" s="15"/>
      <c r="AN874" s="14"/>
      <c r="AV874" s="36"/>
      <c r="AW874" s="14"/>
      <c r="AX874" s="234"/>
      <c r="AY874" s="96"/>
      <c r="AZ874" s="14"/>
      <c r="BE874" s="14"/>
      <c r="BF874" s="25"/>
      <c r="BL874" s="15"/>
      <c r="BN874"/>
      <c r="BR874" s="14"/>
      <c r="BV874"/>
    </row>
    <row r="875" spans="27:74" x14ac:dyDescent="0.3">
      <c r="AA875" s="43"/>
      <c r="AC875" s="14"/>
      <c r="AG875" s="96"/>
      <c r="AH875" s="14"/>
      <c r="AI875"/>
      <c r="AJ875" s="15"/>
      <c r="AK875" s="15"/>
      <c r="AN875" s="14"/>
      <c r="AV875" s="36"/>
      <c r="AW875" s="14"/>
      <c r="AX875" s="234"/>
      <c r="AY875" s="96"/>
      <c r="AZ875" s="14"/>
      <c r="BE875" s="14"/>
      <c r="BF875" s="25"/>
      <c r="BL875" s="15"/>
      <c r="BN875"/>
      <c r="BR875" s="14"/>
      <c r="BV875"/>
    </row>
    <row r="876" spans="27:74" x14ac:dyDescent="0.3">
      <c r="AA876" s="43"/>
      <c r="AC876" s="14"/>
      <c r="AG876" s="96"/>
      <c r="AH876" s="14"/>
      <c r="AI876"/>
      <c r="AJ876" s="15"/>
      <c r="AK876" s="15"/>
      <c r="AN876" s="14"/>
      <c r="AV876" s="36"/>
      <c r="AW876" s="14"/>
      <c r="AX876" s="234"/>
      <c r="AY876" s="96"/>
      <c r="AZ876" s="14"/>
      <c r="BE876" s="14"/>
      <c r="BF876" s="25"/>
      <c r="BL876" s="15"/>
      <c r="BN876"/>
      <c r="BR876" s="14"/>
      <c r="BV876"/>
    </row>
    <row r="877" spans="27:74" x14ac:dyDescent="0.3">
      <c r="AA877" s="43"/>
      <c r="AC877" s="14"/>
      <c r="AG877" s="96"/>
      <c r="AH877" s="14"/>
      <c r="AI877"/>
      <c r="AJ877" s="15"/>
      <c r="AK877" s="15"/>
      <c r="AN877" s="14"/>
      <c r="AV877" s="36"/>
      <c r="AW877" s="14"/>
      <c r="AX877" s="234"/>
      <c r="AY877" s="96"/>
      <c r="AZ877" s="14"/>
      <c r="BE877" s="14"/>
      <c r="BF877" s="25"/>
      <c r="BL877" s="15"/>
      <c r="BN877"/>
      <c r="BR877" s="14"/>
      <c r="BV877"/>
    </row>
    <row r="878" spans="27:74" x14ac:dyDescent="0.3">
      <c r="AA878" s="43"/>
      <c r="AC878" s="14"/>
      <c r="AG878" s="96"/>
      <c r="AH878" s="14"/>
      <c r="AI878"/>
      <c r="AJ878" s="15"/>
      <c r="AK878" s="15"/>
      <c r="AN878" s="14"/>
      <c r="AV878" s="36"/>
      <c r="AW878" s="14"/>
      <c r="AX878" s="234"/>
      <c r="AY878" s="96"/>
      <c r="AZ878" s="14"/>
      <c r="BE878" s="14"/>
      <c r="BF878" s="25"/>
      <c r="BL878" s="15"/>
      <c r="BN878"/>
      <c r="BR878" s="14"/>
      <c r="BV878"/>
    </row>
    <row r="879" spans="27:74" x14ac:dyDescent="0.3">
      <c r="AA879" s="43"/>
      <c r="AC879" s="14"/>
      <c r="AG879" s="96"/>
      <c r="AH879" s="14"/>
      <c r="AI879"/>
      <c r="AJ879" s="15"/>
      <c r="AK879" s="15"/>
      <c r="AN879" s="14"/>
      <c r="AV879" s="36"/>
      <c r="AW879" s="14"/>
      <c r="AX879" s="234"/>
      <c r="AY879" s="96"/>
      <c r="AZ879" s="14"/>
      <c r="BE879" s="14"/>
      <c r="BF879" s="25"/>
      <c r="BL879" s="15"/>
      <c r="BN879"/>
      <c r="BR879" s="14"/>
      <c r="BV879"/>
    </row>
    <row r="880" spans="27:74" x14ac:dyDescent="0.3">
      <c r="AA880" s="43"/>
      <c r="AC880" s="14"/>
      <c r="AG880" s="96"/>
      <c r="AH880" s="14"/>
      <c r="AI880"/>
      <c r="AJ880" s="15"/>
      <c r="AK880" s="15"/>
      <c r="AN880" s="14"/>
      <c r="AV880" s="36"/>
      <c r="AW880" s="14"/>
      <c r="AX880" s="234"/>
      <c r="AY880" s="96"/>
      <c r="AZ880" s="14"/>
      <c r="BE880" s="14"/>
      <c r="BF880" s="25"/>
      <c r="BL880" s="15"/>
      <c r="BN880"/>
      <c r="BR880" s="14"/>
      <c r="BV880"/>
    </row>
    <row r="881" spans="27:74" x14ac:dyDescent="0.3">
      <c r="AA881" s="43"/>
      <c r="AC881" s="14"/>
      <c r="AG881" s="96"/>
      <c r="AH881" s="14"/>
      <c r="AI881"/>
      <c r="AJ881" s="15"/>
      <c r="AK881" s="15"/>
      <c r="AN881" s="14"/>
      <c r="AV881" s="36"/>
      <c r="AW881" s="14"/>
      <c r="AX881" s="234"/>
      <c r="AY881" s="96"/>
      <c r="AZ881" s="14"/>
      <c r="BE881" s="14"/>
      <c r="BF881" s="25"/>
      <c r="BL881" s="15"/>
      <c r="BN881"/>
      <c r="BR881" s="14"/>
      <c r="BV881"/>
    </row>
    <row r="882" spans="27:74" x14ac:dyDescent="0.3">
      <c r="AA882" s="43"/>
      <c r="AC882" s="14"/>
      <c r="AG882" s="96"/>
      <c r="AH882" s="14"/>
      <c r="AI882"/>
      <c r="AJ882" s="15"/>
      <c r="AK882" s="15"/>
      <c r="AN882" s="14"/>
      <c r="AV882" s="36"/>
      <c r="AW882" s="14"/>
      <c r="AX882" s="234"/>
      <c r="AY882" s="96"/>
      <c r="AZ882" s="14"/>
      <c r="BE882" s="14"/>
      <c r="BF882" s="25"/>
      <c r="BL882" s="15"/>
      <c r="BN882"/>
      <c r="BR882" s="14"/>
      <c r="BV882"/>
    </row>
    <row r="883" spans="27:74" x14ac:dyDescent="0.3">
      <c r="AA883" s="43"/>
      <c r="AC883" s="14"/>
      <c r="AG883" s="96"/>
      <c r="AH883" s="14"/>
      <c r="AI883"/>
      <c r="AJ883" s="15"/>
      <c r="AK883" s="15"/>
      <c r="AN883" s="14"/>
      <c r="AV883" s="36"/>
      <c r="AW883" s="14"/>
      <c r="AX883" s="234"/>
      <c r="AY883" s="96"/>
      <c r="AZ883" s="14"/>
      <c r="BE883" s="14"/>
      <c r="BF883" s="25"/>
      <c r="BL883" s="15"/>
      <c r="BN883"/>
      <c r="BR883" s="14"/>
      <c r="BV883"/>
    </row>
    <row r="884" spans="27:74" x14ac:dyDescent="0.3">
      <c r="AA884" s="43"/>
      <c r="AC884" s="14"/>
      <c r="AG884" s="96"/>
      <c r="AH884" s="14"/>
      <c r="AI884"/>
      <c r="AJ884" s="15"/>
      <c r="AK884" s="15"/>
      <c r="AN884" s="14"/>
      <c r="AV884" s="36"/>
      <c r="AW884" s="14"/>
      <c r="AX884" s="234"/>
      <c r="AY884" s="96"/>
      <c r="AZ884" s="14"/>
      <c r="BE884" s="14"/>
      <c r="BF884" s="25"/>
      <c r="BL884" s="15"/>
      <c r="BN884"/>
      <c r="BR884" s="14"/>
      <c r="BV884"/>
    </row>
    <row r="885" spans="27:74" x14ac:dyDescent="0.3">
      <c r="AA885" s="43"/>
      <c r="AC885" s="14"/>
      <c r="AG885" s="96"/>
      <c r="AH885" s="14"/>
      <c r="AI885"/>
      <c r="AJ885" s="15"/>
      <c r="AK885" s="15"/>
      <c r="AN885" s="14"/>
      <c r="AV885" s="36"/>
      <c r="AW885" s="14"/>
      <c r="AX885" s="234"/>
      <c r="AY885" s="96"/>
      <c r="AZ885" s="14"/>
      <c r="BE885" s="14"/>
      <c r="BF885" s="25"/>
      <c r="BL885" s="15"/>
      <c r="BN885"/>
      <c r="BR885" s="14"/>
      <c r="BV885"/>
    </row>
    <row r="886" spans="27:74" x14ac:dyDescent="0.3">
      <c r="AA886" s="43"/>
      <c r="AC886" s="14"/>
      <c r="AG886" s="96"/>
      <c r="AH886" s="14"/>
      <c r="AI886"/>
      <c r="AJ886" s="15"/>
      <c r="AK886" s="15"/>
      <c r="AN886" s="14"/>
      <c r="AV886" s="36"/>
      <c r="AW886" s="14"/>
      <c r="AX886" s="234"/>
      <c r="AY886" s="96"/>
      <c r="AZ886" s="14"/>
      <c r="BE886" s="14"/>
      <c r="BF886" s="25"/>
      <c r="BL886" s="15"/>
      <c r="BN886"/>
      <c r="BR886" s="14"/>
      <c r="BV886"/>
    </row>
    <row r="887" spans="27:74" x14ac:dyDescent="0.3">
      <c r="AA887" s="43"/>
      <c r="AC887" s="14"/>
      <c r="AG887" s="96"/>
      <c r="AH887" s="14"/>
      <c r="AI887"/>
      <c r="AJ887" s="15"/>
      <c r="AK887" s="15"/>
      <c r="AN887" s="14"/>
      <c r="AV887" s="36"/>
      <c r="AW887" s="14"/>
      <c r="AX887" s="234"/>
      <c r="AY887" s="96"/>
      <c r="AZ887" s="14"/>
      <c r="BE887" s="14"/>
      <c r="BF887" s="25"/>
      <c r="BL887" s="15"/>
      <c r="BN887"/>
      <c r="BR887" s="14"/>
      <c r="BV887"/>
    </row>
    <row r="888" spans="27:74" x14ac:dyDescent="0.3">
      <c r="AA888" s="43"/>
      <c r="AC888" s="14"/>
      <c r="AG888" s="96"/>
      <c r="AH888" s="14"/>
      <c r="AI888"/>
      <c r="AJ888" s="15"/>
      <c r="AK888" s="15"/>
      <c r="AN888" s="14"/>
      <c r="AV888" s="36"/>
      <c r="AW888" s="14"/>
      <c r="AX888" s="234"/>
      <c r="AY888" s="96"/>
      <c r="AZ888" s="14"/>
      <c r="BE888" s="14"/>
      <c r="BF888" s="25"/>
      <c r="BL888" s="15"/>
      <c r="BN888"/>
      <c r="BR888" s="14"/>
      <c r="BV888"/>
    </row>
    <row r="889" spans="27:74" x14ac:dyDescent="0.3">
      <c r="AA889" s="43"/>
      <c r="AC889" s="14"/>
      <c r="AG889" s="96"/>
      <c r="AH889" s="14"/>
      <c r="AI889"/>
      <c r="AJ889" s="15"/>
      <c r="AK889" s="15"/>
      <c r="AN889" s="14"/>
      <c r="AV889" s="36"/>
      <c r="AW889" s="14"/>
      <c r="AX889" s="234"/>
      <c r="AY889" s="96"/>
      <c r="AZ889" s="14"/>
      <c r="BE889" s="14"/>
      <c r="BF889" s="25"/>
      <c r="BL889" s="15"/>
      <c r="BN889"/>
      <c r="BR889" s="14"/>
      <c r="BV889"/>
    </row>
    <row r="890" spans="27:74" x14ac:dyDescent="0.3">
      <c r="AA890" s="43"/>
      <c r="AC890" s="14"/>
      <c r="AG890" s="96"/>
      <c r="AH890" s="14"/>
      <c r="AI890"/>
      <c r="AJ890" s="15"/>
      <c r="AK890" s="15"/>
      <c r="AN890" s="14"/>
      <c r="AV890" s="36"/>
      <c r="AW890" s="14"/>
      <c r="AX890" s="234"/>
      <c r="AY890" s="96"/>
      <c r="AZ890" s="14"/>
      <c r="BE890" s="14"/>
      <c r="BF890" s="25"/>
      <c r="BL890" s="15"/>
      <c r="BN890"/>
      <c r="BR890" s="14"/>
      <c r="BV890"/>
    </row>
    <row r="891" spans="27:74" x14ac:dyDescent="0.3">
      <c r="AA891" s="43"/>
      <c r="AC891" s="14"/>
      <c r="AG891" s="96"/>
      <c r="AH891" s="14"/>
      <c r="AI891"/>
      <c r="AJ891" s="15"/>
      <c r="AK891" s="15"/>
      <c r="AN891" s="14"/>
      <c r="AV891" s="36"/>
      <c r="AW891" s="14"/>
      <c r="AX891" s="234"/>
      <c r="AY891" s="96"/>
      <c r="AZ891" s="14"/>
      <c r="BE891" s="14"/>
      <c r="BF891" s="25"/>
      <c r="BL891" s="15"/>
      <c r="BN891"/>
      <c r="BR891" s="14"/>
      <c r="BV891"/>
    </row>
    <row r="892" spans="27:74" x14ac:dyDescent="0.3">
      <c r="AA892" s="43"/>
      <c r="AC892" s="14"/>
      <c r="AG892" s="96"/>
      <c r="AH892" s="14"/>
      <c r="AI892"/>
      <c r="AJ892" s="15"/>
      <c r="AK892" s="15"/>
      <c r="AN892" s="14"/>
      <c r="AV892" s="36"/>
      <c r="AW892" s="14"/>
      <c r="AX892" s="234"/>
      <c r="AY892" s="96"/>
      <c r="AZ892" s="14"/>
      <c r="BE892" s="14"/>
      <c r="BF892" s="25"/>
      <c r="BL892" s="15"/>
      <c r="BN892"/>
      <c r="BR892" s="14"/>
      <c r="BV892"/>
    </row>
    <row r="893" spans="27:74" x14ac:dyDescent="0.3">
      <c r="AA893" s="43"/>
      <c r="AC893" s="14"/>
      <c r="AG893" s="96"/>
      <c r="AH893" s="14"/>
      <c r="AI893"/>
      <c r="AJ893" s="15"/>
      <c r="AK893" s="15"/>
      <c r="AN893" s="14"/>
      <c r="AV893" s="36"/>
      <c r="AW893" s="14"/>
      <c r="AX893" s="234"/>
      <c r="AY893" s="96"/>
      <c r="AZ893" s="14"/>
      <c r="BE893" s="14"/>
      <c r="BF893" s="25"/>
      <c r="BL893" s="15"/>
      <c r="BN893"/>
      <c r="BR893" s="14"/>
      <c r="BV893"/>
    </row>
    <row r="894" spans="27:74" x14ac:dyDescent="0.3">
      <c r="AA894" s="43"/>
      <c r="AC894" s="14"/>
      <c r="AG894" s="96"/>
      <c r="AH894" s="14"/>
      <c r="AI894"/>
      <c r="AJ894" s="15"/>
      <c r="AK894" s="15"/>
      <c r="AN894" s="14"/>
      <c r="AV894" s="36"/>
      <c r="AW894" s="14"/>
      <c r="AX894" s="234"/>
      <c r="AY894" s="96"/>
      <c r="AZ894" s="14"/>
      <c r="BE894" s="14"/>
      <c r="BF894" s="25"/>
      <c r="BL894" s="15"/>
      <c r="BN894"/>
      <c r="BR894" s="14"/>
      <c r="BV894"/>
    </row>
    <row r="895" spans="27:74" x14ac:dyDescent="0.3">
      <c r="AA895" s="43"/>
      <c r="AC895" s="14"/>
      <c r="AG895" s="96"/>
      <c r="AH895" s="14"/>
      <c r="AI895"/>
      <c r="AJ895" s="15"/>
      <c r="AK895" s="15"/>
      <c r="AN895" s="14"/>
      <c r="AV895" s="36"/>
      <c r="AW895" s="14"/>
      <c r="AX895" s="234"/>
      <c r="AY895" s="96"/>
      <c r="AZ895" s="14"/>
      <c r="BE895" s="14"/>
      <c r="BF895" s="25"/>
      <c r="BL895" s="15"/>
      <c r="BN895"/>
      <c r="BR895" s="14"/>
      <c r="BV895"/>
    </row>
    <row r="896" spans="27:74" x14ac:dyDescent="0.3">
      <c r="AA896" s="43"/>
      <c r="AC896" s="14"/>
      <c r="AG896" s="96"/>
      <c r="AH896" s="14"/>
      <c r="AI896"/>
      <c r="AJ896" s="15"/>
      <c r="AK896" s="15"/>
      <c r="AN896" s="14"/>
      <c r="AV896" s="36"/>
      <c r="AW896" s="14"/>
      <c r="AX896" s="234"/>
      <c r="AY896" s="96"/>
      <c r="AZ896" s="14"/>
      <c r="BE896" s="14"/>
      <c r="BF896" s="25"/>
      <c r="BL896" s="15"/>
      <c r="BN896"/>
      <c r="BR896" s="14"/>
      <c r="BV896"/>
    </row>
    <row r="897" spans="27:74" x14ac:dyDescent="0.3">
      <c r="AA897" s="43"/>
      <c r="AC897" s="14"/>
      <c r="AG897" s="96"/>
      <c r="AH897" s="14"/>
      <c r="AI897"/>
      <c r="AJ897" s="15"/>
      <c r="AK897" s="15"/>
      <c r="AN897" s="14"/>
      <c r="AV897" s="36"/>
      <c r="AW897" s="14"/>
      <c r="AX897" s="234"/>
      <c r="AY897" s="96"/>
      <c r="AZ897" s="14"/>
      <c r="BE897" s="14"/>
      <c r="BF897" s="25"/>
      <c r="BL897" s="15"/>
      <c r="BN897"/>
      <c r="BR897" s="14"/>
      <c r="BV897"/>
    </row>
    <row r="898" spans="27:74" x14ac:dyDescent="0.3">
      <c r="AA898" s="43"/>
      <c r="AC898" s="14"/>
      <c r="AG898" s="96"/>
      <c r="AH898" s="14"/>
      <c r="AI898"/>
      <c r="AJ898" s="15"/>
      <c r="AK898" s="15"/>
      <c r="AN898" s="14"/>
      <c r="AV898" s="36"/>
      <c r="AW898" s="14"/>
      <c r="AX898" s="234"/>
      <c r="AY898" s="96"/>
      <c r="AZ898" s="14"/>
      <c r="BE898" s="14"/>
      <c r="BF898" s="25"/>
      <c r="BL898" s="15"/>
      <c r="BN898"/>
      <c r="BR898" s="14"/>
      <c r="BV898"/>
    </row>
    <row r="899" spans="27:74" x14ac:dyDescent="0.3">
      <c r="AA899" s="43"/>
      <c r="AC899" s="14"/>
      <c r="AG899" s="96"/>
      <c r="AH899" s="14"/>
      <c r="AI899"/>
      <c r="AJ899" s="15"/>
      <c r="AK899" s="15"/>
      <c r="AN899" s="14"/>
      <c r="AV899" s="36"/>
      <c r="AW899" s="14"/>
      <c r="AX899" s="234"/>
      <c r="AY899" s="96"/>
      <c r="AZ899" s="14"/>
      <c r="BE899" s="14"/>
      <c r="BF899" s="25"/>
      <c r="BL899" s="15"/>
      <c r="BN899"/>
      <c r="BR899" s="14"/>
      <c r="BV899"/>
    </row>
    <row r="900" spans="27:74" x14ac:dyDescent="0.3">
      <c r="AA900" s="43"/>
      <c r="AC900" s="14"/>
      <c r="AG900" s="96"/>
      <c r="AH900" s="14"/>
      <c r="AI900"/>
      <c r="AJ900" s="15"/>
      <c r="AK900" s="15"/>
      <c r="AN900" s="14"/>
      <c r="AV900" s="36"/>
      <c r="AW900" s="14"/>
      <c r="AX900" s="234"/>
      <c r="AY900" s="96"/>
      <c r="AZ900" s="14"/>
      <c r="BE900" s="14"/>
      <c r="BF900" s="25"/>
      <c r="BL900" s="15"/>
      <c r="BN900"/>
      <c r="BR900" s="14"/>
      <c r="BV900"/>
    </row>
    <row r="901" spans="27:74" x14ac:dyDescent="0.3">
      <c r="AA901" s="43"/>
      <c r="AC901" s="14"/>
      <c r="AG901" s="96"/>
      <c r="AH901" s="14"/>
      <c r="AI901"/>
      <c r="AJ901" s="15"/>
      <c r="AK901" s="15"/>
      <c r="AN901" s="14"/>
      <c r="AV901" s="36"/>
      <c r="AW901" s="14"/>
      <c r="AX901" s="234"/>
      <c r="AY901" s="96"/>
      <c r="AZ901" s="14"/>
      <c r="BE901" s="14"/>
      <c r="BF901" s="25"/>
      <c r="BL901" s="15"/>
      <c r="BN901"/>
      <c r="BR901" s="14"/>
      <c r="BV901"/>
    </row>
    <row r="902" spans="27:74" x14ac:dyDescent="0.3">
      <c r="AA902" s="43"/>
      <c r="AC902" s="14"/>
      <c r="AG902" s="96"/>
      <c r="AH902" s="14"/>
      <c r="AI902"/>
      <c r="AJ902" s="15"/>
      <c r="AK902" s="15"/>
      <c r="AN902" s="14"/>
      <c r="AV902" s="36"/>
      <c r="AW902" s="14"/>
      <c r="AX902" s="234"/>
      <c r="AY902" s="96"/>
      <c r="AZ902" s="14"/>
      <c r="BE902" s="14"/>
      <c r="BF902" s="25"/>
      <c r="BL902" s="15"/>
      <c r="BN902"/>
      <c r="BR902" s="14"/>
      <c r="BV902"/>
    </row>
    <row r="903" spans="27:74" x14ac:dyDescent="0.3">
      <c r="AA903" s="43"/>
      <c r="AC903" s="14"/>
      <c r="AG903" s="96"/>
      <c r="AH903" s="14"/>
      <c r="AI903"/>
      <c r="AJ903" s="15"/>
      <c r="AK903" s="15"/>
      <c r="AN903" s="14"/>
      <c r="AV903" s="36"/>
      <c r="AW903" s="14"/>
      <c r="AX903" s="234"/>
      <c r="AY903" s="96"/>
      <c r="AZ903" s="14"/>
      <c r="BE903" s="14"/>
      <c r="BF903" s="25"/>
      <c r="BL903" s="15"/>
      <c r="BN903"/>
      <c r="BR903" s="14"/>
      <c r="BV903"/>
    </row>
    <row r="904" spans="27:74" x14ac:dyDescent="0.3">
      <c r="AA904" s="43"/>
      <c r="AC904" s="14"/>
      <c r="AG904" s="96"/>
      <c r="AH904" s="14"/>
      <c r="AI904"/>
      <c r="AJ904" s="15"/>
      <c r="AK904" s="15"/>
      <c r="AN904" s="14"/>
      <c r="AV904" s="36"/>
      <c r="AW904" s="14"/>
      <c r="AX904" s="234"/>
      <c r="AY904" s="96"/>
      <c r="AZ904" s="14"/>
      <c r="BE904" s="14"/>
      <c r="BF904" s="25"/>
      <c r="BL904" s="15"/>
      <c r="BN904"/>
      <c r="BR904" s="14"/>
      <c r="BV904"/>
    </row>
    <row r="905" spans="27:74" x14ac:dyDescent="0.3">
      <c r="AA905" s="25"/>
      <c r="AC905" s="14"/>
      <c r="AG905" s="96"/>
      <c r="AH905" s="14"/>
      <c r="AI905"/>
      <c r="AJ905" s="15"/>
      <c r="AK905" s="15"/>
      <c r="AN905" s="14"/>
      <c r="AV905" s="36"/>
      <c r="AW905" s="14"/>
      <c r="AX905" s="234"/>
      <c r="AY905" s="96"/>
      <c r="AZ905" s="14"/>
      <c r="BE905" s="14"/>
      <c r="BF905" s="25"/>
      <c r="BL905" s="15"/>
      <c r="BN905"/>
      <c r="BR905" s="14"/>
      <c r="BV905"/>
    </row>
    <row r="906" spans="27:74" x14ac:dyDescent="0.3">
      <c r="AA906" s="25"/>
      <c r="AC906" s="14"/>
      <c r="AG906" s="96"/>
      <c r="AH906" s="14"/>
      <c r="AI906"/>
      <c r="AK906" s="15"/>
      <c r="AN906" s="14"/>
      <c r="AV906" s="36"/>
      <c r="AW906" s="14"/>
      <c r="AX906" s="234"/>
      <c r="AY906" s="96"/>
      <c r="BE906" s="14"/>
      <c r="BF906" s="25"/>
      <c r="BL906" s="15"/>
      <c r="BN906"/>
      <c r="BR906" s="14"/>
    </row>
    <row r="907" spans="27:74" x14ac:dyDescent="0.3">
      <c r="AA907" s="25"/>
      <c r="AC907" s="14"/>
      <c r="AG907" s="96"/>
      <c r="AH907" s="14"/>
      <c r="AI907"/>
      <c r="AK907" s="15"/>
      <c r="AN907" s="14"/>
      <c r="AV907" s="36"/>
      <c r="AW907" s="14"/>
      <c r="AX907" s="234"/>
      <c r="AY907" s="96"/>
      <c r="BE907" s="14"/>
      <c r="BF907" s="25"/>
      <c r="BL907" s="15"/>
      <c r="BN907"/>
      <c r="BR907" s="14"/>
    </row>
    <row r="908" spans="27:74" x14ac:dyDescent="0.3">
      <c r="AA908" s="25"/>
      <c r="AK908" s="15"/>
      <c r="AL908" s="15"/>
      <c r="AV908" s="36"/>
      <c r="AW908" s="14"/>
      <c r="AX908" s="234"/>
      <c r="AY908" s="96"/>
      <c r="BE908" s="14"/>
      <c r="BF908" s="25"/>
      <c r="BL908" s="15"/>
      <c r="BN908"/>
      <c r="BR908" s="14"/>
    </row>
    <row r="909" spans="27:74" x14ac:dyDescent="0.3">
      <c r="AA909" s="25"/>
      <c r="AK909" s="15"/>
      <c r="AL909" s="15"/>
      <c r="AV909" s="36"/>
      <c r="AW909" s="14"/>
      <c r="AX909" s="234"/>
      <c r="AY909" s="96"/>
      <c r="BE909" s="14"/>
      <c r="BF909" s="25"/>
      <c r="BL909" s="15"/>
      <c r="BN909"/>
      <c r="BR909" s="14"/>
    </row>
    <row r="910" spans="27:74" x14ac:dyDescent="0.3">
      <c r="AK910" s="15"/>
      <c r="AL910" s="15"/>
      <c r="AV910" s="36"/>
      <c r="AW910" s="14"/>
      <c r="AX910" s="234"/>
      <c r="AY910" s="96"/>
      <c r="BE910" s="14"/>
      <c r="BF910" s="25"/>
      <c r="BL910" s="15"/>
      <c r="BN910"/>
      <c r="BR910" s="14"/>
    </row>
    <row r="911" spans="27:74" x14ac:dyDescent="0.3">
      <c r="AK911" s="15"/>
      <c r="AL911" s="15"/>
      <c r="AV911" s="36"/>
      <c r="AW911" s="14"/>
      <c r="AX911" s="234"/>
      <c r="AY911" s="96"/>
      <c r="BE911" s="14"/>
      <c r="BF911" s="25"/>
      <c r="BL911" s="15"/>
      <c r="BN911"/>
      <c r="BR911" s="14"/>
    </row>
    <row r="912" spans="27:74" x14ac:dyDescent="0.3">
      <c r="AK912" s="15"/>
      <c r="AL912" s="15"/>
      <c r="AV912" s="36"/>
      <c r="AW912" s="14"/>
      <c r="AX912" s="234"/>
      <c r="AY912" s="96"/>
      <c r="BE912" s="14"/>
      <c r="BF912" s="25"/>
      <c r="BL912" s="15"/>
      <c r="BN912"/>
      <c r="BR912" s="14"/>
    </row>
    <row r="913" spans="37:70" x14ac:dyDescent="0.3">
      <c r="AK913" s="15"/>
      <c r="AL913" s="15"/>
      <c r="BE913" s="14"/>
      <c r="BF913" s="25"/>
      <c r="BL913" s="15"/>
      <c r="BN913"/>
      <c r="BR913" s="14"/>
    </row>
    <row r="914" spans="37:70" x14ac:dyDescent="0.3">
      <c r="AK914" s="15"/>
      <c r="AL914" s="15"/>
      <c r="BE914" s="14"/>
      <c r="BF914" s="25"/>
      <c r="BL914" s="15"/>
      <c r="BN914"/>
      <c r="BR914" s="14"/>
    </row>
    <row r="915" spans="37:70" x14ac:dyDescent="0.3">
      <c r="AK915" s="15"/>
      <c r="AL915" s="15"/>
      <c r="BE915" s="14"/>
      <c r="BF915" s="25"/>
      <c r="BL915" s="15"/>
      <c r="BN915"/>
      <c r="BR915" s="14"/>
    </row>
    <row r="916" spans="37:70" x14ac:dyDescent="0.3">
      <c r="AK916" s="15"/>
      <c r="AL916" s="15"/>
      <c r="BE916" s="14"/>
      <c r="BF916" s="25"/>
      <c r="BL916" s="15"/>
      <c r="BN916"/>
      <c r="BR916" s="14"/>
    </row>
    <row r="917" spans="37:70" x14ac:dyDescent="0.3">
      <c r="AK917" s="15"/>
      <c r="AL917" s="15"/>
      <c r="BE917" s="14"/>
      <c r="BF917" s="25"/>
      <c r="BL917" s="15"/>
      <c r="BN917"/>
      <c r="BR917" s="14"/>
    </row>
    <row r="918" spans="37:70" x14ac:dyDescent="0.3">
      <c r="AK918" s="15"/>
      <c r="AL918" s="15"/>
      <c r="BE918" s="14"/>
      <c r="BF918" s="25"/>
      <c r="BL918" s="15"/>
      <c r="BN918"/>
      <c r="BR918" s="14"/>
    </row>
    <row r="919" spans="37:70" x14ac:dyDescent="0.3">
      <c r="AK919" s="15"/>
      <c r="AL919" s="15"/>
      <c r="BE919" s="14"/>
      <c r="BF919" s="25"/>
      <c r="BL919" s="15"/>
      <c r="BN919"/>
      <c r="BR919" s="14"/>
    </row>
    <row r="920" spans="37:70" x14ac:dyDescent="0.3">
      <c r="AK920" s="15"/>
      <c r="AL920" s="15"/>
      <c r="BE920" s="14"/>
      <c r="BF920" s="25"/>
      <c r="BL920" s="15"/>
      <c r="BN920"/>
      <c r="BR920" s="14"/>
    </row>
    <row r="921" spans="37:70" x14ac:dyDescent="0.3">
      <c r="AK921" s="15"/>
      <c r="AL921" s="15"/>
      <c r="BB921" s="14"/>
    </row>
    <row r="922" spans="37:70" x14ac:dyDescent="0.3">
      <c r="AK922" s="15"/>
      <c r="AL922" s="15"/>
      <c r="BB922" s="14"/>
    </row>
    <row r="923" spans="37:70" x14ac:dyDescent="0.3">
      <c r="AK923" s="15"/>
      <c r="AL923" s="15"/>
      <c r="BB923" s="14"/>
    </row>
    <row r="924" spans="37:70" x14ac:dyDescent="0.3">
      <c r="AK924" s="15"/>
      <c r="AL924" s="15"/>
      <c r="BB924" s="14"/>
    </row>
    <row r="925" spans="37:70" x14ac:dyDescent="0.3">
      <c r="AK925" s="15"/>
      <c r="AL925" s="15"/>
      <c r="BB925" s="14"/>
    </row>
    <row r="926" spans="37:70" x14ac:dyDescent="0.3">
      <c r="AK926" s="15"/>
      <c r="AL926" s="15"/>
      <c r="BB926" s="14"/>
    </row>
    <row r="927" spans="37:70" x14ac:dyDescent="0.3">
      <c r="AK927" s="15"/>
      <c r="AL927" s="15"/>
      <c r="BB927" s="14"/>
    </row>
    <row r="928" spans="37:70" x14ac:dyDescent="0.3">
      <c r="AK928" s="15"/>
      <c r="AL928" s="15"/>
      <c r="BB928" s="14"/>
    </row>
    <row r="929" spans="37:54" x14ac:dyDescent="0.3">
      <c r="AK929" s="15"/>
      <c r="AL929" s="15"/>
      <c r="BB929" s="14"/>
    </row>
    <row r="930" spans="37:54" x14ac:dyDescent="0.3">
      <c r="AK930" s="15"/>
      <c r="AL930" s="15"/>
      <c r="BB930" s="14"/>
    </row>
    <row r="931" spans="37:54" x14ac:dyDescent="0.3">
      <c r="AK931" s="15"/>
      <c r="AL931" s="15"/>
      <c r="BB931" s="14"/>
    </row>
    <row r="932" spans="37:54" x14ac:dyDescent="0.3">
      <c r="AK932" s="15"/>
      <c r="AL932" s="15"/>
      <c r="BB932" s="14"/>
    </row>
    <row r="933" spans="37:54" x14ac:dyDescent="0.3">
      <c r="AK933" s="15"/>
      <c r="AL933" s="15"/>
      <c r="BB933" s="14"/>
    </row>
    <row r="934" spans="37:54" x14ac:dyDescent="0.3">
      <c r="AK934" s="15"/>
      <c r="AL934" s="15"/>
      <c r="BB934" s="14"/>
    </row>
    <row r="935" spans="37:54" x14ac:dyDescent="0.3">
      <c r="AK935" s="15"/>
      <c r="AL935" s="15"/>
      <c r="BB935" s="14"/>
    </row>
    <row r="936" spans="37:54" x14ac:dyDescent="0.3">
      <c r="AK936" s="15"/>
      <c r="AL936" s="15"/>
      <c r="BB936" s="14"/>
    </row>
    <row r="937" spans="37:54" x14ac:dyDescent="0.3">
      <c r="AK937" s="15"/>
      <c r="AL937" s="15"/>
      <c r="BB937" s="14"/>
    </row>
    <row r="938" spans="37:54" x14ac:dyDescent="0.3">
      <c r="AK938" s="15"/>
      <c r="AL938" s="15"/>
      <c r="BB938" s="14"/>
    </row>
    <row r="939" spans="37:54" x14ac:dyDescent="0.3">
      <c r="AK939" s="15"/>
      <c r="AL939" s="15"/>
      <c r="BB939" s="14"/>
    </row>
    <row r="940" spans="37:54" x14ac:dyDescent="0.3">
      <c r="AK940" s="15"/>
      <c r="AL940" s="15"/>
      <c r="BB940" s="14"/>
    </row>
    <row r="941" spans="37:54" x14ac:dyDescent="0.3">
      <c r="AK941" s="15"/>
      <c r="AL941" s="15"/>
      <c r="BB941" s="14"/>
    </row>
    <row r="942" spans="37:54" x14ac:dyDescent="0.3">
      <c r="AK942" s="15"/>
      <c r="AL942" s="15"/>
      <c r="BB942" s="14"/>
    </row>
    <row r="943" spans="37:54" x14ac:dyDescent="0.3">
      <c r="AK943" s="15"/>
      <c r="AL943" s="15"/>
      <c r="BB943" s="14"/>
    </row>
    <row r="944" spans="37:54" x14ac:dyDescent="0.3">
      <c r="AK944" s="15"/>
      <c r="AL944" s="15"/>
      <c r="BB944" s="14"/>
    </row>
    <row r="945" spans="37:54" x14ac:dyDescent="0.3">
      <c r="AK945" s="15"/>
      <c r="AL945" s="15"/>
      <c r="BB945" s="14"/>
    </row>
    <row r="946" spans="37:54" x14ac:dyDescent="0.3">
      <c r="AK946" s="15"/>
      <c r="AL946" s="15"/>
      <c r="BB946" s="14"/>
    </row>
    <row r="947" spans="37:54" x14ac:dyDescent="0.3">
      <c r="AK947" s="15"/>
      <c r="AL947" s="15"/>
      <c r="BB947" s="14"/>
    </row>
    <row r="948" spans="37:54" x14ac:dyDescent="0.3">
      <c r="AK948" s="15"/>
      <c r="AL948" s="15"/>
      <c r="BB948" s="14"/>
    </row>
    <row r="949" spans="37:54" x14ac:dyDescent="0.3">
      <c r="AK949" s="15"/>
      <c r="AL949" s="15"/>
      <c r="BB949" s="14"/>
    </row>
    <row r="950" spans="37:54" x14ac:dyDescent="0.3">
      <c r="AK950" s="15"/>
      <c r="AL950" s="15"/>
      <c r="BB950" s="14"/>
    </row>
    <row r="951" spans="37:54" x14ac:dyDescent="0.3">
      <c r="AK951" s="15"/>
      <c r="AL951" s="15"/>
      <c r="BB951" s="14"/>
    </row>
    <row r="952" spans="37:54" x14ac:dyDescent="0.3">
      <c r="AK952" s="15"/>
      <c r="AL952" s="15"/>
      <c r="BB952" s="14"/>
    </row>
    <row r="953" spans="37:54" x14ac:dyDescent="0.3">
      <c r="AK953" s="15"/>
      <c r="AL953" s="15"/>
      <c r="BB953" s="14"/>
    </row>
    <row r="954" spans="37:54" x14ac:dyDescent="0.3">
      <c r="AK954" s="15"/>
      <c r="AL954" s="15"/>
      <c r="BB954" s="14"/>
    </row>
    <row r="955" spans="37:54" x14ac:dyDescent="0.3">
      <c r="AK955" s="15"/>
      <c r="AL955" s="15"/>
      <c r="BB955" s="14"/>
    </row>
    <row r="956" spans="37:54" x14ac:dyDescent="0.3">
      <c r="AK956" s="15"/>
      <c r="AL956" s="15"/>
      <c r="BB956" s="14"/>
    </row>
    <row r="957" spans="37:54" x14ac:dyDescent="0.3">
      <c r="AK957" s="15"/>
      <c r="AL957" s="15"/>
      <c r="BB957" s="14"/>
    </row>
    <row r="958" spans="37:54" x14ac:dyDescent="0.3">
      <c r="AK958" s="15"/>
      <c r="AL958" s="15"/>
      <c r="BB958" s="14"/>
    </row>
    <row r="959" spans="37:54" x14ac:dyDescent="0.3">
      <c r="AK959" s="15"/>
      <c r="AL959" s="15"/>
      <c r="BB959" s="14"/>
    </row>
    <row r="960" spans="37:54" x14ac:dyDescent="0.3">
      <c r="AK960" s="15"/>
      <c r="AL960" s="15"/>
      <c r="BB960" s="14"/>
    </row>
    <row r="961" spans="37:54" x14ac:dyDescent="0.3">
      <c r="AK961" s="15"/>
      <c r="AL961" s="15"/>
      <c r="BB961" s="14"/>
    </row>
    <row r="962" spans="37:54" x14ac:dyDescent="0.3">
      <c r="AK962" s="15"/>
      <c r="AL962" s="15"/>
      <c r="BB962" s="14"/>
    </row>
    <row r="963" spans="37:54" x14ac:dyDescent="0.3">
      <c r="AK963" s="15"/>
      <c r="AL963" s="15"/>
      <c r="BB963" s="14"/>
    </row>
    <row r="964" spans="37:54" x14ac:dyDescent="0.3">
      <c r="AK964" s="15"/>
      <c r="AL964" s="15"/>
      <c r="BB964" s="14"/>
    </row>
    <row r="965" spans="37:54" x14ac:dyDescent="0.3">
      <c r="AK965" s="15"/>
      <c r="AL965" s="15"/>
      <c r="BB965" s="14"/>
    </row>
    <row r="966" spans="37:54" x14ac:dyDescent="0.3">
      <c r="AK966" s="15"/>
      <c r="AL966" s="15"/>
      <c r="BB966" s="14"/>
    </row>
    <row r="967" spans="37:54" x14ac:dyDescent="0.3">
      <c r="AK967" s="15"/>
      <c r="AL967" s="15"/>
      <c r="BB967" s="14"/>
    </row>
    <row r="968" spans="37:54" x14ac:dyDescent="0.3">
      <c r="AK968" s="15"/>
      <c r="AL968" s="15"/>
      <c r="BB968" s="14"/>
    </row>
    <row r="969" spans="37:54" x14ac:dyDescent="0.3">
      <c r="AK969" s="15"/>
      <c r="AL969" s="15"/>
      <c r="BB969" s="14"/>
    </row>
    <row r="970" spans="37:54" x14ac:dyDescent="0.3">
      <c r="AK970" s="15"/>
      <c r="AL970" s="15"/>
      <c r="BB970" s="14"/>
    </row>
    <row r="971" spans="37:54" x14ac:dyDescent="0.3">
      <c r="AK971" s="15"/>
      <c r="AL971" s="15"/>
      <c r="BB971" s="14"/>
    </row>
    <row r="972" spans="37:54" x14ac:dyDescent="0.3">
      <c r="AK972" s="15"/>
      <c r="AL972" s="15"/>
      <c r="BB972" s="14"/>
    </row>
    <row r="973" spans="37:54" x14ac:dyDescent="0.3">
      <c r="AK973" s="15"/>
      <c r="AL973" s="15"/>
      <c r="BB973" s="14"/>
    </row>
    <row r="974" spans="37:54" x14ac:dyDescent="0.3">
      <c r="AK974" s="15"/>
      <c r="AL974" s="15"/>
      <c r="BB974" s="14"/>
    </row>
    <row r="975" spans="37:54" x14ac:dyDescent="0.3">
      <c r="AK975" s="15"/>
      <c r="AL975" s="15"/>
      <c r="BB975" s="14"/>
    </row>
    <row r="976" spans="37:54" x14ac:dyDescent="0.3">
      <c r="AK976" s="15"/>
      <c r="AL976" s="15"/>
      <c r="BB976" s="14"/>
    </row>
    <row r="977" spans="37:54" x14ac:dyDescent="0.3">
      <c r="AK977" s="15"/>
      <c r="AL977" s="15"/>
      <c r="BB977" s="14"/>
    </row>
    <row r="978" spans="37:54" x14ac:dyDescent="0.3">
      <c r="AK978" s="15"/>
      <c r="AL978" s="15"/>
      <c r="BB978" s="14"/>
    </row>
    <row r="979" spans="37:54" x14ac:dyDescent="0.3">
      <c r="AK979" s="15"/>
      <c r="AL979" s="15"/>
      <c r="BB979" s="14"/>
    </row>
    <row r="980" spans="37:54" x14ac:dyDescent="0.3">
      <c r="AK980" s="15"/>
      <c r="AL980" s="15"/>
      <c r="BB980" s="14"/>
    </row>
    <row r="981" spans="37:54" x14ac:dyDescent="0.3">
      <c r="AK981" s="15"/>
      <c r="AL981" s="15"/>
      <c r="BB981" s="14"/>
    </row>
    <row r="982" spans="37:54" x14ac:dyDescent="0.3">
      <c r="AK982" s="15"/>
      <c r="AL982" s="15"/>
      <c r="BB982" s="14"/>
    </row>
    <row r="983" spans="37:54" x14ac:dyDescent="0.3">
      <c r="AK983" s="15"/>
      <c r="AL983" s="15"/>
      <c r="BB983" s="14"/>
    </row>
    <row r="984" spans="37:54" x14ac:dyDescent="0.3">
      <c r="AK984" s="15"/>
      <c r="AL984" s="15"/>
      <c r="BB984" s="14"/>
    </row>
    <row r="985" spans="37:54" x14ac:dyDescent="0.3">
      <c r="AK985" s="15"/>
      <c r="AL985" s="15"/>
      <c r="BB985" s="14"/>
    </row>
    <row r="986" spans="37:54" x14ac:dyDescent="0.3">
      <c r="AK986" s="15"/>
      <c r="AL986" s="15"/>
      <c r="BB986" s="14"/>
    </row>
    <row r="987" spans="37:54" x14ac:dyDescent="0.3">
      <c r="AK987" s="15"/>
      <c r="AL987" s="15"/>
      <c r="BB987" s="14"/>
    </row>
    <row r="988" spans="37:54" x14ac:dyDescent="0.3">
      <c r="AK988" s="15"/>
      <c r="AL988" s="15"/>
      <c r="BB988" s="14"/>
    </row>
    <row r="989" spans="37:54" x14ac:dyDescent="0.3">
      <c r="AK989" s="15"/>
      <c r="AL989" s="15"/>
      <c r="BB989" s="14"/>
    </row>
    <row r="990" spans="37:54" x14ac:dyDescent="0.3">
      <c r="AK990" s="15"/>
      <c r="AL990" s="15"/>
      <c r="BB990" s="14"/>
    </row>
    <row r="991" spans="37:54" x14ac:dyDescent="0.3">
      <c r="AK991" s="15"/>
      <c r="AL991" s="15"/>
      <c r="BB991" s="14"/>
    </row>
    <row r="992" spans="37:54" x14ac:dyDescent="0.3">
      <c r="AK992" s="15"/>
      <c r="AL992" s="15"/>
      <c r="BB992" s="14"/>
    </row>
    <row r="993" spans="37:54" x14ac:dyDescent="0.3">
      <c r="AK993" s="15"/>
      <c r="AL993" s="15"/>
      <c r="BB993" s="14"/>
    </row>
    <row r="994" spans="37:54" x14ac:dyDescent="0.3">
      <c r="AK994" s="15"/>
      <c r="AL994" s="15"/>
      <c r="BB994" s="14"/>
    </row>
    <row r="995" spans="37:54" x14ac:dyDescent="0.3">
      <c r="AK995" s="15"/>
      <c r="AL995" s="15"/>
      <c r="BB995" s="14"/>
    </row>
    <row r="996" spans="37:54" x14ac:dyDescent="0.3">
      <c r="AK996" s="15"/>
      <c r="AL996" s="15"/>
      <c r="BB996" s="14"/>
    </row>
    <row r="997" spans="37:54" x14ac:dyDescent="0.3">
      <c r="AK997" s="15"/>
      <c r="AL997" s="15"/>
      <c r="BB997" s="14"/>
    </row>
    <row r="998" spans="37:54" x14ac:dyDescent="0.3">
      <c r="AK998" s="15"/>
      <c r="AL998" s="15"/>
      <c r="BB998" s="14"/>
    </row>
    <row r="999" spans="37:54" x14ac:dyDescent="0.3">
      <c r="AK999" s="15"/>
      <c r="AL999" s="15"/>
      <c r="BB999" s="14"/>
    </row>
    <row r="1000" spans="37:54" x14ac:dyDescent="0.3">
      <c r="AK1000" s="15"/>
      <c r="AL1000" s="15"/>
      <c r="BB1000" s="14"/>
    </row>
    <row r="1001" spans="37:54" x14ac:dyDescent="0.3">
      <c r="AK1001" s="15"/>
      <c r="AL1001" s="15"/>
      <c r="BB1001" s="14"/>
    </row>
    <row r="1002" spans="37:54" x14ac:dyDescent="0.3">
      <c r="AK1002" s="15"/>
      <c r="AL1002" s="15"/>
      <c r="BB1002" s="14"/>
    </row>
    <row r="1003" spans="37:54" x14ac:dyDescent="0.3">
      <c r="AK1003" s="15"/>
      <c r="AL1003" s="15"/>
      <c r="BB1003" s="14"/>
    </row>
    <row r="1004" spans="37:54" x14ac:dyDescent="0.3">
      <c r="AK1004" s="15"/>
      <c r="AL1004" s="15"/>
      <c r="BB1004" s="14"/>
    </row>
    <row r="1005" spans="37:54" x14ac:dyDescent="0.3">
      <c r="AK1005" s="15"/>
      <c r="AL1005" s="15"/>
      <c r="BB1005" s="14"/>
    </row>
    <row r="1006" spans="37:54" x14ac:dyDescent="0.3">
      <c r="AK1006" s="15"/>
      <c r="AL1006" s="15"/>
      <c r="BB1006" s="14"/>
    </row>
    <row r="1007" spans="37:54" x14ac:dyDescent="0.3">
      <c r="AK1007" s="15"/>
      <c r="AL1007" s="15"/>
      <c r="BB1007" s="14"/>
    </row>
    <row r="1008" spans="37:54" x14ac:dyDescent="0.3">
      <c r="AK1008" s="15"/>
      <c r="AL1008" s="15"/>
      <c r="BB1008" s="14"/>
    </row>
    <row r="1009" spans="37:54" x14ac:dyDescent="0.3">
      <c r="AK1009" s="15"/>
      <c r="AL1009" s="15"/>
      <c r="BB1009" s="14"/>
    </row>
    <row r="1010" spans="37:54" x14ac:dyDescent="0.3">
      <c r="AK1010" s="15"/>
      <c r="AL1010" s="15"/>
      <c r="BB1010" s="14"/>
    </row>
    <row r="1011" spans="37:54" x14ac:dyDescent="0.3">
      <c r="AK1011" s="15"/>
      <c r="AL1011" s="15"/>
      <c r="BB1011" s="14"/>
    </row>
    <row r="1012" spans="37:54" x14ac:dyDescent="0.3">
      <c r="AK1012" s="15"/>
      <c r="AL1012" s="15"/>
      <c r="BB1012" s="14"/>
    </row>
    <row r="1013" spans="37:54" x14ac:dyDescent="0.3">
      <c r="AK1013" s="15"/>
      <c r="AL1013" s="15"/>
      <c r="BB1013" s="14"/>
    </row>
    <row r="1014" spans="37:54" x14ac:dyDescent="0.3">
      <c r="AK1014" s="15"/>
      <c r="AL1014" s="15"/>
      <c r="BB1014" s="14"/>
    </row>
    <row r="1015" spans="37:54" x14ac:dyDescent="0.3">
      <c r="AK1015" s="15"/>
      <c r="AL1015" s="15"/>
      <c r="BB1015" s="14"/>
    </row>
    <row r="1016" spans="37:54" x14ac:dyDescent="0.3">
      <c r="AK1016" s="15"/>
      <c r="AL1016" s="15"/>
      <c r="BB1016" s="14"/>
    </row>
    <row r="1017" spans="37:54" x14ac:dyDescent="0.3">
      <c r="AK1017" s="15"/>
      <c r="AL1017" s="15"/>
      <c r="BB1017" s="14"/>
    </row>
    <row r="1018" spans="37:54" x14ac:dyDescent="0.3">
      <c r="AK1018" s="15"/>
      <c r="AL1018" s="15"/>
      <c r="BB1018" s="14"/>
    </row>
    <row r="1019" spans="37:54" x14ac:dyDescent="0.3">
      <c r="AK1019" s="15"/>
      <c r="AL1019" s="15"/>
      <c r="BB1019" s="14"/>
    </row>
    <row r="1020" spans="37:54" x14ac:dyDescent="0.3">
      <c r="AK1020" s="15"/>
      <c r="AL1020" s="15"/>
      <c r="BB1020" s="14"/>
    </row>
    <row r="1021" spans="37:54" x14ac:dyDescent="0.3">
      <c r="AK1021" s="15"/>
      <c r="AL1021" s="15"/>
      <c r="BB1021" s="14"/>
    </row>
    <row r="1022" spans="37:54" x14ac:dyDescent="0.3">
      <c r="AK1022" s="15"/>
      <c r="AL1022" s="15"/>
      <c r="BB1022" s="14"/>
    </row>
    <row r="1023" spans="37:54" x14ac:dyDescent="0.3">
      <c r="AK1023" s="15"/>
      <c r="AL1023" s="15"/>
      <c r="BB1023" s="14"/>
    </row>
    <row r="1024" spans="37:54" x14ac:dyDescent="0.3">
      <c r="AK1024" s="15"/>
      <c r="AL1024" s="15"/>
      <c r="BB1024" s="14"/>
    </row>
    <row r="1025" spans="37:54" x14ac:dyDescent="0.3">
      <c r="AK1025" s="15"/>
      <c r="AL1025" s="15"/>
      <c r="BB1025" s="14"/>
    </row>
    <row r="1026" spans="37:54" x14ac:dyDescent="0.3">
      <c r="AK1026" s="15"/>
      <c r="AL1026" s="15"/>
      <c r="BB1026" s="14"/>
    </row>
    <row r="1027" spans="37:54" x14ac:dyDescent="0.3">
      <c r="AK1027" s="15"/>
      <c r="AL1027" s="15"/>
      <c r="BB1027" s="14"/>
    </row>
    <row r="1028" spans="37:54" x14ac:dyDescent="0.3">
      <c r="AK1028" s="15"/>
      <c r="AL1028" s="15"/>
      <c r="BB1028" s="14"/>
    </row>
    <row r="1029" spans="37:54" x14ac:dyDescent="0.3">
      <c r="AK1029" s="15"/>
      <c r="AL1029" s="15"/>
      <c r="BB1029" s="14"/>
    </row>
    <row r="1030" spans="37:54" x14ac:dyDescent="0.3">
      <c r="AK1030" s="15"/>
      <c r="AL1030" s="15"/>
      <c r="BB1030" s="14"/>
    </row>
    <row r="1031" spans="37:54" x14ac:dyDescent="0.3">
      <c r="AK1031" s="15"/>
      <c r="AL1031" s="15"/>
      <c r="BB1031" s="14"/>
    </row>
    <row r="1032" spans="37:54" x14ac:dyDescent="0.3">
      <c r="AK1032" s="15"/>
      <c r="AL1032" s="15"/>
      <c r="BB1032" s="14"/>
    </row>
    <row r="1033" spans="37:54" x14ac:dyDescent="0.3">
      <c r="AK1033" s="15"/>
      <c r="AL1033" s="15"/>
      <c r="BB1033" s="14"/>
    </row>
    <row r="1034" spans="37:54" x14ac:dyDescent="0.3">
      <c r="AK1034" s="15"/>
      <c r="AL1034" s="15"/>
      <c r="BB1034" s="14"/>
    </row>
    <row r="1035" spans="37:54" x14ac:dyDescent="0.3">
      <c r="AK1035" s="15"/>
      <c r="AL1035" s="15"/>
      <c r="BB1035" s="14"/>
    </row>
    <row r="1036" spans="37:54" x14ac:dyDescent="0.3">
      <c r="AK1036" s="15"/>
      <c r="AL1036" s="15"/>
      <c r="BB1036" s="14"/>
    </row>
    <row r="1037" spans="37:54" x14ac:dyDescent="0.3">
      <c r="AK1037" s="15"/>
      <c r="AL1037" s="15"/>
      <c r="BB1037" s="14"/>
    </row>
    <row r="1038" spans="37:54" x14ac:dyDescent="0.3">
      <c r="AK1038" s="15"/>
      <c r="AL1038" s="15"/>
      <c r="BB1038" s="14"/>
    </row>
    <row r="1039" spans="37:54" x14ac:dyDescent="0.3">
      <c r="AK1039" s="15"/>
      <c r="AL1039" s="15"/>
      <c r="BB1039" s="14"/>
    </row>
    <row r="1040" spans="37:54" x14ac:dyDescent="0.3">
      <c r="AK1040" s="15"/>
      <c r="AL1040" s="15"/>
      <c r="BB1040" s="14"/>
    </row>
    <row r="1041" spans="37:54" x14ac:dyDescent="0.3">
      <c r="AK1041" s="15"/>
      <c r="AL1041" s="15"/>
      <c r="BB1041" s="14"/>
    </row>
    <row r="1042" spans="37:54" x14ac:dyDescent="0.3">
      <c r="AK1042" s="15"/>
      <c r="AL1042" s="15"/>
      <c r="BB1042" s="14"/>
    </row>
    <row r="1043" spans="37:54" x14ac:dyDescent="0.3">
      <c r="AK1043" s="15"/>
      <c r="AL1043" s="15"/>
      <c r="BB1043" s="14"/>
    </row>
    <row r="1044" spans="37:54" x14ac:dyDescent="0.3">
      <c r="AK1044" s="15"/>
      <c r="AL1044" s="15"/>
      <c r="BB1044" s="14"/>
    </row>
    <row r="1045" spans="37:54" x14ac:dyDescent="0.3">
      <c r="AK1045" s="15"/>
      <c r="AL1045" s="15"/>
      <c r="BB1045" s="14"/>
    </row>
    <row r="1046" spans="37:54" x14ac:dyDescent="0.3">
      <c r="AK1046" s="15"/>
      <c r="AL1046" s="15"/>
      <c r="BB1046" s="14"/>
    </row>
    <row r="1047" spans="37:54" x14ac:dyDescent="0.3">
      <c r="AK1047" s="15"/>
      <c r="AL1047" s="15"/>
      <c r="BB1047" s="14"/>
    </row>
    <row r="1048" spans="37:54" x14ac:dyDescent="0.3">
      <c r="AK1048" s="15"/>
      <c r="AL1048" s="15"/>
      <c r="BB1048" s="14"/>
    </row>
    <row r="1049" spans="37:54" x14ac:dyDescent="0.3">
      <c r="AK1049" s="15"/>
      <c r="AL1049" s="15"/>
      <c r="BB1049" s="14"/>
    </row>
    <row r="1050" spans="37:54" x14ac:dyDescent="0.3">
      <c r="AK1050" s="15"/>
      <c r="AL1050" s="15"/>
      <c r="BB1050" s="14"/>
    </row>
    <row r="1051" spans="37:54" x14ac:dyDescent="0.3">
      <c r="AK1051" s="15"/>
      <c r="AL1051" s="15"/>
      <c r="BB1051" s="14"/>
    </row>
    <row r="1052" spans="37:54" x14ac:dyDescent="0.3">
      <c r="AK1052" s="15"/>
      <c r="AL1052" s="15"/>
      <c r="BB1052" s="14"/>
    </row>
    <row r="1053" spans="37:54" x14ac:dyDescent="0.3">
      <c r="AK1053" s="15"/>
      <c r="AL1053" s="15"/>
      <c r="BB1053" s="14"/>
    </row>
    <row r="1054" spans="37:54" x14ac:dyDescent="0.3">
      <c r="AK1054" s="15"/>
      <c r="AL1054" s="15"/>
      <c r="BB1054" s="14"/>
    </row>
    <row r="1055" spans="37:54" x14ac:dyDescent="0.3">
      <c r="AK1055" s="15"/>
      <c r="AL1055" s="15"/>
      <c r="BB1055" s="14"/>
    </row>
    <row r="1056" spans="37:54" x14ac:dyDescent="0.3">
      <c r="AK1056" s="15"/>
      <c r="AL1056" s="15"/>
      <c r="BB1056" s="14"/>
    </row>
    <row r="1057" spans="37:54" x14ac:dyDescent="0.3">
      <c r="AK1057" s="15"/>
      <c r="AL1057" s="15"/>
      <c r="BB1057" s="14"/>
    </row>
    <row r="1058" spans="37:54" x14ac:dyDescent="0.3">
      <c r="AK1058" s="15"/>
      <c r="AL1058" s="15"/>
      <c r="BB1058" s="14"/>
    </row>
    <row r="1059" spans="37:54" x14ac:dyDescent="0.3">
      <c r="AK1059" s="15"/>
      <c r="AL1059" s="15"/>
      <c r="BB1059" s="14"/>
    </row>
    <row r="1060" spans="37:54" x14ac:dyDescent="0.3">
      <c r="AK1060" s="15"/>
      <c r="AL1060" s="15"/>
      <c r="BB1060" s="14"/>
    </row>
    <row r="1061" spans="37:54" x14ac:dyDescent="0.3">
      <c r="AK1061" s="15"/>
      <c r="AL1061" s="15"/>
      <c r="BB1061" s="14"/>
    </row>
    <row r="1062" spans="37:54" x14ac:dyDescent="0.3">
      <c r="AK1062" s="15"/>
      <c r="AL1062" s="15"/>
      <c r="BB1062" s="14"/>
    </row>
    <row r="1063" spans="37:54" x14ac:dyDescent="0.3">
      <c r="AK1063" s="15"/>
      <c r="AL1063" s="15"/>
      <c r="BB1063" s="14"/>
    </row>
    <row r="1064" spans="37:54" x14ac:dyDescent="0.3">
      <c r="AK1064" s="15"/>
      <c r="AL1064" s="15"/>
      <c r="BB1064" s="14"/>
    </row>
    <row r="1065" spans="37:54" x14ac:dyDescent="0.3">
      <c r="AK1065" s="15"/>
      <c r="AL1065" s="15"/>
      <c r="BB1065" s="14"/>
    </row>
    <row r="1066" spans="37:54" x14ac:dyDescent="0.3">
      <c r="AK1066" s="15"/>
      <c r="AL1066" s="15"/>
      <c r="BB1066" s="14"/>
    </row>
    <row r="1067" spans="37:54" x14ac:dyDescent="0.3">
      <c r="AK1067" s="15"/>
      <c r="AL1067" s="15"/>
      <c r="BB1067" s="14"/>
    </row>
    <row r="1068" spans="37:54" x14ac:dyDescent="0.3">
      <c r="AK1068" s="15"/>
      <c r="AL1068" s="15"/>
      <c r="BB1068" s="14"/>
    </row>
    <row r="1069" spans="37:54" x14ac:dyDescent="0.3">
      <c r="AK1069" s="15"/>
      <c r="AL1069" s="15"/>
      <c r="BB1069" s="14"/>
    </row>
    <row r="1070" spans="37:54" x14ac:dyDescent="0.3">
      <c r="AK1070" s="15"/>
      <c r="AL1070" s="15"/>
      <c r="BB1070" s="14"/>
    </row>
    <row r="1071" spans="37:54" x14ac:dyDescent="0.3">
      <c r="AK1071" s="15"/>
      <c r="AL1071" s="15"/>
      <c r="BB1071" s="14"/>
    </row>
    <row r="1072" spans="37:54" x14ac:dyDescent="0.3">
      <c r="AK1072" s="15"/>
      <c r="AL1072" s="15"/>
      <c r="BB1072" s="14"/>
    </row>
    <row r="1073" spans="37:54" x14ac:dyDescent="0.3">
      <c r="AK1073" s="15"/>
      <c r="AL1073" s="15"/>
      <c r="BB1073" s="14"/>
    </row>
    <row r="1074" spans="37:54" x14ac:dyDescent="0.3">
      <c r="AK1074" s="15"/>
      <c r="AL1074" s="15"/>
      <c r="BB1074" s="14"/>
    </row>
    <row r="1075" spans="37:54" x14ac:dyDescent="0.3">
      <c r="AK1075" s="15"/>
      <c r="AL1075" s="15"/>
      <c r="BB1075" s="14"/>
    </row>
    <row r="1076" spans="37:54" x14ac:dyDescent="0.3">
      <c r="AK1076" s="15"/>
      <c r="AL1076" s="15"/>
      <c r="BB1076" s="14"/>
    </row>
    <row r="1077" spans="37:54" x14ac:dyDescent="0.3">
      <c r="AK1077" s="15"/>
      <c r="AL1077" s="15"/>
      <c r="BB1077" s="14"/>
    </row>
    <row r="1078" spans="37:54" x14ac:dyDescent="0.3">
      <c r="AK1078" s="15"/>
      <c r="AL1078" s="15"/>
      <c r="BB1078" s="14"/>
    </row>
    <row r="1079" spans="37:54" x14ac:dyDescent="0.3">
      <c r="AK1079" s="15"/>
      <c r="AL1079" s="15"/>
      <c r="BB1079" s="14"/>
    </row>
    <row r="1080" spans="37:54" x14ac:dyDescent="0.3">
      <c r="AK1080" s="15"/>
      <c r="AL1080" s="15"/>
      <c r="BB1080" s="14"/>
    </row>
    <row r="1081" spans="37:54" x14ac:dyDescent="0.3">
      <c r="AK1081" s="15"/>
      <c r="AL1081" s="15"/>
      <c r="BB1081" s="14"/>
    </row>
    <row r="1082" spans="37:54" x14ac:dyDescent="0.3">
      <c r="AK1082" s="15"/>
      <c r="AL1082" s="15"/>
      <c r="BB1082" s="14"/>
    </row>
    <row r="1083" spans="37:54" x14ac:dyDescent="0.3">
      <c r="AK1083" s="15"/>
      <c r="AL1083" s="15"/>
      <c r="BB1083" s="14"/>
    </row>
    <row r="1084" spans="37:54" x14ac:dyDescent="0.3">
      <c r="AK1084" s="15"/>
      <c r="AL1084" s="15"/>
      <c r="BB1084" s="14"/>
    </row>
    <row r="1085" spans="37:54" x14ac:dyDescent="0.3">
      <c r="AK1085" s="15"/>
      <c r="AL1085" s="15"/>
      <c r="BB1085" s="14"/>
    </row>
    <row r="1086" spans="37:54" x14ac:dyDescent="0.3">
      <c r="AK1086" s="15"/>
      <c r="AL1086" s="15"/>
      <c r="BB1086" s="14"/>
    </row>
    <row r="1087" spans="37:54" x14ac:dyDescent="0.3">
      <c r="AK1087" s="15"/>
      <c r="AL1087" s="15"/>
      <c r="BB1087" s="14"/>
    </row>
    <row r="1088" spans="37:54" x14ac:dyDescent="0.3">
      <c r="AK1088" s="15"/>
      <c r="AL1088" s="15"/>
      <c r="BB1088" s="14"/>
    </row>
    <row r="1089" spans="37:54" x14ac:dyDescent="0.3">
      <c r="AK1089" s="15"/>
      <c r="AL1089" s="15"/>
      <c r="BB1089" s="14"/>
    </row>
    <row r="1090" spans="37:54" x14ac:dyDescent="0.3">
      <c r="AK1090" s="15"/>
      <c r="AL1090" s="15"/>
      <c r="BB1090" s="14"/>
    </row>
    <row r="1091" spans="37:54" x14ac:dyDescent="0.3">
      <c r="AK1091" s="15"/>
      <c r="AL1091" s="15"/>
      <c r="BB1091" s="14"/>
    </row>
    <row r="1092" spans="37:54" x14ac:dyDescent="0.3">
      <c r="AK1092" s="15"/>
      <c r="AL1092" s="15"/>
      <c r="BB1092" s="14"/>
    </row>
    <row r="1093" spans="37:54" x14ac:dyDescent="0.3">
      <c r="AK1093" s="15"/>
      <c r="AL1093" s="15"/>
      <c r="BB1093" s="14"/>
    </row>
    <row r="1094" spans="37:54" x14ac:dyDescent="0.3">
      <c r="AK1094" s="15"/>
      <c r="AL1094" s="15"/>
      <c r="BB1094" s="14"/>
    </row>
    <row r="1095" spans="37:54" x14ac:dyDescent="0.3">
      <c r="AK1095" s="15"/>
      <c r="AL1095" s="15"/>
      <c r="BB1095" s="14"/>
    </row>
    <row r="1096" spans="37:54" x14ac:dyDescent="0.3">
      <c r="AK1096" s="15"/>
      <c r="AL1096" s="15"/>
      <c r="BB1096" s="14"/>
    </row>
    <row r="1097" spans="37:54" x14ac:dyDescent="0.3">
      <c r="AK1097" s="15"/>
      <c r="AL1097" s="15"/>
      <c r="BB1097" s="14"/>
    </row>
    <row r="1098" spans="37:54" x14ac:dyDescent="0.3">
      <c r="AK1098" s="15"/>
      <c r="AL1098" s="15"/>
      <c r="BB1098" s="14"/>
    </row>
    <row r="1099" spans="37:54" x14ac:dyDescent="0.3">
      <c r="AK1099" s="15"/>
      <c r="AL1099" s="15"/>
      <c r="BB1099" s="14"/>
    </row>
    <row r="1100" spans="37:54" x14ac:dyDescent="0.3">
      <c r="AK1100" s="15"/>
      <c r="AL1100" s="15"/>
      <c r="BB1100" s="14"/>
    </row>
    <row r="1101" spans="37:54" x14ac:dyDescent="0.3">
      <c r="AK1101" s="15"/>
      <c r="AL1101" s="15"/>
      <c r="BB1101" s="14"/>
    </row>
    <row r="1102" spans="37:54" x14ac:dyDescent="0.3">
      <c r="AK1102" s="15"/>
      <c r="AL1102" s="15"/>
      <c r="BB1102" s="14"/>
    </row>
    <row r="1103" spans="37:54" x14ac:dyDescent="0.3">
      <c r="AK1103" s="15"/>
      <c r="AL1103" s="15"/>
      <c r="BB1103" s="14"/>
    </row>
    <row r="1104" spans="37:54" x14ac:dyDescent="0.3">
      <c r="AK1104" s="15"/>
      <c r="AL1104" s="15"/>
      <c r="BB1104" s="14"/>
    </row>
    <row r="1105" spans="37:54" x14ac:dyDescent="0.3">
      <c r="AK1105" s="15"/>
      <c r="AL1105" s="15"/>
      <c r="BB1105" s="14"/>
    </row>
    <row r="1106" spans="37:54" x14ac:dyDescent="0.3">
      <c r="AK1106" s="15"/>
      <c r="AL1106" s="15"/>
      <c r="BB1106" s="14"/>
    </row>
    <row r="1107" spans="37:54" x14ac:dyDescent="0.3">
      <c r="AK1107" s="15"/>
      <c r="AL1107" s="15"/>
      <c r="BB1107" s="14"/>
    </row>
    <row r="1108" spans="37:54" x14ac:dyDescent="0.3">
      <c r="AK1108" s="15"/>
      <c r="AL1108" s="15"/>
      <c r="BB1108" s="14"/>
    </row>
    <row r="1109" spans="37:54" x14ac:dyDescent="0.3">
      <c r="AK1109" s="15"/>
      <c r="AL1109" s="15"/>
      <c r="BB1109" s="14"/>
    </row>
    <row r="1110" spans="37:54" x14ac:dyDescent="0.3">
      <c r="AK1110" s="15"/>
      <c r="AL1110" s="15"/>
      <c r="BB1110" s="14"/>
    </row>
    <row r="1111" spans="37:54" x14ac:dyDescent="0.3">
      <c r="AK1111" s="15"/>
      <c r="AL1111" s="15"/>
      <c r="BB1111" s="14"/>
    </row>
    <row r="1112" spans="37:54" x14ac:dyDescent="0.3">
      <c r="AK1112" s="15"/>
      <c r="AL1112" s="15"/>
      <c r="BB1112" s="14"/>
    </row>
    <row r="1113" spans="37:54" x14ac:dyDescent="0.3">
      <c r="AK1113" s="15"/>
      <c r="AL1113" s="15"/>
      <c r="BB1113" s="14"/>
    </row>
    <row r="1114" spans="37:54" x14ac:dyDescent="0.3">
      <c r="AK1114" s="15"/>
      <c r="AL1114" s="15"/>
      <c r="BB1114" s="14"/>
    </row>
    <row r="1115" spans="37:54" x14ac:dyDescent="0.3">
      <c r="AK1115" s="15"/>
      <c r="AL1115" s="15"/>
      <c r="BB1115" s="14"/>
    </row>
    <row r="1116" spans="37:54" x14ac:dyDescent="0.3">
      <c r="AK1116" s="15"/>
      <c r="AL1116" s="15"/>
      <c r="BB1116" s="14"/>
    </row>
    <row r="1117" spans="37:54" x14ac:dyDescent="0.3">
      <c r="AK1117" s="15"/>
      <c r="AL1117" s="15"/>
      <c r="BB1117" s="14"/>
    </row>
    <row r="1118" spans="37:54" x14ac:dyDescent="0.3">
      <c r="AK1118" s="15"/>
      <c r="AL1118" s="15"/>
      <c r="BB1118" s="14"/>
    </row>
    <row r="1119" spans="37:54" x14ac:dyDescent="0.3">
      <c r="AK1119" s="15"/>
      <c r="AL1119" s="15"/>
      <c r="BB1119" s="14"/>
    </row>
    <row r="1120" spans="37:54" x14ac:dyDescent="0.3">
      <c r="AK1120" s="15"/>
      <c r="AL1120" s="15"/>
      <c r="BB1120" s="14"/>
    </row>
    <row r="1121" spans="37:54" x14ac:dyDescent="0.3">
      <c r="AK1121" s="15"/>
      <c r="AL1121" s="15"/>
      <c r="BB1121" s="14"/>
    </row>
    <row r="1122" spans="37:54" x14ac:dyDescent="0.3">
      <c r="AK1122" s="15"/>
      <c r="AL1122" s="15"/>
      <c r="BB1122" s="14"/>
    </row>
    <row r="1123" spans="37:54" x14ac:dyDescent="0.3">
      <c r="AK1123" s="15"/>
      <c r="AL1123" s="15"/>
      <c r="BB1123" s="14"/>
    </row>
    <row r="1124" spans="37:54" x14ac:dyDescent="0.3">
      <c r="AK1124" s="15"/>
      <c r="AL1124" s="15"/>
      <c r="BB1124" s="14"/>
    </row>
    <row r="1125" spans="37:54" x14ac:dyDescent="0.3">
      <c r="AK1125" s="15"/>
      <c r="AL1125" s="15"/>
      <c r="BB1125" s="14"/>
    </row>
    <row r="1126" spans="37:54" x14ac:dyDescent="0.3">
      <c r="AK1126" s="15"/>
      <c r="AL1126" s="15"/>
      <c r="BB1126" s="14"/>
    </row>
    <row r="1127" spans="37:54" x14ac:dyDescent="0.3">
      <c r="AK1127" s="15"/>
      <c r="AL1127" s="15"/>
      <c r="BB1127" s="14"/>
    </row>
    <row r="1128" spans="37:54" x14ac:dyDescent="0.3">
      <c r="AK1128" s="15"/>
      <c r="AL1128" s="15"/>
      <c r="BB1128" s="14"/>
    </row>
    <row r="1129" spans="37:54" x14ac:dyDescent="0.3">
      <c r="AK1129" s="15"/>
      <c r="AL1129" s="15"/>
      <c r="BB1129" s="14"/>
    </row>
    <row r="1130" spans="37:54" x14ac:dyDescent="0.3">
      <c r="AK1130" s="15"/>
      <c r="AL1130" s="15"/>
      <c r="BB1130" s="14"/>
    </row>
    <row r="1131" spans="37:54" x14ac:dyDescent="0.3">
      <c r="AK1131" s="15"/>
      <c r="AL1131" s="15"/>
      <c r="BB1131" s="14"/>
    </row>
    <row r="1132" spans="37:54" x14ac:dyDescent="0.3">
      <c r="AK1132" s="15"/>
      <c r="AL1132" s="15"/>
      <c r="BB1132" s="14"/>
    </row>
    <row r="1133" spans="37:54" x14ac:dyDescent="0.3">
      <c r="AK1133" s="15"/>
      <c r="AL1133" s="15"/>
      <c r="BB1133" s="14"/>
    </row>
    <row r="1134" spans="37:54" x14ac:dyDescent="0.3">
      <c r="AK1134" s="15"/>
      <c r="AL1134" s="15"/>
      <c r="BB1134" s="14"/>
    </row>
    <row r="1135" spans="37:54" x14ac:dyDescent="0.3">
      <c r="AK1135" s="15"/>
      <c r="AL1135" s="15"/>
      <c r="BB1135" s="14"/>
    </row>
    <row r="1136" spans="37:54" x14ac:dyDescent="0.3">
      <c r="AK1136" s="15"/>
      <c r="AL1136" s="15"/>
      <c r="BB1136" s="14"/>
    </row>
    <row r="1137" spans="37:54" x14ac:dyDescent="0.3">
      <c r="AK1137" s="15"/>
      <c r="AL1137" s="15"/>
      <c r="BB1137" s="14"/>
    </row>
    <row r="1138" spans="37:54" x14ac:dyDescent="0.3">
      <c r="AK1138" s="15"/>
      <c r="AL1138" s="15"/>
      <c r="BB1138" s="14"/>
    </row>
    <row r="1139" spans="37:54" x14ac:dyDescent="0.3">
      <c r="AK1139" s="15"/>
      <c r="AL1139" s="15"/>
      <c r="BB1139" s="14"/>
    </row>
    <row r="1140" spans="37:54" x14ac:dyDescent="0.3">
      <c r="AK1140" s="15"/>
      <c r="AL1140" s="15"/>
      <c r="BB1140" s="14"/>
    </row>
    <row r="1141" spans="37:54" x14ac:dyDescent="0.3">
      <c r="AK1141" s="15"/>
      <c r="AL1141" s="15"/>
      <c r="BB1141" s="14"/>
    </row>
    <row r="1142" spans="37:54" x14ac:dyDescent="0.3">
      <c r="AK1142" s="15"/>
      <c r="AL1142" s="15"/>
      <c r="BB1142" s="14"/>
    </row>
    <row r="1143" spans="37:54" x14ac:dyDescent="0.3">
      <c r="AK1143" s="15"/>
      <c r="AL1143" s="15"/>
      <c r="BB1143" s="14"/>
    </row>
    <row r="1144" spans="37:54" x14ac:dyDescent="0.3">
      <c r="AK1144" s="15"/>
      <c r="AL1144" s="15"/>
      <c r="BB1144" s="14"/>
    </row>
    <row r="1145" spans="37:54" x14ac:dyDescent="0.3">
      <c r="AK1145" s="15"/>
      <c r="AL1145" s="15"/>
      <c r="BB1145" s="14"/>
    </row>
    <row r="1146" spans="37:54" x14ac:dyDescent="0.3">
      <c r="AK1146" s="15"/>
      <c r="AL1146" s="15"/>
      <c r="BB1146" s="14"/>
    </row>
    <row r="1147" spans="37:54" x14ac:dyDescent="0.3">
      <c r="AK1147" s="15"/>
      <c r="AL1147" s="15"/>
      <c r="BB1147" s="14"/>
    </row>
    <row r="1148" spans="37:54" x14ac:dyDescent="0.3">
      <c r="AK1148" s="15"/>
      <c r="AL1148" s="15"/>
      <c r="BB1148" s="14"/>
    </row>
    <row r="1149" spans="37:54" x14ac:dyDescent="0.3">
      <c r="AK1149" s="15"/>
      <c r="AL1149" s="15"/>
      <c r="BB1149" s="14"/>
    </row>
    <row r="1150" spans="37:54" x14ac:dyDescent="0.3">
      <c r="AK1150" s="15"/>
      <c r="AL1150" s="15"/>
      <c r="BB1150" s="14"/>
    </row>
    <row r="1151" spans="37:54" x14ac:dyDescent="0.3">
      <c r="AK1151" s="15"/>
      <c r="AL1151" s="15"/>
      <c r="BB1151" s="14"/>
    </row>
    <row r="1152" spans="37:54" x14ac:dyDescent="0.3">
      <c r="AK1152" s="15"/>
      <c r="AL1152" s="15"/>
      <c r="BB1152" s="14"/>
    </row>
    <row r="1153" spans="37:54" x14ac:dyDescent="0.3">
      <c r="AK1153" s="15"/>
      <c r="AL1153" s="15"/>
      <c r="BB1153" s="14"/>
    </row>
    <row r="1154" spans="37:54" x14ac:dyDescent="0.3">
      <c r="AK1154" s="15"/>
      <c r="AL1154" s="15"/>
      <c r="BB1154" s="14"/>
    </row>
    <row r="1155" spans="37:54" x14ac:dyDescent="0.3">
      <c r="AK1155" s="15"/>
      <c r="AL1155" s="15"/>
      <c r="BB1155" s="14"/>
    </row>
    <row r="1156" spans="37:54" x14ac:dyDescent="0.3">
      <c r="AK1156" s="15"/>
      <c r="AL1156" s="15"/>
      <c r="BB1156" s="14"/>
    </row>
    <row r="1157" spans="37:54" x14ac:dyDescent="0.3">
      <c r="AK1157" s="15"/>
      <c r="AL1157" s="15"/>
      <c r="BB1157" s="14"/>
    </row>
    <row r="1158" spans="37:54" x14ac:dyDescent="0.3">
      <c r="AK1158" s="15"/>
      <c r="AL1158" s="15"/>
      <c r="BB1158" s="14"/>
    </row>
    <row r="1159" spans="37:54" x14ac:dyDescent="0.3">
      <c r="AK1159" s="15"/>
      <c r="AL1159" s="15"/>
      <c r="BB1159" s="14"/>
    </row>
    <row r="1160" spans="37:54" x14ac:dyDescent="0.3">
      <c r="AK1160" s="15"/>
      <c r="AL1160" s="15"/>
      <c r="BB1160" s="14"/>
    </row>
    <row r="1161" spans="37:54" x14ac:dyDescent="0.3">
      <c r="AK1161" s="15"/>
      <c r="AL1161" s="15"/>
      <c r="BB1161" s="14"/>
    </row>
    <row r="1162" spans="37:54" x14ac:dyDescent="0.3">
      <c r="AK1162" s="15"/>
      <c r="AL1162" s="15"/>
      <c r="BB1162" s="14"/>
    </row>
    <row r="1163" spans="37:54" x14ac:dyDescent="0.3">
      <c r="AK1163" s="15"/>
      <c r="AL1163" s="15"/>
      <c r="BB1163" s="14"/>
    </row>
    <row r="1164" spans="37:54" x14ac:dyDescent="0.3">
      <c r="AK1164" s="15"/>
      <c r="AL1164" s="15"/>
      <c r="BB1164" s="14"/>
    </row>
    <row r="1165" spans="37:54" x14ac:dyDescent="0.3">
      <c r="AK1165" s="15"/>
      <c r="AL1165" s="15"/>
      <c r="BB1165" s="14"/>
    </row>
    <row r="1166" spans="37:54" x14ac:dyDescent="0.3">
      <c r="AK1166" s="15"/>
      <c r="AL1166" s="15"/>
      <c r="BB1166" s="14"/>
    </row>
    <row r="1167" spans="37:54" x14ac:dyDescent="0.3">
      <c r="AK1167" s="15"/>
      <c r="AL1167" s="15"/>
      <c r="BB1167" s="14"/>
    </row>
    <row r="1168" spans="37:54" x14ac:dyDescent="0.3">
      <c r="AK1168" s="15"/>
      <c r="AL1168" s="15"/>
      <c r="BB1168" s="14"/>
    </row>
    <row r="1169" spans="37:54" x14ac:dyDescent="0.3">
      <c r="AK1169" s="15"/>
      <c r="AL1169" s="15"/>
      <c r="BB1169" s="14"/>
    </row>
    <row r="1170" spans="37:54" x14ac:dyDescent="0.3">
      <c r="AK1170" s="15"/>
      <c r="AL1170" s="15"/>
      <c r="BB1170" s="14"/>
    </row>
    <row r="1171" spans="37:54" x14ac:dyDescent="0.3">
      <c r="AK1171" s="15"/>
      <c r="AL1171" s="15"/>
      <c r="BB1171" s="14"/>
    </row>
    <row r="1172" spans="37:54" x14ac:dyDescent="0.3">
      <c r="AK1172" s="15"/>
      <c r="AL1172" s="15"/>
      <c r="BB1172" s="14"/>
    </row>
    <row r="1173" spans="37:54" x14ac:dyDescent="0.3">
      <c r="AK1173" s="15"/>
      <c r="AL1173" s="15"/>
      <c r="BB1173" s="14"/>
    </row>
    <row r="1174" spans="37:54" x14ac:dyDescent="0.3">
      <c r="AK1174" s="15"/>
      <c r="AL1174" s="15"/>
      <c r="BB1174" s="14"/>
    </row>
    <row r="1175" spans="37:54" x14ac:dyDescent="0.3">
      <c r="AK1175" s="15"/>
      <c r="AL1175" s="15"/>
      <c r="BB1175" s="14"/>
    </row>
    <row r="1176" spans="37:54" x14ac:dyDescent="0.3">
      <c r="AK1176" s="15"/>
      <c r="AL1176" s="15"/>
      <c r="BB1176" s="14"/>
    </row>
    <row r="1177" spans="37:54" x14ac:dyDescent="0.3">
      <c r="AK1177" s="15"/>
      <c r="AL1177" s="15"/>
      <c r="BB1177" s="14"/>
    </row>
    <row r="1178" spans="37:54" x14ac:dyDescent="0.3">
      <c r="AK1178" s="15"/>
      <c r="AL1178" s="15"/>
      <c r="BB1178" s="14"/>
    </row>
    <row r="1179" spans="37:54" x14ac:dyDescent="0.3">
      <c r="AK1179" s="15"/>
      <c r="AL1179" s="15"/>
      <c r="BB1179" s="14"/>
    </row>
    <row r="1180" spans="37:54" x14ac:dyDescent="0.3">
      <c r="AK1180" s="15"/>
      <c r="AL1180" s="15"/>
      <c r="BB1180" s="14"/>
    </row>
    <row r="1181" spans="37:54" x14ac:dyDescent="0.3">
      <c r="AK1181" s="15"/>
      <c r="AL1181" s="15"/>
      <c r="BB1181" s="14"/>
    </row>
    <row r="1182" spans="37:54" x14ac:dyDescent="0.3">
      <c r="AK1182" s="15"/>
      <c r="AL1182" s="15"/>
      <c r="BB1182" s="14"/>
    </row>
    <row r="1183" spans="37:54" x14ac:dyDescent="0.3">
      <c r="AK1183" s="15"/>
      <c r="AL1183" s="15"/>
      <c r="BB1183" s="14"/>
    </row>
    <row r="1184" spans="37:54" x14ac:dyDescent="0.3">
      <c r="AK1184" s="15"/>
      <c r="AL1184" s="15"/>
      <c r="BB1184" s="14"/>
    </row>
    <row r="1185" spans="37:54" x14ac:dyDescent="0.3">
      <c r="AK1185" s="15"/>
      <c r="AL1185" s="15"/>
      <c r="BB1185" s="14"/>
    </row>
    <row r="1186" spans="37:54" x14ac:dyDescent="0.3">
      <c r="AK1186" s="15"/>
      <c r="AL1186" s="15"/>
      <c r="BB1186" s="14"/>
    </row>
    <row r="1187" spans="37:54" x14ac:dyDescent="0.3">
      <c r="AK1187" s="15"/>
      <c r="AL1187" s="15"/>
      <c r="BB1187" s="14"/>
    </row>
    <row r="1188" spans="37:54" x14ac:dyDescent="0.3">
      <c r="AK1188" s="15"/>
      <c r="AL1188" s="15"/>
      <c r="BB1188" s="14"/>
    </row>
    <row r="1189" spans="37:54" x14ac:dyDescent="0.3">
      <c r="AK1189" s="15"/>
      <c r="AL1189" s="15"/>
      <c r="BB1189" s="14"/>
    </row>
    <row r="1190" spans="37:54" x14ac:dyDescent="0.3">
      <c r="AK1190" s="15"/>
      <c r="AL1190" s="15"/>
      <c r="BB1190" s="14"/>
    </row>
    <row r="1191" spans="37:54" x14ac:dyDescent="0.3">
      <c r="AK1191" s="15"/>
      <c r="AL1191" s="15"/>
      <c r="BB1191" s="14"/>
    </row>
    <row r="1192" spans="37:54" x14ac:dyDescent="0.3">
      <c r="AK1192" s="15"/>
      <c r="AL1192" s="15"/>
      <c r="BB1192" s="14"/>
    </row>
    <row r="1193" spans="37:54" x14ac:dyDescent="0.3">
      <c r="AK1193" s="15"/>
      <c r="AL1193" s="15"/>
      <c r="BB1193" s="14"/>
    </row>
    <row r="1194" spans="37:54" x14ac:dyDescent="0.3">
      <c r="AK1194" s="15"/>
      <c r="AL1194" s="15"/>
      <c r="BB1194" s="14"/>
    </row>
    <row r="1195" spans="37:54" x14ac:dyDescent="0.3">
      <c r="AK1195" s="15"/>
      <c r="AL1195" s="15"/>
      <c r="BB1195" s="14"/>
    </row>
    <row r="1196" spans="37:54" x14ac:dyDescent="0.3">
      <c r="AK1196" s="15"/>
      <c r="AL1196" s="15"/>
      <c r="BB1196" s="14"/>
    </row>
    <row r="1197" spans="37:54" x14ac:dyDescent="0.3">
      <c r="AK1197" s="15"/>
      <c r="AL1197" s="15"/>
      <c r="BB1197" s="14"/>
    </row>
    <row r="1198" spans="37:54" x14ac:dyDescent="0.3">
      <c r="AK1198" s="15"/>
      <c r="AL1198" s="15"/>
      <c r="BB1198" s="14"/>
    </row>
    <row r="1199" spans="37:54" x14ac:dyDescent="0.3">
      <c r="AK1199" s="15"/>
      <c r="AL1199" s="15"/>
      <c r="BB1199" s="14"/>
    </row>
    <row r="1200" spans="37:54" x14ac:dyDescent="0.3">
      <c r="AL1200" s="15"/>
      <c r="BB1200" s="14"/>
    </row>
    <row r="1201" spans="37:54" x14ac:dyDescent="0.3">
      <c r="AL1201" s="15"/>
      <c r="BB1201" s="14"/>
    </row>
    <row r="1202" spans="37:54" x14ac:dyDescent="0.3">
      <c r="AK1202" s="20"/>
      <c r="BB1202" s="14"/>
    </row>
    <row r="1203" spans="37:54" x14ac:dyDescent="0.3">
      <c r="BB1203" s="14"/>
    </row>
    <row r="1204" spans="37:54" x14ac:dyDescent="0.3">
      <c r="AL1204" s="20"/>
      <c r="BB1204" s="14"/>
    </row>
    <row r="1205" spans="37:54" x14ac:dyDescent="0.3">
      <c r="AM1205" s="20"/>
      <c r="AN1205" s="20"/>
      <c r="BB1205" s="14"/>
    </row>
    <row r="1206" spans="37:54" x14ac:dyDescent="0.3">
      <c r="BB1206" s="14"/>
    </row>
    <row r="1207" spans="37:54" x14ac:dyDescent="0.3">
      <c r="BB1207" s="14"/>
    </row>
    <row r="1208" spans="37:54" x14ac:dyDescent="0.3">
      <c r="BB1208" s="14"/>
    </row>
    <row r="1209" spans="37:54" x14ac:dyDescent="0.3">
      <c r="BB1209" s="14"/>
    </row>
    <row r="1210" spans="37:54" x14ac:dyDescent="0.3">
      <c r="BB1210" s="14"/>
    </row>
    <row r="1211" spans="37:54" x14ac:dyDescent="0.3">
      <c r="BB1211" s="14"/>
    </row>
    <row r="1212" spans="37:54" x14ac:dyDescent="0.3">
      <c r="BB1212" s="14"/>
    </row>
    <row r="1213" spans="37:54" x14ac:dyDescent="0.3">
      <c r="BB1213" s="14"/>
    </row>
    <row r="1214" spans="37:54" x14ac:dyDescent="0.3">
      <c r="BB1214" s="14"/>
    </row>
    <row r="1217" spans="54:54" x14ac:dyDescent="0.3">
      <c r="BB1217" s="20"/>
    </row>
  </sheetData>
  <phoneticPr fontId="16" type="noConversion"/>
  <pageMargins left="0.7" right="0.7" top="0.75" bottom="0.75" header="0.3" footer="0.3"/>
  <pageSetup paperSize="9" orientation="portrait" r:id="rId1"/>
  <legacyDrawing r:id="rId2"/>
  <tableParts count="6">
    <tablePart r:id="rId3"/>
    <tablePart r:id="rId4"/>
    <tablePart r:id="rId5"/>
    <tablePart r:id="rId6"/>
    <tablePart r:id="rId7"/>
    <tablePart r:id="rId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E203-22E4-4A45-8058-3A92501DF0B1}">
  <sheetPr codeName="Sheet15">
    <tabColor theme="7" tint="0.79998168889431442"/>
  </sheetPr>
  <dimension ref="A1:N7"/>
  <sheetViews>
    <sheetView workbookViewId="0">
      <selection activeCell="A2" sqref="A2:N7"/>
    </sheetView>
  </sheetViews>
  <sheetFormatPr defaultRowHeight="14.4" x14ac:dyDescent="0.3"/>
  <cols>
    <col min="1" max="1" width="10.8984375" bestFit="1" customWidth="1"/>
    <col min="2" max="2" width="8" bestFit="1" customWidth="1"/>
    <col min="3" max="3" width="11.796875" bestFit="1" customWidth="1"/>
    <col min="4" max="4" width="10.296875" bestFit="1" customWidth="1"/>
    <col min="5" max="5" width="14.19921875" bestFit="1" customWidth="1"/>
    <col min="6" max="6" width="10.8984375" bestFit="1" customWidth="1"/>
    <col min="7" max="7" width="14.296875" bestFit="1" customWidth="1"/>
    <col min="8" max="8" width="14.19921875" bestFit="1" customWidth="1"/>
    <col min="9" max="9" width="11.8984375" bestFit="1" customWidth="1"/>
    <col min="10" max="10" width="15.296875" bestFit="1" customWidth="1"/>
    <col min="11" max="11" width="15.69921875" style="14" bestFit="1" customWidth="1"/>
    <col min="12" max="12" width="17.796875" style="14" bestFit="1" customWidth="1"/>
    <col min="13" max="13" width="20" style="14" bestFit="1" customWidth="1"/>
    <col min="14" max="14" width="11" bestFit="1" customWidth="1"/>
  </cols>
  <sheetData>
    <row r="1" spans="1:14" x14ac:dyDescent="0.3">
      <c r="A1" t="s">
        <v>47</v>
      </c>
      <c r="B1" t="s">
        <v>48</v>
      </c>
      <c r="C1" t="s">
        <v>532</v>
      </c>
      <c r="D1" t="s">
        <v>53</v>
      </c>
      <c r="E1" t="s">
        <v>52</v>
      </c>
      <c r="F1" t="s">
        <v>50</v>
      </c>
      <c r="G1" t="s">
        <v>54</v>
      </c>
      <c r="H1" t="s">
        <v>55</v>
      </c>
      <c r="I1" t="s">
        <v>56</v>
      </c>
      <c r="J1" t="s">
        <v>57</v>
      </c>
      <c r="K1" s="14" t="s">
        <v>59</v>
      </c>
      <c r="L1" s="14" t="s">
        <v>585</v>
      </c>
      <c r="M1" s="14" t="s">
        <v>586</v>
      </c>
      <c r="N1" t="s">
        <v>587</v>
      </c>
    </row>
    <row r="2" spans="1:14" x14ac:dyDescent="0.3">
      <c r="A2" s="20">
        <v>46262</v>
      </c>
      <c r="B2">
        <v>18186</v>
      </c>
      <c r="D2" t="s">
        <v>1592</v>
      </c>
      <c r="E2" t="s">
        <v>310</v>
      </c>
      <c r="F2" t="s">
        <v>318</v>
      </c>
      <c r="G2" s="20">
        <v>46260</v>
      </c>
      <c r="H2" s="20">
        <v>46260</v>
      </c>
      <c r="I2" s="20">
        <v>46261</v>
      </c>
      <c r="J2" s="20">
        <v>46275</v>
      </c>
      <c r="K2" s="14">
        <v>500000000000</v>
      </c>
      <c r="L2" s="14">
        <v>499497704020</v>
      </c>
      <c r="M2" s="14">
        <v>500838821143</v>
      </c>
      <c r="N2">
        <v>7</v>
      </c>
    </row>
    <row r="3" spans="1:14" x14ac:dyDescent="0.3">
      <c r="A3" s="20">
        <v>46262</v>
      </c>
      <c r="B3">
        <v>18183</v>
      </c>
      <c r="D3" t="s">
        <v>1592</v>
      </c>
      <c r="E3" t="s">
        <v>310</v>
      </c>
      <c r="F3" t="s">
        <v>321</v>
      </c>
      <c r="G3" s="20">
        <v>46259</v>
      </c>
      <c r="H3" s="20">
        <v>46261</v>
      </c>
      <c r="I3" s="20">
        <v>46262</v>
      </c>
      <c r="J3" s="20">
        <v>46304</v>
      </c>
      <c r="K3" s="14">
        <v>700000000000</v>
      </c>
      <c r="L3" s="14">
        <v>654829679700</v>
      </c>
      <c r="M3" s="14">
        <v>660631650068</v>
      </c>
      <c r="N3">
        <v>7.7</v>
      </c>
    </row>
    <row r="4" spans="1:14" x14ac:dyDescent="0.3">
      <c r="A4" s="20">
        <v>46262</v>
      </c>
      <c r="B4">
        <v>18184</v>
      </c>
      <c r="D4" t="s">
        <v>1592</v>
      </c>
      <c r="E4" t="s">
        <v>310</v>
      </c>
      <c r="F4" t="s">
        <v>321</v>
      </c>
      <c r="G4" s="20">
        <v>46259</v>
      </c>
      <c r="H4" s="20">
        <v>46261</v>
      </c>
      <c r="I4" s="20">
        <v>46262</v>
      </c>
      <c r="J4" s="20">
        <v>46304</v>
      </c>
      <c r="K4" s="14">
        <v>300000000000</v>
      </c>
      <c r="L4" s="14">
        <v>276870480300</v>
      </c>
      <c r="M4" s="14">
        <v>279323628610</v>
      </c>
      <c r="N4">
        <v>7.7</v>
      </c>
    </row>
    <row r="5" spans="1:14" x14ac:dyDescent="0.3">
      <c r="A5" s="20">
        <v>46262</v>
      </c>
      <c r="B5">
        <v>18171</v>
      </c>
      <c r="D5" t="s">
        <v>1592</v>
      </c>
      <c r="E5" t="s">
        <v>310</v>
      </c>
      <c r="F5" t="s">
        <v>321</v>
      </c>
      <c r="G5" s="20">
        <v>46258</v>
      </c>
      <c r="H5" s="20">
        <v>46259</v>
      </c>
      <c r="I5" s="20">
        <v>46260</v>
      </c>
      <c r="J5" s="20">
        <v>46304</v>
      </c>
      <c r="K5" s="14">
        <v>200000000000</v>
      </c>
      <c r="L5" s="14">
        <v>185658838200</v>
      </c>
      <c r="M5" s="14">
        <v>187337397559</v>
      </c>
      <c r="N5">
        <v>7.5</v>
      </c>
    </row>
    <row r="6" spans="1:14" x14ac:dyDescent="0.3">
      <c r="A6" s="20">
        <v>46262</v>
      </c>
      <c r="B6">
        <v>18185</v>
      </c>
      <c r="D6" t="s">
        <v>1592</v>
      </c>
      <c r="E6" t="s">
        <v>310</v>
      </c>
      <c r="F6" t="s">
        <v>321</v>
      </c>
      <c r="G6" s="20">
        <v>46259</v>
      </c>
      <c r="H6" s="20">
        <v>46260</v>
      </c>
      <c r="I6" s="20">
        <v>46261</v>
      </c>
      <c r="J6" s="20">
        <v>46303</v>
      </c>
      <c r="K6" s="14">
        <v>600000000000</v>
      </c>
      <c r="L6" s="14">
        <v>553642453200</v>
      </c>
      <c r="M6" s="14">
        <v>558547877018</v>
      </c>
      <c r="N6">
        <v>7.7</v>
      </c>
    </row>
    <row r="7" spans="1:14" x14ac:dyDescent="0.3">
      <c r="A7" s="20">
        <v>46262</v>
      </c>
      <c r="B7">
        <v>18170</v>
      </c>
      <c r="D7" t="s">
        <v>1592</v>
      </c>
      <c r="E7" t="s">
        <v>310</v>
      </c>
      <c r="F7" t="s">
        <v>321</v>
      </c>
      <c r="G7" s="20">
        <v>46258</v>
      </c>
      <c r="H7" s="20">
        <v>46259</v>
      </c>
      <c r="I7" s="20">
        <v>46260</v>
      </c>
      <c r="J7" s="20">
        <v>46304</v>
      </c>
      <c r="K7" s="14">
        <v>800000000000</v>
      </c>
      <c r="L7" s="14">
        <v>739424248800</v>
      </c>
      <c r="M7" s="14">
        <v>746109454337</v>
      </c>
      <c r="N7">
        <v>7.5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6C22-C221-40B1-9038-CE20FBBC6466}">
  <sheetPr codeName="Sheet13">
    <tabColor theme="7" tint="0.79998168889431442"/>
  </sheetPr>
  <dimension ref="A1:AL466"/>
  <sheetViews>
    <sheetView topLeftCell="Q1" zoomScale="70" zoomScaleNormal="70" workbookViewId="0">
      <pane ySplit="1" topLeftCell="A2" activePane="bottomLeft" state="frozen"/>
      <selection activeCell="F212" sqref="F212"/>
      <selection pane="bottomLeft" activeCell="X26" sqref="X26:Y29"/>
    </sheetView>
  </sheetViews>
  <sheetFormatPr defaultRowHeight="14.4" x14ac:dyDescent="0.3"/>
  <cols>
    <col min="1" max="1" width="14.09765625" bestFit="1" customWidth="1"/>
    <col min="2" max="2" width="12.8984375" bestFit="1" customWidth="1"/>
    <col min="3" max="3" width="17.69921875" bestFit="1" customWidth="1"/>
    <col min="4" max="4" width="11.69921875" bestFit="1" customWidth="1"/>
    <col min="5" max="5" width="18" style="14" bestFit="1" customWidth="1"/>
    <col min="6" max="6" width="14.296875" style="14" bestFit="1" customWidth="1"/>
    <col min="7" max="7" width="18" style="14" bestFit="1" customWidth="1"/>
    <col min="8" max="8" width="20" style="14" bestFit="1" customWidth="1"/>
    <col min="9" max="9" width="13.09765625" style="14" customWidth="1"/>
    <col min="10" max="12" width="13.09765625" style="20" customWidth="1"/>
    <col min="13" max="13" width="10.69921875" style="20" bestFit="1" customWidth="1"/>
    <col min="14" max="14" width="15.8984375" bestFit="1" customWidth="1"/>
    <col min="15" max="15" width="15.59765625" bestFit="1" customWidth="1"/>
    <col min="16" max="16" width="14.296875" style="14" bestFit="1" customWidth="1"/>
    <col min="17" max="18" width="15" style="391" bestFit="1" customWidth="1"/>
    <col min="19" max="19" width="20.3984375" style="391" bestFit="1" customWidth="1"/>
    <col min="20" max="20" width="20.09765625" style="391" bestFit="1" customWidth="1"/>
    <col min="21" max="21" width="21" style="391" bestFit="1" customWidth="1"/>
    <col min="22" max="23" width="17" customWidth="1"/>
    <col min="24" max="24" width="22.3984375" style="396" bestFit="1" customWidth="1"/>
    <col min="25" max="25" width="19" style="15" bestFit="1" customWidth="1"/>
    <col min="28" max="28" width="16.5" bestFit="1" customWidth="1"/>
    <col min="31" max="31" width="17" bestFit="1" customWidth="1"/>
    <col min="33" max="33" width="18" style="14" bestFit="1" customWidth="1"/>
    <col min="34" max="35" width="10.69921875" style="20" bestFit="1" customWidth="1"/>
    <col min="36" max="36" width="22.8984375" bestFit="1" customWidth="1"/>
    <col min="37" max="37" width="9.09765625" customWidth="1"/>
    <col min="38" max="38" width="9.09765625" style="15"/>
  </cols>
  <sheetData>
    <row r="1" spans="1:38" x14ac:dyDescent="0.3">
      <c r="A1" t="s">
        <v>366</v>
      </c>
      <c r="B1" t="s">
        <v>367</v>
      </c>
      <c r="C1" t="s">
        <v>368</v>
      </c>
      <c r="D1" t="s">
        <v>267</v>
      </c>
      <c r="E1" s="14" t="s">
        <v>15</v>
      </c>
      <c r="F1" s="14" t="s">
        <v>369</v>
      </c>
      <c r="G1" s="14" t="s">
        <v>406</v>
      </c>
      <c r="H1" t="s">
        <v>1533</v>
      </c>
      <c r="I1" s="14" t="s">
        <v>407</v>
      </c>
      <c r="J1" s="14" t="s">
        <v>370</v>
      </c>
      <c r="K1" s="20" t="s">
        <v>371</v>
      </c>
      <c r="L1" s="20" t="s">
        <v>372</v>
      </c>
      <c r="M1" s="20" t="s">
        <v>373</v>
      </c>
      <c r="N1" s="20" t="s">
        <v>374</v>
      </c>
      <c r="O1" t="s">
        <v>375</v>
      </c>
      <c r="P1" t="s">
        <v>376</v>
      </c>
      <c r="Q1" s="391" t="s">
        <v>377</v>
      </c>
      <c r="R1" s="391" t="s">
        <v>378</v>
      </c>
      <c r="S1" s="391" t="s">
        <v>379</v>
      </c>
      <c r="T1" s="391" t="s">
        <v>380</v>
      </c>
      <c r="U1" s="391" t="s">
        <v>381</v>
      </c>
      <c r="V1" s="14" t="s">
        <v>382</v>
      </c>
      <c r="W1" t="s">
        <v>383</v>
      </c>
      <c r="X1" s="396" t="s">
        <v>1286</v>
      </c>
      <c r="Y1" s="25" t="s">
        <v>1287</v>
      </c>
      <c r="Z1" s="43"/>
      <c r="AG1"/>
      <c r="AH1"/>
      <c r="AI1" s="15"/>
      <c r="AL1"/>
    </row>
    <row r="2" spans="1:38" x14ac:dyDescent="0.3">
      <c r="A2">
        <v>50562</v>
      </c>
      <c r="B2" t="s">
        <v>310</v>
      </c>
      <c r="C2" t="s">
        <v>1582</v>
      </c>
      <c r="D2" t="s">
        <v>343</v>
      </c>
      <c r="E2" s="56">
        <v>200</v>
      </c>
      <c r="F2" s="56">
        <v>1000000000</v>
      </c>
      <c r="G2" s="56">
        <v>200000000000</v>
      </c>
      <c r="H2" s="23" t="s">
        <v>1534</v>
      </c>
      <c r="I2">
        <v>2000000000</v>
      </c>
      <c r="J2" s="56">
        <v>46258</v>
      </c>
      <c r="K2">
        <v>46258</v>
      </c>
      <c r="L2">
        <v>46623</v>
      </c>
      <c r="M2">
        <v>46989</v>
      </c>
      <c r="N2">
        <v>731</v>
      </c>
      <c r="O2">
        <v>9.8000000000000007</v>
      </c>
      <c r="P2">
        <v>9.8000000000000007</v>
      </c>
      <c r="Q2" s="391">
        <v>0</v>
      </c>
      <c r="R2" s="391">
        <v>0</v>
      </c>
      <c r="S2" s="391">
        <v>0</v>
      </c>
      <c r="T2" s="391">
        <v>0</v>
      </c>
      <c r="U2" s="391">
        <v>0</v>
      </c>
      <c r="V2" s="56">
        <v>268493150.68493098</v>
      </c>
      <c r="W2" t="s">
        <v>35</v>
      </c>
      <c r="X2" s="397">
        <f>_xlfn.XLOOKUP(RPBOD_B003[[#This Row],[BondsDeals_Id]],AllDealps!B:B,AllDealps!R:R,,0)*RPBOD_B003[[#This Row],[Face_Amount]]</f>
        <v>1957322643800</v>
      </c>
      <c r="Y2" s="25">
        <f>RPBOD_B003[[#This Row],[Face_Amount]]*RPBOD_B003[[#This Row],[ThisCouponRate]]</f>
        <v>1960000000000.0002</v>
      </c>
      <c r="AG2"/>
      <c r="AH2"/>
      <c r="AI2" s="15"/>
      <c r="AL2"/>
    </row>
    <row r="3" spans="1:38" x14ac:dyDescent="0.3">
      <c r="A3">
        <v>44002</v>
      </c>
      <c r="B3" t="s">
        <v>310</v>
      </c>
      <c r="C3" t="s">
        <v>40</v>
      </c>
      <c r="D3" t="s">
        <v>312</v>
      </c>
      <c r="E3" s="56">
        <v>500</v>
      </c>
      <c r="F3" s="56">
        <v>1000000000</v>
      </c>
      <c r="G3" s="56">
        <v>500000000000</v>
      </c>
      <c r="H3" s="23" t="s">
        <v>1534</v>
      </c>
      <c r="I3">
        <v>5000000000</v>
      </c>
      <c r="J3" s="56">
        <v>45559</v>
      </c>
      <c r="K3">
        <v>45559</v>
      </c>
      <c r="L3">
        <v>45924</v>
      </c>
      <c r="M3">
        <v>46289</v>
      </c>
      <c r="N3">
        <v>730</v>
      </c>
      <c r="O3">
        <v>0</v>
      </c>
      <c r="P3">
        <v>7.5750000000000002</v>
      </c>
      <c r="Q3" s="391">
        <v>0</v>
      </c>
      <c r="R3" s="391">
        <v>0</v>
      </c>
      <c r="S3" s="391">
        <v>0</v>
      </c>
      <c r="T3" s="391">
        <v>0</v>
      </c>
      <c r="U3" s="391">
        <v>0</v>
      </c>
      <c r="V3" s="56">
        <v>35177054794.5205</v>
      </c>
      <c r="W3" t="s">
        <v>35</v>
      </c>
      <c r="X3" s="397">
        <f>_xlfn.XLOOKUP(RPBOD_B003[[#This Row],[BondsDeals_Id]],AllDealps!B:B,AllDealps!R:R,,0)*RPBOD_B003[[#This Row],[Face_Amount]]</f>
        <v>3459782326500</v>
      </c>
      <c r="Y3" s="25">
        <f>RPBOD_B003[[#This Row],[Face_Amount]]*RPBOD_B003[[#This Row],[ThisCouponRate]]</f>
        <v>3787500000000</v>
      </c>
      <c r="AG3"/>
      <c r="AH3"/>
      <c r="AI3" s="15"/>
      <c r="AL3"/>
    </row>
    <row r="4" spans="1:38" x14ac:dyDescent="0.3">
      <c r="A4">
        <v>46442</v>
      </c>
      <c r="B4" t="s">
        <v>310</v>
      </c>
      <c r="C4" t="s">
        <v>601</v>
      </c>
      <c r="D4" t="s">
        <v>343</v>
      </c>
      <c r="E4" s="56">
        <v>400</v>
      </c>
      <c r="F4" s="56">
        <v>1000000000</v>
      </c>
      <c r="G4" s="56">
        <v>400000000000</v>
      </c>
      <c r="H4" s="23" t="s">
        <v>1534</v>
      </c>
      <c r="I4">
        <v>4000000000</v>
      </c>
      <c r="J4" s="56">
        <v>45803</v>
      </c>
      <c r="K4">
        <v>45803</v>
      </c>
      <c r="L4">
        <v>46168</v>
      </c>
      <c r="M4">
        <v>46533</v>
      </c>
      <c r="N4">
        <v>730</v>
      </c>
      <c r="O4">
        <v>6.8</v>
      </c>
      <c r="P4">
        <v>6.8</v>
      </c>
      <c r="Q4" s="391">
        <v>0</v>
      </c>
      <c r="R4" s="391">
        <v>0</v>
      </c>
      <c r="S4" s="391">
        <v>0</v>
      </c>
      <c r="T4" s="391">
        <v>0</v>
      </c>
      <c r="U4" s="391">
        <v>0</v>
      </c>
      <c r="V4" s="56">
        <v>7079452054.7945204</v>
      </c>
      <c r="W4" t="s">
        <v>35</v>
      </c>
      <c r="X4" s="397">
        <f>_xlfn.XLOOKUP(RPBOD_B003[[#This Row],[BondsDeals_Id]],AllDealps!B:B,AllDealps!R:R,,0)*RPBOD_B003[[#This Row],[Face_Amount]]</f>
        <v>2720000000000</v>
      </c>
      <c r="Y4" s="25">
        <f>RPBOD_B003[[#This Row],[Face_Amount]]*RPBOD_B003[[#This Row],[ThisCouponRate]]</f>
        <v>2720000000000</v>
      </c>
      <c r="AG4"/>
      <c r="AH4"/>
      <c r="AI4" s="15"/>
      <c r="AL4"/>
    </row>
    <row r="5" spans="1:38" x14ac:dyDescent="0.3">
      <c r="A5">
        <v>50267</v>
      </c>
      <c r="B5" t="s">
        <v>310</v>
      </c>
      <c r="C5" t="s">
        <v>1479</v>
      </c>
      <c r="D5" t="s">
        <v>345</v>
      </c>
      <c r="E5" s="56">
        <v>5000</v>
      </c>
      <c r="F5" s="56">
        <v>100000000</v>
      </c>
      <c r="G5" s="56">
        <v>500000000000</v>
      </c>
      <c r="H5" s="23" t="s">
        <v>1534</v>
      </c>
      <c r="I5">
        <v>5000000000</v>
      </c>
      <c r="J5" s="56">
        <v>46234</v>
      </c>
      <c r="K5">
        <v>46234</v>
      </c>
      <c r="L5">
        <v>46599</v>
      </c>
      <c r="M5">
        <v>48791</v>
      </c>
      <c r="N5">
        <v>2557</v>
      </c>
      <c r="O5">
        <v>0</v>
      </c>
      <c r="P5">
        <v>9.8000000000000007</v>
      </c>
      <c r="Q5" s="391">
        <v>0</v>
      </c>
      <c r="R5" s="391">
        <v>0</v>
      </c>
      <c r="S5" s="391">
        <v>0</v>
      </c>
      <c r="T5" s="391">
        <v>0</v>
      </c>
      <c r="U5" s="391">
        <v>0</v>
      </c>
      <c r="V5" s="56">
        <v>3893150684.9315</v>
      </c>
      <c r="W5" t="s">
        <v>35</v>
      </c>
      <c r="X5" s="397">
        <f>_xlfn.XLOOKUP(RPBOD_B003[[#This Row],[BondsDeals_Id]],AllDealps!B:B,AllDealps!R:R,,0)*RPBOD_B003[[#This Row],[Face_Amount]]</f>
        <v>4710566940500</v>
      </c>
      <c r="Y5" s="25">
        <f>RPBOD_B003[[#This Row],[Face_Amount]]*RPBOD_B003[[#This Row],[ThisCouponRate]]</f>
        <v>4900000000000</v>
      </c>
      <c r="AB5" s="43"/>
      <c r="AG5"/>
      <c r="AH5"/>
      <c r="AI5" s="15"/>
      <c r="AL5"/>
    </row>
    <row r="6" spans="1:38" x14ac:dyDescent="0.3">
      <c r="A6">
        <v>50268</v>
      </c>
      <c r="B6" t="s">
        <v>310</v>
      </c>
      <c r="C6" t="s">
        <v>1479</v>
      </c>
      <c r="D6" t="s">
        <v>345</v>
      </c>
      <c r="E6" s="56">
        <v>5000</v>
      </c>
      <c r="F6" s="56">
        <v>100000000</v>
      </c>
      <c r="G6" s="56">
        <v>500000000000</v>
      </c>
      <c r="H6" s="23" t="s">
        <v>1534</v>
      </c>
      <c r="I6">
        <v>5000000000</v>
      </c>
      <c r="J6" s="56">
        <v>46234</v>
      </c>
      <c r="K6">
        <v>46234</v>
      </c>
      <c r="L6">
        <v>46599</v>
      </c>
      <c r="M6">
        <v>48791</v>
      </c>
      <c r="N6">
        <v>2557</v>
      </c>
      <c r="O6">
        <v>0</v>
      </c>
      <c r="P6">
        <v>9.8000000000000007</v>
      </c>
      <c r="Q6" s="391">
        <v>0</v>
      </c>
      <c r="R6" s="391">
        <v>0</v>
      </c>
      <c r="S6" s="391">
        <v>0</v>
      </c>
      <c r="T6" s="391">
        <v>0</v>
      </c>
      <c r="U6" s="391">
        <v>0</v>
      </c>
      <c r="V6" s="56">
        <v>3893150684.9315</v>
      </c>
      <c r="W6" t="s">
        <v>35</v>
      </c>
      <c r="X6" s="397">
        <f>_xlfn.XLOOKUP(RPBOD_B003[[#This Row],[BondsDeals_Id]],AllDealps!B:B,AllDealps!R:R,,0)*RPBOD_B003[[#This Row],[Face_Amount]]</f>
        <v>4710566940500</v>
      </c>
      <c r="Y6" s="25">
        <f>RPBOD_B003[[#This Row],[Face_Amount]]*RPBOD_B003[[#This Row],[ThisCouponRate]]</f>
        <v>4900000000000</v>
      </c>
      <c r="AG6"/>
      <c r="AH6"/>
      <c r="AI6" s="15"/>
      <c r="AL6"/>
    </row>
    <row r="7" spans="1:38" x14ac:dyDescent="0.3">
      <c r="A7">
        <v>46787</v>
      </c>
      <c r="B7" t="s">
        <v>310</v>
      </c>
      <c r="C7" t="s">
        <v>640</v>
      </c>
      <c r="D7" t="s">
        <v>339</v>
      </c>
      <c r="E7" s="56">
        <v>10000</v>
      </c>
      <c r="F7" s="56">
        <v>100000000</v>
      </c>
      <c r="G7" s="56">
        <v>1000000000000</v>
      </c>
      <c r="H7" s="23" t="s">
        <v>1534</v>
      </c>
      <c r="I7">
        <v>1000000000000</v>
      </c>
      <c r="J7" s="56">
        <v>45852</v>
      </c>
      <c r="K7">
        <v>45852</v>
      </c>
      <c r="L7">
        <v>46217</v>
      </c>
      <c r="M7">
        <v>46582</v>
      </c>
      <c r="N7">
        <v>730</v>
      </c>
      <c r="O7">
        <v>5.2</v>
      </c>
      <c r="P7">
        <v>5.2</v>
      </c>
      <c r="Q7" s="391">
        <v>0</v>
      </c>
      <c r="R7" s="391">
        <v>0</v>
      </c>
      <c r="S7" s="391">
        <v>0</v>
      </c>
      <c r="T7" s="391">
        <v>0</v>
      </c>
      <c r="U7" s="391">
        <v>0</v>
      </c>
      <c r="V7" s="56">
        <v>6553424657.5342398</v>
      </c>
      <c r="W7" t="s">
        <v>35</v>
      </c>
      <c r="X7" s="397">
        <f>_xlfn.XLOOKUP(RPBOD_B003[[#This Row],[BondsDeals_Id]],AllDealps!B:B,AllDealps!R:R,,0)*RPBOD_B003[[#This Row],[Face_Amount]]</f>
        <v>5200000000000</v>
      </c>
      <c r="Y7" s="25">
        <f>RPBOD_B003[[#This Row],[Face_Amount]]*RPBOD_B003[[#This Row],[ThisCouponRate]]</f>
        <v>5200000000000</v>
      </c>
      <c r="AG7"/>
      <c r="AH7"/>
      <c r="AI7" s="15"/>
      <c r="AL7"/>
    </row>
    <row r="8" spans="1:38" x14ac:dyDescent="0.3">
      <c r="A8">
        <v>46835</v>
      </c>
      <c r="B8" t="s">
        <v>310</v>
      </c>
      <c r="C8" t="s">
        <v>640</v>
      </c>
      <c r="D8" t="s">
        <v>339</v>
      </c>
      <c r="E8" s="56">
        <v>10000</v>
      </c>
      <c r="F8" s="56">
        <v>100000000</v>
      </c>
      <c r="G8" s="56">
        <v>1000000000000</v>
      </c>
      <c r="H8" s="23" t="s">
        <v>1534</v>
      </c>
      <c r="I8">
        <v>1000000000000</v>
      </c>
      <c r="J8" s="56">
        <v>45852</v>
      </c>
      <c r="K8">
        <v>45852</v>
      </c>
      <c r="L8">
        <v>46217</v>
      </c>
      <c r="M8">
        <v>46582</v>
      </c>
      <c r="N8">
        <v>730</v>
      </c>
      <c r="O8">
        <v>5.2</v>
      </c>
      <c r="P8">
        <v>5.2</v>
      </c>
      <c r="Q8" s="391">
        <v>0</v>
      </c>
      <c r="R8" s="391">
        <v>0</v>
      </c>
      <c r="S8" s="391">
        <v>0</v>
      </c>
      <c r="T8" s="391">
        <v>0</v>
      </c>
      <c r="U8" s="391">
        <v>0</v>
      </c>
      <c r="V8" s="56">
        <v>6553424657.5342398</v>
      </c>
      <c r="W8" t="s">
        <v>35</v>
      </c>
      <c r="X8" s="397">
        <f>_xlfn.XLOOKUP(RPBOD_B003[[#This Row],[BondsDeals_Id]],AllDealps!B:B,AllDealps!R:R,,0)*RPBOD_B003[[#This Row],[Face_Amount]]</f>
        <v>5200000000000</v>
      </c>
      <c r="Y8" s="25">
        <f>RPBOD_B003[[#This Row],[Face_Amount]]*RPBOD_B003[[#This Row],[ThisCouponRate]]</f>
        <v>5200000000000</v>
      </c>
      <c r="AG8"/>
      <c r="AH8"/>
      <c r="AI8" s="15"/>
      <c r="AL8"/>
    </row>
    <row r="9" spans="1:38" x14ac:dyDescent="0.3">
      <c r="A9">
        <v>50613</v>
      </c>
      <c r="B9" t="s">
        <v>310</v>
      </c>
      <c r="C9" t="s">
        <v>1617</v>
      </c>
      <c r="D9" t="s">
        <v>347</v>
      </c>
      <c r="E9" s="56">
        <v>1000</v>
      </c>
      <c r="F9" s="56">
        <v>1000000000</v>
      </c>
      <c r="G9" s="56">
        <v>1000000000000</v>
      </c>
      <c r="H9" s="23" t="s">
        <v>1534</v>
      </c>
      <c r="I9">
        <v>1000000000000</v>
      </c>
      <c r="J9" s="56">
        <v>46262</v>
      </c>
      <c r="K9">
        <v>46262</v>
      </c>
      <c r="L9">
        <v>46627</v>
      </c>
      <c r="M9">
        <v>48454</v>
      </c>
      <c r="N9">
        <v>2192</v>
      </c>
      <c r="O9">
        <v>0</v>
      </c>
      <c r="P9">
        <v>9.5</v>
      </c>
      <c r="Q9" s="391">
        <v>0</v>
      </c>
      <c r="R9" s="391">
        <v>0</v>
      </c>
      <c r="S9" s="391">
        <v>0</v>
      </c>
      <c r="T9" s="391">
        <v>0</v>
      </c>
      <c r="U9" s="391">
        <v>0</v>
      </c>
      <c r="V9" s="56">
        <v>260273972.60273901</v>
      </c>
      <c r="W9" t="s">
        <v>35</v>
      </c>
      <c r="X9" s="397">
        <f>_xlfn.XLOOKUP(RPBOD_B003[[#This Row],[BondsDeals_Id]],AllDealps!B:B,AllDealps!R:R,,0)*RPBOD_B003[[#This Row],[Face_Amount]]</f>
        <v>9499615737000</v>
      </c>
      <c r="Y9" s="25">
        <f>RPBOD_B003[[#This Row],[Face_Amount]]*RPBOD_B003[[#This Row],[ThisCouponRate]]</f>
        <v>9500000000000</v>
      </c>
      <c r="AG9"/>
      <c r="AH9"/>
      <c r="AI9" s="15"/>
      <c r="AL9"/>
    </row>
    <row r="10" spans="1:38" x14ac:dyDescent="0.3">
      <c r="A10">
        <v>49880</v>
      </c>
      <c r="B10" t="s">
        <v>310</v>
      </c>
      <c r="C10" t="s">
        <v>1298</v>
      </c>
      <c r="D10" t="s">
        <v>343</v>
      </c>
      <c r="E10" s="56">
        <v>1000</v>
      </c>
      <c r="F10" s="56">
        <v>1000000000</v>
      </c>
      <c r="G10" s="56">
        <v>1000000000000</v>
      </c>
      <c r="H10" s="23" t="s">
        <v>1534</v>
      </c>
      <c r="I10">
        <v>1000000000000</v>
      </c>
      <c r="J10" s="56">
        <v>46169</v>
      </c>
      <c r="K10">
        <v>46169</v>
      </c>
      <c r="L10">
        <v>46534</v>
      </c>
      <c r="M10">
        <v>47265</v>
      </c>
      <c r="N10">
        <v>1096</v>
      </c>
      <c r="O10">
        <v>9.8000000000000007</v>
      </c>
      <c r="P10">
        <v>9.8000000000000007</v>
      </c>
      <c r="Q10" s="391">
        <v>0</v>
      </c>
      <c r="R10" s="391">
        <v>0</v>
      </c>
      <c r="S10" s="391">
        <v>0</v>
      </c>
      <c r="T10" s="391">
        <v>0</v>
      </c>
      <c r="U10" s="391">
        <v>0</v>
      </c>
      <c r="V10" s="56">
        <v>25238356164.383499</v>
      </c>
      <c r="W10" t="s">
        <v>35</v>
      </c>
      <c r="X10" s="397">
        <f>_xlfn.XLOOKUP(RPBOD_B003[[#This Row],[BondsDeals_Id]],AllDealps!B:B,AllDealps!R:R,,0)*RPBOD_B003[[#This Row],[Face_Amount]]</f>
        <v>9790661531000</v>
      </c>
      <c r="Y10" s="25">
        <f>RPBOD_B003[[#This Row],[Face_Amount]]*RPBOD_B003[[#This Row],[ThisCouponRate]]</f>
        <v>9800000000000</v>
      </c>
      <c r="AG10"/>
      <c r="AH10"/>
      <c r="AI10" s="15"/>
      <c r="AL10"/>
    </row>
    <row r="11" spans="1:38" x14ac:dyDescent="0.3">
      <c r="A11">
        <v>49547</v>
      </c>
      <c r="B11" t="s">
        <v>310</v>
      </c>
      <c r="C11" t="s">
        <v>1262</v>
      </c>
      <c r="D11" t="s">
        <v>318</v>
      </c>
      <c r="E11" s="56">
        <v>600</v>
      </c>
      <c r="F11" s="56">
        <v>1000000000</v>
      </c>
      <c r="G11" s="56">
        <v>600000000000</v>
      </c>
      <c r="H11" s="23" t="s">
        <v>1534</v>
      </c>
      <c r="I11">
        <v>6000000000</v>
      </c>
      <c r="J11" s="56">
        <v>46133</v>
      </c>
      <c r="K11">
        <v>46133</v>
      </c>
      <c r="L11">
        <v>46498</v>
      </c>
      <c r="M11">
        <v>46498</v>
      </c>
      <c r="N11">
        <v>365</v>
      </c>
      <c r="O11">
        <v>8.4</v>
      </c>
      <c r="P11">
        <v>8.4</v>
      </c>
      <c r="Q11" s="391">
        <v>0</v>
      </c>
      <c r="R11" s="391">
        <v>0</v>
      </c>
      <c r="S11" s="391">
        <v>0</v>
      </c>
      <c r="T11" s="391">
        <v>0</v>
      </c>
      <c r="U11" s="391">
        <v>0</v>
      </c>
      <c r="V11" s="56">
        <v>17950684931.506802</v>
      </c>
      <c r="W11" t="s">
        <v>35</v>
      </c>
      <c r="X11" s="397">
        <f>_xlfn.XLOOKUP(RPBOD_B003[[#This Row],[BondsDeals_Id]],AllDealps!B:B,AllDealps!R:R,,0)*RPBOD_B003[[#This Row],[Face_Amount]]</f>
        <v>5039728849200</v>
      </c>
      <c r="Y11" s="25">
        <f>RPBOD_B003[[#This Row],[Face_Amount]]*RPBOD_B003[[#This Row],[ThisCouponRate]]</f>
        <v>5040000000000</v>
      </c>
      <c r="AG11"/>
      <c r="AH11"/>
      <c r="AI11" s="15"/>
      <c r="AL11"/>
    </row>
    <row r="12" spans="1:38" x14ac:dyDescent="0.3">
      <c r="A12">
        <v>49548</v>
      </c>
      <c r="B12" t="s">
        <v>310</v>
      </c>
      <c r="C12" t="s">
        <v>1262</v>
      </c>
      <c r="D12" t="s">
        <v>318</v>
      </c>
      <c r="E12" s="56">
        <v>600</v>
      </c>
      <c r="F12" s="56">
        <v>1000000000</v>
      </c>
      <c r="G12" s="56">
        <v>600000000000</v>
      </c>
      <c r="H12" s="23" t="s">
        <v>1534</v>
      </c>
      <c r="I12">
        <v>6000000000</v>
      </c>
      <c r="J12" s="56">
        <v>46133</v>
      </c>
      <c r="K12">
        <v>46133</v>
      </c>
      <c r="L12">
        <v>46498</v>
      </c>
      <c r="M12">
        <v>46498</v>
      </c>
      <c r="N12">
        <v>365</v>
      </c>
      <c r="O12">
        <v>8.4</v>
      </c>
      <c r="P12">
        <v>8.4</v>
      </c>
      <c r="Q12" s="391">
        <v>0</v>
      </c>
      <c r="R12" s="391">
        <v>0</v>
      </c>
      <c r="S12" s="391">
        <v>0</v>
      </c>
      <c r="T12" s="391">
        <v>0</v>
      </c>
      <c r="U12" s="391">
        <v>0</v>
      </c>
      <c r="V12" s="56">
        <v>17950684931.506802</v>
      </c>
      <c r="W12" t="s">
        <v>35</v>
      </c>
      <c r="X12" s="397">
        <f>_xlfn.XLOOKUP(RPBOD_B003[[#This Row],[BondsDeals_Id]],AllDealps!B:B,AllDealps!R:R,,0)*RPBOD_B003[[#This Row],[Face_Amount]]</f>
        <v>5039728849200</v>
      </c>
      <c r="Y12" s="25">
        <f>RPBOD_B003[[#This Row],[Face_Amount]]*RPBOD_B003[[#This Row],[ThisCouponRate]]</f>
        <v>5040000000000</v>
      </c>
      <c r="AG12"/>
      <c r="AH12"/>
      <c r="AI12" s="15"/>
      <c r="AL12"/>
    </row>
    <row r="13" spans="1:38" x14ac:dyDescent="0.3">
      <c r="A13">
        <v>49546</v>
      </c>
      <c r="B13" t="s">
        <v>310</v>
      </c>
      <c r="C13" t="s">
        <v>1262</v>
      </c>
      <c r="D13" t="s">
        <v>318</v>
      </c>
      <c r="E13" s="56">
        <v>800</v>
      </c>
      <c r="F13" s="56">
        <v>1000000000</v>
      </c>
      <c r="G13" s="56">
        <v>800000000000</v>
      </c>
      <c r="H13" s="23" t="s">
        <v>1534</v>
      </c>
      <c r="I13">
        <v>8000000000</v>
      </c>
      <c r="J13" s="56">
        <v>46133</v>
      </c>
      <c r="K13">
        <v>46133</v>
      </c>
      <c r="L13">
        <v>46498</v>
      </c>
      <c r="M13">
        <v>46498</v>
      </c>
      <c r="N13">
        <v>365</v>
      </c>
      <c r="O13">
        <v>8.4</v>
      </c>
      <c r="P13">
        <v>8.4</v>
      </c>
      <c r="Q13" s="391">
        <v>0</v>
      </c>
      <c r="R13" s="391">
        <v>0</v>
      </c>
      <c r="S13" s="391">
        <v>0</v>
      </c>
      <c r="T13" s="391">
        <v>0</v>
      </c>
      <c r="U13" s="391">
        <v>0</v>
      </c>
      <c r="V13" s="56">
        <v>23934246575.3424</v>
      </c>
      <c r="W13" t="s">
        <v>35</v>
      </c>
      <c r="X13" s="397">
        <f>_xlfn.XLOOKUP(RPBOD_B003[[#This Row],[BondsDeals_Id]],AllDealps!B:B,AllDealps!R:R,,0)*RPBOD_B003[[#This Row],[Face_Amount]]</f>
        <v>6719638465600.001</v>
      </c>
      <c r="Y13" s="25">
        <f>RPBOD_B003[[#This Row],[Face_Amount]]*RPBOD_B003[[#This Row],[ThisCouponRate]]</f>
        <v>6720000000000</v>
      </c>
      <c r="AG13"/>
      <c r="AH13"/>
      <c r="AI13" s="15"/>
      <c r="AL13"/>
    </row>
    <row r="14" spans="1:38" x14ac:dyDescent="0.3">
      <c r="A14">
        <v>48502</v>
      </c>
      <c r="B14" t="s">
        <v>310</v>
      </c>
      <c r="C14" t="s">
        <v>43</v>
      </c>
      <c r="D14" t="s">
        <v>315</v>
      </c>
      <c r="E14" s="56">
        <v>5000</v>
      </c>
      <c r="F14" s="56">
        <v>100000000</v>
      </c>
      <c r="G14" s="56">
        <v>500000000000</v>
      </c>
      <c r="H14" s="23" t="s">
        <v>1534</v>
      </c>
      <c r="I14">
        <v>5145126500</v>
      </c>
      <c r="J14" s="56">
        <v>46031</v>
      </c>
      <c r="K14">
        <v>42985</v>
      </c>
      <c r="L14">
        <v>43350</v>
      </c>
      <c r="M14">
        <v>46637</v>
      </c>
      <c r="N14">
        <v>3652</v>
      </c>
      <c r="O14">
        <v>8.4</v>
      </c>
      <c r="P14">
        <v>8.6</v>
      </c>
      <c r="Q14" s="391">
        <v>95569178.082193404</v>
      </c>
      <c r="R14" s="391">
        <v>0</v>
      </c>
      <c r="S14" s="391">
        <v>58981637.958317399</v>
      </c>
      <c r="T14" s="391">
        <v>0</v>
      </c>
      <c r="U14" s="391">
        <v>14608219178.0821</v>
      </c>
      <c r="V14" s="56">
        <v>27331506849.314999</v>
      </c>
      <c r="W14" t="s">
        <v>35</v>
      </c>
      <c r="X14" s="397">
        <f>_xlfn.XLOOKUP(RPBOD_B003[[#This Row],[BondsDeals_Id]],AllDealps!B:B,AllDealps!R:R,,0)*RPBOD_B003[[#This Row],[Face_Amount]]</f>
        <v>4300000000000</v>
      </c>
      <c r="Y14" s="25">
        <f>RPBOD_B003[[#This Row],[Face_Amount]]*RPBOD_B003[[#This Row],[ThisCouponRate]]</f>
        <v>4300000000000</v>
      </c>
      <c r="AG14"/>
      <c r="AH14"/>
      <c r="AI14" s="15"/>
      <c r="AL14"/>
    </row>
    <row r="15" spans="1:38" x14ac:dyDescent="0.3">
      <c r="A15">
        <v>50609</v>
      </c>
      <c r="B15" t="s">
        <v>310</v>
      </c>
      <c r="C15" t="s">
        <v>1608</v>
      </c>
      <c r="D15" t="s">
        <v>342</v>
      </c>
      <c r="E15" s="56">
        <v>1000</v>
      </c>
      <c r="F15" s="56">
        <v>1000000000</v>
      </c>
      <c r="G15" s="56">
        <v>1000000000000</v>
      </c>
      <c r="H15" s="23" t="s">
        <v>1534</v>
      </c>
      <c r="I15">
        <v>1000000000000</v>
      </c>
      <c r="J15" s="56">
        <v>46261</v>
      </c>
      <c r="K15">
        <v>46261</v>
      </c>
      <c r="L15">
        <v>46626</v>
      </c>
      <c r="M15">
        <v>48453</v>
      </c>
      <c r="N15">
        <v>2192</v>
      </c>
      <c r="O15">
        <v>9.6999999999999993</v>
      </c>
      <c r="P15">
        <v>9.6999999999999993</v>
      </c>
      <c r="Q15" s="391">
        <v>0</v>
      </c>
      <c r="R15" s="391">
        <v>0</v>
      </c>
      <c r="S15" s="391">
        <v>0</v>
      </c>
      <c r="T15" s="391">
        <v>0</v>
      </c>
      <c r="U15" s="391">
        <v>0</v>
      </c>
      <c r="V15" s="56">
        <v>531506849.31506801</v>
      </c>
      <c r="W15" t="s">
        <v>35</v>
      </c>
      <c r="X15" s="397">
        <f>_xlfn.XLOOKUP(RPBOD_B003[[#This Row],[BondsDeals_Id]],AllDealps!B:B,AllDealps!R:R,,0)*RPBOD_B003[[#This Row],[Face_Amount]]</f>
        <v>9503420227000</v>
      </c>
      <c r="Y15" s="25">
        <f>RPBOD_B003[[#This Row],[Face_Amount]]*RPBOD_B003[[#This Row],[ThisCouponRate]]</f>
        <v>9700000000000</v>
      </c>
      <c r="AG15"/>
      <c r="AH15"/>
      <c r="AI15" s="15"/>
      <c r="AL15"/>
    </row>
    <row r="16" spans="1:38" x14ac:dyDescent="0.3">
      <c r="A16">
        <v>47236</v>
      </c>
      <c r="B16" t="s">
        <v>310</v>
      </c>
      <c r="C16" t="s">
        <v>942</v>
      </c>
      <c r="D16" t="s">
        <v>342</v>
      </c>
      <c r="E16" s="56">
        <v>500</v>
      </c>
      <c r="F16" s="56">
        <v>1000000000</v>
      </c>
      <c r="G16" s="56">
        <v>500000000000</v>
      </c>
      <c r="H16" s="23" t="s">
        <v>1534</v>
      </c>
      <c r="I16">
        <v>5000000000</v>
      </c>
      <c r="J16" s="56">
        <v>45884</v>
      </c>
      <c r="K16">
        <v>45884</v>
      </c>
      <c r="L16">
        <v>46249</v>
      </c>
      <c r="M16">
        <v>48441</v>
      </c>
      <c r="N16">
        <v>2557</v>
      </c>
      <c r="O16">
        <v>7.65</v>
      </c>
      <c r="P16">
        <v>8.9</v>
      </c>
      <c r="Q16" s="391">
        <v>0</v>
      </c>
      <c r="R16" s="391">
        <v>0</v>
      </c>
      <c r="S16" s="391">
        <v>0</v>
      </c>
      <c r="T16" s="391">
        <v>0</v>
      </c>
      <c r="U16" s="391">
        <v>0</v>
      </c>
      <c r="V16" s="56">
        <v>1706849315.06849</v>
      </c>
      <c r="W16" t="s">
        <v>35</v>
      </c>
      <c r="X16" s="397">
        <f>_xlfn.XLOOKUP(RPBOD_B003[[#This Row],[BondsDeals_Id]],AllDealps!B:B,AllDealps!R:R,,0)*RPBOD_B003[[#This Row],[Face_Amount]]</f>
        <v>3905804408500</v>
      </c>
      <c r="Y16" s="25">
        <f>RPBOD_B003[[#This Row],[Face_Amount]]*RPBOD_B003[[#This Row],[ThisCouponRate]]</f>
        <v>4450000000000</v>
      </c>
      <c r="AG16"/>
      <c r="AH16"/>
      <c r="AI16" s="15"/>
      <c r="AL16"/>
    </row>
    <row r="17" spans="1:38" x14ac:dyDescent="0.3">
      <c r="A17">
        <v>44001</v>
      </c>
      <c r="B17" t="s">
        <v>310</v>
      </c>
      <c r="C17" t="s">
        <v>40</v>
      </c>
      <c r="D17" t="s">
        <v>312</v>
      </c>
      <c r="E17" s="56">
        <v>200</v>
      </c>
      <c r="F17" s="56">
        <v>1000000000</v>
      </c>
      <c r="G17" s="56">
        <v>200000000000</v>
      </c>
      <c r="H17" s="23" t="s">
        <v>1534</v>
      </c>
      <c r="I17">
        <v>5000000000</v>
      </c>
      <c r="J17" s="56">
        <v>45559</v>
      </c>
      <c r="K17">
        <v>45559</v>
      </c>
      <c r="L17">
        <v>45924</v>
      </c>
      <c r="M17">
        <v>46289</v>
      </c>
      <c r="N17">
        <v>730</v>
      </c>
      <c r="O17">
        <v>0</v>
      </c>
      <c r="P17">
        <v>7.5750000000000002</v>
      </c>
      <c r="Q17" s="391">
        <v>0</v>
      </c>
      <c r="R17" s="391">
        <v>0</v>
      </c>
      <c r="S17" s="391">
        <v>0</v>
      </c>
      <c r="T17" s="391">
        <v>0</v>
      </c>
      <c r="U17" s="391">
        <v>0</v>
      </c>
      <c r="V17" s="56">
        <v>14070821917.808201</v>
      </c>
      <c r="W17" t="s">
        <v>35</v>
      </c>
      <c r="X17" s="397">
        <f>_xlfn.XLOOKUP(RPBOD_B003[[#This Row],[BondsDeals_Id]],AllDealps!B:B,AllDealps!R:R,,0)*RPBOD_B003[[#This Row],[Face_Amount]]</f>
        <v>1383912930600</v>
      </c>
      <c r="Y17" s="25">
        <f>RPBOD_B003[[#This Row],[Face_Amount]]*RPBOD_B003[[#This Row],[ThisCouponRate]]</f>
        <v>1515000000000</v>
      </c>
      <c r="AG17"/>
      <c r="AH17"/>
      <c r="AI17" s="15"/>
      <c r="AL17"/>
    </row>
    <row r="18" spans="1:38" x14ac:dyDescent="0.3">
      <c r="A18">
        <v>49767</v>
      </c>
      <c r="B18" t="s">
        <v>310</v>
      </c>
      <c r="C18" t="s">
        <v>1274</v>
      </c>
      <c r="D18" t="s">
        <v>318</v>
      </c>
      <c r="E18" s="56">
        <v>500</v>
      </c>
      <c r="F18" s="56">
        <v>1000000000</v>
      </c>
      <c r="G18" s="56">
        <v>500000000000</v>
      </c>
      <c r="H18" s="23" t="s">
        <v>1534</v>
      </c>
      <c r="I18">
        <v>5000000000</v>
      </c>
      <c r="J18" s="56">
        <v>46155</v>
      </c>
      <c r="K18">
        <v>46155</v>
      </c>
      <c r="L18">
        <v>46520</v>
      </c>
      <c r="M18">
        <v>46520</v>
      </c>
      <c r="N18">
        <v>365</v>
      </c>
      <c r="O18">
        <v>8.4</v>
      </c>
      <c r="P18">
        <v>8.4</v>
      </c>
      <c r="Q18" s="391">
        <v>0</v>
      </c>
      <c r="R18" s="391">
        <v>0</v>
      </c>
      <c r="S18" s="391">
        <v>0</v>
      </c>
      <c r="T18" s="391">
        <v>0</v>
      </c>
      <c r="U18" s="391">
        <v>0</v>
      </c>
      <c r="V18" s="56">
        <v>12427397260.273899</v>
      </c>
      <c r="W18" t="s">
        <v>35</v>
      </c>
      <c r="X18" s="397">
        <f>_xlfn.XLOOKUP(RPBOD_B003[[#This Row],[BondsDeals_Id]],AllDealps!B:B,AllDealps!R:R,,0)*RPBOD_B003[[#This Row],[Face_Amount]]</f>
        <v>4200000000000</v>
      </c>
      <c r="Y18" s="25">
        <f>RPBOD_B003[[#This Row],[Face_Amount]]*RPBOD_B003[[#This Row],[ThisCouponRate]]</f>
        <v>4200000000000</v>
      </c>
      <c r="AG18"/>
      <c r="AH18"/>
      <c r="AI18" s="15"/>
      <c r="AL18"/>
    </row>
    <row r="19" spans="1:38" x14ac:dyDescent="0.3">
      <c r="A19">
        <v>49635</v>
      </c>
      <c r="B19" t="s">
        <v>310</v>
      </c>
      <c r="C19" t="s">
        <v>1265</v>
      </c>
      <c r="D19" t="s">
        <v>322</v>
      </c>
      <c r="E19" s="56">
        <v>1000</v>
      </c>
      <c r="F19" s="56">
        <v>1000000000</v>
      </c>
      <c r="G19" s="56">
        <v>1000000000000</v>
      </c>
      <c r="H19" s="23" t="s">
        <v>1534</v>
      </c>
      <c r="I19">
        <v>1000000000000</v>
      </c>
      <c r="J19" s="56">
        <v>46136</v>
      </c>
      <c r="K19">
        <v>46136</v>
      </c>
      <c r="L19">
        <v>46501</v>
      </c>
      <c r="M19">
        <v>47232</v>
      </c>
      <c r="N19">
        <v>1096</v>
      </c>
      <c r="O19">
        <v>8.6</v>
      </c>
      <c r="P19">
        <v>8.6</v>
      </c>
      <c r="Q19" s="391">
        <v>0</v>
      </c>
      <c r="R19" s="391">
        <v>0</v>
      </c>
      <c r="S19" s="391">
        <v>0</v>
      </c>
      <c r="T19" s="391">
        <v>0</v>
      </c>
      <c r="U19" s="391">
        <v>0</v>
      </c>
      <c r="V19" s="56">
        <v>29923287671.2328</v>
      </c>
      <c r="W19" t="s">
        <v>35</v>
      </c>
      <c r="X19" s="397">
        <f>_xlfn.XLOOKUP(RPBOD_B003[[#This Row],[BondsDeals_Id]],AllDealps!B:B,AllDealps!R:R,,0)*RPBOD_B003[[#This Row],[Face_Amount]]</f>
        <v>8599671740000</v>
      </c>
      <c r="Y19" s="25">
        <f>RPBOD_B003[[#This Row],[Face_Amount]]*RPBOD_B003[[#This Row],[ThisCouponRate]]</f>
        <v>8600000000000</v>
      </c>
      <c r="AG19"/>
      <c r="AH19"/>
      <c r="AI19" s="15"/>
      <c r="AL19"/>
    </row>
    <row r="20" spans="1:38" x14ac:dyDescent="0.3">
      <c r="A20">
        <v>49768</v>
      </c>
      <c r="B20" t="s">
        <v>310</v>
      </c>
      <c r="C20" t="s">
        <v>1274</v>
      </c>
      <c r="D20" t="s">
        <v>318</v>
      </c>
      <c r="E20" s="56">
        <v>500</v>
      </c>
      <c r="F20" s="56">
        <v>1000000000</v>
      </c>
      <c r="G20" s="56">
        <v>500000000000</v>
      </c>
      <c r="H20" s="23" t="s">
        <v>1534</v>
      </c>
      <c r="I20">
        <v>5000000000</v>
      </c>
      <c r="J20" s="56">
        <v>46155</v>
      </c>
      <c r="K20">
        <v>46155</v>
      </c>
      <c r="L20">
        <v>46520</v>
      </c>
      <c r="M20">
        <v>46520</v>
      </c>
      <c r="N20">
        <v>365</v>
      </c>
      <c r="O20">
        <v>8.4</v>
      </c>
      <c r="P20">
        <v>8.4</v>
      </c>
      <c r="Q20" s="391">
        <v>0</v>
      </c>
      <c r="R20" s="391">
        <v>0</v>
      </c>
      <c r="S20" s="391">
        <v>0</v>
      </c>
      <c r="T20" s="391">
        <v>0</v>
      </c>
      <c r="U20" s="391">
        <v>0</v>
      </c>
      <c r="V20" s="56">
        <v>12427397260.273899</v>
      </c>
      <c r="W20" t="s">
        <v>35</v>
      </c>
      <c r="X20" s="397">
        <f>_xlfn.XLOOKUP(RPBOD_B003[[#This Row],[BondsDeals_Id]],AllDealps!B:B,AllDealps!R:R,,0)*RPBOD_B003[[#This Row],[Face_Amount]]</f>
        <v>4200000000000</v>
      </c>
      <c r="Y20" s="25">
        <f>RPBOD_B003[[#This Row],[Face_Amount]]*RPBOD_B003[[#This Row],[ThisCouponRate]]</f>
        <v>4200000000000</v>
      </c>
      <c r="AG20"/>
      <c r="AH20"/>
      <c r="AI20" s="15"/>
      <c r="AL20"/>
    </row>
    <row r="21" spans="1:38" x14ac:dyDescent="0.3">
      <c r="A21">
        <v>46786</v>
      </c>
      <c r="B21" t="s">
        <v>310</v>
      </c>
      <c r="C21" t="s">
        <v>640</v>
      </c>
      <c r="D21" t="s">
        <v>339</v>
      </c>
      <c r="E21" s="56">
        <v>10000</v>
      </c>
      <c r="F21" s="56">
        <v>100000000</v>
      </c>
      <c r="G21" s="56">
        <v>1000000000000</v>
      </c>
      <c r="H21" s="23" t="s">
        <v>1534</v>
      </c>
      <c r="I21">
        <v>1000000000000</v>
      </c>
      <c r="J21" s="56">
        <v>45852</v>
      </c>
      <c r="K21">
        <v>45852</v>
      </c>
      <c r="L21">
        <v>46217</v>
      </c>
      <c r="M21">
        <v>46582</v>
      </c>
      <c r="N21">
        <v>730</v>
      </c>
      <c r="O21">
        <v>5.2</v>
      </c>
      <c r="P21">
        <v>5.2</v>
      </c>
      <c r="Q21" s="391">
        <v>0</v>
      </c>
      <c r="R21" s="391">
        <v>0</v>
      </c>
      <c r="S21" s="391">
        <v>0</v>
      </c>
      <c r="T21" s="391">
        <v>0</v>
      </c>
      <c r="U21" s="391">
        <v>0</v>
      </c>
      <c r="V21" s="56">
        <v>6553424657.5342398</v>
      </c>
      <c r="W21" t="s">
        <v>35</v>
      </c>
      <c r="X21" s="397">
        <f>_xlfn.XLOOKUP(RPBOD_B003[[#This Row],[BondsDeals_Id]],AllDealps!B:B,AllDealps!R:R,,0)*RPBOD_B003[[#This Row],[Face_Amount]]</f>
        <v>5200000000000</v>
      </c>
      <c r="Y21" s="25">
        <f>RPBOD_B003[[#This Row],[Face_Amount]]*RPBOD_B003[[#This Row],[ThisCouponRate]]</f>
        <v>5200000000000</v>
      </c>
      <c r="AG21"/>
      <c r="AH21"/>
      <c r="AI21" s="15"/>
      <c r="AL21"/>
    </row>
    <row r="22" spans="1:38" x14ac:dyDescent="0.3">
      <c r="A22">
        <v>48345</v>
      </c>
      <c r="B22" t="s">
        <v>310</v>
      </c>
      <c r="C22" t="s">
        <v>392</v>
      </c>
      <c r="D22" t="s">
        <v>313</v>
      </c>
      <c r="E22" s="56">
        <v>400</v>
      </c>
      <c r="F22" s="56">
        <v>1000000000</v>
      </c>
      <c r="G22" s="56">
        <v>400000000000</v>
      </c>
      <c r="H22" s="23" t="s">
        <v>1534</v>
      </c>
      <c r="I22">
        <v>4003588732</v>
      </c>
      <c r="J22" s="56">
        <v>46006</v>
      </c>
      <c r="K22">
        <v>45639</v>
      </c>
      <c r="L22">
        <v>45821</v>
      </c>
      <c r="M22">
        <v>46369</v>
      </c>
      <c r="N22">
        <v>730</v>
      </c>
      <c r="O22">
        <v>6.7</v>
      </c>
      <c r="P22">
        <v>7.9</v>
      </c>
      <c r="Q22" s="391">
        <v>0</v>
      </c>
      <c r="R22" s="391">
        <v>358873200</v>
      </c>
      <c r="S22" s="391">
        <v>0</v>
      </c>
      <c r="T22" s="391">
        <v>104794928.92561901</v>
      </c>
      <c r="U22" s="391">
        <v>0</v>
      </c>
      <c r="V22" s="56">
        <v>6493150684.9315004</v>
      </c>
      <c r="W22" t="s">
        <v>35</v>
      </c>
      <c r="X22" s="397">
        <f>_xlfn.XLOOKUP(RPBOD_B003[[#This Row],[BondsDeals_Id]],AllDealps!B:B,AllDealps!R:R,,0)*RPBOD_B003[[#This Row],[Face_Amount]]</f>
        <v>2687012904000</v>
      </c>
      <c r="Y22" s="25">
        <f>RPBOD_B003[[#This Row],[Face_Amount]]*RPBOD_B003[[#This Row],[ThisCouponRate]]</f>
        <v>3160000000000</v>
      </c>
      <c r="AG22"/>
      <c r="AH22"/>
      <c r="AI22" s="15"/>
      <c r="AL22"/>
    </row>
    <row r="23" spans="1:38" x14ac:dyDescent="0.3">
      <c r="A23">
        <v>45881</v>
      </c>
      <c r="B23" t="s">
        <v>310</v>
      </c>
      <c r="C23" t="s">
        <v>40</v>
      </c>
      <c r="D23" t="s">
        <v>312</v>
      </c>
      <c r="E23" s="56">
        <v>300</v>
      </c>
      <c r="F23" s="56">
        <v>1000000000</v>
      </c>
      <c r="G23" s="56">
        <v>300000000000</v>
      </c>
      <c r="H23" s="23" t="s">
        <v>1534</v>
      </c>
      <c r="I23">
        <v>3115983828</v>
      </c>
      <c r="J23" s="56">
        <v>45748</v>
      </c>
      <c r="K23">
        <v>45559</v>
      </c>
      <c r="L23">
        <v>45924</v>
      </c>
      <c r="M23">
        <v>46289</v>
      </c>
      <c r="N23">
        <v>730</v>
      </c>
      <c r="O23">
        <v>0</v>
      </c>
      <c r="P23">
        <v>7.5750000000000002</v>
      </c>
      <c r="Q23" s="391">
        <v>168808980.82191801</v>
      </c>
      <c r="R23" s="391">
        <v>0</v>
      </c>
      <c r="S23" s="391">
        <v>8112816.0838630004</v>
      </c>
      <c r="T23" s="391">
        <v>0</v>
      </c>
      <c r="U23" s="391">
        <v>11767191780.821899</v>
      </c>
      <c r="V23" s="56">
        <v>21106232876.712299</v>
      </c>
      <c r="W23" t="s">
        <v>35</v>
      </c>
      <c r="X23" s="397">
        <f>_xlfn.XLOOKUP(RPBOD_B003[[#This Row],[BondsDeals_Id]],AllDealps!B:B,AllDealps!R:R,,0)*RPBOD_B003[[#This Row],[Face_Amount]]</f>
        <v>2413411161000</v>
      </c>
      <c r="Y23" s="25">
        <f>RPBOD_B003[[#This Row],[Face_Amount]]*RPBOD_B003[[#This Row],[ThisCouponRate]]</f>
        <v>2272500000000</v>
      </c>
      <c r="AG23"/>
      <c r="AH23"/>
      <c r="AI23" s="15"/>
      <c r="AL23"/>
    </row>
    <row r="24" spans="1:38" x14ac:dyDescent="0.3">
      <c r="A24">
        <v>49636</v>
      </c>
      <c r="B24" t="s">
        <v>310</v>
      </c>
      <c r="C24" t="s">
        <v>1265</v>
      </c>
      <c r="D24" t="s">
        <v>322</v>
      </c>
      <c r="E24" s="56">
        <v>1000</v>
      </c>
      <c r="F24" s="56">
        <v>1000000000</v>
      </c>
      <c r="G24" s="56">
        <v>1000000000000</v>
      </c>
      <c r="H24" s="23" t="s">
        <v>1534</v>
      </c>
      <c r="I24">
        <v>1000000000000</v>
      </c>
      <c r="J24" s="56">
        <v>46136</v>
      </c>
      <c r="K24">
        <v>46136</v>
      </c>
      <c r="L24">
        <v>46501</v>
      </c>
      <c r="M24">
        <v>47232</v>
      </c>
      <c r="N24">
        <v>1096</v>
      </c>
      <c r="O24">
        <v>8.6</v>
      </c>
      <c r="P24">
        <v>8.6</v>
      </c>
      <c r="Q24" s="391">
        <v>0</v>
      </c>
      <c r="R24" s="391">
        <v>0</v>
      </c>
      <c r="S24" s="391">
        <v>0</v>
      </c>
      <c r="T24" s="391">
        <v>0</v>
      </c>
      <c r="U24" s="391">
        <v>0</v>
      </c>
      <c r="V24" s="56">
        <v>29923287671.2328</v>
      </c>
      <c r="W24" t="s">
        <v>35</v>
      </c>
      <c r="X24" s="397">
        <f>_xlfn.XLOOKUP(RPBOD_B003[[#This Row],[BondsDeals_Id]],AllDealps!B:B,AllDealps!R:R,,0)*RPBOD_B003[[#This Row],[Face_Amount]]</f>
        <v>8599671740000</v>
      </c>
      <c r="Y24" s="25">
        <f>RPBOD_B003[[#This Row],[Face_Amount]]*RPBOD_B003[[#This Row],[ThisCouponRate]]</f>
        <v>8600000000000</v>
      </c>
      <c r="AG24"/>
      <c r="AH24"/>
      <c r="AI24" s="15"/>
      <c r="AL24"/>
    </row>
    <row r="25" spans="1:38" x14ac:dyDescent="0.3">
      <c r="A25">
        <v>48468</v>
      </c>
      <c r="B25" t="s">
        <v>310</v>
      </c>
      <c r="C25" t="s">
        <v>638</v>
      </c>
      <c r="D25" t="s">
        <v>328</v>
      </c>
      <c r="E25" s="56">
        <v>3976106</v>
      </c>
      <c r="F25" s="56">
        <v>100000</v>
      </c>
      <c r="G25" s="56">
        <v>397610600000</v>
      </c>
      <c r="H25" s="23" t="s">
        <v>1534</v>
      </c>
      <c r="I25">
        <v>4213240961</v>
      </c>
      <c r="J25" s="56">
        <v>46028</v>
      </c>
      <c r="K25">
        <v>45740</v>
      </c>
      <c r="L25">
        <v>46105</v>
      </c>
      <c r="M25">
        <v>48297</v>
      </c>
      <c r="N25">
        <v>2557</v>
      </c>
      <c r="O25">
        <v>7.375</v>
      </c>
      <c r="P25">
        <v>7.9</v>
      </c>
      <c r="Q25" s="391">
        <v>0</v>
      </c>
      <c r="R25" s="391">
        <v>575827296.32876503</v>
      </c>
      <c r="S25" s="391">
        <v>0</v>
      </c>
      <c r="T25" s="391">
        <v>516188946.99546403</v>
      </c>
      <c r="U25" s="391">
        <v>23137668887.6712</v>
      </c>
      <c r="V25" s="56">
        <v>13597193175.8904</v>
      </c>
      <c r="W25" t="s">
        <v>39</v>
      </c>
      <c r="X25" s="397">
        <f>_xlfn.XLOOKUP(RPBOD_B003[[#This Row],[BondsDeals_Id]],AllDealps!B:B,AllDealps!R:R,,0)*RPBOD_B003[[#This Row],[Face_Amount]]</f>
        <v>3164157769369.9248</v>
      </c>
      <c r="Y25" s="25">
        <f>RPBOD_B003[[#This Row],[Face_Amount]]*RPBOD_B003[[#This Row],[ThisCouponRate]]</f>
        <v>3141123740000</v>
      </c>
      <c r="AG25"/>
      <c r="AH25"/>
      <c r="AI25" s="15"/>
      <c r="AL25"/>
    </row>
    <row r="26" spans="1:38" x14ac:dyDescent="0.3">
      <c r="A26">
        <v>50242</v>
      </c>
      <c r="B26" t="s">
        <v>1535</v>
      </c>
      <c r="C26" t="s">
        <v>1462</v>
      </c>
      <c r="D26" t="s">
        <v>1429</v>
      </c>
      <c r="E26" s="56">
        <v>10255273</v>
      </c>
      <c r="F26" s="56">
        <v>29818</v>
      </c>
      <c r="G26" s="56">
        <v>305786653954</v>
      </c>
      <c r="H26" s="23" t="s">
        <v>1430</v>
      </c>
      <c r="I26">
        <v>209677908434</v>
      </c>
      <c r="J26" s="56">
        <v>46230</v>
      </c>
      <c r="K26">
        <v>46230</v>
      </c>
      <c r="L26">
        <v>46414</v>
      </c>
      <c r="M26">
        <v>48056</v>
      </c>
      <c r="N26">
        <v>1826</v>
      </c>
      <c r="O26">
        <v>6</v>
      </c>
      <c r="P26">
        <v>6</v>
      </c>
      <c r="Q26" s="391">
        <v>96108745337.699768</v>
      </c>
      <c r="R26" s="391">
        <v>0</v>
      </c>
      <c r="S26" s="391">
        <v>94371840301.476288</v>
      </c>
      <c r="T26" s="391">
        <v>0</v>
      </c>
      <c r="U26" s="391">
        <v>0</v>
      </c>
      <c r="V26" s="56">
        <v>1645265148.9909093</v>
      </c>
      <c r="W26" t="s">
        <v>1408</v>
      </c>
      <c r="X26" s="397"/>
      <c r="Y26" s="25"/>
      <c r="AG26"/>
      <c r="AH26"/>
      <c r="AI26" s="15"/>
      <c r="AL26"/>
    </row>
    <row r="27" spans="1:38" x14ac:dyDescent="0.3">
      <c r="A27">
        <v>50188</v>
      </c>
      <c r="B27" t="s">
        <v>1535</v>
      </c>
      <c r="C27" t="s">
        <v>1407</v>
      </c>
      <c r="D27" t="s">
        <v>1429</v>
      </c>
      <c r="E27" s="56">
        <v>985492</v>
      </c>
      <c r="F27" s="56">
        <v>29818</v>
      </c>
      <c r="G27" s="56">
        <v>29384912637</v>
      </c>
      <c r="H27" s="23" t="s">
        <v>1430</v>
      </c>
      <c r="I27">
        <v>20149234464</v>
      </c>
      <c r="J27" s="56">
        <v>46216</v>
      </c>
      <c r="K27">
        <v>46216</v>
      </c>
      <c r="L27">
        <v>46400</v>
      </c>
      <c r="M27">
        <v>48042</v>
      </c>
      <c r="N27">
        <v>1826</v>
      </c>
      <c r="O27">
        <v>6</v>
      </c>
      <c r="P27">
        <v>6</v>
      </c>
      <c r="Q27" s="391">
        <v>9235678041.9536781</v>
      </c>
      <c r="R27" s="391">
        <v>0</v>
      </c>
      <c r="S27" s="391">
        <v>8997957960.9176388</v>
      </c>
      <c r="T27" s="391">
        <v>0</v>
      </c>
      <c r="U27" s="391">
        <v>0</v>
      </c>
      <c r="V27" s="56">
        <v>225177863.14574549</v>
      </c>
      <c r="W27" t="s">
        <v>1408</v>
      </c>
      <c r="X27" s="397"/>
      <c r="Y27" s="25"/>
      <c r="AG27"/>
      <c r="AH27"/>
      <c r="AI27" s="15"/>
      <c r="AL27"/>
    </row>
    <row r="28" spans="1:38" x14ac:dyDescent="0.3">
      <c r="A28">
        <v>50197</v>
      </c>
      <c r="B28" t="s">
        <v>1535</v>
      </c>
      <c r="C28" t="s">
        <v>1407</v>
      </c>
      <c r="D28" t="s">
        <v>1429</v>
      </c>
      <c r="E28" s="56">
        <v>5387362</v>
      </c>
      <c r="F28" s="56">
        <v>29818</v>
      </c>
      <c r="G28" s="56">
        <v>160637693372</v>
      </c>
      <c r="H28" s="23" t="s">
        <v>1430</v>
      </c>
      <c r="I28">
        <v>110149266542</v>
      </c>
      <c r="J28" s="56">
        <v>46216</v>
      </c>
      <c r="K28">
        <v>46216</v>
      </c>
      <c r="L28">
        <v>46400</v>
      </c>
      <c r="M28">
        <v>48042</v>
      </c>
      <c r="N28">
        <v>1826</v>
      </c>
      <c r="O28">
        <v>6</v>
      </c>
      <c r="P28">
        <v>6</v>
      </c>
      <c r="Q28" s="391">
        <v>50488427026.75988</v>
      </c>
      <c r="R28" s="391">
        <v>0</v>
      </c>
      <c r="S28" s="391">
        <v>49188889200.769897</v>
      </c>
      <c r="T28" s="391">
        <v>0</v>
      </c>
      <c r="U28" s="391">
        <v>0</v>
      </c>
      <c r="V28" s="56">
        <v>1230973628.5557051</v>
      </c>
      <c r="W28" t="s">
        <v>1408</v>
      </c>
      <c r="X28" s="397"/>
      <c r="Y28" s="25"/>
      <c r="AG28"/>
      <c r="AH28"/>
      <c r="AI28" s="15"/>
      <c r="AL28"/>
    </row>
    <row r="29" spans="1:38" x14ac:dyDescent="0.3">
      <c r="A29">
        <v>50243</v>
      </c>
      <c r="B29" t="s">
        <v>1535</v>
      </c>
      <c r="C29" t="s">
        <v>1462</v>
      </c>
      <c r="D29" t="s">
        <v>1429</v>
      </c>
      <c r="E29" s="56">
        <v>2489727</v>
      </c>
      <c r="F29" s="56">
        <v>29818</v>
      </c>
      <c r="G29" s="56">
        <v>74237447271</v>
      </c>
      <c r="H29" s="23" t="s">
        <v>1430</v>
      </c>
      <c r="I29">
        <v>50904617776</v>
      </c>
      <c r="J29" s="56">
        <v>46230</v>
      </c>
      <c r="K29">
        <v>46230</v>
      </c>
      <c r="L29">
        <v>46414</v>
      </c>
      <c r="M29">
        <v>48056</v>
      </c>
      <c r="N29">
        <v>1826</v>
      </c>
      <c r="O29">
        <v>6</v>
      </c>
      <c r="P29">
        <v>6</v>
      </c>
      <c r="Q29" s="391">
        <v>23332829677.31773</v>
      </c>
      <c r="R29" s="391">
        <v>0</v>
      </c>
      <c r="S29" s="391">
        <v>22911152032.546944</v>
      </c>
      <c r="T29" s="391">
        <v>0</v>
      </c>
      <c r="U29" s="391">
        <v>0</v>
      </c>
      <c r="V29" s="56">
        <v>399429743.46969372</v>
      </c>
      <c r="W29" t="s">
        <v>1408</v>
      </c>
      <c r="X29" s="397"/>
      <c r="Y29" s="25"/>
      <c r="AG29"/>
      <c r="AH29"/>
      <c r="AI29" s="15"/>
      <c r="AL29"/>
    </row>
    <row r="30" spans="1:38" x14ac:dyDescent="0.3">
      <c r="A30">
        <v>4077</v>
      </c>
      <c r="B30" t="s">
        <v>310</v>
      </c>
      <c r="C30" t="s">
        <v>1041</v>
      </c>
      <c r="D30" t="s">
        <v>703</v>
      </c>
      <c r="E30" s="56">
        <v>250000000000</v>
      </c>
      <c r="F30" s="56">
        <v>1</v>
      </c>
      <c r="G30" s="56">
        <v>250000000000</v>
      </c>
      <c r="H30" s="23" t="s">
        <v>1534</v>
      </c>
      <c r="I30">
        <v>2573897882</v>
      </c>
      <c r="J30" s="56">
        <v>46125</v>
      </c>
      <c r="K30">
        <v>45968</v>
      </c>
      <c r="L30">
        <v>46325</v>
      </c>
      <c r="M30">
        <v>46325</v>
      </c>
      <c r="N30">
        <v>357</v>
      </c>
      <c r="O30">
        <v>0</v>
      </c>
      <c r="P30">
        <v>6.6</v>
      </c>
      <c r="Q30" s="391">
        <v>0</v>
      </c>
      <c r="R30" s="391">
        <v>292527975</v>
      </c>
      <c r="S30" s="391">
        <v>0</v>
      </c>
      <c r="T30" s="391">
        <v>90683672.25</v>
      </c>
      <c r="U30" s="391">
        <v>7097260275</v>
      </c>
      <c r="V30" s="56">
        <v>6238356164.3835602</v>
      </c>
      <c r="W30" t="s">
        <v>364</v>
      </c>
      <c r="X30" s="397">
        <f>_xlfn.XLOOKUP(RPBOD_B003[[#This Row],[BondsDeals_Id]],AllDealps!B:B,AllDealps!R:R,,0)*RPBOD_B003[[#This Row],[Face_Amount]]</f>
        <v>1550774000000</v>
      </c>
      <c r="Y30" s="25">
        <f>RPBOD_B003[[#This Row],[Face_Amount]]*RPBOD_B003[[#This Row],[ThisCouponRate]]</f>
        <v>1650000000000</v>
      </c>
      <c r="AG30"/>
      <c r="AH30"/>
      <c r="AI30" s="15"/>
      <c r="AL30"/>
    </row>
    <row r="31" spans="1:38" x14ac:dyDescent="0.3">
      <c r="A31">
        <v>4110</v>
      </c>
      <c r="B31" t="s">
        <v>310</v>
      </c>
      <c r="C31" t="s">
        <v>1260</v>
      </c>
      <c r="D31" t="s">
        <v>384</v>
      </c>
      <c r="E31" s="56">
        <v>26000000000</v>
      </c>
      <c r="F31" s="56">
        <v>1</v>
      </c>
      <c r="G31" s="56">
        <v>26000000000</v>
      </c>
      <c r="H31" s="23" t="s">
        <v>1534</v>
      </c>
      <c r="I31">
        <v>4032273972</v>
      </c>
      <c r="J31" s="56">
        <v>46160</v>
      </c>
      <c r="K31">
        <v>46129</v>
      </c>
      <c r="L31"/>
      <c r="M31">
        <v>46524</v>
      </c>
      <c r="N31">
        <v>395</v>
      </c>
      <c r="O31">
        <v>0</v>
      </c>
      <c r="P31">
        <v>9.5</v>
      </c>
      <c r="Q31" s="391">
        <v>60</v>
      </c>
      <c r="R31" s="391">
        <v>0</v>
      </c>
      <c r="S31" s="391">
        <v>2.7964286</v>
      </c>
      <c r="T31" s="391">
        <v>0</v>
      </c>
      <c r="U31" s="391">
        <v>3227397260</v>
      </c>
      <c r="V31" s="56">
        <v>697013698.63013697</v>
      </c>
      <c r="W31" t="s">
        <v>364</v>
      </c>
      <c r="X31" s="397">
        <f>_xlfn.XLOOKUP(RPBOD_B003[[#This Row],[BondsDeals_Id]],AllDealps!B:B,AllDealps!R:R,,0)*RPBOD_B003[[#This Row],[Face_Amount]]</f>
        <v>245023038000</v>
      </c>
      <c r="Y31" s="25">
        <f>RPBOD_B003[[#This Row],[Face_Amount]]*RPBOD_B003[[#This Row],[ThisCouponRate]]</f>
        <v>247000000000</v>
      </c>
      <c r="AG31"/>
      <c r="AH31"/>
      <c r="AI31" s="15"/>
      <c r="AL31"/>
    </row>
    <row r="32" spans="1:38" x14ac:dyDescent="0.3">
      <c r="A32">
        <v>4126</v>
      </c>
      <c r="B32" t="s">
        <v>310</v>
      </c>
      <c r="C32" t="s">
        <v>1261</v>
      </c>
      <c r="D32" t="s">
        <v>343</v>
      </c>
      <c r="E32" s="56">
        <v>400000000000</v>
      </c>
      <c r="F32" s="56">
        <v>1</v>
      </c>
      <c r="G32" s="56">
        <v>400000000000</v>
      </c>
      <c r="H32" s="23" t="s">
        <v>1534</v>
      </c>
      <c r="I32">
        <v>4000000000</v>
      </c>
      <c r="J32" s="56">
        <v>46132</v>
      </c>
      <c r="K32">
        <v>46132</v>
      </c>
      <c r="L32"/>
      <c r="M32">
        <v>46496</v>
      </c>
      <c r="N32">
        <v>364</v>
      </c>
      <c r="O32">
        <v>0</v>
      </c>
      <c r="P32">
        <v>9.1</v>
      </c>
      <c r="Q32" s="391">
        <v>0</v>
      </c>
      <c r="R32" s="391">
        <v>0</v>
      </c>
      <c r="S32" s="391">
        <v>0</v>
      </c>
      <c r="T32" s="391">
        <v>0</v>
      </c>
      <c r="U32" s="391">
        <v>0</v>
      </c>
      <c r="V32" s="56">
        <v>13064109589.041</v>
      </c>
      <c r="W32" t="s">
        <v>364</v>
      </c>
      <c r="X32" s="397">
        <f>_xlfn.XLOOKUP(RPBOD_B003[[#This Row],[BondsDeals_Id]],AllDealps!B:B,AllDealps!R:R,,0)*RPBOD_B003[[#This Row],[Face_Amount]]</f>
        <v>3640000000000</v>
      </c>
      <c r="Y32" s="25">
        <f>RPBOD_B003[[#This Row],[Face_Amount]]*RPBOD_B003[[#This Row],[ThisCouponRate]]</f>
        <v>3640000000000</v>
      </c>
      <c r="AG32"/>
      <c r="AH32"/>
      <c r="AI32" s="15"/>
      <c r="AL32"/>
    </row>
    <row r="33" spans="1:38" x14ac:dyDescent="0.3">
      <c r="A33">
        <v>4252</v>
      </c>
      <c r="B33" t="s">
        <v>310</v>
      </c>
      <c r="C33" t="s">
        <v>1275</v>
      </c>
      <c r="D33" t="s">
        <v>325</v>
      </c>
      <c r="E33" s="56">
        <v>200000000000</v>
      </c>
      <c r="F33" s="56">
        <v>1</v>
      </c>
      <c r="G33" s="56">
        <v>200000000000</v>
      </c>
      <c r="H33" s="23" t="s">
        <v>1534</v>
      </c>
      <c r="I33">
        <v>4000000000</v>
      </c>
      <c r="J33" s="56">
        <v>46156</v>
      </c>
      <c r="K33">
        <v>46156</v>
      </c>
      <c r="L33">
        <v>46520</v>
      </c>
      <c r="M33">
        <v>46520</v>
      </c>
      <c r="N33">
        <v>364</v>
      </c>
      <c r="O33">
        <v>0</v>
      </c>
      <c r="P33">
        <v>8.6999999999999993</v>
      </c>
      <c r="Q33" s="391">
        <v>0</v>
      </c>
      <c r="R33" s="391">
        <v>0</v>
      </c>
      <c r="S33" s="391">
        <v>0</v>
      </c>
      <c r="T33" s="391">
        <v>0</v>
      </c>
      <c r="U33" s="391">
        <v>0</v>
      </c>
      <c r="V33" s="56">
        <v>5100821917.8082104</v>
      </c>
      <c r="W33" t="s">
        <v>364</v>
      </c>
      <c r="X33" s="397">
        <f>_xlfn.XLOOKUP(RPBOD_B003[[#This Row],[BondsDeals_Id]],AllDealps!B:B,AllDealps!R:R,,0)*RPBOD_B003[[#This Row],[Face_Amount]]</f>
        <v>1739999999999.9998</v>
      </c>
      <c r="Y33" s="25">
        <f>RPBOD_B003[[#This Row],[Face_Amount]]*RPBOD_B003[[#This Row],[ThisCouponRate]]</f>
        <v>1739999999999.9998</v>
      </c>
      <c r="AG33"/>
      <c r="AH33"/>
      <c r="AI33" s="15"/>
      <c r="AL33"/>
    </row>
    <row r="34" spans="1:38" x14ac:dyDescent="0.3">
      <c r="A34">
        <v>4361</v>
      </c>
      <c r="B34" t="s">
        <v>310</v>
      </c>
      <c r="C34" t="s">
        <v>1260</v>
      </c>
      <c r="D34" t="s">
        <v>384</v>
      </c>
      <c r="E34" s="56">
        <v>11000000000</v>
      </c>
      <c r="F34" s="56">
        <v>1</v>
      </c>
      <c r="G34" s="56">
        <v>11000000000</v>
      </c>
      <c r="H34" s="23" t="s">
        <v>1534</v>
      </c>
      <c r="I34">
        <v>7074689622</v>
      </c>
      <c r="J34" s="56">
        <v>46171</v>
      </c>
      <c r="K34">
        <v>46129</v>
      </c>
      <c r="L34"/>
      <c r="M34">
        <v>46524</v>
      </c>
      <c r="N34">
        <v>395</v>
      </c>
      <c r="O34">
        <v>0</v>
      </c>
      <c r="P34">
        <v>9.5</v>
      </c>
      <c r="Q34" s="391">
        <v>18309259.5</v>
      </c>
      <c r="R34" s="391">
        <v>0</v>
      </c>
      <c r="S34" s="391">
        <v>2127312.1822946002</v>
      </c>
      <c r="T34" s="391">
        <v>0</v>
      </c>
      <c r="U34" s="391">
        <v>765205479.5</v>
      </c>
      <c r="V34" s="56">
        <v>263397260.273972</v>
      </c>
      <c r="W34" t="s">
        <v>364</v>
      </c>
      <c r="X34" s="397">
        <f>_xlfn.XLOOKUP(RPBOD_B003[[#This Row],[BondsDeals_Id]],AllDealps!B:B,AllDealps!R:R,,0)*RPBOD_B003[[#This Row],[Face_Amount]]</f>
        <v>103691115000</v>
      </c>
      <c r="Y34" s="25">
        <f>RPBOD_B003[[#This Row],[Face_Amount]]*RPBOD_B003[[#This Row],[ThisCouponRate]]</f>
        <v>104500000000</v>
      </c>
      <c r="AG34"/>
      <c r="AH34"/>
      <c r="AI34" s="15"/>
      <c r="AL34"/>
    </row>
    <row r="35" spans="1:38" x14ac:dyDescent="0.3">
      <c r="A35">
        <v>4073</v>
      </c>
      <c r="B35" t="s">
        <v>310</v>
      </c>
      <c r="C35" t="s">
        <v>953</v>
      </c>
      <c r="D35" t="s">
        <v>325</v>
      </c>
      <c r="E35" s="56">
        <v>300000000000</v>
      </c>
      <c r="F35" s="56">
        <v>1</v>
      </c>
      <c r="G35" s="56">
        <v>300000000000</v>
      </c>
      <c r="H35" s="23" t="s">
        <v>1534</v>
      </c>
      <c r="I35">
        <v>3110952315</v>
      </c>
      <c r="J35" s="56">
        <v>46125</v>
      </c>
      <c r="K35">
        <v>45910</v>
      </c>
      <c r="L35"/>
      <c r="M35">
        <v>46274</v>
      </c>
      <c r="N35">
        <v>364</v>
      </c>
      <c r="O35">
        <v>0</v>
      </c>
      <c r="P35">
        <v>6</v>
      </c>
      <c r="Q35" s="391">
        <v>0</v>
      </c>
      <c r="R35" s="391">
        <v>492491775</v>
      </c>
      <c r="S35" s="391">
        <v>0</v>
      </c>
      <c r="T35" s="391">
        <v>36358453.187919497</v>
      </c>
      <c r="U35" s="391">
        <v>10602739725</v>
      </c>
      <c r="V35" s="56">
        <v>6805479452.0547895</v>
      </c>
      <c r="W35" t="s">
        <v>364</v>
      </c>
      <c r="X35" s="397">
        <f>_xlfn.XLOOKUP(RPBOD_B003[[#This Row],[BondsDeals_Id]],AllDealps!B:B,AllDealps!R:R,,0)*RPBOD_B003[[#This Row],[Face_Amount]]</f>
        <v>1619461800000</v>
      </c>
      <c r="Y35" s="25">
        <f>RPBOD_B003[[#This Row],[Face_Amount]]*RPBOD_B003[[#This Row],[ThisCouponRate]]</f>
        <v>1800000000000</v>
      </c>
      <c r="AG35"/>
      <c r="AH35"/>
      <c r="AI35" s="15"/>
      <c r="AL35"/>
    </row>
    <row r="36" spans="1:38" x14ac:dyDescent="0.3">
      <c r="A36">
        <v>4290</v>
      </c>
      <c r="B36" t="s">
        <v>310</v>
      </c>
      <c r="C36" t="s">
        <v>1104</v>
      </c>
      <c r="D36" t="s">
        <v>334</v>
      </c>
      <c r="E36" s="56">
        <v>400000000000</v>
      </c>
      <c r="F36" s="56">
        <v>1</v>
      </c>
      <c r="G36" s="56">
        <v>400000000000</v>
      </c>
      <c r="H36" s="23" t="s">
        <v>1534</v>
      </c>
      <c r="I36">
        <v>1043075165000</v>
      </c>
      <c r="J36" s="56">
        <v>46162</v>
      </c>
      <c r="K36">
        <v>45996</v>
      </c>
      <c r="L36"/>
      <c r="M36">
        <v>46360</v>
      </c>
      <c r="N36">
        <v>364</v>
      </c>
      <c r="O36">
        <v>0</v>
      </c>
      <c r="P36">
        <v>6.9</v>
      </c>
      <c r="Q36" s="391">
        <v>0</v>
      </c>
      <c r="R36" s="391">
        <v>11694343080</v>
      </c>
      <c r="S36" s="391">
        <v>0</v>
      </c>
      <c r="T36" s="391">
        <v>2291618744.9696894</v>
      </c>
      <c r="U36" s="391">
        <v>31380821920</v>
      </c>
      <c r="V36" s="56">
        <v>7637260273.9726</v>
      </c>
      <c r="W36" t="s">
        <v>364</v>
      </c>
      <c r="X36" s="397">
        <f>_xlfn.XLOOKUP(RPBOD_B003[[#This Row],[BondsDeals_Id]],AllDealps!B:B,AllDealps!R:R,,0)*RPBOD_B003[[#This Row],[Face_Amount]]</f>
        <v>1819322400000</v>
      </c>
      <c r="Y36" s="25">
        <f>RPBOD_B003[[#This Row],[Face_Amount]]*RPBOD_B003[[#This Row],[ThisCouponRate]]</f>
        <v>2760000000000</v>
      </c>
      <c r="AG36"/>
      <c r="AH36"/>
      <c r="AI36" s="15"/>
      <c r="AL36"/>
    </row>
    <row r="37" spans="1:38" x14ac:dyDescent="0.3">
      <c r="A37">
        <v>4380</v>
      </c>
      <c r="B37" t="s">
        <v>310</v>
      </c>
      <c r="C37" t="s">
        <v>1244</v>
      </c>
      <c r="D37" t="s">
        <v>384</v>
      </c>
      <c r="E37" s="56">
        <v>100000000000</v>
      </c>
      <c r="F37" s="56">
        <v>1</v>
      </c>
      <c r="G37" s="56">
        <v>100000000000</v>
      </c>
      <c r="H37" s="23" t="s">
        <v>1534</v>
      </c>
      <c r="I37">
        <v>1024535222</v>
      </c>
      <c r="J37" s="56">
        <v>46175</v>
      </c>
      <c r="K37">
        <v>46105</v>
      </c>
      <c r="L37"/>
      <c r="M37">
        <v>46503</v>
      </c>
      <c r="N37">
        <v>398</v>
      </c>
      <c r="O37">
        <v>0</v>
      </c>
      <c r="P37">
        <v>9</v>
      </c>
      <c r="Q37" s="391">
        <v>0</v>
      </c>
      <c r="R37" s="391">
        <v>727494803</v>
      </c>
      <c r="S37" s="391">
        <v>0</v>
      </c>
      <c r="T37" s="391">
        <v>532313270.487804</v>
      </c>
      <c r="U37" s="391">
        <v>1726027397</v>
      </c>
      <c r="V37" s="56">
        <v>2169863013.6986198</v>
      </c>
      <c r="W37" t="s">
        <v>364</v>
      </c>
      <c r="X37" s="397">
        <f>_xlfn.XLOOKUP(RPBOD_B003[[#This Row],[BondsDeals_Id]],AllDealps!B:B,AllDealps!R:R,,0)*RPBOD_B003[[#This Row],[Face_Amount]]</f>
        <v>799429800000</v>
      </c>
      <c r="Y37" s="25">
        <f>RPBOD_B003[[#This Row],[Face_Amount]]*RPBOD_B003[[#This Row],[ThisCouponRate]]</f>
        <v>900000000000</v>
      </c>
      <c r="AG37"/>
      <c r="AH37"/>
      <c r="AI37" s="15"/>
      <c r="AL37"/>
    </row>
    <row r="38" spans="1:38" x14ac:dyDescent="0.3">
      <c r="A38">
        <v>4681</v>
      </c>
      <c r="B38" t="s">
        <v>310</v>
      </c>
      <c r="C38" t="s">
        <v>1239</v>
      </c>
      <c r="D38" t="s">
        <v>384</v>
      </c>
      <c r="E38" s="56">
        <v>4000000000</v>
      </c>
      <c r="F38" s="56">
        <v>1</v>
      </c>
      <c r="G38" s="56">
        <v>4000000000</v>
      </c>
      <c r="H38" s="23" t="s">
        <v>1534</v>
      </c>
      <c r="I38">
        <v>2068890416</v>
      </c>
      <c r="J38" s="56">
        <v>46216</v>
      </c>
      <c r="K38">
        <v>46097</v>
      </c>
      <c r="L38"/>
      <c r="M38">
        <v>46493</v>
      </c>
      <c r="N38">
        <v>396</v>
      </c>
      <c r="O38">
        <v>0</v>
      </c>
      <c r="P38">
        <v>8.9</v>
      </c>
      <c r="Q38" s="391">
        <v>0</v>
      </c>
      <c r="R38" s="391">
        <v>1085753928</v>
      </c>
      <c r="S38" s="391">
        <v>0</v>
      </c>
      <c r="T38" s="391">
        <v>18030570.645487402</v>
      </c>
      <c r="U38" s="391">
        <v>5803287671.9999905</v>
      </c>
      <c r="V38" s="56">
        <v>45841095.890410997</v>
      </c>
      <c r="W38" t="s">
        <v>364</v>
      </c>
      <c r="X38" s="397">
        <f>_xlfn.XLOOKUP(RPBOD_B003[[#This Row],[BondsDeals_Id]],AllDealps!B:B,AllDealps!R:R,,0)*RPBOD_B003[[#This Row],[Face_Amount]]</f>
        <v>31648488000</v>
      </c>
      <c r="Y38" s="25">
        <f>RPBOD_B003[[#This Row],[Face_Amount]]*RPBOD_B003[[#This Row],[ThisCouponRate]]</f>
        <v>35600000000</v>
      </c>
      <c r="AG38"/>
      <c r="AH38"/>
      <c r="AI38" s="15"/>
      <c r="AL38"/>
    </row>
    <row r="39" spans="1:38" x14ac:dyDescent="0.3">
      <c r="A39">
        <v>4723</v>
      </c>
      <c r="B39" t="s">
        <v>310</v>
      </c>
      <c r="C39" t="s">
        <v>1239</v>
      </c>
      <c r="D39" t="s">
        <v>384</v>
      </c>
      <c r="E39" s="56">
        <v>42000000000</v>
      </c>
      <c r="F39" s="56">
        <v>1</v>
      </c>
      <c r="G39" s="56">
        <v>42000000000</v>
      </c>
      <c r="H39" s="23" t="s">
        <v>1534</v>
      </c>
      <c r="I39">
        <v>5147989855</v>
      </c>
      <c r="J39" s="56">
        <v>46223</v>
      </c>
      <c r="K39">
        <v>46097</v>
      </c>
      <c r="L39"/>
      <c r="M39">
        <v>46493</v>
      </c>
      <c r="N39">
        <v>396</v>
      </c>
      <c r="O39">
        <v>0</v>
      </c>
      <c r="P39">
        <v>8.9</v>
      </c>
      <c r="Q39" s="391">
        <v>56265833.5</v>
      </c>
      <c r="R39" s="391">
        <v>0</v>
      </c>
      <c r="S39" s="391">
        <v>40261329.748888902</v>
      </c>
      <c r="T39" s="391">
        <v>0</v>
      </c>
      <c r="U39" s="391">
        <v>1536164383.5</v>
      </c>
      <c r="V39" s="56">
        <v>409643835.61643797</v>
      </c>
      <c r="W39" t="s">
        <v>364</v>
      </c>
      <c r="X39" s="397">
        <f>_xlfn.XLOOKUP(RPBOD_B003[[#This Row],[BondsDeals_Id]],AllDealps!B:B,AllDealps!R:R,,0)*RPBOD_B003[[#This Row],[Face_Amount]]</f>
        <v>369259968000</v>
      </c>
      <c r="Y39" s="25">
        <f>RPBOD_B003[[#This Row],[Face_Amount]]*RPBOD_B003[[#This Row],[ThisCouponRate]]</f>
        <v>373800000000</v>
      </c>
      <c r="AG39"/>
      <c r="AH39"/>
      <c r="AI39" s="15"/>
      <c r="AL39"/>
    </row>
    <row r="40" spans="1:38" x14ac:dyDescent="0.3">
      <c r="A40">
        <v>4756</v>
      </c>
      <c r="B40" t="s">
        <v>310</v>
      </c>
      <c r="C40" t="s">
        <v>1260</v>
      </c>
      <c r="D40" t="s">
        <v>384</v>
      </c>
      <c r="E40" s="56">
        <v>70000000000</v>
      </c>
      <c r="F40" s="56">
        <v>1</v>
      </c>
      <c r="G40" s="56">
        <v>70000000000</v>
      </c>
      <c r="H40" s="23" t="s">
        <v>1534</v>
      </c>
      <c r="I40">
        <v>7256329003</v>
      </c>
      <c r="J40" s="56">
        <v>46231</v>
      </c>
      <c r="K40">
        <v>46129</v>
      </c>
      <c r="L40"/>
      <c r="M40">
        <v>46524</v>
      </c>
      <c r="N40">
        <v>395</v>
      </c>
      <c r="O40">
        <v>0</v>
      </c>
      <c r="P40">
        <v>9.5</v>
      </c>
      <c r="Q40" s="391">
        <v>0</v>
      </c>
      <c r="R40" s="391">
        <v>704933865.29999995</v>
      </c>
      <c r="S40" s="391">
        <v>0</v>
      </c>
      <c r="T40" s="391">
        <v>627944501.17167199</v>
      </c>
      <c r="U40" s="391">
        <v>1858356164.7</v>
      </c>
      <c r="V40" s="56">
        <v>583013698.63013697</v>
      </c>
      <c r="W40" t="s">
        <v>364</v>
      </c>
      <c r="X40" s="397">
        <f>_xlfn.XLOOKUP(RPBOD_B003[[#This Row],[BondsDeals_Id]],AllDealps!B:B,AllDealps!R:R,,0)*RPBOD_B003[[#This Row],[Face_Amount]]</f>
        <v>556795050000</v>
      </c>
      <c r="Y40" s="25">
        <f>RPBOD_B003[[#This Row],[Face_Amount]]*RPBOD_B003[[#This Row],[ThisCouponRate]]</f>
        <v>665000000000</v>
      </c>
      <c r="AG40"/>
      <c r="AH40"/>
      <c r="AI40" s="15"/>
      <c r="AL40"/>
    </row>
    <row r="41" spans="1:38" x14ac:dyDescent="0.3">
      <c r="A41">
        <v>4855</v>
      </c>
      <c r="B41" t="s">
        <v>310</v>
      </c>
      <c r="C41" t="s">
        <v>1256</v>
      </c>
      <c r="D41" t="s">
        <v>316</v>
      </c>
      <c r="E41" s="56">
        <v>100000000000</v>
      </c>
      <c r="F41" s="56">
        <v>1</v>
      </c>
      <c r="G41" s="56">
        <v>100000000000</v>
      </c>
      <c r="H41" s="23" t="s">
        <v>1534</v>
      </c>
      <c r="I41">
        <v>1045851085</v>
      </c>
      <c r="J41" s="56">
        <v>46246</v>
      </c>
      <c r="K41">
        <v>46121</v>
      </c>
      <c r="L41"/>
      <c r="M41">
        <v>46486</v>
      </c>
      <c r="N41">
        <v>365</v>
      </c>
      <c r="O41">
        <v>0</v>
      </c>
      <c r="P41">
        <v>8.6999999999999993</v>
      </c>
      <c r="Q41" s="391">
        <v>0</v>
      </c>
      <c r="R41" s="391">
        <v>1605656445</v>
      </c>
      <c r="S41" s="391">
        <v>0</v>
      </c>
      <c r="T41" s="391">
        <v>1491922446.8125</v>
      </c>
      <c r="U41" s="391">
        <v>2979452055</v>
      </c>
      <c r="V41" s="56">
        <v>405205479.45205402</v>
      </c>
      <c r="W41" t="s">
        <v>364</v>
      </c>
      <c r="X41" s="397">
        <f>_xlfn.XLOOKUP(RPBOD_B003[[#This Row],[BondsDeals_Id]],AllDealps!B:B,AllDealps!R:R,,0)*RPBOD_B003[[#This Row],[Face_Amount]]</f>
        <v>598370500000</v>
      </c>
      <c r="Y41" s="25">
        <f>RPBOD_B003[[#This Row],[Face_Amount]]*RPBOD_B003[[#This Row],[ThisCouponRate]]</f>
        <v>869999999999.99988</v>
      </c>
      <c r="AG41"/>
      <c r="AH41"/>
      <c r="AI41" s="15"/>
      <c r="AL41"/>
    </row>
    <row r="42" spans="1:38" x14ac:dyDescent="0.3">
      <c r="A42">
        <v>4881</v>
      </c>
      <c r="B42" t="s">
        <v>310</v>
      </c>
      <c r="C42" t="s">
        <v>1514</v>
      </c>
      <c r="D42" t="s">
        <v>325</v>
      </c>
      <c r="E42" s="56">
        <v>400000000000</v>
      </c>
      <c r="F42" s="56">
        <v>1</v>
      </c>
      <c r="G42" s="56">
        <v>400000000000</v>
      </c>
      <c r="H42" s="23" t="s">
        <v>1534</v>
      </c>
      <c r="I42">
        <v>4000000000</v>
      </c>
      <c r="J42" s="56">
        <v>46252</v>
      </c>
      <c r="K42">
        <v>46252</v>
      </c>
      <c r="L42">
        <v>46301</v>
      </c>
      <c r="M42">
        <v>46525</v>
      </c>
      <c r="N42">
        <v>273</v>
      </c>
      <c r="O42">
        <v>0</v>
      </c>
      <c r="P42">
        <v>9.3000000000000007</v>
      </c>
      <c r="Q42" s="391">
        <v>0</v>
      </c>
      <c r="R42" s="391">
        <v>0</v>
      </c>
      <c r="S42" s="391">
        <v>0</v>
      </c>
      <c r="T42" s="391">
        <v>0</v>
      </c>
      <c r="U42" s="391">
        <v>0</v>
      </c>
      <c r="V42" s="56">
        <v>1121095890.4109499</v>
      </c>
      <c r="W42" t="s">
        <v>364</v>
      </c>
      <c r="X42" s="397">
        <f>_xlfn.XLOOKUP(RPBOD_B003[[#This Row],[BondsDeals_Id]],AllDealps!B:B,AllDealps!R:R,,0)*RPBOD_B003[[#This Row],[Face_Amount]]</f>
        <v>3720000000000.0005</v>
      </c>
      <c r="Y42" s="25">
        <f>RPBOD_B003[[#This Row],[Face_Amount]]*RPBOD_B003[[#This Row],[ThisCouponRate]]</f>
        <v>3720000000000.0005</v>
      </c>
      <c r="AG42"/>
      <c r="AH42"/>
      <c r="AI42" s="15"/>
      <c r="AL42"/>
    </row>
    <row r="43" spans="1:38" x14ac:dyDescent="0.3">
      <c r="A43">
        <v>4906</v>
      </c>
      <c r="B43" t="s">
        <v>310</v>
      </c>
      <c r="C43" t="s">
        <v>1525</v>
      </c>
      <c r="D43" t="s">
        <v>954</v>
      </c>
      <c r="E43" s="56">
        <v>460000000000</v>
      </c>
      <c r="F43" s="56">
        <v>1</v>
      </c>
      <c r="G43" s="56">
        <v>460000000000</v>
      </c>
      <c r="H43" s="23" t="s">
        <v>1534</v>
      </c>
      <c r="I43">
        <v>4210058000</v>
      </c>
      <c r="J43" s="56">
        <v>46253</v>
      </c>
      <c r="K43">
        <v>46252</v>
      </c>
      <c r="L43"/>
      <c r="M43">
        <v>46617</v>
      </c>
      <c r="N43">
        <v>365</v>
      </c>
      <c r="O43">
        <v>0</v>
      </c>
      <c r="P43">
        <v>8.5</v>
      </c>
      <c r="Q43" s="391">
        <v>39101323286.599899</v>
      </c>
      <c r="R43" s="391">
        <v>0</v>
      </c>
      <c r="S43" s="391">
        <v>38027111108.396698</v>
      </c>
      <c r="T43" s="391">
        <v>0</v>
      </c>
      <c r="U43" s="391">
        <v>107123286.59999999</v>
      </c>
      <c r="V43" s="56">
        <v>1071232876.71232</v>
      </c>
      <c r="W43" t="s">
        <v>364</v>
      </c>
      <c r="X43" s="397">
        <f>_xlfn.XLOOKUP(RPBOD_B003[[#This Row],[BondsDeals_Id]],AllDealps!B:B,AllDealps!R:R,,0)*RPBOD_B003[[#This Row],[Face_Amount]]</f>
        <v>8556182160000</v>
      </c>
      <c r="Y43" s="25">
        <f>RPBOD_B003[[#This Row],[Face_Amount]]*RPBOD_B003[[#This Row],[ThisCouponRate]]</f>
        <v>3910000000000</v>
      </c>
      <c r="AG43"/>
      <c r="AH43"/>
      <c r="AI43" s="15"/>
      <c r="AL43"/>
    </row>
    <row r="44" spans="1:38" x14ac:dyDescent="0.3">
      <c r="A44">
        <v>4074</v>
      </c>
      <c r="B44" t="s">
        <v>310</v>
      </c>
      <c r="C44" t="s">
        <v>965</v>
      </c>
      <c r="D44" t="s">
        <v>325</v>
      </c>
      <c r="E44" s="56">
        <v>500000000000</v>
      </c>
      <c r="F44" s="56">
        <v>1</v>
      </c>
      <c r="G44" s="56">
        <v>500000000000</v>
      </c>
      <c r="H44" s="23" t="s">
        <v>1534</v>
      </c>
      <c r="I44">
        <v>5171242620</v>
      </c>
      <c r="J44" s="56">
        <v>46125</v>
      </c>
      <c r="K44">
        <v>45937</v>
      </c>
      <c r="L44">
        <v>46301</v>
      </c>
      <c r="M44">
        <v>46301</v>
      </c>
      <c r="N44">
        <v>364</v>
      </c>
      <c r="O44">
        <v>0</v>
      </c>
      <c r="P44">
        <v>6.4</v>
      </c>
      <c r="Q44" s="391">
        <v>0</v>
      </c>
      <c r="R44" s="391">
        <v>642070220</v>
      </c>
      <c r="S44" s="391">
        <v>0</v>
      </c>
      <c r="T44" s="391">
        <v>138628797.5</v>
      </c>
      <c r="U44" s="391">
        <v>16482191779.999901</v>
      </c>
      <c r="V44" s="56">
        <v>12098630136.9862</v>
      </c>
      <c r="W44" t="s">
        <v>364</v>
      </c>
      <c r="X44" s="397">
        <f>_xlfn.XLOOKUP(RPBOD_B003[[#This Row],[BondsDeals_Id]],AllDealps!B:B,AllDealps!R:R,,0)*RPBOD_B003[[#This Row],[Face_Amount]]</f>
        <v>2965286500000</v>
      </c>
      <c r="Y44" s="25">
        <f>RPBOD_B003[[#This Row],[Face_Amount]]*RPBOD_B003[[#This Row],[ThisCouponRate]]</f>
        <v>3200000000000</v>
      </c>
      <c r="AG44"/>
      <c r="AH44"/>
      <c r="AI44" s="15"/>
      <c r="AL44"/>
    </row>
    <row r="45" spans="1:38" x14ac:dyDescent="0.3">
      <c r="A45">
        <v>4350</v>
      </c>
      <c r="B45" t="s">
        <v>310</v>
      </c>
      <c r="C45" t="s">
        <v>1260</v>
      </c>
      <c r="D45" t="s">
        <v>384</v>
      </c>
      <c r="E45" s="56">
        <v>21000000000</v>
      </c>
      <c r="F45" s="56">
        <v>1</v>
      </c>
      <c r="G45" s="56">
        <v>21000000000</v>
      </c>
      <c r="H45" s="23" t="s">
        <v>1534</v>
      </c>
      <c r="I45">
        <v>7072875264</v>
      </c>
      <c r="J45" s="56">
        <v>46170</v>
      </c>
      <c r="K45">
        <v>46129</v>
      </c>
      <c r="L45"/>
      <c r="M45">
        <v>46524</v>
      </c>
      <c r="N45">
        <v>395</v>
      </c>
      <c r="O45">
        <v>0</v>
      </c>
      <c r="P45">
        <v>9.5</v>
      </c>
      <c r="Q45" s="391">
        <v>18233661.600000001</v>
      </c>
      <c r="R45" s="391">
        <v>0</v>
      </c>
      <c r="S45" s="391">
        <v>4033038.7098305002</v>
      </c>
      <c r="T45" s="391">
        <v>0</v>
      </c>
      <c r="U45" s="391">
        <v>746986301.59999883</v>
      </c>
      <c r="V45" s="56">
        <v>508315068.49315</v>
      </c>
      <c r="W45" t="s">
        <v>364</v>
      </c>
      <c r="X45" s="397">
        <f>_xlfn.XLOOKUP(RPBOD_B003[[#This Row],[BondsDeals_Id]],AllDealps!B:B,AllDealps!R:R,,0)*RPBOD_B003[[#This Row],[Face_Amount]]</f>
        <v>198002658000</v>
      </c>
      <c r="Y45" s="25">
        <f>RPBOD_B003[[#This Row],[Face_Amount]]*RPBOD_B003[[#This Row],[ThisCouponRate]]</f>
        <v>199500000000</v>
      </c>
      <c r="AG45"/>
      <c r="AH45"/>
      <c r="AI45" s="15"/>
      <c r="AL45"/>
    </row>
    <row r="46" spans="1:38" x14ac:dyDescent="0.3">
      <c r="A46">
        <v>4769</v>
      </c>
      <c r="B46" t="s">
        <v>310</v>
      </c>
      <c r="C46" t="s">
        <v>1260</v>
      </c>
      <c r="D46" t="s">
        <v>384</v>
      </c>
      <c r="E46" s="56">
        <v>70000000000</v>
      </c>
      <c r="F46" s="56">
        <v>1</v>
      </c>
      <c r="G46" s="56">
        <v>70000000000</v>
      </c>
      <c r="H46" s="23" t="s">
        <v>1534</v>
      </c>
      <c r="I46">
        <v>7257928006</v>
      </c>
      <c r="J46" s="56">
        <v>46232</v>
      </c>
      <c r="K46">
        <v>46129</v>
      </c>
      <c r="L46"/>
      <c r="M46">
        <v>46524</v>
      </c>
      <c r="N46">
        <v>395</v>
      </c>
      <c r="O46">
        <v>0</v>
      </c>
      <c r="P46">
        <v>9.5</v>
      </c>
      <c r="Q46" s="391">
        <v>0</v>
      </c>
      <c r="R46" s="391">
        <v>702704717.39999998</v>
      </c>
      <c r="S46" s="391">
        <v>0</v>
      </c>
      <c r="T46" s="391">
        <v>628102504.25136995</v>
      </c>
      <c r="U46" s="391">
        <v>1876575342.5999899</v>
      </c>
      <c r="V46" s="56">
        <v>564794520.54794502</v>
      </c>
      <c r="W46" t="s">
        <v>364</v>
      </c>
      <c r="X46" s="397">
        <f>_xlfn.XLOOKUP(RPBOD_B003[[#This Row],[BondsDeals_Id]],AllDealps!B:B,AllDealps!R:R,,0)*RPBOD_B003[[#This Row],[Face_Amount]]</f>
        <v>556651060000</v>
      </c>
      <c r="Y46" s="25">
        <f>RPBOD_B003[[#This Row],[Face_Amount]]*RPBOD_B003[[#This Row],[ThisCouponRate]]</f>
        <v>665000000000</v>
      </c>
      <c r="AG46"/>
      <c r="AH46"/>
      <c r="AI46" s="15"/>
      <c r="AL46"/>
    </row>
    <row r="47" spans="1:38" x14ac:dyDescent="0.3">
      <c r="A47">
        <v>4879</v>
      </c>
      <c r="B47" t="s">
        <v>310</v>
      </c>
      <c r="C47" t="s">
        <v>1518</v>
      </c>
      <c r="D47" t="s">
        <v>316</v>
      </c>
      <c r="E47" s="56">
        <v>500000000000</v>
      </c>
      <c r="F47" s="56">
        <v>1</v>
      </c>
      <c r="G47" s="56">
        <v>500000000000</v>
      </c>
      <c r="H47" s="23" t="s">
        <v>1534</v>
      </c>
      <c r="I47">
        <v>5199812345</v>
      </c>
      <c r="J47" s="56">
        <v>46251</v>
      </c>
      <c r="K47">
        <v>45994</v>
      </c>
      <c r="L47"/>
      <c r="M47">
        <v>46358</v>
      </c>
      <c r="N47">
        <v>364</v>
      </c>
      <c r="O47">
        <v>0</v>
      </c>
      <c r="P47">
        <v>6.3</v>
      </c>
      <c r="Q47" s="391">
        <v>2198217555</v>
      </c>
      <c r="R47" s="391">
        <v>0</v>
      </c>
      <c r="S47" s="391">
        <v>1951688483.4112101</v>
      </c>
      <c r="T47" s="391">
        <v>0</v>
      </c>
      <c r="U47" s="391">
        <v>22179452055</v>
      </c>
      <c r="V47" s="56">
        <v>1035616438.35616</v>
      </c>
      <c r="W47" t="s">
        <v>364</v>
      </c>
      <c r="X47" s="397">
        <f>_xlfn.XLOOKUP(RPBOD_B003[[#This Row],[BondsDeals_Id]],AllDealps!B:B,AllDealps!R:R,,0)*RPBOD_B003[[#This Row],[Face_Amount]]</f>
        <v>3750000000000</v>
      </c>
      <c r="Y47" s="25">
        <f>RPBOD_B003[[#This Row],[Face_Amount]]*RPBOD_B003[[#This Row],[ThisCouponRate]]</f>
        <v>3150000000000</v>
      </c>
      <c r="AG47"/>
      <c r="AH47"/>
      <c r="AI47" s="15"/>
      <c r="AL47"/>
    </row>
    <row r="48" spans="1:38" x14ac:dyDescent="0.3">
      <c r="A48">
        <v>4995</v>
      </c>
      <c r="B48" t="s">
        <v>310</v>
      </c>
      <c r="C48" t="s">
        <v>1071</v>
      </c>
      <c r="D48" t="s">
        <v>328</v>
      </c>
      <c r="E48" s="56">
        <v>500000000000</v>
      </c>
      <c r="F48" s="56">
        <v>1</v>
      </c>
      <c r="G48" s="56">
        <v>500000000000</v>
      </c>
      <c r="H48" s="23" t="s">
        <v>1534</v>
      </c>
      <c r="I48">
        <v>5236725850</v>
      </c>
      <c r="J48" s="56">
        <v>46261</v>
      </c>
      <c r="K48">
        <v>45988</v>
      </c>
      <c r="L48"/>
      <c r="M48">
        <v>46352</v>
      </c>
      <c r="N48">
        <v>364</v>
      </c>
      <c r="O48">
        <v>0</v>
      </c>
      <c r="P48">
        <v>6.6</v>
      </c>
      <c r="Q48" s="391">
        <v>1009606780</v>
      </c>
      <c r="R48" s="391">
        <v>0</v>
      </c>
      <c r="S48" s="391">
        <v>987417620</v>
      </c>
      <c r="T48" s="391">
        <v>0</v>
      </c>
      <c r="U48" s="391">
        <v>24682191780</v>
      </c>
      <c r="V48" s="56">
        <v>180821917.80821899</v>
      </c>
      <c r="W48" t="s">
        <v>364</v>
      </c>
      <c r="X48" s="397">
        <f>_xlfn.XLOOKUP(RPBOD_B003[[#This Row],[BondsDeals_Id]],AllDealps!B:B,AllDealps!R:R,,0)*RPBOD_B003[[#This Row],[Face_Amount]]</f>
        <v>3537470000000</v>
      </c>
      <c r="Y48" s="25">
        <f>RPBOD_B003[[#This Row],[Face_Amount]]*RPBOD_B003[[#This Row],[ThisCouponRate]]</f>
        <v>3300000000000</v>
      </c>
      <c r="AG48"/>
      <c r="AH48"/>
      <c r="AI48" s="15"/>
      <c r="AL48"/>
    </row>
    <row r="49" spans="1:38" x14ac:dyDescent="0.3">
      <c r="A49">
        <v>4997</v>
      </c>
      <c r="B49" t="s">
        <v>310</v>
      </c>
      <c r="C49" t="s">
        <v>1239</v>
      </c>
      <c r="D49" t="s">
        <v>384</v>
      </c>
      <c r="E49" s="56">
        <v>68000000000</v>
      </c>
      <c r="F49" s="56">
        <v>1</v>
      </c>
      <c r="G49" s="56">
        <v>68000000000</v>
      </c>
      <c r="H49" s="23" t="s">
        <v>1534</v>
      </c>
      <c r="I49">
        <v>7101319172</v>
      </c>
      <c r="J49" s="56">
        <v>46261</v>
      </c>
      <c r="K49">
        <v>46097</v>
      </c>
      <c r="L49"/>
      <c r="M49">
        <v>46493</v>
      </c>
      <c r="N49">
        <v>396</v>
      </c>
      <c r="O49">
        <v>0</v>
      </c>
      <c r="P49">
        <v>8.9</v>
      </c>
      <c r="Q49" s="391">
        <v>0</v>
      </c>
      <c r="R49" s="391">
        <v>293936929.19999897</v>
      </c>
      <c r="S49" s="391">
        <v>0</v>
      </c>
      <c r="T49" s="391">
        <v>291402990.15517199</v>
      </c>
      <c r="U49" s="391">
        <v>2719254794.7999902</v>
      </c>
      <c r="V49" s="56">
        <v>33161643.835616399</v>
      </c>
      <c r="W49" t="s">
        <v>364</v>
      </c>
      <c r="X49" s="397">
        <f>_xlfn.XLOOKUP(RPBOD_B003[[#This Row],[BondsDeals_Id]],AllDealps!B:B,AllDealps!R:R,,0)*RPBOD_B003[[#This Row],[Face_Amount]]</f>
        <v>535238336000</v>
      </c>
      <c r="Y49" s="25">
        <f>RPBOD_B003[[#This Row],[Face_Amount]]*RPBOD_B003[[#This Row],[ThisCouponRate]]</f>
        <v>605200000000</v>
      </c>
      <c r="AG49"/>
      <c r="AH49"/>
      <c r="AI49" s="15"/>
      <c r="AL49"/>
    </row>
    <row r="50" spans="1:38" x14ac:dyDescent="0.3">
      <c r="A50">
        <v>4716</v>
      </c>
      <c r="B50" t="s">
        <v>310</v>
      </c>
      <c r="C50" t="s">
        <v>1239</v>
      </c>
      <c r="D50" t="s">
        <v>384</v>
      </c>
      <c r="E50" s="56">
        <v>50000000000</v>
      </c>
      <c r="F50" s="56">
        <v>1</v>
      </c>
      <c r="G50" s="56">
        <v>50000000000</v>
      </c>
      <c r="H50" s="23" t="s">
        <v>1534</v>
      </c>
      <c r="I50">
        <v>5146804395</v>
      </c>
      <c r="J50" s="56">
        <v>46220</v>
      </c>
      <c r="K50">
        <v>46097</v>
      </c>
      <c r="L50"/>
      <c r="M50">
        <v>46493</v>
      </c>
      <c r="N50">
        <v>396</v>
      </c>
      <c r="O50">
        <v>0</v>
      </c>
      <c r="P50">
        <v>8.9</v>
      </c>
      <c r="Q50" s="391">
        <v>31545091</v>
      </c>
      <c r="R50" s="391">
        <v>0</v>
      </c>
      <c r="S50" s="391">
        <v>26576450.293040305</v>
      </c>
      <c r="T50" s="391">
        <v>0</v>
      </c>
      <c r="U50" s="391">
        <v>1499589040.99999</v>
      </c>
      <c r="V50" s="56">
        <v>524246575.34246498</v>
      </c>
      <c r="W50" t="s">
        <v>364</v>
      </c>
      <c r="X50" s="397">
        <f>_xlfn.XLOOKUP(RPBOD_B003[[#This Row],[BondsDeals_Id]],AllDealps!B:B,AllDealps!R:R,,0)*RPBOD_B003[[#This Row],[Face_Amount]]</f>
        <v>436404350000</v>
      </c>
      <c r="Y50" s="25">
        <f>RPBOD_B003[[#This Row],[Face_Amount]]*RPBOD_B003[[#This Row],[ThisCouponRate]]</f>
        <v>445000000000</v>
      </c>
      <c r="AG50"/>
      <c r="AH50"/>
      <c r="AI50" s="15"/>
      <c r="AL50"/>
    </row>
    <row r="51" spans="1:38" x14ac:dyDescent="0.3">
      <c r="A51">
        <v>4842</v>
      </c>
      <c r="B51" t="s">
        <v>310</v>
      </c>
      <c r="C51" t="s">
        <v>1260</v>
      </c>
      <c r="D51" t="s">
        <v>384</v>
      </c>
      <c r="E51" s="56">
        <v>49000000000</v>
      </c>
      <c r="F51" s="56">
        <v>1</v>
      </c>
      <c r="G51" s="56">
        <v>49000000000</v>
      </c>
      <c r="H51" s="23" t="s">
        <v>1534</v>
      </c>
      <c r="I51">
        <v>5041724321</v>
      </c>
      <c r="J51" s="56">
        <v>46244</v>
      </c>
      <c r="K51">
        <v>46129</v>
      </c>
      <c r="L51"/>
      <c r="M51">
        <v>46524</v>
      </c>
      <c r="N51">
        <v>395</v>
      </c>
      <c r="O51">
        <v>0</v>
      </c>
      <c r="P51">
        <v>9.5</v>
      </c>
      <c r="Q51" s="391">
        <v>49400616.650000103</v>
      </c>
      <c r="R51" s="391">
        <v>0</v>
      </c>
      <c r="S51" s="391">
        <v>46048431.948750101</v>
      </c>
      <c r="T51" s="391">
        <v>0</v>
      </c>
      <c r="U51" s="391">
        <v>1466643835.6499901</v>
      </c>
      <c r="V51" s="56">
        <v>242315068.49315</v>
      </c>
      <c r="W51" t="s">
        <v>364</v>
      </c>
      <c r="X51" s="397">
        <f>_xlfn.XLOOKUP(RPBOD_B003[[#This Row],[BondsDeals_Id]],AllDealps!B:B,AllDealps!R:R,,0)*RPBOD_B003[[#This Row],[Face_Amount]]</f>
        <v>458673369000</v>
      </c>
      <c r="Y51" s="25">
        <f>RPBOD_B003[[#This Row],[Face_Amount]]*RPBOD_B003[[#This Row],[ThisCouponRate]]</f>
        <v>465500000000</v>
      </c>
      <c r="AG51"/>
      <c r="AH51"/>
      <c r="AI51" s="15"/>
      <c r="AL51"/>
    </row>
    <row r="52" spans="1:38" x14ac:dyDescent="0.3">
      <c r="A52">
        <v>4866</v>
      </c>
      <c r="B52" t="s">
        <v>310</v>
      </c>
      <c r="C52" t="s">
        <v>1508</v>
      </c>
      <c r="D52" t="s">
        <v>313</v>
      </c>
      <c r="E52" s="56">
        <v>200000000000</v>
      </c>
      <c r="F52" s="56">
        <v>1</v>
      </c>
      <c r="G52" s="56">
        <v>200000000000</v>
      </c>
      <c r="H52" s="23" t="s">
        <v>1534</v>
      </c>
      <c r="I52">
        <v>2000000000</v>
      </c>
      <c r="J52" s="56">
        <v>46247</v>
      </c>
      <c r="K52">
        <v>46247</v>
      </c>
      <c r="L52"/>
      <c r="M52">
        <v>46605</v>
      </c>
      <c r="N52">
        <v>358</v>
      </c>
      <c r="O52">
        <v>0</v>
      </c>
      <c r="P52">
        <v>9.8000000000000007</v>
      </c>
      <c r="Q52" s="391">
        <v>0</v>
      </c>
      <c r="R52" s="391">
        <v>0</v>
      </c>
      <c r="S52" s="391">
        <v>0</v>
      </c>
      <c r="T52" s="391">
        <v>0</v>
      </c>
      <c r="U52" s="391">
        <v>0</v>
      </c>
      <c r="V52" s="56">
        <v>859178082.19177997</v>
      </c>
      <c r="W52" t="s">
        <v>364</v>
      </c>
      <c r="X52" s="397">
        <f>_xlfn.XLOOKUP(RPBOD_B003[[#This Row],[BondsDeals_Id]],AllDealps!B:B,AllDealps!R:R,,0)*RPBOD_B003[[#This Row],[Face_Amount]]</f>
        <v>1960000000000.0002</v>
      </c>
      <c r="Y52" s="25">
        <f>RPBOD_B003[[#This Row],[Face_Amount]]*RPBOD_B003[[#This Row],[ThisCouponRate]]</f>
        <v>1960000000000.0002</v>
      </c>
      <c r="AG52"/>
      <c r="AH52"/>
      <c r="AI52" s="15"/>
      <c r="AL52"/>
    </row>
    <row r="53" spans="1:38" x14ac:dyDescent="0.3">
      <c r="A53">
        <v>4884</v>
      </c>
      <c r="B53" t="s">
        <v>310</v>
      </c>
      <c r="C53" t="s">
        <v>1210</v>
      </c>
      <c r="D53" t="s">
        <v>316</v>
      </c>
      <c r="E53" s="56">
        <v>400000000000</v>
      </c>
      <c r="F53" s="56">
        <v>1</v>
      </c>
      <c r="G53" s="56">
        <v>400000000000</v>
      </c>
      <c r="H53" s="23" t="s">
        <v>1534</v>
      </c>
      <c r="I53">
        <v>4185221724</v>
      </c>
      <c r="J53" s="56">
        <v>46252</v>
      </c>
      <c r="K53">
        <v>46041</v>
      </c>
      <c r="L53"/>
      <c r="M53">
        <v>46406</v>
      </c>
      <c r="N53">
        <v>365</v>
      </c>
      <c r="O53">
        <v>0</v>
      </c>
      <c r="P53">
        <v>7.5</v>
      </c>
      <c r="Q53" s="391">
        <v>0</v>
      </c>
      <c r="R53" s="391">
        <v>1179706648</v>
      </c>
      <c r="S53" s="391">
        <v>0</v>
      </c>
      <c r="T53" s="391">
        <v>1095441887.42857</v>
      </c>
      <c r="U53" s="391">
        <v>17342465752</v>
      </c>
      <c r="V53" s="56">
        <v>904109589.04109502</v>
      </c>
      <c r="W53" t="s">
        <v>364</v>
      </c>
      <c r="X53" s="397">
        <f>_xlfn.XLOOKUP(RPBOD_B003[[#This Row],[BondsDeals_Id]],AllDealps!B:B,AllDealps!R:R,,0)*RPBOD_B003[[#This Row],[Face_Amount]]</f>
        <v>2600000000000</v>
      </c>
      <c r="Y53" s="25">
        <f>RPBOD_B003[[#This Row],[Face_Amount]]*RPBOD_B003[[#This Row],[ThisCouponRate]]</f>
        <v>3000000000000</v>
      </c>
      <c r="AG53"/>
      <c r="AH53"/>
      <c r="AI53" s="15"/>
      <c r="AL53"/>
    </row>
    <row r="54" spans="1:38" x14ac:dyDescent="0.3">
      <c r="A54">
        <v>4940</v>
      </c>
      <c r="B54" t="s">
        <v>310</v>
      </c>
      <c r="C54" t="s">
        <v>1008</v>
      </c>
      <c r="D54" t="s">
        <v>473</v>
      </c>
      <c r="E54" s="56">
        <v>300000000000</v>
      </c>
      <c r="F54" s="56">
        <v>1</v>
      </c>
      <c r="G54" s="56">
        <v>300000000000</v>
      </c>
      <c r="H54" s="23" t="s">
        <v>1534</v>
      </c>
      <c r="I54">
        <v>3156603141</v>
      </c>
      <c r="J54" s="56">
        <v>46254</v>
      </c>
      <c r="K54">
        <v>45965</v>
      </c>
      <c r="L54"/>
      <c r="M54">
        <v>46324</v>
      </c>
      <c r="N54">
        <v>359</v>
      </c>
      <c r="O54">
        <v>0</v>
      </c>
      <c r="P54">
        <v>6.3</v>
      </c>
      <c r="Q54" s="391">
        <v>0</v>
      </c>
      <c r="R54" s="391">
        <v>695656566.00000095</v>
      </c>
      <c r="S54" s="391">
        <v>0</v>
      </c>
      <c r="T54" s="391">
        <v>606215007.51428699</v>
      </c>
      <c r="U54" s="391">
        <v>14964657533.999901</v>
      </c>
      <c r="V54" s="56">
        <v>466027397.26027298</v>
      </c>
      <c r="W54" t="s">
        <v>364</v>
      </c>
      <c r="X54" s="397">
        <f>_xlfn.XLOOKUP(RPBOD_B003[[#This Row],[BondsDeals_Id]],AllDealps!B:B,AllDealps!R:R,,0)*RPBOD_B003[[#This Row],[Face_Amount]]</f>
        <v>1451495100000</v>
      </c>
      <c r="Y54" s="25">
        <f>RPBOD_B003[[#This Row],[Face_Amount]]*RPBOD_B003[[#This Row],[ThisCouponRate]]</f>
        <v>1890000000000</v>
      </c>
      <c r="AG54"/>
      <c r="AH54"/>
      <c r="AI54" s="15"/>
      <c r="AL54"/>
    </row>
    <row r="55" spans="1:38" x14ac:dyDescent="0.3">
      <c r="A55">
        <v>4941</v>
      </c>
      <c r="B55" t="s">
        <v>310</v>
      </c>
      <c r="C55" t="s">
        <v>1573</v>
      </c>
      <c r="D55" t="s">
        <v>322</v>
      </c>
      <c r="E55" s="56">
        <v>300000000000</v>
      </c>
      <c r="F55" s="56">
        <v>1</v>
      </c>
      <c r="G55" s="56">
        <v>300000000000</v>
      </c>
      <c r="H55" s="23" t="s">
        <v>1534</v>
      </c>
      <c r="I55">
        <v>3156838356</v>
      </c>
      <c r="J55" s="56">
        <v>46255</v>
      </c>
      <c r="K55">
        <v>45926</v>
      </c>
      <c r="L55"/>
      <c r="M55">
        <v>46381</v>
      </c>
      <c r="N55">
        <v>455</v>
      </c>
      <c r="O55">
        <v>0</v>
      </c>
      <c r="P55">
        <v>5.8</v>
      </c>
      <c r="Q55" s="391">
        <v>0</v>
      </c>
      <c r="R55" s="391">
        <v>3</v>
      </c>
      <c r="S55" s="391">
        <v>0</v>
      </c>
      <c r="T55" s="391">
        <v>2.8095238</v>
      </c>
      <c r="U55" s="391">
        <v>15683835615</v>
      </c>
      <c r="V55" s="56">
        <v>381369863.01369798</v>
      </c>
      <c r="W55" t="s">
        <v>364</v>
      </c>
      <c r="X55" s="397">
        <f>_xlfn.XLOOKUP(RPBOD_B003[[#This Row],[BondsDeals_Id]],AllDealps!B:B,AllDealps!R:R,,0)*RPBOD_B003[[#This Row],[Face_Amount]]</f>
        <v>1653553200000</v>
      </c>
      <c r="Y55" s="25">
        <f>RPBOD_B003[[#This Row],[Face_Amount]]*RPBOD_B003[[#This Row],[ThisCouponRate]]</f>
        <v>1740000000000</v>
      </c>
      <c r="AG55"/>
      <c r="AH55"/>
      <c r="AI55" s="15"/>
      <c r="AL55"/>
    </row>
    <row r="56" spans="1:38" x14ac:dyDescent="0.3">
      <c r="A56">
        <v>4949</v>
      </c>
      <c r="B56" t="s">
        <v>310</v>
      </c>
      <c r="C56" t="s">
        <v>1004</v>
      </c>
      <c r="D56" t="s">
        <v>324</v>
      </c>
      <c r="E56" s="56">
        <v>500000000000</v>
      </c>
      <c r="F56" s="56">
        <v>1</v>
      </c>
      <c r="G56" s="56">
        <v>500000000000</v>
      </c>
      <c r="H56" s="23" t="s">
        <v>1534</v>
      </c>
      <c r="I56">
        <v>5244703745</v>
      </c>
      <c r="J56" s="56">
        <v>46255</v>
      </c>
      <c r="K56">
        <v>45959</v>
      </c>
      <c r="L56"/>
      <c r="M56">
        <v>46323</v>
      </c>
      <c r="N56">
        <v>364</v>
      </c>
      <c r="O56">
        <v>0</v>
      </c>
      <c r="P56">
        <v>6.3</v>
      </c>
      <c r="Q56" s="391">
        <v>1074830895</v>
      </c>
      <c r="R56" s="391">
        <v>0</v>
      </c>
      <c r="S56" s="391">
        <v>948380201.47058797</v>
      </c>
      <c r="T56" s="391">
        <v>0</v>
      </c>
      <c r="U56" s="391">
        <v>25545205480</v>
      </c>
      <c r="V56" s="56">
        <v>690410958.904109</v>
      </c>
      <c r="W56" t="s">
        <v>364</v>
      </c>
      <c r="X56" s="397">
        <f>_xlfn.XLOOKUP(RPBOD_B003[[#This Row],[BondsDeals_Id]],AllDealps!B:B,AllDealps!R:R,,0)*RPBOD_B003[[#This Row],[Face_Amount]]</f>
        <v>3553042500000</v>
      </c>
      <c r="Y56" s="25">
        <f>RPBOD_B003[[#This Row],[Face_Amount]]*RPBOD_B003[[#This Row],[ThisCouponRate]]</f>
        <v>3150000000000</v>
      </c>
      <c r="AG56"/>
      <c r="AH56"/>
      <c r="AI56" s="15"/>
      <c r="AL56"/>
    </row>
    <row r="57" spans="1:38" x14ac:dyDescent="0.3">
      <c r="A57">
        <v>4982</v>
      </c>
      <c r="B57" t="s">
        <v>310</v>
      </c>
      <c r="C57" t="s">
        <v>1071</v>
      </c>
      <c r="D57" t="s">
        <v>328</v>
      </c>
      <c r="E57" s="56">
        <v>500000000000</v>
      </c>
      <c r="F57" s="56">
        <v>1</v>
      </c>
      <c r="G57" s="56">
        <v>500000000000</v>
      </c>
      <c r="H57" s="23" t="s">
        <v>1534</v>
      </c>
      <c r="I57">
        <v>5235438895</v>
      </c>
      <c r="J57" s="56">
        <v>46260</v>
      </c>
      <c r="K57">
        <v>45988</v>
      </c>
      <c r="L57"/>
      <c r="M57">
        <v>46352</v>
      </c>
      <c r="N57">
        <v>364</v>
      </c>
      <c r="O57">
        <v>0</v>
      </c>
      <c r="P57">
        <v>6.6</v>
      </c>
      <c r="Q57" s="391">
        <v>1047891320</v>
      </c>
      <c r="R57" s="391">
        <v>0</v>
      </c>
      <c r="S57" s="391">
        <v>1013720950.86956</v>
      </c>
      <c r="T57" s="391">
        <v>0</v>
      </c>
      <c r="U57" s="391">
        <v>24591780820</v>
      </c>
      <c r="V57" s="56">
        <v>271232876.71232802</v>
      </c>
      <c r="W57" t="s">
        <v>364</v>
      </c>
      <c r="X57" s="397">
        <f>_xlfn.XLOOKUP(RPBOD_B003[[#This Row],[BondsDeals_Id]],AllDealps!B:B,AllDealps!R:R,,0)*RPBOD_B003[[#This Row],[Face_Amount]]</f>
        <v>3548642000000</v>
      </c>
      <c r="Y57" s="25">
        <f>RPBOD_B003[[#This Row],[Face_Amount]]*RPBOD_B003[[#This Row],[ThisCouponRate]]</f>
        <v>3300000000000</v>
      </c>
      <c r="AG57"/>
      <c r="AH57"/>
      <c r="AI57" s="15"/>
      <c r="AL57"/>
    </row>
    <row r="58" spans="1:38" x14ac:dyDescent="0.3">
      <c r="A58">
        <v>1831</v>
      </c>
      <c r="B58" t="s">
        <v>310</v>
      </c>
      <c r="C58" t="s">
        <v>563</v>
      </c>
      <c r="D58" t="s">
        <v>343</v>
      </c>
      <c r="E58" s="56">
        <v>200000000000</v>
      </c>
      <c r="F58" s="56">
        <v>1</v>
      </c>
      <c r="G58" s="56">
        <v>200000000000</v>
      </c>
      <c r="H58" s="23" t="s">
        <v>1534</v>
      </c>
      <c r="I58">
        <v>2068558904</v>
      </c>
      <c r="J58" s="56">
        <v>45954</v>
      </c>
      <c r="K58">
        <v>45770</v>
      </c>
      <c r="L58">
        <v>46135</v>
      </c>
      <c r="M58">
        <v>46318</v>
      </c>
      <c r="N58">
        <v>548</v>
      </c>
      <c r="O58">
        <v>6.8</v>
      </c>
      <c r="P58">
        <v>6.8</v>
      </c>
      <c r="Q58" s="391">
        <v>10</v>
      </c>
      <c r="R58" s="391">
        <v>0</v>
      </c>
      <c r="S58" s="391">
        <v>1.5109889999999999</v>
      </c>
      <c r="T58" s="391">
        <v>0</v>
      </c>
      <c r="U58" s="391">
        <v>6855890410</v>
      </c>
      <c r="V58" s="56">
        <v>4769315068.4931498</v>
      </c>
      <c r="W58" t="s">
        <v>364</v>
      </c>
      <c r="X58" s="397">
        <f>_xlfn.XLOOKUP(RPBOD_B003[[#This Row],[BondsDeals_Id]],AllDealps!B:B,AllDealps!R:R,,0)*RPBOD_B003[[#This Row],[Face_Amount]]</f>
        <v>1359240400000</v>
      </c>
      <c r="Y58" s="25">
        <f>RPBOD_B003[[#This Row],[Face_Amount]]*RPBOD_B003[[#This Row],[ThisCouponRate]]</f>
        <v>1360000000000</v>
      </c>
      <c r="AE58" s="43">
        <f>(SUM(RPBOD3!T:T)-SUM(RPBOD3!S:S))</f>
        <v>-202298910401.10144</v>
      </c>
      <c r="AG58"/>
      <c r="AH58"/>
      <c r="AI58" s="15"/>
      <c r="AL58"/>
    </row>
    <row r="59" spans="1:38" x14ac:dyDescent="0.3">
      <c r="A59">
        <v>2675</v>
      </c>
      <c r="B59" t="s">
        <v>310</v>
      </c>
      <c r="C59" t="s">
        <v>960</v>
      </c>
      <c r="D59" t="s">
        <v>347</v>
      </c>
      <c r="E59" s="56">
        <v>700000000000</v>
      </c>
      <c r="F59" s="56">
        <v>1</v>
      </c>
      <c r="G59" s="56">
        <v>700000000000</v>
      </c>
      <c r="H59" s="23" t="s">
        <v>1534</v>
      </c>
      <c r="I59">
        <v>1000000000000</v>
      </c>
      <c r="J59" s="56">
        <v>45929</v>
      </c>
      <c r="K59">
        <v>45929</v>
      </c>
      <c r="L59"/>
      <c r="M59">
        <v>46288</v>
      </c>
      <c r="N59">
        <v>359</v>
      </c>
      <c r="O59">
        <v>0</v>
      </c>
      <c r="P59">
        <v>5</v>
      </c>
      <c r="Q59" s="391">
        <v>0</v>
      </c>
      <c r="R59" s="391">
        <v>0</v>
      </c>
      <c r="S59" s="391">
        <v>0</v>
      </c>
      <c r="T59" s="391">
        <v>0</v>
      </c>
      <c r="U59" s="391">
        <v>0</v>
      </c>
      <c r="V59" s="56">
        <v>32027397260.273899</v>
      </c>
      <c r="W59" t="s">
        <v>364</v>
      </c>
      <c r="X59" s="397">
        <f>_xlfn.XLOOKUP(RPBOD_B003[[#This Row],[BondsDeals_Id]],AllDealps!B:B,AllDealps!R:R,,0)*RPBOD_B003[[#This Row],[Face_Amount]]</f>
        <v>3500000000000</v>
      </c>
      <c r="Y59" s="25">
        <f>RPBOD_B003[[#This Row],[Face_Amount]]*RPBOD_B003[[#This Row],[ThisCouponRate]]</f>
        <v>3500000000000</v>
      </c>
      <c r="AG59"/>
      <c r="AH59"/>
      <c r="AI59" s="15"/>
      <c r="AL59"/>
    </row>
    <row r="60" spans="1:38" x14ac:dyDescent="0.3">
      <c r="A60">
        <v>3004</v>
      </c>
      <c r="B60" t="s">
        <v>310</v>
      </c>
      <c r="C60" t="s">
        <v>1064</v>
      </c>
      <c r="D60" t="s">
        <v>324</v>
      </c>
      <c r="E60" s="56">
        <v>1000000000000</v>
      </c>
      <c r="F60" s="56">
        <v>1</v>
      </c>
      <c r="G60" s="56">
        <v>1000000000000</v>
      </c>
      <c r="H60" s="23" t="s">
        <v>1534</v>
      </c>
      <c r="I60">
        <v>1000000000000</v>
      </c>
      <c r="J60" s="56">
        <v>45986</v>
      </c>
      <c r="K60">
        <v>45986</v>
      </c>
      <c r="L60"/>
      <c r="M60">
        <v>46350</v>
      </c>
      <c r="N60">
        <v>364</v>
      </c>
      <c r="O60">
        <v>0</v>
      </c>
      <c r="P60">
        <v>6.3</v>
      </c>
      <c r="Q60" s="391">
        <v>0</v>
      </c>
      <c r="R60" s="391">
        <v>0</v>
      </c>
      <c r="S60" s="391">
        <v>0</v>
      </c>
      <c r="T60" s="391">
        <v>0</v>
      </c>
      <c r="U60" s="391">
        <v>0</v>
      </c>
      <c r="V60" s="56">
        <v>47810958904.109497</v>
      </c>
      <c r="W60" t="s">
        <v>364</v>
      </c>
      <c r="X60" s="397">
        <f>_xlfn.XLOOKUP(RPBOD_B003[[#This Row],[BondsDeals_Id]],AllDealps!B:B,AllDealps!R:R,,0)*RPBOD_B003[[#This Row],[Face_Amount]]</f>
        <v>6300000000000</v>
      </c>
      <c r="Y60" s="25">
        <f>RPBOD_B003[[#This Row],[Face_Amount]]*RPBOD_B003[[#This Row],[ThisCouponRate]]</f>
        <v>6300000000000</v>
      </c>
      <c r="AG60"/>
      <c r="AH60"/>
      <c r="AI60" s="15"/>
      <c r="AL60"/>
    </row>
    <row r="61" spans="1:38" x14ac:dyDescent="0.3">
      <c r="A61">
        <v>4602</v>
      </c>
      <c r="B61" t="s">
        <v>310</v>
      </c>
      <c r="C61" t="s">
        <v>1207</v>
      </c>
      <c r="D61" t="s">
        <v>384</v>
      </c>
      <c r="E61" s="56">
        <v>57000000000</v>
      </c>
      <c r="F61" s="56">
        <v>1</v>
      </c>
      <c r="G61" s="56">
        <v>57000000000</v>
      </c>
      <c r="H61" s="23" t="s">
        <v>1534</v>
      </c>
      <c r="I61">
        <v>2061925270</v>
      </c>
      <c r="J61" s="56">
        <v>46204</v>
      </c>
      <c r="K61">
        <v>46063</v>
      </c>
      <c r="L61"/>
      <c r="M61">
        <v>46419</v>
      </c>
      <c r="N61">
        <v>356</v>
      </c>
      <c r="O61">
        <v>0</v>
      </c>
      <c r="P61">
        <v>8</v>
      </c>
      <c r="Q61" s="391">
        <v>0</v>
      </c>
      <c r="R61" s="391">
        <v>11705082</v>
      </c>
      <c r="S61" s="391">
        <v>0</v>
      </c>
      <c r="T61" s="391">
        <v>2420502.0731163002</v>
      </c>
      <c r="U61" s="391">
        <v>6180821918</v>
      </c>
      <c r="V61" s="56">
        <v>737095890.41095805</v>
      </c>
      <c r="W61" t="s">
        <v>364</v>
      </c>
      <c r="X61" s="397">
        <f>_xlfn.XLOOKUP(RPBOD_B003[[#This Row],[BondsDeals_Id]],AllDealps!B:B,AllDealps!R:R,,0)*RPBOD_B003[[#This Row],[Face_Amount]]</f>
        <v>441755757000</v>
      </c>
      <c r="Y61" s="25">
        <f>RPBOD_B003[[#This Row],[Face_Amount]]*RPBOD_B003[[#This Row],[ThisCouponRate]]</f>
        <v>456000000000</v>
      </c>
      <c r="AG61"/>
      <c r="AH61"/>
      <c r="AI61" s="15"/>
      <c r="AL61"/>
    </row>
    <row r="62" spans="1:38" x14ac:dyDescent="0.3">
      <c r="A62">
        <v>4779</v>
      </c>
      <c r="B62" t="s">
        <v>310</v>
      </c>
      <c r="C62" t="s">
        <v>1260</v>
      </c>
      <c r="D62" t="s">
        <v>384</v>
      </c>
      <c r="E62" s="56">
        <v>70000000000</v>
      </c>
      <c r="F62" s="56">
        <v>1</v>
      </c>
      <c r="G62" s="56">
        <v>70000000000</v>
      </c>
      <c r="H62" s="23" t="s">
        <v>1534</v>
      </c>
      <c r="I62">
        <v>7250606006</v>
      </c>
      <c r="J62" s="56">
        <v>46234</v>
      </c>
      <c r="K62">
        <v>46129</v>
      </c>
      <c r="L62"/>
      <c r="M62">
        <v>46524</v>
      </c>
      <c r="N62">
        <v>395</v>
      </c>
      <c r="O62">
        <v>0</v>
      </c>
      <c r="P62">
        <v>9.5</v>
      </c>
      <c r="Q62" s="391">
        <v>0</v>
      </c>
      <c r="R62" s="391">
        <v>593046361.59999895</v>
      </c>
      <c r="S62" s="391">
        <v>0</v>
      </c>
      <c r="T62" s="391">
        <v>533741725.43999898</v>
      </c>
      <c r="U62" s="391">
        <v>1913013698.4000001</v>
      </c>
      <c r="V62" s="56">
        <v>528356164.38356102</v>
      </c>
      <c r="W62" t="s">
        <v>364</v>
      </c>
      <c r="X62" s="397">
        <f>_xlfn.XLOOKUP(RPBOD_B003[[#This Row],[BondsDeals_Id]],AllDealps!B:B,AllDealps!R:R,,0)*RPBOD_B003[[#This Row],[Face_Amount]]</f>
        <v>569953160000</v>
      </c>
      <c r="Y62" s="25">
        <f>RPBOD_B003[[#This Row],[Face_Amount]]*RPBOD_B003[[#This Row],[ThisCouponRate]]</f>
        <v>665000000000</v>
      </c>
      <c r="AG62"/>
      <c r="AH62"/>
      <c r="AI62" s="15"/>
      <c r="AL62"/>
    </row>
    <row r="63" spans="1:38" x14ac:dyDescent="0.3">
      <c r="A63">
        <v>4903</v>
      </c>
      <c r="B63" t="s">
        <v>310</v>
      </c>
      <c r="C63" t="s">
        <v>1526</v>
      </c>
      <c r="D63" t="s">
        <v>954</v>
      </c>
      <c r="E63" s="56">
        <v>39100000000</v>
      </c>
      <c r="F63" s="56">
        <v>1</v>
      </c>
      <c r="G63" s="56">
        <v>39100000000</v>
      </c>
      <c r="H63" s="23" t="s">
        <v>1534</v>
      </c>
      <c r="I63">
        <v>3910899300</v>
      </c>
      <c r="J63" s="56">
        <v>46253</v>
      </c>
      <c r="K63">
        <v>46252</v>
      </c>
      <c r="L63">
        <v>46617</v>
      </c>
      <c r="M63">
        <v>46617</v>
      </c>
      <c r="N63">
        <v>365</v>
      </c>
      <c r="O63">
        <v>0</v>
      </c>
      <c r="P63">
        <v>8.5</v>
      </c>
      <c r="Q63" s="391">
        <v>112479.361</v>
      </c>
      <c r="R63" s="391">
        <v>0</v>
      </c>
      <c r="S63" s="391">
        <v>109389.26866479999</v>
      </c>
      <c r="T63" s="391">
        <v>0</v>
      </c>
      <c r="U63" s="391">
        <v>9105479.3609999996</v>
      </c>
      <c r="V63" s="56">
        <v>91054794.520547897</v>
      </c>
      <c r="W63" t="s">
        <v>364</v>
      </c>
      <c r="X63" s="397">
        <f>_xlfn.XLOOKUP(RPBOD_B003[[#This Row],[BondsDeals_Id]],AllDealps!B:B,AllDealps!R:R,,0)*RPBOD_B003[[#This Row],[Face_Amount]]</f>
        <v>332284859400</v>
      </c>
      <c r="Y63" s="25">
        <f>RPBOD_B003[[#This Row],[Face_Amount]]*RPBOD_B003[[#This Row],[ThisCouponRate]]</f>
        <v>332350000000</v>
      </c>
      <c r="AG63"/>
      <c r="AH63"/>
      <c r="AI63" s="15"/>
      <c r="AL63"/>
    </row>
    <row r="64" spans="1:38" x14ac:dyDescent="0.3">
      <c r="A64">
        <v>4946</v>
      </c>
      <c r="B64" t="s">
        <v>310</v>
      </c>
      <c r="C64" t="s">
        <v>1292</v>
      </c>
      <c r="D64" t="s">
        <v>334</v>
      </c>
      <c r="E64" s="56">
        <v>1000000000000</v>
      </c>
      <c r="F64" s="56">
        <v>1</v>
      </c>
      <c r="G64" s="56">
        <v>1000000000000</v>
      </c>
      <c r="H64" s="23" t="s">
        <v>1534</v>
      </c>
      <c r="I64">
        <v>1023285427000</v>
      </c>
      <c r="J64" s="56">
        <v>46255</v>
      </c>
      <c r="K64">
        <v>46163</v>
      </c>
      <c r="L64"/>
      <c r="M64">
        <v>46527</v>
      </c>
      <c r="N64">
        <v>364</v>
      </c>
      <c r="O64">
        <v>0</v>
      </c>
      <c r="P64">
        <v>8.5</v>
      </c>
      <c r="Q64" s="391">
        <v>0</v>
      </c>
      <c r="R64" s="391">
        <v>1860769469.99999</v>
      </c>
      <c r="S64" s="391">
        <v>0</v>
      </c>
      <c r="T64" s="391">
        <v>1806040956.17646</v>
      </c>
      <c r="U64" s="391">
        <v>21424657530</v>
      </c>
      <c r="V64" s="56">
        <v>1863013698.6301301</v>
      </c>
      <c r="W64" t="s">
        <v>364</v>
      </c>
      <c r="X64" s="397">
        <f>_xlfn.XLOOKUP(RPBOD_B003[[#This Row],[BondsDeals_Id]],AllDealps!B:B,AllDealps!R:R,,0)*RPBOD_B003[[#This Row],[Face_Amount]]</f>
        <v>8062561000000.001</v>
      </c>
      <c r="Y64" s="25">
        <f>RPBOD_B003[[#This Row],[Face_Amount]]*RPBOD_B003[[#This Row],[ThisCouponRate]]</f>
        <v>8500000000000</v>
      </c>
      <c r="AG64"/>
      <c r="AH64"/>
      <c r="AI64" s="15"/>
      <c r="AL64"/>
    </row>
    <row r="65" spans="1:38" x14ac:dyDescent="0.3">
      <c r="A65">
        <v>4971</v>
      </c>
      <c r="B65" t="s">
        <v>310</v>
      </c>
      <c r="C65" t="s">
        <v>1602</v>
      </c>
      <c r="D65" t="s">
        <v>405</v>
      </c>
      <c r="E65" s="56">
        <v>300000000000</v>
      </c>
      <c r="F65" s="56">
        <v>1</v>
      </c>
      <c r="G65" s="56">
        <v>300000000000</v>
      </c>
      <c r="H65" s="23" t="s">
        <v>1534</v>
      </c>
      <c r="I65">
        <v>6000000000</v>
      </c>
      <c r="J65" s="56">
        <v>46259</v>
      </c>
      <c r="K65">
        <v>46259</v>
      </c>
      <c r="L65"/>
      <c r="M65">
        <v>46618</v>
      </c>
      <c r="N65">
        <v>359</v>
      </c>
      <c r="O65">
        <v>0</v>
      </c>
      <c r="P65">
        <v>9.1999999999999993</v>
      </c>
      <c r="Q65" s="391">
        <v>0</v>
      </c>
      <c r="R65" s="391">
        <v>0</v>
      </c>
      <c r="S65" s="391">
        <v>0</v>
      </c>
      <c r="T65" s="391">
        <v>0</v>
      </c>
      <c r="U65" s="391">
        <v>0</v>
      </c>
      <c r="V65" s="56">
        <v>302465753.42465699</v>
      </c>
      <c r="W65" t="s">
        <v>364</v>
      </c>
      <c r="X65" s="397">
        <f>_xlfn.XLOOKUP(RPBOD_B003[[#This Row],[BondsDeals_Id]],AllDealps!B:B,AllDealps!R:R,,0)*RPBOD_B003[[#This Row],[Face_Amount]]</f>
        <v>2760000000000</v>
      </c>
      <c r="Y65" s="25">
        <f>RPBOD_B003[[#This Row],[Face_Amount]]*RPBOD_B003[[#This Row],[ThisCouponRate]]</f>
        <v>2760000000000</v>
      </c>
      <c r="AG65"/>
      <c r="AH65"/>
      <c r="AI65" s="34"/>
      <c r="AL65"/>
    </row>
    <row r="66" spans="1:38" x14ac:dyDescent="0.3">
      <c r="A66">
        <v>4979</v>
      </c>
      <c r="B66" t="s">
        <v>310</v>
      </c>
      <c r="C66" t="s">
        <v>1071</v>
      </c>
      <c r="D66" t="s">
        <v>328</v>
      </c>
      <c r="E66" s="56">
        <v>500000000000</v>
      </c>
      <c r="F66" s="56">
        <v>1</v>
      </c>
      <c r="G66" s="56">
        <v>500000000000</v>
      </c>
      <c r="H66" s="23" t="s">
        <v>1534</v>
      </c>
      <c r="I66">
        <v>5264087255</v>
      </c>
      <c r="J66" s="56">
        <v>46260</v>
      </c>
      <c r="K66">
        <v>45988</v>
      </c>
      <c r="L66"/>
      <c r="M66">
        <v>46352</v>
      </c>
      <c r="N66">
        <v>364</v>
      </c>
      <c r="O66">
        <v>0</v>
      </c>
      <c r="P66">
        <v>6.6</v>
      </c>
      <c r="Q66" s="391">
        <v>0</v>
      </c>
      <c r="R66" s="391">
        <v>1816944680</v>
      </c>
      <c r="S66" s="391">
        <v>0</v>
      </c>
      <c r="T66" s="391">
        <v>1757696483.9130399</v>
      </c>
      <c r="U66" s="391">
        <v>24591780820</v>
      </c>
      <c r="V66" s="56">
        <v>271232876.71232802</v>
      </c>
      <c r="W66" t="s">
        <v>364</v>
      </c>
      <c r="X66" s="397">
        <f>_xlfn.XLOOKUP(RPBOD_B003[[#This Row],[BondsDeals_Id]],AllDealps!B:B,AllDealps!R:R,,0)*RPBOD_B003[[#This Row],[Face_Amount]]</f>
        <v>2449757000000</v>
      </c>
      <c r="Y66" s="25">
        <f>RPBOD_B003[[#This Row],[Face_Amount]]*RPBOD_B003[[#This Row],[ThisCouponRate]]</f>
        <v>3300000000000</v>
      </c>
      <c r="AG66"/>
      <c r="AH66"/>
      <c r="AI66" s="15"/>
      <c r="AL66"/>
    </row>
    <row r="67" spans="1:38" x14ac:dyDescent="0.3">
      <c r="A67">
        <v>4994</v>
      </c>
      <c r="B67" t="s">
        <v>310</v>
      </c>
      <c r="C67" t="s">
        <v>1507</v>
      </c>
      <c r="D67" t="s">
        <v>347</v>
      </c>
      <c r="E67" s="56">
        <v>500000000000</v>
      </c>
      <c r="F67" s="56">
        <v>1</v>
      </c>
      <c r="G67" s="56">
        <v>500000000000</v>
      </c>
      <c r="H67" s="23" t="s">
        <v>1534</v>
      </c>
      <c r="I67">
        <v>5013596270</v>
      </c>
      <c r="J67" s="56">
        <v>46261</v>
      </c>
      <c r="K67">
        <v>46247</v>
      </c>
      <c r="L67"/>
      <c r="M67">
        <v>46604</v>
      </c>
      <c r="N67">
        <v>357</v>
      </c>
      <c r="O67">
        <v>0</v>
      </c>
      <c r="P67">
        <v>9.1</v>
      </c>
      <c r="Q67" s="391">
        <v>385578480</v>
      </c>
      <c r="R67" s="391">
        <v>0</v>
      </c>
      <c r="S67" s="391">
        <v>383330208.97959101</v>
      </c>
      <c r="T67" s="391">
        <v>0</v>
      </c>
      <c r="U67" s="391">
        <v>1745205480</v>
      </c>
      <c r="V67" s="56">
        <v>249315068.49315</v>
      </c>
      <c r="W67" t="s">
        <v>364</v>
      </c>
      <c r="X67" s="397">
        <f>_xlfn.XLOOKUP(RPBOD_B003[[#This Row],[BondsDeals_Id]],AllDealps!B:B,AllDealps!R:R,,0)*RPBOD_B003[[#This Row],[Face_Amount]]</f>
        <v>4578580500000</v>
      </c>
      <c r="Y67" s="25">
        <f>RPBOD_B003[[#This Row],[Face_Amount]]*RPBOD_B003[[#This Row],[ThisCouponRate]]</f>
        <v>4550000000000</v>
      </c>
      <c r="AG67"/>
      <c r="AH67"/>
      <c r="AI67" s="15"/>
      <c r="AL67"/>
    </row>
    <row r="68" spans="1:38" x14ac:dyDescent="0.3">
      <c r="A68">
        <v>4996</v>
      </c>
      <c r="B68" t="s">
        <v>310</v>
      </c>
      <c r="C68" t="s">
        <v>1158</v>
      </c>
      <c r="D68" t="s">
        <v>327</v>
      </c>
      <c r="E68" s="56">
        <v>500000000000</v>
      </c>
      <c r="F68" s="56">
        <v>1</v>
      </c>
      <c r="G68" s="56">
        <v>500000000000</v>
      </c>
      <c r="H68" s="23" t="s">
        <v>1534</v>
      </c>
      <c r="I68">
        <v>5210293023</v>
      </c>
      <c r="J68" s="56">
        <v>46261</v>
      </c>
      <c r="K68">
        <v>46045</v>
      </c>
      <c r="L68"/>
      <c r="M68">
        <v>46409</v>
      </c>
      <c r="N68">
        <v>364</v>
      </c>
      <c r="O68">
        <v>0</v>
      </c>
      <c r="P68">
        <v>7.2</v>
      </c>
      <c r="Q68" s="391">
        <v>274807290.00000298</v>
      </c>
      <c r="R68" s="391">
        <v>0</v>
      </c>
      <c r="S68" s="391">
        <v>271093677.97297603</v>
      </c>
      <c r="T68" s="391">
        <v>0</v>
      </c>
      <c r="U68" s="391">
        <v>21304109590</v>
      </c>
      <c r="V68" s="56">
        <v>197260273.97260201</v>
      </c>
      <c r="W68" t="s">
        <v>364</v>
      </c>
      <c r="X68" s="397">
        <f>_xlfn.XLOOKUP(RPBOD_B003[[#This Row],[BondsDeals_Id]],AllDealps!B:B,AllDealps!R:R,,0)*RPBOD_B003[[#This Row],[Face_Amount]]</f>
        <v>3519738000000</v>
      </c>
      <c r="Y68" s="25">
        <f>RPBOD_B003[[#This Row],[Face_Amount]]*RPBOD_B003[[#This Row],[ThisCouponRate]]</f>
        <v>3600000000000</v>
      </c>
      <c r="AG68"/>
      <c r="AH68"/>
      <c r="AI68" s="15"/>
      <c r="AL68"/>
    </row>
    <row r="69" spans="1:38" x14ac:dyDescent="0.3">
      <c r="A69">
        <v>5003</v>
      </c>
      <c r="B69" t="s">
        <v>310</v>
      </c>
      <c r="C69" t="s">
        <v>1292</v>
      </c>
      <c r="D69" t="s">
        <v>334</v>
      </c>
      <c r="E69" s="56">
        <v>400000000000</v>
      </c>
      <c r="F69" s="56">
        <v>1</v>
      </c>
      <c r="G69" s="56">
        <v>400000000000</v>
      </c>
      <c r="H69" s="23" t="s">
        <v>1534</v>
      </c>
      <c r="I69">
        <v>4083724108</v>
      </c>
      <c r="J69" s="56">
        <v>46262</v>
      </c>
      <c r="K69">
        <v>46163</v>
      </c>
      <c r="L69"/>
      <c r="M69">
        <v>46527</v>
      </c>
      <c r="N69">
        <v>364</v>
      </c>
      <c r="O69">
        <v>0</v>
      </c>
      <c r="P69">
        <v>8.5</v>
      </c>
      <c r="Q69" s="391">
        <v>849507008</v>
      </c>
      <c r="R69" s="391">
        <v>0</v>
      </c>
      <c r="S69" s="391">
        <v>846301321.17735803</v>
      </c>
      <c r="T69" s="391">
        <v>0</v>
      </c>
      <c r="U69" s="391">
        <v>9221917808</v>
      </c>
      <c r="V69" s="56">
        <v>93150684.931506798</v>
      </c>
      <c r="W69" t="s">
        <v>364</v>
      </c>
      <c r="X69" s="397">
        <f>_xlfn.XLOOKUP(RPBOD_B003[[#This Row],[BondsDeals_Id]],AllDealps!B:B,AllDealps!R:R,,0)*RPBOD_B003[[#This Row],[Face_Amount]]</f>
        <v>3444902400000</v>
      </c>
      <c r="Y69" s="25">
        <f>RPBOD_B003[[#This Row],[Face_Amount]]*RPBOD_B003[[#This Row],[ThisCouponRate]]</f>
        <v>3400000000000</v>
      </c>
      <c r="AG69"/>
      <c r="AH69"/>
      <c r="AI69" s="15"/>
      <c r="AL69"/>
    </row>
    <row r="70" spans="1:38" x14ac:dyDescent="0.3">
      <c r="A70">
        <v>5004</v>
      </c>
      <c r="B70" t="s">
        <v>310</v>
      </c>
      <c r="C70" t="s">
        <v>1104</v>
      </c>
      <c r="D70" t="s">
        <v>334</v>
      </c>
      <c r="E70" s="56">
        <v>600000000000</v>
      </c>
      <c r="F70" s="56">
        <v>1</v>
      </c>
      <c r="G70" s="56">
        <v>600000000000</v>
      </c>
      <c r="H70" s="23" t="s">
        <v>1534</v>
      </c>
      <c r="I70">
        <v>6283028406</v>
      </c>
      <c r="J70" s="56">
        <v>46262</v>
      </c>
      <c r="K70">
        <v>45996</v>
      </c>
      <c r="L70"/>
      <c r="M70">
        <v>46360</v>
      </c>
      <c r="N70">
        <v>364</v>
      </c>
      <c r="O70">
        <v>0</v>
      </c>
      <c r="P70">
        <v>6.9</v>
      </c>
      <c r="Q70" s="391">
        <v>1868118306</v>
      </c>
      <c r="R70" s="391">
        <v>0</v>
      </c>
      <c r="S70" s="391">
        <v>1849055874.3061199</v>
      </c>
      <c r="T70" s="391">
        <v>0</v>
      </c>
      <c r="U70" s="391">
        <v>30170958906</v>
      </c>
      <c r="V70" s="56">
        <v>113424657.534246</v>
      </c>
      <c r="W70" t="s">
        <v>364</v>
      </c>
      <c r="X70" s="397">
        <f>_xlfn.XLOOKUP(RPBOD_B003[[#This Row],[BondsDeals_Id]],AllDealps!B:B,AllDealps!R:R,,0)*RPBOD_B003[[#This Row],[Face_Amount]]</f>
        <v>4617943800000</v>
      </c>
      <c r="Y70" s="25">
        <f>RPBOD_B003[[#This Row],[Face_Amount]]*RPBOD_B003[[#This Row],[ThisCouponRate]]</f>
        <v>4140000000000</v>
      </c>
      <c r="AG70"/>
      <c r="AH70"/>
      <c r="AI70" s="15"/>
      <c r="AL70"/>
    </row>
    <row r="71" spans="1:38" x14ac:dyDescent="0.3">
      <c r="A71">
        <v>5020</v>
      </c>
      <c r="B71" t="s">
        <v>310</v>
      </c>
      <c r="C71" t="s">
        <v>1239</v>
      </c>
      <c r="D71" t="s">
        <v>384</v>
      </c>
      <c r="E71" s="56">
        <v>68000000000</v>
      </c>
      <c r="F71" s="56">
        <v>1</v>
      </c>
      <c r="G71" s="56">
        <v>68000000000</v>
      </c>
      <c r="H71" s="23" t="s">
        <v>1534</v>
      </c>
      <c r="I71">
        <v>7099080218</v>
      </c>
      <c r="J71" s="56">
        <v>46262</v>
      </c>
      <c r="K71">
        <v>46097</v>
      </c>
      <c r="L71"/>
      <c r="M71">
        <v>46493</v>
      </c>
      <c r="N71">
        <v>396</v>
      </c>
      <c r="O71">
        <v>0</v>
      </c>
      <c r="P71">
        <v>8.9</v>
      </c>
      <c r="Q71" s="391">
        <v>0</v>
      </c>
      <c r="R71" s="391">
        <v>254966563.71999899</v>
      </c>
      <c r="S71" s="391">
        <v>0</v>
      </c>
      <c r="T71" s="391">
        <v>253862812.361904</v>
      </c>
      <c r="U71" s="391">
        <v>2735835616.2800002</v>
      </c>
      <c r="V71" s="56">
        <v>16580821.917808199</v>
      </c>
      <c r="W71" t="s">
        <v>364</v>
      </c>
      <c r="X71" s="397">
        <f>_xlfn.XLOOKUP(RPBOD_B003[[#This Row],[BondsDeals_Id]],AllDealps!B:B,AllDealps!R:R,,0)*RPBOD_B003[[#This Row],[Face_Amount]]</f>
        <v>541113604000</v>
      </c>
      <c r="Y71" s="25">
        <f>RPBOD_B003[[#This Row],[Face_Amount]]*RPBOD_B003[[#This Row],[ThisCouponRate]]</f>
        <v>605200000000</v>
      </c>
      <c r="AG71"/>
      <c r="AH71"/>
      <c r="AI71" s="15"/>
      <c r="AL71"/>
    </row>
    <row r="72" spans="1:38" x14ac:dyDescent="0.3">
      <c r="A72">
        <v>3005</v>
      </c>
      <c r="B72" t="s">
        <v>310</v>
      </c>
      <c r="C72" t="s">
        <v>1064</v>
      </c>
      <c r="D72" t="s">
        <v>324</v>
      </c>
      <c r="E72" s="56">
        <v>1000000000000</v>
      </c>
      <c r="F72" s="56">
        <v>1</v>
      </c>
      <c r="G72" s="56">
        <v>1000000000000</v>
      </c>
      <c r="H72" s="23" t="s">
        <v>1534</v>
      </c>
      <c r="I72">
        <v>1000000000000</v>
      </c>
      <c r="J72" s="56">
        <v>45986</v>
      </c>
      <c r="K72">
        <v>45986</v>
      </c>
      <c r="L72"/>
      <c r="M72">
        <v>46350</v>
      </c>
      <c r="N72">
        <v>364</v>
      </c>
      <c r="O72">
        <v>0</v>
      </c>
      <c r="P72">
        <v>6.3</v>
      </c>
      <c r="Q72" s="391">
        <v>0</v>
      </c>
      <c r="R72" s="391">
        <v>0</v>
      </c>
      <c r="S72" s="391">
        <v>0</v>
      </c>
      <c r="T72" s="391">
        <v>0</v>
      </c>
      <c r="U72" s="391">
        <v>0</v>
      </c>
      <c r="V72" s="56">
        <v>47810958904.109497</v>
      </c>
      <c r="W72" t="s">
        <v>364</v>
      </c>
      <c r="X72" s="397">
        <f>_xlfn.XLOOKUP(RPBOD_B003[[#This Row],[BondsDeals_Id]],AllDealps!B:B,AllDealps!R:R,,0)*RPBOD_B003[[#This Row],[Face_Amount]]</f>
        <v>6300000000000</v>
      </c>
      <c r="Y72" s="25">
        <f>RPBOD_B003[[#This Row],[Face_Amount]]*RPBOD_B003[[#This Row],[ThisCouponRate]]</f>
        <v>6300000000000</v>
      </c>
      <c r="AG72"/>
      <c r="AH72"/>
      <c r="AI72" s="15"/>
      <c r="AL72"/>
    </row>
    <row r="73" spans="1:38" x14ac:dyDescent="0.3">
      <c r="A73">
        <v>3290</v>
      </c>
      <c r="B73" t="s">
        <v>310</v>
      </c>
      <c r="C73" t="s">
        <v>1140</v>
      </c>
      <c r="D73" t="s">
        <v>343</v>
      </c>
      <c r="E73" s="56">
        <v>50000000000</v>
      </c>
      <c r="F73" s="56">
        <v>1</v>
      </c>
      <c r="G73" s="56">
        <v>50000000000</v>
      </c>
      <c r="H73" s="23" t="s">
        <v>1534</v>
      </c>
      <c r="I73">
        <v>4973511590</v>
      </c>
      <c r="J73" s="56">
        <v>46027</v>
      </c>
      <c r="K73">
        <v>46010</v>
      </c>
      <c r="L73"/>
      <c r="M73">
        <v>46283</v>
      </c>
      <c r="N73">
        <v>273</v>
      </c>
      <c r="O73">
        <v>0</v>
      </c>
      <c r="P73">
        <v>7.5</v>
      </c>
      <c r="Q73" s="391">
        <v>439541634</v>
      </c>
      <c r="R73" s="391">
        <v>0</v>
      </c>
      <c r="S73" s="391">
        <v>34339190.15625</v>
      </c>
      <c r="T73" s="391">
        <v>0</v>
      </c>
      <c r="U73" s="391">
        <v>174657534</v>
      </c>
      <c r="V73" s="56">
        <v>2424657534.2465701</v>
      </c>
      <c r="W73" t="s">
        <v>364</v>
      </c>
      <c r="X73" s="397">
        <f>_xlfn.XLOOKUP(RPBOD_B003[[#This Row],[BondsDeals_Id]],AllDealps!B:B,AllDealps!R:R,,0)*RPBOD_B003[[#This Row],[Face_Amount]]</f>
        <v>440000000000.00006</v>
      </c>
      <c r="Y73" s="25">
        <f>RPBOD_B003[[#This Row],[Face_Amount]]*RPBOD_B003[[#This Row],[ThisCouponRate]]</f>
        <v>375000000000</v>
      </c>
      <c r="AG73"/>
      <c r="AH73"/>
      <c r="AI73" s="15"/>
      <c r="AL73"/>
    </row>
    <row r="74" spans="1:38" x14ac:dyDescent="0.3">
      <c r="A74">
        <v>4805</v>
      </c>
      <c r="B74" t="s">
        <v>310</v>
      </c>
      <c r="C74" t="s">
        <v>1260</v>
      </c>
      <c r="D74" t="s">
        <v>384</v>
      </c>
      <c r="E74" s="56">
        <v>24000000000</v>
      </c>
      <c r="F74" s="56">
        <v>1</v>
      </c>
      <c r="G74" s="56">
        <v>24000000000</v>
      </c>
      <c r="H74" s="23" t="s">
        <v>1534</v>
      </c>
      <c r="I74">
        <v>2466397425</v>
      </c>
      <c r="J74" s="56">
        <v>46239</v>
      </c>
      <c r="K74">
        <v>46129</v>
      </c>
      <c r="L74"/>
      <c r="M74">
        <v>46524</v>
      </c>
      <c r="N74">
        <v>395</v>
      </c>
      <c r="O74">
        <v>0</v>
      </c>
      <c r="P74">
        <v>9.5</v>
      </c>
      <c r="Q74" s="391">
        <v>23149031.760000002</v>
      </c>
      <c r="R74" s="391">
        <v>0</v>
      </c>
      <c r="S74" s="391">
        <v>21199639.611789495</v>
      </c>
      <c r="T74" s="391">
        <v>0</v>
      </c>
      <c r="U74" s="391">
        <v>687123287.75999999</v>
      </c>
      <c r="V74" s="56">
        <v>149917808.21917799</v>
      </c>
      <c r="W74" t="s">
        <v>364</v>
      </c>
      <c r="X74" s="397">
        <f>_xlfn.XLOOKUP(RPBOD_B003[[#This Row],[BondsDeals_Id]],AllDealps!B:B,AllDealps!R:R,,0)*RPBOD_B003[[#This Row],[Face_Amount]]</f>
        <v>224746944000</v>
      </c>
      <c r="Y74" s="25">
        <f>RPBOD_B003[[#This Row],[Face_Amount]]*RPBOD_B003[[#This Row],[ThisCouponRate]]</f>
        <v>228000000000</v>
      </c>
      <c r="AG74"/>
      <c r="AH74"/>
      <c r="AI74" s="15"/>
      <c r="AL74"/>
    </row>
    <row r="75" spans="1:38" x14ac:dyDescent="0.3">
      <c r="A75">
        <v>4831</v>
      </c>
      <c r="B75" t="s">
        <v>310</v>
      </c>
      <c r="C75" t="s">
        <v>1260</v>
      </c>
      <c r="D75" t="s">
        <v>384</v>
      </c>
      <c r="E75" s="56">
        <v>49000000000</v>
      </c>
      <c r="F75" s="56">
        <v>1</v>
      </c>
      <c r="G75" s="56">
        <v>49000000000</v>
      </c>
      <c r="H75" s="23" t="s">
        <v>1534</v>
      </c>
      <c r="I75">
        <v>5038284869</v>
      </c>
      <c r="J75" s="56">
        <v>46241</v>
      </c>
      <c r="K75">
        <v>46129</v>
      </c>
      <c r="L75"/>
      <c r="M75">
        <v>46524</v>
      </c>
      <c r="N75">
        <v>395</v>
      </c>
      <c r="O75">
        <v>0</v>
      </c>
      <c r="P75">
        <v>9.5</v>
      </c>
      <c r="Q75" s="391">
        <v>45534863.569999903</v>
      </c>
      <c r="R75" s="391">
        <v>0</v>
      </c>
      <c r="S75" s="391">
        <v>41995050.8543109</v>
      </c>
      <c r="T75" s="391">
        <v>0</v>
      </c>
      <c r="U75" s="391">
        <v>1428383561.5699899</v>
      </c>
      <c r="V75" s="56">
        <v>280575342.46575302</v>
      </c>
      <c r="W75" t="s">
        <v>364</v>
      </c>
      <c r="X75" s="397">
        <f>_xlfn.XLOOKUP(RPBOD_B003[[#This Row],[BondsDeals_Id]],AllDealps!B:B,AllDealps!R:R,,0)*RPBOD_B003[[#This Row],[Face_Amount]]</f>
        <v>458435180000</v>
      </c>
      <c r="Y75" s="25">
        <f>RPBOD_B003[[#This Row],[Face_Amount]]*RPBOD_B003[[#This Row],[ThisCouponRate]]</f>
        <v>465500000000</v>
      </c>
      <c r="AG75"/>
      <c r="AH75"/>
      <c r="AI75" s="15"/>
      <c r="AL75"/>
    </row>
    <row r="76" spans="1:38" x14ac:dyDescent="0.3">
      <c r="A76">
        <v>4856</v>
      </c>
      <c r="B76" t="s">
        <v>310</v>
      </c>
      <c r="C76" t="s">
        <v>1008</v>
      </c>
      <c r="D76" t="s">
        <v>473</v>
      </c>
      <c r="E76" s="56">
        <v>200000000000</v>
      </c>
      <c r="F76" s="56">
        <v>1</v>
      </c>
      <c r="G76" s="56">
        <v>200000000000</v>
      </c>
      <c r="H76" s="23" t="s">
        <v>1534</v>
      </c>
      <c r="I76">
        <v>2091349362</v>
      </c>
      <c r="J76" s="56">
        <v>46246</v>
      </c>
      <c r="K76">
        <v>45965</v>
      </c>
      <c r="L76"/>
      <c r="M76">
        <v>46324</v>
      </c>
      <c r="N76">
        <v>359</v>
      </c>
      <c r="O76">
        <v>0</v>
      </c>
      <c r="P76">
        <v>6.3</v>
      </c>
      <c r="Q76" s="391">
        <v>565337772</v>
      </c>
      <c r="R76" s="391">
        <v>0</v>
      </c>
      <c r="S76" s="391">
        <v>442123129.384615</v>
      </c>
      <c r="T76" s="391">
        <v>0</v>
      </c>
      <c r="U76" s="391">
        <v>9700273972</v>
      </c>
      <c r="V76" s="56">
        <v>586849315.06849301</v>
      </c>
      <c r="W76" t="s">
        <v>364</v>
      </c>
      <c r="X76" s="397">
        <f>_xlfn.XLOOKUP(RPBOD_B003[[#This Row],[BondsDeals_Id]],AllDealps!B:B,AllDealps!R:R,,0)*RPBOD_B003[[#This Row],[Face_Amount]]</f>
        <v>1457957400000</v>
      </c>
      <c r="Y76" s="25">
        <f>RPBOD_B003[[#This Row],[Face_Amount]]*RPBOD_B003[[#This Row],[ThisCouponRate]]</f>
        <v>1260000000000</v>
      </c>
      <c r="AG76"/>
      <c r="AH76"/>
      <c r="AI76" s="15"/>
      <c r="AL76"/>
    </row>
    <row r="77" spans="1:38" x14ac:dyDescent="0.3">
      <c r="A77">
        <v>4972</v>
      </c>
      <c r="B77" t="s">
        <v>310</v>
      </c>
      <c r="C77" t="s">
        <v>1204</v>
      </c>
      <c r="D77" t="s">
        <v>315</v>
      </c>
      <c r="E77" s="56">
        <v>410000000000</v>
      </c>
      <c r="F77" s="56">
        <v>1</v>
      </c>
      <c r="G77" s="56">
        <v>410000000000</v>
      </c>
      <c r="H77" s="23" t="s">
        <v>1534</v>
      </c>
      <c r="I77">
        <v>4813639143</v>
      </c>
      <c r="J77" s="56">
        <v>46259</v>
      </c>
      <c r="K77">
        <v>46057</v>
      </c>
      <c r="L77">
        <v>46422</v>
      </c>
      <c r="M77">
        <v>46422</v>
      </c>
      <c r="N77">
        <v>365</v>
      </c>
      <c r="O77">
        <v>0</v>
      </c>
      <c r="P77">
        <v>7.24</v>
      </c>
      <c r="Q77" s="391">
        <v>0</v>
      </c>
      <c r="R77" s="391">
        <v>2932659523.4000001</v>
      </c>
      <c r="S77" s="391">
        <v>0</v>
      </c>
      <c r="T77" s="391">
        <v>2549747590.4300599</v>
      </c>
      <c r="U77" s="391">
        <v>18431254796.599899</v>
      </c>
      <c r="V77" s="56">
        <v>325304109.58904099</v>
      </c>
      <c r="W77" t="s">
        <v>364</v>
      </c>
      <c r="X77" s="397">
        <f>_xlfn.XLOOKUP(RPBOD_B003[[#This Row],[BondsDeals_Id]],AllDealps!B:B,AllDealps!R:R,,0)*RPBOD_B003[[#This Row],[Face_Amount]]</f>
        <v>2277314660000</v>
      </c>
      <c r="Y77" s="25">
        <f>RPBOD_B003[[#This Row],[Face_Amount]]*RPBOD_B003[[#This Row],[ThisCouponRate]]</f>
        <v>2968400000000</v>
      </c>
      <c r="AG77"/>
      <c r="AH77"/>
      <c r="AI77" s="15"/>
      <c r="AL77"/>
    </row>
    <row r="78" spans="1:38" x14ac:dyDescent="0.3">
      <c r="A78">
        <v>2926</v>
      </c>
      <c r="B78" t="s">
        <v>310</v>
      </c>
      <c r="C78" t="s">
        <v>961</v>
      </c>
      <c r="D78" t="s">
        <v>473</v>
      </c>
      <c r="E78" s="56">
        <v>400000000000</v>
      </c>
      <c r="F78" s="56">
        <v>1</v>
      </c>
      <c r="G78" s="56">
        <v>400000000000</v>
      </c>
      <c r="H78" s="23" t="s">
        <v>1534</v>
      </c>
      <c r="I78">
        <v>4028234968</v>
      </c>
      <c r="J78" s="56">
        <v>45974</v>
      </c>
      <c r="K78">
        <v>45930</v>
      </c>
      <c r="L78"/>
      <c r="M78">
        <v>46289</v>
      </c>
      <c r="N78">
        <v>359</v>
      </c>
      <c r="O78">
        <v>0</v>
      </c>
      <c r="P78">
        <v>6</v>
      </c>
      <c r="Q78" s="391">
        <v>69653884</v>
      </c>
      <c r="R78" s="391">
        <v>0</v>
      </c>
      <c r="S78" s="391">
        <v>5749209.4730158998</v>
      </c>
      <c r="T78" s="391">
        <v>0</v>
      </c>
      <c r="U78" s="391">
        <v>2893150684</v>
      </c>
      <c r="V78" s="56">
        <v>19002739726.027306</v>
      </c>
      <c r="W78" t="s">
        <v>364</v>
      </c>
      <c r="X78" s="397">
        <f>_xlfn.XLOOKUP(RPBOD_B003[[#This Row],[BondsDeals_Id]],AllDealps!B:B,AllDealps!R:R,,0)*RPBOD_B003[[#This Row],[Face_Amount]]</f>
        <v>2391192000000</v>
      </c>
      <c r="Y78" s="25">
        <f>RPBOD_B003[[#This Row],[Face_Amount]]*RPBOD_B003[[#This Row],[ThisCouponRate]]</f>
        <v>2400000000000</v>
      </c>
      <c r="AG78"/>
      <c r="AH78"/>
      <c r="AI78" s="15"/>
      <c r="AL78"/>
    </row>
    <row r="79" spans="1:38" x14ac:dyDescent="0.3">
      <c r="A79">
        <v>4914</v>
      </c>
      <c r="B79" t="s">
        <v>310</v>
      </c>
      <c r="C79" t="s">
        <v>1010</v>
      </c>
      <c r="D79" t="s">
        <v>328</v>
      </c>
      <c r="E79" s="56">
        <v>300000000000</v>
      </c>
      <c r="F79" s="56">
        <v>1</v>
      </c>
      <c r="G79" s="56">
        <v>300000000000</v>
      </c>
      <c r="H79" s="23" t="s">
        <v>1534</v>
      </c>
      <c r="I79">
        <v>5237394720</v>
      </c>
      <c r="J79" s="56">
        <v>46253</v>
      </c>
      <c r="K79">
        <v>45965</v>
      </c>
      <c r="L79">
        <v>46329</v>
      </c>
      <c r="M79">
        <v>46329</v>
      </c>
      <c r="N79">
        <v>364</v>
      </c>
      <c r="O79">
        <v>0</v>
      </c>
      <c r="P79">
        <v>6.3</v>
      </c>
      <c r="Q79" s="391">
        <v>1115322520</v>
      </c>
      <c r="R79" s="391">
        <v>0</v>
      </c>
      <c r="S79" s="391">
        <v>581141734.10526299</v>
      </c>
      <c r="T79" s="391">
        <v>0</v>
      </c>
      <c r="U79" s="391">
        <v>24854794519.999901</v>
      </c>
      <c r="V79" s="56">
        <v>517808219.17808199</v>
      </c>
      <c r="W79" t="s">
        <v>364</v>
      </c>
      <c r="X79" s="397">
        <f>_xlfn.XLOOKUP(RPBOD_B003[[#This Row],[BondsDeals_Id]],AllDealps!B:B,AllDealps!R:R,,0)*RPBOD_B003[[#This Row],[Face_Amount]]</f>
        <v>2111153700000</v>
      </c>
      <c r="Y79" s="25">
        <f>RPBOD_B003[[#This Row],[Face_Amount]]*RPBOD_B003[[#This Row],[ThisCouponRate]]</f>
        <v>1890000000000</v>
      </c>
      <c r="AG79"/>
      <c r="AH79"/>
      <c r="AI79" s="15"/>
      <c r="AL79"/>
    </row>
    <row r="80" spans="1:38" x14ac:dyDescent="0.3">
      <c r="A80">
        <v>4948</v>
      </c>
      <c r="B80" t="s">
        <v>310</v>
      </c>
      <c r="C80" t="s">
        <v>1010</v>
      </c>
      <c r="D80" t="s">
        <v>328</v>
      </c>
      <c r="E80" s="56">
        <v>500000000000</v>
      </c>
      <c r="F80" s="56">
        <v>1</v>
      </c>
      <c r="G80" s="56">
        <v>500000000000</v>
      </c>
      <c r="H80" s="23" t="s">
        <v>1534</v>
      </c>
      <c r="I80">
        <v>5238768905</v>
      </c>
      <c r="J80" s="56">
        <v>46255</v>
      </c>
      <c r="K80">
        <v>45965</v>
      </c>
      <c r="L80">
        <v>46329</v>
      </c>
      <c r="M80">
        <v>46329</v>
      </c>
      <c r="N80">
        <v>364</v>
      </c>
      <c r="O80">
        <v>0</v>
      </c>
      <c r="P80">
        <v>6.3</v>
      </c>
      <c r="Q80" s="391">
        <v>1150506760</v>
      </c>
      <c r="R80" s="391">
        <v>0</v>
      </c>
      <c r="S80" s="391">
        <v>1026127650.81081</v>
      </c>
      <c r="T80" s="391">
        <v>0</v>
      </c>
      <c r="U80" s="391">
        <v>25027397260</v>
      </c>
      <c r="V80" s="56">
        <v>690410958.904109</v>
      </c>
      <c r="W80" t="s">
        <v>364</v>
      </c>
      <c r="X80" s="397">
        <f>_xlfn.XLOOKUP(RPBOD_B003[[#This Row],[BondsDeals_Id]],AllDealps!B:B,AllDealps!R:R,,0)*RPBOD_B003[[#This Row],[Face_Amount]]</f>
        <v>3548047000000</v>
      </c>
      <c r="Y80" s="25">
        <f>RPBOD_B003[[#This Row],[Face_Amount]]*RPBOD_B003[[#This Row],[ThisCouponRate]]</f>
        <v>3150000000000</v>
      </c>
      <c r="AG80"/>
      <c r="AH80"/>
      <c r="AI80" s="15"/>
      <c r="AL80"/>
    </row>
    <row r="81" spans="1:38" x14ac:dyDescent="0.3">
      <c r="A81">
        <v>4635</v>
      </c>
      <c r="B81" t="s">
        <v>310</v>
      </c>
      <c r="C81" t="s">
        <v>1073</v>
      </c>
      <c r="D81" t="s">
        <v>325</v>
      </c>
      <c r="E81" s="56">
        <v>200000000000</v>
      </c>
      <c r="F81" s="56">
        <v>1</v>
      </c>
      <c r="G81" s="56">
        <v>200000000000</v>
      </c>
      <c r="H81" s="23" t="s">
        <v>1534</v>
      </c>
      <c r="I81">
        <v>2078608208</v>
      </c>
      <c r="J81" s="56">
        <v>46206</v>
      </c>
      <c r="K81">
        <v>45992</v>
      </c>
      <c r="L81">
        <v>45992</v>
      </c>
      <c r="M81">
        <v>46356</v>
      </c>
      <c r="N81">
        <v>364</v>
      </c>
      <c r="O81">
        <v>0</v>
      </c>
      <c r="P81">
        <v>6.6</v>
      </c>
      <c r="Q81" s="391">
        <v>0</v>
      </c>
      <c r="R81" s="391">
        <v>121642718</v>
      </c>
      <c r="S81" s="391">
        <v>0</v>
      </c>
      <c r="T81" s="391">
        <v>75418485.159999996</v>
      </c>
      <c r="U81" s="391">
        <v>7739178081.9999905</v>
      </c>
      <c r="V81" s="56">
        <v>2061369863.01369</v>
      </c>
      <c r="W81" t="s">
        <v>364</v>
      </c>
      <c r="X81" s="397">
        <f>_xlfn.XLOOKUP(RPBOD_B003[[#This Row],[BondsDeals_Id]],AllDealps!B:B,AllDealps!R:R,,0)*RPBOD_B003[[#This Row],[Face_Amount]]</f>
        <v>1241600200000</v>
      </c>
      <c r="Y81" s="25">
        <f>RPBOD_B003[[#This Row],[Face_Amount]]*RPBOD_B003[[#This Row],[ThisCouponRate]]</f>
        <v>1320000000000</v>
      </c>
      <c r="AG81"/>
      <c r="AH81"/>
      <c r="AI81" s="15"/>
      <c r="AL81"/>
    </row>
    <row r="82" spans="1:38" x14ac:dyDescent="0.3">
      <c r="A82">
        <v>4886</v>
      </c>
      <c r="B82" t="s">
        <v>310</v>
      </c>
      <c r="C82" t="s">
        <v>1209</v>
      </c>
      <c r="D82" t="s">
        <v>316</v>
      </c>
      <c r="E82" s="56">
        <v>300000000000</v>
      </c>
      <c r="F82" s="56">
        <v>1</v>
      </c>
      <c r="G82" s="56">
        <v>300000000000</v>
      </c>
      <c r="H82" s="23" t="s">
        <v>1534</v>
      </c>
      <c r="I82">
        <v>3141638979</v>
      </c>
      <c r="J82" s="56">
        <v>46252</v>
      </c>
      <c r="K82">
        <v>46036</v>
      </c>
      <c r="L82"/>
      <c r="M82">
        <v>46401</v>
      </c>
      <c r="N82">
        <v>365</v>
      </c>
      <c r="O82">
        <v>0</v>
      </c>
      <c r="P82">
        <v>7.5</v>
      </c>
      <c r="Q82" s="391">
        <v>0</v>
      </c>
      <c r="R82" s="391">
        <v>848829408</v>
      </c>
      <c r="S82" s="391">
        <v>0</v>
      </c>
      <c r="T82" s="391">
        <v>786164149.691275</v>
      </c>
      <c r="U82" s="391">
        <v>13315068492</v>
      </c>
      <c r="V82" s="56">
        <v>678082191.78082097</v>
      </c>
      <c r="W82" t="s">
        <v>364</v>
      </c>
      <c r="X82" s="397">
        <f>_xlfn.XLOOKUP(RPBOD_B003[[#This Row],[BondsDeals_Id]],AllDealps!B:B,AllDealps!R:R,,0)*RPBOD_B003[[#This Row],[Face_Amount]]</f>
        <v>1950000000000</v>
      </c>
      <c r="Y82" s="25">
        <f>RPBOD_B003[[#This Row],[Face_Amount]]*RPBOD_B003[[#This Row],[ThisCouponRate]]</f>
        <v>2250000000000</v>
      </c>
      <c r="AG82"/>
      <c r="AH82"/>
      <c r="AI82" s="15"/>
      <c r="AL82"/>
    </row>
    <row r="83" spans="1:38" x14ac:dyDescent="0.3">
      <c r="A83">
        <v>4902</v>
      </c>
      <c r="B83" t="s">
        <v>310</v>
      </c>
      <c r="C83" t="s">
        <v>1517</v>
      </c>
      <c r="D83" t="s">
        <v>325</v>
      </c>
      <c r="E83" s="56">
        <v>900000000000</v>
      </c>
      <c r="F83" s="56">
        <v>1</v>
      </c>
      <c r="G83" s="56">
        <v>900000000000</v>
      </c>
      <c r="H83" s="23" t="s">
        <v>1534</v>
      </c>
      <c r="I83">
        <v>9000000000</v>
      </c>
      <c r="J83" s="56">
        <v>46252</v>
      </c>
      <c r="K83">
        <v>46252</v>
      </c>
      <c r="L83">
        <v>46301</v>
      </c>
      <c r="M83">
        <v>46525</v>
      </c>
      <c r="N83">
        <v>273</v>
      </c>
      <c r="O83">
        <v>0</v>
      </c>
      <c r="P83">
        <v>9.3000000000000007</v>
      </c>
      <c r="Q83" s="391">
        <v>0</v>
      </c>
      <c r="R83" s="391">
        <v>0</v>
      </c>
      <c r="S83" s="391">
        <v>0</v>
      </c>
      <c r="T83" s="391">
        <v>0</v>
      </c>
      <c r="U83" s="391">
        <v>0</v>
      </c>
      <c r="V83" s="56">
        <v>2522465753.4246502</v>
      </c>
      <c r="W83" t="s">
        <v>364</v>
      </c>
      <c r="X83" s="397">
        <f>_xlfn.XLOOKUP(RPBOD_B003[[#This Row],[BondsDeals_Id]],AllDealps!B:B,AllDealps!R:R,,0)*RPBOD_B003[[#This Row],[Face_Amount]]</f>
        <v>8370000000000.001</v>
      </c>
      <c r="Y83" s="25">
        <f>RPBOD_B003[[#This Row],[Face_Amount]]*RPBOD_B003[[#This Row],[ThisCouponRate]]</f>
        <v>8370000000000.001</v>
      </c>
      <c r="AG83"/>
      <c r="AH83"/>
      <c r="AI83" s="15"/>
      <c r="AL83"/>
    </row>
    <row r="84" spans="1:38" x14ac:dyDescent="0.3">
      <c r="A84">
        <v>4938</v>
      </c>
      <c r="B84" t="s">
        <v>310</v>
      </c>
      <c r="C84" t="s">
        <v>1292</v>
      </c>
      <c r="D84" t="s">
        <v>334</v>
      </c>
      <c r="E84" s="56">
        <v>200000000000</v>
      </c>
      <c r="F84" s="56">
        <v>1</v>
      </c>
      <c r="G84" s="56">
        <v>200000000000</v>
      </c>
      <c r="H84" s="23" t="s">
        <v>1534</v>
      </c>
      <c r="I84">
        <v>2061367676</v>
      </c>
      <c r="J84" s="56">
        <v>46254</v>
      </c>
      <c r="K84">
        <v>46163</v>
      </c>
      <c r="L84"/>
      <c r="M84">
        <v>46527</v>
      </c>
      <c r="N84">
        <v>364</v>
      </c>
      <c r="O84">
        <v>0</v>
      </c>
      <c r="P84">
        <v>8.5</v>
      </c>
      <c r="Q84" s="391">
        <v>0</v>
      </c>
      <c r="R84" s="391">
        <v>1898411436</v>
      </c>
      <c r="S84" s="391">
        <v>0</v>
      </c>
      <c r="T84" s="391">
        <v>1835826443.6043899</v>
      </c>
      <c r="U84" s="391">
        <v>4238356163.99999</v>
      </c>
      <c r="V84" s="56">
        <v>419178082.19177997</v>
      </c>
      <c r="W84" t="s">
        <v>364</v>
      </c>
      <c r="X84" s="397">
        <f>_xlfn.XLOOKUP(RPBOD_B003[[#This Row],[BondsDeals_Id]],AllDealps!B:B,AllDealps!R:R,,0)*RPBOD_B003[[#This Row],[Face_Amount]]</f>
        <v>1403129600000</v>
      </c>
      <c r="Y84" s="25">
        <f>RPBOD_B003[[#This Row],[Face_Amount]]*RPBOD_B003[[#This Row],[ThisCouponRate]]</f>
        <v>1700000000000</v>
      </c>
      <c r="AG84"/>
      <c r="AH84"/>
      <c r="AI84" s="15"/>
      <c r="AL84"/>
    </row>
    <row r="85" spans="1:38" x14ac:dyDescent="0.3">
      <c r="A85">
        <v>4943</v>
      </c>
      <c r="B85" t="s">
        <v>310</v>
      </c>
      <c r="C85" t="s">
        <v>1204</v>
      </c>
      <c r="D85" t="s">
        <v>315</v>
      </c>
      <c r="E85" s="56">
        <v>305000000000</v>
      </c>
      <c r="F85" s="56">
        <v>1</v>
      </c>
      <c r="G85" s="56">
        <v>305000000000</v>
      </c>
      <c r="H85" s="23" t="s">
        <v>1534</v>
      </c>
      <c r="I85">
        <v>5229948450</v>
      </c>
      <c r="J85" s="56">
        <v>46254</v>
      </c>
      <c r="K85">
        <v>46057</v>
      </c>
      <c r="L85">
        <v>46422</v>
      </c>
      <c r="M85">
        <v>46422</v>
      </c>
      <c r="N85">
        <v>365</v>
      </c>
      <c r="O85">
        <v>0</v>
      </c>
      <c r="P85">
        <v>7.24</v>
      </c>
      <c r="Q85" s="391">
        <v>0</v>
      </c>
      <c r="R85" s="391">
        <v>3456762810</v>
      </c>
      <c r="S85" s="391">
        <v>0</v>
      </c>
      <c r="T85" s="391">
        <v>1995663243.7017801</v>
      </c>
      <c r="U85" s="391">
        <v>19538082190</v>
      </c>
      <c r="V85" s="56">
        <v>544487671.23287594</v>
      </c>
      <c r="W85" t="s">
        <v>364</v>
      </c>
      <c r="X85" s="397">
        <f>_xlfn.XLOOKUP(RPBOD_B003[[#This Row],[BondsDeals_Id]],AllDealps!B:B,AllDealps!R:R,,0)*RPBOD_B003[[#This Row],[Face_Amount]]</f>
        <v>1673129350000</v>
      </c>
      <c r="Y85" s="25">
        <f>RPBOD_B003[[#This Row],[Face_Amount]]*RPBOD_B003[[#This Row],[ThisCouponRate]]</f>
        <v>2208200000000</v>
      </c>
      <c r="AG85"/>
      <c r="AH85"/>
      <c r="AI85" s="15"/>
      <c r="AL85"/>
    </row>
    <row r="86" spans="1:38" x14ac:dyDescent="0.3">
      <c r="A86">
        <v>4969</v>
      </c>
      <c r="B86" t="s">
        <v>310</v>
      </c>
      <c r="C86" t="s">
        <v>1256</v>
      </c>
      <c r="D86" t="s">
        <v>316</v>
      </c>
      <c r="E86" s="56">
        <v>100000000000</v>
      </c>
      <c r="F86" s="56">
        <v>1</v>
      </c>
      <c r="G86" s="56">
        <v>100000000000</v>
      </c>
      <c r="H86" s="23" t="s">
        <v>1534</v>
      </c>
      <c r="I86">
        <v>1040793163</v>
      </c>
      <c r="J86" s="56">
        <v>46259</v>
      </c>
      <c r="K86">
        <v>46121</v>
      </c>
      <c r="L86"/>
      <c r="M86">
        <v>46486</v>
      </c>
      <c r="N86">
        <v>365</v>
      </c>
      <c r="O86">
        <v>0</v>
      </c>
      <c r="P86">
        <v>8.6999999999999993</v>
      </c>
      <c r="Q86" s="391">
        <v>0</v>
      </c>
      <c r="R86" s="391">
        <v>790001232</v>
      </c>
      <c r="S86" s="391">
        <v>0</v>
      </c>
      <c r="T86" s="391">
        <v>776080505.44493413</v>
      </c>
      <c r="U86" s="391">
        <v>3289315068</v>
      </c>
      <c r="V86" s="56">
        <v>95342465.7534246</v>
      </c>
      <c r="W86" t="s">
        <v>364</v>
      </c>
      <c r="X86" s="397">
        <f>_xlfn.XLOOKUP(RPBOD_B003[[#This Row],[BondsDeals_Id]],AllDealps!B:B,AllDealps!R:R,,0)*RPBOD_B003[[#This Row],[Face_Amount]]</f>
        <v>713853000000</v>
      </c>
      <c r="Y86" s="25">
        <f>RPBOD_B003[[#This Row],[Face_Amount]]*RPBOD_B003[[#This Row],[ThisCouponRate]]</f>
        <v>869999999999.99988</v>
      </c>
      <c r="AG86"/>
      <c r="AH86"/>
      <c r="AI86" s="15"/>
      <c r="AL86"/>
    </row>
    <row r="87" spans="1:38" x14ac:dyDescent="0.3">
      <c r="A87">
        <v>4970</v>
      </c>
      <c r="B87" t="s">
        <v>310</v>
      </c>
      <c r="C87" t="s">
        <v>1292</v>
      </c>
      <c r="D87" t="s">
        <v>334</v>
      </c>
      <c r="E87" s="56">
        <v>400000000000</v>
      </c>
      <c r="F87" s="56">
        <v>1</v>
      </c>
      <c r="G87" s="56">
        <v>400000000000</v>
      </c>
      <c r="H87" s="23" t="s">
        <v>1534</v>
      </c>
      <c r="I87">
        <v>4095888576</v>
      </c>
      <c r="J87" s="56">
        <v>46259</v>
      </c>
      <c r="K87">
        <v>46163</v>
      </c>
      <c r="L87"/>
      <c r="M87">
        <v>46527</v>
      </c>
      <c r="N87">
        <v>364</v>
      </c>
      <c r="O87">
        <v>0</v>
      </c>
      <c r="P87">
        <v>8.5</v>
      </c>
      <c r="Q87" s="391">
        <v>0</v>
      </c>
      <c r="R87" s="391">
        <v>646391848</v>
      </c>
      <c r="S87" s="391">
        <v>0</v>
      </c>
      <c r="T87" s="391">
        <v>636744208.47761095</v>
      </c>
      <c r="U87" s="391">
        <v>8942465752</v>
      </c>
      <c r="V87" s="56">
        <v>372602739.72602701</v>
      </c>
      <c r="W87" t="s">
        <v>364</v>
      </c>
      <c r="X87" s="397">
        <f>_xlfn.XLOOKUP(RPBOD_B003[[#This Row],[BondsDeals_Id]],AllDealps!B:B,AllDealps!R:R,,0)*RPBOD_B003[[#This Row],[Face_Amount]]</f>
        <v>3234429200000.0005</v>
      </c>
      <c r="Y87" s="25">
        <f>RPBOD_B003[[#This Row],[Face_Amount]]*RPBOD_B003[[#This Row],[ThisCouponRate]]</f>
        <v>3400000000000</v>
      </c>
      <c r="AG87"/>
      <c r="AH87"/>
      <c r="AI87" s="15"/>
      <c r="AL87"/>
    </row>
    <row r="88" spans="1:38" x14ac:dyDescent="0.3">
      <c r="A88">
        <v>4978</v>
      </c>
      <c r="B88" t="s">
        <v>310</v>
      </c>
      <c r="C88" t="s">
        <v>1239</v>
      </c>
      <c r="D88" t="s">
        <v>384</v>
      </c>
      <c r="E88" s="56">
        <v>68000000000</v>
      </c>
      <c r="F88" s="56">
        <v>1</v>
      </c>
      <c r="G88" s="56">
        <v>68000000000</v>
      </c>
      <c r="H88" s="23" t="s">
        <v>1534</v>
      </c>
      <c r="I88">
        <v>7099794360</v>
      </c>
      <c r="J88" s="56">
        <v>46260</v>
      </c>
      <c r="K88">
        <v>46097</v>
      </c>
      <c r="L88"/>
      <c r="M88">
        <v>46493</v>
      </c>
      <c r="N88">
        <v>396</v>
      </c>
      <c r="O88">
        <v>0</v>
      </c>
      <c r="P88">
        <v>8.9</v>
      </c>
      <c r="Q88" s="391">
        <v>0</v>
      </c>
      <c r="R88" s="391">
        <v>295269635.36000001</v>
      </c>
      <c r="S88" s="391">
        <v>0</v>
      </c>
      <c r="T88" s="391">
        <v>291467880.398283</v>
      </c>
      <c r="U88" s="391">
        <v>2702673972.6399999</v>
      </c>
      <c r="V88" s="56">
        <v>49742465.753424697</v>
      </c>
      <c r="W88" t="s">
        <v>364</v>
      </c>
      <c r="X88" s="397">
        <f>_xlfn.XLOOKUP(RPBOD_B003[[#This Row],[BondsDeals_Id]],AllDealps!B:B,AllDealps!R:R,,0)*RPBOD_B003[[#This Row],[Face_Amount]]</f>
        <v>535343396000</v>
      </c>
      <c r="Y88" s="25">
        <f>RPBOD_B003[[#This Row],[Face_Amount]]*RPBOD_B003[[#This Row],[ThisCouponRate]]</f>
        <v>605200000000</v>
      </c>
      <c r="AG88"/>
      <c r="AH88"/>
      <c r="AI88" s="15"/>
      <c r="AL88"/>
    </row>
    <row r="89" spans="1:38" x14ac:dyDescent="0.3">
      <c r="A89">
        <v>2922</v>
      </c>
      <c r="B89" t="s">
        <v>310</v>
      </c>
      <c r="C89" t="s">
        <v>1050</v>
      </c>
      <c r="D89" t="s">
        <v>347</v>
      </c>
      <c r="E89" s="56">
        <v>1000000000000</v>
      </c>
      <c r="F89" s="56">
        <v>1</v>
      </c>
      <c r="G89" s="56">
        <v>1000000000000</v>
      </c>
      <c r="H89" s="23" t="s">
        <v>1534</v>
      </c>
      <c r="I89">
        <v>1000000000000</v>
      </c>
      <c r="J89" s="56">
        <v>45973</v>
      </c>
      <c r="K89">
        <v>45973</v>
      </c>
      <c r="L89"/>
      <c r="M89">
        <v>46332</v>
      </c>
      <c r="N89">
        <v>359</v>
      </c>
      <c r="O89">
        <v>0</v>
      </c>
      <c r="P89">
        <v>5</v>
      </c>
      <c r="Q89" s="391">
        <v>0</v>
      </c>
      <c r="R89" s="391">
        <v>0</v>
      </c>
      <c r="S89" s="391">
        <v>0</v>
      </c>
      <c r="T89" s="391">
        <v>0</v>
      </c>
      <c r="U89" s="391">
        <v>0</v>
      </c>
      <c r="V89" s="56">
        <v>39726027397.260201</v>
      </c>
      <c r="W89" t="s">
        <v>364</v>
      </c>
      <c r="X89" s="397">
        <f>_xlfn.XLOOKUP(RPBOD_B003[[#This Row],[BondsDeals_Id]],AllDealps!B:B,AllDealps!R:R,,0)*RPBOD_B003[[#This Row],[Face_Amount]]</f>
        <v>5000000000000</v>
      </c>
      <c r="Y89" s="25">
        <f>RPBOD_B003[[#This Row],[Face_Amount]]*RPBOD_B003[[#This Row],[ThisCouponRate]]</f>
        <v>5000000000000</v>
      </c>
      <c r="AG89"/>
      <c r="AH89"/>
      <c r="AI89" s="15"/>
      <c r="AL89"/>
    </row>
    <row r="90" spans="1:38" x14ac:dyDescent="0.3">
      <c r="A90">
        <v>3063</v>
      </c>
      <c r="B90" t="s">
        <v>310</v>
      </c>
      <c r="C90" t="s">
        <v>960</v>
      </c>
      <c r="D90" t="s">
        <v>347</v>
      </c>
      <c r="E90" s="56">
        <v>300000000000</v>
      </c>
      <c r="F90" s="56">
        <v>1</v>
      </c>
      <c r="G90" s="56">
        <v>300000000000</v>
      </c>
      <c r="H90" s="23" t="s">
        <v>1534</v>
      </c>
      <c r="I90">
        <v>3029166417</v>
      </c>
      <c r="J90" s="56">
        <v>45995</v>
      </c>
      <c r="K90">
        <v>45929</v>
      </c>
      <c r="L90"/>
      <c r="M90">
        <v>46288</v>
      </c>
      <c r="N90">
        <v>359</v>
      </c>
      <c r="O90">
        <v>0</v>
      </c>
      <c r="P90">
        <v>5</v>
      </c>
      <c r="Q90" s="391">
        <v>0</v>
      </c>
      <c r="R90" s="391">
        <v>204312933</v>
      </c>
      <c r="S90" s="391">
        <v>0</v>
      </c>
      <c r="T90" s="391">
        <v>17432844.112628002</v>
      </c>
      <c r="U90" s="391">
        <v>2712328767</v>
      </c>
      <c r="V90" s="56">
        <v>11013698630.1369</v>
      </c>
      <c r="W90" t="s">
        <v>364</v>
      </c>
      <c r="X90" s="397">
        <f>_xlfn.XLOOKUP(RPBOD_B003[[#This Row],[BondsDeals_Id]],AllDealps!B:B,AllDealps!R:R,,0)*RPBOD_B003[[#This Row],[Face_Amount]]</f>
        <v>1460350200000</v>
      </c>
      <c r="Y90" s="25">
        <f>RPBOD_B003[[#This Row],[Face_Amount]]*RPBOD_B003[[#This Row],[ThisCouponRate]]</f>
        <v>1500000000000</v>
      </c>
      <c r="AG90"/>
      <c r="AH90"/>
      <c r="AI90" s="15"/>
      <c r="AL90"/>
    </row>
    <row r="91" spans="1:38" x14ac:dyDescent="0.3">
      <c r="A91">
        <v>2680</v>
      </c>
      <c r="B91" t="s">
        <v>310</v>
      </c>
      <c r="C91" t="s">
        <v>961</v>
      </c>
      <c r="D91" t="s">
        <v>473</v>
      </c>
      <c r="E91" s="56">
        <v>600000000000</v>
      </c>
      <c r="F91" s="56">
        <v>1</v>
      </c>
      <c r="G91" s="56">
        <v>600000000000</v>
      </c>
      <c r="H91" s="23" t="s">
        <v>1534</v>
      </c>
      <c r="I91">
        <v>1000000000000</v>
      </c>
      <c r="J91" s="56">
        <v>45930</v>
      </c>
      <c r="K91">
        <v>45930</v>
      </c>
      <c r="L91"/>
      <c r="M91">
        <v>46289</v>
      </c>
      <c r="N91">
        <v>359</v>
      </c>
      <c r="O91">
        <v>0</v>
      </c>
      <c r="P91">
        <v>6</v>
      </c>
      <c r="Q91" s="391">
        <v>0</v>
      </c>
      <c r="R91" s="391">
        <v>0</v>
      </c>
      <c r="S91" s="391">
        <v>0</v>
      </c>
      <c r="T91" s="391">
        <v>0</v>
      </c>
      <c r="U91" s="391">
        <v>0</v>
      </c>
      <c r="V91" s="56">
        <v>32843835616.438301</v>
      </c>
      <c r="W91" t="s">
        <v>364</v>
      </c>
      <c r="X91" s="397">
        <f>_xlfn.XLOOKUP(RPBOD_B003[[#This Row],[BondsDeals_Id]],AllDealps!B:B,AllDealps!R:R,,0)*RPBOD_B003[[#This Row],[Face_Amount]]</f>
        <v>3600000000000</v>
      </c>
      <c r="Y91" s="25">
        <f>RPBOD_B003[[#This Row],[Face_Amount]]*RPBOD_B003[[#This Row],[ThisCouponRate]]</f>
        <v>3600000000000</v>
      </c>
      <c r="AG91"/>
      <c r="AH91"/>
      <c r="AI91" s="34"/>
      <c r="AL91"/>
    </row>
    <row r="92" spans="1:38" x14ac:dyDescent="0.3">
      <c r="A92">
        <v>3921</v>
      </c>
      <c r="B92" t="s">
        <v>310</v>
      </c>
      <c r="C92" t="s">
        <v>1245</v>
      </c>
      <c r="D92" t="s">
        <v>313</v>
      </c>
      <c r="E92" s="56">
        <v>400000000000</v>
      </c>
      <c r="F92" s="56">
        <v>1</v>
      </c>
      <c r="G92" s="56">
        <v>400000000000</v>
      </c>
      <c r="H92" s="23" t="s">
        <v>1534</v>
      </c>
      <c r="I92">
        <v>4000000000</v>
      </c>
      <c r="J92" s="56">
        <v>46111</v>
      </c>
      <c r="K92">
        <v>46111</v>
      </c>
      <c r="L92"/>
      <c r="M92">
        <v>46470</v>
      </c>
      <c r="N92">
        <v>359</v>
      </c>
      <c r="O92">
        <v>0</v>
      </c>
      <c r="P92">
        <v>8.8000000000000007</v>
      </c>
      <c r="Q92" s="391">
        <v>0</v>
      </c>
      <c r="R92" s="391">
        <v>0</v>
      </c>
      <c r="S92" s="391">
        <v>0</v>
      </c>
      <c r="T92" s="391">
        <v>0</v>
      </c>
      <c r="U92" s="391">
        <v>0</v>
      </c>
      <c r="V92" s="56">
        <v>14658630136.9863</v>
      </c>
      <c r="W92" t="s">
        <v>364</v>
      </c>
      <c r="X92" s="397">
        <f>_xlfn.XLOOKUP(RPBOD_B003[[#This Row],[BondsDeals_Id]],AllDealps!B:B,AllDealps!R:R,,0)*RPBOD_B003[[#This Row],[Face_Amount]]</f>
        <v>3520000000000.0005</v>
      </c>
      <c r="Y92" s="25">
        <f>RPBOD_B003[[#This Row],[Face_Amount]]*RPBOD_B003[[#This Row],[ThisCouponRate]]</f>
        <v>3520000000000.0005</v>
      </c>
      <c r="AG92"/>
      <c r="AH92"/>
      <c r="AI92" s="34"/>
      <c r="AL92"/>
    </row>
    <row r="93" spans="1:38" x14ac:dyDescent="0.3">
      <c r="AG93"/>
      <c r="AH93"/>
      <c r="AI93" s="15"/>
      <c r="AL93"/>
    </row>
    <row r="94" spans="1:38" x14ac:dyDescent="0.3">
      <c r="AG94"/>
      <c r="AH94"/>
      <c r="AI94" s="34"/>
      <c r="AL94"/>
    </row>
    <row r="95" spans="1:38" x14ac:dyDescent="0.3">
      <c r="AG95"/>
      <c r="AH95"/>
      <c r="AI95" s="15"/>
      <c r="AL95"/>
    </row>
    <row r="96" spans="1:38" x14ac:dyDescent="0.3">
      <c r="AG96"/>
      <c r="AH96"/>
      <c r="AI96" s="15"/>
      <c r="AL96"/>
    </row>
    <row r="97" spans="33:38" x14ac:dyDescent="0.3">
      <c r="AG97"/>
      <c r="AH97"/>
      <c r="AI97" s="15"/>
      <c r="AL97"/>
    </row>
    <row r="98" spans="33:38" x14ac:dyDescent="0.3">
      <c r="AG98"/>
      <c r="AH98"/>
      <c r="AI98" s="15"/>
      <c r="AL98"/>
    </row>
    <row r="99" spans="33:38" x14ac:dyDescent="0.3">
      <c r="AG99"/>
      <c r="AH99"/>
      <c r="AI99" s="15"/>
      <c r="AL99"/>
    </row>
    <row r="100" spans="33:38" x14ac:dyDescent="0.3">
      <c r="AG100"/>
      <c r="AH100"/>
      <c r="AI100" s="15"/>
      <c r="AL100"/>
    </row>
    <row r="101" spans="33:38" x14ac:dyDescent="0.3">
      <c r="AG101"/>
      <c r="AH101"/>
      <c r="AI101" s="15"/>
      <c r="AL101"/>
    </row>
    <row r="102" spans="33:38" x14ac:dyDescent="0.3">
      <c r="AG102"/>
      <c r="AH102"/>
      <c r="AI102" s="15"/>
      <c r="AL102"/>
    </row>
    <row r="103" spans="33:38" x14ac:dyDescent="0.3">
      <c r="AG103"/>
      <c r="AH103"/>
      <c r="AI103" s="15"/>
      <c r="AL103"/>
    </row>
    <row r="104" spans="33:38" x14ac:dyDescent="0.3">
      <c r="AG104"/>
      <c r="AH104"/>
      <c r="AI104" s="15"/>
      <c r="AL104"/>
    </row>
    <row r="105" spans="33:38" x14ac:dyDescent="0.3">
      <c r="AG105"/>
      <c r="AH105"/>
      <c r="AI105" s="15"/>
      <c r="AL105"/>
    </row>
    <row r="106" spans="33:38" x14ac:dyDescent="0.3">
      <c r="AG106"/>
      <c r="AH106"/>
      <c r="AI106" s="15"/>
      <c r="AL106"/>
    </row>
    <row r="107" spans="33:38" x14ac:dyDescent="0.3">
      <c r="AG107"/>
      <c r="AH107"/>
      <c r="AI107" s="15"/>
      <c r="AL107"/>
    </row>
    <row r="108" spans="33:38" x14ac:dyDescent="0.3">
      <c r="AG108"/>
      <c r="AH108"/>
      <c r="AI108" s="15"/>
      <c r="AL108"/>
    </row>
    <row r="109" spans="33:38" x14ac:dyDescent="0.3">
      <c r="AG109"/>
      <c r="AH109"/>
      <c r="AI109" s="15"/>
      <c r="AL109"/>
    </row>
    <row r="110" spans="33:38" x14ac:dyDescent="0.3">
      <c r="AG110"/>
      <c r="AH110"/>
      <c r="AI110" s="15"/>
      <c r="AL110"/>
    </row>
    <row r="111" spans="33:38" x14ac:dyDescent="0.3">
      <c r="AG111"/>
      <c r="AH111"/>
      <c r="AI111" s="15"/>
      <c r="AL111"/>
    </row>
    <row r="112" spans="33:38" x14ac:dyDescent="0.3">
      <c r="AG112"/>
      <c r="AH112"/>
      <c r="AI112" s="15"/>
      <c r="AL112"/>
    </row>
    <row r="113" spans="33:38" x14ac:dyDescent="0.3">
      <c r="AG113"/>
      <c r="AH113"/>
      <c r="AI113" s="15"/>
      <c r="AL113"/>
    </row>
    <row r="114" spans="33:38" x14ac:dyDescent="0.3">
      <c r="AG114"/>
      <c r="AH114"/>
      <c r="AI114" s="15"/>
      <c r="AL114"/>
    </row>
    <row r="115" spans="33:38" x14ac:dyDescent="0.3">
      <c r="AG115"/>
      <c r="AH115"/>
      <c r="AI115" s="15"/>
      <c r="AL115"/>
    </row>
    <row r="116" spans="33:38" x14ac:dyDescent="0.3">
      <c r="AG116"/>
      <c r="AH116"/>
      <c r="AI116" s="15"/>
      <c r="AL116"/>
    </row>
    <row r="117" spans="33:38" x14ac:dyDescent="0.3">
      <c r="AG117"/>
      <c r="AH117"/>
      <c r="AI117" s="15"/>
      <c r="AL117"/>
    </row>
    <row r="118" spans="33:38" x14ac:dyDescent="0.3">
      <c r="AG118"/>
      <c r="AH118"/>
      <c r="AI118" s="15"/>
      <c r="AL118"/>
    </row>
    <row r="119" spans="33:38" x14ac:dyDescent="0.3">
      <c r="AG119"/>
      <c r="AH119"/>
      <c r="AI119" s="15"/>
      <c r="AL119"/>
    </row>
    <row r="120" spans="33:38" x14ac:dyDescent="0.3">
      <c r="AG120"/>
      <c r="AH120"/>
      <c r="AI120" s="15"/>
      <c r="AL120"/>
    </row>
    <row r="121" spans="33:38" x14ac:dyDescent="0.3">
      <c r="AG121"/>
      <c r="AH121"/>
      <c r="AI121" s="15"/>
      <c r="AL121"/>
    </row>
    <row r="122" spans="33:38" x14ac:dyDescent="0.3">
      <c r="AG122"/>
      <c r="AH122"/>
      <c r="AI122" s="15"/>
      <c r="AL122"/>
    </row>
    <row r="123" spans="33:38" x14ac:dyDescent="0.3">
      <c r="AG123"/>
      <c r="AH123"/>
      <c r="AI123" s="15"/>
      <c r="AL123"/>
    </row>
    <row r="124" spans="33:38" x14ac:dyDescent="0.3">
      <c r="AG124"/>
      <c r="AH124"/>
      <c r="AI124" s="15"/>
      <c r="AL124"/>
    </row>
    <row r="125" spans="33:38" x14ac:dyDescent="0.3">
      <c r="AG125"/>
      <c r="AH125"/>
      <c r="AI125" s="15"/>
      <c r="AL125"/>
    </row>
    <row r="126" spans="33:38" x14ac:dyDescent="0.3">
      <c r="AG126"/>
      <c r="AH126"/>
      <c r="AI126" s="15"/>
      <c r="AL126"/>
    </row>
    <row r="127" spans="33:38" x14ac:dyDescent="0.3">
      <c r="AG127"/>
      <c r="AH127"/>
      <c r="AI127" s="15"/>
      <c r="AL127"/>
    </row>
    <row r="128" spans="33:38" x14ac:dyDescent="0.3">
      <c r="AG128"/>
      <c r="AH128"/>
      <c r="AI128" s="15"/>
      <c r="AL128"/>
    </row>
    <row r="129" spans="33:38" x14ac:dyDescent="0.3">
      <c r="AG129"/>
      <c r="AH129"/>
      <c r="AI129" s="15"/>
      <c r="AL129"/>
    </row>
    <row r="130" spans="33:38" x14ac:dyDescent="0.3">
      <c r="AG130"/>
      <c r="AH130"/>
      <c r="AI130" s="15"/>
      <c r="AL130"/>
    </row>
    <row r="131" spans="33:38" x14ac:dyDescent="0.3">
      <c r="AG131"/>
      <c r="AH131"/>
      <c r="AI131" s="15"/>
      <c r="AL131"/>
    </row>
    <row r="132" spans="33:38" x14ac:dyDescent="0.3">
      <c r="AG132"/>
      <c r="AH132"/>
      <c r="AI132" s="15"/>
      <c r="AL132"/>
    </row>
    <row r="133" spans="33:38" x14ac:dyDescent="0.3">
      <c r="AG133"/>
      <c r="AH133"/>
      <c r="AI133" s="15"/>
      <c r="AL133"/>
    </row>
    <row r="134" spans="33:38" x14ac:dyDescent="0.3">
      <c r="AG134"/>
      <c r="AH134"/>
      <c r="AI134" s="15"/>
      <c r="AL134"/>
    </row>
    <row r="135" spans="33:38" x14ac:dyDescent="0.3">
      <c r="AG135"/>
      <c r="AH135"/>
      <c r="AI135" s="15"/>
      <c r="AL135"/>
    </row>
    <row r="136" spans="33:38" x14ac:dyDescent="0.3">
      <c r="AG136"/>
      <c r="AH136"/>
      <c r="AI136" s="15"/>
      <c r="AL136"/>
    </row>
    <row r="137" spans="33:38" x14ac:dyDescent="0.3">
      <c r="AG137"/>
      <c r="AH137"/>
      <c r="AI137" s="15"/>
      <c r="AL137"/>
    </row>
    <row r="138" spans="33:38" x14ac:dyDescent="0.3">
      <c r="AG138"/>
      <c r="AH138"/>
      <c r="AI138" s="15"/>
      <c r="AL138"/>
    </row>
    <row r="139" spans="33:38" x14ac:dyDescent="0.3">
      <c r="AG139"/>
      <c r="AH139"/>
      <c r="AI139" s="15"/>
      <c r="AL139"/>
    </row>
    <row r="140" spans="33:38" x14ac:dyDescent="0.3">
      <c r="AG140"/>
      <c r="AH140"/>
      <c r="AI140" s="34"/>
      <c r="AL140"/>
    </row>
    <row r="141" spans="33:38" x14ac:dyDescent="0.3">
      <c r="AG141"/>
      <c r="AH141"/>
      <c r="AI141" s="15"/>
      <c r="AL141"/>
    </row>
    <row r="142" spans="33:38" x14ac:dyDescent="0.3">
      <c r="AG142"/>
      <c r="AH142"/>
      <c r="AI142" s="15"/>
      <c r="AL142"/>
    </row>
    <row r="143" spans="33:38" x14ac:dyDescent="0.3">
      <c r="AG143"/>
      <c r="AH143"/>
      <c r="AI143" s="15"/>
      <c r="AL143"/>
    </row>
    <row r="144" spans="33:38" x14ac:dyDescent="0.3">
      <c r="AG144"/>
      <c r="AH144"/>
      <c r="AI144" s="15"/>
      <c r="AL144"/>
    </row>
    <row r="145" spans="33:38" x14ac:dyDescent="0.3">
      <c r="AG145"/>
      <c r="AH145"/>
      <c r="AI145" s="15"/>
      <c r="AL145"/>
    </row>
    <row r="146" spans="33:38" x14ac:dyDescent="0.3">
      <c r="AG146"/>
      <c r="AH146"/>
      <c r="AI146" s="15"/>
      <c r="AL146"/>
    </row>
    <row r="147" spans="33:38" x14ac:dyDescent="0.3">
      <c r="AG147"/>
      <c r="AH147"/>
      <c r="AI147" s="15"/>
      <c r="AL147"/>
    </row>
    <row r="148" spans="33:38" x14ac:dyDescent="0.3">
      <c r="AG148"/>
      <c r="AH148"/>
      <c r="AI148" s="15"/>
      <c r="AL148"/>
    </row>
    <row r="149" spans="33:38" x14ac:dyDescent="0.3">
      <c r="AG149"/>
      <c r="AH149"/>
      <c r="AI149" s="15"/>
      <c r="AL149"/>
    </row>
    <row r="150" spans="33:38" x14ac:dyDescent="0.3">
      <c r="AG150"/>
      <c r="AH150"/>
      <c r="AI150" s="15"/>
      <c r="AL150"/>
    </row>
    <row r="151" spans="33:38" x14ac:dyDescent="0.3">
      <c r="AG151"/>
      <c r="AH151"/>
      <c r="AI151" s="15"/>
      <c r="AL151"/>
    </row>
    <row r="152" spans="33:38" x14ac:dyDescent="0.3">
      <c r="AG152"/>
      <c r="AH152"/>
      <c r="AI152" s="15"/>
      <c r="AL152"/>
    </row>
    <row r="153" spans="33:38" x14ac:dyDescent="0.3">
      <c r="AG153"/>
      <c r="AH153"/>
      <c r="AI153" s="15"/>
      <c r="AL153"/>
    </row>
    <row r="154" spans="33:38" x14ac:dyDescent="0.3">
      <c r="AG154"/>
      <c r="AH154"/>
      <c r="AI154" s="15"/>
      <c r="AL154"/>
    </row>
    <row r="155" spans="33:38" x14ac:dyDescent="0.3">
      <c r="AG155"/>
      <c r="AH155"/>
      <c r="AI155" s="15"/>
      <c r="AL155"/>
    </row>
    <row r="156" spans="33:38" x14ac:dyDescent="0.3">
      <c r="AG156"/>
      <c r="AH156"/>
      <c r="AI156" s="15"/>
      <c r="AL156"/>
    </row>
    <row r="157" spans="33:38" x14ac:dyDescent="0.3">
      <c r="AG157"/>
      <c r="AH157"/>
      <c r="AI157" s="15"/>
      <c r="AL157"/>
    </row>
    <row r="158" spans="33:38" x14ac:dyDescent="0.3">
      <c r="AG158"/>
      <c r="AH158"/>
      <c r="AI158" s="15"/>
      <c r="AL158"/>
    </row>
    <row r="159" spans="33:38" x14ac:dyDescent="0.3">
      <c r="AG159"/>
      <c r="AH159"/>
      <c r="AI159" s="15"/>
      <c r="AL159"/>
    </row>
    <row r="160" spans="33:38" x14ac:dyDescent="0.3">
      <c r="AG160"/>
      <c r="AH160"/>
      <c r="AI160" s="15"/>
      <c r="AL160"/>
    </row>
    <row r="161" spans="33:38" x14ac:dyDescent="0.3">
      <c r="AG161"/>
      <c r="AH161"/>
      <c r="AI161" s="15"/>
      <c r="AL161"/>
    </row>
    <row r="162" spans="33:38" x14ac:dyDescent="0.3">
      <c r="AG162"/>
      <c r="AH162"/>
      <c r="AI162" s="15"/>
      <c r="AL162"/>
    </row>
    <row r="163" spans="33:38" x14ac:dyDescent="0.3">
      <c r="AG163"/>
      <c r="AH163"/>
      <c r="AI163" s="15"/>
      <c r="AL163"/>
    </row>
    <row r="164" spans="33:38" x14ac:dyDescent="0.3">
      <c r="AG164"/>
      <c r="AH164"/>
      <c r="AI164" s="15"/>
      <c r="AL164"/>
    </row>
    <row r="165" spans="33:38" x14ac:dyDescent="0.3">
      <c r="AG165"/>
      <c r="AH165"/>
      <c r="AI165" s="15"/>
      <c r="AL165"/>
    </row>
    <row r="166" spans="33:38" x14ac:dyDescent="0.3">
      <c r="AG166"/>
      <c r="AH166"/>
      <c r="AI166" s="15"/>
      <c r="AL166"/>
    </row>
    <row r="167" spans="33:38" x14ac:dyDescent="0.3">
      <c r="AG167"/>
      <c r="AH167"/>
      <c r="AI167" s="15"/>
      <c r="AL167"/>
    </row>
    <row r="168" spans="33:38" x14ac:dyDescent="0.3">
      <c r="AG168"/>
      <c r="AH168"/>
      <c r="AI168" s="15"/>
      <c r="AL168"/>
    </row>
    <row r="169" spans="33:38" x14ac:dyDescent="0.3">
      <c r="AG169"/>
      <c r="AH169"/>
      <c r="AI169" s="15"/>
      <c r="AL169"/>
    </row>
    <row r="170" spans="33:38" x14ac:dyDescent="0.3">
      <c r="AG170"/>
      <c r="AH170"/>
      <c r="AI170" s="34"/>
      <c r="AL170"/>
    </row>
    <row r="171" spans="33:38" x14ac:dyDescent="0.3">
      <c r="AG171"/>
      <c r="AH171"/>
      <c r="AI171" s="15"/>
      <c r="AL171"/>
    </row>
    <row r="172" spans="33:38" x14ac:dyDescent="0.3">
      <c r="AG172"/>
      <c r="AH172"/>
      <c r="AI172" s="15"/>
      <c r="AL172"/>
    </row>
    <row r="173" spans="33:38" x14ac:dyDescent="0.3">
      <c r="AG173"/>
      <c r="AH173"/>
      <c r="AI173" s="15"/>
      <c r="AL173"/>
    </row>
    <row r="174" spans="33:38" x14ac:dyDescent="0.3">
      <c r="AG174"/>
      <c r="AH174"/>
      <c r="AI174" s="15"/>
      <c r="AL174"/>
    </row>
    <row r="175" spans="33:38" x14ac:dyDescent="0.3">
      <c r="AG175"/>
      <c r="AH175"/>
      <c r="AI175" s="15"/>
      <c r="AL175"/>
    </row>
    <row r="176" spans="33:38" x14ac:dyDescent="0.3">
      <c r="AG176"/>
      <c r="AH176"/>
      <c r="AI176" s="34"/>
      <c r="AL176"/>
    </row>
    <row r="177" spans="33:38" x14ac:dyDescent="0.3">
      <c r="AG177"/>
      <c r="AH177"/>
      <c r="AI177" s="15"/>
      <c r="AL177"/>
    </row>
    <row r="178" spans="33:38" x14ac:dyDescent="0.3">
      <c r="AG178"/>
      <c r="AH178"/>
      <c r="AI178" s="15"/>
      <c r="AL178"/>
    </row>
    <row r="179" spans="33:38" x14ac:dyDescent="0.3">
      <c r="AG179"/>
      <c r="AH179"/>
      <c r="AI179" s="15"/>
      <c r="AL179"/>
    </row>
    <row r="180" spans="33:38" x14ac:dyDescent="0.3">
      <c r="AG180"/>
      <c r="AH180"/>
      <c r="AI180" s="15"/>
      <c r="AL180"/>
    </row>
    <row r="181" spans="33:38" x14ac:dyDescent="0.3">
      <c r="AG181"/>
      <c r="AH181"/>
      <c r="AI181" s="15"/>
      <c r="AL181"/>
    </row>
    <row r="182" spans="33:38" x14ac:dyDescent="0.3">
      <c r="AG182"/>
      <c r="AH182"/>
      <c r="AI182" s="15"/>
      <c r="AL182"/>
    </row>
    <row r="183" spans="33:38" x14ac:dyDescent="0.3">
      <c r="AG183"/>
      <c r="AH183"/>
      <c r="AI183" s="15"/>
      <c r="AL183"/>
    </row>
    <row r="184" spans="33:38" x14ac:dyDescent="0.3">
      <c r="AG184"/>
      <c r="AH184"/>
      <c r="AI184" s="15"/>
      <c r="AL184"/>
    </row>
    <row r="185" spans="33:38" x14ac:dyDescent="0.3">
      <c r="AG185"/>
      <c r="AH185"/>
      <c r="AI185" s="15"/>
      <c r="AL185"/>
    </row>
    <row r="186" spans="33:38" x14ac:dyDescent="0.3">
      <c r="AG186"/>
      <c r="AH186"/>
      <c r="AI186" s="15"/>
      <c r="AL186"/>
    </row>
    <row r="187" spans="33:38" x14ac:dyDescent="0.3">
      <c r="AG187"/>
      <c r="AH187"/>
      <c r="AI187" s="15"/>
      <c r="AL187"/>
    </row>
    <row r="188" spans="33:38" x14ac:dyDescent="0.3">
      <c r="AG188"/>
      <c r="AH188"/>
      <c r="AI188" s="15"/>
      <c r="AL188"/>
    </row>
    <row r="189" spans="33:38" x14ac:dyDescent="0.3">
      <c r="AG189"/>
      <c r="AH189"/>
      <c r="AI189" s="15"/>
      <c r="AL189"/>
    </row>
    <row r="190" spans="33:38" x14ac:dyDescent="0.3">
      <c r="AG190"/>
      <c r="AH190"/>
      <c r="AI190" s="15"/>
      <c r="AL190"/>
    </row>
    <row r="191" spans="33:38" x14ac:dyDescent="0.3">
      <c r="AG191"/>
      <c r="AH191"/>
      <c r="AI191" s="15"/>
      <c r="AL191"/>
    </row>
    <row r="192" spans="33:38" x14ac:dyDescent="0.3">
      <c r="AG192"/>
      <c r="AH192"/>
      <c r="AI192" s="15"/>
      <c r="AL192"/>
    </row>
    <row r="193" spans="33:38" x14ac:dyDescent="0.3">
      <c r="AG193"/>
      <c r="AH193"/>
      <c r="AI193" s="15"/>
      <c r="AL193"/>
    </row>
    <row r="194" spans="33:38" x14ac:dyDescent="0.3">
      <c r="AG194"/>
      <c r="AH194"/>
      <c r="AI194" s="15"/>
      <c r="AL194"/>
    </row>
    <row r="195" spans="33:38" x14ac:dyDescent="0.3">
      <c r="AG195"/>
      <c r="AH195"/>
      <c r="AI195" s="15"/>
      <c r="AL195"/>
    </row>
    <row r="196" spans="33:38" x14ac:dyDescent="0.3">
      <c r="AG196"/>
      <c r="AH196"/>
      <c r="AI196" s="15"/>
      <c r="AL196"/>
    </row>
    <row r="197" spans="33:38" x14ac:dyDescent="0.3">
      <c r="AG197"/>
      <c r="AH197"/>
      <c r="AI197" s="15"/>
      <c r="AL197"/>
    </row>
    <row r="198" spans="33:38" x14ac:dyDescent="0.3">
      <c r="AG198"/>
      <c r="AH198"/>
      <c r="AI198" s="15"/>
      <c r="AL198"/>
    </row>
    <row r="199" spans="33:38" x14ac:dyDescent="0.3">
      <c r="AG199"/>
      <c r="AH199"/>
      <c r="AI199" s="15"/>
      <c r="AL199"/>
    </row>
    <row r="200" spans="33:38" x14ac:dyDescent="0.3">
      <c r="AG200"/>
      <c r="AH200"/>
      <c r="AI200" s="15"/>
      <c r="AL200"/>
    </row>
    <row r="201" spans="33:38" x14ac:dyDescent="0.3">
      <c r="AG201"/>
      <c r="AH201"/>
      <c r="AI201" s="15"/>
      <c r="AL201"/>
    </row>
    <row r="202" spans="33:38" x14ac:dyDescent="0.3">
      <c r="AG202"/>
      <c r="AH202"/>
      <c r="AI202" s="15"/>
      <c r="AL202"/>
    </row>
    <row r="203" spans="33:38" x14ac:dyDescent="0.3">
      <c r="AG203"/>
      <c r="AH203"/>
      <c r="AI203" s="15"/>
      <c r="AL203"/>
    </row>
    <row r="204" spans="33:38" x14ac:dyDescent="0.3">
      <c r="AG204"/>
      <c r="AH204"/>
      <c r="AI204" s="15"/>
      <c r="AL204"/>
    </row>
    <row r="205" spans="33:38" x14ac:dyDescent="0.3">
      <c r="AG205"/>
      <c r="AH205"/>
      <c r="AI205" s="15"/>
      <c r="AL205"/>
    </row>
    <row r="206" spans="33:38" x14ac:dyDescent="0.3">
      <c r="AG206"/>
      <c r="AH206"/>
      <c r="AI206" s="15"/>
      <c r="AL206"/>
    </row>
    <row r="207" spans="33:38" x14ac:dyDescent="0.3">
      <c r="AG207"/>
      <c r="AH207"/>
      <c r="AI207" s="15"/>
      <c r="AL207"/>
    </row>
    <row r="208" spans="33:38" x14ac:dyDescent="0.3">
      <c r="AG208"/>
      <c r="AH208"/>
      <c r="AI208" s="34"/>
      <c r="AL208"/>
    </row>
    <row r="209" spans="33:38" x14ac:dyDescent="0.3">
      <c r="AG209"/>
      <c r="AH209"/>
      <c r="AI209" s="15"/>
      <c r="AL209"/>
    </row>
    <row r="210" spans="33:38" x14ac:dyDescent="0.3">
      <c r="AG210"/>
      <c r="AH210"/>
      <c r="AI210" s="15"/>
      <c r="AL210"/>
    </row>
    <row r="211" spans="33:38" x14ac:dyDescent="0.3">
      <c r="AG211"/>
      <c r="AH211"/>
      <c r="AI211" s="15"/>
      <c r="AL211"/>
    </row>
    <row r="212" spans="33:38" x14ac:dyDescent="0.3">
      <c r="AG212"/>
      <c r="AH212"/>
      <c r="AI212" s="15"/>
      <c r="AL212"/>
    </row>
    <row r="213" spans="33:38" x14ac:dyDescent="0.3">
      <c r="AG213"/>
      <c r="AH213"/>
      <c r="AI213" s="15"/>
      <c r="AL213"/>
    </row>
    <row r="214" spans="33:38" x14ac:dyDescent="0.3">
      <c r="AG214"/>
      <c r="AH214"/>
      <c r="AI214" s="34"/>
      <c r="AL214"/>
    </row>
    <row r="215" spans="33:38" x14ac:dyDescent="0.3">
      <c r="AG215"/>
      <c r="AH215"/>
      <c r="AI215" s="15"/>
      <c r="AL215"/>
    </row>
    <row r="216" spans="33:38" x14ac:dyDescent="0.3">
      <c r="AG216"/>
      <c r="AH216"/>
      <c r="AI216" s="15"/>
      <c r="AL216"/>
    </row>
    <row r="217" spans="33:38" x14ac:dyDescent="0.3">
      <c r="AG217"/>
      <c r="AH217"/>
      <c r="AI217" s="15"/>
      <c r="AL217"/>
    </row>
    <row r="218" spans="33:38" x14ac:dyDescent="0.3">
      <c r="AG218"/>
      <c r="AH218"/>
      <c r="AI218" s="15"/>
      <c r="AL218"/>
    </row>
    <row r="219" spans="33:38" x14ac:dyDescent="0.3">
      <c r="AG219"/>
      <c r="AH219"/>
      <c r="AI219" s="34"/>
      <c r="AL219"/>
    </row>
    <row r="220" spans="33:38" x14ac:dyDescent="0.3">
      <c r="AG220"/>
      <c r="AH220"/>
      <c r="AI220" s="15"/>
      <c r="AL220"/>
    </row>
    <row r="221" spans="33:38" x14ac:dyDescent="0.3">
      <c r="AG221"/>
      <c r="AH221"/>
      <c r="AI221" s="15"/>
      <c r="AL221"/>
    </row>
    <row r="222" spans="33:38" x14ac:dyDescent="0.3">
      <c r="AG222"/>
      <c r="AH222"/>
      <c r="AI222" s="15"/>
      <c r="AL222"/>
    </row>
    <row r="223" spans="33:38" x14ac:dyDescent="0.3">
      <c r="AG223"/>
      <c r="AH223"/>
      <c r="AI223" s="15"/>
      <c r="AL223"/>
    </row>
    <row r="224" spans="33:38" x14ac:dyDescent="0.3">
      <c r="AG224"/>
      <c r="AH224"/>
      <c r="AI224" s="15"/>
      <c r="AL224"/>
    </row>
    <row r="225" spans="33:38" x14ac:dyDescent="0.3">
      <c r="AG225"/>
      <c r="AH225"/>
      <c r="AI225" s="15"/>
      <c r="AL225"/>
    </row>
    <row r="226" spans="33:38" x14ac:dyDescent="0.3">
      <c r="AG226"/>
      <c r="AH226"/>
      <c r="AI226" s="15"/>
      <c r="AL226"/>
    </row>
    <row r="227" spans="33:38" x14ac:dyDescent="0.3">
      <c r="AG227"/>
      <c r="AH227"/>
      <c r="AI227" s="15"/>
      <c r="AL227"/>
    </row>
    <row r="228" spans="33:38" x14ac:dyDescent="0.3">
      <c r="AG228"/>
      <c r="AH228"/>
      <c r="AI228" s="15"/>
      <c r="AL228"/>
    </row>
    <row r="229" spans="33:38" x14ac:dyDescent="0.3">
      <c r="AG229"/>
      <c r="AH229"/>
      <c r="AI229" s="15"/>
      <c r="AL229"/>
    </row>
    <row r="230" spans="33:38" x14ac:dyDescent="0.3">
      <c r="AG230"/>
      <c r="AH230"/>
      <c r="AI230" s="15"/>
      <c r="AL230"/>
    </row>
    <row r="231" spans="33:38" x14ac:dyDescent="0.3">
      <c r="AG231"/>
      <c r="AH231"/>
      <c r="AI231" s="15"/>
      <c r="AL231"/>
    </row>
    <row r="232" spans="33:38" x14ac:dyDescent="0.3">
      <c r="AG232"/>
      <c r="AH232"/>
      <c r="AI232" s="15"/>
      <c r="AL232"/>
    </row>
    <row r="233" spans="33:38" x14ac:dyDescent="0.3">
      <c r="AG233"/>
      <c r="AH233"/>
      <c r="AI233" s="15"/>
      <c r="AL233"/>
    </row>
    <row r="234" spans="33:38" x14ac:dyDescent="0.3">
      <c r="AG234"/>
      <c r="AH234"/>
      <c r="AI234" s="15"/>
      <c r="AL234"/>
    </row>
    <row r="235" spans="33:38" x14ac:dyDescent="0.3">
      <c r="AG235"/>
      <c r="AH235"/>
      <c r="AI235" s="15"/>
      <c r="AL235"/>
    </row>
    <row r="236" spans="33:38" x14ac:dyDescent="0.3">
      <c r="AG236"/>
      <c r="AH236"/>
      <c r="AI236" s="15"/>
      <c r="AL236"/>
    </row>
    <row r="237" spans="33:38" x14ac:dyDescent="0.3">
      <c r="AG237"/>
      <c r="AH237"/>
      <c r="AI237" s="15"/>
      <c r="AL237"/>
    </row>
    <row r="238" spans="33:38" x14ac:dyDescent="0.3">
      <c r="AG238"/>
      <c r="AH238"/>
      <c r="AI238" s="15"/>
      <c r="AL238"/>
    </row>
    <row r="239" spans="33:38" x14ac:dyDescent="0.3">
      <c r="AG239"/>
      <c r="AH239"/>
      <c r="AI239" s="15"/>
      <c r="AL239"/>
    </row>
    <row r="240" spans="33:38" x14ac:dyDescent="0.3">
      <c r="AG240"/>
      <c r="AH240"/>
      <c r="AI240" s="15"/>
      <c r="AL240"/>
    </row>
    <row r="241" spans="33:38" x14ac:dyDescent="0.3">
      <c r="AG241"/>
      <c r="AH241"/>
      <c r="AI241" s="15"/>
      <c r="AL241"/>
    </row>
    <row r="242" spans="33:38" x14ac:dyDescent="0.3">
      <c r="AG242"/>
      <c r="AH242"/>
      <c r="AI242" s="15"/>
      <c r="AL242"/>
    </row>
    <row r="243" spans="33:38" x14ac:dyDescent="0.3">
      <c r="AG243"/>
      <c r="AH243"/>
      <c r="AI243" s="15"/>
      <c r="AL243"/>
    </row>
    <row r="244" spans="33:38" x14ac:dyDescent="0.3">
      <c r="AG244"/>
      <c r="AH244"/>
      <c r="AI244" s="15"/>
      <c r="AL244"/>
    </row>
    <row r="245" spans="33:38" x14ac:dyDescent="0.3">
      <c r="AG245"/>
      <c r="AH245"/>
      <c r="AI245" s="15"/>
      <c r="AL245"/>
    </row>
    <row r="246" spans="33:38" x14ac:dyDescent="0.3">
      <c r="AG246"/>
      <c r="AH246"/>
      <c r="AI246" s="15"/>
      <c r="AL246"/>
    </row>
    <row r="247" spans="33:38" x14ac:dyDescent="0.3">
      <c r="AG247"/>
      <c r="AH247"/>
      <c r="AI247" s="15"/>
      <c r="AL247"/>
    </row>
    <row r="248" spans="33:38" x14ac:dyDescent="0.3">
      <c r="AG248"/>
      <c r="AH248"/>
      <c r="AI248" s="15"/>
      <c r="AL248"/>
    </row>
    <row r="249" spans="33:38" x14ac:dyDescent="0.3">
      <c r="AG249"/>
      <c r="AH249"/>
      <c r="AI249" s="15"/>
      <c r="AL249"/>
    </row>
    <row r="250" spans="33:38" x14ac:dyDescent="0.3">
      <c r="AG250"/>
      <c r="AH250"/>
      <c r="AI250" s="15"/>
      <c r="AL250"/>
    </row>
    <row r="251" spans="33:38" x14ac:dyDescent="0.3">
      <c r="AG251"/>
      <c r="AH251"/>
      <c r="AI251" s="15"/>
      <c r="AL251"/>
    </row>
    <row r="252" spans="33:38" x14ac:dyDescent="0.3">
      <c r="AG252"/>
      <c r="AH252"/>
      <c r="AI252" s="15"/>
      <c r="AL252"/>
    </row>
    <row r="253" spans="33:38" x14ac:dyDescent="0.3">
      <c r="AG253"/>
      <c r="AH253"/>
      <c r="AI253" s="15"/>
      <c r="AL253"/>
    </row>
    <row r="254" spans="33:38" x14ac:dyDescent="0.3">
      <c r="AG254"/>
      <c r="AH254"/>
      <c r="AI254" s="15"/>
      <c r="AL254"/>
    </row>
    <row r="255" spans="33:38" x14ac:dyDescent="0.3">
      <c r="AG255"/>
      <c r="AH255"/>
      <c r="AI255" s="15"/>
      <c r="AL255"/>
    </row>
    <row r="256" spans="33:38" x14ac:dyDescent="0.3">
      <c r="AG256"/>
      <c r="AH256"/>
      <c r="AI256" s="15"/>
      <c r="AL256"/>
    </row>
    <row r="257" spans="33:38" x14ac:dyDescent="0.3">
      <c r="AG257"/>
      <c r="AH257"/>
      <c r="AI257" s="15"/>
      <c r="AL257"/>
    </row>
    <row r="258" spans="33:38" x14ac:dyDescent="0.3">
      <c r="AG258"/>
      <c r="AH258"/>
      <c r="AI258" s="15"/>
      <c r="AL258"/>
    </row>
    <row r="259" spans="33:38" x14ac:dyDescent="0.3">
      <c r="AG259"/>
      <c r="AH259"/>
      <c r="AI259" s="15"/>
      <c r="AL259"/>
    </row>
    <row r="260" spans="33:38" x14ac:dyDescent="0.3">
      <c r="AG260"/>
      <c r="AH260"/>
      <c r="AI260" s="15"/>
      <c r="AL260"/>
    </row>
    <row r="261" spans="33:38" x14ac:dyDescent="0.3">
      <c r="AG261"/>
      <c r="AH261"/>
      <c r="AI261" s="15"/>
      <c r="AL261"/>
    </row>
    <row r="262" spans="33:38" x14ac:dyDescent="0.3">
      <c r="AG262"/>
      <c r="AH262"/>
      <c r="AI262" s="15"/>
      <c r="AL262"/>
    </row>
    <row r="263" spans="33:38" x14ac:dyDescent="0.3">
      <c r="AG263"/>
      <c r="AH263"/>
      <c r="AI263" s="15"/>
      <c r="AL263"/>
    </row>
    <row r="264" spans="33:38" x14ac:dyDescent="0.3">
      <c r="AG264"/>
      <c r="AH264"/>
      <c r="AI264" s="15"/>
      <c r="AL264"/>
    </row>
    <row r="265" spans="33:38" x14ac:dyDescent="0.3">
      <c r="AG265"/>
      <c r="AH265"/>
      <c r="AI265" s="15"/>
      <c r="AL265"/>
    </row>
    <row r="266" spans="33:38" x14ac:dyDescent="0.3">
      <c r="AG266"/>
      <c r="AH266"/>
      <c r="AI266" s="15"/>
      <c r="AL266"/>
    </row>
    <row r="267" spans="33:38" x14ac:dyDescent="0.3">
      <c r="AG267"/>
      <c r="AH267"/>
      <c r="AI267" s="15"/>
      <c r="AL267"/>
    </row>
    <row r="268" spans="33:38" x14ac:dyDescent="0.3">
      <c r="AG268"/>
      <c r="AH268"/>
      <c r="AI268" s="15"/>
      <c r="AL268"/>
    </row>
    <row r="269" spans="33:38" x14ac:dyDescent="0.3">
      <c r="AG269"/>
      <c r="AH269"/>
      <c r="AI269" s="15"/>
      <c r="AL269"/>
    </row>
    <row r="270" spans="33:38" x14ac:dyDescent="0.3">
      <c r="AG270"/>
      <c r="AH270"/>
      <c r="AI270" s="15"/>
      <c r="AL270"/>
    </row>
    <row r="271" spans="33:38" x14ac:dyDescent="0.3">
      <c r="AG271"/>
      <c r="AH271"/>
      <c r="AI271" s="15"/>
      <c r="AL271"/>
    </row>
    <row r="272" spans="33:38" x14ac:dyDescent="0.3">
      <c r="AG272"/>
      <c r="AH272"/>
      <c r="AI272" s="15"/>
      <c r="AL272"/>
    </row>
    <row r="273" spans="33:38" x14ac:dyDescent="0.3">
      <c r="AG273"/>
      <c r="AH273"/>
      <c r="AI273" s="15"/>
      <c r="AL273"/>
    </row>
    <row r="274" spans="33:38" x14ac:dyDescent="0.3">
      <c r="AG274"/>
      <c r="AH274"/>
      <c r="AI274" s="15"/>
      <c r="AL274"/>
    </row>
    <row r="275" spans="33:38" x14ac:dyDescent="0.3">
      <c r="AG275"/>
      <c r="AH275"/>
      <c r="AI275" s="15"/>
      <c r="AL275"/>
    </row>
    <row r="276" spans="33:38" x14ac:dyDescent="0.3">
      <c r="AG276"/>
      <c r="AH276"/>
      <c r="AI276" s="15"/>
      <c r="AL276"/>
    </row>
    <row r="277" spans="33:38" x14ac:dyDescent="0.3">
      <c r="AG277"/>
      <c r="AH277"/>
      <c r="AI277" s="15"/>
      <c r="AL277"/>
    </row>
    <row r="278" spans="33:38" x14ac:dyDescent="0.3">
      <c r="AG278"/>
      <c r="AH278"/>
      <c r="AI278" s="15"/>
      <c r="AL278"/>
    </row>
    <row r="279" spans="33:38" x14ac:dyDescent="0.3">
      <c r="AG279"/>
      <c r="AH279"/>
      <c r="AI279" s="15"/>
      <c r="AL279"/>
    </row>
    <row r="280" spans="33:38" x14ac:dyDescent="0.3">
      <c r="AG280"/>
      <c r="AH280"/>
      <c r="AI280" s="15"/>
      <c r="AL280"/>
    </row>
    <row r="281" spans="33:38" x14ac:dyDescent="0.3">
      <c r="AG281"/>
      <c r="AH281"/>
      <c r="AI281" s="15"/>
      <c r="AL281"/>
    </row>
    <row r="282" spans="33:38" x14ac:dyDescent="0.3">
      <c r="AG282"/>
      <c r="AH282"/>
      <c r="AI282" s="15"/>
      <c r="AL282"/>
    </row>
    <row r="283" spans="33:38" x14ac:dyDescent="0.3">
      <c r="AG283"/>
      <c r="AH283"/>
      <c r="AI283" s="15"/>
      <c r="AL283"/>
    </row>
    <row r="284" spans="33:38" x14ac:dyDescent="0.3">
      <c r="AG284"/>
      <c r="AH284"/>
      <c r="AI284" s="15"/>
      <c r="AL284"/>
    </row>
    <row r="285" spans="33:38" x14ac:dyDescent="0.3">
      <c r="AG285"/>
      <c r="AH285"/>
      <c r="AI285" s="15"/>
      <c r="AL285"/>
    </row>
    <row r="286" spans="33:38" x14ac:dyDescent="0.3">
      <c r="AG286"/>
      <c r="AH286"/>
      <c r="AI286" s="15"/>
      <c r="AL286"/>
    </row>
    <row r="287" spans="33:38" x14ac:dyDescent="0.3">
      <c r="AG287"/>
      <c r="AH287"/>
      <c r="AI287" s="15"/>
      <c r="AL287"/>
    </row>
    <row r="288" spans="33:38" x14ac:dyDescent="0.3">
      <c r="AG288"/>
      <c r="AH288"/>
      <c r="AI288" s="15"/>
      <c r="AL288"/>
    </row>
    <row r="289" spans="33:38" x14ac:dyDescent="0.3">
      <c r="AG289"/>
      <c r="AH289"/>
      <c r="AI289" s="15"/>
      <c r="AL289"/>
    </row>
    <row r="290" spans="33:38" x14ac:dyDescent="0.3">
      <c r="AG290"/>
      <c r="AH290"/>
      <c r="AI290" s="15"/>
      <c r="AL290"/>
    </row>
    <row r="291" spans="33:38" x14ac:dyDescent="0.3">
      <c r="AG291"/>
      <c r="AH291"/>
      <c r="AI291" s="15"/>
      <c r="AL291"/>
    </row>
    <row r="292" spans="33:38" x14ac:dyDescent="0.3">
      <c r="AG292"/>
      <c r="AH292"/>
      <c r="AI292" s="15"/>
      <c r="AL292"/>
    </row>
    <row r="293" spans="33:38" x14ac:dyDescent="0.3">
      <c r="AG293"/>
      <c r="AH293"/>
      <c r="AI293" s="15"/>
      <c r="AL293"/>
    </row>
    <row r="294" spans="33:38" x14ac:dyDescent="0.3">
      <c r="AG294"/>
      <c r="AH294"/>
      <c r="AI294" s="15"/>
      <c r="AL294"/>
    </row>
    <row r="295" spans="33:38" x14ac:dyDescent="0.3">
      <c r="AG295"/>
      <c r="AH295"/>
      <c r="AI295" s="15"/>
      <c r="AL295"/>
    </row>
    <row r="296" spans="33:38" x14ac:dyDescent="0.3">
      <c r="AG296"/>
      <c r="AH296"/>
      <c r="AI296" s="15"/>
      <c r="AL296"/>
    </row>
    <row r="297" spans="33:38" x14ac:dyDescent="0.3">
      <c r="AG297"/>
      <c r="AH297"/>
      <c r="AI297" s="15"/>
      <c r="AL297"/>
    </row>
    <row r="298" spans="33:38" x14ac:dyDescent="0.3">
      <c r="AG298"/>
      <c r="AH298"/>
      <c r="AI298" s="15"/>
      <c r="AL298"/>
    </row>
    <row r="299" spans="33:38" x14ac:dyDescent="0.3">
      <c r="AG299"/>
      <c r="AH299"/>
      <c r="AI299" s="15"/>
      <c r="AL299"/>
    </row>
    <row r="300" spans="33:38" x14ac:dyDescent="0.3">
      <c r="AG300"/>
      <c r="AH300"/>
      <c r="AI300" s="15"/>
      <c r="AL300"/>
    </row>
    <row r="301" spans="33:38" x14ac:dyDescent="0.3">
      <c r="AG301"/>
      <c r="AH301"/>
      <c r="AI301" s="15"/>
      <c r="AL301"/>
    </row>
    <row r="302" spans="33:38" x14ac:dyDescent="0.3">
      <c r="AG302"/>
      <c r="AH302"/>
      <c r="AI302" s="15"/>
      <c r="AL302"/>
    </row>
    <row r="303" spans="33:38" x14ac:dyDescent="0.3">
      <c r="AG303"/>
      <c r="AH303"/>
      <c r="AI303" s="15"/>
      <c r="AL303"/>
    </row>
    <row r="304" spans="33:38" x14ac:dyDescent="0.3">
      <c r="AG304"/>
      <c r="AH304"/>
      <c r="AI304" s="15"/>
      <c r="AL304"/>
    </row>
    <row r="305" spans="33:38" x14ac:dyDescent="0.3">
      <c r="AG305"/>
      <c r="AH305"/>
      <c r="AI305" s="15"/>
      <c r="AL305"/>
    </row>
    <row r="306" spans="33:38" x14ac:dyDescent="0.3">
      <c r="AG306"/>
      <c r="AH306"/>
      <c r="AI306" s="15"/>
      <c r="AL306"/>
    </row>
    <row r="307" spans="33:38" x14ac:dyDescent="0.3">
      <c r="AG307"/>
      <c r="AH307"/>
      <c r="AI307" s="15"/>
      <c r="AL307"/>
    </row>
    <row r="308" spans="33:38" x14ac:dyDescent="0.3">
      <c r="AG308"/>
      <c r="AH308"/>
      <c r="AI308" s="15"/>
      <c r="AL308"/>
    </row>
    <row r="309" spans="33:38" x14ac:dyDescent="0.3">
      <c r="AG309"/>
      <c r="AH309"/>
      <c r="AI309" s="15"/>
      <c r="AL309"/>
    </row>
    <row r="310" spans="33:38" x14ac:dyDescent="0.3">
      <c r="AG310"/>
      <c r="AH310"/>
      <c r="AI310" s="15"/>
      <c r="AL310"/>
    </row>
    <row r="311" spans="33:38" x14ac:dyDescent="0.3">
      <c r="AG311"/>
      <c r="AH311"/>
      <c r="AI311" s="15"/>
      <c r="AL311"/>
    </row>
    <row r="312" spans="33:38" x14ac:dyDescent="0.3">
      <c r="AG312"/>
      <c r="AH312"/>
      <c r="AI312" s="15"/>
      <c r="AL312"/>
    </row>
    <row r="313" spans="33:38" x14ac:dyDescent="0.3">
      <c r="AG313"/>
      <c r="AH313"/>
      <c r="AI313" s="15"/>
      <c r="AL313"/>
    </row>
    <row r="314" spans="33:38" x14ac:dyDescent="0.3">
      <c r="AG314"/>
      <c r="AH314"/>
      <c r="AI314" s="15"/>
      <c r="AL314"/>
    </row>
    <row r="315" spans="33:38" x14ac:dyDescent="0.3">
      <c r="AG315"/>
      <c r="AH315"/>
      <c r="AI315" s="15"/>
      <c r="AL315"/>
    </row>
    <row r="316" spans="33:38" x14ac:dyDescent="0.3">
      <c r="AG316"/>
      <c r="AH316"/>
      <c r="AI316" s="15"/>
      <c r="AL316"/>
    </row>
    <row r="317" spans="33:38" x14ac:dyDescent="0.3">
      <c r="AG317"/>
      <c r="AH317"/>
      <c r="AI317" s="15"/>
      <c r="AL317"/>
    </row>
    <row r="318" spans="33:38" x14ac:dyDescent="0.3">
      <c r="AG318"/>
      <c r="AH318"/>
      <c r="AI318" s="15"/>
      <c r="AL318"/>
    </row>
    <row r="319" spans="33:38" x14ac:dyDescent="0.3">
      <c r="AG319"/>
      <c r="AH319"/>
      <c r="AI319" s="15"/>
      <c r="AL319"/>
    </row>
    <row r="320" spans="33:38" x14ac:dyDescent="0.3">
      <c r="AG320"/>
      <c r="AH320"/>
      <c r="AI320" s="15"/>
      <c r="AL320"/>
    </row>
    <row r="321" spans="33:38" x14ac:dyDescent="0.3">
      <c r="AG321"/>
      <c r="AH321"/>
      <c r="AI321" s="15"/>
      <c r="AL321"/>
    </row>
    <row r="322" spans="33:38" x14ac:dyDescent="0.3">
      <c r="AG322"/>
      <c r="AH322"/>
      <c r="AI322" s="15"/>
      <c r="AL322"/>
    </row>
    <row r="323" spans="33:38" x14ac:dyDescent="0.3">
      <c r="AG323"/>
      <c r="AH323"/>
      <c r="AI323" s="15"/>
      <c r="AL323"/>
    </row>
    <row r="324" spans="33:38" x14ac:dyDescent="0.3">
      <c r="AG324"/>
      <c r="AH324"/>
      <c r="AI324" s="15"/>
      <c r="AL324"/>
    </row>
    <row r="325" spans="33:38" x14ac:dyDescent="0.3">
      <c r="AG325"/>
      <c r="AH325"/>
      <c r="AI325" s="15"/>
      <c r="AL325"/>
    </row>
    <row r="326" spans="33:38" x14ac:dyDescent="0.3">
      <c r="AG326"/>
      <c r="AH326"/>
      <c r="AI326" s="15"/>
      <c r="AL326"/>
    </row>
    <row r="327" spans="33:38" x14ac:dyDescent="0.3">
      <c r="AG327"/>
      <c r="AH327"/>
      <c r="AI327" s="15"/>
      <c r="AL327"/>
    </row>
    <row r="328" spans="33:38" x14ac:dyDescent="0.3">
      <c r="AG328"/>
      <c r="AH328"/>
      <c r="AI328" s="15"/>
      <c r="AL328"/>
    </row>
    <row r="329" spans="33:38" x14ac:dyDescent="0.3">
      <c r="AG329"/>
      <c r="AH329"/>
      <c r="AI329" s="15"/>
      <c r="AL329"/>
    </row>
    <row r="330" spans="33:38" x14ac:dyDescent="0.3">
      <c r="AG330"/>
      <c r="AH330"/>
      <c r="AI330" s="15"/>
      <c r="AL330"/>
    </row>
    <row r="331" spans="33:38" x14ac:dyDescent="0.3">
      <c r="AG331"/>
      <c r="AH331"/>
      <c r="AI331" s="15"/>
      <c r="AL331"/>
    </row>
    <row r="332" spans="33:38" x14ac:dyDescent="0.3">
      <c r="AG332"/>
      <c r="AH332"/>
      <c r="AI332" s="15"/>
      <c r="AL332"/>
    </row>
    <row r="333" spans="33:38" x14ac:dyDescent="0.3">
      <c r="AG333"/>
      <c r="AH333"/>
      <c r="AI333" s="15"/>
      <c r="AL333"/>
    </row>
    <row r="334" spans="33:38" x14ac:dyDescent="0.3">
      <c r="AG334"/>
      <c r="AH334"/>
      <c r="AI334" s="15"/>
      <c r="AL334"/>
    </row>
    <row r="335" spans="33:38" x14ac:dyDescent="0.3">
      <c r="AG335"/>
      <c r="AH335"/>
      <c r="AI335" s="15"/>
      <c r="AL335"/>
    </row>
    <row r="336" spans="33:38" x14ac:dyDescent="0.3">
      <c r="AG336"/>
      <c r="AH336"/>
      <c r="AI336" s="15"/>
      <c r="AL336"/>
    </row>
    <row r="337" spans="33:38" x14ac:dyDescent="0.3">
      <c r="AG337"/>
      <c r="AH337"/>
      <c r="AI337" s="15"/>
      <c r="AL337"/>
    </row>
    <row r="338" spans="33:38" x14ac:dyDescent="0.3">
      <c r="AG338"/>
      <c r="AH338"/>
      <c r="AI338" s="15"/>
      <c r="AL338"/>
    </row>
    <row r="339" spans="33:38" x14ac:dyDescent="0.3">
      <c r="AG339"/>
      <c r="AH339"/>
      <c r="AI339" s="15"/>
      <c r="AL339"/>
    </row>
    <row r="340" spans="33:38" x14ac:dyDescent="0.3">
      <c r="AG340"/>
      <c r="AH340"/>
      <c r="AI340" s="15"/>
      <c r="AL340"/>
    </row>
    <row r="341" spans="33:38" x14ac:dyDescent="0.3">
      <c r="AG341"/>
      <c r="AH341"/>
      <c r="AI341" s="15"/>
      <c r="AL341"/>
    </row>
    <row r="342" spans="33:38" x14ac:dyDescent="0.3">
      <c r="AG342"/>
      <c r="AH342"/>
      <c r="AI342" s="15"/>
      <c r="AL342"/>
    </row>
    <row r="343" spans="33:38" x14ac:dyDescent="0.3">
      <c r="AG343"/>
      <c r="AH343"/>
      <c r="AI343" s="15"/>
      <c r="AL343"/>
    </row>
    <row r="344" spans="33:38" x14ac:dyDescent="0.3">
      <c r="AG344"/>
      <c r="AH344"/>
      <c r="AI344" s="15"/>
      <c r="AL344"/>
    </row>
    <row r="345" spans="33:38" x14ac:dyDescent="0.3">
      <c r="AG345"/>
      <c r="AH345"/>
      <c r="AI345" s="15"/>
      <c r="AL345"/>
    </row>
    <row r="346" spans="33:38" x14ac:dyDescent="0.3">
      <c r="AG346"/>
      <c r="AH346"/>
      <c r="AI346" s="15"/>
      <c r="AL346"/>
    </row>
    <row r="347" spans="33:38" x14ac:dyDescent="0.3">
      <c r="AG347"/>
      <c r="AH347"/>
      <c r="AI347" s="15"/>
      <c r="AL347"/>
    </row>
    <row r="348" spans="33:38" x14ac:dyDescent="0.3">
      <c r="AG348"/>
      <c r="AH348"/>
      <c r="AI348" s="15"/>
      <c r="AL348"/>
    </row>
    <row r="349" spans="33:38" x14ac:dyDescent="0.3">
      <c r="AG349"/>
      <c r="AH349"/>
      <c r="AI349" s="15"/>
      <c r="AL349"/>
    </row>
    <row r="350" spans="33:38" x14ac:dyDescent="0.3">
      <c r="AG350"/>
      <c r="AH350"/>
      <c r="AI350" s="15"/>
      <c r="AL350"/>
    </row>
    <row r="351" spans="33:38" x14ac:dyDescent="0.3">
      <c r="AG351"/>
      <c r="AH351"/>
      <c r="AI351" s="15"/>
      <c r="AL351"/>
    </row>
    <row r="352" spans="33:38" x14ac:dyDescent="0.3">
      <c r="AG352"/>
      <c r="AH352"/>
      <c r="AI352" s="15"/>
      <c r="AL352"/>
    </row>
    <row r="353" spans="33:38" x14ac:dyDescent="0.3">
      <c r="AG353"/>
      <c r="AH353"/>
      <c r="AI353" s="15"/>
      <c r="AL353"/>
    </row>
    <row r="354" spans="33:38" x14ac:dyDescent="0.3">
      <c r="AG354"/>
      <c r="AH354"/>
      <c r="AI354" s="15"/>
      <c r="AL354"/>
    </row>
    <row r="355" spans="33:38" x14ac:dyDescent="0.3">
      <c r="AG355"/>
      <c r="AH355"/>
      <c r="AI355" s="15"/>
      <c r="AL355"/>
    </row>
    <row r="356" spans="33:38" x14ac:dyDescent="0.3">
      <c r="AG356"/>
      <c r="AH356"/>
      <c r="AI356" s="15"/>
      <c r="AL356"/>
    </row>
    <row r="357" spans="33:38" x14ac:dyDescent="0.3">
      <c r="AG357"/>
      <c r="AH357"/>
      <c r="AI357" s="15"/>
      <c r="AL357"/>
    </row>
    <row r="358" spans="33:38" x14ac:dyDescent="0.3">
      <c r="AG358"/>
      <c r="AH358"/>
      <c r="AI358" s="15"/>
      <c r="AL358"/>
    </row>
    <row r="359" spans="33:38" x14ac:dyDescent="0.3">
      <c r="AG359"/>
      <c r="AH359"/>
      <c r="AI359" s="15"/>
      <c r="AL359"/>
    </row>
    <row r="360" spans="33:38" x14ac:dyDescent="0.3">
      <c r="AG360"/>
      <c r="AH360"/>
      <c r="AI360" s="15"/>
      <c r="AL360"/>
    </row>
    <row r="361" spans="33:38" x14ac:dyDescent="0.3">
      <c r="AG361"/>
      <c r="AH361"/>
      <c r="AI361" s="15"/>
      <c r="AL361"/>
    </row>
    <row r="362" spans="33:38" x14ac:dyDescent="0.3">
      <c r="AG362"/>
      <c r="AH362"/>
      <c r="AI362" s="15"/>
      <c r="AL362"/>
    </row>
    <row r="363" spans="33:38" x14ac:dyDescent="0.3">
      <c r="AG363"/>
      <c r="AH363"/>
      <c r="AI363" s="15"/>
      <c r="AL363"/>
    </row>
    <row r="364" spans="33:38" x14ac:dyDescent="0.3">
      <c r="AG364"/>
      <c r="AH364"/>
      <c r="AI364" s="15"/>
      <c r="AL364"/>
    </row>
    <row r="365" spans="33:38" x14ac:dyDescent="0.3">
      <c r="AG365"/>
      <c r="AH365"/>
      <c r="AI365" s="15"/>
      <c r="AL365"/>
    </row>
    <row r="366" spans="33:38" x14ac:dyDescent="0.3">
      <c r="AG366"/>
      <c r="AH366"/>
      <c r="AI366" s="15"/>
      <c r="AL366"/>
    </row>
    <row r="367" spans="33:38" x14ac:dyDescent="0.3">
      <c r="AG367"/>
      <c r="AH367"/>
      <c r="AI367" s="15"/>
      <c r="AL367"/>
    </row>
    <row r="368" spans="33:38" x14ac:dyDescent="0.3">
      <c r="AG368"/>
      <c r="AH368"/>
      <c r="AI368" s="15"/>
      <c r="AL368"/>
    </row>
    <row r="369" spans="33:38" x14ac:dyDescent="0.3">
      <c r="AG369"/>
      <c r="AH369"/>
      <c r="AI369" s="15"/>
      <c r="AL369"/>
    </row>
    <row r="370" spans="33:38" x14ac:dyDescent="0.3">
      <c r="AG370"/>
      <c r="AH370"/>
      <c r="AI370" s="15"/>
      <c r="AL370"/>
    </row>
    <row r="371" spans="33:38" x14ac:dyDescent="0.3">
      <c r="AG371"/>
      <c r="AH371"/>
      <c r="AI371" s="15"/>
      <c r="AL371"/>
    </row>
    <row r="372" spans="33:38" x14ac:dyDescent="0.3">
      <c r="AG372"/>
      <c r="AH372"/>
      <c r="AI372" s="15"/>
      <c r="AL372"/>
    </row>
    <row r="373" spans="33:38" x14ac:dyDescent="0.3">
      <c r="AG373"/>
      <c r="AH373"/>
      <c r="AI373" s="15"/>
      <c r="AL373"/>
    </row>
    <row r="374" spans="33:38" x14ac:dyDescent="0.3">
      <c r="AG374"/>
      <c r="AH374"/>
      <c r="AI374" s="15"/>
      <c r="AL374"/>
    </row>
    <row r="375" spans="33:38" x14ac:dyDescent="0.3">
      <c r="AG375"/>
      <c r="AH375"/>
      <c r="AI375" s="15"/>
      <c r="AL375"/>
    </row>
    <row r="376" spans="33:38" x14ac:dyDescent="0.3">
      <c r="AG376"/>
      <c r="AH376"/>
      <c r="AI376" s="15"/>
      <c r="AL376"/>
    </row>
    <row r="377" spans="33:38" x14ac:dyDescent="0.3">
      <c r="AG377"/>
      <c r="AH377"/>
      <c r="AI377" s="15"/>
      <c r="AL377"/>
    </row>
    <row r="378" spans="33:38" x14ac:dyDescent="0.3">
      <c r="AG378"/>
      <c r="AH378"/>
      <c r="AI378" s="15"/>
      <c r="AL378"/>
    </row>
    <row r="379" spans="33:38" x14ac:dyDescent="0.3">
      <c r="AG379"/>
      <c r="AH379"/>
      <c r="AI379" s="15"/>
      <c r="AL379"/>
    </row>
    <row r="380" spans="33:38" x14ac:dyDescent="0.3">
      <c r="AG380"/>
      <c r="AH380"/>
      <c r="AI380" s="15"/>
      <c r="AL380"/>
    </row>
    <row r="381" spans="33:38" x14ac:dyDescent="0.3">
      <c r="AG381"/>
      <c r="AH381"/>
      <c r="AI381" s="15"/>
      <c r="AL381"/>
    </row>
    <row r="382" spans="33:38" x14ac:dyDescent="0.3">
      <c r="AG382"/>
      <c r="AH382"/>
      <c r="AI382" s="15"/>
      <c r="AL382"/>
    </row>
    <row r="383" spans="33:38" x14ac:dyDescent="0.3">
      <c r="AG383"/>
      <c r="AH383"/>
      <c r="AI383" s="15"/>
      <c r="AL383"/>
    </row>
    <row r="384" spans="33:38" x14ac:dyDescent="0.3">
      <c r="AG384"/>
      <c r="AH384"/>
      <c r="AI384" s="15"/>
      <c r="AL384"/>
    </row>
    <row r="385" spans="33:38" x14ac:dyDescent="0.3">
      <c r="AG385"/>
      <c r="AH385"/>
      <c r="AI385" s="15"/>
      <c r="AL385"/>
    </row>
    <row r="386" spans="33:38" x14ac:dyDescent="0.3">
      <c r="AG386"/>
      <c r="AH386"/>
      <c r="AI386" s="15"/>
      <c r="AL386"/>
    </row>
    <row r="387" spans="33:38" x14ac:dyDescent="0.3">
      <c r="AG387"/>
      <c r="AH387"/>
      <c r="AI387" s="15"/>
      <c r="AL387"/>
    </row>
    <row r="388" spans="33:38" x14ac:dyDescent="0.3">
      <c r="AG388"/>
      <c r="AH388"/>
      <c r="AI388" s="15"/>
      <c r="AL388"/>
    </row>
    <row r="389" spans="33:38" x14ac:dyDescent="0.3">
      <c r="AG389"/>
      <c r="AH389"/>
      <c r="AI389" s="15"/>
      <c r="AL389"/>
    </row>
    <row r="390" spans="33:38" x14ac:dyDescent="0.3">
      <c r="AG390"/>
      <c r="AH390"/>
      <c r="AI390" s="15"/>
      <c r="AL390"/>
    </row>
    <row r="391" spans="33:38" x14ac:dyDescent="0.3">
      <c r="AG391"/>
      <c r="AH391"/>
      <c r="AI391" s="15"/>
      <c r="AL391"/>
    </row>
    <row r="392" spans="33:38" x14ac:dyDescent="0.3">
      <c r="AG392"/>
      <c r="AH392"/>
      <c r="AI392" s="15"/>
      <c r="AL392"/>
    </row>
    <row r="393" spans="33:38" x14ac:dyDescent="0.3">
      <c r="AG393"/>
      <c r="AH393"/>
      <c r="AI393" s="15"/>
      <c r="AL393"/>
    </row>
    <row r="394" spans="33:38" x14ac:dyDescent="0.3">
      <c r="AG394"/>
      <c r="AH394"/>
      <c r="AI394" s="15"/>
      <c r="AL394"/>
    </row>
    <row r="395" spans="33:38" x14ac:dyDescent="0.3">
      <c r="AG395"/>
      <c r="AH395"/>
      <c r="AI395" s="15"/>
      <c r="AL395"/>
    </row>
    <row r="396" spans="33:38" x14ac:dyDescent="0.3">
      <c r="AG396"/>
      <c r="AH396"/>
      <c r="AI396" s="15"/>
      <c r="AL396"/>
    </row>
    <row r="397" spans="33:38" x14ac:dyDescent="0.3">
      <c r="AG397"/>
      <c r="AH397"/>
      <c r="AI397" s="15"/>
      <c r="AL397"/>
    </row>
    <row r="398" spans="33:38" x14ac:dyDescent="0.3">
      <c r="AG398"/>
      <c r="AH398"/>
      <c r="AI398" s="15"/>
      <c r="AL398"/>
    </row>
    <row r="399" spans="33:38" x14ac:dyDescent="0.3">
      <c r="AG399"/>
      <c r="AH399"/>
      <c r="AI399" s="15"/>
      <c r="AL399"/>
    </row>
    <row r="400" spans="33:38" x14ac:dyDescent="0.3">
      <c r="AG400"/>
      <c r="AH400"/>
      <c r="AI400" s="15"/>
      <c r="AL400"/>
    </row>
    <row r="401" spans="33:38" x14ac:dyDescent="0.3">
      <c r="AG401"/>
      <c r="AH401"/>
      <c r="AI401" s="15"/>
      <c r="AL401"/>
    </row>
    <row r="402" spans="33:38" x14ac:dyDescent="0.3">
      <c r="AG402"/>
      <c r="AH402"/>
      <c r="AI402" s="15"/>
      <c r="AL402"/>
    </row>
    <row r="403" spans="33:38" x14ac:dyDescent="0.3">
      <c r="AG403"/>
      <c r="AH403"/>
      <c r="AI403" s="15"/>
      <c r="AL403"/>
    </row>
    <row r="404" spans="33:38" x14ac:dyDescent="0.3">
      <c r="AG404"/>
      <c r="AH404"/>
      <c r="AI404" s="15"/>
      <c r="AL404"/>
    </row>
    <row r="405" spans="33:38" x14ac:dyDescent="0.3">
      <c r="AG405"/>
      <c r="AH405"/>
      <c r="AI405" s="15"/>
      <c r="AL405"/>
    </row>
    <row r="406" spans="33:38" x14ac:dyDescent="0.3">
      <c r="AG406"/>
      <c r="AH406"/>
      <c r="AI406" s="15"/>
      <c r="AL406"/>
    </row>
    <row r="407" spans="33:38" x14ac:dyDescent="0.3">
      <c r="AG407"/>
      <c r="AH407"/>
      <c r="AI407" s="15"/>
      <c r="AL407"/>
    </row>
    <row r="408" spans="33:38" x14ac:dyDescent="0.3">
      <c r="AG408"/>
      <c r="AH408"/>
      <c r="AI408" s="15"/>
      <c r="AL408"/>
    </row>
    <row r="409" spans="33:38" x14ac:dyDescent="0.3">
      <c r="AG409"/>
      <c r="AH409"/>
      <c r="AI409" s="15"/>
      <c r="AL409"/>
    </row>
    <row r="410" spans="33:38" x14ac:dyDescent="0.3">
      <c r="AG410"/>
      <c r="AH410"/>
      <c r="AI410" s="15"/>
      <c r="AL410"/>
    </row>
    <row r="411" spans="33:38" x14ac:dyDescent="0.3">
      <c r="AG411"/>
      <c r="AH411"/>
      <c r="AI411" s="15"/>
      <c r="AL411"/>
    </row>
    <row r="412" spans="33:38" x14ac:dyDescent="0.3">
      <c r="AG412"/>
      <c r="AH412"/>
      <c r="AI412" s="15"/>
      <c r="AL412"/>
    </row>
    <row r="413" spans="33:38" x14ac:dyDescent="0.3">
      <c r="AG413"/>
      <c r="AH413"/>
      <c r="AI413" s="15"/>
      <c r="AL413"/>
    </row>
    <row r="414" spans="33:38" x14ac:dyDescent="0.3">
      <c r="AG414"/>
      <c r="AH414"/>
      <c r="AI414" s="15"/>
      <c r="AL414"/>
    </row>
    <row r="415" spans="33:38" x14ac:dyDescent="0.3">
      <c r="AG415"/>
      <c r="AH415"/>
      <c r="AI415" s="15"/>
      <c r="AL415"/>
    </row>
    <row r="416" spans="33:38" x14ac:dyDescent="0.3">
      <c r="AG416"/>
      <c r="AH416"/>
      <c r="AI416" s="15"/>
      <c r="AL416"/>
    </row>
    <row r="417" spans="33:38" x14ac:dyDescent="0.3">
      <c r="AG417"/>
      <c r="AH417"/>
      <c r="AI417" s="15"/>
      <c r="AL417"/>
    </row>
    <row r="418" spans="33:38" x14ac:dyDescent="0.3">
      <c r="AG418"/>
      <c r="AH418"/>
      <c r="AI418" s="15"/>
      <c r="AL418"/>
    </row>
    <row r="419" spans="33:38" x14ac:dyDescent="0.3">
      <c r="AG419"/>
      <c r="AH419"/>
      <c r="AI419" s="15"/>
      <c r="AL419"/>
    </row>
    <row r="420" spans="33:38" x14ac:dyDescent="0.3">
      <c r="AG420"/>
      <c r="AH420"/>
      <c r="AI420" s="15"/>
      <c r="AL420"/>
    </row>
    <row r="421" spans="33:38" x14ac:dyDescent="0.3">
      <c r="AG421"/>
      <c r="AH421"/>
      <c r="AI421" s="15"/>
      <c r="AL421"/>
    </row>
    <row r="422" spans="33:38" x14ac:dyDescent="0.3">
      <c r="AG422"/>
      <c r="AH422"/>
      <c r="AI422" s="15"/>
      <c r="AL422"/>
    </row>
    <row r="423" spans="33:38" x14ac:dyDescent="0.3">
      <c r="AG423"/>
      <c r="AH423"/>
      <c r="AI423" s="15"/>
      <c r="AL423"/>
    </row>
    <row r="424" spans="33:38" x14ac:dyDescent="0.3">
      <c r="AG424"/>
      <c r="AH424"/>
      <c r="AI424" s="15"/>
      <c r="AL424"/>
    </row>
    <row r="425" spans="33:38" x14ac:dyDescent="0.3">
      <c r="AG425"/>
      <c r="AH425"/>
      <c r="AI425" s="15"/>
      <c r="AL425"/>
    </row>
    <row r="426" spans="33:38" x14ac:dyDescent="0.3">
      <c r="AG426"/>
      <c r="AH426"/>
      <c r="AI426" s="15"/>
      <c r="AL426"/>
    </row>
    <row r="427" spans="33:38" x14ac:dyDescent="0.3">
      <c r="AG427"/>
      <c r="AH427"/>
      <c r="AI427" s="15"/>
      <c r="AL427"/>
    </row>
    <row r="428" spans="33:38" x14ac:dyDescent="0.3">
      <c r="AG428"/>
      <c r="AH428"/>
      <c r="AI428" s="15"/>
      <c r="AL428"/>
    </row>
    <row r="429" spans="33:38" x14ac:dyDescent="0.3">
      <c r="AG429"/>
      <c r="AH429"/>
      <c r="AI429" s="15"/>
      <c r="AL429"/>
    </row>
    <row r="430" spans="33:38" x14ac:dyDescent="0.3">
      <c r="AG430"/>
      <c r="AH430"/>
      <c r="AI430" s="15"/>
      <c r="AL430"/>
    </row>
    <row r="431" spans="33:38" x14ac:dyDescent="0.3">
      <c r="AG431"/>
      <c r="AH431"/>
      <c r="AI431" s="15"/>
      <c r="AL431"/>
    </row>
    <row r="432" spans="33:38" x14ac:dyDescent="0.3">
      <c r="AG432"/>
      <c r="AH432"/>
      <c r="AI432" s="15"/>
      <c r="AL432"/>
    </row>
    <row r="433" spans="33:38" x14ac:dyDescent="0.3">
      <c r="AG433"/>
      <c r="AH433"/>
      <c r="AI433" s="15"/>
      <c r="AL433"/>
    </row>
    <row r="434" spans="33:38" x14ac:dyDescent="0.3">
      <c r="AG434"/>
      <c r="AH434"/>
      <c r="AI434" s="15"/>
      <c r="AL434"/>
    </row>
    <row r="435" spans="33:38" x14ac:dyDescent="0.3">
      <c r="AG435"/>
      <c r="AH435"/>
      <c r="AI435" s="15"/>
      <c r="AL435"/>
    </row>
    <row r="436" spans="33:38" x14ac:dyDescent="0.3">
      <c r="AG436"/>
      <c r="AH436"/>
      <c r="AI436" s="15"/>
      <c r="AL436"/>
    </row>
    <row r="437" spans="33:38" x14ac:dyDescent="0.3">
      <c r="AG437"/>
      <c r="AH437"/>
      <c r="AI437" s="15"/>
      <c r="AL437"/>
    </row>
    <row r="438" spans="33:38" x14ac:dyDescent="0.3">
      <c r="AG438"/>
      <c r="AH438"/>
      <c r="AI438" s="15"/>
      <c r="AL438"/>
    </row>
    <row r="439" spans="33:38" x14ac:dyDescent="0.3">
      <c r="AG439"/>
      <c r="AH439"/>
      <c r="AI439" s="15"/>
      <c r="AL439"/>
    </row>
    <row r="440" spans="33:38" x14ac:dyDescent="0.3">
      <c r="AG440"/>
      <c r="AH440"/>
      <c r="AI440" s="15"/>
      <c r="AL440"/>
    </row>
    <row r="441" spans="33:38" x14ac:dyDescent="0.3">
      <c r="AG441"/>
      <c r="AH441"/>
      <c r="AI441" s="15"/>
      <c r="AL441"/>
    </row>
    <row r="442" spans="33:38" x14ac:dyDescent="0.3">
      <c r="AG442"/>
      <c r="AH442"/>
      <c r="AI442" s="15"/>
      <c r="AL442"/>
    </row>
    <row r="443" spans="33:38" x14ac:dyDescent="0.3">
      <c r="AG443"/>
      <c r="AH443"/>
      <c r="AI443" s="15"/>
      <c r="AL443"/>
    </row>
    <row r="444" spans="33:38" x14ac:dyDescent="0.3">
      <c r="AG444"/>
      <c r="AH444"/>
      <c r="AI444" s="15"/>
      <c r="AL444"/>
    </row>
    <row r="445" spans="33:38" x14ac:dyDescent="0.3">
      <c r="AG445"/>
      <c r="AH445"/>
      <c r="AI445" s="15"/>
      <c r="AL445"/>
    </row>
    <row r="446" spans="33:38" x14ac:dyDescent="0.3">
      <c r="AG446"/>
      <c r="AH446"/>
      <c r="AI446" s="15"/>
      <c r="AL446"/>
    </row>
    <row r="447" spans="33:38" x14ac:dyDescent="0.3">
      <c r="AG447"/>
      <c r="AH447"/>
      <c r="AI447" s="15"/>
      <c r="AL447"/>
    </row>
    <row r="448" spans="33:38" x14ac:dyDescent="0.3">
      <c r="AG448"/>
      <c r="AH448"/>
      <c r="AI448" s="15"/>
      <c r="AL448"/>
    </row>
    <row r="449" spans="33:38" x14ac:dyDescent="0.3">
      <c r="AG449"/>
      <c r="AH449"/>
      <c r="AI449" s="15"/>
      <c r="AL449"/>
    </row>
    <row r="450" spans="33:38" x14ac:dyDescent="0.3">
      <c r="AG450"/>
      <c r="AH450"/>
      <c r="AI450" s="15"/>
      <c r="AL450"/>
    </row>
    <row r="451" spans="33:38" x14ac:dyDescent="0.3">
      <c r="AG451"/>
      <c r="AH451"/>
      <c r="AI451" s="15"/>
      <c r="AL451"/>
    </row>
    <row r="452" spans="33:38" x14ac:dyDescent="0.3">
      <c r="AG452"/>
      <c r="AH452"/>
      <c r="AI452" s="15"/>
      <c r="AL452"/>
    </row>
    <row r="453" spans="33:38" x14ac:dyDescent="0.3">
      <c r="AG453"/>
      <c r="AH453"/>
      <c r="AI453" s="15"/>
      <c r="AL453"/>
    </row>
    <row r="454" spans="33:38" x14ac:dyDescent="0.3">
      <c r="AG454"/>
      <c r="AH454"/>
      <c r="AI454" s="15"/>
      <c r="AL454"/>
    </row>
    <row r="455" spans="33:38" x14ac:dyDescent="0.3">
      <c r="AG455"/>
      <c r="AH455"/>
      <c r="AI455" s="15"/>
      <c r="AL455"/>
    </row>
    <row r="456" spans="33:38" x14ac:dyDescent="0.3">
      <c r="AG456"/>
      <c r="AH456"/>
      <c r="AI456" s="15"/>
      <c r="AL456"/>
    </row>
    <row r="457" spans="33:38" x14ac:dyDescent="0.3">
      <c r="AG457"/>
      <c r="AH457"/>
      <c r="AI457" s="15"/>
      <c r="AL457"/>
    </row>
    <row r="458" spans="33:38" x14ac:dyDescent="0.3">
      <c r="AG458"/>
      <c r="AH458"/>
      <c r="AI458" s="15"/>
      <c r="AL458"/>
    </row>
    <row r="459" spans="33:38" x14ac:dyDescent="0.3">
      <c r="AG459"/>
      <c r="AH459"/>
      <c r="AI459" s="15"/>
      <c r="AL459"/>
    </row>
    <row r="460" spans="33:38" x14ac:dyDescent="0.3">
      <c r="AG460"/>
      <c r="AH460"/>
      <c r="AI460" s="15"/>
      <c r="AL460"/>
    </row>
    <row r="461" spans="33:38" x14ac:dyDescent="0.3">
      <c r="AG461"/>
      <c r="AH461"/>
      <c r="AI461" s="15"/>
      <c r="AL461"/>
    </row>
    <row r="462" spans="33:38" x14ac:dyDescent="0.3">
      <c r="AG462"/>
      <c r="AH462"/>
      <c r="AI462" s="15"/>
      <c r="AL462"/>
    </row>
    <row r="463" spans="33:38" x14ac:dyDescent="0.3">
      <c r="AG463"/>
      <c r="AH463"/>
      <c r="AI463" s="15"/>
      <c r="AL463"/>
    </row>
    <row r="464" spans="33:38" x14ac:dyDescent="0.3">
      <c r="AG464"/>
      <c r="AH464"/>
      <c r="AI464" s="15"/>
      <c r="AL464"/>
    </row>
    <row r="465" spans="33:38" x14ac:dyDescent="0.3">
      <c r="AG465"/>
      <c r="AH465"/>
      <c r="AI465" s="15"/>
      <c r="AL465"/>
    </row>
    <row r="466" spans="33:38" x14ac:dyDescent="0.3">
      <c r="AG466"/>
      <c r="AH466"/>
      <c r="AI466" s="15"/>
      <c r="AL466"/>
    </row>
  </sheetData>
  <phoneticPr fontId="16" type="noConversion"/>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A81F-08CE-41CD-B392-C88E0E4E265A}">
  <sheetPr codeName="Sheet9">
    <tabColor theme="7" tint="0.79998168889431442"/>
  </sheetPr>
  <dimension ref="A1:AJ128"/>
  <sheetViews>
    <sheetView showGridLines="0" zoomScale="85" zoomScaleNormal="85" workbookViewId="0">
      <pane ySplit="1" topLeftCell="A2" activePane="bottomLeft" state="frozen"/>
      <selection pane="bottomLeft" activeCell="A2" sqref="A2:G24"/>
    </sheetView>
  </sheetViews>
  <sheetFormatPr defaultColWidth="9.09765625" defaultRowHeight="14.4" x14ac:dyDescent="0.3"/>
  <cols>
    <col min="1" max="1" width="11.69921875" style="94" bestFit="1" customWidth="1"/>
    <col min="2" max="2" width="13.59765625" style="198" bestFit="1" customWidth="1"/>
    <col min="3" max="3" width="10.09765625" style="120" customWidth="1"/>
    <col min="4" max="4" width="11.19921875" style="230" bestFit="1" customWidth="1"/>
    <col min="5" max="7" width="10.09765625" style="95" customWidth="1"/>
    <col min="8" max="10" width="7.8984375" style="195" customWidth="1"/>
    <col min="11" max="11" width="12.3984375" style="195" customWidth="1"/>
    <col min="12" max="12" width="8.69921875" style="95" bestFit="1" customWidth="1"/>
    <col min="13" max="13" width="7.8984375" style="95" customWidth="1"/>
    <col min="14" max="15" width="8.3984375" style="95" customWidth="1"/>
    <col min="16" max="16" width="8.3984375" style="195" customWidth="1"/>
    <col min="17" max="17" width="8" style="195" customWidth="1"/>
    <col min="18" max="18" width="8.69921875" style="197" customWidth="1"/>
    <col min="19" max="19" width="7.3984375" style="29" customWidth="1"/>
    <col min="20" max="20" width="12.59765625" style="18" bestFit="1" customWidth="1"/>
    <col min="21" max="21" width="12.3984375" style="18" customWidth="1"/>
    <col min="22" max="22" width="13.69921875" style="18" bestFit="1" customWidth="1"/>
    <col min="23" max="26" width="13.09765625" style="18" customWidth="1"/>
    <col min="27" max="27" width="11.59765625" style="18" bestFit="1" customWidth="1"/>
    <col min="28" max="29" width="9.09765625" style="18"/>
    <col min="30" max="30" width="23.69921875" style="30" customWidth="1"/>
    <col min="31" max="31" width="13.296875" style="62" customWidth="1"/>
    <col min="32" max="32" width="13.296875" style="172" customWidth="1"/>
    <col min="33" max="35" width="13.296875" style="62" customWidth="1"/>
    <col min="36" max="36" width="22.59765625" style="30" customWidth="1"/>
    <col min="37" max="16384" width="9.09765625" style="18"/>
  </cols>
  <sheetData>
    <row r="1" spans="1:36" s="38" customFormat="1" ht="28.8" customHeight="1" x14ac:dyDescent="0.3">
      <c r="A1" s="220" t="s">
        <v>267</v>
      </c>
      <c r="B1" s="221" t="s">
        <v>1072</v>
      </c>
      <c r="C1" s="220" t="s">
        <v>523</v>
      </c>
      <c r="D1" s="228" t="s">
        <v>524</v>
      </c>
      <c r="E1" s="220" t="s">
        <v>1090</v>
      </c>
      <c r="F1" s="220" t="s">
        <v>1091</v>
      </c>
      <c r="G1" s="220" t="s">
        <v>1092</v>
      </c>
      <c r="H1" s="193" t="s">
        <v>673</v>
      </c>
      <c r="I1" s="193" t="s">
        <v>674</v>
      </c>
      <c r="J1" s="218" t="s">
        <v>1084</v>
      </c>
      <c r="K1" s="219" t="s">
        <v>1243</v>
      </c>
      <c r="L1" s="302"/>
      <c r="M1" s="216" t="s">
        <v>523</v>
      </c>
      <c r="N1" s="218" t="s">
        <v>1101</v>
      </c>
      <c r="O1" s="217" t="s">
        <v>673</v>
      </c>
      <c r="P1" s="219" t="s">
        <v>1102</v>
      </c>
      <c r="R1" s="502" t="s">
        <v>704</v>
      </c>
      <c r="S1" s="499" t="s">
        <v>720</v>
      </c>
      <c r="T1" s="500"/>
      <c r="U1" s="500"/>
      <c r="V1" s="501"/>
    </row>
    <row r="2" spans="1:36" x14ac:dyDescent="0.3">
      <c r="A2" s="94" t="s">
        <v>339</v>
      </c>
      <c r="B2" s="232">
        <v>3000</v>
      </c>
      <c r="C2" s="445" t="s">
        <v>295</v>
      </c>
      <c r="D2" s="73">
        <v>46203</v>
      </c>
      <c r="E2" s="303"/>
      <c r="F2" s="303" t="s">
        <v>518</v>
      </c>
      <c r="G2" s="29"/>
      <c r="H2" s="304">
        <f>Portfolio_rating[[#This Row],[Total Amount]]/Portfolio_rating[[#Totals],[Total Amount]]</f>
        <v>8.2579729537373511E-2</v>
      </c>
      <c r="I2" s="304">
        <f>H2</f>
        <v>8.2579729537373511E-2</v>
      </c>
      <c r="J2" s="233">
        <f>SUMIFS(Ref!R:R,Ref!P:P,Portfolio_rating[[#This Row],[Issuer]])/10^9</f>
        <v>0</v>
      </c>
      <c r="K2" s="233">
        <f>IFERROR(MAX(Portfolio_rating[[#This Row],[Total Amount]]-J2,0),0)</f>
        <v>3000</v>
      </c>
      <c r="L2" s="196"/>
      <c r="M2" s="305" t="s">
        <v>295</v>
      </c>
      <c r="N2" s="222">
        <f t="shared" ref="N2:N7" si="0">SUMIFS(B:B,C:C,M2)</f>
        <v>9265</v>
      </c>
      <c r="O2" s="306">
        <f>SUMIFS(B:B,C:C,M2)/Portfolio_rating[[#Totals],[Total Amount]]</f>
        <v>0.2550337313879219</v>
      </c>
      <c r="P2" s="306">
        <f>O2</f>
        <v>0.2550337313879219</v>
      </c>
      <c r="Q2" s="18"/>
      <c r="R2" s="503"/>
      <c r="S2" s="121" t="s">
        <v>682</v>
      </c>
      <c r="T2" s="121" t="s">
        <v>683</v>
      </c>
      <c r="U2" s="121" t="s">
        <v>684</v>
      </c>
      <c r="V2" s="121" t="s">
        <v>716</v>
      </c>
      <c r="AD2" s="18"/>
      <c r="AE2" s="18"/>
      <c r="AF2" s="18"/>
      <c r="AG2" s="18"/>
      <c r="AH2" s="18"/>
      <c r="AI2" s="18"/>
      <c r="AJ2" s="18"/>
    </row>
    <row r="3" spans="1:36" x14ac:dyDescent="0.3">
      <c r="A3" s="94" t="s">
        <v>322</v>
      </c>
      <c r="B3" s="233">
        <v>2300</v>
      </c>
      <c r="C3" s="445" t="s">
        <v>295</v>
      </c>
      <c r="D3" s="73">
        <v>46211</v>
      </c>
      <c r="E3" s="303"/>
      <c r="F3" s="303"/>
      <c r="G3" s="29"/>
      <c r="H3" s="304">
        <f>Portfolio_rating[[#This Row],[Total Amount]]/Portfolio_rating[[#Totals],[Total Amount]]</f>
        <v>6.3311125978653029E-2</v>
      </c>
      <c r="I3" s="304">
        <f>H3+I2</f>
        <v>0.14589085551602654</v>
      </c>
      <c r="J3" s="233">
        <f>SUMIFS(Ref!R:R,Ref!P:P,Portfolio_rating[[#This Row],[Issuer]])/10^9</f>
        <v>0</v>
      </c>
      <c r="K3" s="233">
        <f>IFERROR(MAX(Portfolio_rating[[#This Row],[Total Amount]]-J3,0),0)</f>
        <v>2300</v>
      </c>
      <c r="L3" s="196"/>
      <c r="M3" s="307" t="s">
        <v>296</v>
      </c>
      <c r="N3" s="222">
        <f t="shared" si="0"/>
        <v>5944.6106</v>
      </c>
      <c r="O3" s="308">
        <f>SUMIFS(B:B,C:C,M3)/Portfolio_rating[[#Totals],[Total Amount]]</f>
        <v>0.16363477851766792</v>
      </c>
      <c r="P3" s="309">
        <f>P2+O3</f>
        <v>0.41866850990558979</v>
      </c>
      <c r="Q3" s="18"/>
      <c r="R3" s="310" t="s">
        <v>295</v>
      </c>
      <c r="S3" s="310" t="s">
        <v>295</v>
      </c>
      <c r="T3" s="310" t="s">
        <v>295</v>
      </c>
      <c r="U3" s="310" t="s">
        <v>685</v>
      </c>
      <c r="V3" s="504" t="s">
        <v>717</v>
      </c>
      <c r="AD3" s="18"/>
      <c r="AE3" s="18"/>
      <c r="AF3" s="18"/>
      <c r="AG3" s="18"/>
      <c r="AH3" s="18"/>
      <c r="AI3" s="18"/>
      <c r="AJ3" s="18"/>
    </row>
    <row r="4" spans="1:36" x14ac:dyDescent="0.3">
      <c r="A4" s="94" t="s">
        <v>343</v>
      </c>
      <c r="B4" s="233">
        <v>2250</v>
      </c>
      <c r="C4" s="445" t="s">
        <v>295</v>
      </c>
      <c r="D4" s="73">
        <v>46128</v>
      </c>
      <c r="E4" s="303"/>
      <c r="F4" s="303"/>
      <c r="G4" s="29"/>
      <c r="H4" s="304">
        <f>IFERROR(Portfolio_rating[[#This Row],[Total Amount]]/Portfolio_rating[[#Totals],[Total Amount]],0)</f>
        <v>6.1934797153030137E-2</v>
      </c>
      <c r="I4" s="304">
        <f t="shared" ref="I4:I16" si="1">H4+I3</f>
        <v>0.20782565266905667</v>
      </c>
      <c r="J4" s="233">
        <f>SUMIFS(Ref!R:R,Ref!P:P,Portfolio_rating[[#This Row],[Issuer]])/10^9</f>
        <v>0</v>
      </c>
      <c r="K4" s="233">
        <f>IFERROR(MAX(Portfolio_rating[[#This Row],[Total Amount]]-J4,0),0)</f>
        <v>2250</v>
      </c>
      <c r="L4" s="196"/>
      <c r="M4" s="307" t="s">
        <v>297</v>
      </c>
      <c r="N4" s="222">
        <f t="shared" si="0"/>
        <v>8000</v>
      </c>
      <c r="O4" s="308">
        <f>SUMIFS(B:B,C:C,M4)/Portfolio_rating[[#Totals],[Total Amount]]</f>
        <v>0.22021261209966272</v>
      </c>
      <c r="P4" s="309">
        <f>P3+O4</f>
        <v>0.63888112200525249</v>
      </c>
      <c r="Q4" s="18"/>
      <c r="R4" s="507" t="s">
        <v>296</v>
      </c>
      <c r="S4" s="310" t="s">
        <v>686</v>
      </c>
      <c r="T4" s="310" t="s">
        <v>686</v>
      </c>
      <c r="U4" s="310" t="s">
        <v>687</v>
      </c>
      <c r="V4" s="505"/>
      <c r="AD4" s="18"/>
      <c r="AE4" s="18"/>
      <c r="AF4" s="18"/>
      <c r="AG4" s="18"/>
      <c r="AH4" s="18"/>
      <c r="AI4" s="18"/>
      <c r="AJ4" s="18"/>
    </row>
    <row r="5" spans="1:36" x14ac:dyDescent="0.3">
      <c r="A5" s="94" t="s">
        <v>315</v>
      </c>
      <c r="B5" s="233">
        <v>1215</v>
      </c>
      <c r="C5" s="445" t="s">
        <v>295</v>
      </c>
      <c r="D5" s="73">
        <v>46136</v>
      </c>
      <c r="E5" s="303" t="s">
        <v>299</v>
      </c>
      <c r="F5" s="303" t="s">
        <v>518</v>
      </c>
      <c r="G5" s="29"/>
      <c r="H5" s="304">
        <f>IFERROR(Portfolio_rating[[#This Row],[Total Amount]]/Portfolio_rating[[#Totals],[Total Amount]],0)</f>
        <v>3.3444790462636272E-2</v>
      </c>
      <c r="I5" s="304">
        <f t="shared" si="1"/>
        <v>0.24127044313169294</v>
      </c>
      <c r="J5" s="233">
        <f>SUMIFS(Ref!R:R,Ref!P:P,Portfolio_rating[[#This Row],[Issuer]])/10^9</f>
        <v>0</v>
      </c>
      <c r="K5" s="233">
        <f>IFERROR(MAX(Portfolio_rating[[#This Row],[Total Amount]]-J5,0),0)</f>
        <v>1215</v>
      </c>
      <c r="L5" s="196"/>
      <c r="M5" s="307" t="s">
        <v>298</v>
      </c>
      <c r="N5" s="222">
        <f t="shared" si="0"/>
        <v>6069.8171973970002</v>
      </c>
      <c r="O5" s="308">
        <f>SUMIFS(B:B,C:C,M5)/Portfolio_rating[[#Totals],[Total Amount]]</f>
        <v>0.16708128750078094</v>
      </c>
      <c r="P5" s="227">
        <f>P4+O5</f>
        <v>0.80596240950603337</v>
      </c>
      <c r="Q5" s="18"/>
      <c r="R5" s="508"/>
      <c r="S5" s="310" t="s">
        <v>296</v>
      </c>
      <c r="T5" s="310" t="s">
        <v>296</v>
      </c>
      <c r="U5" s="310" t="s">
        <v>688</v>
      </c>
      <c r="V5" s="505"/>
      <c r="AD5" s="18"/>
      <c r="AE5" s="18"/>
      <c r="AF5" s="18"/>
      <c r="AG5" s="18"/>
      <c r="AH5" s="18"/>
      <c r="AI5" s="18"/>
      <c r="AJ5" s="18"/>
    </row>
    <row r="6" spans="1:36" x14ac:dyDescent="0.3">
      <c r="A6" s="94" t="s">
        <v>327</v>
      </c>
      <c r="B6" s="233">
        <v>500</v>
      </c>
      <c r="C6" s="445" t="s">
        <v>295</v>
      </c>
      <c r="D6" s="73"/>
      <c r="E6" s="303"/>
      <c r="F6" s="303" t="s">
        <v>518</v>
      </c>
      <c r="G6" s="29"/>
      <c r="H6" s="304">
        <f>IFERROR(Portfolio_rating[[#This Row],[Total Amount]]/Portfolio_rating[[#Totals],[Total Amount]],0)</f>
        <v>1.376328825622892E-2</v>
      </c>
      <c r="I6" s="304">
        <f t="shared" si="1"/>
        <v>0.25503373138792185</v>
      </c>
      <c r="J6" s="233">
        <f>SUMIFS(Ref!R:R,Ref!P:P,Portfolio_rating[[#This Row],[Issuer]])/10^9</f>
        <v>0</v>
      </c>
      <c r="K6" s="233">
        <f>IFERROR(MAX(Portfolio_rating[[#This Row],[Total Amount]]-J6,0),0)</f>
        <v>500</v>
      </c>
      <c r="L6" s="196"/>
      <c r="M6" s="307" t="s">
        <v>299</v>
      </c>
      <c r="N6" s="222">
        <f t="shared" si="0"/>
        <v>5550</v>
      </c>
      <c r="O6" s="308">
        <f>SUMIFS(B:B,C:C,M6)/Portfolio_rating[[#Totals],[Total Amount]]</f>
        <v>0.152772499644141</v>
      </c>
      <c r="P6" s="309">
        <f>P5+O6</f>
        <v>0.95873490915017434</v>
      </c>
      <c r="Q6" s="18"/>
      <c r="R6" s="509"/>
      <c r="S6" s="310" t="s">
        <v>689</v>
      </c>
      <c r="T6" s="310" t="s">
        <v>689</v>
      </c>
      <c r="U6" s="310" t="s">
        <v>690</v>
      </c>
      <c r="V6" s="505"/>
      <c r="AD6" s="18"/>
      <c r="AE6" s="18"/>
      <c r="AF6" s="18"/>
      <c r="AG6" s="18"/>
      <c r="AH6" s="18"/>
      <c r="AI6" s="18"/>
      <c r="AJ6" s="18"/>
    </row>
    <row r="7" spans="1:36" x14ac:dyDescent="0.3">
      <c r="A7" s="94" t="s">
        <v>328</v>
      </c>
      <c r="B7" s="233">
        <v>2697.6106</v>
      </c>
      <c r="C7" s="445" t="s">
        <v>296</v>
      </c>
      <c r="D7" s="73">
        <v>46022</v>
      </c>
      <c r="E7" s="303"/>
      <c r="F7" s="303" t="s">
        <v>521</v>
      </c>
      <c r="G7" s="29"/>
      <c r="H7" s="304">
        <f>IFERROR(Portfolio_rating[[#This Row],[Total Amount]]/Portfolio_rating[[#Totals],[Total Amount]],0)</f>
        <v>7.4255984581717296E-2</v>
      </c>
      <c r="I7" s="304">
        <f t="shared" si="1"/>
        <v>0.32928971596963913</v>
      </c>
      <c r="J7" s="233">
        <f>SUMIFS(Ref!R:R,Ref!P:P,Portfolio_rating[[#This Row],[Issuer]])/10^9</f>
        <v>1500</v>
      </c>
      <c r="K7" s="233">
        <f>IFERROR(MAX(Portfolio_rating[[#This Row],[Total Amount]]-J7,0),0)</f>
        <v>1197.6106</v>
      </c>
      <c r="L7" s="196"/>
      <c r="M7" s="311" t="s">
        <v>300</v>
      </c>
      <c r="N7" s="223">
        <f t="shared" si="0"/>
        <v>1000</v>
      </c>
      <c r="O7" s="312">
        <f>SUMIFS(B:B,C:C,M7)/Portfolio_rating[[#Totals],[Total Amount]]</f>
        <v>2.7526576512457841E-2</v>
      </c>
      <c r="P7" s="313">
        <f>P6+O7</f>
        <v>0.98626148566263216</v>
      </c>
      <c r="Q7" s="18"/>
      <c r="R7" s="507" t="s">
        <v>297</v>
      </c>
      <c r="S7" s="310" t="s">
        <v>691</v>
      </c>
      <c r="T7" s="310" t="s">
        <v>691</v>
      </c>
      <c r="U7" s="310" t="s">
        <v>692</v>
      </c>
      <c r="V7" s="505"/>
      <c r="AD7" s="18"/>
      <c r="AE7" s="18"/>
      <c r="AF7" s="18"/>
      <c r="AG7" s="18"/>
      <c r="AH7" s="18"/>
      <c r="AI7" s="18"/>
      <c r="AJ7" s="18"/>
    </row>
    <row r="8" spans="1:36" x14ac:dyDescent="0.3">
      <c r="A8" s="94" t="s">
        <v>316</v>
      </c>
      <c r="B8" s="231">
        <v>1400</v>
      </c>
      <c r="C8" s="445" t="s">
        <v>296</v>
      </c>
      <c r="D8" s="73">
        <v>46203</v>
      </c>
      <c r="E8" s="29" t="s">
        <v>970</v>
      </c>
      <c r="F8" s="29" t="s">
        <v>519</v>
      </c>
      <c r="G8" s="29"/>
      <c r="H8" s="194">
        <f>IFERROR(Portfolio_rating[[#This Row],[Total Amount]]/Portfolio_rating[[#Totals],[Total Amount]],0)</f>
        <v>3.8537207117440977E-2</v>
      </c>
      <c r="I8" s="194">
        <f t="shared" si="1"/>
        <v>0.36782692308708009</v>
      </c>
      <c r="J8" s="233">
        <f>SUMIFS(Ref!R:R,Ref!P:P,Portfolio_rating[[#This Row],[Issuer]])/10^9</f>
        <v>0</v>
      </c>
      <c r="K8" s="233">
        <f>IFERROR(MAX(Portfolio_rating[[#This Row],[Total Amount]]-J8,0),0)</f>
        <v>1400</v>
      </c>
      <c r="L8" s="196"/>
      <c r="M8" s="224" t="s">
        <v>516</v>
      </c>
      <c r="N8" s="225">
        <f>SUM(N2:N7)</f>
        <v>35829.427797397002</v>
      </c>
      <c r="O8" s="226">
        <f>SUM(O2:O7)</f>
        <v>0.98626148566263216</v>
      </c>
      <c r="P8" s="226">
        <v>1</v>
      </c>
      <c r="Q8" s="18"/>
      <c r="R8" s="508"/>
      <c r="S8" s="310" t="s">
        <v>297</v>
      </c>
      <c r="T8" s="310" t="s">
        <v>297</v>
      </c>
      <c r="U8" s="310" t="s">
        <v>693</v>
      </c>
      <c r="V8" s="505"/>
      <c r="AD8" s="18"/>
      <c r="AE8" s="18"/>
      <c r="AF8" s="18"/>
      <c r="AG8" s="18"/>
      <c r="AH8" s="18"/>
      <c r="AI8" s="18"/>
      <c r="AJ8" s="18"/>
    </row>
    <row r="9" spans="1:36" x14ac:dyDescent="0.3">
      <c r="A9" s="94" t="s">
        <v>312</v>
      </c>
      <c r="B9" s="211">
        <v>1000</v>
      </c>
      <c r="C9" s="445" t="s">
        <v>296</v>
      </c>
      <c r="D9" s="73">
        <v>46199</v>
      </c>
      <c r="E9" s="29"/>
      <c r="F9" s="29" t="s">
        <v>519</v>
      </c>
      <c r="G9" s="29"/>
      <c r="H9" s="194">
        <f>IFERROR(Portfolio_rating[[#This Row],[Total Amount]]/Portfolio_rating[[#Totals],[Total Amount]],0)</f>
        <v>2.7526576512457841E-2</v>
      </c>
      <c r="I9" s="194">
        <f t="shared" si="1"/>
        <v>0.39535349959953792</v>
      </c>
      <c r="J9" s="233">
        <f>SUMIFS(Ref!R:R,Ref!P:P,Portfolio_rating[[#This Row],[Issuer]])/10^9</f>
        <v>0</v>
      </c>
      <c r="K9" s="233">
        <f>IFERROR(MAX(Portfolio_rating[[#This Row],[Total Amount]]-J9,0),0)</f>
        <v>1000</v>
      </c>
      <c r="L9" s="196"/>
      <c r="M9" s="18"/>
      <c r="N9" s="18"/>
      <c r="O9" s="18"/>
      <c r="P9" s="18"/>
      <c r="Q9" s="18"/>
      <c r="R9" s="509"/>
      <c r="S9" s="310" t="s">
        <v>694</v>
      </c>
      <c r="T9" s="310" t="s">
        <v>694</v>
      </c>
      <c r="U9" s="310" t="s">
        <v>695</v>
      </c>
      <c r="V9" s="505"/>
      <c r="AD9" s="18"/>
      <c r="AE9" s="18"/>
      <c r="AF9" s="18"/>
      <c r="AG9" s="18"/>
      <c r="AH9" s="18"/>
      <c r="AI9" s="18"/>
      <c r="AJ9" s="18"/>
    </row>
    <row r="10" spans="1:36" x14ac:dyDescent="0.3">
      <c r="A10" s="94" t="s">
        <v>384</v>
      </c>
      <c r="B10" s="211">
        <v>847</v>
      </c>
      <c r="C10" s="445" t="s">
        <v>296</v>
      </c>
      <c r="D10" s="73">
        <v>46164</v>
      </c>
      <c r="E10" s="29"/>
      <c r="F10" s="29" t="s">
        <v>520</v>
      </c>
      <c r="G10" s="29"/>
      <c r="H10" s="194">
        <f>IFERROR(Portfolio_rating[[#This Row],[Total Amount]]/Portfolio_rating[[#Totals],[Total Amount]],0)</f>
        <v>2.3315010306051789E-2</v>
      </c>
      <c r="I10" s="194">
        <f t="shared" si="1"/>
        <v>0.41866850990558968</v>
      </c>
      <c r="J10" s="233">
        <f>SUMIFS(Ref!R:R,Ref!P:P,Portfolio_rating[[#This Row],[Issuer]])/10^9</f>
        <v>0</v>
      </c>
      <c r="K10" s="233">
        <f>IFERROR(MAX(Portfolio_rating[[#This Row],[Total Amount]]-J10,0),0)</f>
        <v>847</v>
      </c>
      <c r="L10" s="196"/>
      <c r="M10" s="18"/>
      <c r="N10" s="18"/>
      <c r="O10" s="18"/>
      <c r="P10" s="18"/>
      <c r="Q10" s="18"/>
      <c r="R10" s="507" t="s">
        <v>298</v>
      </c>
      <c r="S10" s="310" t="s">
        <v>696</v>
      </c>
      <c r="T10" s="310" t="s">
        <v>696</v>
      </c>
      <c r="U10" s="310" t="s">
        <v>697</v>
      </c>
      <c r="V10" s="505"/>
      <c r="AD10" s="18"/>
      <c r="AE10" s="18"/>
      <c r="AF10" s="18"/>
      <c r="AG10" s="18"/>
      <c r="AH10" s="18"/>
      <c r="AI10" s="18"/>
      <c r="AJ10" s="18"/>
    </row>
    <row r="11" spans="1:36" x14ac:dyDescent="0.3">
      <c r="A11" s="94" t="s">
        <v>347</v>
      </c>
      <c r="B11" s="211">
        <v>3500</v>
      </c>
      <c r="C11" s="445" t="s">
        <v>297</v>
      </c>
      <c r="D11" s="73"/>
      <c r="E11" s="29" t="s">
        <v>970</v>
      </c>
      <c r="F11" s="29" t="s">
        <v>521</v>
      </c>
      <c r="G11" s="29"/>
      <c r="H11" s="194">
        <f>IFERROR(Portfolio_rating[[#This Row],[Total Amount]]/Portfolio_rating[[#Totals],[Total Amount]],0)</f>
        <v>9.6343017793602437E-2</v>
      </c>
      <c r="I11" s="194">
        <f t="shared" si="1"/>
        <v>0.51501152769919212</v>
      </c>
      <c r="J11" s="233">
        <f>SUMIFS(Ref!R:R,Ref!P:P,Portfolio_rating[[#This Row],[Issuer]])/10^9</f>
        <v>0</v>
      </c>
      <c r="K11" s="233">
        <f>IFERROR(MAX(Portfolio_rating[[#This Row],[Total Amount]]-J11,0),0)</f>
        <v>3500</v>
      </c>
      <c r="L11" s="196"/>
      <c r="M11" s="18"/>
      <c r="N11" s="18"/>
      <c r="O11" s="18"/>
      <c r="P11" s="18"/>
      <c r="Q11" s="18"/>
      <c r="R11" s="508"/>
      <c r="S11" s="310" t="s">
        <v>298</v>
      </c>
      <c r="T11" s="310" t="s">
        <v>298</v>
      </c>
      <c r="U11" s="310" t="s">
        <v>698</v>
      </c>
      <c r="V11" s="505"/>
      <c r="AD11" s="18"/>
      <c r="AE11" s="18"/>
      <c r="AF11" s="18"/>
      <c r="AG11" s="18"/>
      <c r="AH11" s="18"/>
      <c r="AI11" s="18"/>
      <c r="AJ11" s="18"/>
    </row>
    <row r="12" spans="1:36" x14ac:dyDescent="0.3">
      <c r="A12" s="94" t="s">
        <v>334</v>
      </c>
      <c r="B12" s="211">
        <v>3000</v>
      </c>
      <c r="C12" s="445" t="s">
        <v>297</v>
      </c>
      <c r="D12" s="73">
        <v>46141</v>
      </c>
      <c r="E12" s="29" t="s">
        <v>522</v>
      </c>
      <c r="F12" s="29" t="s">
        <v>520</v>
      </c>
      <c r="G12" s="29"/>
      <c r="H12" s="194">
        <f>IFERROR(Portfolio_rating[[#This Row],[Total Amount]]/Portfolio_rating[[#Totals],[Total Amount]],0)</f>
        <v>8.2579729537373511E-2</v>
      </c>
      <c r="I12" s="194">
        <f t="shared" si="1"/>
        <v>0.59759125723656559</v>
      </c>
      <c r="J12" s="233">
        <f>SUMIFS(Ref!R:R,Ref!P:P,Portfolio_rating[[#This Row],[Issuer]])/10^9</f>
        <v>0</v>
      </c>
      <c r="K12" s="233">
        <f>IFERROR(MAX(Portfolio_rating[[#This Row],[Total Amount]]-J12,0),0)</f>
        <v>3000</v>
      </c>
      <c r="L12" s="196"/>
      <c r="M12" s="18"/>
      <c r="N12" s="18"/>
      <c r="O12" s="18"/>
      <c r="P12" s="18"/>
      <c r="Q12" s="18"/>
      <c r="R12" s="509"/>
      <c r="S12" s="310" t="s">
        <v>699</v>
      </c>
      <c r="T12" s="310" t="s">
        <v>699</v>
      </c>
      <c r="U12" s="310" t="s">
        <v>700</v>
      </c>
      <c r="V12" s="506"/>
      <c r="AD12" s="18"/>
      <c r="AE12" s="18"/>
      <c r="AF12" s="18"/>
      <c r="AG12" s="18"/>
      <c r="AH12" s="18"/>
      <c r="AI12" s="18"/>
      <c r="AJ12" s="18"/>
    </row>
    <row r="13" spans="1:36" x14ac:dyDescent="0.3">
      <c r="A13" s="94" t="s">
        <v>342</v>
      </c>
      <c r="B13" s="198">
        <v>1500</v>
      </c>
      <c r="C13" s="445" t="s">
        <v>297</v>
      </c>
      <c r="D13" s="73">
        <v>46211</v>
      </c>
      <c r="E13" s="29" t="s">
        <v>970</v>
      </c>
      <c r="F13" s="29" t="s">
        <v>521</v>
      </c>
      <c r="G13" s="29"/>
      <c r="H13" s="194">
        <f>IFERROR(Portfolio_rating[[#This Row],[Total Amount]]/Portfolio_rating[[#Totals],[Total Amount]],0)</f>
        <v>4.1289864768686756E-2</v>
      </c>
      <c r="I13" s="194">
        <f t="shared" si="1"/>
        <v>0.63888112200525238</v>
      </c>
      <c r="J13" s="233">
        <f>SUMIFS(Ref!R:R,Ref!P:P,Portfolio_rating[[#This Row],[Issuer]])/10^9</f>
        <v>0</v>
      </c>
      <c r="K13" s="233">
        <f>IFERROR(MAX(Portfolio_rating[[#This Row],[Total Amount]]-J13,0),0)</f>
        <v>1500</v>
      </c>
      <c r="L13" s="196"/>
      <c r="M13" s="18"/>
      <c r="N13" s="18"/>
      <c r="O13" s="18"/>
      <c r="P13" s="18"/>
      <c r="Q13" s="18"/>
      <c r="R13" s="507" t="s">
        <v>299</v>
      </c>
      <c r="S13" s="310" t="s">
        <v>517</v>
      </c>
      <c r="T13" s="310" t="s">
        <v>517</v>
      </c>
      <c r="U13" s="310" t="s">
        <v>705</v>
      </c>
      <c r="V13" s="504" t="s">
        <v>718</v>
      </c>
      <c r="AD13" s="18"/>
      <c r="AE13" s="18"/>
      <c r="AF13" s="18"/>
      <c r="AG13" s="18"/>
      <c r="AH13" s="18"/>
      <c r="AI13" s="18"/>
      <c r="AJ13" s="18"/>
    </row>
    <row r="14" spans="1:36" x14ac:dyDescent="0.3">
      <c r="A14" s="94" t="s">
        <v>318</v>
      </c>
      <c r="B14" s="198">
        <v>3000</v>
      </c>
      <c r="C14" s="445" t="s">
        <v>298</v>
      </c>
      <c r="D14" s="73">
        <v>46146</v>
      </c>
      <c r="E14" s="29" t="s">
        <v>522</v>
      </c>
      <c r="F14" s="29"/>
      <c r="G14" s="29"/>
      <c r="H14" s="194">
        <f>IFERROR(Portfolio_rating[[#This Row],[Total Amount]]/Portfolio_rating[[#Totals],[Total Amount]],0)</f>
        <v>8.2579729537373511E-2</v>
      </c>
      <c r="I14" s="194">
        <f t="shared" si="1"/>
        <v>0.72146085154262585</v>
      </c>
      <c r="J14" s="233">
        <f>SUMIFS(Ref!R:R,Ref!P:P,Portfolio_rating[[#This Row],[Issuer]])/10^9</f>
        <v>3000</v>
      </c>
      <c r="K14" s="233">
        <f>IFERROR(MAX(Portfolio_rating[[#This Row],[Total Amount]]-J14,0),0)</f>
        <v>0</v>
      </c>
      <c r="L14" s="196"/>
      <c r="M14" s="18"/>
      <c r="N14" s="18"/>
      <c r="O14" s="18"/>
      <c r="P14" s="18"/>
      <c r="Q14" s="18"/>
      <c r="R14" s="508"/>
      <c r="S14" s="310" t="s">
        <v>299</v>
      </c>
      <c r="T14" s="310" t="s">
        <v>299</v>
      </c>
      <c r="U14" s="310" t="s">
        <v>518</v>
      </c>
      <c r="V14" s="505"/>
      <c r="AD14" s="18"/>
      <c r="AE14" s="18"/>
      <c r="AF14" s="18"/>
      <c r="AG14" s="18"/>
      <c r="AH14" s="18"/>
      <c r="AI14" s="18"/>
      <c r="AJ14" s="18"/>
    </row>
    <row r="15" spans="1:36" x14ac:dyDescent="0.3">
      <c r="A15" s="94" t="s">
        <v>324</v>
      </c>
      <c r="B15" s="198">
        <v>2500</v>
      </c>
      <c r="C15" s="445" t="s">
        <v>298</v>
      </c>
      <c r="D15" s="73">
        <v>46206</v>
      </c>
      <c r="E15" s="29"/>
      <c r="F15" s="29" t="s">
        <v>519</v>
      </c>
      <c r="G15" s="29"/>
      <c r="H15" s="194">
        <f>IFERROR(Portfolio_rating[[#This Row],[Total Amount]]/Portfolio_rating[[#Totals],[Total Amount]],0)</f>
        <v>6.88164412811446E-2</v>
      </c>
      <c r="I15" s="194">
        <f t="shared" si="1"/>
        <v>0.79027729282377046</v>
      </c>
      <c r="J15" s="233">
        <f>SUMIFS(Ref!R:R,Ref!P:P,Portfolio_rating[[#This Row],[Issuer]])/10^9</f>
        <v>2000</v>
      </c>
      <c r="K15" s="233">
        <f>IFERROR(MAX(Portfolio_rating[[#This Row],[Total Amount]]-J15,0),0)</f>
        <v>500</v>
      </c>
      <c r="L15" s="196"/>
      <c r="M15" s="18"/>
      <c r="N15" s="18"/>
      <c r="O15" s="18"/>
      <c r="P15" s="18"/>
      <c r="Q15" s="18"/>
      <c r="R15" s="509"/>
      <c r="S15" s="310" t="s">
        <v>706</v>
      </c>
      <c r="T15" s="310" t="s">
        <v>706</v>
      </c>
      <c r="U15" s="310" t="s">
        <v>519</v>
      </c>
      <c r="V15" s="505"/>
      <c r="AD15" s="18"/>
      <c r="AE15" s="18"/>
      <c r="AF15" s="18"/>
      <c r="AG15" s="18"/>
      <c r="AH15" s="18"/>
      <c r="AI15" s="18"/>
      <c r="AJ15" s="18"/>
    </row>
    <row r="16" spans="1:36" x14ac:dyDescent="0.3">
      <c r="A16" s="94" t="s">
        <v>1429</v>
      </c>
      <c r="B16" s="198">
        <v>569.81719739699997</v>
      </c>
      <c r="C16" s="445" t="s">
        <v>298</v>
      </c>
      <c r="D16" s="73">
        <v>46182</v>
      </c>
      <c r="E16" s="29"/>
      <c r="F16" s="29"/>
      <c r="G16" s="29"/>
      <c r="H16" s="194">
        <f>IFERROR(Portfolio_rating[[#This Row],[Total Amount]]/Portfolio_rating[[#Totals],[Total Amount]],0)</f>
        <v>1.5685116682262811E-2</v>
      </c>
      <c r="I16" s="314">
        <f t="shared" si="1"/>
        <v>0.80596240950603326</v>
      </c>
      <c r="J16" s="233">
        <f>SUMIFS(Ref!R:R,Ref!P:P,Portfolio_rating[[#This Row],[Issuer]])/10^9</f>
        <v>0</v>
      </c>
      <c r="K16" s="233">
        <f>IFERROR(MAX(Portfolio_rating[[#This Row],[Total Amount]]-J16,0),0)</f>
        <v>569.81719739699997</v>
      </c>
      <c r="L16" s="196"/>
      <c r="M16" s="18"/>
      <c r="N16" s="18"/>
      <c r="O16" s="18"/>
      <c r="P16" s="18"/>
      <c r="Q16" s="18"/>
      <c r="R16" s="507" t="s">
        <v>300</v>
      </c>
      <c r="S16" s="310" t="s">
        <v>522</v>
      </c>
      <c r="T16" s="310" t="s">
        <v>522</v>
      </c>
      <c r="U16" s="310" t="s">
        <v>521</v>
      </c>
      <c r="V16" s="505"/>
      <c r="AD16" s="18"/>
      <c r="AE16" s="18"/>
      <c r="AF16" s="18"/>
      <c r="AG16" s="18"/>
      <c r="AH16" s="18"/>
      <c r="AI16" s="18"/>
      <c r="AJ16" s="18"/>
    </row>
    <row r="17" spans="1:36" x14ac:dyDescent="0.3">
      <c r="A17" s="94" t="s">
        <v>325</v>
      </c>
      <c r="B17" s="198">
        <v>2500</v>
      </c>
      <c r="C17" s="445" t="s">
        <v>299</v>
      </c>
      <c r="D17" s="73">
        <v>46128</v>
      </c>
      <c r="E17" s="29"/>
      <c r="F17" s="29"/>
      <c r="G17" s="29"/>
      <c r="H17" s="194">
        <f>IFERROR(Portfolio_rating[[#This Row],[Total Amount]]/Portfolio_rating[[#Totals],[Total Amount]],0)</f>
        <v>6.88164412811446E-2</v>
      </c>
      <c r="I17" s="194">
        <f t="shared" ref="I17:I24" si="2">H17+I16</f>
        <v>0.87477885078717788</v>
      </c>
      <c r="J17" s="233">
        <f>SUMIFS(Ref!R:R,Ref!P:P,Portfolio_rating[[#This Row],[Issuer]])/10^9</f>
        <v>0</v>
      </c>
      <c r="K17" s="233">
        <f>IFERROR(MAX(Portfolio_rating[[#This Row],[Total Amount]]-J17,0),0)</f>
        <v>2500</v>
      </c>
      <c r="L17" s="196"/>
      <c r="M17" s="18"/>
      <c r="N17" s="18"/>
      <c r="O17" s="18"/>
      <c r="P17" s="18"/>
      <c r="Q17" s="18"/>
      <c r="R17" s="508"/>
      <c r="S17" s="310" t="s">
        <v>300</v>
      </c>
      <c r="T17" s="310" t="s">
        <v>300</v>
      </c>
      <c r="U17" s="310" t="s">
        <v>520</v>
      </c>
      <c r="V17" s="505"/>
      <c r="AD17" s="18"/>
      <c r="AE17" s="18"/>
      <c r="AF17" s="18"/>
      <c r="AG17" s="18"/>
      <c r="AH17" s="18"/>
      <c r="AI17" s="18"/>
      <c r="AJ17" s="18"/>
    </row>
    <row r="18" spans="1:36" x14ac:dyDescent="0.3">
      <c r="A18" s="94" t="s">
        <v>473</v>
      </c>
      <c r="B18" s="198">
        <v>1500</v>
      </c>
      <c r="C18" s="445" t="s">
        <v>299</v>
      </c>
      <c r="D18" s="73">
        <v>46190</v>
      </c>
      <c r="E18" s="29"/>
      <c r="F18" s="29"/>
      <c r="G18" s="29" t="s">
        <v>522</v>
      </c>
      <c r="H18" s="194">
        <f>IFERROR(Portfolio_rating[[#This Row],[Total Amount]]/Portfolio_rating[[#Totals],[Total Amount]],0)</f>
        <v>4.1289864768686756E-2</v>
      </c>
      <c r="I18" s="194">
        <f t="shared" si="2"/>
        <v>0.91606871555586467</v>
      </c>
      <c r="J18" s="233">
        <f>SUMIFS(Ref!R:R,Ref!P:P,Portfolio_rating[[#This Row],[Issuer]])/10^9</f>
        <v>0</v>
      </c>
      <c r="K18" s="233">
        <f>IFERROR(MAX(Portfolio_rating[[#This Row],[Total Amount]]-J18,0),0)</f>
        <v>1500</v>
      </c>
      <c r="L18" s="196"/>
      <c r="M18" s="440"/>
      <c r="N18" s="18"/>
      <c r="O18" s="18"/>
      <c r="P18" s="18"/>
      <c r="Q18" s="18"/>
      <c r="R18" s="509"/>
      <c r="S18" s="310" t="s">
        <v>707</v>
      </c>
      <c r="T18" s="310" t="s">
        <v>707</v>
      </c>
      <c r="U18" s="310" t="s">
        <v>708</v>
      </c>
      <c r="V18" s="505"/>
      <c r="AD18" s="18"/>
      <c r="AE18" s="18"/>
      <c r="AF18" s="18"/>
      <c r="AG18" s="18"/>
      <c r="AH18" s="18"/>
      <c r="AI18" s="18"/>
      <c r="AJ18" s="18"/>
    </row>
    <row r="19" spans="1:36" x14ac:dyDescent="0.3">
      <c r="A19" s="94" t="s">
        <v>313</v>
      </c>
      <c r="B19" s="198">
        <v>1000</v>
      </c>
      <c r="C19" s="445" t="s">
        <v>299</v>
      </c>
      <c r="D19" s="73">
        <v>45747</v>
      </c>
      <c r="E19" s="29" t="s">
        <v>522</v>
      </c>
      <c r="F19" s="29"/>
      <c r="G19" s="29"/>
      <c r="H19" s="194">
        <f>IFERROR(Portfolio_rating[[#This Row],[Total Amount]]/Portfolio_rating[[#Totals],[Total Amount]],0)</f>
        <v>2.7526576512457841E-2</v>
      </c>
      <c r="I19" s="194">
        <f t="shared" si="2"/>
        <v>0.94359529206832249</v>
      </c>
      <c r="J19" s="233">
        <f>SUMIFS(Ref!R:R,Ref!P:P,Portfolio_rating[[#This Row],[Issuer]])/10^9</f>
        <v>0</v>
      </c>
      <c r="K19" s="233">
        <f>IFERROR(MAX(Portfolio_rating[[#This Row],[Total Amount]]-J19,0),0)</f>
        <v>1000</v>
      </c>
      <c r="L19" s="196"/>
      <c r="M19" s="18"/>
      <c r="N19" s="18"/>
      <c r="O19" s="18"/>
      <c r="P19" s="18"/>
      <c r="Q19" s="18"/>
      <c r="R19" s="510" t="s">
        <v>715</v>
      </c>
      <c r="S19" s="310" t="s">
        <v>709</v>
      </c>
      <c r="T19" s="310" t="s">
        <v>709</v>
      </c>
      <c r="U19" s="310" t="s">
        <v>710</v>
      </c>
      <c r="V19" s="505"/>
      <c r="AD19" s="18"/>
      <c r="AE19" s="18"/>
      <c r="AF19" s="18"/>
      <c r="AG19" s="18"/>
      <c r="AH19" s="18"/>
      <c r="AI19" s="18"/>
      <c r="AJ19" s="18"/>
    </row>
    <row r="20" spans="1:36" x14ac:dyDescent="0.3">
      <c r="A20" s="94" t="s">
        <v>405</v>
      </c>
      <c r="B20" s="198">
        <v>300</v>
      </c>
      <c r="C20" s="445" t="s">
        <v>299</v>
      </c>
      <c r="D20" s="73">
        <v>45792</v>
      </c>
      <c r="E20" s="29" t="s">
        <v>522</v>
      </c>
      <c r="F20" s="29" t="s">
        <v>520</v>
      </c>
      <c r="G20" s="29"/>
      <c r="H20" s="194">
        <f>IFERROR(Portfolio_rating[[#This Row],[Total Amount]]/Portfolio_rating[[#Totals],[Total Amount]],0)</f>
        <v>8.2579729537373518E-3</v>
      </c>
      <c r="I20" s="194">
        <f t="shared" si="2"/>
        <v>0.9518532650220598</v>
      </c>
      <c r="J20" s="233">
        <f>SUMIFS(Ref!R:R,Ref!P:P,Portfolio_rating[[#This Row],[Issuer]])/10^9</f>
        <v>0</v>
      </c>
      <c r="K20" s="233">
        <f>IFERROR(MAX(Portfolio_rating[[#This Row],[Total Amount]]-J20,0),0)</f>
        <v>300</v>
      </c>
      <c r="L20" s="196"/>
      <c r="M20" s="18"/>
      <c r="N20" s="18"/>
      <c r="O20" s="18"/>
      <c r="P20" s="18"/>
      <c r="Q20" s="18"/>
      <c r="R20" s="511"/>
      <c r="S20" s="310" t="s">
        <v>711</v>
      </c>
      <c r="T20" s="310" t="s">
        <v>711</v>
      </c>
      <c r="U20" s="310" t="s">
        <v>712</v>
      </c>
      <c r="V20" s="505"/>
      <c r="AD20" s="18"/>
      <c r="AE20" s="18"/>
      <c r="AF20" s="18"/>
      <c r="AG20" s="18"/>
      <c r="AH20" s="18"/>
      <c r="AI20" s="18"/>
      <c r="AJ20" s="18"/>
    </row>
    <row r="21" spans="1:36" x14ac:dyDescent="0.3">
      <c r="A21" s="94" t="s">
        <v>703</v>
      </c>
      <c r="B21" s="198">
        <v>250</v>
      </c>
      <c r="C21" s="445" t="s">
        <v>299</v>
      </c>
      <c r="D21" s="73">
        <v>46209</v>
      </c>
      <c r="E21" s="29" t="s">
        <v>522</v>
      </c>
      <c r="F21" s="29"/>
      <c r="G21" s="29"/>
      <c r="H21" s="194">
        <f>IFERROR(Portfolio_rating[[#This Row],[Total Amount]]/Portfolio_rating[[#Totals],[Total Amount]],0)</f>
        <v>6.8816441281144601E-3</v>
      </c>
      <c r="I21" s="194">
        <f t="shared" si="2"/>
        <v>0.95873490915017423</v>
      </c>
      <c r="J21" s="233">
        <f>SUMIFS(Ref!R:R,Ref!P:P,Portfolio_rating[[#This Row],[Issuer]])/10^9</f>
        <v>0</v>
      </c>
      <c r="K21" s="233">
        <f>IFERROR(MAX(Portfolio_rating[[#This Row],[Total Amount]]-J21,0),0)</f>
        <v>250</v>
      </c>
      <c r="L21" s="196"/>
      <c r="M21" s="18"/>
      <c r="N21" s="18"/>
      <c r="O21" s="18"/>
      <c r="P21" s="18"/>
      <c r="Q21" s="18"/>
      <c r="R21" s="512"/>
      <c r="S21" s="310" t="s">
        <v>650</v>
      </c>
      <c r="T21" s="310" t="s">
        <v>650</v>
      </c>
      <c r="U21" s="310" t="s">
        <v>650</v>
      </c>
      <c r="V21" s="506"/>
      <c r="AD21" s="18"/>
      <c r="AE21" s="18"/>
      <c r="AF21" s="18"/>
      <c r="AG21" s="18"/>
      <c r="AH21" s="18"/>
      <c r="AI21" s="18"/>
      <c r="AJ21" s="18"/>
    </row>
    <row r="22" spans="1:36" x14ac:dyDescent="0.3">
      <c r="A22" s="94" t="s">
        <v>345</v>
      </c>
      <c r="B22" s="198">
        <v>1000</v>
      </c>
      <c r="C22" s="445" t="s">
        <v>300</v>
      </c>
      <c r="D22" s="73">
        <v>46218</v>
      </c>
      <c r="E22" s="29"/>
      <c r="F22" s="29"/>
      <c r="G22" s="29"/>
      <c r="H22" s="194">
        <f>IFERROR(Portfolio_rating[[#This Row],[Total Amount]]/Portfolio_rating[[#Totals],[Total Amount]],0)</f>
        <v>2.7526576512457841E-2</v>
      </c>
      <c r="I22" s="194">
        <f t="shared" si="2"/>
        <v>0.98626148566263205</v>
      </c>
      <c r="J22" s="233">
        <f>SUMIFS(Ref!R:R,Ref!P:P,Portfolio_rating[[#This Row],[Issuer]])/10^9</f>
        <v>0</v>
      </c>
      <c r="K22" s="233">
        <f>IFERROR(MAX(Portfolio_rating[[#This Row],[Total Amount]]-J22,0),0)</f>
        <v>1000</v>
      </c>
      <c r="L22" s="196"/>
      <c r="M22" s="18"/>
      <c r="N22" s="18"/>
      <c r="O22" s="18"/>
      <c r="P22" s="18"/>
      <c r="Q22" s="18"/>
      <c r="R22" s="124" t="s">
        <v>715</v>
      </c>
      <c r="S22" s="125" t="s">
        <v>713</v>
      </c>
      <c r="T22" s="125" t="s">
        <v>713</v>
      </c>
      <c r="U22" s="125" t="s">
        <v>714</v>
      </c>
      <c r="V22" s="125" t="s">
        <v>719</v>
      </c>
      <c r="AD22" s="18"/>
      <c r="AE22" s="18"/>
      <c r="AF22" s="18"/>
      <c r="AG22" s="18"/>
      <c r="AH22" s="18"/>
      <c r="AI22" s="18"/>
      <c r="AJ22" s="18"/>
    </row>
    <row r="23" spans="1:36" x14ac:dyDescent="0.3">
      <c r="A23" s="94" t="s">
        <v>954</v>
      </c>
      <c r="B23" s="198">
        <v>499.1</v>
      </c>
      <c r="C23" s="445" t="s">
        <v>713</v>
      </c>
      <c r="D23" s="73"/>
      <c r="E23" s="29"/>
      <c r="F23" s="29"/>
      <c r="G23" s="29"/>
      <c r="H23" s="194">
        <f>IFERROR(Portfolio_rating[[#This Row],[Total Amount]]/Portfolio_rating[[#Totals],[Total Amount]],0)</f>
        <v>1.3738514337367709E-2</v>
      </c>
      <c r="I23" s="194">
        <f t="shared" si="2"/>
        <v>0.99999999999999978</v>
      </c>
      <c r="J23" s="233">
        <f>SUMIFS(Ref!R:R,Ref!P:P,Portfolio_rating[[#This Row],[Issuer]])/10^9</f>
        <v>0</v>
      </c>
      <c r="K23" s="233">
        <f>IFERROR(MAX(Portfolio_rating[[#This Row],[Total Amount]]-J23,0),0)</f>
        <v>499.1</v>
      </c>
      <c r="L23" s="196"/>
      <c r="M23" s="18"/>
      <c r="N23" s="18"/>
      <c r="O23" s="18"/>
      <c r="P23" s="18"/>
      <c r="Q23" s="18"/>
      <c r="R23" s="18"/>
      <c r="S23" s="18"/>
      <c r="AD23" s="18"/>
      <c r="AE23" s="18"/>
      <c r="AF23" s="18"/>
      <c r="AG23" s="18"/>
      <c r="AH23" s="18"/>
      <c r="AI23" s="18"/>
      <c r="AJ23" s="18"/>
    </row>
    <row r="24" spans="1:36" x14ac:dyDescent="0.3">
      <c r="A24" s="212" t="s">
        <v>516</v>
      </c>
      <c r="B24" s="213">
        <f>SUBTOTAL(109,Portfolio_rating[Total Amount])</f>
        <v>36328.527797397001</v>
      </c>
      <c r="C24" s="214"/>
      <c r="D24" s="215"/>
      <c r="E24" s="214"/>
      <c r="F24" s="214"/>
      <c r="G24" s="214"/>
      <c r="H24" s="194">
        <f>IFERROR(Portfolio_rating[[#This Row],[Total Amount]]/Portfolio_rating[[#Totals],[Total Amount]],0)</f>
        <v>0</v>
      </c>
      <c r="I24" s="194">
        <f t="shared" si="2"/>
        <v>0.99999999999999978</v>
      </c>
      <c r="J24" s="233">
        <f>SUMIFS(Ref!R:R,Ref!P:P,Portfolio_rating[[#This Row],[Issuer]])/10^9</f>
        <v>0</v>
      </c>
      <c r="K24" s="233">
        <f>IFERROR(MAX(Portfolio_rating[[#This Row],[Total Amount]]-J24,0),0)</f>
        <v>0</v>
      </c>
      <c r="L24" s="94"/>
      <c r="M24" s="29"/>
      <c r="N24" s="29"/>
      <c r="O24" s="18"/>
      <c r="P24" s="18"/>
      <c r="Q24" s="18"/>
      <c r="R24" s="18"/>
      <c r="S24" s="18"/>
      <c r="AD24" s="18"/>
      <c r="AE24" s="18"/>
      <c r="AF24" s="18"/>
      <c r="AG24" s="18"/>
      <c r="AH24" s="18"/>
      <c r="AI24" s="18"/>
      <c r="AJ24" s="18"/>
    </row>
    <row r="25" spans="1:36" x14ac:dyDescent="0.3">
      <c r="B25" s="199"/>
      <c r="C25" s="94"/>
      <c r="D25" s="229"/>
      <c r="H25" s="393">
        <f>IFERROR(Portfolio_rating[[#This Row],[Total Amount]]/Portfolio_rating[[#Totals],[Total Amount]],0)</f>
        <v>0</v>
      </c>
      <c r="I25" s="393"/>
      <c r="J25" s="392">
        <f>SUM(J5:J24)</f>
        <v>6500</v>
      </c>
      <c r="K25" s="233">
        <f>IFERROR(MAX(Portfolio_rating[[#This Row],[Total Amount]]-J26,0),0)</f>
        <v>0</v>
      </c>
      <c r="L25" s="94"/>
      <c r="P25" s="95"/>
      <c r="Q25" s="29"/>
      <c r="R25" s="18"/>
      <c r="S25" s="18"/>
      <c r="AB25" s="30"/>
      <c r="AD25" s="18"/>
      <c r="AE25" s="18"/>
      <c r="AF25" s="18"/>
      <c r="AG25" s="18"/>
      <c r="AH25" s="18"/>
      <c r="AI25" s="18"/>
      <c r="AJ25" s="18"/>
    </row>
    <row r="26" spans="1:36" x14ac:dyDescent="0.3">
      <c r="B26" s="199"/>
      <c r="C26" s="94"/>
      <c r="D26" s="229"/>
      <c r="H26" s="194">
        <f>IFERROR(Portfolio_rating[[#This Row],[Total Amount]]/Portfolio_rating[[#Totals],[Total Amount]],0)</f>
        <v>0</v>
      </c>
      <c r="I26" s="194">
        <f>H26+I25</f>
        <v>0</v>
      </c>
      <c r="J26" s="194"/>
      <c r="K26" s="233">
        <f>IFERROR(MAX(Portfolio_rating[[#This Row],[Total Amount]]-J27,0),0)</f>
        <v>0</v>
      </c>
      <c r="L26" s="94"/>
      <c r="M26" s="94"/>
      <c r="N26" s="94"/>
      <c r="O26" s="94"/>
      <c r="P26" s="206"/>
      <c r="Q26" s="206"/>
      <c r="AE26" s="18"/>
      <c r="AF26" s="18"/>
      <c r="AG26" s="18"/>
      <c r="AH26" s="18"/>
      <c r="AI26" s="18"/>
      <c r="AJ26" s="18"/>
    </row>
    <row r="27" spans="1:36" x14ac:dyDescent="0.3">
      <c r="H27" s="194">
        <f>IFERROR(Portfolio_rating[[#This Row],[Total Amount]]/Portfolio_rating[[#Totals],[Total Amount]],0)</f>
        <v>0</v>
      </c>
      <c r="I27" s="194">
        <f>H27+I26</f>
        <v>0</v>
      </c>
      <c r="J27" s="194"/>
      <c r="K27" s="233">
        <f>IFERROR(MAX(Portfolio_rating[[#This Row],[Total Amount]]-J28,0),0)</f>
        <v>0</v>
      </c>
      <c r="M27" s="94"/>
      <c r="N27" s="94"/>
      <c r="O27" s="94"/>
      <c r="P27" s="192"/>
      <c r="Q27" s="192"/>
      <c r="AE27" s="18"/>
      <c r="AF27" s="18"/>
      <c r="AG27" s="18"/>
      <c r="AH27" s="18"/>
      <c r="AI27" s="18"/>
      <c r="AJ27" s="18"/>
    </row>
    <row r="28" spans="1:36" x14ac:dyDescent="0.3">
      <c r="H28" s="194">
        <f>IFERROR(Portfolio_rating[[#This Row],[Total Amount]]/Portfolio_rating[[#Totals],[Total Amount]],0)</f>
        <v>0</v>
      </c>
      <c r="I28" s="194">
        <f>H28+I27</f>
        <v>0</v>
      </c>
      <c r="J28" s="194"/>
      <c r="K28" s="233">
        <f>IFERROR(MAX(Portfolio_rating[[#This Row],[Total Amount]]-J29,0),0)</f>
        <v>0</v>
      </c>
      <c r="AE28" s="18"/>
      <c r="AF28" s="18"/>
      <c r="AG28" s="18"/>
      <c r="AH28" s="18"/>
      <c r="AI28" s="18"/>
      <c r="AJ28" s="18"/>
    </row>
    <row r="29" spans="1:36" x14ac:dyDescent="0.3">
      <c r="H29" s="194">
        <f>IFERROR(Portfolio_rating[[#This Row],[Total Amount]]/Portfolio_rating[[#Totals],[Total Amount]],0)</f>
        <v>0</v>
      </c>
      <c r="I29" s="194">
        <f>H29+I28</f>
        <v>0</v>
      </c>
      <c r="J29" s="194"/>
      <c r="AE29" s="18"/>
      <c r="AF29" s="18"/>
      <c r="AG29" s="18"/>
      <c r="AH29" s="18"/>
      <c r="AI29" s="18"/>
      <c r="AJ29" s="18"/>
    </row>
    <row r="30" spans="1:36" x14ac:dyDescent="0.3">
      <c r="AE30" s="18"/>
      <c r="AF30" s="18"/>
      <c r="AG30" s="18"/>
      <c r="AH30" s="18"/>
      <c r="AI30" s="18"/>
      <c r="AJ30" s="18"/>
    </row>
    <row r="31" spans="1:36" x14ac:dyDescent="0.3">
      <c r="AE31" s="18"/>
      <c r="AF31" s="18"/>
      <c r="AG31" s="18"/>
      <c r="AH31" s="18"/>
      <c r="AI31" s="18"/>
      <c r="AJ31" s="18"/>
    </row>
    <row r="32" spans="1:36" x14ac:dyDescent="0.3">
      <c r="AE32" s="18"/>
      <c r="AF32" s="18"/>
      <c r="AG32" s="18"/>
      <c r="AH32" s="18"/>
      <c r="AI32" s="18"/>
      <c r="AJ32" s="18"/>
    </row>
    <row r="33" spans="31:36" x14ac:dyDescent="0.3">
      <c r="AE33" s="18"/>
      <c r="AF33" s="18"/>
      <c r="AG33" s="18"/>
      <c r="AH33" s="18"/>
      <c r="AI33" s="18"/>
      <c r="AJ33" s="18"/>
    </row>
    <row r="34" spans="31:36" x14ac:dyDescent="0.3">
      <c r="AE34" s="18"/>
      <c r="AF34" s="18"/>
      <c r="AG34" s="18"/>
      <c r="AH34" s="18"/>
      <c r="AI34" s="18"/>
      <c r="AJ34" s="18"/>
    </row>
    <row r="35" spans="31:36" x14ac:dyDescent="0.3">
      <c r="AE35" s="18"/>
      <c r="AF35" s="18"/>
      <c r="AG35" s="18"/>
      <c r="AH35" s="18"/>
      <c r="AI35" s="18"/>
      <c r="AJ35" s="18"/>
    </row>
    <row r="36" spans="31:36" x14ac:dyDescent="0.3">
      <c r="AE36" s="18"/>
      <c r="AF36" s="18"/>
      <c r="AG36" s="18"/>
      <c r="AH36" s="18"/>
      <c r="AI36" s="18"/>
      <c r="AJ36" s="18"/>
    </row>
    <row r="37" spans="31:36" x14ac:dyDescent="0.3">
      <c r="AE37" s="18"/>
      <c r="AF37" s="18"/>
      <c r="AG37" s="18"/>
      <c r="AH37" s="18"/>
      <c r="AI37" s="18"/>
      <c r="AJ37" s="18"/>
    </row>
    <row r="38" spans="31:36" x14ac:dyDescent="0.3">
      <c r="AE38" s="18"/>
      <c r="AF38" s="18"/>
      <c r="AG38" s="18"/>
      <c r="AH38" s="18"/>
      <c r="AI38" s="18"/>
      <c r="AJ38" s="18"/>
    </row>
    <row r="39" spans="31:36" x14ac:dyDescent="0.3">
      <c r="AE39" s="18"/>
      <c r="AF39" s="18"/>
      <c r="AG39" s="18"/>
      <c r="AH39" s="18"/>
      <c r="AI39" s="18"/>
      <c r="AJ39" s="18"/>
    </row>
    <row r="40" spans="31:36" x14ac:dyDescent="0.3">
      <c r="AE40" s="18"/>
      <c r="AF40" s="18"/>
      <c r="AG40" s="18"/>
      <c r="AH40" s="18"/>
      <c r="AI40" s="18"/>
      <c r="AJ40" s="18"/>
    </row>
    <row r="41" spans="31:36" x14ac:dyDescent="0.3">
      <c r="AE41" s="18"/>
      <c r="AF41" s="18"/>
      <c r="AG41" s="18"/>
      <c r="AH41" s="18"/>
      <c r="AI41" s="18"/>
      <c r="AJ41" s="18"/>
    </row>
    <row r="42" spans="31:36" x14ac:dyDescent="0.3">
      <c r="AE42" s="18"/>
      <c r="AF42" s="18"/>
      <c r="AG42" s="18"/>
      <c r="AH42" s="18"/>
      <c r="AI42" s="18"/>
      <c r="AJ42" s="18"/>
    </row>
    <row r="43" spans="31:36" x14ac:dyDescent="0.3">
      <c r="AE43" s="18"/>
      <c r="AF43" s="18"/>
      <c r="AG43" s="18"/>
      <c r="AH43" s="18"/>
      <c r="AI43" s="18"/>
      <c r="AJ43" s="18"/>
    </row>
    <row r="44" spans="31:36" x14ac:dyDescent="0.3">
      <c r="AE44" s="18"/>
      <c r="AF44" s="18"/>
      <c r="AG44" s="18"/>
      <c r="AH44" s="18"/>
      <c r="AI44" s="18"/>
      <c r="AJ44" s="18"/>
    </row>
    <row r="45" spans="31:36" x14ac:dyDescent="0.3">
      <c r="AE45" s="18"/>
      <c r="AF45" s="18"/>
      <c r="AG45" s="18"/>
      <c r="AH45" s="18"/>
      <c r="AI45" s="18"/>
      <c r="AJ45" s="18"/>
    </row>
    <row r="46" spans="31:36" x14ac:dyDescent="0.3">
      <c r="AE46" s="18"/>
      <c r="AF46" s="18"/>
      <c r="AG46" s="18"/>
      <c r="AH46" s="18"/>
      <c r="AI46" s="18"/>
      <c r="AJ46" s="18"/>
    </row>
    <row r="47" spans="31:36" x14ac:dyDescent="0.3">
      <c r="AE47" s="18"/>
      <c r="AF47" s="18"/>
      <c r="AG47" s="18"/>
      <c r="AH47" s="18"/>
      <c r="AI47" s="18"/>
      <c r="AJ47" s="18"/>
    </row>
    <row r="48" spans="31:36" x14ac:dyDescent="0.3">
      <c r="AE48" s="18"/>
      <c r="AF48" s="18"/>
      <c r="AG48" s="18"/>
      <c r="AH48" s="18"/>
      <c r="AI48" s="18"/>
      <c r="AJ48" s="18"/>
    </row>
    <row r="49" spans="31:36" x14ac:dyDescent="0.3">
      <c r="AE49" s="18"/>
      <c r="AF49" s="18"/>
      <c r="AG49" s="18"/>
      <c r="AH49" s="18"/>
      <c r="AI49" s="18"/>
      <c r="AJ49" s="18"/>
    </row>
    <row r="50" spans="31:36" x14ac:dyDescent="0.3">
      <c r="AE50" s="18"/>
      <c r="AF50" s="18"/>
      <c r="AG50" s="18"/>
      <c r="AH50" s="18"/>
      <c r="AI50" s="18"/>
      <c r="AJ50" s="18"/>
    </row>
    <row r="51" spans="31:36" x14ac:dyDescent="0.3">
      <c r="AE51" s="18"/>
      <c r="AF51" s="18"/>
      <c r="AG51" s="18"/>
      <c r="AH51" s="18"/>
      <c r="AI51" s="18"/>
      <c r="AJ51" s="18"/>
    </row>
    <row r="52" spans="31:36" x14ac:dyDescent="0.3">
      <c r="AE52" s="18"/>
      <c r="AF52" s="18"/>
      <c r="AG52" s="18"/>
      <c r="AH52" s="18"/>
      <c r="AI52" s="18"/>
      <c r="AJ52" s="18"/>
    </row>
    <row r="53" spans="31:36" x14ac:dyDescent="0.3">
      <c r="AE53" s="18"/>
      <c r="AF53" s="18"/>
      <c r="AG53" s="18"/>
      <c r="AH53" s="18"/>
      <c r="AI53" s="18"/>
      <c r="AJ53" s="18"/>
    </row>
    <row r="54" spans="31:36" x14ac:dyDescent="0.3">
      <c r="AE54" s="18"/>
      <c r="AF54" s="18"/>
      <c r="AG54" s="18"/>
      <c r="AH54" s="18"/>
      <c r="AI54" s="18"/>
      <c r="AJ54" s="18"/>
    </row>
    <row r="55" spans="31:36" x14ac:dyDescent="0.3">
      <c r="AE55" s="18"/>
      <c r="AF55" s="18"/>
      <c r="AG55" s="18"/>
      <c r="AH55" s="18"/>
      <c r="AI55" s="18"/>
      <c r="AJ55" s="18"/>
    </row>
    <row r="56" spans="31:36" x14ac:dyDescent="0.3">
      <c r="AE56" s="18"/>
      <c r="AF56" s="18"/>
      <c r="AG56" s="18"/>
      <c r="AH56" s="18"/>
      <c r="AI56" s="18"/>
      <c r="AJ56" s="18"/>
    </row>
    <row r="57" spans="31:36" x14ac:dyDescent="0.3">
      <c r="AE57" s="18"/>
      <c r="AF57" s="18"/>
      <c r="AG57" s="18"/>
      <c r="AH57" s="18"/>
      <c r="AI57" s="18"/>
      <c r="AJ57" s="18"/>
    </row>
    <row r="58" spans="31:36" x14ac:dyDescent="0.3">
      <c r="AE58" s="18"/>
      <c r="AF58" s="18"/>
      <c r="AG58" s="18"/>
      <c r="AH58" s="18"/>
      <c r="AI58" s="18"/>
      <c r="AJ58" s="18"/>
    </row>
    <row r="59" spans="31:36" x14ac:dyDescent="0.3">
      <c r="AE59" s="18"/>
      <c r="AF59" s="18"/>
      <c r="AG59" s="18"/>
      <c r="AH59" s="18"/>
      <c r="AI59" s="18"/>
      <c r="AJ59" s="18"/>
    </row>
    <row r="60" spans="31:36" x14ac:dyDescent="0.3">
      <c r="AE60" s="18"/>
      <c r="AF60" s="18"/>
      <c r="AG60" s="18"/>
      <c r="AH60" s="18"/>
      <c r="AI60" s="18"/>
      <c r="AJ60" s="18"/>
    </row>
    <row r="61" spans="31:36" x14ac:dyDescent="0.3">
      <c r="AE61" s="18"/>
      <c r="AF61" s="18"/>
      <c r="AG61" s="18"/>
      <c r="AH61" s="18"/>
      <c r="AI61" s="18"/>
      <c r="AJ61" s="18"/>
    </row>
    <row r="62" spans="31:36" x14ac:dyDescent="0.3">
      <c r="AE62" s="18"/>
      <c r="AF62" s="18"/>
      <c r="AG62" s="18"/>
      <c r="AH62" s="18"/>
      <c r="AI62" s="18"/>
      <c r="AJ62" s="18"/>
    </row>
    <row r="63" spans="31:36" x14ac:dyDescent="0.3">
      <c r="AE63" s="18"/>
      <c r="AF63" s="18"/>
      <c r="AG63" s="18"/>
      <c r="AH63" s="18"/>
      <c r="AI63" s="18"/>
      <c r="AJ63" s="18"/>
    </row>
    <row r="64" spans="31:36" x14ac:dyDescent="0.3">
      <c r="AE64" s="18"/>
      <c r="AF64" s="18"/>
      <c r="AG64" s="18"/>
      <c r="AH64" s="18"/>
      <c r="AI64" s="18"/>
      <c r="AJ64" s="18"/>
    </row>
    <row r="65" spans="31:36" x14ac:dyDescent="0.3">
      <c r="AE65" s="18"/>
      <c r="AF65" s="18"/>
      <c r="AG65" s="18"/>
      <c r="AH65" s="18"/>
      <c r="AI65" s="18"/>
      <c r="AJ65" s="18"/>
    </row>
    <row r="66" spans="31:36" x14ac:dyDescent="0.3">
      <c r="AE66" s="18"/>
      <c r="AF66" s="18"/>
      <c r="AG66" s="18"/>
      <c r="AH66" s="18"/>
      <c r="AI66" s="18"/>
      <c r="AJ66" s="18"/>
    </row>
    <row r="67" spans="31:36" x14ac:dyDescent="0.3">
      <c r="AE67" s="18"/>
      <c r="AF67" s="18"/>
      <c r="AG67" s="18"/>
      <c r="AH67" s="18"/>
      <c r="AI67" s="18"/>
      <c r="AJ67" s="18"/>
    </row>
    <row r="68" spans="31:36" x14ac:dyDescent="0.3">
      <c r="AE68" s="18"/>
      <c r="AF68" s="18"/>
      <c r="AG68" s="18"/>
      <c r="AH68" s="18"/>
      <c r="AI68" s="18"/>
      <c r="AJ68" s="18"/>
    </row>
    <row r="69" spans="31:36" x14ac:dyDescent="0.3">
      <c r="AE69" s="18"/>
      <c r="AF69" s="18"/>
      <c r="AG69" s="18"/>
      <c r="AH69" s="18"/>
      <c r="AI69" s="18"/>
      <c r="AJ69" s="18"/>
    </row>
    <row r="70" spans="31:36" x14ac:dyDescent="0.3">
      <c r="AE70" s="18"/>
      <c r="AF70" s="18"/>
      <c r="AG70" s="18"/>
      <c r="AH70" s="18"/>
      <c r="AI70" s="18"/>
      <c r="AJ70" s="18"/>
    </row>
    <row r="71" spans="31:36" x14ac:dyDescent="0.3">
      <c r="AE71" s="18"/>
      <c r="AF71" s="18"/>
      <c r="AG71" s="18"/>
      <c r="AH71" s="18"/>
      <c r="AI71" s="18"/>
      <c r="AJ71" s="18"/>
    </row>
    <row r="72" spans="31:36" x14ac:dyDescent="0.3">
      <c r="AJ72" s="18"/>
    </row>
    <row r="73" spans="31:36" x14ac:dyDescent="0.3">
      <c r="AJ73" s="18"/>
    </row>
    <row r="74" spans="31:36" x14ac:dyDescent="0.3">
      <c r="AJ74" s="18"/>
    </row>
    <row r="75" spans="31:36" x14ac:dyDescent="0.3">
      <c r="AJ75" s="18"/>
    </row>
    <row r="76" spans="31:36" x14ac:dyDescent="0.3">
      <c r="AJ76" s="18"/>
    </row>
    <row r="77" spans="31:36" x14ac:dyDescent="0.3">
      <c r="AJ77" s="18"/>
    </row>
    <row r="78" spans="31:36" x14ac:dyDescent="0.3">
      <c r="AJ78" s="18"/>
    </row>
    <row r="79" spans="31:36" x14ac:dyDescent="0.3">
      <c r="AJ79" s="18"/>
    </row>
    <row r="80" spans="31:36" x14ac:dyDescent="0.3">
      <c r="AJ80" s="18"/>
    </row>
    <row r="81" spans="36:36" x14ac:dyDescent="0.3">
      <c r="AJ81" s="18"/>
    </row>
    <row r="82" spans="36:36" x14ac:dyDescent="0.3">
      <c r="AJ82" s="18"/>
    </row>
    <row r="83" spans="36:36" x14ac:dyDescent="0.3">
      <c r="AJ83" s="18"/>
    </row>
    <row r="84" spans="36:36" x14ac:dyDescent="0.3">
      <c r="AJ84" s="18"/>
    </row>
    <row r="85" spans="36:36" x14ac:dyDescent="0.3">
      <c r="AJ85" s="18"/>
    </row>
    <row r="86" spans="36:36" x14ac:dyDescent="0.3">
      <c r="AJ86" s="18"/>
    </row>
    <row r="87" spans="36:36" x14ac:dyDescent="0.3">
      <c r="AJ87" s="18"/>
    </row>
    <row r="88" spans="36:36" x14ac:dyDescent="0.3">
      <c r="AJ88" s="18"/>
    </row>
    <row r="89" spans="36:36" x14ac:dyDescent="0.3">
      <c r="AJ89" s="18"/>
    </row>
    <row r="90" spans="36:36" x14ac:dyDescent="0.3">
      <c r="AJ90" s="18"/>
    </row>
    <row r="91" spans="36:36" x14ac:dyDescent="0.3">
      <c r="AJ91" s="18"/>
    </row>
    <row r="92" spans="36:36" x14ac:dyDescent="0.3">
      <c r="AJ92" s="18"/>
    </row>
    <row r="93" spans="36:36" x14ac:dyDescent="0.3">
      <c r="AJ93" s="18"/>
    </row>
    <row r="94" spans="36:36" x14ac:dyDescent="0.3">
      <c r="AJ94" s="18"/>
    </row>
    <row r="95" spans="36:36" x14ac:dyDescent="0.3">
      <c r="AJ95" s="18"/>
    </row>
    <row r="96" spans="36:36" x14ac:dyDescent="0.3">
      <c r="AJ96" s="18"/>
    </row>
    <row r="97" spans="36:36" x14ac:dyDescent="0.3">
      <c r="AJ97" s="18"/>
    </row>
    <row r="98" spans="36:36" x14ac:dyDescent="0.3">
      <c r="AJ98" s="18"/>
    </row>
    <row r="99" spans="36:36" x14ac:dyDescent="0.3">
      <c r="AJ99" s="18"/>
    </row>
    <row r="100" spans="36:36" x14ac:dyDescent="0.3">
      <c r="AJ100" s="18"/>
    </row>
    <row r="101" spans="36:36" x14ac:dyDescent="0.3">
      <c r="AJ101" s="18"/>
    </row>
    <row r="102" spans="36:36" x14ac:dyDescent="0.3">
      <c r="AJ102" s="18"/>
    </row>
    <row r="103" spans="36:36" x14ac:dyDescent="0.3">
      <c r="AJ103" s="18"/>
    </row>
    <row r="104" spans="36:36" x14ac:dyDescent="0.3">
      <c r="AJ104" s="18"/>
    </row>
    <row r="105" spans="36:36" x14ac:dyDescent="0.3">
      <c r="AJ105" s="18"/>
    </row>
    <row r="106" spans="36:36" x14ac:dyDescent="0.3">
      <c r="AJ106" s="18"/>
    </row>
    <row r="107" spans="36:36" x14ac:dyDescent="0.3">
      <c r="AJ107" s="18"/>
    </row>
    <row r="108" spans="36:36" x14ac:dyDescent="0.3">
      <c r="AJ108" s="18"/>
    </row>
    <row r="109" spans="36:36" x14ac:dyDescent="0.3">
      <c r="AJ109" s="18"/>
    </row>
    <row r="110" spans="36:36" x14ac:dyDescent="0.3">
      <c r="AJ110" s="18"/>
    </row>
    <row r="111" spans="36:36" x14ac:dyDescent="0.3">
      <c r="AJ111" s="18"/>
    </row>
    <row r="112" spans="36:36" x14ac:dyDescent="0.3">
      <c r="AJ112" s="18"/>
    </row>
    <row r="113" spans="36:36" x14ac:dyDescent="0.3">
      <c r="AJ113" s="18"/>
    </row>
    <row r="114" spans="36:36" x14ac:dyDescent="0.3">
      <c r="AJ114" s="18"/>
    </row>
    <row r="115" spans="36:36" x14ac:dyDescent="0.3">
      <c r="AJ115" s="18"/>
    </row>
    <row r="116" spans="36:36" x14ac:dyDescent="0.3">
      <c r="AJ116" s="18"/>
    </row>
    <row r="117" spans="36:36" x14ac:dyDescent="0.3">
      <c r="AJ117" s="18"/>
    </row>
    <row r="118" spans="36:36" x14ac:dyDescent="0.3">
      <c r="AJ118" s="18"/>
    </row>
    <row r="119" spans="36:36" x14ac:dyDescent="0.3">
      <c r="AJ119" s="18"/>
    </row>
    <row r="120" spans="36:36" x14ac:dyDescent="0.3">
      <c r="AJ120" s="18"/>
    </row>
    <row r="121" spans="36:36" x14ac:dyDescent="0.3">
      <c r="AJ121" s="18"/>
    </row>
    <row r="122" spans="36:36" x14ac:dyDescent="0.3">
      <c r="AJ122" s="18"/>
    </row>
    <row r="123" spans="36:36" x14ac:dyDescent="0.3">
      <c r="AJ123" s="18"/>
    </row>
    <row r="124" spans="36:36" x14ac:dyDescent="0.3">
      <c r="AJ124" s="18"/>
    </row>
    <row r="125" spans="36:36" x14ac:dyDescent="0.3">
      <c r="AJ125" s="18"/>
    </row>
    <row r="126" spans="36:36" x14ac:dyDescent="0.3">
      <c r="AJ126" s="18"/>
    </row>
    <row r="127" spans="36:36" x14ac:dyDescent="0.3">
      <c r="AJ127" s="18"/>
    </row>
    <row r="128" spans="36:36" x14ac:dyDescent="0.3">
      <c r="AJ128" s="18"/>
    </row>
  </sheetData>
  <mergeCells count="10">
    <mergeCell ref="S1:V1"/>
    <mergeCell ref="R1:R2"/>
    <mergeCell ref="V3:V12"/>
    <mergeCell ref="V13:V21"/>
    <mergeCell ref="R4:R6"/>
    <mergeCell ref="R7:R9"/>
    <mergeCell ref="R10:R12"/>
    <mergeCell ref="R13:R15"/>
    <mergeCell ref="R16:R18"/>
    <mergeCell ref="R19:R21"/>
  </mergeCells>
  <phoneticPr fontId="16" type="noConversion"/>
  <conditionalFormatting sqref="H26:J27">
    <cfRule type="expression" dxfId="33" priority="86">
      <formula>#REF!&lt;&gt;$C25</formula>
    </cfRule>
    <cfRule type="expression" dxfId="32" priority="87">
      <formula>#REF!&lt;&gt;#REF!</formula>
    </cfRule>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D28E6-D87D-4AD2-897D-38A63EBD3D0F}">
  <sheetPr codeName="Sheet11">
    <tabColor theme="7" tint="0.79998168889431442"/>
  </sheetPr>
  <dimension ref="A1:R34769"/>
  <sheetViews>
    <sheetView topLeftCell="I1" zoomScaleNormal="100" workbookViewId="0">
      <pane ySplit="1" topLeftCell="A2" activePane="bottomLeft" state="frozen"/>
      <selection pane="bottomLeft" activeCell="M2" sqref="M2"/>
    </sheetView>
  </sheetViews>
  <sheetFormatPr defaultRowHeight="14.4" x14ac:dyDescent="0.3"/>
  <cols>
    <col min="1" max="1" width="66.3984375" bestFit="1" customWidth="1"/>
    <col min="2" max="2" width="22.59765625" bestFit="1" customWidth="1"/>
    <col min="3" max="3" width="10" bestFit="1" customWidth="1"/>
    <col min="4" max="4" width="14.796875" bestFit="1" customWidth="1"/>
    <col min="5" max="5" width="17.8984375" style="14" bestFit="1" customWidth="1"/>
    <col min="6" max="6" width="16.5" style="14" bestFit="1" customWidth="1"/>
    <col min="7" max="7" width="17.796875" style="14" bestFit="1" customWidth="1"/>
    <col min="8" max="8" width="26.8984375" style="14" bestFit="1" customWidth="1"/>
    <col min="9" max="9" width="18.796875" style="14" bestFit="1" customWidth="1"/>
    <col min="10" max="10" width="28" style="14" bestFit="1" customWidth="1"/>
    <col min="11" max="11" width="10.09765625" style="14" bestFit="1" customWidth="1"/>
    <col min="12" max="12" width="17.296875" style="14" bestFit="1" customWidth="1"/>
    <col min="13" max="13" width="11" style="14" bestFit="1" customWidth="1"/>
    <col min="14" max="14" width="11.3984375" style="14" bestFit="1" customWidth="1"/>
    <col min="15" max="15" width="11.3984375" style="15" bestFit="1" customWidth="1"/>
    <col min="16" max="16" width="9.69921875" style="15" bestFit="1" customWidth="1"/>
    <col min="17" max="17" width="13.09765625" style="20" bestFit="1" customWidth="1"/>
    <col min="18" max="18" width="19" style="14" bestFit="1" customWidth="1"/>
    <col min="19" max="19" width="16.296875" bestFit="1" customWidth="1"/>
    <col min="20" max="21" width="12" bestFit="1" customWidth="1"/>
    <col min="22" max="23" width="12.09765625" bestFit="1" customWidth="1"/>
  </cols>
  <sheetData>
    <row r="1" spans="1:18" x14ac:dyDescent="0.3">
      <c r="A1" t="s">
        <v>65</v>
      </c>
      <c r="B1" t="s">
        <v>66</v>
      </c>
      <c r="C1" t="s">
        <v>67</v>
      </c>
      <c r="D1" t="s">
        <v>1068</v>
      </c>
      <c r="E1" s="14" t="s">
        <v>68</v>
      </c>
      <c r="F1" s="14" t="s">
        <v>69</v>
      </c>
      <c r="G1" s="14" t="s">
        <v>70</v>
      </c>
      <c r="H1" s="14" t="s">
        <v>71</v>
      </c>
      <c r="I1" s="14" t="s">
        <v>72</v>
      </c>
      <c r="J1" s="14" t="s">
        <v>73</v>
      </c>
      <c r="K1" s="14" t="s">
        <v>74</v>
      </c>
      <c r="L1" s="14" t="s">
        <v>75</v>
      </c>
      <c r="M1" s="15" t="s">
        <v>609</v>
      </c>
      <c r="N1" s="15"/>
      <c r="O1"/>
      <c r="P1"/>
      <c r="Q1"/>
      <c r="R1"/>
    </row>
    <row r="2" spans="1:18" hidden="1" x14ac:dyDescent="0.3">
      <c r="A2" t="s">
        <v>77</v>
      </c>
      <c r="B2" t="s">
        <v>78</v>
      </c>
      <c r="C2" t="s">
        <v>1618</v>
      </c>
      <c r="D2" s="23" t="s">
        <v>1045</v>
      </c>
      <c r="E2" s="14">
        <v>515285714</v>
      </c>
      <c r="F2" s="14">
        <v>800</v>
      </c>
      <c r="G2" s="14">
        <v>515285714</v>
      </c>
      <c r="H2" s="14">
        <v>800</v>
      </c>
      <c r="I2" s="14">
        <v>515285714</v>
      </c>
      <c r="J2" s="14">
        <v>800</v>
      </c>
      <c r="K2" s="14">
        <v>800</v>
      </c>
      <c r="L2" s="14">
        <v>412228571200</v>
      </c>
      <c r="M2" s="25" t="str">
        <f>_xlfn.IFNA(VLOOKUP(DataTT_ps[[#This Row],[TCPH]],Ref!F:H,3,0),"")</f>
        <v>FI BOND</v>
      </c>
      <c r="N2" s="15"/>
      <c r="O2"/>
      <c r="P2"/>
      <c r="Q2"/>
      <c r="R2"/>
    </row>
    <row r="3" spans="1:18" hidden="1" x14ac:dyDescent="0.3">
      <c r="A3" t="s">
        <v>897</v>
      </c>
      <c r="B3" t="s">
        <v>80</v>
      </c>
      <c r="C3" t="s">
        <v>1246</v>
      </c>
      <c r="D3" s="23" t="s">
        <v>1047</v>
      </c>
      <c r="E3" s="14">
        <v>100362981</v>
      </c>
      <c r="F3" s="14">
        <v>10</v>
      </c>
      <c r="G3" s="14">
        <v>108120663</v>
      </c>
      <c r="H3" s="14">
        <v>4</v>
      </c>
      <c r="I3" s="14">
        <v>100310556</v>
      </c>
      <c r="J3" s="14">
        <v>20</v>
      </c>
      <c r="K3" s="14">
        <v>50</v>
      </c>
      <c r="L3" s="14">
        <v>5058671712</v>
      </c>
      <c r="M3" s="25" t="str">
        <f>_xlfn.IFNA(VLOOKUP(DataTT_ps[[#This Row],[TCPH]],Ref!F:H,3,0),"")</f>
        <v>Others</v>
      </c>
      <c r="N3" s="15"/>
      <c r="O3"/>
      <c r="P3"/>
      <c r="Q3"/>
      <c r="R3"/>
    </row>
    <row r="4" spans="1:18" hidden="1" x14ac:dyDescent="0.3">
      <c r="A4" t="s">
        <v>584</v>
      </c>
      <c r="B4" t="s">
        <v>80</v>
      </c>
      <c r="C4" t="s">
        <v>1496</v>
      </c>
      <c r="D4" s="23" t="s">
        <v>1042</v>
      </c>
      <c r="E4" s="14">
        <v>116599531</v>
      </c>
      <c r="F4" s="14">
        <v>2</v>
      </c>
      <c r="G4" s="14">
        <v>116599531</v>
      </c>
      <c r="H4" s="14">
        <v>7</v>
      </c>
      <c r="I4" s="14">
        <v>116328767</v>
      </c>
      <c r="J4" s="14">
        <v>3</v>
      </c>
      <c r="K4" s="14">
        <v>10</v>
      </c>
      <c r="L4" s="14">
        <v>1165183018</v>
      </c>
      <c r="M4" s="25" t="str">
        <f>_xlfn.IFNA(VLOOKUP(DataTT_ps[[#This Row],[TCPH]],Ref!F:H,3,0),"")</f>
        <v>Others</v>
      </c>
      <c r="N4" s="15"/>
      <c r="O4"/>
      <c r="P4"/>
      <c r="Q4"/>
      <c r="R4"/>
    </row>
    <row r="5" spans="1:18" hidden="1" x14ac:dyDescent="0.3">
      <c r="A5" t="s">
        <v>584</v>
      </c>
      <c r="B5" t="s">
        <v>80</v>
      </c>
      <c r="C5" t="s">
        <v>1500</v>
      </c>
      <c r="D5" s="23" t="s">
        <v>1046</v>
      </c>
      <c r="E5" s="14">
        <v>109990411</v>
      </c>
      <c r="F5" s="14">
        <v>44</v>
      </c>
      <c r="G5" s="14">
        <v>109990411</v>
      </c>
      <c r="H5" s="14">
        <v>44</v>
      </c>
      <c r="I5" s="14">
        <v>109990411</v>
      </c>
      <c r="J5" s="14">
        <v>44</v>
      </c>
      <c r="K5" s="14">
        <v>44</v>
      </c>
      <c r="L5" s="14">
        <v>4839578084</v>
      </c>
      <c r="M5" s="25" t="str">
        <f>_xlfn.IFNA(VLOOKUP(DataTT_ps[[#This Row],[TCPH]],Ref!F:H,3,0),"")</f>
        <v>Others</v>
      </c>
      <c r="N5" s="15"/>
      <c r="O5"/>
      <c r="P5"/>
      <c r="Q5"/>
      <c r="R5"/>
    </row>
    <row r="6" spans="1:18" hidden="1" x14ac:dyDescent="0.3">
      <c r="A6" t="s">
        <v>584</v>
      </c>
      <c r="B6" t="s">
        <v>80</v>
      </c>
      <c r="C6" t="s">
        <v>1609</v>
      </c>
      <c r="D6" s="23" t="s">
        <v>1069</v>
      </c>
      <c r="E6" s="14">
        <v>100994795</v>
      </c>
      <c r="F6" s="14">
        <v>230</v>
      </c>
      <c r="G6" s="14">
        <v>100994795</v>
      </c>
      <c r="H6" s="14">
        <v>230</v>
      </c>
      <c r="I6" s="14">
        <v>100994795</v>
      </c>
      <c r="J6" s="14">
        <v>230</v>
      </c>
      <c r="K6" s="14">
        <v>230</v>
      </c>
      <c r="L6" s="14">
        <v>23228802850</v>
      </c>
      <c r="M6" s="25" t="str">
        <f>_xlfn.IFNA(VLOOKUP(DataTT_ps[[#This Row],[TCPH]],Ref!F:H,3,0),"")</f>
        <v>Others</v>
      </c>
      <c r="N6" s="15"/>
      <c r="O6"/>
      <c r="P6"/>
      <c r="Q6"/>
      <c r="R6"/>
    </row>
    <row r="7" spans="1:18" hidden="1" x14ac:dyDescent="0.3">
      <c r="A7" t="s">
        <v>584</v>
      </c>
      <c r="B7" t="s">
        <v>80</v>
      </c>
      <c r="C7" t="s">
        <v>1519</v>
      </c>
      <c r="D7" s="23" t="s">
        <v>1069</v>
      </c>
      <c r="E7" s="14">
        <v>110917204</v>
      </c>
      <c r="F7" s="14">
        <v>464</v>
      </c>
      <c r="G7" s="14">
        <v>110917204</v>
      </c>
      <c r="H7" s="14">
        <v>464</v>
      </c>
      <c r="I7" s="14">
        <v>110815632</v>
      </c>
      <c r="J7" s="14">
        <v>24</v>
      </c>
      <c r="K7" s="14">
        <v>488</v>
      </c>
      <c r="L7" s="14">
        <v>54125157824</v>
      </c>
      <c r="M7" s="25" t="str">
        <f>_xlfn.IFNA(VLOOKUP(DataTT_ps[[#This Row],[TCPH]],Ref!F:H,3,0),"")</f>
        <v>Others</v>
      </c>
      <c r="N7" s="15"/>
      <c r="O7"/>
      <c r="P7"/>
      <c r="Q7"/>
      <c r="R7"/>
    </row>
    <row r="8" spans="1:18" hidden="1" x14ac:dyDescent="0.3">
      <c r="A8" t="s">
        <v>635</v>
      </c>
      <c r="B8" t="s">
        <v>202</v>
      </c>
      <c r="C8" t="s">
        <v>1530</v>
      </c>
      <c r="D8" s="23" t="s">
        <v>1045</v>
      </c>
      <c r="E8" s="14">
        <v>101494102</v>
      </c>
      <c r="F8" s="14">
        <v>3</v>
      </c>
      <c r="G8" s="14">
        <v>104885618</v>
      </c>
      <c r="H8" s="14">
        <v>1</v>
      </c>
      <c r="I8" s="14">
        <v>101494102</v>
      </c>
      <c r="J8" s="14">
        <v>3</v>
      </c>
      <c r="K8" s="14">
        <v>4</v>
      </c>
      <c r="L8" s="14">
        <v>409367924</v>
      </c>
      <c r="M8" s="25" t="str">
        <f>_xlfn.IFNA(VLOOKUP(DataTT_ps[[#This Row],[TCPH]],Ref!F:H,3,0),"")</f>
        <v>Others</v>
      </c>
      <c r="N8" s="15"/>
      <c r="O8"/>
      <c r="P8"/>
      <c r="Q8"/>
      <c r="R8"/>
    </row>
    <row r="9" spans="1:18" hidden="1" x14ac:dyDescent="0.3">
      <c r="A9" t="s">
        <v>972</v>
      </c>
      <c r="B9" t="s">
        <v>80</v>
      </c>
      <c r="C9" t="s">
        <v>1272</v>
      </c>
      <c r="D9" s="23" t="s">
        <v>1043</v>
      </c>
      <c r="E9" s="14">
        <v>106035616</v>
      </c>
      <c r="F9" s="14">
        <v>100</v>
      </c>
      <c r="G9" s="14">
        <v>106035616</v>
      </c>
      <c r="H9" s="14">
        <v>617</v>
      </c>
      <c r="I9" s="14">
        <v>106035616</v>
      </c>
      <c r="J9" s="14">
        <v>617</v>
      </c>
      <c r="K9" s="14">
        <v>617</v>
      </c>
      <c r="L9" s="14">
        <v>65423975072</v>
      </c>
      <c r="M9" s="25" t="str">
        <f>_xlfn.IFNA(VLOOKUP(DataTT_ps[[#This Row],[TCPH]],Ref!F:H,3,0),"")</f>
        <v>Others</v>
      </c>
      <c r="N9" s="15"/>
      <c r="O9"/>
      <c r="P9"/>
      <c r="Q9"/>
      <c r="R9"/>
    </row>
    <row r="10" spans="1:18" hidden="1" x14ac:dyDescent="0.3">
      <c r="A10" t="s">
        <v>972</v>
      </c>
      <c r="B10" t="s">
        <v>80</v>
      </c>
      <c r="C10" t="s">
        <v>1635</v>
      </c>
      <c r="D10" s="23" t="s">
        <v>1043</v>
      </c>
      <c r="E10" s="14">
        <v>100053487</v>
      </c>
      <c r="F10" s="14">
        <v>9</v>
      </c>
      <c r="G10" s="14">
        <v>100053487</v>
      </c>
      <c r="H10" s="14">
        <v>9</v>
      </c>
      <c r="I10" s="14">
        <v>100053487</v>
      </c>
      <c r="J10" s="14">
        <v>9</v>
      </c>
      <c r="K10" s="14">
        <v>9</v>
      </c>
      <c r="L10" s="14">
        <v>900481383</v>
      </c>
      <c r="M10" s="25" t="str">
        <f>_xlfn.IFNA(VLOOKUP(DataTT_ps[[#This Row],[TCPH]],Ref!F:H,3,0),"")</f>
        <v>Others</v>
      </c>
      <c r="N10" s="15"/>
      <c r="O10"/>
      <c r="P10"/>
      <c r="Q10"/>
      <c r="R10"/>
    </row>
    <row r="11" spans="1:18" hidden="1" x14ac:dyDescent="0.3">
      <c r="A11" t="s">
        <v>972</v>
      </c>
      <c r="B11" t="s">
        <v>80</v>
      </c>
      <c r="C11" t="s">
        <v>1636</v>
      </c>
      <c r="D11" s="23" t="s">
        <v>1043</v>
      </c>
      <c r="E11" s="14">
        <v>103863014</v>
      </c>
      <c r="F11" s="14">
        <v>400</v>
      </c>
      <c r="G11" s="14">
        <v>103863014</v>
      </c>
      <c r="H11" s="14">
        <v>400</v>
      </c>
      <c r="I11" s="14">
        <v>103863014</v>
      </c>
      <c r="J11" s="14">
        <v>400</v>
      </c>
      <c r="K11" s="14">
        <v>400</v>
      </c>
      <c r="L11" s="14">
        <v>41545205600</v>
      </c>
      <c r="M11" s="25" t="str">
        <f>_xlfn.IFNA(VLOOKUP(DataTT_ps[[#This Row],[TCPH]],Ref!F:H,3,0),"")</f>
        <v>Others</v>
      </c>
      <c r="N11" s="15"/>
      <c r="O11"/>
      <c r="P11"/>
      <c r="Q11"/>
      <c r="R11"/>
    </row>
    <row r="12" spans="1:18" hidden="1" x14ac:dyDescent="0.3">
      <c r="A12" t="s">
        <v>972</v>
      </c>
      <c r="B12" t="s">
        <v>80</v>
      </c>
      <c r="C12" t="s">
        <v>1637</v>
      </c>
      <c r="D12" s="23" t="s">
        <v>1045</v>
      </c>
      <c r="E12" s="14">
        <v>102711976</v>
      </c>
      <c r="F12" s="14">
        <v>486</v>
      </c>
      <c r="G12" s="14">
        <v>102711976</v>
      </c>
      <c r="H12" s="14">
        <v>1946</v>
      </c>
      <c r="I12" s="14">
        <v>102455069</v>
      </c>
      <c r="J12" s="14">
        <v>500</v>
      </c>
      <c r="K12" s="14">
        <v>2446</v>
      </c>
      <c r="L12" s="14">
        <v>251105039796</v>
      </c>
      <c r="M12" s="25" t="str">
        <f>_xlfn.IFNA(VLOOKUP(DataTT_ps[[#This Row],[TCPH]],Ref!F:H,3,0),"")</f>
        <v>Others</v>
      </c>
      <c r="N12" s="15"/>
      <c r="O12"/>
      <c r="P12"/>
      <c r="Q12"/>
      <c r="R12"/>
    </row>
    <row r="13" spans="1:18" hidden="1" x14ac:dyDescent="0.3">
      <c r="A13" t="s">
        <v>173</v>
      </c>
      <c r="B13" t="s">
        <v>111</v>
      </c>
      <c r="C13" t="s">
        <v>1619</v>
      </c>
      <c r="D13" s="23" t="s">
        <v>1044</v>
      </c>
      <c r="E13" s="14">
        <v>108633275</v>
      </c>
      <c r="F13" s="14">
        <v>2</v>
      </c>
      <c r="G13" s="14">
        <v>108633275</v>
      </c>
      <c r="H13" s="14">
        <v>2</v>
      </c>
      <c r="I13" s="14">
        <v>108633275</v>
      </c>
      <c r="J13" s="14">
        <v>2</v>
      </c>
      <c r="K13" s="14">
        <v>2</v>
      </c>
      <c r="L13" s="14">
        <v>217266550</v>
      </c>
      <c r="M13" s="25" t="str">
        <f>_xlfn.IFNA(VLOOKUP(DataTT_ps[[#This Row],[TCPH]],Ref!F:H,3,0),"")</f>
        <v>Others</v>
      </c>
      <c r="N13" s="15"/>
      <c r="O13"/>
      <c r="P13"/>
      <c r="Q13"/>
      <c r="R13"/>
    </row>
    <row r="14" spans="1:18" hidden="1" x14ac:dyDescent="0.3">
      <c r="A14" t="s">
        <v>82</v>
      </c>
      <c r="B14" t="s">
        <v>78</v>
      </c>
      <c r="C14" t="s">
        <v>1638</v>
      </c>
      <c r="D14" s="23" t="s">
        <v>1305</v>
      </c>
      <c r="E14" s="14">
        <v>1008830768</v>
      </c>
      <c r="F14" s="14">
        <v>60</v>
      </c>
      <c r="G14" s="14">
        <v>1008830768</v>
      </c>
      <c r="H14" s="14">
        <v>60</v>
      </c>
      <c r="I14" s="14">
        <v>1008830768</v>
      </c>
      <c r="J14" s="14">
        <v>60</v>
      </c>
      <c r="K14" s="14">
        <v>60</v>
      </c>
      <c r="L14" s="14">
        <v>60529846080</v>
      </c>
      <c r="M14" s="25" t="str">
        <f>_xlfn.IFNA(VLOOKUP(DataTT_ps[[#This Row],[TCPH]],Ref!F:H,3,0),"")</f>
        <v>FI BOND</v>
      </c>
      <c r="N14" s="15"/>
      <c r="O14"/>
      <c r="P14"/>
      <c r="Q14"/>
      <c r="R14"/>
    </row>
    <row r="15" spans="1:18" hidden="1" x14ac:dyDescent="0.3">
      <c r="A15" t="s">
        <v>240</v>
      </c>
      <c r="B15" t="s">
        <v>86</v>
      </c>
      <c r="C15" t="s">
        <v>1620</v>
      </c>
      <c r="D15" s="23" t="s">
        <v>1046</v>
      </c>
      <c r="E15" s="14">
        <v>103336117</v>
      </c>
      <c r="F15" s="14">
        <v>550</v>
      </c>
      <c r="G15" s="14">
        <v>103336117</v>
      </c>
      <c r="H15" s="14">
        <v>1900</v>
      </c>
      <c r="I15" s="14">
        <v>103336117</v>
      </c>
      <c r="J15" s="14">
        <v>1900</v>
      </c>
      <c r="K15" s="14">
        <v>1900</v>
      </c>
      <c r="L15" s="14">
        <v>196338622300</v>
      </c>
      <c r="M15" s="25" t="str">
        <f>_xlfn.IFNA(VLOOKUP(DataTT_ps[[#This Row],[TCPH]],Ref!F:H,3,0),"")</f>
        <v>Others</v>
      </c>
      <c r="N15" s="15"/>
      <c r="O15"/>
      <c r="P15"/>
      <c r="Q15"/>
      <c r="R15"/>
    </row>
    <row r="16" spans="1:18" hidden="1" x14ac:dyDescent="0.3">
      <c r="A16" t="s">
        <v>1398</v>
      </c>
      <c r="B16" t="s">
        <v>80</v>
      </c>
      <c r="C16" t="s">
        <v>1511</v>
      </c>
      <c r="D16" s="23" t="s">
        <v>1042</v>
      </c>
      <c r="E16" s="14">
        <v>102829832</v>
      </c>
      <c r="F16" s="14">
        <v>1</v>
      </c>
      <c r="G16" s="14">
        <v>102829832</v>
      </c>
      <c r="H16" s="14">
        <v>8</v>
      </c>
      <c r="I16" s="14">
        <v>102521861</v>
      </c>
      <c r="J16" s="14">
        <v>1</v>
      </c>
      <c r="K16" s="14">
        <v>85</v>
      </c>
      <c r="L16" s="14">
        <v>8727710584</v>
      </c>
      <c r="M16" s="25" t="str">
        <f>_xlfn.IFNA(VLOOKUP(DataTT_ps[[#This Row],[TCPH]],Ref!F:H,3,0),"")</f>
        <v>Others</v>
      </c>
      <c r="N16" s="15"/>
      <c r="O16"/>
      <c r="P16"/>
      <c r="Q16"/>
      <c r="R16"/>
    </row>
    <row r="17" spans="1:18" hidden="1" x14ac:dyDescent="0.3">
      <c r="A17" t="s">
        <v>1488</v>
      </c>
      <c r="B17" t="s">
        <v>80</v>
      </c>
      <c r="C17" t="s">
        <v>1489</v>
      </c>
      <c r="D17" s="23" t="s">
        <v>1046</v>
      </c>
      <c r="E17" s="14">
        <v>101472603</v>
      </c>
      <c r="F17" s="14">
        <v>1000</v>
      </c>
      <c r="G17" s="14">
        <v>101472603</v>
      </c>
      <c r="H17" s="14">
        <v>1142</v>
      </c>
      <c r="I17" s="14">
        <v>101238180</v>
      </c>
      <c r="J17" s="14">
        <v>3</v>
      </c>
      <c r="K17" s="14">
        <v>1214</v>
      </c>
      <c r="L17" s="14">
        <v>123183509357</v>
      </c>
      <c r="M17" s="25" t="str">
        <f>_xlfn.IFNA(VLOOKUP(DataTT_ps[[#This Row],[TCPH]],Ref!F:H,3,0),"")</f>
        <v>Others</v>
      </c>
      <c r="N17" s="15"/>
      <c r="O17"/>
      <c r="P17"/>
      <c r="Q17"/>
      <c r="R17"/>
    </row>
    <row r="18" spans="1:18" hidden="1" x14ac:dyDescent="0.3">
      <c r="A18" t="s">
        <v>137</v>
      </c>
      <c r="B18" t="s">
        <v>119</v>
      </c>
      <c r="C18" t="s">
        <v>1639</v>
      </c>
      <c r="D18" s="23" t="s">
        <v>1043</v>
      </c>
      <c r="E18" s="14">
        <v>103307586</v>
      </c>
      <c r="F18" s="14">
        <v>1</v>
      </c>
      <c r="G18" s="14">
        <v>103307586</v>
      </c>
      <c r="H18" s="14">
        <v>1</v>
      </c>
      <c r="I18" s="14">
        <v>103307586</v>
      </c>
      <c r="J18" s="14">
        <v>1</v>
      </c>
      <c r="K18" s="14">
        <v>1</v>
      </c>
      <c r="L18" s="14">
        <v>103307586</v>
      </c>
      <c r="M18" s="25" t="str">
        <f>_xlfn.IFNA(VLOOKUP(DataTT_ps[[#This Row],[TCPH]],Ref!F:H,3,0),"")</f>
        <v>Others</v>
      </c>
      <c r="N18" s="15"/>
      <c r="O18"/>
      <c r="P18"/>
      <c r="Q18"/>
      <c r="R18"/>
    </row>
    <row r="19" spans="1:18" hidden="1" x14ac:dyDescent="0.3">
      <c r="A19" t="s">
        <v>137</v>
      </c>
      <c r="B19" t="s">
        <v>119</v>
      </c>
      <c r="C19" t="s">
        <v>1640</v>
      </c>
      <c r="D19" s="23" t="s">
        <v>1044</v>
      </c>
      <c r="E19" s="14">
        <v>101167096</v>
      </c>
      <c r="F19" s="14">
        <v>1</v>
      </c>
      <c r="G19" s="14">
        <v>101167096</v>
      </c>
      <c r="H19" s="14">
        <v>1</v>
      </c>
      <c r="I19" s="14">
        <v>101167096</v>
      </c>
      <c r="J19" s="14">
        <v>1</v>
      </c>
      <c r="K19" s="14">
        <v>1</v>
      </c>
      <c r="L19" s="14">
        <v>101167096</v>
      </c>
      <c r="M19" s="25" t="str">
        <f>_xlfn.IFNA(VLOOKUP(DataTT_ps[[#This Row],[TCPH]],Ref!F:H,3,0),"")</f>
        <v>Others</v>
      </c>
      <c r="N19" s="15"/>
      <c r="O19"/>
      <c r="P19"/>
      <c r="Q19"/>
      <c r="R19"/>
    </row>
    <row r="20" spans="1:18" hidden="1" x14ac:dyDescent="0.3">
      <c r="A20" t="s">
        <v>956</v>
      </c>
      <c r="B20" t="s">
        <v>80</v>
      </c>
      <c r="C20" t="s">
        <v>1501</v>
      </c>
      <c r="D20" s="23" t="s">
        <v>1047</v>
      </c>
      <c r="E20" s="14">
        <v>97420198</v>
      </c>
      <c r="F20" s="14">
        <v>5</v>
      </c>
      <c r="G20" s="14">
        <v>98438665</v>
      </c>
      <c r="H20" s="14">
        <v>18</v>
      </c>
      <c r="I20" s="14">
        <v>97420198</v>
      </c>
      <c r="J20" s="14">
        <v>35</v>
      </c>
      <c r="K20" s="14">
        <v>53</v>
      </c>
      <c r="L20" s="14">
        <v>5181602900</v>
      </c>
      <c r="M20" s="25" t="str">
        <f>_xlfn.IFNA(VLOOKUP(DataTT_ps[[#This Row],[TCPH]],Ref!F:H,3,0),"")</f>
        <v>Others</v>
      </c>
      <c r="N20" s="15"/>
      <c r="O20"/>
      <c r="P20"/>
      <c r="Q20"/>
      <c r="R20"/>
    </row>
    <row r="21" spans="1:18" hidden="1" x14ac:dyDescent="0.3">
      <c r="A21" t="s">
        <v>87</v>
      </c>
      <c r="B21" t="s">
        <v>88</v>
      </c>
      <c r="C21" t="s">
        <v>1641</v>
      </c>
      <c r="D21" s="23" t="s">
        <v>1048</v>
      </c>
      <c r="E21" s="14">
        <v>100001</v>
      </c>
      <c r="F21" s="14">
        <v>800</v>
      </c>
      <c r="G21" s="14">
        <v>101696</v>
      </c>
      <c r="H21" s="14">
        <v>64598</v>
      </c>
      <c r="I21" s="14">
        <v>100001</v>
      </c>
      <c r="J21" s="14">
        <v>800</v>
      </c>
      <c r="K21" s="14">
        <v>65398</v>
      </c>
      <c r="L21" s="14">
        <v>6649359008</v>
      </c>
      <c r="M21" s="25" t="str">
        <f>_xlfn.IFNA(VLOOKUP(DataTT_ps[[#This Row],[TCPH]],Ref!F:H,3,0),"")</f>
        <v>Others</v>
      </c>
      <c r="N21" s="15"/>
      <c r="O21"/>
      <c r="P21"/>
      <c r="Q21"/>
      <c r="R21"/>
    </row>
    <row r="22" spans="1:18" hidden="1" x14ac:dyDescent="0.3">
      <c r="A22" t="s">
        <v>87</v>
      </c>
      <c r="B22" t="s">
        <v>88</v>
      </c>
      <c r="C22" t="s">
        <v>1621</v>
      </c>
      <c r="D22" s="23" t="s">
        <v>1043</v>
      </c>
      <c r="E22" s="14">
        <v>101651</v>
      </c>
      <c r="F22" s="14">
        <v>10000</v>
      </c>
      <c r="G22" s="14">
        <v>101651</v>
      </c>
      <c r="H22" s="14">
        <v>10000</v>
      </c>
      <c r="I22" s="14">
        <v>101651</v>
      </c>
      <c r="J22" s="14">
        <v>10000</v>
      </c>
      <c r="K22" s="14">
        <v>10000</v>
      </c>
      <c r="L22" s="14">
        <v>1016510000</v>
      </c>
      <c r="M22" s="25" t="str">
        <f>_xlfn.IFNA(VLOOKUP(DataTT_ps[[#This Row],[TCPH]],Ref!F:H,3,0),"")</f>
        <v>Others</v>
      </c>
      <c r="N22" s="15"/>
      <c r="O22"/>
      <c r="P22"/>
      <c r="Q22"/>
      <c r="R22"/>
    </row>
    <row r="23" spans="1:18" hidden="1" x14ac:dyDescent="0.3">
      <c r="A23" t="s">
        <v>87</v>
      </c>
      <c r="B23" t="s">
        <v>88</v>
      </c>
      <c r="C23" t="s">
        <v>1593</v>
      </c>
      <c r="D23" s="23" t="s">
        <v>1048</v>
      </c>
      <c r="E23" s="14">
        <v>101966</v>
      </c>
      <c r="F23" s="14">
        <v>29070</v>
      </c>
      <c r="G23" s="14">
        <v>101966</v>
      </c>
      <c r="H23" s="14">
        <v>29070</v>
      </c>
      <c r="I23" s="14">
        <v>101966</v>
      </c>
      <c r="J23" s="14">
        <v>29070</v>
      </c>
      <c r="K23" s="14">
        <v>29070</v>
      </c>
      <c r="L23" s="14">
        <v>2964151620</v>
      </c>
      <c r="M23" s="25" t="str">
        <f>_xlfn.IFNA(VLOOKUP(DataTT_ps[[#This Row],[TCPH]],Ref!F:H,3,0),"")</f>
        <v>Others</v>
      </c>
      <c r="N23" s="15"/>
      <c r="O23"/>
      <c r="P23"/>
      <c r="Q23"/>
      <c r="R23"/>
    </row>
    <row r="24" spans="1:18" hidden="1" x14ac:dyDescent="0.3">
      <c r="A24" t="s">
        <v>87</v>
      </c>
      <c r="B24" t="s">
        <v>88</v>
      </c>
      <c r="C24" t="s">
        <v>1585</v>
      </c>
      <c r="D24" s="23" t="s">
        <v>1043</v>
      </c>
      <c r="E24" s="14">
        <v>102493</v>
      </c>
      <c r="F24" s="14">
        <v>48500</v>
      </c>
      <c r="G24" s="14">
        <v>102493</v>
      </c>
      <c r="H24" s="14">
        <v>70872</v>
      </c>
      <c r="I24" s="14">
        <v>102235</v>
      </c>
      <c r="J24" s="14">
        <v>10800</v>
      </c>
      <c r="K24" s="14">
        <v>96126</v>
      </c>
      <c r="L24" s="14">
        <v>9849441264</v>
      </c>
      <c r="M24" s="25" t="str">
        <f>_xlfn.IFNA(VLOOKUP(DataTT_ps[[#This Row],[TCPH]],Ref!F:H,3,0),"")</f>
        <v>Others</v>
      </c>
      <c r="N24" s="15"/>
      <c r="O24"/>
      <c r="P24"/>
      <c r="Q24"/>
      <c r="R24"/>
    </row>
    <row r="25" spans="1:18" hidden="1" x14ac:dyDescent="0.3">
      <c r="A25" t="s">
        <v>87</v>
      </c>
      <c r="B25" t="s">
        <v>88</v>
      </c>
      <c r="C25" t="s">
        <v>1622</v>
      </c>
      <c r="D25" s="23" t="s">
        <v>1044</v>
      </c>
      <c r="E25" s="14">
        <v>101647672</v>
      </c>
      <c r="F25" s="14">
        <v>1</v>
      </c>
      <c r="G25" s="14">
        <v>101647672</v>
      </c>
      <c r="H25" s="14">
        <v>4</v>
      </c>
      <c r="I25" s="14">
        <v>101647672</v>
      </c>
      <c r="J25" s="14">
        <v>4</v>
      </c>
      <c r="K25" s="14">
        <v>4</v>
      </c>
      <c r="L25" s="14">
        <v>406590688</v>
      </c>
      <c r="M25" s="25" t="str">
        <f>_xlfn.IFNA(VLOOKUP(DataTT_ps[[#This Row],[TCPH]],Ref!F:H,3,0),"")</f>
        <v>Others</v>
      </c>
      <c r="N25" s="15"/>
      <c r="O25"/>
      <c r="P25"/>
      <c r="Q25"/>
      <c r="R25"/>
    </row>
    <row r="26" spans="1:18" hidden="1" x14ac:dyDescent="0.3">
      <c r="A26" t="s">
        <v>89</v>
      </c>
      <c r="B26" t="s">
        <v>80</v>
      </c>
      <c r="C26" t="s">
        <v>1502</v>
      </c>
      <c r="D26" s="23" t="s">
        <v>1043</v>
      </c>
      <c r="E26" s="14">
        <v>116994396</v>
      </c>
      <c r="F26" s="14">
        <v>200</v>
      </c>
      <c r="G26" s="14">
        <v>117265733</v>
      </c>
      <c r="H26" s="14">
        <v>2</v>
      </c>
      <c r="I26" s="14">
        <v>99972937</v>
      </c>
      <c r="J26" s="14">
        <v>400</v>
      </c>
      <c r="K26" s="14">
        <v>815</v>
      </c>
      <c r="L26" s="14">
        <v>88537168820</v>
      </c>
      <c r="M26" s="25" t="str">
        <f>_xlfn.IFNA(VLOOKUP(DataTT_ps[[#This Row],[TCPH]],Ref!F:H,3,0),"")</f>
        <v>Others</v>
      </c>
      <c r="N26" s="15"/>
      <c r="O26"/>
      <c r="P26"/>
      <c r="Q26"/>
      <c r="R26"/>
    </row>
    <row r="27" spans="1:18" hidden="1" x14ac:dyDescent="0.3">
      <c r="A27" t="s">
        <v>89</v>
      </c>
      <c r="B27" t="s">
        <v>80</v>
      </c>
      <c r="C27" t="s">
        <v>1642</v>
      </c>
      <c r="D27" s="23" t="s">
        <v>1045</v>
      </c>
      <c r="E27" s="14">
        <v>101438560</v>
      </c>
      <c r="F27" s="14">
        <v>342</v>
      </c>
      <c r="G27" s="14">
        <v>122710783</v>
      </c>
      <c r="H27" s="14">
        <v>14</v>
      </c>
      <c r="I27" s="14">
        <v>101438560</v>
      </c>
      <c r="J27" s="14">
        <v>342</v>
      </c>
      <c r="K27" s="14">
        <v>372</v>
      </c>
      <c r="L27" s="14">
        <v>38056139186</v>
      </c>
      <c r="M27" s="25" t="str">
        <f>_xlfn.IFNA(VLOOKUP(DataTT_ps[[#This Row],[TCPH]],Ref!F:H,3,0),"")</f>
        <v>Others</v>
      </c>
      <c r="N27" s="15"/>
      <c r="O27"/>
      <c r="P27"/>
      <c r="Q27"/>
      <c r="R27"/>
    </row>
    <row r="28" spans="1:18" hidden="1" x14ac:dyDescent="0.3">
      <c r="A28" t="s">
        <v>163</v>
      </c>
      <c r="B28" t="s">
        <v>111</v>
      </c>
      <c r="C28" t="s">
        <v>1643</v>
      </c>
      <c r="D28" s="23" t="s">
        <v>1043</v>
      </c>
      <c r="E28" s="14">
        <v>128630137</v>
      </c>
      <c r="F28" s="14">
        <v>1555</v>
      </c>
      <c r="G28" s="14">
        <v>128630137</v>
      </c>
      <c r="H28" s="14">
        <v>1555</v>
      </c>
      <c r="I28" s="14">
        <v>128630137</v>
      </c>
      <c r="J28" s="14">
        <v>1555</v>
      </c>
      <c r="K28" s="14">
        <v>1555</v>
      </c>
      <c r="L28" s="14">
        <v>200019863035</v>
      </c>
      <c r="M28" s="25" t="str">
        <f>_xlfn.IFNA(VLOOKUP(DataTT_ps[[#This Row],[TCPH]],Ref!F:H,3,0),"")</f>
        <v>Others</v>
      </c>
      <c r="N28" s="15"/>
      <c r="O28"/>
      <c r="P28"/>
      <c r="Q28"/>
      <c r="R28"/>
    </row>
    <row r="29" spans="1:18" hidden="1" x14ac:dyDescent="0.3">
      <c r="A29" t="s">
        <v>91</v>
      </c>
      <c r="B29" t="s">
        <v>86</v>
      </c>
      <c r="C29" t="s">
        <v>1295</v>
      </c>
      <c r="D29" s="23" t="s">
        <v>1048</v>
      </c>
      <c r="E29" s="14">
        <v>104009</v>
      </c>
      <c r="F29" s="14">
        <v>387</v>
      </c>
      <c r="G29" s="14">
        <v>105109</v>
      </c>
      <c r="H29" s="14">
        <v>657</v>
      </c>
      <c r="I29" s="14">
        <v>104009</v>
      </c>
      <c r="J29" s="14">
        <v>3232</v>
      </c>
      <c r="K29" s="14">
        <v>6356</v>
      </c>
      <c r="L29" s="14">
        <v>663818644</v>
      </c>
      <c r="M29" s="25" t="str">
        <f>_xlfn.IFNA(VLOOKUP(DataTT_ps[[#This Row],[TCPH]],Ref!F:H,3,0),"")</f>
        <v>Others</v>
      </c>
      <c r="N29" s="15"/>
      <c r="O29"/>
      <c r="P29"/>
      <c r="Q29"/>
      <c r="R29"/>
    </row>
    <row r="30" spans="1:18" hidden="1" x14ac:dyDescent="0.3">
      <c r="A30" t="s">
        <v>91</v>
      </c>
      <c r="B30" t="s">
        <v>86</v>
      </c>
      <c r="C30" t="s">
        <v>1574</v>
      </c>
      <c r="D30" s="23" t="s">
        <v>1045</v>
      </c>
      <c r="E30" s="14">
        <v>110002579</v>
      </c>
      <c r="F30" s="14">
        <v>1</v>
      </c>
      <c r="G30" s="14">
        <v>110002579</v>
      </c>
      <c r="H30" s="14">
        <v>8</v>
      </c>
      <c r="I30" s="14">
        <v>110002579</v>
      </c>
      <c r="J30" s="14">
        <v>8</v>
      </c>
      <c r="K30" s="14">
        <v>8</v>
      </c>
      <c r="L30" s="14">
        <v>880020632</v>
      </c>
      <c r="M30" s="25" t="str">
        <f>_xlfn.IFNA(VLOOKUP(DataTT_ps[[#This Row],[TCPH]],Ref!F:H,3,0),"")</f>
        <v>Others</v>
      </c>
      <c r="N30" s="15"/>
      <c r="O30"/>
      <c r="P30"/>
      <c r="Q30"/>
      <c r="R30"/>
    </row>
    <row r="31" spans="1:18" hidden="1" x14ac:dyDescent="0.3">
      <c r="A31" t="s">
        <v>93</v>
      </c>
      <c r="B31" t="s">
        <v>78</v>
      </c>
      <c r="C31" t="s">
        <v>1644</v>
      </c>
      <c r="D31" s="23" t="s">
        <v>1069</v>
      </c>
      <c r="E31" s="14">
        <v>101334795</v>
      </c>
      <c r="F31" s="14">
        <v>1</v>
      </c>
      <c r="G31" s="14">
        <v>102232904</v>
      </c>
      <c r="H31" s="14">
        <v>1</v>
      </c>
      <c r="I31" s="14">
        <v>101240907</v>
      </c>
      <c r="J31" s="14">
        <v>4</v>
      </c>
      <c r="K31" s="14">
        <v>171</v>
      </c>
      <c r="L31" s="14">
        <v>17353133458</v>
      </c>
      <c r="M31" s="25" t="str">
        <f>_xlfn.IFNA(VLOOKUP(DataTT_ps[[#This Row],[TCPH]],Ref!F:H,3,0),"")</f>
        <v>FI BOND</v>
      </c>
      <c r="N31" s="15"/>
      <c r="O31"/>
      <c r="P31"/>
      <c r="Q31"/>
      <c r="R31"/>
    </row>
    <row r="32" spans="1:18" hidden="1" x14ac:dyDescent="0.3">
      <c r="A32" t="s">
        <v>93</v>
      </c>
      <c r="B32" t="s">
        <v>78</v>
      </c>
      <c r="C32" t="s">
        <v>1645</v>
      </c>
      <c r="D32" s="23" t="s">
        <v>1069</v>
      </c>
      <c r="E32" s="14">
        <v>101741909</v>
      </c>
      <c r="F32" s="14">
        <v>10</v>
      </c>
      <c r="G32" s="14">
        <v>101906960</v>
      </c>
      <c r="H32" s="14">
        <v>4</v>
      </c>
      <c r="I32" s="14">
        <v>100738904</v>
      </c>
      <c r="J32" s="14">
        <v>38</v>
      </c>
      <c r="K32" s="14">
        <v>114</v>
      </c>
      <c r="L32" s="14">
        <v>11521232293</v>
      </c>
      <c r="M32" s="25" t="str">
        <f>_xlfn.IFNA(VLOOKUP(DataTT_ps[[#This Row],[TCPH]],Ref!F:H,3,0),"")</f>
        <v>FI BOND</v>
      </c>
      <c r="N32" s="15"/>
      <c r="O32"/>
      <c r="P32"/>
      <c r="Q32"/>
      <c r="R32"/>
    </row>
    <row r="33" spans="1:18" hidden="1" x14ac:dyDescent="0.3">
      <c r="A33" t="s">
        <v>93</v>
      </c>
      <c r="B33" t="s">
        <v>78</v>
      </c>
      <c r="C33" t="s">
        <v>1610</v>
      </c>
      <c r="D33" s="23" t="s">
        <v>1069</v>
      </c>
      <c r="E33" s="14">
        <v>101665829</v>
      </c>
      <c r="F33" s="14">
        <v>5</v>
      </c>
      <c r="G33" s="14">
        <v>101665829</v>
      </c>
      <c r="H33" s="14">
        <v>5</v>
      </c>
      <c r="I33" s="14">
        <v>100572055</v>
      </c>
      <c r="J33" s="14">
        <v>19</v>
      </c>
      <c r="K33" s="14">
        <v>96</v>
      </c>
      <c r="L33" s="14">
        <v>9663500444</v>
      </c>
      <c r="M33" s="25" t="str">
        <f>_xlfn.IFNA(VLOOKUP(DataTT_ps[[#This Row],[TCPH]],Ref!F:H,3,0),"")</f>
        <v>FI BOND</v>
      </c>
      <c r="N33" s="15"/>
      <c r="O33"/>
      <c r="P33"/>
      <c r="Q33"/>
      <c r="R33"/>
    </row>
    <row r="34" spans="1:18" hidden="1" x14ac:dyDescent="0.3">
      <c r="A34" t="s">
        <v>93</v>
      </c>
      <c r="B34" t="s">
        <v>78</v>
      </c>
      <c r="C34" t="s">
        <v>1646</v>
      </c>
      <c r="D34" s="23" t="s">
        <v>1069</v>
      </c>
      <c r="E34" s="14">
        <v>107044932</v>
      </c>
      <c r="F34" s="14">
        <v>5</v>
      </c>
      <c r="G34" s="14">
        <v>107633077</v>
      </c>
      <c r="H34" s="14">
        <v>29</v>
      </c>
      <c r="I34" s="14">
        <v>107024452</v>
      </c>
      <c r="J34" s="14">
        <v>7</v>
      </c>
      <c r="K34" s="14">
        <v>57</v>
      </c>
      <c r="L34" s="14">
        <v>6120076982</v>
      </c>
      <c r="M34" s="25" t="str">
        <f>_xlfn.IFNA(VLOOKUP(DataTT_ps[[#This Row],[TCPH]],Ref!F:H,3,0),"")</f>
        <v>FI BOND</v>
      </c>
      <c r="N34" s="15"/>
      <c r="O34"/>
      <c r="P34"/>
      <c r="Q34"/>
      <c r="R34"/>
    </row>
    <row r="35" spans="1:18" hidden="1" x14ac:dyDescent="0.3">
      <c r="A35" t="s">
        <v>93</v>
      </c>
      <c r="B35" t="s">
        <v>78</v>
      </c>
      <c r="C35" t="s">
        <v>1647</v>
      </c>
      <c r="D35" s="23" t="s">
        <v>1069</v>
      </c>
      <c r="E35" s="14">
        <v>106840137</v>
      </c>
      <c r="F35" s="14">
        <v>7</v>
      </c>
      <c r="G35" s="14">
        <v>107971691</v>
      </c>
      <c r="H35" s="14">
        <v>6</v>
      </c>
      <c r="I35" s="14">
        <v>106740275</v>
      </c>
      <c r="J35" s="14">
        <v>1</v>
      </c>
      <c r="K35" s="14">
        <v>247</v>
      </c>
      <c r="L35" s="14">
        <v>26514183251</v>
      </c>
      <c r="M35" s="25" t="str">
        <f>_xlfn.IFNA(VLOOKUP(DataTT_ps[[#This Row],[TCPH]],Ref!F:H,3,0),"")</f>
        <v>FI BOND</v>
      </c>
      <c r="N35" s="15"/>
      <c r="O35"/>
      <c r="P35"/>
      <c r="Q35"/>
      <c r="R35"/>
    </row>
    <row r="36" spans="1:18" hidden="1" x14ac:dyDescent="0.3">
      <c r="A36" t="s">
        <v>93</v>
      </c>
      <c r="B36" t="s">
        <v>78</v>
      </c>
      <c r="C36" t="s">
        <v>1648</v>
      </c>
      <c r="D36" s="23" t="s">
        <v>1069</v>
      </c>
      <c r="E36" s="14">
        <v>105980000</v>
      </c>
      <c r="F36" s="14">
        <v>2</v>
      </c>
      <c r="G36" s="14">
        <v>106563862</v>
      </c>
      <c r="H36" s="14">
        <v>107</v>
      </c>
      <c r="I36" s="14">
        <v>105980000</v>
      </c>
      <c r="J36" s="14">
        <v>2</v>
      </c>
      <c r="K36" s="14">
        <v>122</v>
      </c>
      <c r="L36" s="14">
        <v>12997865599</v>
      </c>
      <c r="M36" s="25" t="str">
        <f>_xlfn.IFNA(VLOOKUP(DataTT_ps[[#This Row],[TCPH]],Ref!F:H,3,0),"")</f>
        <v>FI BOND</v>
      </c>
      <c r="N36" s="15"/>
      <c r="O36"/>
      <c r="P36"/>
      <c r="Q36"/>
      <c r="R36"/>
    </row>
    <row r="37" spans="1:18" hidden="1" x14ac:dyDescent="0.3">
      <c r="A37" t="s">
        <v>93</v>
      </c>
      <c r="B37" t="s">
        <v>78</v>
      </c>
      <c r="C37" t="s">
        <v>1649</v>
      </c>
      <c r="D37" s="23" t="s">
        <v>1046</v>
      </c>
      <c r="E37" s="14">
        <v>106459037</v>
      </c>
      <c r="F37" s="14">
        <v>10</v>
      </c>
      <c r="G37" s="14">
        <v>106459037</v>
      </c>
      <c r="H37" s="14">
        <v>33</v>
      </c>
      <c r="I37" s="14">
        <v>106285967</v>
      </c>
      <c r="J37" s="14">
        <v>1</v>
      </c>
      <c r="K37" s="14">
        <v>47</v>
      </c>
      <c r="L37" s="14">
        <v>5002258337</v>
      </c>
      <c r="M37" s="25" t="str">
        <f>_xlfn.IFNA(VLOOKUP(DataTT_ps[[#This Row],[TCPH]],Ref!F:H,3,0),"")</f>
        <v>FI BOND</v>
      </c>
      <c r="N37" s="15"/>
      <c r="O37"/>
      <c r="P37"/>
      <c r="Q37"/>
      <c r="R37"/>
    </row>
    <row r="38" spans="1:18" hidden="1" x14ac:dyDescent="0.3">
      <c r="A38" t="s">
        <v>93</v>
      </c>
      <c r="B38" t="s">
        <v>78</v>
      </c>
      <c r="C38" t="s">
        <v>1650</v>
      </c>
      <c r="D38" s="23" t="s">
        <v>1069</v>
      </c>
      <c r="E38" s="14">
        <v>106437032</v>
      </c>
      <c r="F38" s="14">
        <v>20</v>
      </c>
      <c r="G38" s="14">
        <v>106437032</v>
      </c>
      <c r="H38" s="14">
        <v>20</v>
      </c>
      <c r="I38" s="14">
        <v>105771143</v>
      </c>
      <c r="J38" s="14">
        <v>50</v>
      </c>
      <c r="K38" s="14">
        <v>76</v>
      </c>
      <c r="L38" s="14">
        <v>8053116557</v>
      </c>
      <c r="M38" s="25" t="str">
        <f>_xlfn.IFNA(VLOOKUP(DataTT_ps[[#This Row],[TCPH]],Ref!F:H,3,0),"")</f>
        <v>FI BOND</v>
      </c>
      <c r="N38" s="15"/>
      <c r="O38"/>
      <c r="P38"/>
      <c r="Q38"/>
      <c r="R38"/>
    </row>
    <row r="39" spans="1:18" hidden="1" x14ac:dyDescent="0.3">
      <c r="A39" t="s">
        <v>93</v>
      </c>
      <c r="B39" t="s">
        <v>78</v>
      </c>
      <c r="C39" t="s">
        <v>1623</v>
      </c>
      <c r="D39" s="23" t="s">
        <v>1069</v>
      </c>
      <c r="E39" s="14">
        <v>105570411</v>
      </c>
      <c r="F39" s="14">
        <v>12</v>
      </c>
      <c r="G39" s="14">
        <v>105570411</v>
      </c>
      <c r="H39" s="14">
        <v>29</v>
      </c>
      <c r="I39" s="14">
        <v>105570411</v>
      </c>
      <c r="J39" s="14">
        <v>29</v>
      </c>
      <c r="K39" s="14">
        <v>29</v>
      </c>
      <c r="L39" s="14">
        <v>3061541919</v>
      </c>
      <c r="M39" s="25" t="str">
        <f>_xlfn.IFNA(VLOOKUP(DataTT_ps[[#This Row],[TCPH]],Ref!F:H,3,0),"")</f>
        <v>FI BOND</v>
      </c>
      <c r="N39" s="15"/>
      <c r="O39"/>
      <c r="P39"/>
      <c r="Q39"/>
      <c r="R39"/>
    </row>
    <row r="40" spans="1:18" hidden="1" x14ac:dyDescent="0.3">
      <c r="A40" t="s">
        <v>93</v>
      </c>
      <c r="B40" t="s">
        <v>78</v>
      </c>
      <c r="C40" t="s">
        <v>1624</v>
      </c>
      <c r="D40" s="23" t="s">
        <v>1069</v>
      </c>
      <c r="E40" s="14">
        <v>105570411</v>
      </c>
      <c r="F40" s="14">
        <v>2</v>
      </c>
      <c r="G40" s="14">
        <v>105570411</v>
      </c>
      <c r="H40" s="14">
        <v>2</v>
      </c>
      <c r="I40" s="14">
        <v>105570411</v>
      </c>
      <c r="J40" s="14">
        <v>2</v>
      </c>
      <c r="K40" s="14">
        <v>2</v>
      </c>
      <c r="L40" s="14">
        <v>211140822</v>
      </c>
      <c r="M40" s="25" t="str">
        <f>_xlfn.IFNA(VLOOKUP(DataTT_ps[[#This Row],[TCPH]],Ref!F:H,3,0),"")</f>
        <v>FI BOND</v>
      </c>
      <c r="N40" s="15"/>
      <c r="O40"/>
      <c r="P40"/>
      <c r="Q40"/>
      <c r="R40"/>
    </row>
    <row r="41" spans="1:18" hidden="1" x14ac:dyDescent="0.3">
      <c r="A41" t="s">
        <v>93</v>
      </c>
      <c r="B41" t="s">
        <v>78</v>
      </c>
      <c r="C41" t="s">
        <v>1625</v>
      </c>
      <c r="D41" s="23" t="s">
        <v>1069</v>
      </c>
      <c r="E41" s="14">
        <v>106144562</v>
      </c>
      <c r="F41" s="14">
        <v>31</v>
      </c>
      <c r="G41" s="14">
        <v>106502266</v>
      </c>
      <c r="H41" s="14">
        <v>5</v>
      </c>
      <c r="I41" s="14">
        <v>105570411</v>
      </c>
      <c r="J41" s="14">
        <v>3</v>
      </c>
      <c r="K41" s="14">
        <v>134</v>
      </c>
      <c r="L41" s="14">
        <v>14224283619</v>
      </c>
      <c r="M41" s="25" t="str">
        <f>_xlfn.IFNA(VLOOKUP(DataTT_ps[[#This Row],[TCPH]],Ref!F:H,3,0),"")</f>
        <v>FI BOND</v>
      </c>
      <c r="N41" s="15"/>
      <c r="O41"/>
      <c r="P41"/>
      <c r="Q41"/>
      <c r="R41"/>
    </row>
    <row r="42" spans="1:18" hidden="1" x14ac:dyDescent="0.3">
      <c r="A42" t="s">
        <v>97</v>
      </c>
      <c r="B42" t="s">
        <v>80</v>
      </c>
      <c r="C42" t="s">
        <v>1531</v>
      </c>
      <c r="D42" s="23" t="s">
        <v>1042</v>
      </c>
      <c r="E42" s="14">
        <v>14732771</v>
      </c>
      <c r="F42" s="14">
        <v>139</v>
      </c>
      <c r="G42" s="14">
        <v>14732771</v>
      </c>
      <c r="H42" s="14">
        <v>535</v>
      </c>
      <c r="I42" s="14">
        <v>14732771</v>
      </c>
      <c r="J42" s="14">
        <v>535</v>
      </c>
      <c r="K42" s="14">
        <v>535</v>
      </c>
      <c r="L42" s="14">
        <v>7882032485</v>
      </c>
      <c r="M42" s="25" t="str">
        <f>_xlfn.IFNA(VLOOKUP(DataTT_ps[[#This Row],[TCPH]],Ref!F:H,3,0),"")</f>
        <v>Others</v>
      </c>
      <c r="N42" s="15"/>
      <c r="O42"/>
      <c r="P42"/>
      <c r="Q42"/>
      <c r="R42"/>
    </row>
    <row r="43" spans="1:18" hidden="1" x14ac:dyDescent="0.3">
      <c r="A43" t="s">
        <v>97</v>
      </c>
      <c r="B43" t="s">
        <v>80</v>
      </c>
      <c r="C43" t="s">
        <v>1482</v>
      </c>
      <c r="D43" s="23" t="s">
        <v>1042</v>
      </c>
      <c r="E43" s="14">
        <v>14678915</v>
      </c>
      <c r="F43" s="14">
        <v>464</v>
      </c>
      <c r="G43" s="14">
        <v>14678915</v>
      </c>
      <c r="H43" s="14">
        <v>507</v>
      </c>
      <c r="I43" s="14">
        <v>14678915</v>
      </c>
      <c r="J43" s="14">
        <v>507</v>
      </c>
      <c r="K43" s="14">
        <v>507</v>
      </c>
      <c r="L43" s="14">
        <v>7442209905</v>
      </c>
      <c r="M43" s="25" t="str">
        <f>_xlfn.IFNA(VLOOKUP(DataTT_ps[[#This Row],[TCPH]],Ref!F:H,3,0),"")</f>
        <v>Others</v>
      </c>
      <c r="N43" s="15"/>
      <c r="O43"/>
      <c r="P43"/>
      <c r="Q43"/>
      <c r="R43"/>
    </row>
    <row r="44" spans="1:18" hidden="1" x14ac:dyDescent="0.3">
      <c r="A44" t="s">
        <v>955</v>
      </c>
      <c r="B44" t="s">
        <v>202</v>
      </c>
      <c r="C44" t="s">
        <v>1512</v>
      </c>
      <c r="D44" s="23" t="s">
        <v>1045</v>
      </c>
      <c r="E44" s="14">
        <v>105580743</v>
      </c>
      <c r="F44" s="14">
        <v>1</v>
      </c>
      <c r="G44" s="14">
        <v>105580743</v>
      </c>
      <c r="H44" s="14">
        <v>1</v>
      </c>
      <c r="I44" s="14">
        <v>105580743</v>
      </c>
      <c r="J44" s="14">
        <v>1</v>
      </c>
      <c r="K44" s="14">
        <v>1</v>
      </c>
      <c r="L44" s="14">
        <v>105580743</v>
      </c>
      <c r="M44" s="25" t="str">
        <f>_xlfn.IFNA(VLOOKUP(DataTT_ps[[#This Row],[TCPH]],Ref!F:H,3,0),"")</f>
        <v>Others</v>
      </c>
      <c r="N44" s="15"/>
      <c r="O44"/>
      <c r="P44"/>
      <c r="Q44"/>
      <c r="R44"/>
    </row>
    <row r="45" spans="1:18" hidden="1" x14ac:dyDescent="0.3">
      <c r="A45" t="s">
        <v>166</v>
      </c>
      <c r="B45" t="s">
        <v>86</v>
      </c>
      <c r="C45" t="s">
        <v>1575</v>
      </c>
      <c r="D45" s="23" t="s">
        <v>1043</v>
      </c>
      <c r="E45" s="14">
        <v>118043046</v>
      </c>
      <c r="F45" s="14">
        <v>3</v>
      </c>
      <c r="G45" s="14">
        <v>118043046</v>
      </c>
      <c r="H45" s="14">
        <v>3</v>
      </c>
      <c r="I45" s="14">
        <v>118043046</v>
      </c>
      <c r="J45" s="14">
        <v>3</v>
      </c>
      <c r="K45" s="14">
        <v>3</v>
      </c>
      <c r="L45" s="14">
        <v>354129138</v>
      </c>
      <c r="M45" s="25" t="str">
        <f>_xlfn.IFNA(VLOOKUP(DataTT_ps[[#This Row],[TCPH]],Ref!F:H,3,0),"")</f>
        <v>Others</v>
      </c>
      <c r="N45" s="15"/>
      <c r="O45"/>
      <c r="P45"/>
      <c r="Q45"/>
      <c r="R45"/>
    </row>
    <row r="46" spans="1:18" hidden="1" x14ac:dyDescent="0.3">
      <c r="A46" t="s">
        <v>1037</v>
      </c>
      <c r="B46" t="s">
        <v>80</v>
      </c>
      <c r="C46" t="s">
        <v>1143</v>
      </c>
      <c r="D46" s="23" t="s">
        <v>1048</v>
      </c>
      <c r="E46" s="14">
        <v>106476531</v>
      </c>
      <c r="F46" s="14">
        <v>1</v>
      </c>
      <c r="G46" s="14">
        <v>106550416</v>
      </c>
      <c r="H46" s="14">
        <v>4</v>
      </c>
      <c r="I46" s="14">
        <v>101826841</v>
      </c>
      <c r="J46" s="14">
        <v>18</v>
      </c>
      <c r="K46" s="14">
        <v>697</v>
      </c>
      <c r="L46" s="14">
        <v>73901886556</v>
      </c>
      <c r="M46" s="25" t="str">
        <f>_xlfn.IFNA(VLOOKUP(DataTT_ps[[#This Row],[TCPH]],Ref!F:H,3,0),"")</f>
        <v>Others</v>
      </c>
      <c r="N46" s="15"/>
      <c r="O46"/>
      <c r="P46"/>
      <c r="Q46"/>
      <c r="R46"/>
    </row>
    <row r="47" spans="1:18" hidden="1" x14ac:dyDescent="0.3">
      <c r="A47" t="s">
        <v>99</v>
      </c>
      <c r="B47" t="s">
        <v>100</v>
      </c>
      <c r="C47" t="s">
        <v>1459</v>
      </c>
      <c r="D47" s="23" t="s">
        <v>1042</v>
      </c>
      <c r="E47" s="14">
        <v>106018006</v>
      </c>
      <c r="F47" s="14">
        <v>31</v>
      </c>
      <c r="G47" s="14">
        <v>106461684</v>
      </c>
      <c r="H47" s="14">
        <v>5</v>
      </c>
      <c r="I47" s="14">
        <v>105212071</v>
      </c>
      <c r="J47" s="14">
        <v>17</v>
      </c>
      <c r="K47" s="14">
        <v>68</v>
      </c>
      <c r="L47" s="14">
        <v>7199635402</v>
      </c>
      <c r="M47" s="25" t="str">
        <f>_xlfn.IFNA(VLOOKUP(DataTT_ps[[#This Row],[TCPH]],Ref!F:H,3,0),"")</f>
        <v>FI BOND</v>
      </c>
      <c r="N47" s="15"/>
      <c r="O47"/>
      <c r="P47"/>
      <c r="Q47"/>
      <c r="R47"/>
    </row>
    <row r="48" spans="1:18" hidden="1" x14ac:dyDescent="0.3">
      <c r="A48" t="s">
        <v>99</v>
      </c>
      <c r="B48" t="s">
        <v>100</v>
      </c>
      <c r="C48" t="s">
        <v>1504</v>
      </c>
      <c r="D48" s="23" t="s">
        <v>1042</v>
      </c>
      <c r="E48" s="14">
        <v>104416463</v>
      </c>
      <c r="F48" s="14">
        <v>1</v>
      </c>
      <c r="G48" s="14">
        <v>105096698</v>
      </c>
      <c r="H48" s="14">
        <v>1</v>
      </c>
      <c r="I48" s="14">
        <v>104416463</v>
      </c>
      <c r="J48" s="14">
        <v>4</v>
      </c>
      <c r="K48" s="14">
        <v>5</v>
      </c>
      <c r="L48" s="14">
        <v>522762550</v>
      </c>
      <c r="M48" s="25" t="str">
        <f>_xlfn.IFNA(VLOOKUP(DataTT_ps[[#This Row],[TCPH]],Ref!F:H,3,0),"")</f>
        <v>FI BOND</v>
      </c>
      <c r="N48" s="15"/>
      <c r="O48"/>
      <c r="P48"/>
      <c r="Q48"/>
      <c r="R48"/>
    </row>
    <row r="49" spans="1:18" hidden="1" x14ac:dyDescent="0.3">
      <c r="A49" t="s">
        <v>99</v>
      </c>
      <c r="B49" t="s">
        <v>100</v>
      </c>
      <c r="C49" t="s">
        <v>1586</v>
      </c>
      <c r="D49" s="23" t="s">
        <v>1042</v>
      </c>
      <c r="E49" s="14">
        <v>112457541</v>
      </c>
      <c r="F49" s="14">
        <v>3</v>
      </c>
      <c r="G49" s="14">
        <v>112457541</v>
      </c>
      <c r="H49" s="14">
        <v>8</v>
      </c>
      <c r="I49" s="14">
        <v>112457541</v>
      </c>
      <c r="J49" s="14">
        <v>8</v>
      </c>
      <c r="K49" s="14">
        <v>8</v>
      </c>
      <c r="L49" s="14">
        <v>899660328</v>
      </c>
      <c r="M49" s="25" t="str">
        <f>_xlfn.IFNA(VLOOKUP(DataTT_ps[[#This Row],[TCPH]],Ref!F:H,3,0),"")</f>
        <v>FI BOND</v>
      </c>
      <c r="N49" s="15"/>
      <c r="O49"/>
      <c r="P49"/>
      <c r="Q49"/>
      <c r="R49"/>
    </row>
    <row r="50" spans="1:18" hidden="1" x14ac:dyDescent="0.3">
      <c r="A50" t="s">
        <v>99</v>
      </c>
      <c r="B50" t="s">
        <v>100</v>
      </c>
      <c r="C50" t="s">
        <v>1304</v>
      </c>
      <c r="D50" s="23" t="s">
        <v>1044</v>
      </c>
      <c r="E50" s="14">
        <v>116192676</v>
      </c>
      <c r="F50" s="14">
        <v>87</v>
      </c>
      <c r="G50" s="14">
        <v>116547703</v>
      </c>
      <c r="H50" s="14">
        <v>4</v>
      </c>
      <c r="I50" s="14">
        <v>116192676</v>
      </c>
      <c r="J50" s="14">
        <v>176</v>
      </c>
      <c r="K50" s="14">
        <v>183</v>
      </c>
      <c r="L50" s="14">
        <v>21265213312</v>
      </c>
      <c r="M50" s="25" t="str">
        <f>_xlfn.IFNA(VLOOKUP(DataTT_ps[[#This Row],[TCPH]],Ref!F:H,3,0),"")</f>
        <v>FI BOND</v>
      </c>
      <c r="N50" s="15"/>
      <c r="O50"/>
      <c r="P50"/>
      <c r="Q50"/>
      <c r="R50"/>
    </row>
    <row r="51" spans="1:18" hidden="1" x14ac:dyDescent="0.3">
      <c r="A51" t="s">
        <v>1317</v>
      </c>
      <c r="B51" t="s">
        <v>80</v>
      </c>
      <c r="C51" t="s">
        <v>1483</v>
      </c>
      <c r="D51" s="23" t="s">
        <v>1045</v>
      </c>
      <c r="E51" s="14">
        <v>104472767</v>
      </c>
      <c r="F51" s="14">
        <v>48</v>
      </c>
      <c r="G51" s="14">
        <v>104564693</v>
      </c>
      <c r="H51" s="14">
        <v>20</v>
      </c>
      <c r="I51" s="14">
        <v>104215673</v>
      </c>
      <c r="J51" s="14">
        <v>12</v>
      </c>
      <c r="K51" s="14">
        <v>326</v>
      </c>
      <c r="L51" s="14">
        <v>34054277126</v>
      </c>
      <c r="M51" s="25" t="str">
        <f>_xlfn.IFNA(VLOOKUP(DataTT_ps[[#This Row],[TCPH]],Ref!F:H,3,0),"")</f>
        <v>Others</v>
      </c>
      <c r="N51" s="15"/>
      <c r="O51"/>
      <c r="P51"/>
      <c r="Q51"/>
      <c r="R51"/>
    </row>
    <row r="52" spans="1:18" hidden="1" x14ac:dyDescent="0.3">
      <c r="A52" t="s">
        <v>102</v>
      </c>
      <c r="B52" t="s">
        <v>80</v>
      </c>
      <c r="C52" t="s">
        <v>1520</v>
      </c>
      <c r="D52" s="23" t="s">
        <v>1045</v>
      </c>
      <c r="E52" s="14">
        <v>14904110</v>
      </c>
      <c r="F52" s="14">
        <v>14</v>
      </c>
      <c r="G52" s="14">
        <v>14904110</v>
      </c>
      <c r="H52" s="14">
        <v>14</v>
      </c>
      <c r="I52" s="14">
        <v>14904110</v>
      </c>
      <c r="J52" s="14">
        <v>14</v>
      </c>
      <c r="K52" s="14">
        <v>14</v>
      </c>
      <c r="L52" s="14">
        <v>208657540</v>
      </c>
      <c r="M52" s="25" t="str">
        <f>_xlfn.IFNA(VLOOKUP(DataTT_ps[[#This Row],[TCPH]],Ref!F:H,3,0),"")</f>
        <v>Others</v>
      </c>
      <c r="N52" s="15"/>
      <c r="O52"/>
      <c r="P52"/>
      <c r="Q52"/>
      <c r="R52"/>
    </row>
    <row r="53" spans="1:18" hidden="1" x14ac:dyDescent="0.3">
      <c r="A53" t="s">
        <v>102</v>
      </c>
      <c r="B53" t="s">
        <v>80</v>
      </c>
      <c r="C53" t="s">
        <v>1651</v>
      </c>
      <c r="D53" s="23" t="s">
        <v>1045</v>
      </c>
      <c r="E53" s="14">
        <v>15468812</v>
      </c>
      <c r="F53" s="14">
        <v>78</v>
      </c>
      <c r="G53" s="14">
        <v>15514874</v>
      </c>
      <c r="H53" s="14">
        <v>39</v>
      </c>
      <c r="I53" s="14">
        <v>15468812</v>
      </c>
      <c r="J53" s="14">
        <v>171</v>
      </c>
      <c r="K53" s="14">
        <v>210</v>
      </c>
      <c r="L53" s="14">
        <v>3250246938</v>
      </c>
      <c r="M53" s="25" t="str">
        <f>_xlfn.IFNA(VLOOKUP(DataTT_ps[[#This Row],[TCPH]],Ref!F:H,3,0),"")</f>
        <v>Others</v>
      </c>
      <c r="N53" s="15"/>
      <c r="O53"/>
      <c r="P53"/>
      <c r="Q53"/>
      <c r="R53"/>
    </row>
    <row r="54" spans="1:18" hidden="1" x14ac:dyDescent="0.3">
      <c r="A54" t="s">
        <v>102</v>
      </c>
      <c r="B54" t="s">
        <v>80</v>
      </c>
      <c r="C54" t="s">
        <v>1516</v>
      </c>
      <c r="D54" s="23" t="s">
        <v>1045</v>
      </c>
      <c r="E54" s="14">
        <v>15011030</v>
      </c>
      <c r="F54" s="14">
        <v>146</v>
      </c>
      <c r="G54" s="14">
        <v>15011030</v>
      </c>
      <c r="H54" s="14">
        <v>292</v>
      </c>
      <c r="I54" s="14">
        <v>15011030</v>
      </c>
      <c r="J54" s="14">
        <v>292</v>
      </c>
      <c r="K54" s="14">
        <v>292</v>
      </c>
      <c r="L54" s="14">
        <v>4383220760</v>
      </c>
      <c r="M54" s="25" t="str">
        <f>_xlfn.IFNA(VLOOKUP(DataTT_ps[[#This Row],[TCPH]],Ref!F:H,3,0),"")</f>
        <v>Others</v>
      </c>
      <c r="N54" s="15"/>
      <c r="O54"/>
      <c r="P54"/>
      <c r="Q54"/>
      <c r="R54"/>
    </row>
    <row r="55" spans="1:18" hidden="1" x14ac:dyDescent="0.3">
      <c r="A55" t="s">
        <v>1123</v>
      </c>
      <c r="B55" t="s">
        <v>80</v>
      </c>
      <c r="C55" t="s">
        <v>1603</v>
      </c>
      <c r="D55" s="23" t="s">
        <v>1069</v>
      </c>
      <c r="E55" s="14">
        <v>108695890</v>
      </c>
      <c r="F55" s="14">
        <v>2</v>
      </c>
      <c r="G55" s="14">
        <v>108695890</v>
      </c>
      <c r="H55" s="14">
        <v>2</v>
      </c>
      <c r="I55" s="14">
        <v>108695890</v>
      </c>
      <c r="J55" s="14">
        <v>2</v>
      </c>
      <c r="K55" s="14">
        <v>2</v>
      </c>
      <c r="L55" s="14">
        <v>217391780</v>
      </c>
      <c r="M55" s="25" t="str">
        <f>_xlfn.IFNA(VLOOKUP(DataTT_ps[[#This Row],[TCPH]],Ref!F:H,3,0),"")</f>
        <v>Others</v>
      </c>
      <c r="N55" s="15"/>
      <c r="O55"/>
      <c r="P55"/>
      <c r="Q55"/>
      <c r="R55"/>
    </row>
    <row r="56" spans="1:18" hidden="1" x14ac:dyDescent="0.3">
      <c r="A56" t="s">
        <v>1123</v>
      </c>
      <c r="B56" t="s">
        <v>80</v>
      </c>
      <c r="C56" t="s">
        <v>1509</v>
      </c>
      <c r="D56" s="23" t="s">
        <v>1069</v>
      </c>
      <c r="E56" s="14">
        <v>107410411</v>
      </c>
      <c r="F56" s="14">
        <v>3</v>
      </c>
      <c r="G56" s="14">
        <v>109380388</v>
      </c>
      <c r="H56" s="14">
        <v>29</v>
      </c>
      <c r="I56" s="14">
        <v>107410411</v>
      </c>
      <c r="J56" s="14">
        <v>3</v>
      </c>
      <c r="K56" s="14">
        <v>75</v>
      </c>
      <c r="L56" s="14">
        <v>8139073446</v>
      </c>
      <c r="M56" s="25" t="str">
        <f>_xlfn.IFNA(VLOOKUP(DataTT_ps[[#This Row],[TCPH]],Ref!F:H,3,0),"")</f>
        <v>Others</v>
      </c>
      <c r="N56" s="15"/>
      <c r="O56"/>
      <c r="P56"/>
      <c r="Q56"/>
      <c r="R56"/>
    </row>
    <row r="57" spans="1:18" hidden="1" x14ac:dyDescent="0.3">
      <c r="A57" t="s">
        <v>1123</v>
      </c>
      <c r="B57" t="s">
        <v>80</v>
      </c>
      <c r="C57" t="s">
        <v>1604</v>
      </c>
      <c r="D57" s="23" t="s">
        <v>1069</v>
      </c>
      <c r="E57" s="14">
        <v>109028534</v>
      </c>
      <c r="F57" s="14">
        <v>4</v>
      </c>
      <c r="G57" s="14">
        <v>109028534</v>
      </c>
      <c r="H57" s="14">
        <v>4</v>
      </c>
      <c r="I57" s="14">
        <v>109002725</v>
      </c>
      <c r="J57" s="14">
        <v>6</v>
      </c>
      <c r="K57" s="14">
        <v>10</v>
      </c>
      <c r="L57" s="14">
        <v>1090130486</v>
      </c>
      <c r="M57" s="25" t="str">
        <f>_xlfn.IFNA(VLOOKUP(DataTT_ps[[#This Row],[TCPH]],Ref!F:H,3,0),"")</f>
        <v>Others</v>
      </c>
      <c r="N57" s="15"/>
      <c r="O57"/>
      <c r="P57"/>
      <c r="Q57"/>
      <c r="R57"/>
    </row>
    <row r="58" spans="1:18" hidden="1" x14ac:dyDescent="0.3">
      <c r="A58" t="s">
        <v>1321</v>
      </c>
      <c r="B58" t="s">
        <v>80</v>
      </c>
      <c r="C58" t="s">
        <v>1612</v>
      </c>
      <c r="D58" s="23" t="s">
        <v>1611</v>
      </c>
      <c r="E58" s="14">
        <v>107520548</v>
      </c>
      <c r="F58" s="14">
        <v>10</v>
      </c>
      <c r="G58" s="14">
        <v>107520548</v>
      </c>
      <c r="H58" s="14">
        <v>10</v>
      </c>
      <c r="I58" s="14">
        <v>107495890</v>
      </c>
      <c r="J58" s="14">
        <v>24</v>
      </c>
      <c r="K58" s="14">
        <v>34</v>
      </c>
      <c r="L58" s="14">
        <v>3655106840</v>
      </c>
      <c r="M58" s="25" t="str">
        <f>_xlfn.IFNA(VLOOKUP(DataTT_ps[[#This Row],[TCPH]],Ref!F:H,3,0),"")</f>
        <v>Others</v>
      </c>
      <c r="N58" s="15"/>
      <c r="O58"/>
      <c r="P58"/>
      <c r="Q58"/>
      <c r="R58"/>
    </row>
    <row r="59" spans="1:18" hidden="1" x14ac:dyDescent="0.3">
      <c r="A59" t="s">
        <v>1123</v>
      </c>
      <c r="B59" t="s">
        <v>80</v>
      </c>
      <c r="C59" t="s">
        <v>1652</v>
      </c>
      <c r="D59" s="23" t="s">
        <v>1611</v>
      </c>
      <c r="E59" s="14">
        <v>100632877</v>
      </c>
      <c r="F59" s="14">
        <v>321</v>
      </c>
      <c r="G59" s="14">
        <v>100632877</v>
      </c>
      <c r="H59" s="14">
        <v>321</v>
      </c>
      <c r="I59" s="14">
        <v>100632877</v>
      </c>
      <c r="J59" s="14">
        <v>321</v>
      </c>
      <c r="K59" s="14">
        <v>321</v>
      </c>
      <c r="L59" s="14">
        <v>32303153517</v>
      </c>
      <c r="M59" s="25" t="str">
        <f>_xlfn.IFNA(VLOOKUP(DataTT_ps[[#This Row],[TCPH]],Ref!F:H,3,0),"")</f>
        <v>Others</v>
      </c>
      <c r="N59" s="15"/>
      <c r="O59"/>
      <c r="P59"/>
      <c r="Q59"/>
      <c r="R59"/>
    </row>
    <row r="60" spans="1:18" hidden="1" x14ac:dyDescent="0.3">
      <c r="A60" t="s">
        <v>103</v>
      </c>
      <c r="B60" t="s">
        <v>88</v>
      </c>
      <c r="C60" t="s">
        <v>1594</v>
      </c>
      <c r="D60" s="23" t="s">
        <v>1043</v>
      </c>
      <c r="E60" s="14">
        <v>103503788</v>
      </c>
      <c r="F60" s="14">
        <v>10</v>
      </c>
      <c r="G60" s="14">
        <v>103503788</v>
      </c>
      <c r="H60" s="14">
        <v>28</v>
      </c>
      <c r="I60" s="14">
        <v>103503788</v>
      </c>
      <c r="J60" s="14">
        <v>28</v>
      </c>
      <c r="K60" s="14">
        <v>28</v>
      </c>
      <c r="L60" s="14">
        <v>2898106064</v>
      </c>
      <c r="M60" s="25" t="str">
        <f>_xlfn.IFNA(VLOOKUP(DataTT_ps[[#This Row],[TCPH]],Ref!F:H,3,0),"")</f>
        <v>Others</v>
      </c>
      <c r="N60" s="15"/>
      <c r="O60"/>
      <c r="P60"/>
      <c r="Q60"/>
      <c r="R60"/>
    </row>
    <row r="61" spans="1:18" hidden="1" x14ac:dyDescent="0.3">
      <c r="A61" t="s">
        <v>145</v>
      </c>
      <c r="B61" t="s">
        <v>80</v>
      </c>
      <c r="C61" t="s">
        <v>1653</v>
      </c>
      <c r="D61" s="23" t="s">
        <v>1045</v>
      </c>
      <c r="E61" s="14">
        <v>104359452</v>
      </c>
      <c r="F61" s="14">
        <v>4500</v>
      </c>
      <c r="G61" s="14">
        <v>104359452</v>
      </c>
      <c r="H61" s="14">
        <v>4500</v>
      </c>
      <c r="I61" s="14">
        <v>104349017</v>
      </c>
      <c r="J61" s="14">
        <v>4500</v>
      </c>
      <c r="K61" s="14">
        <v>9000</v>
      </c>
      <c r="L61" s="14">
        <v>939188110500</v>
      </c>
      <c r="M61" s="25" t="str">
        <f>_xlfn.IFNA(VLOOKUP(DataTT_ps[[#This Row],[TCPH]],Ref!F:H,3,0),"")</f>
        <v>Others</v>
      </c>
      <c r="N61" s="15"/>
      <c r="O61"/>
      <c r="P61"/>
      <c r="Q61"/>
      <c r="R61"/>
    </row>
    <row r="62" spans="1:18" hidden="1" x14ac:dyDescent="0.3">
      <c r="A62" t="s">
        <v>145</v>
      </c>
      <c r="B62" t="s">
        <v>80</v>
      </c>
      <c r="C62" t="s">
        <v>1513</v>
      </c>
      <c r="D62" s="23" t="s">
        <v>1043</v>
      </c>
      <c r="E62" s="14">
        <v>100794471</v>
      </c>
      <c r="F62" s="14">
        <v>1</v>
      </c>
      <c r="G62" s="14">
        <v>100794471</v>
      </c>
      <c r="H62" s="14">
        <v>3</v>
      </c>
      <c r="I62" s="14">
        <v>100794471</v>
      </c>
      <c r="J62" s="14">
        <v>3</v>
      </c>
      <c r="K62" s="14">
        <v>3</v>
      </c>
      <c r="L62" s="14">
        <v>302383413</v>
      </c>
      <c r="M62" s="25" t="str">
        <f>_xlfn.IFNA(VLOOKUP(DataTT_ps[[#This Row],[TCPH]],Ref!F:H,3,0),"")</f>
        <v>Others</v>
      </c>
      <c r="N62" s="15"/>
      <c r="O62"/>
      <c r="P62"/>
      <c r="Q62"/>
      <c r="R62"/>
    </row>
    <row r="63" spans="1:18" hidden="1" x14ac:dyDescent="0.3">
      <c r="A63" t="s">
        <v>145</v>
      </c>
      <c r="B63" t="s">
        <v>80</v>
      </c>
      <c r="C63" t="s">
        <v>1484</v>
      </c>
      <c r="D63" s="23" t="s">
        <v>1043</v>
      </c>
      <c r="E63" s="14">
        <v>99655070</v>
      </c>
      <c r="F63" s="14">
        <v>4</v>
      </c>
      <c r="G63" s="14">
        <v>102827513</v>
      </c>
      <c r="H63" s="14">
        <v>20</v>
      </c>
      <c r="I63" s="14">
        <v>99655070</v>
      </c>
      <c r="J63" s="14">
        <v>15</v>
      </c>
      <c r="K63" s="14">
        <v>43</v>
      </c>
      <c r="L63" s="14">
        <v>4368415558</v>
      </c>
      <c r="M63" s="25" t="str">
        <f>_xlfn.IFNA(VLOOKUP(DataTT_ps[[#This Row],[TCPH]],Ref!F:H,3,0),"")</f>
        <v>Others</v>
      </c>
      <c r="N63" s="15"/>
      <c r="O63"/>
      <c r="P63"/>
      <c r="Q63"/>
      <c r="R63"/>
    </row>
    <row r="64" spans="1:18" hidden="1" x14ac:dyDescent="0.3">
      <c r="A64" t="s">
        <v>145</v>
      </c>
      <c r="B64" t="s">
        <v>80</v>
      </c>
      <c r="C64" t="s">
        <v>1654</v>
      </c>
      <c r="D64" s="23" t="s">
        <v>1045</v>
      </c>
      <c r="E64" s="14">
        <v>102255342</v>
      </c>
      <c r="F64" s="14">
        <v>811</v>
      </c>
      <c r="G64" s="14">
        <v>102255342</v>
      </c>
      <c r="H64" s="14">
        <v>811</v>
      </c>
      <c r="I64" s="14">
        <v>102255342</v>
      </c>
      <c r="J64" s="14">
        <v>811</v>
      </c>
      <c r="K64" s="14">
        <v>811</v>
      </c>
      <c r="L64" s="14">
        <v>82929082362</v>
      </c>
      <c r="M64" s="25" t="str">
        <f>_xlfn.IFNA(VLOOKUP(DataTT_ps[[#This Row],[TCPH]],Ref!F:H,3,0),"")</f>
        <v>Others</v>
      </c>
      <c r="N64" s="15"/>
      <c r="O64"/>
      <c r="P64"/>
      <c r="Q64"/>
      <c r="R64"/>
    </row>
    <row r="65" spans="1:18" hidden="1" x14ac:dyDescent="0.3">
      <c r="A65" t="s">
        <v>1039</v>
      </c>
      <c r="B65" t="s">
        <v>80</v>
      </c>
      <c r="C65" t="s">
        <v>1655</v>
      </c>
      <c r="D65" s="23" t="s">
        <v>1044</v>
      </c>
      <c r="E65" s="14">
        <v>104473499</v>
      </c>
      <c r="F65" s="14">
        <v>12000</v>
      </c>
      <c r="G65" s="14">
        <v>104473499</v>
      </c>
      <c r="H65" s="14">
        <v>12000</v>
      </c>
      <c r="I65" s="14">
        <v>104473499</v>
      </c>
      <c r="J65" s="14">
        <v>12000</v>
      </c>
      <c r="K65" s="14">
        <v>12000</v>
      </c>
      <c r="L65" s="14">
        <v>1253681988000</v>
      </c>
      <c r="M65" s="25" t="str">
        <f>_xlfn.IFNA(VLOOKUP(DataTT_ps[[#This Row],[TCPH]],Ref!F:H,3,0),"")</f>
        <v>Others</v>
      </c>
      <c r="N65" s="15"/>
      <c r="O65"/>
      <c r="P65"/>
      <c r="Q65"/>
      <c r="R65"/>
    </row>
    <row r="66" spans="1:18" hidden="1" x14ac:dyDescent="0.3">
      <c r="A66" t="s">
        <v>639</v>
      </c>
      <c r="B66" t="s">
        <v>80</v>
      </c>
      <c r="C66" t="s">
        <v>1587</v>
      </c>
      <c r="D66" s="23" t="s">
        <v>1044</v>
      </c>
      <c r="E66" s="14">
        <v>110269863</v>
      </c>
      <c r="F66" s="14">
        <v>12</v>
      </c>
      <c r="G66" s="14">
        <v>110269863</v>
      </c>
      <c r="H66" s="14">
        <v>12</v>
      </c>
      <c r="I66" s="14">
        <v>110130137</v>
      </c>
      <c r="J66" s="14">
        <v>12</v>
      </c>
      <c r="K66" s="14">
        <v>24</v>
      </c>
      <c r="L66" s="14">
        <v>2644800000</v>
      </c>
      <c r="M66" s="25" t="str">
        <f>_xlfn.IFNA(VLOOKUP(DataTT_ps[[#This Row],[TCPH]],Ref!F:H,3,0),"")</f>
        <v>Others</v>
      </c>
      <c r="N66" s="15"/>
      <c r="O66"/>
      <c r="P66"/>
      <c r="Q66"/>
      <c r="R66"/>
    </row>
    <row r="67" spans="1:18" hidden="1" x14ac:dyDescent="0.3">
      <c r="A67" t="s">
        <v>108</v>
      </c>
      <c r="B67" t="s">
        <v>109</v>
      </c>
      <c r="C67" t="s">
        <v>1497</v>
      </c>
      <c r="D67" s="23" t="s">
        <v>1048</v>
      </c>
      <c r="E67" s="14">
        <v>100050</v>
      </c>
      <c r="F67" s="14">
        <v>3000</v>
      </c>
      <c r="G67" s="14">
        <v>100050</v>
      </c>
      <c r="H67" s="14">
        <v>3000</v>
      </c>
      <c r="I67" s="14">
        <v>100050</v>
      </c>
      <c r="J67" s="14">
        <v>3000</v>
      </c>
      <c r="K67" s="14">
        <v>3000</v>
      </c>
      <c r="L67" s="14">
        <v>300150000</v>
      </c>
      <c r="M67" s="25" t="str">
        <f>_xlfn.IFNA(VLOOKUP(DataTT_ps[[#This Row],[TCPH]],Ref!F:H,3,0),"")</f>
        <v>FI BOND</v>
      </c>
      <c r="N67" s="15"/>
      <c r="O67"/>
      <c r="P67"/>
      <c r="Q67"/>
      <c r="R67"/>
    </row>
    <row r="68" spans="1:18" hidden="1" x14ac:dyDescent="0.3">
      <c r="A68" t="s">
        <v>108</v>
      </c>
      <c r="B68" t="s">
        <v>109</v>
      </c>
      <c r="C68" t="s">
        <v>1605</v>
      </c>
      <c r="D68" s="23" t="s">
        <v>1043</v>
      </c>
      <c r="E68" s="14">
        <v>101512</v>
      </c>
      <c r="F68" s="14">
        <v>3950</v>
      </c>
      <c r="G68" s="14">
        <v>101512</v>
      </c>
      <c r="H68" s="14">
        <v>3950</v>
      </c>
      <c r="I68" s="14">
        <v>101462</v>
      </c>
      <c r="J68" s="14">
        <v>9856</v>
      </c>
      <c r="K68" s="14">
        <v>25631</v>
      </c>
      <c r="L68" s="14">
        <v>2601065647</v>
      </c>
      <c r="M68" s="25" t="str">
        <f>_xlfn.IFNA(VLOOKUP(DataTT_ps[[#This Row],[TCPH]],Ref!F:H,3,0),"")</f>
        <v>FI BOND</v>
      </c>
      <c r="N68" s="15"/>
      <c r="O68"/>
      <c r="P68"/>
      <c r="Q68"/>
      <c r="R68"/>
    </row>
    <row r="69" spans="1:18" hidden="1" x14ac:dyDescent="0.3">
      <c r="A69" t="s">
        <v>108</v>
      </c>
      <c r="B69" t="s">
        <v>109</v>
      </c>
      <c r="C69" t="s">
        <v>1595</v>
      </c>
      <c r="D69" s="23" t="s">
        <v>1045</v>
      </c>
      <c r="E69" s="14">
        <v>101553425</v>
      </c>
      <c r="F69" s="14">
        <v>10</v>
      </c>
      <c r="G69" s="14">
        <v>101553425</v>
      </c>
      <c r="H69" s="14">
        <v>60</v>
      </c>
      <c r="I69" s="14">
        <v>101553425</v>
      </c>
      <c r="J69" s="14">
        <v>60</v>
      </c>
      <c r="K69" s="14">
        <v>60</v>
      </c>
      <c r="L69" s="14">
        <v>6093205500</v>
      </c>
      <c r="M69" s="25" t="str">
        <f>_xlfn.IFNA(VLOOKUP(DataTT_ps[[#This Row],[TCPH]],Ref!F:H,3,0),"")</f>
        <v>FI BOND</v>
      </c>
      <c r="N69" s="15"/>
      <c r="O69"/>
      <c r="P69"/>
      <c r="Q69"/>
      <c r="R69"/>
    </row>
    <row r="70" spans="1:18" hidden="1" x14ac:dyDescent="0.3">
      <c r="A70" t="s">
        <v>1477</v>
      </c>
      <c r="B70" t="s">
        <v>80</v>
      </c>
      <c r="C70" t="s">
        <v>1626</v>
      </c>
      <c r="D70" s="23" t="s">
        <v>1043</v>
      </c>
      <c r="E70" s="14">
        <v>101000000</v>
      </c>
      <c r="F70" s="14">
        <v>5000</v>
      </c>
      <c r="G70" s="14">
        <v>101000000</v>
      </c>
      <c r="H70" s="14">
        <v>5000</v>
      </c>
      <c r="I70" s="14">
        <v>101000000</v>
      </c>
      <c r="J70" s="14">
        <v>5000</v>
      </c>
      <c r="K70" s="14">
        <v>5000</v>
      </c>
      <c r="L70" s="14">
        <v>505000000000</v>
      </c>
      <c r="M70" s="25" t="str">
        <f>_xlfn.IFNA(VLOOKUP(DataTT_ps[[#This Row],[TCPH]],Ref!F:H,3,0),"")</f>
        <v>Others</v>
      </c>
      <c r="N70" s="15"/>
      <c r="O70"/>
      <c r="P70"/>
      <c r="Q70"/>
      <c r="R70"/>
    </row>
    <row r="71" spans="1:18" hidden="1" x14ac:dyDescent="0.3">
      <c r="A71" t="s">
        <v>113</v>
      </c>
      <c r="B71" t="s">
        <v>80</v>
      </c>
      <c r="C71" t="s">
        <v>1656</v>
      </c>
      <c r="D71" s="23" t="s">
        <v>1047</v>
      </c>
      <c r="E71" s="14">
        <v>100000</v>
      </c>
      <c r="F71" s="14">
        <v>386000</v>
      </c>
      <c r="G71" s="14">
        <v>100576</v>
      </c>
      <c r="H71" s="14">
        <v>386332</v>
      </c>
      <c r="I71" s="14">
        <v>100000</v>
      </c>
      <c r="J71" s="14">
        <v>386000</v>
      </c>
      <c r="K71" s="14">
        <v>772332</v>
      </c>
      <c r="L71" s="14">
        <v>77455727232</v>
      </c>
      <c r="M71" s="25" t="str">
        <f>_xlfn.IFNA(VLOOKUP(DataTT_ps[[#This Row],[TCPH]],Ref!F:H,3,0),"")</f>
        <v>Others</v>
      </c>
      <c r="N71" s="15"/>
      <c r="O71"/>
      <c r="P71"/>
      <c r="Q71"/>
      <c r="R71"/>
    </row>
    <row r="72" spans="1:18" hidden="1" x14ac:dyDescent="0.3">
      <c r="A72" t="s">
        <v>113</v>
      </c>
      <c r="B72" t="s">
        <v>80</v>
      </c>
      <c r="C72" t="s">
        <v>1657</v>
      </c>
      <c r="D72" s="23" t="s">
        <v>1047</v>
      </c>
      <c r="E72" s="14">
        <v>100000</v>
      </c>
      <c r="F72" s="14">
        <v>143000</v>
      </c>
      <c r="G72" s="14">
        <v>100000</v>
      </c>
      <c r="H72" s="14">
        <v>143000</v>
      </c>
      <c r="I72" s="14">
        <v>100000</v>
      </c>
      <c r="J72" s="14">
        <v>143000</v>
      </c>
      <c r="K72" s="14">
        <v>143000</v>
      </c>
      <c r="L72" s="14">
        <v>14300000000</v>
      </c>
      <c r="M72" s="25" t="str">
        <f>_xlfn.IFNA(VLOOKUP(DataTT_ps[[#This Row],[TCPH]],Ref!F:H,3,0),"")</f>
        <v>Others</v>
      </c>
      <c r="N72" s="15"/>
      <c r="O72"/>
      <c r="P72"/>
      <c r="Q72"/>
      <c r="R72"/>
    </row>
    <row r="73" spans="1:18" hidden="1" x14ac:dyDescent="0.3">
      <c r="A73" t="s">
        <v>114</v>
      </c>
      <c r="B73" t="s">
        <v>88</v>
      </c>
      <c r="C73" t="s">
        <v>1658</v>
      </c>
      <c r="D73" s="23" t="s">
        <v>1048</v>
      </c>
      <c r="E73" s="14">
        <v>124032</v>
      </c>
      <c r="F73" s="14">
        <v>3000</v>
      </c>
      <c r="G73" s="14">
        <v>124032</v>
      </c>
      <c r="H73" s="14">
        <v>3000</v>
      </c>
      <c r="I73" s="14">
        <v>123025</v>
      </c>
      <c r="J73" s="14">
        <v>1250</v>
      </c>
      <c r="K73" s="14">
        <v>11522</v>
      </c>
      <c r="L73" s="14">
        <v>1420682306</v>
      </c>
      <c r="M73" s="25" t="str">
        <f>_xlfn.IFNA(VLOOKUP(DataTT_ps[[#This Row],[TCPH]],Ref!F:H,3,0),"")</f>
        <v>Others</v>
      </c>
      <c r="N73" s="15"/>
      <c r="O73"/>
      <c r="P73"/>
      <c r="Q73"/>
      <c r="R73"/>
    </row>
    <row r="74" spans="1:18" hidden="1" x14ac:dyDescent="0.3">
      <c r="A74" t="s">
        <v>114</v>
      </c>
      <c r="B74" t="s">
        <v>88</v>
      </c>
      <c r="C74" t="s">
        <v>1596</v>
      </c>
      <c r="D74" s="23" t="s">
        <v>1045</v>
      </c>
      <c r="E74" s="14">
        <v>124374</v>
      </c>
      <c r="F74" s="14">
        <v>3000</v>
      </c>
      <c r="G74" s="14">
        <v>124374</v>
      </c>
      <c r="H74" s="14">
        <v>3450</v>
      </c>
      <c r="I74" s="14">
        <v>124374</v>
      </c>
      <c r="J74" s="14">
        <v>3450</v>
      </c>
      <c r="K74" s="14">
        <v>3450</v>
      </c>
      <c r="L74" s="14">
        <v>429090300</v>
      </c>
      <c r="M74" s="25" t="str">
        <f>_xlfn.IFNA(VLOOKUP(DataTT_ps[[#This Row],[TCPH]],Ref!F:H,3,0),"")</f>
        <v>Others</v>
      </c>
      <c r="N74" s="15"/>
      <c r="O74"/>
      <c r="P74"/>
      <c r="Q74"/>
      <c r="R74"/>
    </row>
    <row r="75" spans="1:18" hidden="1" x14ac:dyDescent="0.3">
      <c r="A75" t="s">
        <v>115</v>
      </c>
      <c r="B75" t="s">
        <v>88</v>
      </c>
      <c r="C75" t="s">
        <v>1659</v>
      </c>
      <c r="D75" s="23" t="s">
        <v>1047</v>
      </c>
      <c r="E75" s="14">
        <v>100801370</v>
      </c>
      <c r="F75" s="14">
        <v>1000</v>
      </c>
      <c r="G75" s="14">
        <v>100801370</v>
      </c>
      <c r="H75" s="14">
        <v>1000</v>
      </c>
      <c r="I75" s="14">
        <v>100801370</v>
      </c>
      <c r="J75" s="14">
        <v>1000</v>
      </c>
      <c r="K75" s="14">
        <v>1000</v>
      </c>
      <c r="L75" s="14">
        <v>100801370000</v>
      </c>
      <c r="M75" s="25" t="str">
        <f>_xlfn.IFNA(VLOOKUP(DataTT_ps[[#This Row],[TCPH]],Ref!F:H,3,0),"")</f>
        <v>Others</v>
      </c>
      <c r="N75" s="15"/>
      <c r="O75"/>
      <c r="P75"/>
      <c r="Q75"/>
      <c r="R75"/>
    </row>
    <row r="76" spans="1:18" hidden="1" x14ac:dyDescent="0.3">
      <c r="A76" t="s">
        <v>962</v>
      </c>
      <c r="B76" t="s">
        <v>80</v>
      </c>
      <c r="C76" t="s">
        <v>1448</v>
      </c>
      <c r="D76" s="23" t="s">
        <v>1042</v>
      </c>
      <c r="E76" s="14">
        <v>102968764</v>
      </c>
      <c r="F76" s="14">
        <v>30</v>
      </c>
      <c r="G76" s="14">
        <v>117881527</v>
      </c>
      <c r="H76" s="14">
        <v>3</v>
      </c>
      <c r="I76" s="14">
        <v>102459430</v>
      </c>
      <c r="J76" s="14">
        <v>59</v>
      </c>
      <c r="K76" s="14">
        <v>109</v>
      </c>
      <c r="L76" s="14">
        <v>11375738490</v>
      </c>
      <c r="M76" s="25" t="str">
        <f>_xlfn.IFNA(VLOOKUP(DataTT_ps[[#This Row],[TCPH]],Ref!F:H,3,0),"")</f>
        <v>Others</v>
      </c>
      <c r="N76" s="15"/>
      <c r="O76"/>
      <c r="P76"/>
      <c r="Q76"/>
      <c r="R76"/>
    </row>
    <row r="77" spans="1:18" hidden="1" x14ac:dyDescent="0.3">
      <c r="A77" t="s">
        <v>116</v>
      </c>
      <c r="B77" t="s">
        <v>80</v>
      </c>
      <c r="C77" t="s">
        <v>1521</v>
      </c>
      <c r="D77" s="23" t="s">
        <v>1049</v>
      </c>
      <c r="E77" s="14">
        <v>107537</v>
      </c>
      <c r="F77" s="14">
        <v>1300000</v>
      </c>
      <c r="G77" s="14">
        <v>109794</v>
      </c>
      <c r="H77" s="14">
        <v>17184</v>
      </c>
      <c r="I77" s="14">
        <v>107537</v>
      </c>
      <c r="J77" s="14">
        <v>1300000</v>
      </c>
      <c r="K77" s="14">
        <v>1442412</v>
      </c>
      <c r="L77" s="14">
        <v>155410819228</v>
      </c>
      <c r="M77" s="25" t="str">
        <f>_xlfn.IFNA(VLOOKUP(DataTT_ps[[#This Row],[TCPH]],Ref!F:H,3,0),"")</f>
        <v>Others</v>
      </c>
      <c r="N77" s="15"/>
      <c r="O77"/>
      <c r="P77"/>
      <c r="Q77"/>
      <c r="R77"/>
    </row>
    <row r="78" spans="1:18" hidden="1" x14ac:dyDescent="0.3">
      <c r="A78" t="s">
        <v>120</v>
      </c>
      <c r="B78" t="s">
        <v>80</v>
      </c>
      <c r="C78" t="s">
        <v>1498</v>
      </c>
      <c r="D78" s="23" t="s">
        <v>1049</v>
      </c>
      <c r="E78" s="14">
        <v>120500</v>
      </c>
      <c r="F78" s="14">
        <v>237</v>
      </c>
      <c r="G78" s="14">
        <v>121764</v>
      </c>
      <c r="H78" s="14">
        <v>32</v>
      </c>
      <c r="I78" s="14">
        <v>107679</v>
      </c>
      <c r="J78" s="14">
        <v>5715</v>
      </c>
      <c r="K78" s="14">
        <v>7888</v>
      </c>
      <c r="L78" s="14">
        <v>852962161</v>
      </c>
      <c r="M78" s="25" t="str">
        <f>_xlfn.IFNA(VLOOKUP(DataTT_ps[[#This Row],[TCPH]],Ref!F:H,3,0),"")</f>
        <v>Others</v>
      </c>
      <c r="N78" s="15"/>
      <c r="O78"/>
      <c r="P78"/>
      <c r="Q78"/>
      <c r="R78"/>
    </row>
    <row r="79" spans="1:18" hidden="1" x14ac:dyDescent="0.3">
      <c r="A79" t="s">
        <v>120</v>
      </c>
      <c r="B79" t="s">
        <v>80</v>
      </c>
      <c r="C79" t="s">
        <v>1627</v>
      </c>
      <c r="D79" s="23" t="s">
        <v>1047</v>
      </c>
      <c r="E79" s="14">
        <v>107226</v>
      </c>
      <c r="F79" s="14">
        <v>2819</v>
      </c>
      <c r="G79" s="14">
        <v>107226</v>
      </c>
      <c r="H79" s="14">
        <v>5641</v>
      </c>
      <c r="I79" s="14">
        <v>107226</v>
      </c>
      <c r="J79" s="14">
        <v>5641</v>
      </c>
      <c r="K79" s="14">
        <v>5641</v>
      </c>
      <c r="L79" s="14">
        <v>604861866</v>
      </c>
      <c r="M79" s="25" t="str">
        <f>_xlfn.IFNA(VLOOKUP(DataTT_ps[[#This Row],[TCPH]],Ref!F:H,3,0),"")</f>
        <v>Others</v>
      </c>
      <c r="N79" s="15"/>
      <c r="O79"/>
      <c r="P79"/>
      <c r="Q79"/>
      <c r="R79"/>
    </row>
    <row r="80" spans="1:18" hidden="1" x14ac:dyDescent="0.3">
      <c r="A80" t="s">
        <v>168</v>
      </c>
      <c r="B80" t="s">
        <v>78</v>
      </c>
      <c r="C80" t="s">
        <v>1660</v>
      </c>
      <c r="D80" s="23" t="s">
        <v>1049</v>
      </c>
      <c r="E80" s="14">
        <v>1053617369</v>
      </c>
      <c r="F80" s="14">
        <v>500</v>
      </c>
      <c r="G80" s="14">
        <v>1053617369</v>
      </c>
      <c r="H80" s="14">
        <v>500</v>
      </c>
      <c r="I80" s="14">
        <v>1053617369</v>
      </c>
      <c r="J80" s="14">
        <v>500</v>
      </c>
      <c r="K80" s="14">
        <v>500</v>
      </c>
      <c r="L80" s="14">
        <v>526808684500</v>
      </c>
      <c r="M80" s="25" t="str">
        <f>_xlfn.IFNA(VLOOKUP(DataTT_ps[[#This Row],[TCPH]],Ref!F:H,3,0),"")</f>
        <v>FI BOND</v>
      </c>
      <c r="N80" s="15"/>
      <c r="O80"/>
      <c r="P80"/>
      <c r="Q80"/>
      <c r="R80"/>
    </row>
    <row r="81" spans="1:18" hidden="1" x14ac:dyDescent="0.3">
      <c r="A81" t="s">
        <v>1248</v>
      </c>
      <c r="B81" t="s">
        <v>80</v>
      </c>
      <c r="C81" t="s">
        <v>1661</v>
      </c>
      <c r="D81" s="23" t="s">
        <v>1305</v>
      </c>
      <c r="E81" s="14">
        <v>98881096</v>
      </c>
      <c r="F81" s="14">
        <v>1365</v>
      </c>
      <c r="G81" s="14">
        <v>98881096</v>
      </c>
      <c r="H81" s="14">
        <v>1365</v>
      </c>
      <c r="I81" s="14">
        <v>98881096</v>
      </c>
      <c r="J81" s="14">
        <v>1365</v>
      </c>
      <c r="K81" s="14">
        <v>1365</v>
      </c>
      <c r="L81" s="14">
        <v>134972696040</v>
      </c>
      <c r="M81" s="25" t="str">
        <f>_xlfn.IFNA(VLOOKUP(DataTT_ps[[#This Row],[TCPH]],Ref!F:H,3,0),"")</f>
        <v>Others</v>
      </c>
      <c r="N81" s="15"/>
      <c r="O81"/>
      <c r="P81"/>
      <c r="Q81"/>
      <c r="R81"/>
    </row>
    <row r="82" spans="1:18" hidden="1" x14ac:dyDescent="0.3">
      <c r="A82" t="s">
        <v>146</v>
      </c>
      <c r="B82" t="s">
        <v>109</v>
      </c>
      <c r="C82" t="s">
        <v>1662</v>
      </c>
      <c r="D82" s="23" t="s">
        <v>1045</v>
      </c>
      <c r="E82" s="14">
        <v>100520000</v>
      </c>
      <c r="F82" s="14">
        <v>3</v>
      </c>
      <c r="G82" s="14">
        <v>100520000</v>
      </c>
      <c r="H82" s="14">
        <v>3</v>
      </c>
      <c r="I82" s="14">
        <v>100520000</v>
      </c>
      <c r="J82" s="14">
        <v>3</v>
      </c>
      <c r="K82" s="14">
        <v>3</v>
      </c>
      <c r="L82" s="14">
        <v>301560000</v>
      </c>
      <c r="M82" s="25" t="str">
        <f>_xlfn.IFNA(VLOOKUP(DataTT_ps[[#This Row],[TCPH]],Ref!F:H,3,0),"")</f>
        <v>FI BOND</v>
      </c>
      <c r="N82" s="15"/>
      <c r="O82"/>
      <c r="P82"/>
      <c r="Q82"/>
      <c r="R82"/>
    </row>
    <row r="83" spans="1:18" hidden="1" x14ac:dyDescent="0.3">
      <c r="A83" t="s">
        <v>122</v>
      </c>
      <c r="B83" t="s">
        <v>111</v>
      </c>
      <c r="C83" t="s">
        <v>123</v>
      </c>
      <c r="D83" s="23" t="s">
        <v>1044</v>
      </c>
      <c r="E83" s="14">
        <v>109816</v>
      </c>
      <c r="F83" s="14">
        <v>456</v>
      </c>
      <c r="G83" s="14">
        <v>110524</v>
      </c>
      <c r="H83" s="14">
        <v>385</v>
      </c>
      <c r="I83" s="14">
        <v>101320</v>
      </c>
      <c r="J83" s="14">
        <v>800</v>
      </c>
      <c r="K83" s="14">
        <v>10591</v>
      </c>
      <c r="L83" s="14">
        <v>1157679633</v>
      </c>
      <c r="M83" s="25" t="str">
        <f>_xlfn.IFNA(VLOOKUP(DataTT_ps[[#This Row],[TCPH]],Ref!F:H,3,0),"")</f>
        <v>Others</v>
      </c>
      <c r="N83" s="15"/>
      <c r="O83"/>
      <c r="P83"/>
      <c r="Q83"/>
      <c r="R83"/>
    </row>
    <row r="84" spans="1:18" hidden="1" x14ac:dyDescent="0.3">
      <c r="A84" t="s">
        <v>1117</v>
      </c>
      <c r="B84" t="s">
        <v>80</v>
      </c>
      <c r="C84" t="s">
        <v>1628</v>
      </c>
      <c r="D84" s="23" t="s">
        <v>1046</v>
      </c>
      <c r="E84" s="14">
        <v>115656358</v>
      </c>
      <c r="F84" s="14">
        <v>1</v>
      </c>
      <c r="G84" s="14">
        <v>115656358</v>
      </c>
      <c r="H84" s="14">
        <v>28</v>
      </c>
      <c r="I84" s="14">
        <v>115656358</v>
      </c>
      <c r="J84" s="14">
        <v>28</v>
      </c>
      <c r="K84" s="14">
        <v>28</v>
      </c>
      <c r="L84" s="14">
        <v>3238378024</v>
      </c>
      <c r="M84" s="25" t="str">
        <f>_xlfn.IFNA(VLOOKUP(DataTT_ps[[#This Row],[TCPH]],Ref!F:H,3,0),"")</f>
        <v>Others</v>
      </c>
      <c r="N84" s="15"/>
      <c r="O84"/>
      <c r="P84"/>
      <c r="Q84"/>
      <c r="R84"/>
    </row>
    <row r="85" spans="1:18" hidden="1" x14ac:dyDescent="0.3">
      <c r="A85" t="s">
        <v>607</v>
      </c>
      <c r="B85" t="s">
        <v>80</v>
      </c>
      <c r="C85" t="s">
        <v>1629</v>
      </c>
      <c r="D85" s="23" t="s">
        <v>1043</v>
      </c>
      <c r="E85" s="14">
        <v>106551233</v>
      </c>
      <c r="F85" s="14">
        <v>804</v>
      </c>
      <c r="G85" s="14">
        <v>106551233</v>
      </c>
      <c r="H85" s="14">
        <v>804</v>
      </c>
      <c r="I85" s="14">
        <v>106551233</v>
      </c>
      <c r="J85" s="14">
        <v>804</v>
      </c>
      <c r="K85" s="14">
        <v>804</v>
      </c>
      <c r="L85" s="14">
        <v>85667191332</v>
      </c>
      <c r="M85" s="25" t="str">
        <f>_xlfn.IFNA(VLOOKUP(DataTT_ps[[#This Row],[TCPH]],Ref!F:H,3,0),"")</f>
        <v>Others</v>
      </c>
      <c r="N85" s="15"/>
      <c r="O85"/>
      <c r="P85"/>
      <c r="Q85"/>
      <c r="R85"/>
    </row>
    <row r="86" spans="1:18" hidden="1" x14ac:dyDescent="0.3">
      <c r="A86" t="s">
        <v>216</v>
      </c>
      <c r="B86" t="s">
        <v>111</v>
      </c>
      <c r="C86" t="s">
        <v>1663</v>
      </c>
      <c r="D86" s="23" t="s">
        <v>1043</v>
      </c>
      <c r="E86" s="14">
        <v>129553102</v>
      </c>
      <c r="F86" s="14">
        <v>1070</v>
      </c>
      <c r="G86" s="14">
        <v>129553102</v>
      </c>
      <c r="H86" s="14">
        <v>1070</v>
      </c>
      <c r="I86" s="14">
        <v>129553102</v>
      </c>
      <c r="J86" s="14">
        <v>1070</v>
      </c>
      <c r="K86" s="14">
        <v>1070</v>
      </c>
      <c r="L86" s="14">
        <v>138621819140</v>
      </c>
      <c r="M86" s="25" t="str">
        <f>_xlfn.IFNA(VLOOKUP(DataTT_ps[[#This Row],[TCPH]],Ref!F:H,3,0),"")</f>
        <v>Others</v>
      </c>
      <c r="N86" s="15"/>
      <c r="O86"/>
      <c r="P86"/>
      <c r="Q86"/>
      <c r="R86"/>
    </row>
    <row r="87" spans="1:18" hidden="1" x14ac:dyDescent="0.3">
      <c r="A87" t="s">
        <v>126</v>
      </c>
      <c r="B87" t="s">
        <v>111</v>
      </c>
      <c r="C87" t="s">
        <v>1597</v>
      </c>
      <c r="D87" s="23" t="s">
        <v>1045</v>
      </c>
      <c r="E87" s="14">
        <v>14809482</v>
      </c>
      <c r="F87" s="14">
        <v>104</v>
      </c>
      <c r="G87" s="14">
        <v>14809482</v>
      </c>
      <c r="H87" s="14">
        <v>104</v>
      </c>
      <c r="I87" s="14">
        <v>14809482</v>
      </c>
      <c r="J87" s="14">
        <v>104</v>
      </c>
      <c r="K87" s="14">
        <v>104</v>
      </c>
      <c r="L87" s="14">
        <v>1540186128</v>
      </c>
      <c r="M87" s="25" t="str">
        <f>_xlfn.IFNA(VLOOKUP(DataTT_ps[[#This Row],[TCPH]],Ref!F:H,3,0),"")</f>
        <v>Others</v>
      </c>
      <c r="N87" s="15"/>
      <c r="O87"/>
      <c r="P87"/>
      <c r="Q87"/>
      <c r="R87"/>
    </row>
    <row r="88" spans="1:18" hidden="1" x14ac:dyDescent="0.3">
      <c r="A88" t="s">
        <v>126</v>
      </c>
      <c r="B88" t="s">
        <v>111</v>
      </c>
      <c r="C88" t="s">
        <v>1613</v>
      </c>
      <c r="D88" s="23" t="s">
        <v>1045</v>
      </c>
      <c r="E88" s="14">
        <v>14764791</v>
      </c>
      <c r="F88" s="14">
        <v>77</v>
      </c>
      <c r="G88" s="14">
        <v>14764791</v>
      </c>
      <c r="H88" s="14">
        <v>77</v>
      </c>
      <c r="I88" s="14">
        <v>14764791</v>
      </c>
      <c r="J88" s="14">
        <v>77</v>
      </c>
      <c r="K88" s="14">
        <v>77</v>
      </c>
      <c r="L88" s="14">
        <v>1136888907</v>
      </c>
      <c r="M88" s="25" t="str">
        <f>_xlfn.IFNA(VLOOKUP(DataTT_ps[[#This Row],[TCPH]],Ref!F:H,3,0),"")</f>
        <v>Others</v>
      </c>
      <c r="N88" s="15"/>
      <c r="O88"/>
      <c r="P88"/>
      <c r="Q88"/>
      <c r="R88"/>
    </row>
    <row r="89" spans="1:18" hidden="1" x14ac:dyDescent="0.3">
      <c r="A89" t="s">
        <v>126</v>
      </c>
      <c r="B89" t="s">
        <v>111</v>
      </c>
      <c r="C89" t="s">
        <v>1588</v>
      </c>
      <c r="D89" s="23" t="s">
        <v>1045</v>
      </c>
      <c r="E89" s="14">
        <v>14918277</v>
      </c>
      <c r="F89" s="14">
        <v>75</v>
      </c>
      <c r="G89" s="14">
        <v>14991083</v>
      </c>
      <c r="H89" s="14">
        <v>191</v>
      </c>
      <c r="I89" s="14">
        <v>14578082</v>
      </c>
      <c r="J89" s="14">
        <v>82</v>
      </c>
      <c r="K89" s="14">
        <v>669</v>
      </c>
      <c r="L89" s="14">
        <v>9966337269</v>
      </c>
      <c r="M89" s="25" t="str">
        <f>_xlfn.IFNA(VLOOKUP(DataTT_ps[[#This Row],[TCPH]],Ref!F:H,3,0),"")</f>
        <v>Others</v>
      </c>
      <c r="N89" s="15"/>
      <c r="O89"/>
      <c r="P89"/>
      <c r="Q89"/>
      <c r="R89"/>
    </row>
    <row r="90" spans="1:18" hidden="1" x14ac:dyDescent="0.3">
      <c r="A90" t="s">
        <v>127</v>
      </c>
      <c r="B90" t="s">
        <v>80</v>
      </c>
      <c r="C90" t="s">
        <v>1614</v>
      </c>
      <c r="D90" s="23" t="s">
        <v>1045</v>
      </c>
      <c r="E90" s="14">
        <v>15055910</v>
      </c>
      <c r="F90" s="14">
        <v>11</v>
      </c>
      <c r="G90" s="14">
        <v>15179733</v>
      </c>
      <c r="H90" s="14">
        <v>49</v>
      </c>
      <c r="I90" s="14">
        <v>15055910</v>
      </c>
      <c r="J90" s="14">
        <v>435</v>
      </c>
      <c r="K90" s="14">
        <v>484</v>
      </c>
      <c r="L90" s="14">
        <v>7293127767</v>
      </c>
      <c r="M90" s="25" t="str">
        <f>_xlfn.IFNA(VLOOKUP(DataTT_ps[[#This Row],[TCPH]],Ref!F:H,3,0),"")</f>
        <v>Others</v>
      </c>
      <c r="N90" s="15"/>
      <c r="O90"/>
      <c r="P90"/>
      <c r="Q90"/>
      <c r="R90"/>
    </row>
    <row r="91" spans="1:18" hidden="1" x14ac:dyDescent="0.3">
      <c r="A91" t="s">
        <v>139</v>
      </c>
      <c r="B91" t="s">
        <v>80</v>
      </c>
      <c r="C91" t="s">
        <v>1664</v>
      </c>
      <c r="D91" s="23" t="s">
        <v>1045</v>
      </c>
      <c r="E91" s="14">
        <v>103399452</v>
      </c>
      <c r="F91" s="14">
        <v>3</v>
      </c>
      <c r="G91" s="14">
        <v>103399452</v>
      </c>
      <c r="H91" s="14">
        <v>3</v>
      </c>
      <c r="I91" s="14">
        <v>103399452</v>
      </c>
      <c r="J91" s="14">
        <v>3</v>
      </c>
      <c r="K91" s="14">
        <v>3</v>
      </c>
      <c r="L91" s="14">
        <v>310198356</v>
      </c>
      <c r="M91" s="25" t="str">
        <f>_xlfn.IFNA(VLOOKUP(DataTT_ps[[#This Row],[TCPH]],Ref!F:H,3,0),"")</f>
        <v>Others</v>
      </c>
      <c r="N91" s="15"/>
      <c r="O91"/>
      <c r="P91"/>
      <c r="Q91"/>
      <c r="R91"/>
    </row>
    <row r="92" spans="1:18" hidden="1" x14ac:dyDescent="0.3">
      <c r="A92" t="s">
        <v>662</v>
      </c>
      <c r="B92" t="s">
        <v>80</v>
      </c>
      <c r="C92" t="s">
        <v>969</v>
      </c>
      <c r="D92" s="23" t="s">
        <v>1047</v>
      </c>
      <c r="E92" s="14">
        <v>100135804</v>
      </c>
      <c r="F92" s="14">
        <v>5</v>
      </c>
      <c r="G92" s="14">
        <v>106812410</v>
      </c>
      <c r="H92" s="14">
        <v>18</v>
      </c>
      <c r="I92" s="14">
        <v>100135804</v>
      </c>
      <c r="J92" s="14">
        <v>10</v>
      </c>
      <c r="K92" s="14">
        <v>54</v>
      </c>
      <c r="L92" s="14">
        <v>5615767875</v>
      </c>
      <c r="M92" s="25" t="str">
        <f>_xlfn.IFNA(VLOOKUP(DataTT_ps[[#This Row],[TCPH]],Ref!F:H,3,0),"")</f>
        <v>Others</v>
      </c>
      <c r="N92" s="15"/>
      <c r="O92"/>
      <c r="P92"/>
      <c r="Q92"/>
      <c r="R92"/>
    </row>
    <row r="93" spans="1:18" hidden="1" x14ac:dyDescent="0.3">
      <c r="A93" t="s">
        <v>217</v>
      </c>
      <c r="B93" t="s">
        <v>111</v>
      </c>
      <c r="C93" t="s">
        <v>1598</v>
      </c>
      <c r="D93" s="23" t="s">
        <v>1044</v>
      </c>
      <c r="E93" s="14">
        <v>110397015</v>
      </c>
      <c r="F93" s="14">
        <v>1</v>
      </c>
      <c r="G93" s="14">
        <v>111002174</v>
      </c>
      <c r="H93" s="14">
        <v>27</v>
      </c>
      <c r="I93" s="14">
        <v>108010506</v>
      </c>
      <c r="J93" s="14">
        <v>5</v>
      </c>
      <c r="K93" s="14">
        <v>46</v>
      </c>
      <c r="L93" s="14">
        <v>5083407633</v>
      </c>
      <c r="M93" s="25" t="str">
        <f>_xlfn.IFNA(VLOOKUP(DataTT_ps[[#This Row],[TCPH]],Ref!F:H,3,0),"")</f>
        <v>Others</v>
      </c>
      <c r="N93" s="15"/>
      <c r="O93"/>
      <c r="P93"/>
      <c r="Q93"/>
      <c r="R93"/>
    </row>
    <row r="94" spans="1:18" hidden="1" x14ac:dyDescent="0.3">
      <c r="A94" t="s">
        <v>217</v>
      </c>
      <c r="B94" t="s">
        <v>111</v>
      </c>
      <c r="C94" t="s">
        <v>1318</v>
      </c>
      <c r="D94" s="23" t="s">
        <v>1044</v>
      </c>
      <c r="E94" s="14">
        <v>105447914</v>
      </c>
      <c r="F94" s="14">
        <v>10</v>
      </c>
      <c r="G94" s="14">
        <v>105508978</v>
      </c>
      <c r="H94" s="14">
        <v>5</v>
      </c>
      <c r="I94" s="14">
        <v>105220546</v>
      </c>
      <c r="J94" s="14">
        <v>1</v>
      </c>
      <c r="K94" s="14">
        <v>113</v>
      </c>
      <c r="L94" s="14">
        <v>11915692234</v>
      </c>
      <c r="M94" s="25" t="str">
        <f>_xlfn.IFNA(VLOOKUP(DataTT_ps[[#This Row],[TCPH]],Ref!F:H,3,0),"")</f>
        <v>Others</v>
      </c>
      <c r="N94" s="15"/>
      <c r="O94"/>
      <c r="P94"/>
      <c r="Q94"/>
      <c r="R94"/>
    </row>
    <row r="95" spans="1:18" hidden="1" x14ac:dyDescent="0.3">
      <c r="A95" t="s">
        <v>964</v>
      </c>
      <c r="B95" t="s">
        <v>80</v>
      </c>
      <c r="C95" t="s">
        <v>1485</v>
      </c>
      <c r="D95" s="23" t="s">
        <v>1045</v>
      </c>
      <c r="E95" s="14">
        <v>105000000</v>
      </c>
      <c r="F95" s="14">
        <v>1</v>
      </c>
      <c r="G95" s="14">
        <v>108558817</v>
      </c>
      <c r="H95" s="14">
        <v>2</v>
      </c>
      <c r="I95" s="14">
        <v>101208218</v>
      </c>
      <c r="J95" s="14">
        <v>18</v>
      </c>
      <c r="K95" s="14">
        <v>182</v>
      </c>
      <c r="L95" s="14">
        <v>19121913245</v>
      </c>
      <c r="M95" s="25" t="str">
        <f>_xlfn.IFNA(VLOOKUP(DataTT_ps[[#This Row],[TCPH]],Ref!F:H,3,0),"")</f>
        <v>Others</v>
      </c>
      <c r="N95" s="15"/>
      <c r="O95"/>
      <c r="P95"/>
      <c r="Q95"/>
      <c r="R95"/>
    </row>
    <row r="96" spans="1:18" hidden="1" x14ac:dyDescent="0.3">
      <c r="A96" t="s">
        <v>128</v>
      </c>
      <c r="B96" t="s">
        <v>80</v>
      </c>
      <c r="C96" t="s">
        <v>1589</v>
      </c>
      <c r="D96" s="23" t="s">
        <v>1042</v>
      </c>
      <c r="E96" s="14">
        <v>107232876</v>
      </c>
      <c r="F96" s="14">
        <v>1</v>
      </c>
      <c r="G96" s="14">
        <v>107280975</v>
      </c>
      <c r="H96" s="14">
        <v>3</v>
      </c>
      <c r="I96" s="14">
        <v>106291223</v>
      </c>
      <c r="J96" s="14">
        <v>5</v>
      </c>
      <c r="K96" s="14">
        <v>9</v>
      </c>
      <c r="L96" s="14">
        <v>960531916</v>
      </c>
      <c r="M96" s="25" t="str">
        <f>_xlfn.IFNA(VLOOKUP(DataTT_ps[[#This Row],[TCPH]],Ref!F:H,3,0),"")</f>
        <v>Others</v>
      </c>
      <c r="N96" s="15"/>
      <c r="O96"/>
      <c r="P96"/>
      <c r="Q96"/>
      <c r="R96"/>
    </row>
    <row r="97" spans="1:18" hidden="1" x14ac:dyDescent="0.3">
      <c r="A97" t="s">
        <v>128</v>
      </c>
      <c r="B97" t="s">
        <v>80</v>
      </c>
      <c r="C97" t="s">
        <v>1576</v>
      </c>
      <c r="D97" s="23" t="s">
        <v>1042</v>
      </c>
      <c r="E97" s="14">
        <v>106890411</v>
      </c>
      <c r="F97" s="14">
        <v>8</v>
      </c>
      <c r="G97" s="14">
        <v>106904110</v>
      </c>
      <c r="H97" s="14">
        <v>1504</v>
      </c>
      <c r="I97" s="14">
        <v>106890411</v>
      </c>
      <c r="J97" s="14">
        <v>1737</v>
      </c>
      <c r="K97" s="14">
        <v>4321</v>
      </c>
      <c r="L97" s="14">
        <v>461901466147</v>
      </c>
      <c r="M97" s="25" t="str">
        <f>_xlfn.IFNA(VLOOKUP(DataTT_ps[[#This Row],[TCPH]],Ref!F:H,3,0),"")</f>
        <v>Others</v>
      </c>
      <c r="N97" s="15"/>
      <c r="O97"/>
      <c r="P97"/>
      <c r="Q97"/>
      <c r="R97"/>
    </row>
    <row r="98" spans="1:18" hidden="1" x14ac:dyDescent="0.3">
      <c r="A98" t="s">
        <v>128</v>
      </c>
      <c r="B98" t="s">
        <v>80</v>
      </c>
      <c r="C98" t="s">
        <v>1630</v>
      </c>
      <c r="D98" s="23" t="s">
        <v>1042</v>
      </c>
      <c r="E98" s="14">
        <v>106924658</v>
      </c>
      <c r="F98" s="14">
        <v>1</v>
      </c>
      <c r="G98" s="14">
        <v>106924658</v>
      </c>
      <c r="H98" s="14">
        <v>1</v>
      </c>
      <c r="I98" s="14">
        <v>106543128</v>
      </c>
      <c r="J98" s="14">
        <v>4</v>
      </c>
      <c r="K98" s="14">
        <v>5</v>
      </c>
      <c r="L98" s="14">
        <v>533097170</v>
      </c>
      <c r="M98" s="25" t="str">
        <f>_xlfn.IFNA(VLOOKUP(DataTT_ps[[#This Row],[TCPH]],Ref!F:H,3,0),"")</f>
        <v>Others</v>
      </c>
      <c r="N98" s="15"/>
      <c r="O98"/>
      <c r="P98"/>
      <c r="Q98"/>
      <c r="R98"/>
    </row>
    <row r="99" spans="1:18" hidden="1" x14ac:dyDescent="0.3">
      <c r="A99" t="s">
        <v>958</v>
      </c>
      <c r="B99" t="s">
        <v>80</v>
      </c>
      <c r="C99" t="s">
        <v>1631</v>
      </c>
      <c r="D99" s="23" t="s">
        <v>1069</v>
      </c>
      <c r="E99" s="14">
        <v>110576633</v>
      </c>
      <c r="F99" s="14">
        <v>25</v>
      </c>
      <c r="G99" s="14">
        <v>110576633</v>
      </c>
      <c r="H99" s="14">
        <v>25</v>
      </c>
      <c r="I99" s="14">
        <v>110497571</v>
      </c>
      <c r="J99" s="14">
        <v>4</v>
      </c>
      <c r="K99" s="14">
        <v>29</v>
      </c>
      <c r="L99" s="14">
        <v>3206406109</v>
      </c>
      <c r="M99" s="25" t="str">
        <f>_xlfn.IFNA(VLOOKUP(DataTT_ps[[#This Row],[TCPH]],Ref!F:H,3,0),"")</f>
        <v>Others</v>
      </c>
      <c r="N99" s="15"/>
      <c r="O99"/>
      <c r="P99"/>
      <c r="Q99"/>
      <c r="R99"/>
    </row>
    <row r="100" spans="1:18" hidden="1" x14ac:dyDescent="0.3">
      <c r="A100" t="s">
        <v>958</v>
      </c>
      <c r="B100" t="s">
        <v>80</v>
      </c>
      <c r="C100" t="s">
        <v>1590</v>
      </c>
      <c r="D100" s="23" t="s">
        <v>1046</v>
      </c>
      <c r="E100" s="14">
        <v>108796712</v>
      </c>
      <c r="F100" s="14">
        <v>12</v>
      </c>
      <c r="G100" s="14">
        <v>108796712</v>
      </c>
      <c r="H100" s="14">
        <v>12</v>
      </c>
      <c r="I100" s="14">
        <v>108796712</v>
      </c>
      <c r="J100" s="14">
        <v>12</v>
      </c>
      <c r="K100" s="14">
        <v>12</v>
      </c>
      <c r="L100" s="14">
        <v>1305560544</v>
      </c>
      <c r="M100" s="25" t="str">
        <f>_xlfn.IFNA(VLOOKUP(DataTT_ps[[#This Row],[TCPH]],Ref!F:H,3,0),"")</f>
        <v>Others</v>
      </c>
      <c r="N100" s="15"/>
      <c r="O100"/>
      <c r="P100"/>
      <c r="Q100"/>
      <c r="R100"/>
    </row>
    <row r="101" spans="1:18" hidden="1" x14ac:dyDescent="0.3">
      <c r="A101" t="s">
        <v>958</v>
      </c>
      <c r="B101" t="s">
        <v>80</v>
      </c>
      <c r="C101" t="s">
        <v>1632</v>
      </c>
      <c r="D101" s="23" t="s">
        <v>1046</v>
      </c>
      <c r="E101" s="14">
        <v>108998356</v>
      </c>
      <c r="F101" s="14">
        <v>15</v>
      </c>
      <c r="G101" s="14">
        <v>109225205</v>
      </c>
      <c r="H101" s="14">
        <v>8</v>
      </c>
      <c r="I101" s="14">
        <v>108998356</v>
      </c>
      <c r="J101" s="14">
        <v>15</v>
      </c>
      <c r="K101" s="14">
        <v>169</v>
      </c>
      <c r="L101" s="14">
        <v>18438668476</v>
      </c>
      <c r="M101" s="25" t="str">
        <f>_xlfn.IFNA(VLOOKUP(DataTT_ps[[#This Row],[TCPH]],Ref!F:H,3,0),"")</f>
        <v>Others</v>
      </c>
      <c r="N101" s="15"/>
      <c r="O101"/>
      <c r="P101"/>
      <c r="Q101"/>
      <c r="R101"/>
    </row>
    <row r="102" spans="1:18" hidden="1" x14ac:dyDescent="0.3">
      <c r="A102" t="s">
        <v>958</v>
      </c>
      <c r="B102" t="s">
        <v>80</v>
      </c>
      <c r="C102" t="s">
        <v>1633</v>
      </c>
      <c r="D102" s="23" t="s">
        <v>1305</v>
      </c>
      <c r="E102" s="14">
        <v>108166575</v>
      </c>
      <c r="F102" s="14">
        <v>10</v>
      </c>
      <c r="G102" s="14">
        <v>108166575</v>
      </c>
      <c r="H102" s="14">
        <v>10</v>
      </c>
      <c r="I102" s="14">
        <v>108166575</v>
      </c>
      <c r="J102" s="14">
        <v>10</v>
      </c>
      <c r="K102" s="14">
        <v>10</v>
      </c>
      <c r="L102" s="14">
        <v>1081665750</v>
      </c>
      <c r="M102" s="25" t="str">
        <f>_xlfn.IFNA(VLOOKUP(DataTT_ps[[#This Row],[TCPH]],Ref!F:H,3,0),"")</f>
        <v>Others</v>
      </c>
      <c r="N102" s="15"/>
      <c r="O102"/>
      <c r="P102"/>
      <c r="Q102"/>
      <c r="R102"/>
    </row>
    <row r="103" spans="1:18" hidden="1" x14ac:dyDescent="0.3">
      <c r="A103" t="s">
        <v>153</v>
      </c>
      <c r="B103" t="s">
        <v>78</v>
      </c>
      <c r="C103" t="s">
        <v>1665</v>
      </c>
      <c r="D103" s="23" t="s">
        <v>1305</v>
      </c>
      <c r="E103" s="14">
        <v>1002971781</v>
      </c>
      <c r="F103" s="14">
        <v>500</v>
      </c>
      <c r="G103" s="14">
        <v>1002971781</v>
      </c>
      <c r="H103" s="14">
        <v>500</v>
      </c>
      <c r="I103" s="14">
        <v>1002971781</v>
      </c>
      <c r="J103" s="14">
        <v>500</v>
      </c>
      <c r="K103" s="14">
        <v>500</v>
      </c>
      <c r="L103" s="14">
        <v>501485890500</v>
      </c>
      <c r="M103" s="25" t="str">
        <f>_xlfn.IFNA(VLOOKUP(DataTT_ps[[#This Row],[TCPH]],Ref!F:H,3,0),"")</f>
        <v>FI BOND</v>
      </c>
      <c r="N103" s="15"/>
      <c r="O103"/>
      <c r="P103"/>
      <c r="Q103"/>
      <c r="R103"/>
    </row>
    <row r="104" spans="1:18" hidden="1" x14ac:dyDescent="0.3">
      <c r="A104" t="s">
        <v>129</v>
      </c>
      <c r="B104" t="s">
        <v>80</v>
      </c>
      <c r="C104" t="s">
        <v>1666</v>
      </c>
      <c r="D104" s="23" t="s">
        <v>1045</v>
      </c>
      <c r="E104" s="14">
        <v>15366383</v>
      </c>
      <c r="F104" s="14">
        <v>15</v>
      </c>
      <c r="G104" s="14">
        <v>15366383</v>
      </c>
      <c r="H104" s="14">
        <v>15</v>
      </c>
      <c r="I104" s="14">
        <v>15366383</v>
      </c>
      <c r="J104" s="14">
        <v>15</v>
      </c>
      <c r="K104" s="14">
        <v>15</v>
      </c>
      <c r="L104" s="14">
        <v>230495745</v>
      </c>
      <c r="M104" s="25" t="str">
        <f>_xlfn.IFNA(VLOOKUP(DataTT_ps[[#This Row],[TCPH]],Ref!F:H,3,0),"")</f>
        <v>Others</v>
      </c>
      <c r="N104" s="15"/>
      <c r="O104"/>
      <c r="P104"/>
      <c r="Q104"/>
      <c r="R104"/>
    </row>
    <row r="105" spans="1:18" hidden="1" x14ac:dyDescent="0.3">
      <c r="A105" t="s">
        <v>129</v>
      </c>
      <c r="B105" t="s">
        <v>80</v>
      </c>
      <c r="C105" t="s">
        <v>1616</v>
      </c>
      <c r="D105" s="23" t="s">
        <v>1045</v>
      </c>
      <c r="E105" s="14">
        <v>15420939</v>
      </c>
      <c r="F105" s="14">
        <v>12</v>
      </c>
      <c r="G105" s="14">
        <v>15420939</v>
      </c>
      <c r="H105" s="14">
        <v>12</v>
      </c>
      <c r="I105" s="14">
        <v>15420939</v>
      </c>
      <c r="J105" s="14">
        <v>12</v>
      </c>
      <c r="K105" s="14">
        <v>12</v>
      </c>
      <c r="L105" s="14">
        <v>185051268</v>
      </c>
      <c r="M105" s="25" t="str">
        <f>_xlfn.IFNA(VLOOKUP(DataTT_ps[[#This Row],[TCPH]],Ref!F:H,3,0),"")</f>
        <v>Others</v>
      </c>
      <c r="N105" s="15"/>
      <c r="O105"/>
      <c r="P105"/>
      <c r="Q105"/>
      <c r="R105"/>
    </row>
    <row r="106" spans="1:18" hidden="1" x14ac:dyDescent="0.3">
      <c r="A106" t="s">
        <v>129</v>
      </c>
      <c r="B106" t="s">
        <v>80</v>
      </c>
      <c r="C106" t="s">
        <v>1606</v>
      </c>
      <c r="D106" s="23" t="s">
        <v>1045</v>
      </c>
      <c r="E106" s="14">
        <v>14972603</v>
      </c>
      <c r="F106" s="14">
        <v>67</v>
      </c>
      <c r="G106" s="14">
        <v>15049315</v>
      </c>
      <c r="H106" s="14">
        <v>110</v>
      </c>
      <c r="I106" s="14">
        <v>14972603</v>
      </c>
      <c r="J106" s="14">
        <v>67</v>
      </c>
      <c r="K106" s="14">
        <v>542</v>
      </c>
      <c r="L106" s="14">
        <v>8144523215</v>
      </c>
      <c r="M106" s="25" t="str">
        <f>_xlfn.IFNA(VLOOKUP(DataTT_ps[[#This Row],[TCPH]],Ref!F:H,3,0),"")</f>
        <v>Others</v>
      </c>
      <c r="N106" s="15"/>
      <c r="O106"/>
      <c r="P106"/>
      <c r="Q106"/>
      <c r="R106"/>
    </row>
    <row r="107" spans="1:18" hidden="1" x14ac:dyDescent="0.3">
      <c r="A107" t="s">
        <v>129</v>
      </c>
      <c r="B107" t="s">
        <v>80</v>
      </c>
      <c r="C107" t="s">
        <v>1667</v>
      </c>
      <c r="D107" s="23" t="s">
        <v>1045</v>
      </c>
      <c r="E107" s="14">
        <v>14980822</v>
      </c>
      <c r="F107" s="14">
        <v>116</v>
      </c>
      <c r="G107" s="14">
        <v>15030137</v>
      </c>
      <c r="H107" s="14">
        <v>68</v>
      </c>
      <c r="I107" s="14">
        <v>14980822</v>
      </c>
      <c r="J107" s="14">
        <v>116</v>
      </c>
      <c r="K107" s="14">
        <v>184</v>
      </c>
      <c r="L107" s="14">
        <v>2759824668</v>
      </c>
      <c r="M107" s="25" t="str">
        <f>_xlfn.IFNA(VLOOKUP(DataTT_ps[[#This Row],[TCPH]],Ref!F:H,3,0),"")</f>
        <v>Others</v>
      </c>
      <c r="N107" s="15"/>
      <c r="O107"/>
      <c r="P107"/>
      <c r="Q107"/>
      <c r="R107"/>
    </row>
    <row r="108" spans="1:18" hidden="1" x14ac:dyDescent="0.3">
      <c r="A108" t="s">
        <v>129</v>
      </c>
      <c r="B108" t="s">
        <v>80</v>
      </c>
      <c r="C108" t="s">
        <v>1510</v>
      </c>
      <c r="D108" s="23" t="s">
        <v>1045</v>
      </c>
      <c r="E108" s="14">
        <v>15024658</v>
      </c>
      <c r="F108" s="14">
        <v>4500</v>
      </c>
      <c r="G108" s="14">
        <v>15316218</v>
      </c>
      <c r="H108" s="14">
        <v>143</v>
      </c>
      <c r="I108" s="14">
        <v>14980822</v>
      </c>
      <c r="J108" s="14">
        <v>192</v>
      </c>
      <c r="K108" s="14">
        <v>4867</v>
      </c>
      <c r="L108" s="14">
        <v>73167521230</v>
      </c>
      <c r="M108" s="25" t="str">
        <f>_xlfn.IFNA(VLOOKUP(DataTT_ps[[#This Row],[TCPH]],Ref!F:H,3,0),"")</f>
        <v>Others</v>
      </c>
      <c r="N108" s="15"/>
      <c r="O108"/>
      <c r="P108"/>
      <c r="Q108"/>
      <c r="R108"/>
    </row>
    <row r="109" spans="1:18" hidden="1" x14ac:dyDescent="0.3">
      <c r="A109" t="s">
        <v>129</v>
      </c>
      <c r="B109" t="s">
        <v>80</v>
      </c>
      <c r="C109" t="s">
        <v>1492</v>
      </c>
      <c r="D109" s="23" t="s">
        <v>1045</v>
      </c>
      <c r="E109" s="14">
        <v>14945205</v>
      </c>
      <c r="F109" s="14">
        <v>19</v>
      </c>
      <c r="G109" s="14">
        <v>15368589</v>
      </c>
      <c r="H109" s="14">
        <v>84</v>
      </c>
      <c r="I109" s="14">
        <v>14945205</v>
      </c>
      <c r="J109" s="14">
        <v>19</v>
      </c>
      <c r="K109" s="14">
        <v>113</v>
      </c>
      <c r="L109" s="14">
        <v>1726465171</v>
      </c>
      <c r="M109" s="25" t="str">
        <f>_xlfn.IFNA(VLOOKUP(DataTT_ps[[#This Row],[TCPH]],Ref!F:H,3,0),"")</f>
        <v>Others</v>
      </c>
      <c r="N109" s="15"/>
      <c r="O109"/>
      <c r="P109"/>
      <c r="Q109"/>
      <c r="R109"/>
    </row>
    <row r="110" spans="1:18" hidden="1" x14ac:dyDescent="0.3">
      <c r="A110" t="s">
        <v>129</v>
      </c>
      <c r="B110" t="s">
        <v>80</v>
      </c>
      <c r="C110" t="s">
        <v>1453</v>
      </c>
      <c r="D110" s="23" t="s">
        <v>1045</v>
      </c>
      <c r="E110" s="14">
        <v>14904110</v>
      </c>
      <c r="F110" s="14">
        <v>85</v>
      </c>
      <c r="G110" s="14">
        <v>14947945</v>
      </c>
      <c r="H110" s="14">
        <v>2500</v>
      </c>
      <c r="I110" s="14">
        <v>14898630</v>
      </c>
      <c r="J110" s="14">
        <v>68</v>
      </c>
      <c r="K110" s="14">
        <v>3822</v>
      </c>
      <c r="L110" s="14">
        <v>57073276558</v>
      </c>
      <c r="M110" s="25" t="str">
        <f>_xlfn.IFNA(VLOOKUP(DataTT_ps[[#This Row],[TCPH]],Ref!F:H,3,0),"")</f>
        <v>Others</v>
      </c>
      <c r="N110" s="15"/>
      <c r="O110"/>
      <c r="P110"/>
      <c r="Q110"/>
      <c r="R110"/>
    </row>
    <row r="111" spans="1:18" hidden="1" x14ac:dyDescent="0.3">
      <c r="A111" t="s">
        <v>129</v>
      </c>
      <c r="B111" t="s">
        <v>80</v>
      </c>
      <c r="C111" t="s">
        <v>1532</v>
      </c>
      <c r="D111" s="23" t="s">
        <v>1045</v>
      </c>
      <c r="E111" s="14">
        <v>15181577</v>
      </c>
      <c r="F111" s="14">
        <v>25</v>
      </c>
      <c r="G111" s="14">
        <v>15181577</v>
      </c>
      <c r="H111" s="14">
        <v>536</v>
      </c>
      <c r="I111" s="14">
        <v>14854795</v>
      </c>
      <c r="J111" s="14">
        <v>68</v>
      </c>
      <c r="K111" s="14">
        <v>744</v>
      </c>
      <c r="L111" s="14">
        <v>11257337012</v>
      </c>
      <c r="M111" s="25" t="str">
        <f>_xlfn.IFNA(VLOOKUP(DataTT_ps[[#This Row],[TCPH]],Ref!F:H,3,0),"")</f>
        <v>Others</v>
      </c>
      <c r="N111" s="15"/>
      <c r="O111"/>
      <c r="P111"/>
      <c r="Q111"/>
      <c r="R111"/>
    </row>
    <row r="112" spans="1:18" hidden="1" x14ac:dyDescent="0.3">
      <c r="A112" t="s">
        <v>129</v>
      </c>
      <c r="B112" t="s">
        <v>80</v>
      </c>
      <c r="C112" t="s">
        <v>1599</v>
      </c>
      <c r="D112" s="23" t="s">
        <v>1045</v>
      </c>
      <c r="E112" s="14">
        <v>14564384</v>
      </c>
      <c r="F112" s="14">
        <v>38</v>
      </c>
      <c r="G112" s="14">
        <v>14825415</v>
      </c>
      <c r="H112" s="14">
        <v>13</v>
      </c>
      <c r="I112" s="14">
        <v>14564384</v>
      </c>
      <c r="J112" s="14">
        <v>38</v>
      </c>
      <c r="K112" s="14">
        <v>285</v>
      </c>
      <c r="L112" s="14">
        <v>4213678843</v>
      </c>
      <c r="M112" s="25" t="str">
        <f>_xlfn.IFNA(VLOOKUP(DataTT_ps[[#This Row],[TCPH]],Ref!F:H,3,0),"")</f>
        <v>Others</v>
      </c>
      <c r="N112" s="15"/>
      <c r="O112"/>
      <c r="P112"/>
      <c r="Q112"/>
      <c r="R112"/>
    </row>
    <row r="113" spans="1:18" hidden="1" x14ac:dyDescent="0.3">
      <c r="A113" t="s">
        <v>130</v>
      </c>
      <c r="B113" t="s">
        <v>80</v>
      </c>
      <c r="C113" t="s">
        <v>1460</v>
      </c>
      <c r="D113" s="23" t="s">
        <v>1048</v>
      </c>
      <c r="E113" s="14">
        <v>102462573</v>
      </c>
      <c r="F113" s="14">
        <v>5</v>
      </c>
      <c r="G113" s="14">
        <v>102462573</v>
      </c>
      <c r="H113" s="14">
        <v>5</v>
      </c>
      <c r="I113" s="14">
        <v>102462573</v>
      </c>
      <c r="J113" s="14">
        <v>5</v>
      </c>
      <c r="K113" s="14">
        <v>5</v>
      </c>
      <c r="L113" s="14">
        <v>512312865</v>
      </c>
      <c r="M113" s="25" t="str">
        <f>_xlfn.IFNA(VLOOKUP(DataTT_ps[[#This Row],[TCPH]],Ref!F:H,3,0),"")</f>
        <v>Others</v>
      </c>
      <c r="N113" s="15"/>
      <c r="O113"/>
      <c r="P113"/>
      <c r="Q113"/>
      <c r="R113"/>
    </row>
    <row r="114" spans="1:18" hidden="1" x14ac:dyDescent="0.3">
      <c r="A114" t="s">
        <v>130</v>
      </c>
      <c r="B114" t="s">
        <v>80</v>
      </c>
      <c r="C114" t="s">
        <v>1527</v>
      </c>
      <c r="D114" s="23" t="s">
        <v>1043</v>
      </c>
      <c r="E114" s="14">
        <v>105045493</v>
      </c>
      <c r="F114" s="14">
        <v>8</v>
      </c>
      <c r="G114" s="14">
        <v>105272651</v>
      </c>
      <c r="H114" s="14">
        <v>3</v>
      </c>
      <c r="I114" s="14">
        <v>105045493</v>
      </c>
      <c r="J114" s="14">
        <v>16</v>
      </c>
      <c r="K114" s="14">
        <v>19</v>
      </c>
      <c r="L114" s="14">
        <v>1996545841</v>
      </c>
      <c r="M114" s="25" t="str">
        <f>_xlfn.IFNA(VLOOKUP(DataTT_ps[[#This Row],[TCPH]],Ref!F:H,3,0),"")</f>
        <v>Others</v>
      </c>
      <c r="N114" s="15"/>
      <c r="P114"/>
      <c r="Q114"/>
      <c r="R114"/>
    </row>
    <row r="115" spans="1:18" hidden="1" x14ac:dyDescent="0.3">
      <c r="A115" t="s">
        <v>130</v>
      </c>
      <c r="B115" t="s">
        <v>80</v>
      </c>
      <c r="C115" t="s">
        <v>1607</v>
      </c>
      <c r="D115" s="23" t="s">
        <v>1043</v>
      </c>
      <c r="E115" s="14">
        <v>99948511</v>
      </c>
      <c r="F115" s="14">
        <v>4</v>
      </c>
      <c r="G115" s="14">
        <v>107704613</v>
      </c>
      <c r="H115" s="14">
        <v>10</v>
      </c>
      <c r="I115" s="14">
        <v>99948511</v>
      </c>
      <c r="J115" s="14">
        <v>7</v>
      </c>
      <c r="K115" s="14">
        <v>29</v>
      </c>
      <c r="L115" s="14">
        <v>2980602230</v>
      </c>
      <c r="M115" s="25" t="str">
        <f>_xlfn.IFNA(VLOOKUP(DataTT_ps[[#This Row],[TCPH]],Ref!F:H,3,0),"")</f>
        <v>Others</v>
      </c>
      <c r="N115" s="15"/>
      <c r="P115"/>
      <c r="Q115"/>
      <c r="R115"/>
    </row>
    <row r="116" spans="1:18" hidden="1" x14ac:dyDescent="0.3">
      <c r="A116" t="s">
        <v>130</v>
      </c>
      <c r="B116" t="s">
        <v>80</v>
      </c>
      <c r="C116" t="s">
        <v>1490</v>
      </c>
      <c r="D116" s="23" t="s">
        <v>1043</v>
      </c>
      <c r="E116" s="14">
        <v>101132717</v>
      </c>
      <c r="F116" s="14">
        <v>1</v>
      </c>
      <c r="G116" s="14">
        <v>102136095</v>
      </c>
      <c r="H116" s="14">
        <v>9</v>
      </c>
      <c r="I116" s="14">
        <v>101132717</v>
      </c>
      <c r="J116" s="14">
        <v>26</v>
      </c>
      <c r="K116" s="14">
        <v>51</v>
      </c>
      <c r="L116" s="14">
        <v>5175226657</v>
      </c>
      <c r="M116" s="25" t="str">
        <f>_xlfn.IFNA(VLOOKUP(DataTT_ps[[#This Row],[TCPH]],Ref!F:H,3,0),"")</f>
        <v>Others</v>
      </c>
      <c r="N116" s="15"/>
      <c r="P116"/>
      <c r="Q116"/>
      <c r="R116"/>
    </row>
    <row r="117" spans="1:18" hidden="1" x14ac:dyDescent="0.3">
      <c r="A117" t="s">
        <v>130</v>
      </c>
      <c r="B117" t="s">
        <v>80</v>
      </c>
      <c r="C117" t="s">
        <v>1319</v>
      </c>
      <c r="D117" s="23" t="s">
        <v>1043</v>
      </c>
      <c r="E117" s="14">
        <v>104369732</v>
      </c>
      <c r="F117" s="14">
        <v>2</v>
      </c>
      <c r="G117" s="14">
        <v>104369732</v>
      </c>
      <c r="H117" s="14">
        <v>4</v>
      </c>
      <c r="I117" s="14">
        <v>101829914</v>
      </c>
      <c r="J117" s="14">
        <v>2</v>
      </c>
      <c r="K117" s="14">
        <v>18</v>
      </c>
      <c r="L117" s="14">
        <v>1868230860</v>
      </c>
      <c r="M117" s="25" t="str">
        <f>_xlfn.IFNA(VLOOKUP(DataTT_ps[[#This Row],[TCPH]],Ref!F:H,3,0),"")</f>
        <v>Others</v>
      </c>
      <c r="N117" s="15"/>
      <c r="P117"/>
      <c r="Q117"/>
      <c r="R117"/>
    </row>
    <row r="118" spans="1:18" hidden="1" x14ac:dyDescent="0.3">
      <c r="A118" t="s">
        <v>130</v>
      </c>
      <c r="B118" t="s">
        <v>80</v>
      </c>
      <c r="C118" t="s">
        <v>1302</v>
      </c>
      <c r="D118" s="23" t="s">
        <v>1045</v>
      </c>
      <c r="E118" s="14">
        <v>106347369</v>
      </c>
      <c r="F118" s="14">
        <v>10</v>
      </c>
      <c r="G118" s="14">
        <v>106466779</v>
      </c>
      <c r="H118" s="14">
        <v>14</v>
      </c>
      <c r="I118" s="14">
        <v>97815466</v>
      </c>
      <c r="J118" s="14">
        <v>5</v>
      </c>
      <c r="K118" s="14">
        <v>222</v>
      </c>
      <c r="L118" s="14">
        <v>22430198867</v>
      </c>
      <c r="M118" s="25" t="str">
        <f>_xlfn.IFNA(VLOOKUP(DataTT_ps[[#This Row],[TCPH]],Ref!F:H,3,0),"")</f>
        <v>Others</v>
      </c>
      <c r="N118" s="15"/>
      <c r="P118"/>
      <c r="Q118"/>
      <c r="R118"/>
    </row>
    <row r="119" spans="1:18" hidden="1" x14ac:dyDescent="0.3">
      <c r="A119" t="s">
        <v>130</v>
      </c>
      <c r="B119" t="s">
        <v>80</v>
      </c>
      <c r="C119" t="s">
        <v>1456</v>
      </c>
      <c r="D119" s="23" t="s">
        <v>1045</v>
      </c>
      <c r="E119" s="14">
        <v>101612329</v>
      </c>
      <c r="F119" s="14">
        <v>4</v>
      </c>
      <c r="G119" s="14">
        <v>104877537</v>
      </c>
      <c r="H119" s="14">
        <v>4</v>
      </c>
      <c r="I119" s="14">
        <v>98193648</v>
      </c>
      <c r="J119" s="14">
        <v>3</v>
      </c>
      <c r="K119" s="14">
        <v>377</v>
      </c>
      <c r="L119" s="14">
        <v>38200313590</v>
      </c>
      <c r="M119" s="25" t="str">
        <f>_xlfn.IFNA(VLOOKUP(DataTT_ps[[#This Row],[TCPH]],Ref!F:H,3,0),"")</f>
        <v>Others</v>
      </c>
      <c r="N119" s="15"/>
      <c r="P119"/>
      <c r="Q119"/>
      <c r="R119"/>
    </row>
    <row r="120" spans="1:18" hidden="1" x14ac:dyDescent="0.3">
      <c r="A120" t="s">
        <v>130</v>
      </c>
      <c r="B120" t="s">
        <v>80</v>
      </c>
      <c r="C120" t="s">
        <v>1493</v>
      </c>
      <c r="D120" s="23" t="s">
        <v>1045</v>
      </c>
      <c r="E120" s="14">
        <v>106302813</v>
      </c>
      <c r="F120" s="14">
        <v>2</v>
      </c>
      <c r="G120" s="14">
        <v>108460051</v>
      </c>
      <c r="H120" s="14">
        <v>8</v>
      </c>
      <c r="I120" s="14">
        <v>99682458</v>
      </c>
      <c r="J120" s="14">
        <v>18</v>
      </c>
      <c r="K120" s="14">
        <v>311</v>
      </c>
      <c r="L120" s="14">
        <v>32014646095</v>
      </c>
      <c r="M120" s="25" t="str">
        <f>_xlfn.IFNA(VLOOKUP(DataTT_ps[[#This Row],[TCPH]],Ref!F:H,3,0),"")</f>
        <v>Others</v>
      </c>
      <c r="N120" s="15"/>
      <c r="P120"/>
      <c r="Q120"/>
      <c r="R120"/>
    </row>
    <row r="121" spans="1:18" hidden="1" x14ac:dyDescent="0.3">
      <c r="A121" t="s">
        <v>130</v>
      </c>
      <c r="B121" t="s">
        <v>80</v>
      </c>
      <c r="C121" t="s">
        <v>1503</v>
      </c>
      <c r="D121" s="23" t="s">
        <v>1045</v>
      </c>
      <c r="E121" s="14">
        <v>101182999</v>
      </c>
      <c r="F121" s="14">
        <v>166</v>
      </c>
      <c r="G121" s="14">
        <v>105114675</v>
      </c>
      <c r="H121" s="14">
        <v>20</v>
      </c>
      <c r="I121" s="14">
        <v>101182999</v>
      </c>
      <c r="J121" s="14">
        <v>325</v>
      </c>
      <c r="K121" s="14">
        <v>367</v>
      </c>
      <c r="L121" s="14">
        <v>37287591021</v>
      </c>
      <c r="M121" s="25" t="str">
        <f>_xlfn.IFNA(VLOOKUP(DataTT_ps[[#This Row],[TCPH]],Ref!F:H,3,0),"")</f>
        <v>Others</v>
      </c>
      <c r="N121" s="15"/>
      <c r="P121"/>
      <c r="Q121"/>
      <c r="R121"/>
    </row>
    <row r="122" spans="1:18" hidden="1" x14ac:dyDescent="0.3">
      <c r="A122" t="s">
        <v>130</v>
      </c>
      <c r="B122" t="s">
        <v>80</v>
      </c>
      <c r="C122" t="s">
        <v>1320</v>
      </c>
      <c r="D122" s="23" t="s">
        <v>1042</v>
      </c>
      <c r="E122" s="14">
        <v>102617099</v>
      </c>
      <c r="F122" s="14">
        <v>3</v>
      </c>
      <c r="G122" s="14">
        <v>104351518</v>
      </c>
      <c r="H122" s="14">
        <v>12</v>
      </c>
      <c r="I122" s="14">
        <v>100100000</v>
      </c>
      <c r="J122" s="14">
        <v>35</v>
      </c>
      <c r="K122" s="14">
        <v>256</v>
      </c>
      <c r="L122" s="14">
        <v>26046875194</v>
      </c>
      <c r="M122" s="25" t="str">
        <f>_xlfn.IFNA(VLOOKUP(DataTT_ps[[#This Row],[TCPH]],Ref!F:H,3,0),"")</f>
        <v>Others</v>
      </c>
      <c r="N122" s="15"/>
      <c r="P122"/>
      <c r="Q122"/>
      <c r="R122"/>
    </row>
    <row r="123" spans="1:18" hidden="1" x14ac:dyDescent="0.3">
      <c r="A123" t="s">
        <v>130</v>
      </c>
      <c r="B123" t="s">
        <v>80</v>
      </c>
      <c r="C123" t="s">
        <v>1478</v>
      </c>
      <c r="D123" s="23" t="s">
        <v>1042</v>
      </c>
      <c r="E123" s="14">
        <v>103833800</v>
      </c>
      <c r="F123" s="14">
        <v>1</v>
      </c>
      <c r="G123" s="14">
        <v>104449964</v>
      </c>
      <c r="H123" s="14">
        <v>16</v>
      </c>
      <c r="I123" s="14">
        <v>103753800</v>
      </c>
      <c r="J123" s="14">
        <v>19</v>
      </c>
      <c r="K123" s="14">
        <v>202</v>
      </c>
      <c r="L123" s="14">
        <v>21060163286</v>
      </c>
      <c r="M123" s="25" t="str">
        <f>_xlfn.IFNA(VLOOKUP(DataTT_ps[[#This Row],[TCPH]],Ref!F:H,3,0),"")</f>
        <v>Others</v>
      </c>
      <c r="N123" s="15"/>
      <c r="P123"/>
      <c r="Q123"/>
      <c r="R123"/>
    </row>
    <row r="124" spans="1:18" hidden="1" x14ac:dyDescent="0.3">
      <c r="A124" t="s">
        <v>130</v>
      </c>
      <c r="B124" t="s">
        <v>80</v>
      </c>
      <c r="C124" t="s">
        <v>1528</v>
      </c>
      <c r="D124" s="23" t="s">
        <v>1042</v>
      </c>
      <c r="E124" s="14">
        <v>102370602</v>
      </c>
      <c r="F124" s="14">
        <v>87</v>
      </c>
      <c r="G124" s="14">
        <v>102370602</v>
      </c>
      <c r="H124" s="14">
        <v>136</v>
      </c>
      <c r="I124" s="14">
        <v>101713600</v>
      </c>
      <c r="J124" s="14">
        <v>1070</v>
      </c>
      <c r="K124" s="14">
        <v>1206</v>
      </c>
      <c r="L124" s="14">
        <v>122755953872</v>
      </c>
      <c r="M124" s="25" t="str">
        <f>_xlfn.IFNA(VLOOKUP(DataTT_ps[[#This Row],[TCPH]],Ref!F:H,3,0),"")</f>
        <v>Others</v>
      </c>
      <c r="N124" s="15"/>
      <c r="P124"/>
      <c r="Q124"/>
      <c r="R124"/>
    </row>
    <row r="125" spans="1:18" hidden="1" x14ac:dyDescent="0.3">
      <c r="A125" t="s">
        <v>130</v>
      </c>
      <c r="B125" t="s">
        <v>80</v>
      </c>
      <c r="C125" t="s">
        <v>1454</v>
      </c>
      <c r="D125" s="23" t="s">
        <v>1045</v>
      </c>
      <c r="E125" s="14">
        <v>102913044</v>
      </c>
      <c r="F125" s="14">
        <v>70</v>
      </c>
      <c r="G125" s="14">
        <v>103123999</v>
      </c>
      <c r="H125" s="14">
        <v>429</v>
      </c>
      <c r="I125" s="14">
        <v>102350390</v>
      </c>
      <c r="J125" s="14">
        <v>1</v>
      </c>
      <c r="K125" s="14">
        <v>2383</v>
      </c>
      <c r="L125" s="14">
        <v>244689008214</v>
      </c>
      <c r="M125" s="25" t="str">
        <f>_xlfn.IFNA(VLOOKUP(DataTT_ps[[#This Row],[TCPH]],Ref!F:H,3,0),"")</f>
        <v>Others</v>
      </c>
      <c r="Q125"/>
      <c r="R125"/>
    </row>
    <row r="126" spans="1:18" hidden="1" x14ac:dyDescent="0.3">
      <c r="A126" t="s">
        <v>130</v>
      </c>
      <c r="B126" t="s">
        <v>80</v>
      </c>
      <c r="C126" t="s">
        <v>1577</v>
      </c>
      <c r="D126" s="23" t="s">
        <v>1042</v>
      </c>
      <c r="E126" s="14">
        <v>102432239</v>
      </c>
      <c r="F126" s="14">
        <v>3</v>
      </c>
      <c r="G126" s="14">
        <v>103141163</v>
      </c>
      <c r="H126" s="14">
        <v>20</v>
      </c>
      <c r="I126" s="14">
        <v>101952055</v>
      </c>
      <c r="J126" s="14">
        <v>20</v>
      </c>
      <c r="K126" s="14">
        <v>1299</v>
      </c>
      <c r="L126" s="14">
        <v>132546969365</v>
      </c>
      <c r="M126" s="25" t="str">
        <f>_xlfn.IFNA(VLOOKUP(DataTT_ps[[#This Row],[TCPH]],Ref!F:H,3,0),"")</f>
        <v>Others</v>
      </c>
      <c r="Q126"/>
      <c r="R126"/>
    </row>
    <row r="127" spans="1:18" hidden="1" x14ac:dyDescent="0.3">
      <c r="A127" t="s">
        <v>147</v>
      </c>
      <c r="B127" t="s">
        <v>78</v>
      </c>
      <c r="C127" t="s">
        <v>1668</v>
      </c>
      <c r="D127" s="23" t="s">
        <v>1046</v>
      </c>
      <c r="E127" s="14">
        <v>1051813014</v>
      </c>
      <c r="F127" s="14">
        <v>200</v>
      </c>
      <c r="G127" s="14">
        <v>1051813014</v>
      </c>
      <c r="H127" s="14">
        <v>200</v>
      </c>
      <c r="I127" s="14">
        <v>1051813014</v>
      </c>
      <c r="J127" s="14">
        <v>200</v>
      </c>
      <c r="K127" s="14">
        <v>200</v>
      </c>
      <c r="L127" s="14">
        <v>210362602800</v>
      </c>
      <c r="M127" s="25" t="str">
        <f>_xlfn.IFNA(VLOOKUP(DataTT_ps[[#This Row],[TCPH]],Ref!F:H,3,0),"")</f>
        <v>FI BOND</v>
      </c>
      <c r="Q127"/>
      <c r="R127"/>
    </row>
    <row r="128" spans="1:18" hidden="1" x14ac:dyDescent="0.3">
      <c r="A128" t="s">
        <v>147</v>
      </c>
      <c r="B128" t="s">
        <v>78</v>
      </c>
      <c r="C128" t="s">
        <v>1669</v>
      </c>
      <c r="D128" s="23" t="s">
        <v>1305</v>
      </c>
      <c r="E128" s="14">
        <v>1066027853</v>
      </c>
      <c r="F128" s="14">
        <v>450</v>
      </c>
      <c r="G128" s="14">
        <v>1066222084</v>
      </c>
      <c r="H128" s="14">
        <v>220</v>
      </c>
      <c r="I128" s="14">
        <v>1066027853</v>
      </c>
      <c r="J128" s="14">
        <v>450</v>
      </c>
      <c r="K128" s="14">
        <v>670</v>
      </c>
      <c r="L128" s="14">
        <v>714281392330</v>
      </c>
      <c r="M128" s="25" t="str">
        <f>_xlfn.IFNA(VLOOKUP(DataTT_ps[[#This Row],[TCPH]],Ref!F:H,3,0),"")</f>
        <v>FI BOND</v>
      </c>
      <c r="Q128"/>
      <c r="R128"/>
    </row>
    <row r="129" spans="1:18" hidden="1" x14ac:dyDescent="0.3">
      <c r="A129" t="s">
        <v>147</v>
      </c>
      <c r="B129" t="s">
        <v>78</v>
      </c>
      <c r="C129" t="s">
        <v>1670</v>
      </c>
      <c r="D129" s="23" t="s">
        <v>1305</v>
      </c>
      <c r="E129" s="14">
        <v>1063268220</v>
      </c>
      <c r="F129" s="14">
        <v>300</v>
      </c>
      <c r="G129" s="14">
        <v>1063268220</v>
      </c>
      <c r="H129" s="14">
        <v>300</v>
      </c>
      <c r="I129" s="14">
        <v>1063268220</v>
      </c>
      <c r="J129" s="14">
        <v>300</v>
      </c>
      <c r="K129" s="14">
        <v>300</v>
      </c>
      <c r="L129" s="14">
        <v>318980466000</v>
      </c>
      <c r="M129" s="25" t="str">
        <f>_xlfn.IFNA(VLOOKUP(DataTT_ps[[#This Row],[TCPH]],Ref!F:H,3,0),"")</f>
        <v>FI BOND</v>
      </c>
      <c r="Q129"/>
      <c r="R129"/>
    </row>
    <row r="130" spans="1:18" hidden="1" x14ac:dyDescent="0.3">
      <c r="A130" t="s">
        <v>131</v>
      </c>
      <c r="B130" t="s">
        <v>80</v>
      </c>
      <c r="C130" t="s">
        <v>1157</v>
      </c>
      <c r="D130" s="23" t="s">
        <v>1048</v>
      </c>
      <c r="E130" s="14">
        <v>101695014</v>
      </c>
      <c r="F130" s="14">
        <v>2</v>
      </c>
      <c r="G130" s="14">
        <v>106294261</v>
      </c>
      <c r="H130" s="14">
        <v>20</v>
      </c>
      <c r="I130" s="14">
        <v>101562753</v>
      </c>
      <c r="J130" s="14">
        <v>2</v>
      </c>
      <c r="K130" s="14">
        <v>34</v>
      </c>
      <c r="L130" s="14">
        <v>3549350894</v>
      </c>
      <c r="M130" s="25" t="str">
        <f>_xlfn.IFNA(VLOOKUP(DataTT_ps[[#This Row],[TCPH]],Ref!F:H,3,0),"")</f>
        <v>Others</v>
      </c>
      <c r="Q130"/>
      <c r="R130"/>
    </row>
    <row r="131" spans="1:18" hidden="1" x14ac:dyDescent="0.3">
      <c r="A131" t="s">
        <v>131</v>
      </c>
      <c r="B131" t="s">
        <v>80</v>
      </c>
      <c r="C131" t="s">
        <v>1457</v>
      </c>
      <c r="D131" s="23" t="s">
        <v>1045</v>
      </c>
      <c r="E131" s="14">
        <v>100931728</v>
      </c>
      <c r="F131" s="14">
        <v>3</v>
      </c>
      <c r="G131" s="14">
        <v>105604173</v>
      </c>
      <c r="H131" s="14">
        <v>18</v>
      </c>
      <c r="I131" s="14">
        <v>100931728</v>
      </c>
      <c r="J131" s="14">
        <v>8</v>
      </c>
      <c r="K131" s="14">
        <v>55</v>
      </c>
      <c r="L131" s="14">
        <v>5671941578</v>
      </c>
      <c r="M131" s="25" t="str">
        <f>_xlfn.IFNA(VLOOKUP(DataTT_ps[[#This Row],[TCPH]],Ref!F:H,3,0),"")</f>
        <v>Others</v>
      </c>
      <c r="Q131"/>
      <c r="R131"/>
    </row>
    <row r="132" spans="1:18" hidden="1" x14ac:dyDescent="0.3">
      <c r="A132" t="s">
        <v>131</v>
      </c>
      <c r="B132" t="s">
        <v>80</v>
      </c>
      <c r="C132" t="s">
        <v>1600</v>
      </c>
      <c r="D132" s="23" t="s">
        <v>1043</v>
      </c>
      <c r="E132" s="14">
        <v>102501619</v>
      </c>
      <c r="F132" s="14">
        <v>15</v>
      </c>
      <c r="G132" s="14">
        <v>102501619</v>
      </c>
      <c r="H132" s="14">
        <v>25</v>
      </c>
      <c r="I132" s="14">
        <v>101808220</v>
      </c>
      <c r="J132" s="14">
        <v>2</v>
      </c>
      <c r="K132" s="14">
        <v>127</v>
      </c>
      <c r="L132" s="14">
        <v>12960224275</v>
      </c>
      <c r="M132" s="25" t="str">
        <f>_xlfn.IFNA(VLOOKUP(DataTT_ps[[#This Row],[TCPH]],Ref!F:H,3,0),"")</f>
        <v>Others</v>
      </c>
      <c r="Q132"/>
      <c r="R132"/>
    </row>
    <row r="133" spans="1:18" hidden="1" x14ac:dyDescent="0.3">
      <c r="A133" t="s">
        <v>131</v>
      </c>
      <c r="B133" t="s">
        <v>80</v>
      </c>
      <c r="C133" t="s">
        <v>1578</v>
      </c>
      <c r="D133" s="23" t="s">
        <v>1043</v>
      </c>
      <c r="E133" s="14">
        <v>102579329</v>
      </c>
      <c r="F133" s="14">
        <v>1</v>
      </c>
      <c r="G133" s="14">
        <v>102579329</v>
      </c>
      <c r="H133" s="14">
        <v>16</v>
      </c>
      <c r="I133" s="14">
        <v>101797619</v>
      </c>
      <c r="J133" s="14">
        <v>396</v>
      </c>
      <c r="K133" s="14">
        <v>413</v>
      </c>
      <c r="L133" s="14">
        <v>42055604202</v>
      </c>
      <c r="M133" s="25" t="str">
        <f>_xlfn.IFNA(VLOOKUP(DataTT_ps[[#This Row],[TCPH]],Ref!F:H,3,0),"")</f>
        <v>Others</v>
      </c>
      <c r="Q133"/>
      <c r="R133"/>
    </row>
    <row r="134" spans="1:18" hidden="1" x14ac:dyDescent="0.3">
      <c r="A134" t="s">
        <v>131</v>
      </c>
      <c r="B134" t="s">
        <v>80</v>
      </c>
      <c r="C134" t="s">
        <v>1579</v>
      </c>
      <c r="D134" s="23" t="s">
        <v>1045</v>
      </c>
      <c r="E134" s="14">
        <v>103269624</v>
      </c>
      <c r="F134" s="14">
        <v>9</v>
      </c>
      <c r="G134" s="14">
        <v>103269624</v>
      </c>
      <c r="H134" s="14">
        <v>9</v>
      </c>
      <c r="I134" s="14">
        <v>102747743</v>
      </c>
      <c r="J134" s="14">
        <v>21</v>
      </c>
      <c r="K134" s="14">
        <v>83</v>
      </c>
      <c r="L134" s="14">
        <v>8545693612</v>
      </c>
      <c r="M134" s="25" t="str">
        <f>_xlfn.IFNA(VLOOKUP(DataTT_ps[[#This Row],[TCPH]],Ref!F:H,3,0),"")</f>
        <v>Others</v>
      </c>
      <c r="Q134"/>
      <c r="R134"/>
    </row>
    <row r="135" spans="1:18" hidden="1" x14ac:dyDescent="0.3">
      <c r="A135" t="s">
        <v>132</v>
      </c>
      <c r="B135" t="s">
        <v>86</v>
      </c>
      <c r="C135" t="s">
        <v>1491</v>
      </c>
      <c r="D135" s="23" t="s">
        <v>1049</v>
      </c>
      <c r="E135" s="14">
        <v>101891882</v>
      </c>
      <c r="F135" s="14">
        <v>1</v>
      </c>
      <c r="G135" s="14">
        <v>101891882</v>
      </c>
      <c r="H135" s="14">
        <v>1</v>
      </c>
      <c r="I135" s="14">
        <v>101891882</v>
      </c>
      <c r="J135" s="14">
        <v>1</v>
      </c>
      <c r="K135" s="14">
        <v>1</v>
      </c>
      <c r="L135" s="14">
        <v>101891882</v>
      </c>
      <c r="M135" s="25" t="str">
        <f>_xlfn.IFNA(VLOOKUP(DataTT_ps[[#This Row],[TCPH]],Ref!F:H,3,0),"")</f>
        <v>Others</v>
      </c>
      <c r="Q135"/>
      <c r="R135"/>
    </row>
    <row r="136" spans="1:18" hidden="1" x14ac:dyDescent="0.3">
      <c r="A136" t="s">
        <v>132</v>
      </c>
      <c r="B136" t="s">
        <v>86</v>
      </c>
      <c r="C136" t="s">
        <v>1391</v>
      </c>
      <c r="D136" s="23" t="s">
        <v>1042</v>
      </c>
      <c r="E136" s="14">
        <v>108183053</v>
      </c>
      <c r="F136" s="14">
        <v>4</v>
      </c>
      <c r="G136" s="14">
        <v>108901233</v>
      </c>
      <c r="H136" s="14">
        <v>26</v>
      </c>
      <c r="I136" s="14">
        <v>104480405</v>
      </c>
      <c r="J136" s="14">
        <v>20</v>
      </c>
      <c r="K136" s="14">
        <v>80</v>
      </c>
      <c r="L136" s="14">
        <v>8542284358</v>
      </c>
      <c r="M136" s="25" t="str">
        <f>_xlfn.IFNA(VLOOKUP(DataTT_ps[[#This Row],[TCPH]],Ref!F:H,3,0),"")</f>
        <v>Others</v>
      </c>
      <c r="Q136"/>
      <c r="R136"/>
    </row>
    <row r="137" spans="1:18" hidden="1" x14ac:dyDescent="0.3">
      <c r="A137" t="s">
        <v>132</v>
      </c>
      <c r="B137" t="s">
        <v>86</v>
      </c>
      <c r="C137" t="s">
        <v>1522</v>
      </c>
      <c r="D137" s="23" t="s">
        <v>1045</v>
      </c>
      <c r="E137" s="14">
        <v>106178037</v>
      </c>
      <c r="F137" s="14">
        <v>5</v>
      </c>
      <c r="G137" s="14">
        <v>106717736</v>
      </c>
      <c r="H137" s="14">
        <v>18</v>
      </c>
      <c r="I137" s="14">
        <v>106178037</v>
      </c>
      <c r="J137" s="14">
        <v>5</v>
      </c>
      <c r="K137" s="14">
        <v>23</v>
      </c>
      <c r="L137" s="14">
        <v>2451809433</v>
      </c>
      <c r="M137" s="25" t="str">
        <f>_xlfn.IFNA(VLOOKUP(DataTT_ps[[#This Row],[TCPH]],Ref!F:H,3,0),"")</f>
        <v>Others</v>
      </c>
      <c r="Q137"/>
      <c r="R137"/>
    </row>
    <row r="138" spans="1:18" hidden="1" x14ac:dyDescent="0.3">
      <c r="A138" t="s">
        <v>1255</v>
      </c>
      <c r="B138" t="s">
        <v>80</v>
      </c>
      <c r="C138" t="s">
        <v>1529</v>
      </c>
      <c r="D138" s="23" t="s">
        <v>1305</v>
      </c>
      <c r="E138" s="14">
        <v>106064110</v>
      </c>
      <c r="F138" s="14">
        <v>17</v>
      </c>
      <c r="G138" s="14">
        <v>107456121</v>
      </c>
      <c r="H138" s="14">
        <v>43</v>
      </c>
      <c r="I138" s="14">
        <v>105070411</v>
      </c>
      <c r="J138" s="14">
        <v>10</v>
      </c>
      <c r="K138" s="14">
        <v>70</v>
      </c>
      <c r="L138" s="14">
        <v>7474407183</v>
      </c>
      <c r="M138" s="25" t="str">
        <f>_xlfn.IFNA(VLOOKUP(DataTT_ps[[#This Row],[TCPH]],Ref!F:H,3,0),"")</f>
        <v>Others</v>
      </c>
      <c r="Q138"/>
      <c r="R138"/>
    </row>
    <row r="139" spans="1:18" hidden="1" x14ac:dyDescent="0.3">
      <c r="A139" t="s">
        <v>1255</v>
      </c>
      <c r="B139" t="s">
        <v>80</v>
      </c>
      <c r="C139" t="s">
        <v>1634</v>
      </c>
      <c r="D139" s="23" t="s">
        <v>1305</v>
      </c>
      <c r="E139" s="14">
        <v>106013151</v>
      </c>
      <c r="F139" s="14">
        <v>5</v>
      </c>
      <c r="G139" s="14">
        <v>106013151</v>
      </c>
      <c r="H139" s="14">
        <v>5</v>
      </c>
      <c r="I139" s="14">
        <v>105809315</v>
      </c>
      <c r="J139" s="14">
        <v>5</v>
      </c>
      <c r="K139" s="14">
        <v>12</v>
      </c>
      <c r="L139" s="14">
        <v>1271087672</v>
      </c>
      <c r="M139" s="25" t="str">
        <f>_xlfn.IFNA(VLOOKUP(DataTT_ps[[#This Row],[TCPH]],Ref!F:H,3,0),"")</f>
        <v>Others</v>
      </c>
      <c r="Q139"/>
      <c r="R139"/>
    </row>
    <row r="140" spans="1:18" hidden="1" x14ac:dyDescent="0.3">
      <c r="A140" t="s">
        <v>133</v>
      </c>
      <c r="B140" t="s">
        <v>86</v>
      </c>
      <c r="C140" t="s">
        <v>1671</v>
      </c>
      <c r="D140" s="23" t="s">
        <v>1042</v>
      </c>
      <c r="E140" s="14">
        <v>106472475</v>
      </c>
      <c r="F140" s="14">
        <v>6</v>
      </c>
      <c r="G140" s="14">
        <v>107468089</v>
      </c>
      <c r="H140" s="14">
        <v>9</v>
      </c>
      <c r="I140" s="14">
        <v>104256757</v>
      </c>
      <c r="J140" s="14">
        <v>9</v>
      </c>
      <c r="K140" s="14">
        <v>199</v>
      </c>
      <c r="L140" s="14">
        <v>21187386921</v>
      </c>
      <c r="M140" s="25" t="str">
        <f>_xlfn.IFNA(VLOOKUP(DataTT_ps[[#This Row],[TCPH]],Ref!F:H,3,0),"")</f>
        <v>Others</v>
      </c>
      <c r="Q140"/>
      <c r="R140"/>
    </row>
    <row r="141" spans="1:18" hidden="1" x14ac:dyDescent="0.3">
      <c r="A141" t="s">
        <v>133</v>
      </c>
      <c r="B141" t="s">
        <v>86</v>
      </c>
      <c r="C141" t="s">
        <v>1672</v>
      </c>
      <c r="D141" s="23" t="s">
        <v>1042</v>
      </c>
      <c r="E141" s="14">
        <v>110851532</v>
      </c>
      <c r="F141" s="14">
        <v>13</v>
      </c>
      <c r="G141" s="14">
        <v>112016426</v>
      </c>
      <c r="H141" s="14">
        <v>10</v>
      </c>
      <c r="I141" s="14">
        <v>109575393</v>
      </c>
      <c r="J141" s="14">
        <v>2</v>
      </c>
      <c r="K141" s="14">
        <v>223</v>
      </c>
      <c r="L141" s="14">
        <v>24802585665</v>
      </c>
      <c r="M141" s="25" t="str">
        <f>_xlfn.IFNA(VLOOKUP(DataTT_ps[[#This Row],[TCPH]],Ref!F:H,3,0),"")</f>
        <v>Others</v>
      </c>
      <c r="Q141"/>
      <c r="R141"/>
    </row>
    <row r="142" spans="1:18" hidden="1" x14ac:dyDescent="0.3">
      <c r="A142" t="s">
        <v>133</v>
      </c>
      <c r="B142" t="s">
        <v>86</v>
      </c>
      <c r="C142" t="s">
        <v>1673</v>
      </c>
      <c r="D142" s="23" t="s">
        <v>1042</v>
      </c>
      <c r="E142" s="14">
        <v>108657803</v>
      </c>
      <c r="F142" s="14">
        <v>9</v>
      </c>
      <c r="G142" s="14">
        <v>109642606</v>
      </c>
      <c r="H142" s="14">
        <v>28</v>
      </c>
      <c r="I142" s="14">
        <v>105039780</v>
      </c>
      <c r="J142" s="14">
        <v>6</v>
      </c>
      <c r="K142" s="14">
        <v>1317</v>
      </c>
      <c r="L142" s="14">
        <v>143264011072</v>
      </c>
      <c r="M142" s="25" t="str">
        <f>_xlfn.IFNA(VLOOKUP(DataTT_ps[[#This Row],[TCPH]],Ref!F:H,3,0),"")</f>
        <v>Others</v>
      </c>
      <c r="Q142"/>
      <c r="R142"/>
    </row>
    <row r="143" spans="1:18" hidden="1" x14ac:dyDescent="0.3">
      <c r="A143" t="s">
        <v>133</v>
      </c>
      <c r="B143" t="s">
        <v>86</v>
      </c>
      <c r="C143" t="s">
        <v>1674</v>
      </c>
      <c r="D143" s="23" t="s">
        <v>1042</v>
      </c>
      <c r="E143" s="14">
        <v>107343629</v>
      </c>
      <c r="F143" s="14">
        <v>2</v>
      </c>
      <c r="G143" s="14">
        <v>107673829</v>
      </c>
      <c r="H143" s="14">
        <v>20</v>
      </c>
      <c r="I143" s="14">
        <v>106123935</v>
      </c>
      <c r="J143" s="14">
        <v>4</v>
      </c>
      <c r="K143" s="14">
        <v>290</v>
      </c>
      <c r="L143" s="14">
        <v>31096773807</v>
      </c>
      <c r="M143" s="25" t="str">
        <f>_xlfn.IFNA(VLOOKUP(DataTT_ps[[#This Row],[TCPH]],Ref!F:H,3,0),"")</f>
        <v>Others</v>
      </c>
      <c r="Q143"/>
      <c r="R143"/>
    </row>
    <row r="144" spans="1:18" hidden="1" x14ac:dyDescent="0.3">
      <c r="A144" t="s">
        <v>152</v>
      </c>
      <c r="B144" t="s">
        <v>88</v>
      </c>
      <c r="C144" t="s">
        <v>1523</v>
      </c>
      <c r="D144" s="23" t="s">
        <v>1043</v>
      </c>
      <c r="E144" s="14">
        <v>103376864</v>
      </c>
      <c r="F144" s="14">
        <v>1</v>
      </c>
      <c r="G144" s="14">
        <v>103376864</v>
      </c>
      <c r="H144" s="14">
        <v>1</v>
      </c>
      <c r="I144" s="14">
        <v>100703439</v>
      </c>
      <c r="J144" s="14">
        <v>2</v>
      </c>
      <c r="K144" s="14">
        <v>27</v>
      </c>
      <c r="L144" s="14">
        <v>2778375254</v>
      </c>
      <c r="M144" s="25" t="str">
        <f>_xlfn.IFNA(VLOOKUP(DataTT_ps[[#This Row],[TCPH]],Ref!F:H,3,0),"")</f>
        <v>Others</v>
      </c>
      <c r="Q144"/>
      <c r="R144"/>
    </row>
    <row r="145" spans="1:18" hidden="1" x14ac:dyDescent="0.3">
      <c r="A145" t="s">
        <v>583</v>
      </c>
      <c r="B145" t="s">
        <v>80</v>
      </c>
      <c r="C145" t="s">
        <v>1675</v>
      </c>
      <c r="D145" s="23" t="s">
        <v>1042</v>
      </c>
      <c r="E145" s="14">
        <v>103060726</v>
      </c>
      <c r="F145" s="14">
        <v>1</v>
      </c>
      <c r="G145" s="14">
        <v>103060726</v>
      </c>
      <c r="H145" s="14">
        <v>2</v>
      </c>
      <c r="I145" s="14">
        <v>103060726</v>
      </c>
      <c r="J145" s="14">
        <v>2</v>
      </c>
      <c r="K145" s="14">
        <v>2</v>
      </c>
      <c r="L145" s="14">
        <v>206121452</v>
      </c>
      <c r="M145" s="25" t="str">
        <f>_xlfn.IFNA(VLOOKUP(DataTT_ps[[#This Row],[TCPH]],Ref!F:H,3,0),"")</f>
        <v>Others</v>
      </c>
      <c r="Q145"/>
      <c r="R145"/>
    </row>
    <row r="146" spans="1:18" hidden="1" x14ac:dyDescent="0.3">
      <c r="A146" t="s">
        <v>1325</v>
      </c>
      <c r="B146" t="s">
        <v>88</v>
      </c>
      <c r="C146" t="s">
        <v>1336</v>
      </c>
      <c r="D146" s="23" t="s">
        <v>1046</v>
      </c>
      <c r="E146" s="14">
        <v>105340822</v>
      </c>
      <c r="F146" s="14">
        <v>192</v>
      </c>
      <c r="G146" s="14">
        <v>105340822</v>
      </c>
      <c r="H146" s="14">
        <v>201</v>
      </c>
      <c r="I146" s="14">
        <v>104924658</v>
      </c>
      <c r="J146" s="14">
        <v>144</v>
      </c>
      <c r="K146" s="14">
        <v>345</v>
      </c>
      <c r="L146" s="14">
        <v>36282655974</v>
      </c>
      <c r="M146" s="25" t="str">
        <f>_xlfn.IFNA(VLOOKUP(DataTT_ps[[#This Row],[TCPH]],Ref!F:H,3,0),"")</f>
        <v>Others</v>
      </c>
      <c r="Q146"/>
      <c r="R146"/>
    </row>
    <row r="147" spans="1:18" hidden="1" x14ac:dyDescent="0.3">
      <c r="A147" t="s">
        <v>134</v>
      </c>
      <c r="B147" t="s">
        <v>80</v>
      </c>
      <c r="C147" t="s">
        <v>1524</v>
      </c>
      <c r="D147" s="23" t="s">
        <v>1045</v>
      </c>
      <c r="E147" s="14">
        <v>140282</v>
      </c>
      <c r="F147" s="14">
        <v>6</v>
      </c>
      <c r="G147" s="14">
        <v>140282</v>
      </c>
      <c r="H147" s="14">
        <v>6</v>
      </c>
      <c r="I147" s="14">
        <v>140282</v>
      </c>
      <c r="J147" s="14">
        <v>6</v>
      </c>
      <c r="K147" s="14">
        <v>6</v>
      </c>
      <c r="L147" s="14">
        <v>841692</v>
      </c>
      <c r="M147" s="25" t="str">
        <f>_xlfn.IFNA(VLOOKUP(DataTT_ps[[#This Row],[TCPH]],Ref!F:H,3,0),"")</f>
        <v>Others</v>
      </c>
      <c r="Q147"/>
      <c r="R147"/>
    </row>
    <row r="148" spans="1:18" x14ac:dyDescent="0.3">
      <c r="A148" s="20"/>
      <c r="Q148"/>
      <c r="R148"/>
    </row>
    <row r="149" spans="1:18" x14ac:dyDescent="0.3">
      <c r="A149" s="20"/>
      <c r="Q149"/>
      <c r="R149"/>
    </row>
    <row r="150" spans="1:18" x14ac:dyDescent="0.3">
      <c r="A150" s="20"/>
      <c r="Q150"/>
      <c r="R150"/>
    </row>
    <row r="151" spans="1:18" x14ac:dyDescent="0.3">
      <c r="A151" s="20"/>
      <c r="Q151"/>
      <c r="R151"/>
    </row>
    <row r="152" spans="1:18" x14ac:dyDescent="0.3">
      <c r="A152" s="20"/>
      <c r="Q152"/>
      <c r="R152"/>
    </row>
    <row r="153" spans="1:18" x14ac:dyDescent="0.3">
      <c r="A153" s="20"/>
      <c r="Q153"/>
      <c r="R153"/>
    </row>
    <row r="154" spans="1:18" x14ac:dyDescent="0.3">
      <c r="A154" s="20"/>
      <c r="Q154"/>
      <c r="R154"/>
    </row>
    <row r="155" spans="1:18" x14ac:dyDescent="0.3">
      <c r="A155" s="20"/>
      <c r="Q155"/>
      <c r="R155"/>
    </row>
    <row r="156" spans="1:18" x14ac:dyDescent="0.3">
      <c r="A156" s="20"/>
      <c r="Q156"/>
      <c r="R156"/>
    </row>
    <row r="157" spans="1:18" x14ac:dyDescent="0.3">
      <c r="A157" s="20"/>
      <c r="Q157"/>
      <c r="R157"/>
    </row>
    <row r="158" spans="1:18" x14ac:dyDescent="0.3">
      <c r="A158" s="20"/>
      <c r="Q158"/>
      <c r="R158"/>
    </row>
    <row r="159" spans="1:18" x14ac:dyDescent="0.3">
      <c r="A159" s="20"/>
      <c r="Q159"/>
      <c r="R159"/>
    </row>
    <row r="160" spans="1:18" x14ac:dyDescent="0.3">
      <c r="A160" s="20"/>
      <c r="Q160"/>
      <c r="R160"/>
    </row>
    <row r="161" spans="1:18" x14ac:dyDescent="0.3">
      <c r="A161" s="20"/>
      <c r="Q161"/>
      <c r="R161"/>
    </row>
    <row r="162" spans="1:18" x14ac:dyDescent="0.3">
      <c r="A162" s="20"/>
      <c r="Q162"/>
      <c r="R162"/>
    </row>
    <row r="163" spans="1:18" x14ac:dyDescent="0.3">
      <c r="A163" s="20"/>
      <c r="Q163"/>
      <c r="R163"/>
    </row>
    <row r="164" spans="1:18" x14ac:dyDescent="0.3">
      <c r="A164" s="20"/>
      <c r="Q164"/>
      <c r="R164"/>
    </row>
    <row r="165" spans="1:18" x14ac:dyDescent="0.3">
      <c r="A165" s="20"/>
      <c r="Q165"/>
      <c r="R165"/>
    </row>
    <row r="166" spans="1:18" x14ac:dyDescent="0.3">
      <c r="A166" s="20"/>
      <c r="Q166"/>
      <c r="R166"/>
    </row>
    <row r="167" spans="1:18" x14ac:dyDescent="0.3">
      <c r="A167" s="20"/>
      <c r="Q167"/>
      <c r="R167"/>
    </row>
    <row r="168" spans="1:18" x14ac:dyDescent="0.3">
      <c r="A168" s="20"/>
      <c r="Q168"/>
      <c r="R168"/>
    </row>
    <row r="169" spans="1:18" x14ac:dyDescent="0.3">
      <c r="A169" s="20"/>
      <c r="Q169"/>
      <c r="R169"/>
    </row>
    <row r="170" spans="1:18" x14ac:dyDescent="0.3">
      <c r="A170" s="20"/>
      <c r="Q170"/>
      <c r="R170"/>
    </row>
    <row r="171" spans="1:18" x14ac:dyDescent="0.3">
      <c r="A171" s="20"/>
      <c r="Q171"/>
      <c r="R171"/>
    </row>
    <row r="172" spans="1:18" x14ac:dyDescent="0.3">
      <c r="A172" s="20"/>
      <c r="Q172"/>
      <c r="R172"/>
    </row>
    <row r="173" spans="1:18" x14ac:dyDescent="0.3">
      <c r="A173" s="20"/>
      <c r="Q173"/>
      <c r="R173"/>
    </row>
    <row r="174" spans="1:18" x14ac:dyDescent="0.3">
      <c r="A174" s="20"/>
      <c r="Q174"/>
      <c r="R174"/>
    </row>
    <row r="175" spans="1:18" x14ac:dyDescent="0.3">
      <c r="A175" s="20"/>
      <c r="Q175"/>
      <c r="R175"/>
    </row>
    <row r="176" spans="1:18" x14ac:dyDescent="0.3">
      <c r="A176" s="20"/>
      <c r="Q176"/>
      <c r="R176"/>
    </row>
    <row r="177" spans="1:18" x14ac:dyDescent="0.3">
      <c r="A177" s="20"/>
      <c r="Q177"/>
      <c r="R177"/>
    </row>
    <row r="178" spans="1:18" x14ac:dyDescent="0.3">
      <c r="A178" s="20"/>
      <c r="Q178"/>
      <c r="R178"/>
    </row>
    <row r="179" spans="1:18" x14ac:dyDescent="0.3">
      <c r="A179" s="20"/>
      <c r="Q179"/>
      <c r="R179"/>
    </row>
    <row r="180" spans="1:18" x14ac:dyDescent="0.3">
      <c r="A180" s="20"/>
      <c r="Q180"/>
      <c r="R180"/>
    </row>
    <row r="181" spans="1:18" x14ac:dyDescent="0.3">
      <c r="A181" s="20"/>
      <c r="Q181"/>
      <c r="R181"/>
    </row>
    <row r="182" spans="1:18" x14ac:dyDescent="0.3">
      <c r="A182" s="20"/>
      <c r="Q182"/>
      <c r="R182"/>
    </row>
    <row r="183" spans="1:18" x14ac:dyDescent="0.3">
      <c r="A183" s="20"/>
      <c r="Q183"/>
      <c r="R183"/>
    </row>
    <row r="184" spans="1:18" x14ac:dyDescent="0.3">
      <c r="A184" s="20"/>
      <c r="Q184"/>
      <c r="R184"/>
    </row>
    <row r="185" spans="1:18" x14ac:dyDescent="0.3">
      <c r="A185" s="20"/>
      <c r="Q185"/>
      <c r="R185"/>
    </row>
    <row r="186" spans="1:18" x14ac:dyDescent="0.3">
      <c r="A186" s="20"/>
      <c r="Q186"/>
      <c r="R186"/>
    </row>
    <row r="187" spans="1:18" x14ac:dyDescent="0.3">
      <c r="A187" s="20"/>
      <c r="Q187"/>
      <c r="R187"/>
    </row>
    <row r="188" spans="1:18" x14ac:dyDescent="0.3">
      <c r="A188" s="20"/>
      <c r="Q188"/>
      <c r="R188"/>
    </row>
    <row r="189" spans="1:18" x14ac:dyDescent="0.3">
      <c r="A189" s="20"/>
      <c r="Q189"/>
      <c r="R189"/>
    </row>
    <row r="190" spans="1:18" x14ac:dyDescent="0.3">
      <c r="A190" s="20"/>
      <c r="Q190"/>
      <c r="R190"/>
    </row>
    <row r="191" spans="1:18" x14ac:dyDescent="0.3">
      <c r="A191" s="20"/>
      <c r="Q191"/>
      <c r="R191"/>
    </row>
    <row r="192" spans="1:18" x14ac:dyDescent="0.3">
      <c r="A192" s="20"/>
      <c r="Q192"/>
      <c r="R192"/>
    </row>
    <row r="193" spans="1:18" x14ac:dyDescent="0.3">
      <c r="A193" s="20"/>
      <c r="Q193"/>
      <c r="R193"/>
    </row>
    <row r="194" spans="1:18" x14ac:dyDescent="0.3">
      <c r="A194" s="20"/>
      <c r="Q194"/>
      <c r="R194"/>
    </row>
    <row r="195" spans="1:18" x14ac:dyDescent="0.3">
      <c r="A195" s="20"/>
      <c r="Q195"/>
      <c r="R195"/>
    </row>
    <row r="196" spans="1:18" x14ac:dyDescent="0.3">
      <c r="A196" s="20"/>
      <c r="Q196"/>
      <c r="R196"/>
    </row>
    <row r="197" spans="1:18" x14ac:dyDescent="0.3">
      <c r="A197" s="20"/>
      <c r="Q197"/>
      <c r="R197"/>
    </row>
    <row r="198" spans="1:18" x14ac:dyDescent="0.3">
      <c r="A198" s="20"/>
      <c r="Q198"/>
      <c r="R198"/>
    </row>
    <row r="199" spans="1:18" x14ac:dyDescent="0.3">
      <c r="A199" s="20"/>
      <c r="Q199"/>
      <c r="R199"/>
    </row>
    <row r="200" spans="1:18" x14ac:dyDescent="0.3">
      <c r="A200" s="20"/>
      <c r="Q200"/>
      <c r="R200"/>
    </row>
    <row r="201" spans="1:18" x14ac:dyDescent="0.3">
      <c r="A201" s="20"/>
      <c r="Q201"/>
      <c r="R201"/>
    </row>
    <row r="202" spans="1:18" x14ac:dyDescent="0.3">
      <c r="A202" s="20"/>
      <c r="Q202"/>
      <c r="R202"/>
    </row>
    <row r="203" spans="1:18" x14ac:dyDescent="0.3">
      <c r="A203" s="20"/>
      <c r="Q203"/>
      <c r="R203"/>
    </row>
    <row r="204" spans="1:18" x14ac:dyDescent="0.3">
      <c r="A204" s="20"/>
      <c r="Q204"/>
      <c r="R204"/>
    </row>
    <row r="205" spans="1:18" x14ac:dyDescent="0.3">
      <c r="A205" s="20"/>
      <c r="Q205"/>
      <c r="R205"/>
    </row>
    <row r="206" spans="1:18" x14ac:dyDescent="0.3">
      <c r="A206" s="20"/>
      <c r="Q206"/>
      <c r="R206"/>
    </row>
    <row r="207" spans="1:18" x14ac:dyDescent="0.3">
      <c r="A207" s="20"/>
      <c r="Q207"/>
      <c r="R207"/>
    </row>
    <row r="208" spans="1:18" x14ac:dyDescent="0.3">
      <c r="A208" s="20"/>
      <c r="Q208"/>
      <c r="R208"/>
    </row>
    <row r="209" spans="1:18" x14ac:dyDescent="0.3">
      <c r="A209" s="20"/>
      <c r="Q209"/>
      <c r="R209"/>
    </row>
    <row r="210" spans="1:18" x14ac:dyDescent="0.3">
      <c r="A210" s="20"/>
      <c r="Q210"/>
      <c r="R210"/>
    </row>
    <row r="211" spans="1:18" x14ac:dyDescent="0.3">
      <c r="A211" s="20"/>
      <c r="Q211"/>
      <c r="R211"/>
    </row>
    <row r="212" spans="1:18" x14ac:dyDescent="0.3">
      <c r="A212" s="20"/>
      <c r="Q212"/>
      <c r="R212"/>
    </row>
    <row r="213" spans="1:18" x14ac:dyDescent="0.3">
      <c r="A213" s="20"/>
      <c r="Q213"/>
      <c r="R213"/>
    </row>
    <row r="214" spans="1:18" x14ac:dyDescent="0.3">
      <c r="A214" s="20"/>
      <c r="Q214"/>
      <c r="R214"/>
    </row>
    <row r="215" spans="1:18" x14ac:dyDescent="0.3">
      <c r="A215" s="20"/>
      <c r="Q215"/>
      <c r="R215"/>
    </row>
    <row r="216" spans="1:18" x14ac:dyDescent="0.3">
      <c r="A216" s="20"/>
      <c r="Q216"/>
      <c r="R216"/>
    </row>
    <row r="217" spans="1:18" x14ac:dyDescent="0.3">
      <c r="A217" s="20"/>
      <c r="Q217"/>
      <c r="R217"/>
    </row>
    <row r="218" spans="1:18" x14ac:dyDescent="0.3">
      <c r="A218" s="20"/>
      <c r="Q218"/>
      <c r="R218"/>
    </row>
    <row r="219" spans="1:18" x14ac:dyDescent="0.3">
      <c r="A219" s="20"/>
      <c r="Q219"/>
      <c r="R219"/>
    </row>
    <row r="220" spans="1:18" x14ac:dyDescent="0.3">
      <c r="A220" s="20"/>
      <c r="Q220"/>
      <c r="R220"/>
    </row>
    <row r="221" spans="1:18" x14ac:dyDescent="0.3">
      <c r="A221" s="20"/>
      <c r="Q221"/>
      <c r="R221"/>
    </row>
    <row r="222" spans="1:18" x14ac:dyDescent="0.3">
      <c r="A222" s="20"/>
      <c r="Q222"/>
      <c r="R222"/>
    </row>
    <row r="223" spans="1:18" x14ac:dyDescent="0.3">
      <c r="A223" s="20"/>
      <c r="Q223"/>
      <c r="R223"/>
    </row>
    <row r="224" spans="1:18" x14ac:dyDescent="0.3">
      <c r="A224" s="20"/>
      <c r="Q224"/>
      <c r="R224"/>
    </row>
    <row r="225" spans="1:18" x14ac:dyDescent="0.3">
      <c r="A225" s="20"/>
      <c r="Q225"/>
      <c r="R225"/>
    </row>
    <row r="226" spans="1:18" x14ac:dyDescent="0.3">
      <c r="A226" s="20"/>
      <c r="Q226"/>
      <c r="R226"/>
    </row>
    <row r="227" spans="1:18" x14ac:dyDescent="0.3">
      <c r="A227" s="20"/>
      <c r="Q227"/>
      <c r="R227"/>
    </row>
    <row r="228" spans="1:18" x14ac:dyDescent="0.3">
      <c r="A228" s="20"/>
      <c r="Q228"/>
      <c r="R228"/>
    </row>
    <row r="229" spans="1:18" x14ac:dyDescent="0.3">
      <c r="A229" s="20"/>
      <c r="Q229"/>
      <c r="R229"/>
    </row>
    <row r="230" spans="1:18" x14ac:dyDescent="0.3">
      <c r="A230" s="20"/>
      <c r="Q230"/>
      <c r="R230"/>
    </row>
    <row r="231" spans="1:18" x14ac:dyDescent="0.3">
      <c r="A231" s="20"/>
      <c r="Q231"/>
      <c r="R231"/>
    </row>
    <row r="232" spans="1:18" x14ac:dyDescent="0.3">
      <c r="A232" s="20"/>
      <c r="Q232"/>
      <c r="R232"/>
    </row>
    <row r="233" spans="1:18" x14ac:dyDescent="0.3">
      <c r="A233" s="20"/>
      <c r="Q233"/>
      <c r="R233"/>
    </row>
    <row r="234" spans="1:18" x14ac:dyDescent="0.3">
      <c r="A234" s="20"/>
      <c r="Q234"/>
      <c r="R234"/>
    </row>
    <row r="235" spans="1:18" x14ac:dyDescent="0.3">
      <c r="A235" s="20"/>
      <c r="Q235"/>
      <c r="R235"/>
    </row>
    <row r="236" spans="1:18" x14ac:dyDescent="0.3">
      <c r="A236" s="20"/>
      <c r="Q236"/>
      <c r="R236"/>
    </row>
    <row r="237" spans="1:18" x14ac:dyDescent="0.3">
      <c r="A237" s="20"/>
      <c r="Q237"/>
      <c r="R237"/>
    </row>
    <row r="238" spans="1:18" x14ac:dyDescent="0.3">
      <c r="A238" s="20"/>
      <c r="Q238"/>
      <c r="R238"/>
    </row>
    <row r="239" spans="1:18" x14ac:dyDescent="0.3">
      <c r="A239" s="20"/>
      <c r="Q239"/>
      <c r="R239"/>
    </row>
    <row r="240" spans="1:18" x14ac:dyDescent="0.3">
      <c r="A240" s="20"/>
      <c r="Q240"/>
      <c r="R240"/>
    </row>
    <row r="241" spans="1:18" x14ac:dyDescent="0.3">
      <c r="A241" s="20"/>
      <c r="Q241"/>
      <c r="R241"/>
    </row>
    <row r="242" spans="1:18" x14ac:dyDescent="0.3">
      <c r="A242" s="20"/>
      <c r="Q242"/>
      <c r="R242"/>
    </row>
    <row r="243" spans="1:18" x14ac:dyDescent="0.3">
      <c r="A243" s="20"/>
      <c r="Q243"/>
      <c r="R243"/>
    </row>
    <row r="244" spans="1:18" x14ac:dyDescent="0.3">
      <c r="A244" s="20"/>
      <c r="Q244"/>
      <c r="R244"/>
    </row>
    <row r="245" spans="1:18" x14ac:dyDescent="0.3">
      <c r="A245" s="20"/>
      <c r="Q245"/>
      <c r="R245"/>
    </row>
    <row r="246" spans="1:18" x14ac:dyDescent="0.3">
      <c r="A246" s="20"/>
      <c r="Q246"/>
      <c r="R246"/>
    </row>
    <row r="247" spans="1:18" x14ac:dyDescent="0.3">
      <c r="A247" s="20"/>
      <c r="Q247"/>
      <c r="R247"/>
    </row>
    <row r="248" spans="1:18" x14ac:dyDescent="0.3">
      <c r="A248" s="20"/>
      <c r="Q248"/>
      <c r="R248"/>
    </row>
    <row r="249" spans="1:18" x14ac:dyDescent="0.3">
      <c r="A249" s="20"/>
      <c r="Q249"/>
      <c r="R249"/>
    </row>
    <row r="250" spans="1:18" x14ac:dyDescent="0.3">
      <c r="A250" s="20"/>
      <c r="Q250"/>
      <c r="R250"/>
    </row>
    <row r="251" spans="1:18" x14ac:dyDescent="0.3">
      <c r="A251" s="20"/>
      <c r="Q251"/>
      <c r="R251"/>
    </row>
    <row r="252" spans="1:18" x14ac:dyDescent="0.3">
      <c r="A252" s="20"/>
      <c r="Q252"/>
      <c r="R252"/>
    </row>
    <row r="253" spans="1:18" x14ac:dyDescent="0.3">
      <c r="A253" s="20"/>
      <c r="Q253"/>
      <c r="R253"/>
    </row>
    <row r="254" spans="1:18" x14ac:dyDescent="0.3">
      <c r="A254" s="20"/>
      <c r="Q254"/>
      <c r="R254"/>
    </row>
    <row r="255" spans="1:18" x14ac:dyDescent="0.3">
      <c r="A255" s="20"/>
      <c r="Q255"/>
      <c r="R255"/>
    </row>
    <row r="256" spans="1:18" x14ac:dyDescent="0.3">
      <c r="A256" s="20"/>
      <c r="Q256"/>
      <c r="R256"/>
    </row>
    <row r="257" spans="1:18" x14ac:dyDescent="0.3">
      <c r="A257" s="20"/>
      <c r="Q257"/>
      <c r="R257"/>
    </row>
    <row r="258" spans="1:18" x14ac:dyDescent="0.3">
      <c r="A258" s="20"/>
      <c r="Q258"/>
      <c r="R258"/>
    </row>
    <row r="259" spans="1:18" x14ac:dyDescent="0.3">
      <c r="A259" s="20"/>
      <c r="Q259"/>
      <c r="R259"/>
    </row>
    <row r="260" spans="1:18" x14ac:dyDescent="0.3">
      <c r="A260" s="20"/>
      <c r="Q260"/>
      <c r="R260"/>
    </row>
    <row r="261" spans="1:18" x14ac:dyDescent="0.3">
      <c r="A261" s="20"/>
      <c r="Q261"/>
      <c r="R261"/>
    </row>
    <row r="262" spans="1:18" x14ac:dyDescent="0.3">
      <c r="A262" s="20"/>
      <c r="Q262"/>
      <c r="R262"/>
    </row>
    <row r="263" spans="1:18" x14ac:dyDescent="0.3">
      <c r="A263" s="20"/>
      <c r="Q263"/>
      <c r="R263"/>
    </row>
    <row r="264" spans="1:18" x14ac:dyDescent="0.3">
      <c r="A264" s="20"/>
      <c r="Q264"/>
      <c r="R264"/>
    </row>
    <row r="265" spans="1:18" x14ac:dyDescent="0.3">
      <c r="A265" s="20"/>
      <c r="Q265"/>
      <c r="R265"/>
    </row>
    <row r="266" spans="1:18" x14ac:dyDescent="0.3">
      <c r="A266" s="20"/>
      <c r="Q266"/>
      <c r="R266"/>
    </row>
    <row r="267" spans="1:18" x14ac:dyDescent="0.3">
      <c r="A267" s="20"/>
      <c r="Q267"/>
      <c r="R267"/>
    </row>
    <row r="268" spans="1:18" x14ac:dyDescent="0.3">
      <c r="A268" s="20"/>
      <c r="Q268"/>
      <c r="R268"/>
    </row>
    <row r="269" spans="1:18" x14ac:dyDescent="0.3">
      <c r="A269" s="20"/>
      <c r="Q269"/>
      <c r="R269"/>
    </row>
    <row r="270" spans="1:18" x14ac:dyDescent="0.3">
      <c r="A270" s="20"/>
      <c r="Q270"/>
      <c r="R270"/>
    </row>
    <row r="271" spans="1:18" x14ac:dyDescent="0.3">
      <c r="A271" s="20"/>
      <c r="Q271"/>
      <c r="R271"/>
    </row>
    <row r="272" spans="1:18" x14ac:dyDescent="0.3">
      <c r="A272" s="20"/>
      <c r="Q272"/>
      <c r="R272"/>
    </row>
    <row r="273" spans="1:18" x14ac:dyDescent="0.3">
      <c r="A273" s="20"/>
      <c r="Q273"/>
      <c r="R273"/>
    </row>
    <row r="274" spans="1:18" x14ac:dyDescent="0.3">
      <c r="A274" s="20"/>
      <c r="Q274"/>
      <c r="R274"/>
    </row>
    <row r="275" spans="1:18" x14ac:dyDescent="0.3">
      <c r="A275" s="20"/>
      <c r="Q275"/>
      <c r="R275"/>
    </row>
    <row r="276" spans="1:18" x14ac:dyDescent="0.3">
      <c r="A276" s="20"/>
      <c r="Q276"/>
      <c r="R276"/>
    </row>
    <row r="277" spans="1:18" x14ac:dyDescent="0.3">
      <c r="A277" s="20"/>
      <c r="Q277"/>
      <c r="R277"/>
    </row>
    <row r="278" spans="1:18" x14ac:dyDescent="0.3">
      <c r="A278" s="20"/>
      <c r="Q278"/>
      <c r="R278"/>
    </row>
    <row r="279" spans="1:18" x14ac:dyDescent="0.3">
      <c r="A279" s="20"/>
      <c r="Q279"/>
      <c r="R279"/>
    </row>
    <row r="280" spans="1:18" x14ac:dyDescent="0.3">
      <c r="A280" s="20"/>
      <c r="Q280"/>
      <c r="R280"/>
    </row>
    <row r="281" spans="1:18" x14ac:dyDescent="0.3">
      <c r="A281" s="20"/>
      <c r="Q281"/>
      <c r="R281"/>
    </row>
    <row r="282" spans="1:18" x14ac:dyDescent="0.3">
      <c r="A282" s="20"/>
      <c r="Q282"/>
      <c r="R282"/>
    </row>
    <row r="283" spans="1:18" x14ac:dyDescent="0.3">
      <c r="A283" s="20"/>
      <c r="Q283"/>
      <c r="R283"/>
    </row>
    <row r="284" spans="1:18" x14ac:dyDescent="0.3">
      <c r="A284" s="20"/>
      <c r="Q284"/>
      <c r="R284"/>
    </row>
    <row r="285" spans="1:18" x14ac:dyDescent="0.3">
      <c r="A285" s="20"/>
      <c r="Q285"/>
      <c r="R285"/>
    </row>
    <row r="286" spans="1:18" x14ac:dyDescent="0.3">
      <c r="A286" s="20"/>
      <c r="Q286"/>
      <c r="R286"/>
    </row>
    <row r="287" spans="1:18" x14ac:dyDescent="0.3">
      <c r="A287" s="20"/>
      <c r="Q287"/>
      <c r="R287"/>
    </row>
    <row r="288" spans="1:18" x14ac:dyDescent="0.3">
      <c r="A288" s="20"/>
      <c r="Q288"/>
      <c r="R288"/>
    </row>
    <row r="289" spans="1:18" x14ac:dyDescent="0.3">
      <c r="A289" s="20"/>
      <c r="Q289"/>
      <c r="R289"/>
    </row>
    <row r="290" spans="1:18" x14ac:dyDescent="0.3">
      <c r="A290" s="20"/>
      <c r="Q290"/>
      <c r="R290"/>
    </row>
    <row r="291" spans="1:18" x14ac:dyDescent="0.3">
      <c r="A291" s="20"/>
      <c r="Q291"/>
      <c r="R291"/>
    </row>
    <row r="292" spans="1:18" x14ac:dyDescent="0.3">
      <c r="A292" s="20"/>
      <c r="Q292"/>
      <c r="R292"/>
    </row>
    <row r="293" spans="1:18" x14ac:dyDescent="0.3">
      <c r="A293" s="20"/>
      <c r="Q293"/>
      <c r="R293"/>
    </row>
    <row r="294" spans="1:18" x14ac:dyDescent="0.3">
      <c r="A294" s="20"/>
      <c r="Q294"/>
      <c r="R294"/>
    </row>
    <row r="295" spans="1:18" x14ac:dyDescent="0.3">
      <c r="A295" s="20"/>
      <c r="Q295"/>
      <c r="R295"/>
    </row>
    <row r="296" spans="1:18" x14ac:dyDescent="0.3">
      <c r="A296" s="20"/>
      <c r="Q296"/>
      <c r="R296"/>
    </row>
    <row r="297" spans="1:18" x14ac:dyDescent="0.3">
      <c r="A297" s="20"/>
      <c r="Q297"/>
      <c r="R297"/>
    </row>
    <row r="298" spans="1:18" x14ac:dyDescent="0.3">
      <c r="A298" s="20"/>
      <c r="Q298"/>
      <c r="R298"/>
    </row>
    <row r="299" spans="1:18" x14ac:dyDescent="0.3">
      <c r="A299" s="20"/>
      <c r="Q299"/>
      <c r="R299"/>
    </row>
    <row r="300" spans="1:18" x14ac:dyDescent="0.3">
      <c r="A300" s="20"/>
      <c r="Q300"/>
      <c r="R300"/>
    </row>
    <row r="301" spans="1:18" x14ac:dyDescent="0.3">
      <c r="A301" s="20"/>
      <c r="Q301"/>
      <c r="R301"/>
    </row>
    <row r="302" spans="1:18" x14ac:dyDescent="0.3">
      <c r="A302" s="20"/>
      <c r="Q302"/>
      <c r="R302"/>
    </row>
    <row r="303" spans="1:18" x14ac:dyDescent="0.3">
      <c r="A303" s="20"/>
      <c r="Q303"/>
      <c r="R303"/>
    </row>
    <row r="304" spans="1:18" x14ac:dyDescent="0.3">
      <c r="A304" s="20"/>
      <c r="Q304"/>
      <c r="R304"/>
    </row>
    <row r="305" spans="1:18" x14ac:dyDescent="0.3">
      <c r="A305" s="20"/>
      <c r="Q305"/>
      <c r="R305"/>
    </row>
    <row r="306" spans="1:18" x14ac:dyDescent="0.3">
      <c r="A306" s="20"/>
      <c r="Q306"/>
      <c r="R306"/>
    </row>
    <row r="307" spans="1:18" x14ac:dyDescent="0.3">
      <c r="A307" s="20"/>
      <c r="Q307"/>
      <c r="R307"/>
    </row>
    <row r="308" spans="1:18" x14ac:dyDescent="0.3">
      <c r="A308" s="20"/>
      <c r="Q308"/>
      <c r="R308"/>
    </row>
    <row r="309" spans="1:18" x14ac:dyDescent="0.3">
      <c r="A309" s="20"/>
      <c r="Q309"/>
      <c r="R309"/>
    </row>
    <row r="310" spans="1:18" x14ac:dyDescent="0.3">
      <c r="A310" s="20"/>
      <c r="Q310"/>
      <c r="R310"/>
    </row>
    <row r="311" spans="1:18" x14ac:dyDescent="0.3">
      <c r="A311" s="20"/>
      <c r="Q311"/>
      <c r="R311"/>
    </row>
    <row r="312" spans="1:18" x14ac:dyDescent="0.3">
      <c r="A312" s="20"/>
      <c r="Q312"/>
      <c r="R312"/>
    </row>
    <row r="313" spans="1:18" x14ac:dyDescent="0.3">
      <c r="A313" s="20"/>
      <c r="Q313"/>
      <c r="R313"/>
    </row>
    <row r="314" spans="1:18" x14ac:dyDescent="0.3">
      <c r="A314" s="20"/>
      <c r="Q314"/>
      <c r="R314"/>
    </row>
    <row r="315" spans="1:18" x14ac:dyDescent="0.3">
      <c r="A315" s="20"/>
      <c r="Q315"/>
      <c r="R315"/>
    </row>
    <row r="316" spans="1:18" x14ac:dyDescent="0.3">
      <c r="A316" s="20"/>
      <c r="Q316"/>
      <c r="R316"/>
    </row>
    <row r="317" spans="1:18" x14ac:dyDescent="0.3">
      <c r="A317" s="20"/>
      <c r="Q317"/>
      <c r="R317"/>
    </row>
    <row r="318" spans="1:18" x14ac:dyDescent="0.3">
      <c r="A318" s="20"/>
      <c r="Q318"/>
      <c r="R318"/>
    </row>
    <row r="319" spans="1:18" x14ac:dyDescent="0.3">
      <c r="A319" s="20"/>
      <c r="Q319"/>
      <c r="R319"/>
    </row>
    <row r="320" spans="1:18" x14ac:dyDescent="0.3">
      <c r="A320" s="20"/>
      <c r="Q320"/>
      <c r="R320"/>
    </row>
    <row r="321" spans="1:18" x14ac:dyDescent="0.3">
      <c r="A321" s="20"/>
      <c r="Q321"/>
      <c r="R321"/>
    </row>
    <row r="322" spans="1:18" x14ac:dyDescent="0.3">
      <c r="A322" s="20"/>
      <c r="Q322"/>
      <c r="R322"/>
    </row>
    <row r="323" spans="1:18" x14ac:dyDescent="0.3">
      <c r="A323" s="20"/>
      <c r="Q323"/>
      <c r="R323"/>
    </row>
    <row r="324" spans="1:18" x14ac:dyDescent="0.3">
      <c r="A324" s="20"/>
      <c r="Q324"/>
      <c r="R324"/>
    </row>
    <row r="325" spans="1:18" x14ac:dyDescent="0.3">
      <c r="A325" s="20"/>
      <c r="Q325"/>
      <c r="R325"/>
    </row>
    <row r="326" spans="1:18" x14ac:dyDescent="0.3">
      <c r="A326" s="20"/>
      <c r="Q326"/>
      <c r="R326"/>
    </row>
    <row r="327" spans="1:18" x14ac:dyDescent="0.3">
      <c r="A327" s="20"/>
      <c r="Q327"/>
      <c r="R327"/>
    </row>
    <row r="328" spans="1:18" x14ac:dyDescent="0.3">
      <c r="A328" s="20"/>
      <c r="Q328"/>
      <c r="R328"/>
    </row>
    <row r="329" spans="1:18" x14ac:dyDescent="0.3">
      <c r="A329" s="20"/>
      <c r="Q329"/>
      <c r="R329"/>
    </row>
    <row r="330" spans="1:18" x14ac:dyDescent="0.3">
      <c r="A330" s="20"/>
      <c r="Q330"/>
      <c r="R330"/>
    </row>
    <row r="331" spans="1:18" x14ac:dyDescent="0.3">
      <c r="A331" s="20"/>
      <c r="Q331"/>
      <c r="R331"/>
    </row>
    <row r="332" spans="1:18" x14ac:dyDescent="0.3">
      <c r="A332" s="20"/>
      <c r="Q332"/>
      <c r="R332"/>
    </row>
    <row r="333" spans="1:18" x14ac:dyDescent="0.3">
      <c r="A333" s="20"/>
      <c r="Q333"/>
      <c r="R333"/>
    </row>
    <row r="334" spans="1:18" x14ac:dyDescent="0.3">
      <c r="A334" s="20"/>
      <c r="Q334"/>
      <c r="R334"/>
    </row>
    <row r="335" spans="1:18" x14ac:dyDescent="0.3">
      <c r="A335" s="20"/>
      <c r="Q335"/>
      <c r="R335"/>
    </row>
    <row r="336" spans="1:18" x14ac:dyDescent="0.3">
      <c r="A336" s="20"/>
      <c r="Q336"/>
      <c r="R336"/>
    </row>
    <row r="337" spans="1:18" x14ac:dyDescent="0.3">
      <c r="A337" s="20"/>
      <c r="Q337"/>
      <c r="R337"/>
    </row>
    <row r="338" spans="1:18" x14ac:dyDescent="0.3">
      <c r="A338" s="20"/>
      <c r="Q338"/>
      <c r="R338"/>
    </row>
    <row r="339" spans="1:18" x14ac:dyDescent="0.3">
      <c r="A339" s="20"/>
      <c r="Q339"/>
      <c r="R339"/>
    </row>
    <row r="340" spans="1:18" x14ac:dyDescent="0.3">
      <c r="A340" s="20"/>
      <c r="Q340"/>
      <c r="R340"/>
    </row>
    <row r="341" spans="1:18" x14ac:dyDescent="0.3">
      <c r="A341" s="20"/>
      <c r="Q341"/>
      <c r="R341"/>
    </row>
    <row r="342" spans="1:18" x14ac:dyDescent="0.3">
      <c r="A342" s="20"/>
      <c r="Q342"/>
      <c r="R342"/>
    </row>
    <row r="343" spans="1:18" x14ac:dyDescent="0.3">
      <c r="A343" s="20"/>
      <c r="Q343"/>
      <c r="R343"/>
    </row>
    <row r="344" spans="1:18" x14ac:dyDescent="0.3">
      <c r="A344" s="20"/>
      <c r="Q344"/>
      <c r="R344"/>
    </row>
    <row r="345" spans="1:18" x14ac:dyDescent="0.3">
      <c r="A345" s="20"/>
      <c r="Q345"/>
      <c r="R345"/>
    </row>
    <row r="346" spans="1:18" x14ac:dyDescent="0.3">
      <c r="A346" s="20"/>
      <c r="Q346"/>
      <c r="R346"/>
    </row>
    <row r="347" spans="1:18" x14ac:dyDescent="0.3">
      <c r="A347" s="20"/>
      <c r="Q347"/>
      <c r="R347"/>
    </row>
    <row r="348" spans="1:18" x14ac:dyDescent="0.3">
      <c r="A348" s="20"/>
      <c r="Q348"/>
      <c r="R348"/>
    </row>
    <row r="349" spans="1:18" x14ac:dyDescent="0.3">
      <c r="A349" s="20"/>
      <c r="Q349"/>
      <c r="R349"/>
    </row>
    <row r="350" spans="1:18" x14ac:dyDescent="0.3">
      <c r="A350" s="20"/>
      <c r="Q350"/>
      <c r="R350"/>
    </row>
    <row r="351" spans="1:18" x14ac:dyDescent="0.3">
      <c r="A351" s="20"/>
      <c r="Q351"/>
      <c r="R351"/>
    </row>
    <row r="352" spans="1:18" x14ac:dyDescent="0.3">
      <c r="A352" s="20"/>
      <c r="Q352"/>
      <c r="R352"/>
    </row>
    <row r="353" spans="1:18" x14ac:dyDescent="0.3">
      <c r="A353" s="20"/>
      <c r="Q353"/>
      <c r="R353"/>
    </row>
    <row r="354" spans="1:18" x14ac:dyDescent="0.3">
      <c r="A354" s="20"/>
      <c r="R354"/>
    </row>
    <row r="355" spans="1:18" x14ac:dyDescent="0.3">
      <c r="A355" s="20"/>
    </row>
    <row r="356" spans="1:18" x14ac:dyDescent="0.3">
      <c r="A356" s="20"/>
    </row>
    <row r="357" spans="1:18" x14ac:dyDescent="0.3">
      <c r="A357" s="20"/>
    </row>
    <row r="358" spans="1:18" x14ac:dyDescent="0.3">
      <c r="A358" s="20"/>
    </row>
    <row r="359" spans="1:18" x14ac:dyDescent="0.3">
      <c r="A359" s="20"/>
    </row>
    <row r="360" spans="1:18" x14ac:dyDescent="0.3">
      <c r="A360" s="20"/>
    </row>
    <row r="361" spans="1:18" x14ac:dyDescent="0.3">
      <c r="A361" s="20"/>
    </row>
    <row r="362" spans="1:18" x14ac:dyDescent="0.3">
      <c r="A362" s="20"/>
    </row>
    <row r="363" spans="1:18" x14ac:dyDescent="0.3">
      <c r="A363" s="20"/>
    </row>
    <row r="364" spans="1:18" x14ac:dyDescent="0.3">
      <c r="A364" s="20"/>
    </row>
    <row r="365" spans="1:18" x14ac:dyDescent="0.3">
      <c r="A365" s="20"/>
    </row>
    <row r="366" spans="1:18" x14ac:dyDescent="0.3">
      <c r="A366" s="20"/>
    </row>
    <row r="367" spans="1:18" x14ac:dyDescent="0.3">
      <c r="A367" s="20"/>
    </row>
    <row r="368" spans="1:18" x14ac:dyDescent="0.3">
      <c r="A368" s="20"/>
    </row>
    <row r="369" spans="1:1" x14ac:dyDescent="0.3">
      <c r="A369" s="20"/>
    </row>
    <row r="370" spans="1:1" x14ac:dyDescent="0.3">
      <c r="A370" s="20"/>
    </row>
    <row r="371" spans="1:1" x14ac:dyDescent="0.3">
      <c r="A371" s="20"/>
    </row>
    <row r="372" spans="1:1" x14ac:dyDescent="0.3">
      <c r="A372" s="20"/>
    </row>
    <row r="373" spans="1:1" x14ac:dyDescent="0.3">
      <c r="A373" s="20"/>
    </row>
    <row r="374" spans="1:1" x14ac:dyDescent="0.3">
      <c r="A374" s="20"/>
    </row>
    <row r="375" spans="1:1" x14ac:dyDescent="0.3">
      <c r="A375" s="20"/>
    </row>
    <row r="376" spans="1:1" x14ac:dyDescent="0.3">
      <c r="A376" s="20"/>
    </row>
    <row r="377" spans="1:1" x14ac:dyDescent="0.3">
      <c r="A377" s="20"/>
    </row>
    <row r="378" spans="1:1" x14ac:dyDescent="0.3">
      <c r="A378" s="20"/>
    </row>
    <row r="379" spans="1:1" x14ac:dyDescent="0.3">
      <c r="A379" s="20"/>
    </row>
    <row r="380" spans="1:1" x14ac:dyDescent="0.3">
      <c r="A380" s="20"/>
    </row>
    <row r="381" spans="1:1" x14ac:dyDescent="0.3">
      <c r="A381" s="20"/>
    </row>
    <row r="382" spans="1:1" x14ac:dyDescent="0.3">
      <c r="A382" s="20"/>
    </row>
    <row r="383" spans="1:1" x14ac:dyDescent="0.3">
      <c r="A383" s="20"/>
    </row>
    <row r="384" spans="1:1" x14ac:dyDescent="0.3">
      <c r="A384" s="20"/>
    </row>
    <row r="385" spans="1:1" x14ac:dyDescent="0.3">
      <c r="A385" s="20"/>
    </row>
    <row r="386" spans="1:1" x14ac:dyDescent="0.3">
      <c r="A386" s="20"/>
    </row>
    <row r="387" spans="1:1" x14ac:dyDescent="0.3">
      <c r="A387" s="20"/>
    </row>
    <row r="388" spans="1:1" x14ac:dyDescent="0.3">
      <c r="A388" s="20"/>
    </row>
    <row r="389" spans="1:1" x14ac:dyDescent="0.3">
      <c r="A389" s="20"/>
    </row>
    <row r="390" spans="1:1" x14ac:dyDescent="0.3">
      <c r="A390" s="20"/>
    </row>
    <row r="391" spans="1:1" x14ac:dyDescent="0.3">
      <c r="A391" s="20"/>
    </row>
    <row r="392" spans="1:1" x14ac:dyDescent="0.3">
      <c r="A392" s="20"/>
    </row>
    <row r="393" spans="1:1" x14ac:dyDescent="0.3">
      <c r="A393" s="20"/>
    </row>
    <row r="394" spans="1:1" x14ac:dyDescent="0.3">
      <c r="A394" s="20"/>
    </row>
    <row r="395" spans="1:1" x14ac:dyDescent="0.3">
      <c r="A395" s="20"/>
    </row>
    <row r="396" spans="1:1" x14ac:dyDescent="0.3">
      <c r="A396" s="20"/>
    </row>
    <row r="397" spans="1:1" x14ac:dyDescent="0.3">
      <c r="A397" s="20"/>
    </row>
    <row r="398" spans="1:1" x14ac:dyDescent="0.3">
      <c r="A398" s="20"/>
    </row>
    <row r="399" spans="1:1" x14ac:dyDescent="0.3">
      <c r="A399" s="20"/>
    </row>
    <row r="400" spans="1:1" x14ac:dyDescent="0.3">
      <c r="A400" s="20"/>
    </row>
    <row r="401" spans="1:1" x14ac:dyDescent="0.3">
      <c r="A401" s="20"/>
    </row>
    <row r="402" spans="1:1" x14ac:dyDescent="0.3">
      <c r="A402" s="20"/>
    </row>
    <row r="403" spans="1:1" x14ac:dyDescent="0.3">
      <c r="A403" s="20"/>
    </row>
    <row r="404" spans="1:1" x14ac:dyDescent="0.3">
      <c r="A404" s="20"/>
    </row>
    <row r="405" spans="1:1" x14ac:dyDescent="0.3">
      <c r="A405" s="20"/>
    </row>
    <row r="406" spans="1:1" x14ac:dyDescent="0.3">
      <c r="A406" s="20"/>
    </row>
    <row r="407" spans="1:1" x14ac:dyDescent="0.3">
      <c r="A407" s="20"/>
    </row>
    <row r="408" spans="1:1" x14ac:dyDescent="0.3">
      <c r="A408" s="20"/>
    </row>
    <row r="409" spans="1:1" x14ac:dyDescent="0.3">
      <c r="A409" s="20"/>
    </row>
    <row r="410" spans="1:1" x14ac:dyDescent="0.3">
      <c r="A410" s="20"/>
    </row>
    <row r="411" spans="1:1" x14ac:dyDescent="0.3">
      <c r="A411" s="20"/>
    </row>
    <row r="412" spans="1:1" x14ac:dyDescent="0.3">
      <c r="A412" s="20"/>
    </row>
    <row r="413" spans="1:1" x14ac:dyDescent="0.3">
      <c r="A413" s="20"/>
    </row>
    <row r="414" spans="1:1" x14ac:dyDescent="0.3">
      <c r="A414" s="20"/>
    </row>
    <row r="415" spans="1:1" x14ac:dyDescent="0.3">
      <c r="A415" s="20"/>
    </row>
    <row r="416" spans="1:1" x14ac:dyDescent="0.3">
      <c r="A416" s="20"/>
    </row>
    <row r="417" spans="1:1" x14ac:dyDescent="0.3">
      <c r="A417" s="20"/>
    </row>
    <row r="418" spans="1:1" x14ac:dyDescent="0.3">
      <c r="A418" s="20"/>
    </row>
    <row r="419" spans="1:1" x14ac:dyDescent="0.3">
      <c r="A419" s="20"/>
    </row>
    <row r="420" spans="1:1" x14ac:dyDescent="0.3">
      <c r="A420" s="20"/>
    </row>
    <row r="421" spans="1:1" x14ac:dyDescent="0.3">
      <c r="A421" s="20"/>
    </row>
    <row r="422" spans="1:1" x14ac:dyDescent="0.3">
      <c r="A422" s="20"/>
    </row>
    <row r="423" spans="1:1" x14ac:dyDescent="0.3">
      <c r="A423" s="20"/>
    </row>
    <row r="424" spans="1:1" x14ac:dyDescent="0.3">
      <c r="A424" s="20"/>
    </row>
    <row r="425" spans="1:1" x14ac:dyDescent="0.3">
      <c r="A425" s="20"/>
    </row>
    <row r="426" spans="1:1" x14ac:dyDescent="0.3">
      <c r="A426" s="20"/>
    </row>
    <row r="427" spans="1:1" x14ac:dyDescent="0.3">
      <c r="A427" s="20"/>
    </row>
    <row r="428" spans="1:1" x14ac:dyDescent="0.3">
      <c r="A428" s="20"/>
    </row>
    <row r="429" spans="1:1" x14ac:dyDescent="0.3">
      <c r="A429" s="20"/>
    </row>
    <row r="430" spans="1:1" x14ac:dyDescent="0.3">
      <c r="A430" s="20"/>
    </row>
    <row r="431" spans="1:1" x14ac:dyDescent="0.3">
      <c r="A431" s="20"/>
    </row>
    <row r="432" spans="1:1" x14ac:dyDescent="0.3">
      <c r="A432" s="20"/>
    </row>
    <row r="433" spans="1:1" x14ac:dyDescent="0.3">
      <c r="A433" s="20"/>
    </row>
    <row r="434" spans="1:1" x14ac:dyDescent="0.3">
      <c r="A434" s="20"/>
    </row>
    <row r="435" spans="1:1" x14ac:dyDescent="0.3">
      <c r="A435" s="20"/>
    </row>
    <row r="436" spans="1:1" x14ac:dyDescent="0.3">
      <c r="A436" s="20"/>
    </row>
    <row r="437" spans="1:1" x14ac:dyDescent="0.3">
      <c r="A437" s="20"/>
    </row>
    <row r="438" spans="1:1" x14ac:dyDescent="0.3">
      <c r="A438" s="20"/>
    </row>
    <row r="439" spans="1:1" x14ac:dyDescent="0.3">
      <c r="A439" s="20"/>
    </row>
    <row r="440" spans="1:1" x14ac:dyDescent="0.3">
      <c r="A440" s="20"/>
    </row>
    <row r="441" spans="1:1" x14ac:dyDescent="0.3">
      <c r="A441" s="20"/>
    </row>
    <row r="442" spans="1:1" x14ac:dyDescent="0.3">
      <c r="A442" s="20"/>
    </row>
    <row r="443" spans="1:1" x14ac:dyDescent="0.3">
      <c r="A443" s="20"/>
    </row>
    <row r="444" spans="1:1" x14ac:dyDescent="0.3">
      <c r="A444" s="20"/>
    </row>
    <row r="445" spans="1:1" x14ac:dyDescent="0.3">
      <c r="A445" s="20"/>
    </row>
    <row r="446" spans="1:1" x14ac:dyDescent="0.3">
      <c r="A446" s="20"/>
    </row>
    <row r="447" spans="1:1" x14ac:dyDescent="0.3">
      <c r="A447" s="20"/>
    </row>
    <row r="448" spans="1:1" x14ac:dyDescent="0.3">
      <c r="A448" s="20"/>
    </row>
    <row r="449" spans="1:1" x14ac:dyDescent="0.3">
      <c r="A449" s="20"/>
    </row>
    <row r="450" spans="1:1" x14ac:dyDescent="0.3">
      <c r="A450" s="20"/>
    </row>
    <row r="451" spans="1:1" x14ac:dyDescent="0.3">
      <c r="A451" s="20"/>
    </row>
    <row r="452" spans="1:1" x14ac:dyDescent="0.3">
      <c r="A452" s="20"/>
    </row>
    <row r="453" spans="1:1" x14ac:dyDescent="0.3">
      <c r="A453" s="20"/>
    </row>
    <row r="454" spans="1:1" x14ac:dyDescent="0.3">
      <c r="A454" s="20"/>
    </row>
    <row r="455" spans="1:1" x14ac:dyDescent="0.3">
      <c r="A455" s="20"/>
    </row>
    <row r="456" spans="1:1" x14ac:dyDescent="0.3">
      <c r="A456" s="20"/>
    </row>
    <row r="457" spans="1:1" x14ac:dyDescent="0.3">
      <c r="A457" s="20"/>
    </row>
    <row r="458" spans="1:1" x14ac:dyDescent="0.3">
      <c r="A458" s="20"/>
    </row>
    <row r="459" spans="1:1" x14ac:dyDescent="0.3">
      <c r="A459" s="20"/>
    </row>
    <row r="460" spans="1:1" x14ac:dyDescent="0.3">
      <c r="A460" s="20"/>
    </row>
    <row r="461" spans="1:1" x14ac:dyDescent="0.3">
      <c r="A461" s="20"/>
    </row>
    <row r="462" spans="1:1" x14ac:dyDescent="0.3">
      <c r="A462" s="20"/>
    </row>
    <row r="463" spans="1:1" x14ac:dyDescent="0.3">
      <c r="A463" s="20"/>
    </row>
    <row r="464" spans="1:1" x14ac:dyDescent="0.3">
      <c r="A464" s="20"/>
    </row>
    <row r="465" spans="1:1" x14ac:dyDescent="0.3">
      <c r="A465" s="20"/>
    </row>
    <row r="466" spans="1:1" x14ac:dyDescent="0.3">
      <c r="A466" s="20"/>
    </row>
    <row r="467" spans="1:1" x14ac:dyDescent="0.3">
      <c r="A467" s="20"/>
    </row>
    <row r="468" spans="1:1" x14ac:dyDescent="0.3">
      <c r="A468" s="20"/>
    </row>
    <row r="469" spans="1:1" x14ac:dyDescent="0.3">
      <c r="A469" s="20"/>
    </row>
    <row r="470" spans="1:1" x14ac:dyDescent="0.3">
      <c r="A470" s="20"/>
    </row>
    <row r="471" spans="1:1" x14ac:dyDescent="0.3">
      <c r="A471" s="20"/>
    </row>
    <row r="472" spans="1:1" x14ac:dyDescent="0.3">
      <c r="A472" s="20"/>
    </row>
    <row r="473" spans="1:1" x14ac:dyDescent="0.3">
      <c r="A473" s="20"/>
    </row>
    <row r="474" spans="1:1" x14ac:dyDescent="0.3">
      <c r="A474" s="20"/>
    </row>
    <row r="475" spans="1:1" x14ac:dyDescent="0.3">
      <c r="A475" s="20"/>
    </row>
    <row r="476" spans="1:1" x14ac:dyDescent="0.3">
      <c r="A476" s="20"/>
    </row>
    <row r="477" spans="1:1" x14ac:dyDescent="0.3">
      <c r="A477" s="20"/>
    </row>
    <row r="478" spans="1:1" x14ac:dyDescent="0.3">
      <c r="A478" s="20"/>
    </row>
    <row r="479" spans="1:1" x14ac:dyDescent="0.3">
      <c r="A479" s="20"/>
    </row>
    <row r="480" spans="1:1" x14ac:dyDescent="0.3">
      <c r="A480" s="20"/>
    </row>
    <row r="481" spans="1:1" x14ac:dyDescent="0.3">
      <c r="A481" s="20"/>
    </row>
    <row r="482" spans="1:1" x14ac:dyDescent="0.3">
      <c r="A482" s="20"/>
    </row>
    <row r="483" spans="1:1" x14ac:dyDescent="0.3">
      <c r="A483" s="20"/>
    </row>
    <row r="484" spans="1:1" x14ac:dyDescent="0.3">
      <c r="A484" s="20"/>
    </row>
    <row r="485" spans="1:1" x14ac:dyDescent="0.3">
      <c r="A485" s="20"/>
    </row>
    <row r="486" spans="1:1" x14ac:dyDescent="0.3">
      <c r="A486" s="20"/>
    </row>
    <row r="487" spans="1:1" x14ac:dyDescent="0.3">
      <c r="A487" s="20"/>
    </row>
    <row r="488" spans="1:1" x14ac:dyDescent="0.3">
      <c r="A488" s="20"/>
    </row>
    <row r="489" spans="1:1" x14ac:dyDescent="0.3">
      <c r="A489" s="20"/>
    </row>
    <row r="490" spans="1:1" x14ac:dyDescent="0.3">
      <c r="A490" s="20"/>
    </row>
    <row r="491" spans="1:1" x14ac:dyDescent="0.3">
      <c r="A491" s="20"/>
    </row>
    <row r="492" spans="1:1" x14ac:dyDescent="0.3">
      <c r="A492" s="20"/>
    </row>
    <row r="493" spans="1:1" x14ac:dyDescent="0.3">
      <c r="A493" s="20"/>
    </row>
    <row r="494" spans="1:1" x14ac:dyDescent="0.3">
      <c r="A494" s="20"/>
    </row>
    <row r="495" spans="1:1" x14ac:dyDescent="0.3">
      <c r="A495" s="20"/>
    </row>
    <row r="496" spans="1:1" x14ac:dyDescent="0.3">
      <c r="A496" s="20"/>
    </row>
    <row r="497" spans="1:1" x14ac:dyDescent="0.3">
      <c r="A497" s="20"/>
    </row>
    <row r="498" spans="1:1" x14ac:dyDescent="0.3">
      <c r="A498" s="20"/>
    </row>
    <row r="499" spans="1:1" x14ac:dyDescent="0.3">
      <c r="A499" s="20"/>
    </row>
    <row r="500" spans="1:1" x14ac:dyDescent="0.3">
      <c r="A500" s="20"/>
    </row>
    <row r="501" spans="1:1" x14ac:dyDescent="0.3">
      <c r="A501" s="20"/>
    </row>
    <row r="502" spans="1:1" x14ac:dyDescent="0.3">
      <c r="A502" s="20"/>
    </row>
    <row r="503" spans="1:1" x14ac:dyDescent="0.3">
      <c r="A503" s="20"/>
    </row>
    <row r="504" spans="1:1" x14ac:dyDescent="0.3">
      <c r="A504" s="20"/>
    </row>
    <row r="505" spans="1:1" x14ac:dyDescent="0.3">
      <c r="A505" s="20"/>
    </row>
    <row r="506" spans="1:1" x14ac:dyDescent="0.3">
      <c r="A506" s="20"/>
    </row>
    <row r="507" spans="1:1" x14ac:dyDescent="0.3">
      <c r="A507" s="20"/>
    </row>
    <row r="508" spans="1:1" x14ac:dyDescent="0.3">
      <c r="A508" s="20"/>
    </row>
    <row r="509" spans="1:1" x14ac:dyDescent="0.3">
      <c r="A509" s="20"/>
    </row>
    <row r="510" spans="1:1" x14ac:dyDescent="0.3">
      <c r="A510" s="20"/>
    </row>
    <row r="511" spans="1:1" x14ac:dyDescent="0.3">
      <c r="A511" s="20"/>
    </row>
    <row r="512" spans="1:1" x14ac:dyDescent="0.3">
      <c r="A512" s="20"/>
    </row>
    <row r="513" spans="1:1" x14ac:dyDescent="0.3">
      <c r="A513" s="20"/>
    </row>
    <row r="514" spans="1:1" x14ac:dyDescent="0.3">
      <c r="A514" s="20"/>
    </row>
    <row r="515" spans="1:1" x14ac:dyDescent="0.3">
      <c r="A515" s="20"/>
    </row>
    <row r="516" spans="1:1" x14ac:dyDescent="0.3">
      <c r="A516" s="20"/>
    </row>
    <row r="517" spans="1:1" x14ac:dyDescent="0.3">
      <c r="A517" s="20"/>
    </row>
    <row r="518" spans="1:1" x14ac:dyDescent="0.3">
      <c r="A518" s="20"/>
    </row>
    <row r="519" spans="1:1" x14ac:dyDescent="0.3">
      <c r="A519" s="20"/>
    </row>
    <row r="520" spans="1:1" x14ac:dyDescent="0.3">
      <c r="A520" s="20"/>
    </row>
    <row r="521" spans="1:1" x14ac:dyDescent="0.3">
      <c r="A521" s="20"/>
    </row>
    <row r="522" spans="1:1" x14ac:dyDescent="0.3">
      <c r="A522" s="20"/>
    </row>
    <row r="523" spans="1:1" x14ac:dyDescent="0.3">
      <c r="A523" s="20"/>
    </row>
    <row r="524" spans="1:1" x14ac:dyDescent="0.3">
      <c r="A524" s="20"/>
    </row>
    <row r="525" spans="1:1" x14ac:dyDescent="0.3">
      <c r="A525" s="20"/>
    </row>
    <row r="526" spans="1:1" x14ac:dyDescent="0.3">
      <c r="A526" s="20"/>
    </row>
    <row r="527" spans="1:1" x14ac:dyDescent="0.3">
      <c r="A527" s="20"/>
    </row>
    <row r="528" spans="1:1" x14ac:dyDescent="0.3">
      <c r="A528" s="20"/>
    </row>
    <row r="529" spans="1:1" x14ac:dyDescent="0.3">
      <c r="A529" s="20"/>
    </row>
    <row r="530" spans="1:1" x14ac:dyDescent="0.3">
      <c r="A530" s="20"/>
    </row>
    <row r="531" spans="1:1" x14ac:dyDescent="0.3">
      <c r="A531" s="20"/>
    </row>
    <row r="532" spans="1:1" x14ac:dyDescent="0.3">
      <c r="A532" s="20"/>
    </row>
    <row r="533" spans="1:1" x14ac:dyDescent="0.3">
      <c r="A533" s="20"/>
    </row>
    <row r="534" spans="1:1" x14ac:dyDescent="0.3">
      <c r="A534" s="20"/>
    </row>
    <row r="535" spans="1:1" x14ac:dyDescent="0.3">
      <c r="A535" s="20"/>
    </row>
    <row r="536" spans="1:1" x14ac:dyDescent="0.3">
      <c r="A536" s="20"/>
    </row>
    <row r="537" spans="1:1" x14ac:dyDescent="0.3">
      <c r="A537" s="20"/>
    </row>
    <row r="538" spans="1:1" x14ac:dyDescent="0.3">
      <c r="A538" s="20"/>
    </row>
    <row r="539" spans="1:1" x14ac:dyDescent="0.3">
      <c r="A539" s="20"/>
    </row>
    <row r="540" spans="1:1" x14ac:dyDescent="0.3">
      <c r="A540" s="20"/>
    </row>
    <row r="541" spans="1:1" x14ac:dyDescent="0.3">
      <c r="A541" s="20"/>
    </row>
    <row r="542" spans="1:1" x14ac:dyDescent="0.3">
      <c r="A542" s="20"/>
    </row>
    <row r="543" spans="1:1" x14ac:dyDescent="0.3">
      <c r="A543" s="20"/>
    </row>
    <row r="544" spans="1:1" x14ac:dyDescent="0.3">
      <c r="A544" s="20"/>
    </row>
    <row r="545" spans="1:1" x14ac:dyDescent="0.3">
      <c r="A545" s="20"/>
    </row>
    <row r="546" spans="1:1" x14ac:dyDescent="0.3">
      <c r="A546" s="20"/>
    </row>
    <row r="547" spans="1:1" x14ac:dyDescent="0.3">
      <c r="A547" s="20"/>
    </row>
    <row r="548" spans="1:1" x14ac:dyDescent="0.3">
      <c r="A548" s="20"/>
    </row>
    <row r="549" spans="1:1" x14ac:dyDescent="0.3">
      <c r="A549" s="20"/>
    </row>
    <row r="550" spans="1:1" x14ac:dyDescent="0.3">
      <c r="A550" s="20"/>
    </row>
    <row r="551" spans="1:1" x14ac:dyDescent="0.3">
      <c r="A551" s="20"/>
    </row>
    <row r="552" spans="1:1" x14ac:dyDescent="0.3">
      <c r="A552" s="20"/>
    </row>
    <row r="553" spans="1:1" x14ac:dyDescent="0.3">
      <c r="A553" s="20"/>
    </row>
    <row r="554" spans="1:1" x14ac:dyDescent="0.3">
      <c r="A554" s="20"/>
    </row>
    <row r="555" spans="1:1" x14ac:dyDescent="0.3">
      <c r="A555" s="20"/>
    </row>
    <row r="556" spans="1:1" x14ac:dyDescent="0.3">
      <c r="A556" s="20"/>
    </row>
    <row r="557" spans="1:1" x14ac:dyDescent="0.3">
      <c r="A557" s="20"/>
    </row>
    <row r="558" spans="1:1" x14ac:dyDescent="0.3">
      <c r="A558" s="20"/>
    </row>
    <row r="559" spans="1:1" x14ac:dyDescent="0.3">
      <c r="A559" s="20"/>
    </row>
    <row r="560" spans="1:1" x14ac:dyDescent="0.3">
      <c r="A560" s="20"/>
    </row>
    <row r="561" spans="1:1" x14ac:dyDescent="0.3">
      <c r="A561" s="20"/>
    </row>
    <row r="562" spans="1:1" x14ac:dyDescent="0.3">
      <c r="A562" s="20"/>
    </row>
    <row r="563" spans="1:1" x14ac:dyDescent="0.3">
      <c r="A563" s="20"/>
    </row>
    <row r="564" spans="1:1" x14ac:dyDescent="0.3">
      <c r="A564" s="20"/>
    </row>
    <row r="565" spans="1:1" x14ac:dyDescent="0.3">
      <c r="A565" s="20"/>
    </row>
    <row r="566" spans="1:1" x14ac:dyDescent="0.3">
      <c r="A566" s="20"/>
    </row>
    <row r="567" spans="1:1" x14ac:dyDescent="0.3">
      <c r="A567" s="20"/>
    </row>
    <row r="568" spans="1:1" x14ac:dyDescent="0.3">
      <c r="A568" s="20"/>
    </row>
    <row r="569" spans="1:1" x14ac:dyDescent="0.3">
      <c r="A569" s="20"/>
    </row>
    <row r="570" spans="1:1" x14ac:dyDescent="0.3">
      <c r="A570" s="20"/>
    </row>
    <row r="571" spans="1:1" x14ac:dyDescent="0.3">
      <c r="A571" s="20"/>
    </row>
    <row r="572" spans="1:1" x14ac:dyDescent="0.3">
      <c r="A572" s="20"/>
    </row>
    <row r="573" spans="1:1" x14ac:dyDescent="0.3">
      <c r="A573" s="20"/>
    </row>
    <row r="574" spans="1:1" x14ac:dyDescent="0.3">
      <c r="A574" s="20"/>
    </row>
    <row r="575" spans="1:1" x14ac:dyDescent="0.3">
      <c r="A575" s="20"/>
    </row>
    <row r="576" spans="1:1" x14ac:dyDescent="0.3">
      <c r="A576" s="20"/>
    </row>
    <row r="577" spans="1:1" x14ac:dyDescent="0.3">
      <c r="A577" s="20"/>
    </row>
    <row r="578" spans="1:1" x14ac:dyDescent="0.3">
      <c r="A578" s="20"/>
    </row>
    <row r="579" spans="1:1" x14ac:dyDescent="0.3">
      <c r="A579" s="20"/>
    </row>
    <row r="580" spans="1:1" x14ac:dyDescent="0.3">
      <c r="A580" s="20"/>
    </row>
    <row r="581" spans="1:1" x14ac:dyDescent="0.3">
      <c r="A581" s="20"/>
    </row>
    <row r="582" spans="1:1" x14ac:dyDescent="0.3">
      <c r="A582" s="20"/>
    </row>
    <row r="583" spans="1:1" x14ac:dyDescent="0.3">
      <c r="A583" s="20"/>
    </row>
    <row r="584" spans="1:1" x14ac:dyDescent="0.3">
      <c r="A584" s="20"/>
    </row>
    <row r="585" spans="1:1" x14ac:dyDescent="0.3">
      <c r="A585" s="20"/>
    </row>
    <row r="586" spans="1:1" x14ac:dyDescent="0.3">
      <c r="A586" s="20"/>
    </row>
    <row r="587" spans="1:1" x14ac:dyDescent="0.3">
      <c r="A587" s="20"/>
    </row>
    <row r="588" spans="1:1" x14ac:dyDescent="0.3">
      <c r="A588" s="20"/>
    </row>
    <row r="589" spans="1:1" x14ac:dyDescent="0.3">
      <c r="A589" s="20"/>
    </row>
    <row r="590" spans="1:1" x14ac:dyDescent="0.3">
      <c r="A590" s="20"/>
    </row>
    <row r="591" spans="1:1" x14ac:dyDescent="0.3">
      <c r="A591" s="20"/>
    </row>
    <row r="592" spans="1:1" x14ac:dyDescent="0.3">
      <c r="A592" s="20"/>
    </row>
    <row r="593" spans="1:1" x14ac:dyDescent="0.3">
      <c r="A593" s="20"/>
    </row>
    <row r="594" spans="1:1" x14ac:dyDescent="0.3">
      <c r="A594" s="20"/>
    </row>
    <row r="595" spans="1:1" x14ac:dyDescent="0.3">
      <c r="A595" s="20"/>
    </row>
    <row r="596" spans="1:1" x14ac:dyDescent="0.3">
      <c r="A596" s="20"/>
    </row>
    <row r="597" spans="1:1" x14ac:dyDescent="0.3">
      <c r="A597" s="20"/>
    </row>
    <row r="598" spans="1:1" x14ac:dyDescent="0.3">
      <c r="A598" s="20"/>
    </row>
    <row r="599" spans="1:1" x14ac:dyDescent="0.3">
      <c r="A599" s="20"/>
    </row>
    <row r="600" spans="1:1" x14ac:dyDescent="0.3">
      <c r="A600" s="20"/>
    </row>
    <row r="601" spans="1:1" x14ac:dyDescent="0.3">
      <c r="A601" s="20"/>
    </row>
    <row r="602" spans="1:1" x14ac:dyDescent="0.3">
      <c r="A602" s="20"/>
    </row>
    <row r="603" spans="1:1" x14ac:dyDescent="0.3">
      <c r="A603" s="20"/>
    </row>
    <row r="604" spans="1:1" x14ac:dyDescent="0.3">
      <c r="A604" s="20"/>
    </row>
    <row r="605" spans="1:1" x14ac:dyDescent="0.3">
      <c r="A605" s="20"/>
    </row>
    <row r="606" spans="1:1" x14ac:dyDescent="0.3">
      <c r="A606" s="20"/>
    </row>
    <row r="607" spans="1:1" x14ac:dyDescent="0.3">
      <c r="A607" s="20"/>
    </row>
    <row r="608" spans="1:1" x14ac:dyDescent="0.3">
      <c r="A608" s="20"/>
    </row>
    <row r="609" spans="1:1" x14ac:dyDescent="0.3">
      <c r="A609" s="20"/>
    </row>
    <row r="610" spans="1:1" x14ac:dyDescent="0.3">
      <c r="A610" s="20"/>
    </row>
    <row r="611" spans="1:1" x14ac:dyDescent="0.3">
      <c r="A611" s="20"/>
    </row>
    <row r="612" spans="1:1" x14ac:dyDescent="0.3">
      <c r="A612" s="20"/>
    </row>
    <row r="613" spans="1:1" x14ac:dyDescent="0.3">
      <c r="A613" s="20"/>
    </row>
    <row r="614" spans="1:1" x14ac:dyDescent="0.3">
      <c r="A614" s="20"/>
    </row>
    <row r="615" spans="1:1" x14ac:dyDescent="0.3">
      <c r="A615" s="20"/>
    </row>
    <row r="616" spans="1:1" x14ac:dyDescent="0.3">
      <c r="A616" s="20"/>
    </row>
    <row r="617" spans="1:1" x14ac:dyDescent="0.3">
      <c r="A617" s="20"/>
    </row>
    <row r="618" spans="1:1" x14ac:dyDescent="0.3">
      <c r="A618" s="20"/>
    </row>
    <row r="619" spans="1:1" x14ac:dyDescent="0.3">
      <c r="A619" s="20"/>
    </row>
    <row r="620" spans="1:1" x14ac:dyDescent="0.3">
      <c r="A620" s="20"/>
    </row>
    <row r="621" spans="1:1" x14ac:dyDescent="0.3">
      <c r="A621" s="20"/>
    </row>
    <row r="622" spans="1:1" x14ac:dyDescent="0.3">
      <c r="A622" s="20"/>
    </row>
    <row r="623" spans="1:1" x14ac:dyDescent="0.3">
      <c r="A623" s="20"/>
    </row>
    <row r="624" spans="1:1" x14ac:dyDescent="0.3">
      <c r="A624" s="20"/>
    </row>
    <row r="625" spans="1:1" x14ac:dyDescent="0.3">
      <c r="A625" s="20"/>
    </row>
    <row r="626" spans="1:1" x14ac:dyDescent="0.3">
      <c r="A626" s="20"/>
    </row>
    <row r="627" spans="1:1" x14ac:dyDescent="0.3">
      <c r="A627" s="20"/>
    </row>
    <row r="628" spans="1:1" x14ac:dyDescent="0.3">
      <c r="A628" s="20"/>
    </row>
    <row r="629" spans="1:1" x14ac:dyDescent="0.3">
      <c r="A629" s="20"/>
    </row>
    <row r="630" spans="1:1" x14ac:dyDescent="0.3">
      <c r="A630" s="20"/>
    </row>
    <row r="631" spans="1:1" x14ac:dyDescent="0.3">
      <c r="A631" s="20"/>
    </row>
    <row r="632" spans="1:1" x14ac:dyDescent="0.3">
      <c r="A632" s="20"/>
    </row>
    <row r="633" spans="1:1" x14ac:dyDescent="0.3">
      <c r="A633" s="20"/>
    </row>
    <row r="634" spans="1:1" x14ac:dyDescent="0.3">
      <c r="A634" s="20"/>
    </row>
    <row r="635" spans="1:1" x14ac:dyDescent="0.3">
      <c r="A635" s="20"/>
    </row>
    <row r="636" spans="1:1" x14ac:dyDescent="0.3">
      <c r="A636" s="20"/>
    </row>
    <row r="637" spans="1:1" x14ac:dyDescent="0.3">
      <c r="A637" s="20"/>
    </row>
    <row r="638" spans="1:1" x14ac:dyDescent="0.3">
      <c r="A638" s="20"/>
    </row>
    <row r="639" spans="1:1" x14ac:dyDescent="0.3">
      <c r="A639" s="20"/>
    </row>
    <row r="640" spans="1:1" x14ac:dyDescent="0.3">
      <c r="A640" s="20"/>
    </row>
    <row r="641" spans="1:1" x14ac:dyDescent="0.3">
      <c r="A641" s="20"/>
    </row>
    <row r="642" spans="1:1" x14ac:dyDescent="0.3">
      <c r="A642" s="20"/>
    </row>
    <row r="643" spans="1:1" x14ac:dyDescent="0.3">
      <c r="A643" s="20"/>
    </row>
    <row r="644" spans="1:1" x14ac:dyDescent="0.3">
      <c r="A644" s="20"/>
    </row>
    <row r="645" spans="1:1" x14ac:dyDescent="0.3">
      <c r="A645" s="20"/>
    </row>
    <row r="646" spans="1:1" x14ac:dyDescent="0.3">
      <c r="A646" s="20"/>
    </row>
    <row r="647" spans="1:1" x14ac:dyDescent="0.3">
      <c r="A647" s="20"/>
    </row>
    <row r="648" spans="1:1" x14ac:dyDescent="0.3">
      <c r="A648" s="20"/>
    </row>
    <row r="649" spans="1:1" x14ac:dyDescent="0.3">
      <c r="A649" s="20"/>
    </row>
    <row r="650" spans="1:1" x14ac:dyDescent="0.3">
      <c r="A650" s="20"/>
    </row>
    <row r="651" spans="1:1" x14ac:dyDescent="0.3">
      <c r="A651" s="20"/>
    </row>
    <row r="652" spans="1:1" x14ac:dyDescent="0.3">
      <c r="A652" s="20"/>
    </row>
    <row r="653" spans="1:1" x14ac:dyDescent="0.3">
      <c r="A653" s="20"/>
    </row>
    <row r="654" spans="1:1" x14ac:dyDescent="0.3">
      <c r="A654" s="20"/>
    </row>
    <row r="655" spans="1:1" x14ac:dyDescent="0.3">
      <c r="A655" s="20"/>
    </row>
    <row r="656" spans="1:1" x14ac:dyDescent="0.3">
      <c r="A656" s="20"/>
    </row>
    <row r="657" spans="1:1" x14ac:dyDescent="0.3">
      <c r="A657" s="20"/>
    </row>
    <row r="658" spans="1:1" x14ac:dyDescent="0.3">
      <c r="A658" s="20"/>
    </row>
    <row r="659" spans="1:1" x14ac:dyDescent="0.3">
      <c r="A659" s="20"/>
    </row>
    <row r="660" spans="1:1" x14ac:dyDescent="0.3">
      <c r="A660" s="20"/>
    </row>
    <row r="661" spans="1:1" x14ac:dyDescent="0.3">
      <c r="A661" s="20"/>
    </row>
    <row r="662" spans="1:1" x14ac:dyDescent="0.3">
      <c r="A662" s="20"/>
    </row>
    <row r="663" spans="1:1" x14ac:dyDescent="0.3">
      <c r="A663" s="20"/>
    </row>
    <row r="664" spans="1:1" x14ac:dyDescent="0.3">
      <c r="A664" s="20"/>
    </row>
    <row r="665" spans="1:1" x14ac:dyDescent="0.3">
      <c r="A665" s="20"/>
    </row>
    <row r="666" spans="1:1" x14ac:dyDescent="0.3">
      <c r="A666" s="20"/>
    </row>
    <row r="667" spans="1:1" x14ac:dyDescent="0.3">
      <c r="A667" s="20"/>
    </row>
    <row r="668" spans="1:1" x14ac:dyDescent="0.3">
      <c r="A668" s="20"/>
    </row>
    <row r="669" spans="1:1" x14ac:dyDescent="0.3">
      <c r="A669" s="20"/>
    </row>
    <row r="670" spans="1:1" x14ac:dyDescent="0.3">
      <c r="A670" s="20"/>
    </row>
    <row r="671" spans="1:1" x14ac:dyDescent="0.3">
      <c r="A671" s="20"/>
    </row>
    <row r="672" spans="1:1" x14ac:dyDescent="0.3">
      <c r="A672" s="20"/>
    </row>
    <row r="673" spans="1:1" x14ac:dyDescent="0.3">
      <c r="A673" s="20"/>
    </row>
    <row r="674" spans="1:1" x14ac:dyDescent="0.3">
      <c r="A674" s="20"/>
    </row>
    <row r="675" spans="1:1" x14ac:dyDescent="0.3">
      <c r="A675" s="20"/>
    </row>
    <row r="676" spans="1:1" x14ac:dyDescent="0.3">
      <c r="A676" s="20"/>
    </row>
    <row r="677" spans="1:1" x14ac:dyDescent="0.3">
      <c r="A677" s="20"/>
    </row>
    <row r="678" spans="1:1" x14ac:dyDescent="0.3">
      <c r="A678" s="20"/>
    </row>
    <row r="679" spans="1:1" x14ac:dyDescent="0.3">
      <c r="A679" s="20"/>
    </row>
    <row r="680" spans="1:1" x14ac:dyDescent="0.3">
      <c r="A680" s="20"/>
    </row>
    <row r="681" spans="1:1" x14ac:dyDescent="0.3">
      <c r="A681" s="20"/>
    </row>
    <row r="682" spans="1:1" x14ac:dyDescent="0.3">
      <c r="A682" s="20"/>
    </row>
    <row r="683" spans="1:1" x14ac:dyDescent="0.3">
      <c r="A683" s="20"/>
    </row>
    <row r="684" spans="1:1" x14ac:dyDescent="0.3">
      <c r="A684" s="20"/>
    </row>
    <row r="685" spans="1:1" x14ac:dyDescent="0.3">
      <c r="A685" s="20"/>
    </row>
    <row r="686" spans="1:1" x14ac:dyDescent="0.3">
      <c r="A686" s="20"/>
    </row>
    <row r="687" spans="1:1" x14ac:dyDescent="0.3">
      <c r="A687" s="20"/>
    </row>
    <row r="688" spans="1:1" x14ac:dyDescent="0.3">
      <c r="A688" s="20"/>
    </row>
    <row r="689" spans="1:1" x14ac:dyDescent="0.3">
      <c r="A689" s="20"/>
    </row>
    <row r="690" spans="1:1" x14ac:dyDescent="0.3">
      <c r="A690" s="20"/>
    </row>
    <row r="691" spans="1:1" x14ac:dyDescent="0.3">
      <c r="A691" s="20"/>
    </row>
    <row r="692" spans="1:1" x14ac:dyDescent="0.3">
      <c r="A692" s="20"/>
    </row>
    <row r="693" spans="1:1" x14ac:dyDescent="0.3">
      <c r="A693" s="20"/>
    </row>
    <row r="694" spans="1:1" x14ac:dyDescent="0.3">
      <c r="A694" s="20"/>
    </row>
    <row r="695" spans="1:1" x14ac:dyDescent="0.3">
      <c r="A695" s="20"/>
    </row>
    <row r="696" spans="1:1" x14ac:dyDescent="0.3">
      <c r="A696" s="20"/>
    </row>
    <row r="697" spans="1:1" x14ac:dyDescent="0.3">
      <c r="A697" s="20"/>
    </row>
    <row r="698" spans="1:1" x14ac:dyDescent="0.3">
      <c r="A698" s="20"/>
    </row>
    <row r="699" spans="1:1" x14ac:dyDescent="0.3">
      <c r="A699" s="20"/>
    </row>
    <row r="700" spans="1:1" x14ac:dyDescent="0.3">
      <c r="A700" s="20"/>
    </row>
    <row r="701" spans="1:1" x14ac:dyDescent="0.3">
      <c r="A701" s="20"/>
    </row>
    <row r="702" spans="1:1" x14ac:dyDescent="0.3">
      <c r="A702" s="20"/>
    </row>
    <row r="703" spans="1:1" x14ac:dyDescent="0.3">
      <c r="A703" s="20"/>
    </row>
    <row r="704" spans="1:1" x14ac:dyDescent="0.3">
      <c r="A704" s="20"/>
    </row>
    <row r="705" spans="1:1" x14ac:dyDescent="0.3">
      <c r="A705" s="20"/>
    </row>
    <row r="706" spans="1:1" x14ac:dyDescent="0.3">
      <c r="A706" s="20"/>
    </row>
    <row r="707" spans="1:1" x14ac:dyDescent="0.3">
      <c r="A707" s="20"/>
    </row>
    <row r="708" spans="1:1" x14ac:dyDescent="0.3">
      <c r="A708" s="20"/>
    </row>
    <row r="709" spans="1:1" x14ac:dyDescent="0.3">
      <c r="A709" s="20"/>
    </row>
    <row r="710" spans="1:1" x14ac:dyDescent="0.3">
      <c r="A710" s="20"/>
    </row>
    <row r="711" spans="1:1" x14ac:dyDescent="0.3">
      <c r="A711" s="20"/>
    </row>
    <row r="712" spans="1:1" x14ac:dyDescent="0.3">
      <c r="A712" s="20"/>
    </row>
    <row r="713" spans="1:1" x14ac:dyDescent="0.3">
      <c r="A713" s="20"/>
    </row>
    <row r="714" spans="1:1" x14ac:dyDescent="0.3">
      <c r="A714" s="20"/>
    </row>
    <row r="715" spans="1:1" x14ac:dyDescent="0.3">
      <c r="A715" s="20"/>
    </row>
    <row r="716" spans="1:1" x14ac:dyDescent="0.3">
      <c r="A716" s="20"/>
    </row>
    <row r="717" spans="1:1" x14ac:dyDescent="0.3">
      <c r="A717" s="20"/>
    </row>
    <row r="718" spans="1:1" x14ac:dyDescent="0.3">
      <c r="A718" s="20"/>
    </row>
    <row r="719" spans="1:1" x14ac:dyDescent="0.3">
      <c r="A719" s="20"/>
    </row>
    <row r="720" spans="1:1" x14ac:dyDescent="0.3">
      <c r="A720" s="20"/>
    </row>
    <row r="721" spans="1:1" x14ac:dyDescent="0.3">
      <c r="A721" s="20"/>
    </row>
    <row r="722" spans="1:1" x14ac:dyDescent="0.3">
      <c r="A722" s="20"/>
    </row>
    <row r="723" spans="1:1" x14ac:dyDescent="0.3">
      <c r="A723" s="20"/>
    </row>
    <row r="724" spans="1:1" x14ac:dyDescent="0.3">
      <c r="A724" s="20"/>
    </row>
    <row r="725" spans="1:1" x14ac:dyDescent="0.3">
      <c r="A725" s="20"/>
    </row>
    <row r="726" spans="1:1" x14ac:dyDescent="0.3">
      <c r="A726" s="20"/>
    </row>
    <row r="727" spans="1:1" x14ac:dyDescent="0.3">
      <c r="A727" s="20"/>
    </row>
    <row r="728" spans="1:1" x14ac:dyDescent="0.3">
      <c r="A728" s="20"/>
    </row>
    <row r="729" spans="1:1" x14ac:dyDescent="0.3">
      <c r="A729" s="20"/>
    </row>
    <row r="730" spans="1:1" x14ac:dyDescent="0.3">
      <c r="A730" s="20"/>
    </row>
    <row r="731" spans="1:1" x14ac:dyDescent="0.3">
      <c r="A731" s="20"/>
    </row>
    <row r="732" spans="1:1" x14ac:dyDescent="0.3">
      <c r="A732" s="20"/>
    </row>
    <row r="733" spans="1:1" x14ac:dyDescent="0.3">
      <c r="A733" s="20"/>
    </row>
    <row r="734" spans="1:1" x14ac:dyDescent="0.3">
      <c r="A734" s="20"/>
    </row>
    <row r="735" spans="1:1" x14ac:dyDescent="0.3">
      <c r="A735" s="20"/>
    </row>
    <row r="736" spans="1:1" x14ac:dyDescent="0.3">
      <c r="A736" s="20"/>
    </row>
    <row r="737" spans="1:1" x14ac:dyDescent="0.3">
      <c r="A737" s="20"/>
    </row>
    <row r="738" spans="1:1" x14ac:dyDescent="0.3">
      <c r="A738" s="20"/>
    </row>
    <row r="739" spans="1:1" x14ac:dyDescent="0.3">
      <c r="A739" s="20"/>
    </row>
    <row r="740" spans="1:1" x14ac:dyDescent="0.3">
      <c r="A740" s="20"/>
    </row>
    <row r="741" spans="1:1" x14ac:dyDescent="0.3">
      <c r="A741" s="20"/>
    </row>
    <row r="742" spans="1:1" x14ac:dyDescent="0.3">
      <c r="A742" s="20"/>
    </row>
    <row r="743" spans="1:1" x14ac:dyDescent="0.3">
      <c r="A743" s="20"/>
    </row>
    <row r="744" spans="1:1" x14ac:dyDescent="0.3">
      <c r="A744" s="20"/>
    </row>
    <row r="745" spans="1:1" x14ac:dyDescent="0.3">
      <c r="A745" s="20"/>
    </row>
    <row r="746" spans="1:1" x14ac:dyDescent="0.3">
      <c r="A746" s="20"/>
    </row>
    <row r="747" spans="1:1" x14ac:dyDescent="0.3">
      <c r="A747" s="20"/>
    </row>
    <row r="748" spans="1:1" x14ac:dyDescent="0.3">
      <c r="A748" s="20"/>
    </row>
    <row r="749" spans="1:1" x14ac:dyDescent="0.3">
      <c r="A749" s="20"/>
    </row>
    <row r="750" spans="1:1" x14ac:dyDescent="0.3">
      <c r="A750" s="20"/>
    </row>
    <row r="751" spans="1:1" x14ac:dyDescent="0.3">
      <c r="A751" s="20"/>
    </row>
    <row r="752" spans="1:1" x14ac:dyDescent="0.3">
      <c r="A752" s="20"/>
    </row>
    <row r="753" spans="1:1" x14ac:dyDescent="0.3">
      <c r="A753" s="20"/>
    </row>
    <row r="754" spans="1:1" x14ac:dyDescent="0.3">
      <c r="A754" s="20"/>
    </row>
    <row r="755" spans="1:1" x14ac:dyDescent="0.3">
      <c r="A755" s="20"/>
    </row>
    <row r="756" spans="1:1" x14ac:dyDescent="0.3">
      <c r="A756" s="20"/>
    </row>
    <row r="757" spans="1:1" x14ac:dyDescent="0.3">
      <c r="A757" s="20"/>
    </row>
    <row r="758" spans="1:1" x14ac:dyDescent="0.3">
      <c r="A758" s="20"/>
    </row>
    <row r="759" spans="1:1" x14ac:dyDescent="0.3">
      <c r="A759" s="20"/>
    </row>
    <row r="760" spans="1:1" x14ac:dyDescent="0.3">
      <c r="A760" s="20"/>
    </row>
    <row r="761" spans="1:1" x14ac:dyDescent="0.3">
      <c r="A761" s="20"/>
    </row>
    <row r="762" spans="1:1" x14ac:dyDescent="0.3">
      <c r="A762" s="20"/>
    </row>
    <row r="763" spans="1:1" x14ac:dyDescent="0.3">
      <c r="A763" s="20"/>
    </row>
    <row r="764" spans="1:1" x14ac:dyDescent="0.3">
      <c r="A764" s="20"/>
    </row>
    <row r="765" spans="1:1" x14ac:dyDescent="0.3">
      <c r="A765" s="20"/>
    </row>
    <row r="766" spans="1:1" x14ac:dyDescent="0.3">
      <c r="A766" s="20"/>
    </row>
    <row r="767" spans="1:1" x14ac:dyDescent="0.3">
      <c r="A767" s="20"/>
    </row>
    <row r="768" spans="1:1" x14ac:dyDescent="0.3">
      <c r="A768" s="20"/>
    </row>
    <row r="769" spans="1:1" x14ac:dyDescent="0.3">
      <c r="A769" s="20"/>
    </row>
    <row r="770" spans="1:1" x14ac:dyDescent="0.3">
      <c r="A770" s="20"/>
    </row>
    <row r="771" spans="1:1" x14ac:dyDescent="0.3">
      <c r="A771" s="20"/>
    </row>
    <row r="772" spans="1:1" x14ac:dyDescent="0.3">
      <c r="A772" s="20"/>
    </row>
    <row r="773" spans="1:1" x14ac:dyDescent="0.3">
      <c r="A773" s="20"/>
    </row>
    <row r="774" spans="1:1" x14ac:dyDescent="0.3">
      <c r="A774" s="20"/>
    </row>
    <row r="775" spans="1:1" x14ac:dyDescent="0.3">
      <c r="A775" s="20"/>
    </row>
    <row r="776" spans="1:1" x14ac:dyDescent="0.3">
      <c r="A776" s="20"/>
    </row>
    <row r="777" spans="1:1" x14ac:dyDescent="0.3">
      <c r="A777" s="20"/>
    </row>
    <row r="778" spans="1:1" x14ac:dyDescent="0.3">
      <c r="A778" s="20"/>
    </row>
    <row r="779" spans="1:1" x14ac:dyDescent="0.3">
      <c r="A779" s="20"/>
    </row>
    <row r="780" spans="1:1" x14ac:dyDescent="0.3">
      <c r="A780" s="20"/>
    </row>
    <row r="781" spans="1:1" x14ac:dyDescent="0.3">
      <c r="A781" s="20"/>
    </row>
    <row r="782" spans="1:1" x14ac:dyDescent="0.3">
      <c r="A782" s="20"/>
    </row>
    <row r="783" spans="1:1" x14ac:dyDescent="0.3">
      <c r="A783" s="20"/>
    </row>
    <row r="784" spans="1:1" x14ac:dyDescent="0.3">
      <c r="A784" s="20"/>
    </row>
    <row r="785" spans="1:1" x14ac:dyDescent="0.3">
      <c r="A785" s="20"/>
    </row>
    <row r="786" spans="1:1" x14ac:dyDescent="0.3">
      <c r="A786" s="20"/>
    </row>
    <row r="787" spans="1:1" x14ac:dyDescent="0.3">
      <c r="A787" s="20"/>
    </row>
    <row r="788" spans="1:1" x14ac:dyDescent="0.3">
      <c r="A788" s="20"/>
    </row>
    <row r="789" spans="1:1" x14ac:dyDescent="0.3">
      <c r="A789" s="20"/>
    </row>
    <row r="790" spans="1:1" x14ac:dyDescent="0.3">
      <c r="A790" s="20"/>
    </row>
    <row r="791" spans="1:1" x14ac:dyDescent="0.3">
      <c r="A791" s="20"/>
    </row>
    <row r="792" spans="1:1" x14ac:dyDescent="0.3">
      <c r="A792" s="20"/>
    </row>
    <row r="793" spans="1:1" x14ac:dyDescent="0.3">
      <c r="A793" s="20"/>
    </row>
    <row r="794" spans="1:1" x14ac:dyDescent="0.3">
      <c r="A794" s="20"/>
    </row>
    <row r="795" spans="1:1" x14ac:dyDescent="0.3">
      <c r="A795" s="20"/>
    </row>
    <row r="796" spans="1:1" x14ac:dyDescent="0.3">
      <c r="A796" s="20"/>
    </row>
    <row r="797" spans="1:1" x14ac:dyDescent="0.3">
      <c r="A797" s="20"/>
    </row>
    <row r="798" spans="1:1" x14ac:dyDescent="0.3">
      <c r="A798" s="20"/>
    </row>
    <row r="799" spans="1:1" x14ac:dyDescent="0.3">
      <c r="A799" s="20"/>
    </row>
    <row r="800" spans="1:1" x14ac:dyDescent="0.3">
      <c r="A800" s="20"/>
    </row>
    <row r="801" spans="1:1" x14ac:dyDescent="0.3">
      <c r="A801" s="20"/>
    </row>
    <row r="802" spans="1:1" x14ac:dyDescent="0.3">
      <c r="A802" s="20"/>
    </row>
    <row r="803" spans="1:1" x14ac:dyDescent="0.3">
      <c r="A803" s="20"/>
    </row>
    <row r="804" spans="1:1" x14ac:dyDescent="0.3">
      <c r="A804" s="20"/>
    </row>
    <row r="805" spans="1:1" x14ac:dyDescent="0.3">
      <c r="A805" s="20"/>
    </row>
    <row r="806" spans="1:1" x14ac:dyDescent="0.3">
      <c r="A806" s="20"/>
    </row>
    <row r="807" spans="1:1" x14ac:dyDescent="0.3">
      <c r="A807" s="20"/>
    </row>
    <row r="808" spans="1:1" x14ac:dyDescent="0.3">
      <c r="A808" s="20"/>
    </row>
    <row r="809" spans="1:1" x14ac:dyDescent="0.3">
      <c r="A809" s="20"/>
    </row>
    <row r="810" spans="1:1" x14ac:dyDescent="0.3">
      <c r="A810" s="20"/>
    </row>
    <row r="811" spans="1:1" x14ac:dyDescent="0.3">
      <c r="A811" s="20"/>
    </row>
    <row r="812" spans="1:1" x14ac:dyDescent="0.3">
      <c r="A812" s="20"/>
    </row>
    <row r="813" spans="1:1" x14ac:dyDescent="0.3">
      <c r="A813" s="20"/>
    </row>
    <row r="814" spans="1:1" x14ac:dyDescent="0.3">
      <c r="A814" s="20"/>
    </row>
    <row r="815" spans="1:1" x14ac:dyDescent="0.3">
      <c r="A815" s="20"/>
    </row>
    <row r="816" spans="1:1" x14ac:dyDescent="0.3">
      <c r="A816" s="20"/>
    </row>
    <row r="817" spans="1:1" x14ac:dyDescent="0.3">
      <c r="A817" s="20"/>
    </row>
    <row r="818" spans="1:1" x14ac:dyDescent="0.3">
      <c r="A818" s="20"/>
    </row>
    <row r="819" spans="1:1" x14ac:dyDescent="0.3">
      <c r="A819" s="20"/>
    </row>
    <row r="820" spans="1:1" x14ac:dyDescent="0.3">
      <c r="A820" s="20"/>
    </row>
    <row r="821" spans="1:1" x14ac:dyDescent="0.3">
      <c r="A821" s="20"/>
    </row>
    <row r="822" spans="1:1" x14ac:dyDescent="0.3">
      <c r="A822" s="20"/>
    </row>
    <row r="823" spans="1:1" x14ac:dyDescent="0.3">
      <c r="A823" s="20"/>
    </row>
    <row r="824" spans="1:1" x14ac:dyDescent="0.3">
      <c r="A824" s="20"/>
    </row>
    <row r="825" spans="1:1" x14ac:dyDescent="0.3">
      <c r="A825" s="20"/>
    </row>
    <row r="826" spans="1:1" x14ac:dyDescent="0.3">
      <c r="A826" s="20"/>
    </row>
    <row r="827" spans="1:1" x14ac:dyDescent="0.3">
      <c r="A827" s="20"/>
    </row>
    <row r="828" spans="1:1" x14ac:dyDescent="0.3">
      <c r="A828" s="20"/>
    </row>
    <row r="829" spans="1:1" x14ac:dyDescent="0.3">
      <c r="A829" s="20"/>
    </row>
    <row r="830" spans="1:1" x14ac:dyDescent="0.3">
      <c r="A830" s="20"/>
    </row>
    <row r="831" spans="1:1" x14ac:dyDescent="0.3">
      <c r="A831" s="20"/>
    </row>
    <row r="832" spans="1:1" x14ac:dyDescent="0.3">
      <c r="A832" s="20"/>
    </row>
    <row r="833" spans="1:1" x14ac:dyDescent="0.3">
      <c r="A833" s="20"/>
    </row>
    <row r="834" spans="1:1" x14ac:dyDescent="0.3">
      <c r="A834" s="20"/>
    </row>
    <row r="835" spans="1:1" x14ac:dyDescent="0.3">
      <c r="A835" s="20"/>
    </row>
    <row r="836" spans="1:1" x14ac:dyDescent="0.3">
      <c r="A836" s="20"/>
    </row>
    <row r="837" spans="1:1" x14ac:dyDescent="0.3">
      <c r="A837" s="20"/>
    </row>
    <row r="838" spans="1:1" x14ac:dyDescent="0.3">
      <c r="A838" s="20"/>
    </row>
    <row r="839" spans="1:1" x14ac:dyDescent="0.3">
      <c r="A839" s="20"/>
    </row>
    <row r="840" spans="1:1" x14ac:dyDescent="0.3">
      <c r="A840" s="20"/>
    </row>
    <row r="841" spans="1:1" x14ac:dyDescent="0.3">
      <c r="A841" s="20"/>
    </row>
    <row r="842" spans="1:1" x14ac:dyDescent="0.3">
      <c r="A842" s="20"/>
    </row>
    <row r="843" spans="1:1" x14ac:dyDescent="0.3">
      <c r="A843" s="20"/>
    </row>
    <row r="844" spans="1:1" x14ac:dyDescent="0.3">
      <c r="A844" s="20"/>
    </row>
    <row r="845" spans="1:1" x14ac:dyDescent="0.3">
      <c r="A845" s="20"/>
    </row>
    <row r="846" spans="1:1" x14ac:dyDescent="0.3">
      <c r="A846" s="20"/>
    </row>
    <row r="847" spans="1:1" x14ac:dyDescent="0.3">
      <c r="A847" s="20"/>
    </row>
    <row r="848" spans="1:1" x14ac:dyDescent="0.3">
      <c r="A848" s="20"/>
    </row>
    <row r="849" spans="1:1" x14ac:dyDescent="0.3">
      <c r="A849" s="20"/>
    </row>
    <row r="850" spans="1:1" x14ac:dyDescent="0.3">
      <c r="A850" s="20"/>
    </row>
    <row r="851" spans="1:1" x14ac:dyDescent="0.3">
      <c r="A851" s="20"/>
    </row>
    <row r="852" spans="1:1" x14ac:dyDescent="0.3">
      <c r="A852" s="20"/>
    </row>
    <row r="853" spans="1:1" x14ac:dyDescent="0.3">
      <c r="A853" s="20"/>
    </row>
    <row r="854" spans="1:1" x14ac:dyDescent="0.3">
      <c r="A854" s="20"/>
    </row>
    <row r="855" spans="1:1" x14ac:dyDescent="0.3">
      <c r="A855" s="20"/>
    </row>
    <row r="856" spans="1:1" x14ac:dyDescent="0.3">
      <c r="A856" s="20"/>
    </row>
    <row r="857" spans="1:1" x14ac:dyDescent="0.3">
      <c r="A857" s="20"/>
    </row>
    <row r="858" spans="1:1" x14ac:dyDescent="0.3">
      <c r="A858" s="20"/>
    </row>
    <row r="859" spans="1:1" x14ac:dyDescent="0.3">
      <c r="A859" s="20"/>
    </row>
    <row r="860" spans="1:1" x14ac:dyDescent="0.3">
      <c r="A860" s="20"/>
    </row>
    <row r="861" spans="1:1" x14ac:dyDescent="0.3">
      <c r="A861" s="20"/>
    </row>
    <row r="862" spans="1:1" x14ac:dyDescent="0.3">
      <c r="A862" s="20"/>
    </row>
    <row r="863" spans="1:1" x14ac:dyDescent="0.3">
      <c r="A863" s="20"/>
    </row>
    <row r="864" spans="1:1" x14ac:dyDescent="0.3">
      <c r="A864" s="20"/>
    </row>
    <row r="865" spans="1:1" x14ac:dyDescent="0.3">
      <c r="A865" s="20"/>
    </row>
    <row r="866" spans="1:1" x14ac:dyDescent="0.3">
      <c r="A866" s="20"/>
    </row>
    <row r="867" spans="1:1" x14ac:dyDescent="0.3">
      <c r="A867" s="20"/>
    </row>
    <row r="868" spans="1:1" x14ac:dyDescent="0.3">
      <c r="A868" s="20"/>
    </row>
    <row r="869" spans="1:1" x14ac:dyDescent="0.3">
      <c r="A869" s="20"/>
    </row>
    <row r="870" spans="1:1" x14ac:dyDescent="0.3">
      <c r="A870" s="20"/>
    </row>
    <row r="871" spans="1:1" x14ac:dyDescent="0.3">
      <c r="A871" s="20"/>
    </row>
    <row r="872" spans="1:1" x14ac:dyDescent="0.3">
      <c r="A872" s="20"/>
    </row>
    <row r="873" spans="1:1" x14ac:dyDescent="0.3">
      <c r="A873" s="20"/>
    </row>
    <row r="874" spans="1:1" x14ac:dyDescent="0.3">
      <c r="A874" s="20"/>
    </row>
    <row r="875" spans="1:1" x14ac:dyDescent="0.3">
      <c r="A875" s="20"/>
    </row>
    <row r="876" spans="1:1" x14ac:dyDescent="0.3">
      <c r="A876" s="20"/>
    </row>
    <row r="877" spans="1:1" x14ac:dyDescent="0.3">
      <c r="A877" s="20"/>
    </row>
    <row r="878" spans="1:1" x14ac:dyDescent="0.3">
      <c r="A878" s="20"/>
    </row>
    <row r="879" spans="1:1" x14ac:dyDescent="0.3">
      <c r="A879" s="20"/>
    </row>
    <row r="880" spans="1:1" x14ac:dyDescent="0.3">
      <c r="A880" s="20"/>
    </row>
    <row r="881" spans="1:1" x14ac:dyDescent="0.3">
      <c r="A881" s="20"/>
    </row>
    <row r="882" spans="1:1" x14ac:dyDescent="0.3">
      <c r="A882" s="20"/>
    </row>
    <row r="883" spans="1:1" x14ac:dyDescent="0.3">
      <c r="A883" s="20"/>
    </row>
    <row r="884" spans="1:1" x14ac:dyDescent="0.3">
      <c r="A884" s="20"/>
    </row>
    <row r="885" spans="1:1" x14ac:dyDescent="0.3">
      <c r="A885" s="20"/>
    </row>
    <row r="886" spans="1:1" x14ac:dyDescent="0.3">
      <c r="A886" s="20"/>
    </row>
    <row r="887" spans="1:1" x14ac:dyDescent="0.3">
      <c r="A887" s="20"/>
    </row>
    <row r="888" spans="1:1" x14ac:dyDescent="0.3">
      <c r="A888" s="20"/>
    </row>
    <row r="889" spans="1:1" x14ac:dyDescent="0.3">
      <c r="A889" s="20"/>
    </row>
    <row r="890" spans="1:1" x14ac:dyDescent="0.3">
      <c r="A890" s="20"/>
    </row>
    <row r="891" spans="1:1" x14ac:dyDescent="0.3">
      <c r="A891" s="20"/>
    </row>
    <row r="892" spans="1:1" x14ac:dyDescent="0.3">
      <c r="A892" s="20"/>
    </row>
    <row r="893" spans="1:1" x14ac:dyDescent="0.3">
      <c r="A893" s="20"/>
    </row>
    <row r="894" spans="1:1" x14ac:dyDescent="0.3">
      <c r="A894" s="20"/>
    </row>
    <row r="895" spans="1:1" x14ac:dyDescent="0.3">
      <c r="A895" s="20"/>
    </row>
    <row r="896" spans="1:1" x14ac:dyDescent="0.3">
      <c r="A896" s="20"/>
    </row>
    <row r="897" spans="1:1" x14ac:dyDescent="0.3">
      <c r="A897" s="20"/>
    </row>
    <row r="898" spans="1:1" x14ac:dyDescent="0.3">
      <c r="A898" s="20"/>
    </row>
    <row r="899" spans="1:1" x14ac:dyDescent="0.3">
      <c r="A899" s="20"/>
    </row>
    <row r="900" spans="1:1" x14ac:dyDescent="0.3">
      <c r="A900" s="20"/>
    </row>
    <row r="901" spans="1:1" x14ac:dyDescent="0.3">
      <c r="A901" s="20"/>
    </row>
    <row r="902" spans="1:1" x14ac:dyDescent="0.3">
      <c r="A902" s="20"/>
    </row>
    <row r="903" spans="1:1" x14ac:dyDescent="0.3">
      <c r="A903" s="20"/>
    </row>
    <row r="904" spans="1:1" x14ac:dyDescent="0.3">
      <c r="A904" s="20"/>
    </row>
    <row r="905" spans="1:1" x14ac:dyDescent="0.3">
      <c r="A905" s="20"/>
    </row>
    <row r="906" spans="1:1" x14ac:dyDescent="0.3">
      <c r="A906" s="20"/>
    </row>
    <row r="907" spans="1:1" x14ac:dyDescent="0.3">
      <c r="A907" s="20"/>
    </row>
    <row r="908" spans="1:1" x14ac:dyDescent="0.3">
      <c r="A908" s="20"/>
    </row>
    <row r="909" spans="1:1" x14ac:dyDescent="0.3">
      <c r="A909" s="20"/>
    </row>
    <row r="910" spans="1:1" x14ac:dyDescent="0.3">
      <c r="A910" s="20"/>
    </row>
    <row r="911" spans="1:1" x14ac:dyDescent="0.3">
      <c r="A911" s="20"/>
    </row>
    <row r="912" spans="1:1" x14ac:dyDescent="0.3">
      <c r="A912" s="20"/>
    </row>
    <row r="913" spans="1:1" x14ac:dyDescent="0.3">
      <c r="A913" s="20"/>
    </row>
    <row r="914" spans="1:1" x14ac:dyDescent="0.3">
      <c r="A914" s="20"/>
    </row>
    <row r="915" spans="1:1" x14ac:dyDescent="0.3">
      <c r="A915" s="20"/>
    </row>
    <row r="916" spans="1:1" x14ac:dyDescent="0.3">
      <c r="A916" s="20"/>
    </row>
    <row r="917" spans="1:1" x14ac:dyDescent="0.3">
      <c r="A917" s="20"/>
    </row>
    <row r="918" spans="1:1" x14ac:dyDescent="0.3">
      <c r="A918" s="20"/>
    </row>
    <row r="919" spans="1:1" x14ac:dyDescent="0.3">
      <c r="A919" s="20"/>
    </row>
    <row r="920" spans="1:1" x14ac:dyDescent="0.3">
      <c r="A920" s="20"/>
    </row>
    <row r="921" spans="1:1" x14ac:dyDescent="0.3">
      <c r="A921" s="20"/>
    </row>
    <row r="922" spans="1:1" x14ac:dyDescent="0.3">
      <c r="A922" s="20"/>
    </row>
    <row r="923" spans="1:1" x14ac:dyDescent="0.3">
      <c r="A923" s="20"/>
    </row>
    <row r="924" spans="1:1" x14ac:dyDescent="0.3">
      <c r="A924" s="20"/>
    </row>
    <row r="925" spans="1:1" x14ac:dyDescent="0.3">
      <c r="A925" s="20"/>
    </row>
    <row r="926" spans="1:1" x14ac:dyDescent="0.3">
      <c r="A926" s="20"/>
    </row>
    <row r="927" spans="1:1" x14ac:dyDescent="0.3">
      <c r="A927" s="20"/>
    </row>
    <row r="928" spans="1:1" x14ac:dyDescent="0.3">
      <c r="A928" s="20"/>
    </row>
    <row r="929" spans="1:1" x14ac:dyDescent="0.3">
      <c r="A929" s="20"/>
    </row>
    <row r="930" spans="1:1" x14ac:dyDescent="0.3">
      <c r="A930" s="20"/>
    </row>
    <row r="931" spans="1:1" x14ac:dyDescent="0.3">
      <c r="A931" s="20"/>
    </row>
    <row r="932" spans="1:1" x14ac:dyDescent="0.3">
      <c r="A932" s="20"/>
    </row>
    <row r="933" spans="1:1" x14ac:dyDescent="0.3">
      <c r="A933" s="20"/>
    </row>
    <row r="934" spans="1:1" x14ac:dyDescent="0.3">
      <c r="A934" s="20"/>
    </row>
    <row r="935" spans="1:1" x14ac:dyDescent="0.3">
      <c r="A935" s="20"/>
    </row>
    <row r="936" spans="1:1" x14ac:dyDescent="0.3">
      <c r="A936" s="20"/>
    </row>
    <row r="937" spans="1:1" x14ac:dyDescent="0.3">
      <c r="A937" s="20"/>
    </row>
    <row r="938" spans="1:1" x14ac:dyDescent="0.3">
      <c r="A938" s="20"/>
    </row>
    <row r="939" spans="1:1" x14ac:dyDescent="0.3">
      <c r="A939" s="20"/>
    </row>
    <row r="940" spans="1:1" x14ac:dyDescent="0.3">
      <c r="A940" s="20"/>
    </row>
    <row r="941" spans="1:1" x14ac:dyDescent="0.3">
      <c r="A941" s="20"/>
    </row>
    <row r="942" spans="1:1" x14ac:dyDescent="0.3">
      <c r="A942" s="20"/>
    </row>
    <row r="943" spans="1:1" x14ac:dyDescent="0.3">
      <c r="A943" s="20"/>
    </row>
    <row r="944" spans="1:1" x14ac:dyDescent="0.3">
      <c r="A944" s="20"/>
    </row>
    <row r="945" spans="1:1" x14ac:dyDescent="0.3">
      <c r="A945" s="20"/>
    </row>
    <row r="946" spans="1:1" x14ac:dyDescent="0.3">
      <c r="A946" s="20"/>
    </row>
    <row r="947" spans="1:1" x14ac:dyDescent="0.3">
      <c r="A947" s="20"/>
    </row>
    <row r="948" spans="1:1" x14ac:dyDescent="0.3">
      <c r="A948" s="20"/>
    </row>
    <row r="949" spans="1:1" x14ac:dyDescent="0.3">
      <c r="A949" s="20"/>
    </row>
    <row r="950" spans="1:1" x14ac:dyDescent="0.3">
      <c r="A950" s="20"/>
    </row>
    <row r="951" spans="1:1" x14ac:dyDescent="0.3">
      <c r="A951" s="20"/>
    </row>
    <row r="952" spans="1:1" x14ac:dyDescent="0.3">
      <c r="A952" s="20"/>
    </row>
    <row r="953" spans="1:1" x14ac:dyDescent="0.3">
      <c r="A953" s="20"/>
    </row>
    <row r="954" spans="1:1" x14ac:dyDescent="0.3">
      <c r="A954" s="20"/>
    </row>
    <row r="955" spans="1:1" x14ac:dyDescent="0.3">
      <c r="A955" s="20"/>
    </row>
    <row r="956" spans="1:1" x14ac:dyDescent="0.3">
      <c r="A956" s="20"/>
    </row>
    <row r="957" spans="1:1" x14ac:dyDescent="0.3">
      <c r="A957" s="20"/>
    </row>
    <row r="958" spans="1:1" x14ac:dyDescent="0.3">
      <c r="A958" s="20"/>
    </row>
    <row r="959" spans="1:1" x14ac:dyDescent="0.3">
      <c r="A959" s="20"/>
    </row>
    <row r="960" spans="1:1" x14ac:dyDescent="0.3">
      <c r="A960" s="20"/>
    </row>
    <row r="961" spans="1:1" x14ac:dyDescent="0.3">
      <c r="A961" s="20"/>
    </row>
    <row r="962" spans="1:1" x14ac:dyDescent="0.3">
      <c r="A962" s="20"/>
    </row>
    <row r="963" spans="1:1" x14ac:dyDescent="0.3">
      <c r="A963" s="20"/>
    </row>
    <row r="964" spans="1:1" x14ac:dyDescent="0.3">
      <c r="A964" s="20"/>
    </row>
    <row r="965" spans="1:1" x14ac:dyDescent="0.3">
      <c r="A965" s="20"/>
    </row>
    <row r="966" spans="1:1" x14ac:dyDescent="0.3">
      <c r="A966" s="20"/>
    </row>
    <row r="967" spans="1:1" x14ac:dyDescent="0.3">
      <c r="A967" s="20"/>
    </row>
    <row r="968" spans="1:1" x14ac:dyDescent="0.3">
      <c r="A968" s="20"/>
    </row>
    <row r="969" spans="1:1" x14ac:dyDescent="0.3">
      <c r="A969" s="20"/>
    </row>
    <row r="970" spans="1:1" x14ac:dyDescent="0.3">
      <c r="A970" s="20"/>
    </row>
    <row r="971" spans="1:1" x14ac:dyDescent="0.3">
      <c r="A971" s="20"/>
    </row>
    <row r="972" spans="1:1" x14ac:dyDescent="0.3">
      <c r="A972" s="20"/>
    </row>
    <row r="973" spans="1:1" x14ac:dyDescent="0.3">
      <c r="A973" s="20"/>
    </row>
    <row r="974" spans="1:1" x14ac:dyDescent="0.3">
      <c r="A974" s="20"/>
    </row>
    <row r="975" spans="1:1" x14ac:dyDescent="0.3">
      <c r="A975" s="20"/>
    </row>
    <row r="976" spans="1:1" x14ac:dyDescent="0.3">
      <c r="A976" s="20"/>
    </row>
    <row r="977" spans="1:1" x14ac:dyDescent="0.3">
      <c r="A977" s="20"/>
    </row>
    <row r="978" spans="1:1" x14ac:dyDescent="0.3">
      <c r="A978" s="20"/>
    </row>
    <row r="979" spans="1:1" x14ac:dyDescent="0.3">
      <c r="A979" s="20"/>
    </row>
    <row r="980" spans="1:1" x14ac:dyDescent="0.3">
      <c r="A980" s="20"/>
    </row>
    <row r="981" spans="1:1" x14ac:dyDescent="0.3">
      <c r="A981" s="20"/>
    </row>
    <row r="982" spans="1:1" x14ac:dyDescent="0.3">
      <c r="A982" s="20"/>
    </row>
    <row r="983" spans="1:1" x14ac:dyDescent="0.3">
      <c r="A983" s="20"/>
    </row>
    <row r="984" spans="1:1" x14ac:dyDescent="0.3">
      <c r="A984" s="20"/>
    </row>
    <row r="985" spans="1:1" x14ac:dyDescent="0.3">
      <c r="A985" s="20"/>
    </row>
    <row r="986" spans="1:1" x14ac:dyDescent="0.3">
      <c r="A986" s="20"/>
    </row>
    <row r="987" spans="1:1" x14ac:dyDescent="0.3">
      <c r="A987" s="20"/>
    </row>
    <row r="988" spans="1:1" x14ac:dyDescent="0.3">
      <c r="A988" s="20"/>
    </row>
    <row r="989" spans="1:1" x14ac:dyDescent="0.3">
      <c r="A989" s="20"/>
    </row>
    <row r="990" spans="1:1" x14ac:dyDescent="0.3">
      <c r="A990" s="20"/>
    </row>
    <row r="991" spans="1:1" x14ac:dyDescent="0.3">
      <c r="A991" s="20"/>
    </row>
    <row r="992" spans="1:1" x14ac:dyDescent="0.3">
      <c r="A992" s="20"/>
    </row>
    <row r="993" spans="1:1" x14ac:dyDescent="0.3">
      <c r="A993" s="20"/>
    </row>
    <row r="994" spans="1:1" x14ac:dyDescent="0.3">
      <c r="A994" s="20"/>
    </row>
    <row r="995" spans="1:1" x14ac:dyDescent="0.3">
      <c r="A995" s="20"/>
    </row>
    <row r="996" spans="1:1" x14ac:dyDescent="0.3">
      <c r="A996" s="20"/>
    </row>
    <row r="997" spans="1:1" x14ac:dyDescent="0.3">
      <c r="A997" s="20"/>
    </row>
    <row r="998" spans="1:1" x14ac:dyDescent="0.3">
      <c r="A998" s="20"/>
    </row>
    <row r="999" spans="1:1" x14ac:dyDescent="0.3">
      <c r="A999" s="20"/>
    </row>
    <row r="1000" spans="1:1" x14ac:dyDescent="0.3">
      <c r="A1000" s="20"/>
    </row>
    <row r="1001" spans="1:1" x14ac:dyDescent="0.3">
      <c r="A1001" s="20"/>
    </row>
    <row r="1002" spans="1:1" x14ac:dyDescent="0.3">
      <c r="A1002" s="20"/>
    </row>
    <row r="1003" spans="1:1" x14ac:dyDescent="0.3">
      <c r="A1003" s="20"/>
    </row>
    <row r="1004" spans="1:1" x14ac:dyDescent="0.3">
      <c r="A1004" s="20"/>
    </row>
    <row r="1005" spans="1:1" x14ac:dyDescent="0.3">
      <c r="A1005" s="20"/>
    </row>
    <row r="1006" spans="1:1" x14ac:dyDescent="0.3">
      <c r="A1006" s="20"/>
    </row>
    <row r="1007" spans="1:1" x14ac:dyDescent="0.3">
      <c r="A1007" s="20"/>
    </row>
    <row r="1008" spans="1:1" x14ac:dyDescent="0.3">
      <c r="A1008" s="20"/>
    </row>
    <row r="1009" spans="1:1" x14ac:dyDescent="0.3">
      <c r="A1009" s="20"/>
    </row>
    <row r="1010" spans="1:1" x14ac:dyDescent="0.3">
      <c r="A1010" s="20"/>
    </row>
    <row r="1011" spans="1:1" x14ac:dyDescent="0.3">
      <c r="A1011" s="20"/>
    </row>
    <row r="1012" spans="1:1" x14ac:dyDescent="0.3">
      <c r="A1012" s="20"/>
    </row>
    <row r="1013" spans="1:1" x14ac:dyDescent="0.3">
      <c r="A1013" s="20"/>
    </row>
    <row r="1014" spans="1:1" x14ac:dyDescent="0.3">
      <c r="A1014" s="20"/>
    </row>
    <row r="1015" spans="1:1" x14ac:dyDescent="0.3">
      <c r="A1015" s="20"/>
    </row>
    <row r="1016" spans="1:1" x14ac:dyDescent="0.3">
      <c r="A1016" s="20"/>
    </row>
    <row r="1017" spans="1:1" x14ac:dyDescent="0.3">
      <c r="A1017" s="20"/>
    </row>
    <row r="1018" spans="1:1" x14ac:dyDescent="0.3">
      <c r="A1018" s="20"/>
    </row>
    <row r="1019" spans="1:1" x14ac:dyDescent="0.3">
      <c r="A1019" s="20"/>
    </row>
    <row r="1020" spans="1:1" x14ac:dyDescent="0.3">
      <c r="A1020" s="20"/>
    </row>
    <row r="1021" spans="1:1" x14ac:dyDescent="0.3">
      <c r="A1021" s="20"/>
    </row>
    <row r="1022" spans="1:1" x14ac:dyDescent="0.3">
      <c r="A1022" s="20"/>
    </row>
    <row r="1023" spans="1:1" x14ac:dyDescent="0.3">
      <c r="A1023" s="20"/>
    </row>
    <row r="1024" spans="1:1" x14ac:dyDescent="0.3">
      <c r="A1024" s="20"/>
    </row>
    <row r="1025" spans="1:1" x14ac:dyDescent="0.3">
      <c r="A1025" s="20"/>
    </row>
    <row r="1026" spans="1:1" x14ac:dyDescent="0.3">
      <c r="A1026" s="20"/>
    </row>
    <row r="1027" spans="1:1" x14ac:dyDescent="0.3">
      <c r="A1027" s="20"/>
    </row>
    <row r="1028" spans="1:1" x14ac:dyDescent="0.3">
      <c r="A1028" s="20"/>
    </row>
    <row r="1029" spans="1:1" x14ac:dyDescent="0.3">
      <c r="A1029" s="20"/>
    </row>
    <row r="1030" spans="1:1" x14ac:dyDescent="0.3">
      <c r="A1030" s="20"/>
    </row>
    <row r="1031" spans="1:1" x14ac:dyDescent="0.3">
      <c r="A1031" s="20"/>
    </row>
    <row r="1032" spans="1:1" x14ac:dyDescent="0.3">
      <c r="A1032" s="20"/>
    </row>
    <row r="1033" spans="1:1" x14ac:dyDescent="0.3">
      <c r="A1033" s="20"/>
    </row>
    <row r="1034" spans="1:1" x14ac:dyDescent="0.3">
      <c r="A1034" s="20"/>
    </row>
    <row r="1035" spans="1:1" x14ac:dyDescent="0.3">
      <c r="A1035" s="20"/>
    </row>
    <row r="1036" spans="1:1" x14ac:dyDescent="0.3">
      <c r="A1036" s="20"/>
    </row>
    <row r="1037" spans="1:1" x14ac:dyDescent="0.3">
      <c r="A1037" s="20"/>
    </row>
    <row r="1038" spans="1:1" x14ac:dyDescent="0.3">
      <c r="A1038" s="20"/>
    </row>
    <row r="1039" spans="1:1" x14ac:dyDescent="0.3">
      <c r="A1039" s="20"/>
    </row>
    <row r="1040" spans="1:1" x14ac:dyDescent="0.3">
      <c r="A1040" s="20"/>
    </row>
    <row r="1041" spans="1:1" x14ac:dyDescent="0.3">
      <c r="A1041" s="20"/>
    </row>
    <row r="1042" spans="1:1" x14ac:dyDescent="0.3">
      <c r="A1042" s="20"/>
    </row>
    <row r="1043" spans="1:1" x14ac:dyDescent="0.3">
      <c r="A1043" s="20"/>
    </row>
    <row r="1044" spans="1:1" x14ac:dyDescent="0.3">
      <c r="A1044" s="20"/>
    </row>
    <row r="1045" spans="1:1" x14ac:dyDescent="0.3">
      <c r="A1045" s="20"/>
    </row>
    <row r="1046" spans="1:1" x14ac:dyDescent="0.3">
      <c r="A1046" s="20"/>
    </row>
    <row r="1047" spans="1:1" x14ac:dyDescent="0.3">
      <c r="A1047" s="20"/>
    </row>
    <row r="1048" spans="1:1" x14ac:dyDescent="0.3">
      <c r="A1048" s="20"/>
    </row>
    <row r="1049" spans="1:1" x14ac:dyDescent="0.3">
      <c r="A1049" s="20"/>
    </row>
    <row r="1050" spans="1:1" x14ac:dyDescent="0.3">
      <c r="A1050" s="20"/>
    </row>
    <row r="1051" spans="1:1" x14ac:dyDescent="0.3">
      <c r="A1051" s="20"/>
    </row>
    <row r="1052" spans="1:1" x14ac:dyDescent="0.3">
      <c r="A1052" s="20"/>
    </row>
    <row r="1053" spans="1:1" x14ac:dyDescent="0.3">
      <c r="A1053" s="20"/>
    </row>
    <row r="1054" spans="1:1" x14ac:dyDescent="0.3">
      <c r="A1054" s="20"/>
    </row>
    <row r="1055" spans="1:1" x14ac:dyDescent="0.3">
      <c r="A1055" s="20"/>
    </row>
    <row r="1056" spans="1:1" x14ac:dyDescent="0.3">
      <c r="A1056" s="20"/>
    </row>
    <row r="1057" spans="1:1" x14ac:dyDescent="0.3">
      <c r="A1057" s="20"/>
    </row>
    <row r="1058" spans="1:1" x14ac:dyDescent="0.3">
      <c r="A1058" s="20"/>
    </row>
    <row r="1059" spans="1:1" x14ac:dyDescent="0.3">
      <c r="A1059" s="20"/>
    </row>
    <row r="1060" spans="1:1" x14ac:dyDescent="0.3">
      <c r="A1060" s="20"/>
    </row>
    <row r="1061" spans="1:1" x14ac:dyDescent="0.3">
      <c r="A1061" s="20"/>
    </row>
    <row r="1062" spans="1:1" x14ac:dyDescent="0.3">
      <c r="A1062" s="20"/>
    </row>
    <row r="1063" spans="1:1" x14ac:dyDescent="0.3">
      <c r="A1063" s="20"/>
    </row>
    <row r="1064" spans="1:1" x14ac:dyDescent="0.3">
      <c r="A1064" s="20"/>
    </row>
    <row r="1065" spans="1:1" x14ac:dyDescent="0.3">
      <c r="A1065" s="20"/>
    </row>
    <row r="1066" spans="1:1" x14ac:dyDescent="0.3">
      <c r="A1066" s="20"/>
    </row>
    <row r="1067" spans="1:1" x14ac:dyDescent="0.3">
      <c r="A1067" s="20"/>
    </row>
    <row r="1068" spans="1:1" x14ac:dyDescent="0.3">
      <c r="A1068" s="20"/>
    </row>
    <row r="1069" spans="1:1" x14ac:dyDescent="0.3">
      <c r="A1069" s="20"/>
    </row>
    <row r="1070" spans="1:1" x14ac:dyDescent="0.3">
      <c r="A1070" s="20"/>
    </row>
    <row r="1071" spans="1:1" x14ac:dyDescent="0.3">
      <c r="A1071" s="20"/>
    </row>
    <row r="1072" spans="1:1" x14ac:dyDescent="0.3">
      <c r="A1072" s="20"/>
    </row>
    <row r="1073" spans="1:1" x14ac:dyDescent="0.3">
      <c r="A1073" s="20"/>
    </row>
    <row r="1074" spans="1:1" x14ac:dyDescent="0.3">
      <c r="A1074" s="20"/>
    </row>
    <row r="1075" spans="1:1" x14ac:dyDescent="0.3">
      <c r="A1075" s="20"/>
    </row>
    <row r="1076" spans="1:1" x14ac:dyDescent="0.3">
      <c r="A1076" s="20"/>
    </row>
    <row r="1077" spans="1:1" x14ac:dyDescent="0.3">
      <c r="A1077" s="20"/>
    </row>
    <row r="1078" spans="1:1" x14ac:dyDescent="0.3">
      <c r="A1078" s="20"/>
    </row>
    <row r="1079" spans="1:1" x14ac:dyDescent="0.3">
      <c r="A1079" s="20"/>
    </row>
    <row r="1080" spans="1:1" x14ac:dyDescent="0.3">
      <c r="A1080" s="20"/>
    </row>
    <row r="1081" spans="1:1" x14ac:dyDescent="0.3">
      <c r="A1081" s="20"/>
    </row>
    <row r="1082" spans="1:1" x14ac:dyDescent="0.3">
      <c r="A1082" s="20"/>
    </row>
    <row r="1083" spans="1:1" x14ac:dyDescent="0.3">
      <c r="A1083" s="20"/>
    </row>
    <row r="1084" spans="1:1" x14ac:dyDescent="0.3">
      <c r="A1084" s="20"/>
    </row>
    <row r="1085" spans="1:1" x14ac:dyDescent="0.3">
      <c r="A1085" s="20"/>
    </row>
    <row r="1086" spans="1:1" x14ac:dyDescent="0.3">
      <c r="A1086" s="20"/>
    </row>
    <row r="1087" spans="1:1" x14ac:dyDescent="0.3">
      <c r="A1087" s="20"/>
    </row>
    <row r="1088" spans="1:1" x14ac:dyDescent="0.3">
      <c r="A1088" s="20"/>
    </row>
    <row r="1089" spans="1:1" x14ac:dyDescent="0.3">
      <c r="A1089" s="20"/>
    </row>
    <row r="1090" spans="1:1" x14ac:dyDescent="0.3">
      <c r="A1090" s="20"/>
    </row>
    <row r="1091" spans="1:1" x14ac:dyDescent="0.3">
      <c r="A1091" s="20"/>
    </row>
    <row r="1092" spans="1:1" x14ac:dyDescent="0.3">
      <c r="A1092" s="20"/>
    </row>
    <row r="1093" spans="1:1" x14ac:dyDescent="0.3">
      <c r="A1093" s="20"/>
    </row>
    <row r="1094" spans="1:1" x14ac:dyDescent="0.3">
      <c r="A1094" s="20"/>
    </row>
    <row r="1095" spans="1:1" x14ac:dyDescent="0.3">
      <c r="A1095" s="20"/>
    </row>
    <row r="1096" spans="1:1" x14ac:dyDescent="0.3">
      <c r="A1096" s="20"/>
    </row>
    <row r="1097" spans="1:1" x14ac:dyDescent="0.3">
      <c r="A1097" s="20"/>
    </row>
    <row r="1098" spans="1:1" x14ac:dyDescent="0.3">
      <c r="A1098" s="20"/>
    </row>
    <row r="1099" spans="1:1" x14ac:dyDescent="0.3">
      <c r="A1099" s="20"/>
    </row>
    <row r="1100" spans="1:1" x14ac:dyDescent="0.3">
      <c r="A1100" s="20"/>
    </row>
    <row r="1101" spans="1:1" x14ac:dyDescent="0.3">
      <c r="A1101" s="20"/>
    </row>
    <row r="1102" spans="1:1" x14ac:dyDescent="0.3">
      <c r="A1102" s="20"/>
    </row>
    <row r="1103" spans="1:1" x14ac:dyDescent="0.3">
      <c r="A1103" s="20"/>
    </row>
    <row r="1104" spans="1:1" x14ac:dyDescent="0.3">
      <c r="A1104" s="20"/>
    </row>
    <row r="1105" spans="1:1" x14ac:dyDescent="0.3">
      <c r="A1105" s="20"/>
    </row>
    <row r="1106" spans="1:1" x14ac:dyDescent="0.3">
      <c r="A1106" s="20"/>
    </row>
    <row r="1107" spans="1:1" x14ac:dyDescent="0.3">
      <c r="A1107" s="20"/>
    </row>
    <row r="1108" spans="1:1" x14ac:dyDescent="0.3">
      <c r="A1108" s="20"/>
    </row>
    <row r="1109" spans="1:1" x14ac:dyDescent="0.3">
      <c r="A1109" s="20"/>
    </row>
    <row r="1110" spans="1:1" x14ac:dyDescent="0.3">
      <c r="A1110" s="20"/>
    </row>
    <row r="1111" spans="1:1" x14ac:dyDescent="0.3">
      <c r="A1111" s="20"/>
    </row>
    <row r="1112" spans="1:1" x14ac:dyDescent="0.3">
      <c r="A1112" s="20"/>
    </row>
    <row r="1113" spans="1:1" x14ac:dyDescent="0.3">
      <c r="A1113" s="20"/>
    </row>
    <row r="1114" spans="1:1" x14ac:dyDescent="0.3">
      <c r="A1114" s="20"/>
    </row>
    <row r="1115" spans="1:1" x14ac:dyDescent="0.3">
      <c r="A1115" s="20"/>
    </row>
    <row r="1116" spans="1:1" x14ac:dyDescent="0.3">
      <c r="A1116" s="20"/>
    </row>
    <row r="1117" spans="1:1" x14ac:dyDescent="0.3">
      <c r="A1117" s="20"/>
    </row>
    <row r="1118" spans="1:1" x14ac:dyDescent="0.3">
      <c r="A1118" s="20"/>
    </row>
    <row r="1119" spans="1:1" x14ac:dyDescent="0.3">
      <c r="A1119" s="20"/>
    </row>
    <row r="1120" spans="1:1" x14ac:dyDescent="0.3">
      <c r="A1120" s="20"/>
    </row>
    <row r="1121" spans="1:1" x14ac:dyDescent="0.3">
      <c r="A1121" s="20"/>
    </row>
    <row r="1122" spans="1:1" x14ac:dyDescent="0.3">
      <c r="A1122" s="20"/>
    </row>
    <row r="1123" spans="1:1" x14ac:dyDescent="0.3">
      <c r="A1123" s="20"/>
    </row>
    <row r="1124" spans="1:1" x14ac:dyDescent="0.3">
      <c r="A1124" s="20"/>
    </row>
    <row r="1125" spans="1:1" x14ac:dyDescent="0.3">
      <c r="A1125" s="20"/>
    </row>
    <row r="1126" spans="1:1" x14ac:dyDescent="0.3">
      <c r="A1126" s="20"/>
    </row>
    <row r="1127" spans="1:1" x14ac:dyDescent="0.3">
      <c r="A1127" s="20"/>
    </row>
    <row r="1128" spans="1:1" x14ac:dyDescent="0.3">
      <c r="A1128" s="20"/>
    </row>
    <row r="1129" spans="1:1" x14ac:dyDescent="0.3">
      <c r="A1129" s="20"/>
    </row>
    <row r="1130" spans="1:1" x14ac:dyDescent="0.3">
      <c r="A1130" s="20"/>
    </row>
    <row r="1131" spans="1:1" x14ac:dyDescent="0.3">
      <c r="A1131" s="20"/>
    </row>
    <row r="1132" spans="1:1" x14ac:dyDescent="0.3">
      <c r="A1132" s="20"/>
    </row>
    <row r="1133" spans="1:1" x14ac:dyDescent="0.3">
      <c r="A1133" s="20"/>
    </row>
    <row r="1134" spans="1:1" x14ac:dyDescent="0.3">
      <c r="A1134" s="20"/>
    </row>
    <row r="1135" spans="1:1" x14ac:dyDescent="0.3">
      <c r="A1135" s="20"/>
    </row>
    <row r="1136" spans="1:1" x14ac:dyDescent="0.3">
      <c r="A1136" s="20"/>
    </row>
    <row r="1137" spans="1:1" x14ac:dyDescent="0.3">
      <c r="A1137" s="20"/>
    </row>
    <row r="1138" spans="1:1" x14ac:dyDescent="0.3">
      <c r="A1138" s="20"/>
    </row>
    <row r="1139" spans="1:1" x14ac:dyDescent="0.3">
      <c r="A1139" s="20"/>
    </row>
    <row r="1140" spans="1:1" x14ac:dyDescent="0.3">
      <c r="A1140" s="20"/>
    </row>
    <row r="1141" spans="1:1" x14ac:dyDescent="0.3">
      <c r="A1141" s="20"/>
    </row>
    <row r="1142" spans="1:1" x14ac:dyDescent="0.3">
      <c r="A1142" s="20"/>
    </row>
    <row r="1143" spans="1:1" x14ac:dyDescent="0.3">
      <c r="A1143" s="20"/>
    </row>
    <row r="1144" spans="1:1" x14ac:dyDescent="0.3">
      <c r="A1144" s="20"/>
    </row>
    <row r="1145" spans="1:1" x14ac:dyDescent="0.3">
      <c r="A1145" s="20"/>
    </row>
    <row r="1146" spans="1:1" x14ac:dyDescent="0.3">
      <c r="A1146" s="20"/>
    </row>
    <row r="1147" spans="1:1" x14ac:dyDescent="0.3">
      <c r="A1147" s="20"/>
    </row>
    <row r="1148" spans="1:1" x14ac:dyDescent="0.3">
      <c r="A1148" s="20"/>
    </row>
    <row r="1149" spans="1:1" x14ac:dyDescent="0.3">
      <c r="A1149" s="20"/>
    </row>
    <row r="1150" spans="1:1" x14ac:dyDescent="0.3">
      <c r="A1150" s="20"/>
    </row>
    <row r="1151" spans="1:1" x14ac:dyDescent="0.3">
      <c r="A1151" s="20"/>
    </row>
    <row r="1152" spans="1:1" x14ac:dyDescent="0.3">
      <c r="A1152" s="20"/>
    </row>
    <row r="1153" spans="1:1" x14ac:dyDescent="0.3">
      <c r="A1153" s="20"/>
    </row>
    <row r="1154" spans="1:1" x14ac:dyDescent="0.3">
      <c r="A1154" s="20"/>
    </row>
    <row r="1155" spans="1:1" x14ac:dyDescent="0.3">
      <c r="A1155" s="20"/>
    </row>
    <row r="1156" spans="1:1" x14ac:dyDescent="0.3">
      <c r="A1156" s="20"/>
    </row>
    <row r="1157" spans="1:1" x14ac:dyDescent="0.3">
      <c r="A1157" s="20"/>
    </row>
    <row r="1158" spans="1:1" x14ac:dyDescent="0.3">
      <c r="A1158" s="20"/>
    </row>
    <row r="1159" spans="1:1" x14ac:dyDescent="0.3">
      <c r="A1159" s="20"/>
    </row>
    <row r="1160" spans="1:1" x14ac:dyDescent="0.3">
      <c r="A1160" s="20"/>
    </row>
    <row r="1161" spans="1:1" x14ac:dyDescent="0.3">
      <c r="A1161" s="20"/>
    </row>
    <row r="1162" spans="1:1" x14ac:dyDescent="0.3">
      <c r="A1162" s="20"/>
    </row>
    <row r="1163" spans="1:1" x14ac:dyDescent="0.3">
      <c r="A1163" s="20"/>
    </row>
    <row r="1164" spans="1:1" x14ac:dyDescent="0.3">
      <c r="A1164" s="20"/>
    </row>
    <row r="1165" spans="1:1" x14ac:dyDescent="0.3">
      <c r="A1165" s="20"/>
    </row>
    <row r="1166" spans="1:1" x14ac:dyDescent="0.3">
      <c r="A1166" s="20"/>
    </row>
    <row r="1167" spans="1:1" x14ac:dyDescent="0.3">
      <c r="A1167" s="20"/>
    </row>
    <row r="1168" spans="1:1" x14ac:dyDescent="0.3">
      <c r="A1168" s="20"/>
    </row>
    <row r="1169" spans="1:1" x14ac:dyDescent="0.3">
      <c r="A1169" s="20"/>
    </row>
    <row r="1170" spans="1:1" x14ac:dyDescent="0.3">
      <c r="A1170" s="20"/>
    </row>
    <row r="1171" spans="1:1" x14ac:dyDescent="0.3">
      <c r="A1171" s="20"/>
    </row>
    <row r="1172" spans="1:1" x14ac:dyDescent="0.3">
      <c r="A1172" s="20"/>
    </row>
    <row r="1173" spans="1:1" x14ac:dyDescent="0.3">
      <c r="A1173" s="20"/>
    </row>
    <row r="1174" spans="1:1" x14ac:dyDescent="0.3">
      <c r="A1174" s="20"/>
    </row>
    <row r="1175" spans="1:1" x14ac:dyDescent="0.3">
      <c r="A1175" s="20"/>
    </row>
    <row r="1176" spans="1:1" x14ac:dyDescent="0.3">
      <c r="A1176" s="20"/>
    </row>
    <row r="1177" spans="1:1" x14ac:dyDescent="0.3">
      <c r="A1177" s="20"/>
    </row>
    <row r="1178" spans="1:1" x14ac:dyDescent="0.3">
      <c r="A1178" s="20"/>
    </row>
    <row r="1179" spans="1:1" x14ac:dyDescent="0.3">
      <c r="A1179" s="20"/>
    </row>
    <row r="1180" spans="1:1" x14ac:dyDescent="0.3">
      <c r="A1180" s="20"/>
    </row>
    <row r="1181" spans="1:1" x14ac:dyDescent="0.3">
      <c r="A1181" s="20"/>
    </row>
    <row r="1182" spans="1:1" x14ac:dyDescent="0.3">
      <c r="A1182" s="20"/>
    </row>
    <row r="1183" spans="1:1" x14ac:dyDescent="0.3">
      <c r="A1183" s="20"/>
    </row>
    <row r="1184" spans="1:1" x14ac:dyDescent="0.3">
      <c r="A1184" s="20"/>
    </row>
    <row r="1185" spans="1:1" x14ac:dyDescent="0.3">
      <c r="A1185" s="20"/>
    </row>
    <row r="1186" spans="1:1" x14ac:dyDescent="0.3">
      <c r="A1186" s="20"/>
    </row>
    <row r="1187" spans="1:1" x14ac:dyDescent="0.3">
      <c r="A1187" s="20"/>
    </row>
    <row r="1188" spans="1:1" x14ac:dyDescent="0.3">
      <c r="A1188" s="20"/>
    </row>
    <row r="1189" spans="1:1" x14ac:dyDescent="0.3">
      <c r="A1189" s="20"/>
    </row>
    <row r="1190" spans="1:1" x14ac:dyDescent="0.3">
      <c r="A1190" s="20"/>
    </row>
    <row r="1191" spans="1:1" x14ac:dyDescent="0.3">
      <c r="A1191" s="20"/>
    </row>
    <row r="1192" spans="1:1" x14ac:dyDescent="0.3">
      <c r="A1192" s="20"/>
    </row>
    <row r="1193" spans="1:1" x14ac:dyDescent="0.3">
      <c r="A1193" s="20"/>
    </row>
    <row r="1194" spans="1:1" x14ac:dyDescent="0.3">
      <c r="A1194" s="20"/>
    </row>
    <row r="1195" spans="1:1" x14ac:dyDescent="0.3">
      <c r="A1195" s="20"/>
    </row>
    <row r="1196" spans="1:1" x14ac:dyDescent="0.3">
      <c r="A1196" s="20"/>
    </row>
    <row r="1197" spans="1:1" x14ac:dyDescent="0.3">
      <c r="A1197" s="20"/>
    </row>
    <row r="1198" spans="1:1" x14ac:dyDescent="0.3">
      <c r="A1198" s="20"/>
    </row>
    <row r="1199" spans="1:1" x14ac:dyDescent="0.3">
      <c r="A1199" s="20"/>
    </row>
    <row r="1200" spans="1:1" x14ac:dyDescent="0.3">
      <c r="A1200" s="20"/>
    </row>
    <row r="1201" spans="1:1" x14ac:dyDescent="0.3">
      <c r="A1201" s="20"/>
    </row>
    <row r="1202" spans="1:1" x14ac:dyDescent="0.3">
      <c r="A1202" s="20"/>
    </row>
    <row r="1203" spans="1:1" x14ac:dyDescent="0.3">
      <c r="A1203" s="20"/>
    </row>
    <row r="1204" spans="1:1" x14ac:dyDescent="0.3">
      <c r="A1204" s="20"/>
    </row>
    <row r="1205" spans="1:1" x14ac:dyDescent="0.3">
      <c r="A1205" s="20"/>
    </row>
    <row r="1206" spans="1:1" x14ac:dyDescent="0.3">
      <c r="A1206" s="20"/>
    </row>
    <row r="1207" spans="1:1" x14ac:dyDescent="0.3">
      <c r="A1207" s="20"/>
    </row>
    <row r="1208" spans="1:1" x14ac:dyDescent="0.3">
      <c r="A1208" s="20"/>
    </row>
    <row r="1209" spans="1:1" x14ac:dyDescent="0.3">
      <c r="A1209" s="20"/>
    </row>
    <row r="1210" spans="1:1" x14ac:dyDescent="0.3">
      <c r="A1210" s="20"/>
    </row>
    <row r="1211" spans="1:1" x14ac:dyDescent="0.3">
      <c r="A1211" s="20"/>
    </row>
    <row r="1212" spans="1:1" x14ac:dyDescent="0.3">
      <c r="A1212" s="20"/>
    </row>
    <row r="1213" spans="1:1" x14ac:dyDescent="0.3">
      <c r="A1213" s="20"/>
    </row>
    <row r="1214" spans="1:1" x14ac:dyDescent="0.3">
      <c r="A1214" s="20"/>
    </row>
    <row r="1215" spans="1:1" x14ac:dyDescent="0.3">
      <c r="A1215" s="20"/>
    </row>
    <row r="1216" spans="1:1" x14ac:dyDescent="0.3">
      <c r="A1216" s="20"/>
    </row>
    <row r="1217" spans="1:1" x14ac:dyDescent="0.3">
      <c r="A1217" s="20"/>
    </row>
    <row r="1218" spans="1:1" x14ac:dyDescent="0.3">
      <c r="A1218" s="20"/>
    </row>
    <row r="1219" spans="1:1" x14ac:dyDescent="0.3">
      <c r="A1219" s="20"/>
    </row>
    <row r="1220" spans="1:1" x14ac:dyDescent="0.3">
      <c r="A1220" s="20"/>
    </row>
    <row r="1221" spans="1:1" x14ac:dyDescent="0.3">
      <c r="A1221" s="20"/>
    </row>
    <row r="1222" spans="1:1" x14ac:dyDescent="0.3">
      <c r="A1222" s="20"/>
    </row>
    <row r="1223" spans="1:1" x14ac:dyDescent="0.3">
      <c r="A1223" s="20"/>
    </row>
    <row r="1224" spans="1:1" x14ac:dyDescent="0.3">
      <c r="A1224" s="20"/>
    </row>
    <row r="1225" spans="1:1" x14ac:dyDescent="0.3">
      <c r="A1225" s="20"/>
    </row>
    <row r="1226" spans="1:1" x14ac:dyDescent="0.3">
      <c r="A1226" s="20"/>
    </row>
    <row r="1227" spans="1:1" x14ac:dyDescent="0.3">
      <c r="A1227" s="20"/>
    </row>
    <row r="1228" spans="1:1" x14ac:dyDescent="0.3">
      <c r="A1228" s="20"/>
    </row>
    <row r="1229" spans="1:1" x14ac:dyDescent="0.3">
      <c r="A1229" s="20"/>
    </row>
    <row r="1230" spans="1:1" x14ac:dyDescent="0.3">
      <c r="A1230" s="20"/>
    </row>
    <row r="1231" spans="1:1" x14ac:dyDescent="0.3">
      <c r="A1231" s="20"/>
    </row>
    <row r="1232" spans="1:1" x14ac:dyDescent="0.3">
      <c r="A1232" s="20"/>
    </row>
    <row r="1233" spans="1:1" x14ac:dyDescent="0.3">
      <c r="A1233" s="20"/>
    </row>
    <row r="1234" spans="1:1" x14ac:dyDescent="0.3">
      <c r="A1234" s="20"/>
    </row>
    <row r="1235" spans="1:1" x14ac:dyDescent="0.3">
      <c r="A1235" s="20"/>
    </row>
    <row r="1236" spans="1:1" x14ac:dyDescent="0.3">
      <c r="A1236" s="20"/>
    </row>
    <row r="1237" spans="1:1" x14ac:dyDescent="0.3">
      <c r="A1237" s="20"/>
    </row>
    <row r="1238" spans="1:1" x14ac:dyDescent="0.3">
      <c r="A1238" s="20"/>
    </row>
    <row r="1239" spans="1:1" x14ac:dyDescent="0.3">
      <c r="A1239" s="20"/>
    </row>
    <row r="1240" spans="1:1" x14ac:dyDescent="0.3">
      <c r="A1240" s="20"/>
    </row>
    <row r="1241" spans="1:1" x14ac:dyDescent="0.3">
      <c r="A1241" s="20"/>
    </row>
    <row r="1242" spans="1:1" x14ac:dyDescent="0.3">
      <c r="A1242" s="20"/>
    </row>
    <row r="1243" spans="1:1" x14ac:dyDescent="0.3">
      <c r="A1243" s="20"/>
    </row>
    <row r="1244" spans="1:1" x14ac:dyDescent="0.3">
      <c r="A1244" s="20"/>
    </row>
    <row r="1245" spans="1:1" x14ac:dyDescent="0.3">
      <c r="A1245" s="20"/>
    </row>
    <row r="1246" spans="1:1" x14ac:dyDescent="0.3">
      <c r="A1246" s="20"/>
    </row>
    <row r="1247" spans="1:1" x14ac:dyDescent="0.3">
      <c r="A1247" s="20"/>
    </row>
    <row r="1248" spans="1:1" x14ac:dyDescent="0.3">
      <c r="A1248" s="20"/>
    </row>
    <row r="1249" spans="1:1" x14ac:dyDescent="0.3">
      <c r="A1249" s="20"/>
    </row>
    <row r="1250" spans="1:1" x14ac:dyDescent="0.3">
      <c r="A1250" s="20"/>
    </row>
    <row r="1251" spans="1:1" x14ac:dyDescent="0.3">
      <c r="A1251" s="20"/>
    </row>
    <row r="1252" spans="1:1" x14ac:dyDescent="0.3">
      <c r="A1252" s="20"/>
    </row>
    <row r="1253" spans="1:1" x14ac:dyDescent="0.3">
      <c r="A1253" s="20"/>
    </row>
    <row r="1254" spans="1:1" x14ac:dyDescent="0.3">
      <c r="A1254" s="20"/>
    </row>
    <row r="1255" spans="1:1" x14ac:dyDescent="0.3">
      <c r="A1255" s="20"/>
    </row>
    <row r="1256" spans="1:1" x14ac:dyDescent="0.3">
      <c r="A1256" s="20"/>
    </row>
    <row r="1257" spans="1:1" x14ac:dyDescent="0.3">
      <c r="A1257" s="20"/>
    </row>
    <row r="1258" spans="1:1" x14ac:dyDescent="0.3">
      <c r="A1258" s="20"/>
    </row>
    <row r="1259" spans="1:1" x14ac:dyDescent="0.3">
      <c r="A1259" s="20"/>
    </row>
    <row r="1260" spans="1:1" x14ac:dyDescent="0.3">
      <c r="A1260" s="20"/>
    </row>
    <row r="1261" spans="1:1" x14ac:dyDescent="0.3">
      <c r="A1261" s="20"/>
    </row>
    <row r="1262" spans="1:1" x14ac:dyDescent="0.3">
      <c r="A1262" s="20"/>
    </row>
    <row r="1263" spans="1:1" x14ac:dyDescent="0.3">
      <c r="A1263" s="20"/>
    </row>
    <row r="1264" spans="1:1" x14ac:dyDescent="0.3">
      <c r="A1264" s="20"/>
    </row>
    <row r="1265" spans="1:1" x14ac:dyDescent="0.3">
      <c r="A1265" s="20"/>
    </row>
    <row r="1266" spans="1:1" x14ac:dyDescent="0.3">
      <c r="A1266" s="20"/>
    </row>
    <row r="1267" spans="1:1" x14ac:dyDescent="0.3">
      <c r="A1267" s="20"/>
    </row>
    <row r="1268" spans="1:1" x14ac:dyDescent="0.3">
      <c r="A1268" s="20"/>
    </row>
    <row r="1269" spans="1:1" x14ac:dyDescent="0.3">
      <c r="A1269" s="20"/>
    </row>
    <row r="1270" spans="1:1" x14ac:dyDescent="0.3">
      <c r="A1270" s="20"/>
    </row>
    <row r="1271" spans="1:1" x14ac:dyDescent="0.3">
      <c r="A1271" s="20"/>
    </row>
    <row r="1272" spans="1:1" x14ac:dyDescent="0.3">
      <c r="A1272" s="20"/>
    </row>
    <row r="1273" spans="1:1" x14ac:dyDescent="0.3">
      <c r="A1273" s="20"/>
    </row>
    <row r="1274" spans="1:1" x14ac:dyDescent="0.3">
      <c r="A1274" s="20"/>
    </row>
    <row r="1275" spans="1:1" x14ac:dyDescent="0.3">
      <c r="A1275" s="20"/>
    </row>
    <row r="1276" spans="1:1" x14ac:dyDescent="0.3">
      <c r="A1276" s="20"/>
    </row>
    <row r="1277" spans="1:1" x14ac:dyDescent="0.3">
      <c r="A1277" s="20"/>
    </row>
    <row r="1278" spans="1:1" x14ac:dyDescent="0.3">
      <c r="A1278" s="20"/>
    </row>
    <row r="1279" spans="1:1" x14ac:dyDescent="0.3">
      <c r="A1279" s="20"/>
    </row>
    <row r="1280" spans="1:1" x14ac:dyDescent="0.3">
      <c r="A1280" s="20"/>
    </row>
    <row r="1281" spans="1:1" x14ac:dyDescent="0.3">
      <c r="A1281" s="20"/>
    </row>
    <row r="1282" spans="1:1" x14ac:dyDescent="0.3">
      <c r="A1282" s="20"/>
    </row>
    <row r="1283" spans="1:1" x14ac:dyDescent="0.3">
      <c r="A1283" s="20"/>
    </row>
    <row r="1284" spans="1:1" x14ac:dyDescent="0.3">
      <c r="A1284" s="20"/>
    </row>
    <row r="1285" spans="1:1" x14ac:dyDescent="0.3">
      <c r="A1285" s="20"/>
    </row>
    <row r="1286" spans="1:1" x14ac:dyDescent="0.3">
      <c r="A1286" s="20"/>
    </row>
    <row r="1287" spans="1:1" x14ac:dyDescent="0.3">
      <c r="A1287" s="20"/>
    </row>
    <row r="1288" spans="1:1" x14ac:dyDescent="0.3">
      <c r="A1288" s="20"/>
    </row>
    <row r="1289" spans="1:1" x14ac:dyDescent="0.3">
      <c r="A1289" s="20"/>
    </row>
    <row r="1290" spans="1:1" x14ac:dyDescent="0.3">
      <c r="A1290" s="20"/>
    </row>
    <row r="1291" spans="1:1" x14ac:dyDescent="0.3">
      <c r="A1291" s="20"/>
    </row>
    <row r="1292" spans="1:1" x14ac:dyDescent="0.3">
      <c r="A1292" s="20"/>
    </row>
    <row r="1293" spans="1:1" x14ac:dyDescent="0.3">
      <c r="A1293" s="20"/>
    </row>
    <row r="1294" spans="1:1" x14ac:dyDescent="0.3">
      <c r="A1294" s="20"/>
    </row>
    <row r="1295" spans="1:1" x14ac:dyDescent="0.3">
      <c r="A1295" s="20"/>
    </row>
    <row r="1296" spans="1:1" x14ac:dyDescent="0.3">
      <c r="A1296" s="20"/>
    </row>
    <row r="1297" spans="1:1" x14ac:dyDescent="0.3">
      <c r="A1297" s="20"/>
    </row>
    <row r="1298" spans="1:1" x14ac:dyDescent="0.3">
      <c r="A1298" s="20"/>
    </row>
    <row r="1299" spans="1:1" x14ac:dyDescent="0.3">
      <c r="A1299" s="20"/>
    </row>
    <row r="1300" spans="1:1" x14ac:dyDescent="0.3">
      <c r="A1300" s="20"/>
    </row>
    <row r="1301" spans="1:1" x14ac:dyDescent="0.3">
      <c r="A1301" s="20"/>
    </row>
    <row r="1302" spans="1:1" x14ac:dyDescent="0.3">
      <c r="A1302" s="20"/>
    </row>
    <row r="1303" spans="1:1" x14ac:dyDescent="0.3">
      <c r="A1303" s="20"/>
    </row>
    <row r="1304" spans="1:1" x14ac:dyDescent="0.3">
      <c r="A1304" s="20"/>
    </row>
    <row r="1305" spans="1:1" x14ac:dyDescent="0.3">
      <c r="A1305" s="20"/>
    </row>
    <row r="1306" spans="1:1" x14ac:dyDescent="0.3">
      <c r="A1306" s="20"/>
    </row>
    <row r="1307" spans="1:1" x14ac:dyDescent="0.3">
      <c r="A1307" s="20"/>
    </row>
    <row r="1308" spans="1:1" x14ac:dyDescent="0.3">
      <c r="A1308" s="20"/>
    </row>
    <row r="1309" spans="1:1" x14ac:dyDescent="0.3">
      <c r="A1309" s="20"/>
    </row>
    <row r="1310" spans="1:1" x14ac:dyDescent="0.3">
      <c r="A1310" s="20"/>
    </row>
    <row r="1311" spans="1:1" x14ac:dyDescent="0.3">
      <c r="A1311" s="20"/>
    </row>
    <row r="1312" spans="1:1" x14ac:dyDescent="0.3">
      <c r="A1312" s="20"/>
    </row>
    <row r="1313" spans="1:1" x14ac:dyDescent="0.3">
      <c r="A1313" s="20"/>
    </row>
    <row r="1314" spans="1:1" x14ac:dyDescent="0.3">
      <c r="A1314" s="20"/>
    </row>
    <row r="1315" spans="1:1" x14ac:dyDescent="0.3">
      <c r="A1315" s="20"/>
    </row>
    <row r="1316" spans="1:1" x14ac:dyDescent="0.3">
      <c r="A1316" s="20"/>
    </row>
    <row r="1317" spans="1:1" x14ac:dyDescent="0.3">
      <c r="A1317" s="20"/>
    </row>
    <row r="1318" spans="1:1" x14ac:dyDescent="0.3">
      <c r="A1318" s="20"/>
    </row>
    <row r="1319" spans="1:1" x14ac:dyDescent="0.3">
      <c r="A1319" s="20"/>
    </row>
    <row r="1320" spans="1:1" x14ac:dyDescent="0.3">
      <c r="A1320" s="20"/>
    </row>
    <row r="1321" spans="1:1" x14ac:dyDescent="0.3">
      <c r="A1321" s="20"/>
    </row>
    <row r="1322" spans="1:1" x14ac:dyDescent="0.3">
      <c r="A1322" s="20"/>
    </row>
    <row r="1323" spans="1:1" x14ac:dyDescent="0.3">
      <c r="A1323" s="20"/>
    </row>
    <row r="1324" spans="1:1" x14ac:dyDescent="0.3">
      <c r="A1324" s="20"/>
    </row>
    <row r="1325" spans="1:1" x14ac:dyDescent="0.3">
      <c r="A1325" s="20"/>
    </row>
    <row r="1326" spans="1:1" x14ac:dyDescent="0.3">
      <c r="A1326" s="20"/>
    </row>
    <row r="1327" spans="1:1" x14ac:dyDescent="0.3">
      <c r="A1327" s="20"/>
    </row>
    <row r="1328" spans="1:1" x14ac:dyDescent="0.3">
      <c r="A1328" s="20"/>
    </row>
    <row r="1329" spans="1:1" x14ac:dyDescent="0.3">
      <c r="A1329" s="20"/>
    </row>
    <row r="1330" spans="1:1" x14ac:dyDescent="0.3">
      <c r="A1330" s="20"/>
    </row>
    <row r="1331" spans="1:1" x14ac:dyDescent="0.3">
      <c r="A1331" s="20"/>
    </row>
    <row r="1332" spans="1:1" x14ac:dyDescent="0.3">
      <c r="A1332" s="20"/>
    </row>
    <row r="1333" spans="1:1" x14ac:dyDescent="0.3">
      <c r="A1333" s="20"/>
    </row>
    <row r="1334" spans="1:1" x14ac:dyDescent="0.3">
      <c r="A1334" s="20"/>
    </row>
    <row r="1335" spans="1:1" x14ac:dyDescent="0.3">
      <c r="A1335" s="20"/>
    </row>
    <row r="1336" spans="1:1" x14ac:dyDescent="0.3">
      <c r="A1336" s="20"/>
    </row>
    <row r="1337" spans="1:1" x14ac:dyDescent="0.3">
      <c r="A1337" s="20"/>
    </row>
    <row r="1338" spans="1:1" x14ac:dyDescent="0.3">
      <c r="A1338" s="20"/>
    </row>
    <row r="1339" spans="1:1" x14ac:dyDescent="0.3">
      <c r="A1339" s="20"/>
    </row>
    <row r="1340" spans="1:1" x14ac:dyDescent="0.3">
      <c r="A1340" s="20"/>
    </row>
    <row r="1341" spans="1:1" x14ac:dyDescent="0.3">
      <c r="A1341" s="20"/>
    </row>
    <row r="1342" spans="1:1" x14ac:dyDescent="0.3">
      <c r="A1342" s="20"/>
    </row>
    <row r="1343" spans="1:1" x14ac:dyDescent="0.3">
      <c r="A1343" s="20"/>
    </row>
    <row r="1344" spans="1:1" x14ac:dyDescent="0.3">
      <c r="A1344" s="20"/>
    </row>
    <row r="1345" spans="1:1" x14ac:dyDescent="0.3">
      <c r="A1345" s="20"/>
    </row>
    <row r="1346" spans="1:1" x14ac:dyDescent="0.3">
      <c r="A1346" s="20"/>
    </row>
    <row r="1347" spans="1:1" x14ac:dyDescent="0.3">
      <c r="A1347" s="20"/>
    </row>
    <row r="1348" spans="1:1" x14ac:dyDescent="0.3">
      <c r="A1348" s="20"/>
    </row>
    <row r="1349" spans="1:1" x14ac:dyDescent="0.3">
      <c r="A1349" s="20"/>
    </row>
    <row r="1350" spans="1:1" x14ac:dyDescent="0.3">
      <c r="A1350" s="20"/>
    </row>
    <row r="1351" spans="1:1" x14ac:dyDescent="0.3">
      <c r="A1351" s="20"/>
    </row>
    <row r="1352" spans="1:1" x14ac:dyDescent="0.3">
      <c r="A1352" s="20"/>
    </row>
    <row r="1353" spans="1:1" x14ac:dyDescent="0.3">
      <c r="A1353" s="20"/>
    </row>
    <row r="1354" spans="1:1" x14ac:dyDescent="0.3">
      <c r="A1354" s="20"/>
    </row>
    <row r="1355" spans="1:1" x14ac:dyDescent="0.3">
      <c r="A1355" s="20"/>
    </row>
    <row r="1356" spans="1:1" x14ac:dyDescent="0.3">
      <c r="A1356" s="20"/>
    </row>
    <row r="1357" spans="1:1" x14ac:dyDescent="0.3">
      <c r="A1357" s="20"/>
    </row>
    <row r="1358" spans="1:1" x14ac:dyDescent="0.3">
      <c r="A1358" s="20"/>
    </row>
    <row r="1359" spans="1:1" x14ac:dyDescent="0.3">
      <c r="A1359" s="20"/>
    </row>
    <row r="1360" spans="1:1" x14ac:dyDescent="0.3">
      <c r="A1360" s="20"/>
    </row>
    <row r="1361" spans="1:1" x14ac:dyDescent="0.3">
      <c r="A1361" s="20"/>
    </row>
    <row r="1362" spans="1:1" x14ac:dyDescent="0.3">
      <c r="A1362" s="20"/>
    </row>
    <row r="1363" spans="1:1" x14ac:dyDescent="0.3">
      <c r="A1363" s="20"/>
    </row>
    <row r="1364" spans="1:1" x14ac:dyDescent="0.3">
      <c r="A1364" s="20"/>
    </row>
    <row r="1365" spans="1:1" x14ac:dyDescent="0.3">
      <c r="A1365" s="20"/>
    </row>
    <row r="1366" spans="1:1" x14ac:dyDescent="0.3">
      <c r="A1366" s="20"/>
    </row>
    <row r="1367" spans="1:1" x14ac:dyDescent="0.3">
      <c r="A1367" s="20"/>
    </row>
    <row r="1368" spans="1:1" x14ac:dyDescent="0.3">
      <c r="A1368" s="20"/>
    </row>
    <row r="1369" spans="1:1" x14ac:dyDescent="0.3">
      <c r="A1369" s="20"/>
    </row>
    <row r="1370" spans="1:1" x14ac:dyDescent="0.3">
      <c r="A1370" s="20"/>
    </row>
    <row r="1371" spans="1:1" x14ac:dyDescent="0.3">
      <c r="A1371" s="20"/>
    </row>
    <row r="1372" spans="1:1" x14ac:dyDescent="0.3">
      <c r="A1372" s="20"/>
    </row>
    <row r="1373" spans="1:1" x14ac:dyDescent="0.3">
      <c r="A1373" s="20"/>
    </row>
    <row r="1374" spans="1:1" x14ac:dyDescent="0.3">
      <c r="A1374" s="20"/>
    </row>
    <row r="1375" spans="1:1" x14ac:dyDescent="0.3">
      <c r="A1375" s="20"/>
    </row>
    <row r="1376" spans="1:1" x14ac:dyDescent="0.3">
      <c r="A1376" s="20"/>
    </row>
    <row r="1377" spans="1:1" x14ac:dyDescent="0.3">
      <c r="A1377" s="20"/>
    </row>
    <row r="1378" spans="1:1" x14ac:dyDescent="0.3">
      <c r="A1378" s="20"/>
    </row>
    <row r="1379" spans="1:1" x14ac:dyDescent="0.3">
      <c r="A1379" s="20"/>
    </row>
    <row r="1380" spans="1:1" x14ac:dyDescent="0.3">
      <c r="A1380" s="20"/>
    </row>
    <row r="1381" spans="1:1" x14ac:dyDescent="0.3">
      <c r="A1381" s="20"/>
    </row>
    <row r="1382" spans="1:1" x14ac:dyDescent="0.3">
      <c r="A1382" s="20"/>
    </row>
    <row r="1383" spans="1:1" x14ac:dyDescent="0.3">
      <c r="A1383" s="20"/>
    </row>
    <row r="1384" spans="1:1" x14ac:dyDescent="0.3">
      <c r="A1384" s="20"/>
    </row>
    <row r="1385" spans="1:1" x14ac:dyDescent="0.3">
      <c r="A1385" s="20"/>
    </row>
    <row r="1386" spans="1:1" x14ac:dyDescent="0.3">
      <c r="A1386" s="20"/>
    </row>
    <row r="1387" spans="1:1" x14ac:dyDescent="0.3">
      <c r="A1387" s="20"/>
    </row>
    <row r="1388" spans="1:1" x14ac:dyDescent="0.3">
      <c r="A1388" s="20"/>
    </row>
    <row r="1389" spans="1:1" x14ac:dyDescent="0.3">
      <c r="A1389" s="20"/>
    </row>
    <row r="1390" spans="1:1" x14ac:dyDescent="0.3">
      <c r="A1390" s="20"/>
    </row>
    <row r="1391" spans="1:1" x14ac:dyDescent="0.3">
      <c r="A1391" s="20"/>
    </row>
    <row r="1392" spans="1:1" x14ac:dyDescent="0.3">
      <c r="A1392" s="20"/>
    </row>
    <row r="1393" spans="1:1" x14ac:dyDescent="0.3">
      <c r="A1393" s="20"/>
    </row>
    <row r="1394" spans="1:1" x14ac:dyDescent="0.3">
      <c r="A1394" s="20"/>
    </row>
    <row r="1395" spans="1:1" x14ac:dyDescent="0.3">
      <c r="A1395" s="20"/>
    </row>
    <row r="1396" spans="1:1" x14ac:dyDescent="0.3">
      <c r="A1396" s="20"/>
    </row>
    <row r="1397" spans="1:1" x14ac:dyDescent="0.3">
      <c r="A1397" s="20"/>
    </row>
    <row r="1398" spans="1:1" x14ac:dyDescent="0.3">
      <c r="A1398" s="20"/>
    </row>
    <row r="1399" spans="1:1" x14ac:dyDescent="0.3">
      <c r="A1399" s="20"/>
    </row>
    <row r="1400" spans="1:1" x14ac:dyDescent="0.3">
      <c r="A1400" s="20"/>
    </row>
    <row r="1401" spans="1:1" x14ac:dyDescent="0.3">
      <c r="A1401" s="20"/>
    </row>
    <row r="1402" spans="1:1" x14ac:dyDescent="0.3">
      <c r="A1402" s="20"/>
    </row>
    <row r="1403" spans="1:1" x14ac:dyDescent="0.3">
      <c r="A1403" s="20"/>
    </row>
    <row r="1404" spans="1:1" x14ac:dyDescent="0.3">
      <c r="A1404" s="20"/>
    </row>
    <row r="1405" spans="1:1" x14ac:dyDescent="0.3">
      <c r="A1405" s="20"/>
    </row>
    <row r="1406" spans="1:1" x14ac:dyDescent="0.3">
      <c r="A1406" s="20"/>
    </row>
    <row r="1407" spans="1:1" x14ac:dyDescent="0.3">
      <c r="A1407" s="20"/>
    </row>
    <row r="1408" spans="1:1" x14ac:dyDescent="0.3">
      <c r="A1408" s="20"/>
    </row>
    <row r="1409" spans="1:1" x14ac:dyDescent="0.3">
      <c r="A1409" s="20"/>
    </row>
    <row r="1410" spans="1:1" x14ac:dyDescent="0.3">
      <c r="A1410" s="20"/>
    </row>
    <row r="1411" spans="1:1" x14ac:dyDescent="0.3">
      <c r="A1411" s="20"/>
    </row>
    <row r="1412" spans="1:1" x14ac:dyDescent="0.3">
      <c r="A1412" s="20"/>
    </row>
    <row r="1413" spans="1:1" x14ac:dyDescent="0.3">
      <c r="A1413" s="20"/>
    </row>
    <row r="1414" spans="1:1" x14ac:dyDescent="0.3">
      <c r="A1414" s="20"/>
    </row>
    <row r="1415" spans="1:1" x14ac:dyDescent="0.3">
      <c r="A1415" s="20"/>
    </row>
    <row r="1416" spans="1:1" x14ac:dyDescent="0.3">
      <c r="A1416" s="20"/>
    </row>
    <row r="1417" spans="1:1" x14ac:dyDescent="0.3">
      <c r="A1417" s="20"/>
    </row>
    <row r="1418" spans="1:1" x14ac:dyDescent="0.3">
      <c r="A1418" s="20"/>
    </row>
    <row r="1419" spans="1:1" x14ac:dyDescent="0.3">
      <c r="A1419" s="20"/>
    </row>
    <row r="1420" spans="1:1" x14ac:dyDescent="0.3">
      <c r="A1420" s="20"/>
    </row>
    <row r="1421" spans="1:1" x14ac:dyDescent="0.3">
      <c r="A1421" s="20"/>
    </row>
    <row r="1422" spans="1:1" x14ac:dyDescent="0.3">
      <c r="A1422" s="20"/>
    </row>
    <row r="1423" spans="1:1" x14ac:dyDescent="0.3">
      <c r="A1423" s="20"/>
    </row>
    <row r="1424" spans="1:1" x14ac:dyDescent="0.3">
      <c r="A1424" s="20"/>
    </row>
    <row r="1425" spans="1:1" x14ac:dyDescent="0.3">
      <c r="A1425" s="20"/>
    </row>
    <row r="1426" spans="1:1" x14ac:dyDescent="0.3">
      <c r="A1426" s="20"/>
    </row>
    <row r="1427" spans="1:1" x14ac:dyDescent="0.3">
      <c r="A1427" s="20"/>
    </row>
    <row r="1428" spans="1:1" x14ac:dyDescent="0.3">
      <c r="A1428" s="20"/>
    </row>
    <row r="1429" spans="1:1" x14ac:dyDescent="0.3">
      <c r="A1429" s="20"/>
    </row>
    <row r="1430" spans="1:1" x14ac:dyDescent="0.3">
      <c r="A1430" s="20"/>
    </row>
    <row r="1431" spans="1:1" x14ac:dyDescent="0.3">
      <c r="A1431" s="20"/>
    </row>
    <row r="1432" spans="1:1" x14ac:dyDescent="0.3">
      <c r="A1432" s="20"/>
    </row>
    <row r="1433" spans="1:1" x14ac:dyDescent="0.3">
      <c r="A1433" s="20"/>
    </row>
    <row r="1434" spans="1:1" x14ac:dyDescent="0.3">
      <c r="A1434" s="20"/>
    </row>
    <row r="1435" spans="1:1" x14ac:dyDescent="0.3">
      <c r="A1435" s="20"/>
    </row>
    <row r="1436" spans="1:1" x14ac:dyDescent="0.3">
      <c r="A1436" s="20"/>
    </row>
    <row r="1437" spans="1:1" x14ac:dyDescent="0.3">
      <c r="A1437" s="20"/>
    </row>
    <row r="1438" spans="1:1" x14ac:dyDescent="0.3">
      <c r="A1438" s="20"/>
    </row>
    <row r="1439" spans="1:1" x14ac:dyDescent="0.3">
      <c r="A1439" s="20"/>
    </row>
    <row r="1440" spans="1:1" x14ac:dyDescent="0.3">
      <c r="A1440" s="20"/>
    </row>
    <row r="1441" spans="1:1" x14ac:dyDescent="0.3">
      <c r="A1441" s="20"/>
    </row>
    <row r="1442" spans="1:1" x14ac:dyDescent="0.3">
      <c r="A1442" s="20"/>
    </row>
    <row r="1443" spans="1:1" x14ac:dyDescent="0.3">
      <c r="A1443" s="20"/>
    </row>
    <row r="1444" spans="1:1" x14ac:dyDescent="0.3">
      <c r="A1444" s="20"/>
    </row>
    <row r="1445" spans="1:1" x14ac:dyDescent="0.3">
      <c r="A1445" s="20"/>
    </row>
    <row r="1446" spans="1:1" x14ac:dyDescent="0.3">
      <c r="A1446" s="20"/>
    </row>
    <row r="1447" spans="1:1" x14ac:dyDescent="0.3">
      <c r="A1447" s="20"/>
    </row>
    <row r="1448" spans="1:1" x14ac:dyDescent="0.3">
      <c r="A1448" s="20"/>
    </row>
    <row r="1449" spans="1:1" x14ac:dyDescent="0.3">
      <c r="A1449" s="20"/>
    </row>
    <row r="1450" spans="1:1" x14ac:dyDescent="0.3">
      <c r="A1450" s="20"/>
    </row>
    <row r="1451" spans="1:1" x14ac:dyDescent="0.3">
      <c r="A1451" s="20"/>
    </row>
    <row r="1452" spans="1:1" x14ac:dyDescent="0.3">
      <c r="A1452" s="20"/>
    </row>
    <row r="1453" spans="1:1" x14ac:dyDescent="0.3">
      <c r="A1453" s="20"/>
    </row>
    <row r="1454" spans="1:1" x14ac:dyDescent="0.3">
      <c r="A1454" s="20"/>
    </row>
    <row r="1455" spans="1:1" x14ac:dyDescent="0.3">
      <c r="A1455" s="20"/>
    </row>
    <row r="1456" spans="1:1" x14ac:dyDescent="0.3">
      <c r="A1456" s="20"/>
    </row>
    <row r="1457" spans="1:1" x14ac:dyDescent="0.3">
      <c r="A1457" s="20"/>
    </row>
    <row r="1458" spans="1:1" x14ac:dyDescent="0.3">
      <c r="A1458" s="20"/>
    </row>
    <row r="1459" spans="1:1" x14ac:dyDescent="0.3">
      <c r="A1459" s="20"/>
    </row>
    <row r="1460" spans="1:1" x14ac:dyDescent="0.3">
      <c r="A1460" s="20"/>
    </row>
    <row r="1461" spans="1:1" x14ac:dyDescent="0.3">
      <c r="A1461" s="20"/>
    </row>
    <row r="1462" spans="1:1" x14ac:dyDescent="0.3">
      <c r="A1462" s="20"/>
    </row>
    <row r="1463" spans="1:1" x14ac:dyDescent="0.3">
      <c r="A1463" s="20"/>
    </row>
    <row r="1464" spans="1:1" x14ac:dyDescent="0.3">
      <c r="A1464" s="20"/>
    </row>
    <row r="1465" spans="1:1" x14ac:dyDescent="0.3">
      <c r="A1465" s="20"/>
    </row>
    <row r="1466" spans="1:1" x14ac:dyDescent="0.3">
      <c r="A1466" s="20"/>
    </row>
    <row r="1467" spans="1:1" x14ac:dyDescent="0.3">
      <c r="A1467" s="20"/>
    </row>
    <row r="1468" spans="1:1" x14ac:dyDescent="0.3">
      <c r="A1468" s="20"/>
    </row>
    <row r="1469" spans="1:1" x14ac:dyDescent="0.3">
      <c r="A1469" s="20"/>
    </row>
    <row r="1470" spans="1:1" x14ac:dyDescent="0.3">
      <c r="A1470" s="20"/>
    </row>
    <row r="1471" spans="1:1" x14ac:dyDescent="0.3">
      <c r="A1471" s="20"/>
    </row>
    <row r="1472" spans="1:1" x14ac:dyDescent="0.3">
      <c r="A1472" s="20"/>
    </row>
    <row r="1473" spans="1:1" x14ac:dyDescent="0.3">
      <c r="A1473" s="20"/>
    </row>
    <row r="1474" spans="1:1" x14ac:dyDescent="0.3">
      <c r="A1474" s="20"/>
    </row>
    <row r="1475" spans="1:1" x14ac:dyDescent="0.3">
      <c r="A1475" s="20"/>
    </row>
    <row r="1476" spans="1:1" x14ac:dyDescent="0.3">
      <c r="A1476" s="20"/>
    </row>
    <row r="1477" spans="1:1" x14ac:dyDescent="0.3">
      <c r="A1477" s="20"/>
    </row>
    <row r="1478" spans="1:1" x14ac:dyDescent="0.3">
      <c r="A1478" s="20"/>
    </row>
    <row r="1479" spans="1:1" x14ac:dyDescent="0.3">
      <c r="A1479" s="20"/>
    </row>
    <row r="1480" spans="1:1" x14ac:dyDescent="0.3">
      <c r="A1480" s="20"/>
    </row>
    <row r="1481" spans="1:1" x14ac:dyDescent="0.3">
      <c r="A1481" s="20"/>
    </row>
    <row r="1482" spans="1:1" x14ac:dyDescent="0.3">
      <c r="A1482" s="20"/>
    </row>
    <row r="1483" spans="1:1" x14ac:dyDescent="0.3">
      <c r="A1483" s="20"/>
    </row>
    <row r="1484" spans="1:1" x14ac:dyDescent="0.3">
      <c r="A1484" s="20"/>
    </row>
    <row r="1485" spans="1:1" x14ac:dyDescent="0.3">
      <c r="A1485" s="20"/>
    </row>
    <row r="1486" spans="1:1" x14ac:dyDescent="0.3">
      <c r="A1486" s="20"/>
    </row>
    <row r="1487" spans="1:1" x14ac:dyDescent="0.3">
      <c r="A1487" s="20"/>
    </row>
    <row r="1488" spans="1:1" x14ac:dyDescent="0.3">
      <c r="A1488" s="20"/>
    </row>
    <row r="1489" spans="1:1" x14ac:dyDescent="0.3">
      <c r="A1489" s="20"/>
    </row>
    <row r="1490" spans="1:1" x14ac:dyDescent="0.3">
      <c r="A1490" s="20"/>
    </row>
    <row r="1491" spans="1:1" x14ac:dyDescent="0.3">
      <c r="A1491" s="20"/>
    </row>
    <row r="1492" spans="1:1" x14ac:dyDescent="0.3">
      <c r="A1492" s="20"/>
    </row>
    <row r="1493" spans="1:1" x14ac:dyDescent="0.3">
      <c r="A1493" s="20"/>
    </row>
    <row r="1494" spans="1:1" x14ac:dyDescent="0.3">
      <c r="A1494" s="20"/>
    </row>
    <row r="1495" spans="1:1" x14ac:dyDescent="0.3">
      <c r="A1495" s="20"/>
    </row>
    <row r="1496" spans="1:1" x14ac:dyDescent="0.3">
      <c r="A1496" s="20"/>
    </row>
    <row r="1497" spans="1:1" x14ac:dyDescent="0.3">
      <c r="A1497" s="20"/>
    </row>
    <row r="1498" spans="1:1" x14ac:dyDescent="0.3">
      <c r="A1498" s="20"/>
    </row>
    <row r="1499" spans="1:1" x14ac:dyDescent="0.3">
      <c r="A1499" s="20"/>
    </row>
    <row r="1500" spans="1:1" x14ac:dyDescent="0.3">
      <c r="A1500" s="20"/>
    </row>
    <row r="1501" spans="1:1" x14ac:dyDescent="0.3">
      <c r="A1501" s="20"/>
    </row>
    <row r="1502" spans="1:1" x14ac:dyDescent="0.3">
      <c r="A1502" s="20"/>
    </row>
    <row r="1503" spans="1:1" x14ac:dyDescent="0.3">
      <c r="A1503" s="20"/>
    </row>
    <row r="1504" spans="1:1" x14ac:dyDescent="0.3">
      <c r="A1504" s="20"/>
    </row>
    <row r="1505" spans="1:1" x14ac:dyDescent="0.3">
      <c r="A1505" s="20"/>
    </row>
    <row r="1506" spans="1:1" x14ac:dyDescent="0.3">
      <c r="A1506" s="20"/>
    </row>
    <row r="1507" spans="1:1" x14ac:dyDescent="0.3">
      <c r="A1507" s="20"/>
    </row>
    <row r="1508" spans="1:1" x14ac:dyDescent="0.3">
      <c r="A1508" s="20"/>
    </row>
    <row r="1509" spans="1:1" x14ac:dyDescent="0.3">
      <c r="A1509" s="20"/>
    </row>
    <row r="1510" spans="1:1" x14ac:dyDescent="0.3">
      <c r="A1510" s="20"/>
    </row>
    <row r="1511" spans="1:1" x14ac:dyDescent="0.3">
      <c r="A1511" s="20"/>
    </row>
    <row r="1512" spans="1:1" x14ac:dyDescent="0.3">
      <c r="A1512" s="20"/>
    </row>
    <row r="1513" spans="1:1" x14ac:dyDescent="0.3">
      <c r="A1513" s="20"/>
    </row>
    <row r="1514" spans="1:1" x14ac:dyDescent="0.3">
      <c r="A1514" s="20"/>
    </row>
    <row r="1515" spans="1:1" x14ac:dyDescent="0.3">
      <c r="A1515" s="20"/>
    </row>
    <row r="1516" spans="1:1" x14ac:dyDescent="0.3">
      <c r="A1516" s="20"/>
    </row>
    <row r="1517" spans="1:1" x14ac:dyDescent="0.3">
      <c r="A1517" s="20"/>
    </row>
    <row r="1518" spans="1:1" x14ac:dyDescent="0.3">
      <c r="A1518" s="20"/>
    </row>
    <row r="1519" spans="1:1" x14ac:dyDescent="0.3">
      <c r="A1519" s="20"/>
    </row>
    <row r="1520" spans="1:1" x14ac:dyDescent="0.3">
      <c r="A1520" s="20"/>
    </row>
    <row r="1521" spans="1:1" x14ac:dyDescent="0.3">
      <c r="A1521" s="20"/>
    </row>
    <row r="1522" spans="1:1" x14ac:dyDescent="0.3">
      <c r="A1522" s="20"/>
    </row>
    <row r="1523" spans="1:1" x14ac:dyDescent="0.3">
      <c r="A1523" s="20"/>
    </row>
    <row r="1524" spans="1:1" x14ac:dyDescent="0.3">
      <c r="A1524" s="20"/>
    </row>
    <row r="1525" spans="1:1" x14ac:dyDescent="0.3">
      <c r="A1525" s="20"/>
    </row>
    <row r="1526" spans="1:1" x14ac:dyDescent="0.3">
      <c r="A1526" s="20"/>
    </row>
    <row r="1527" spans="1:1" x14ac:dyDescent="0.3">
      <c r="A1527" s="20"/>
    </row>
    <row r="1528" spans="1:1" x14ac:dyDescent="0.3">
      <c r="A1528" s="20"/>
    </row>
    <row r="1529" spans="1:1" x14ac:dyDescent="0.3">
      <c r="A1529" s="20"/>
    </row>
    <row r="1530" spans="1:1" x14ac:dyDescent="0.3">
      <c r="A1530" s="20"/>
    </row>
    <row r="1531" spans="1:1" x14ac:dyDescent="0.3">
      <c r="A1531" s="20"/>
    </row>
    <row r="1532" spans="1:1" x14ac:dyDescent="0.3">
      <c r="A1532" s="20"/>
    </row>
    <row r="1533" spans="1:1" x14ac:dyDescent="0.3">
      <c r="A1533" s="20"/>
    </row>
    <row r="1534" spans="1:1" x14ac:dyDescent="0.3">
      <c r="A1534" s="20"/>
    </row>
    <row r="1535" spans="1:1" x14ac:dyDescent="0.3">
      <c r="A1535" s="20"/>
    </row>
    <row r="1536" spans="1:1" x14ac:dyDescent="0.3">
      <c r="A1536" s="20"/>
    </row>
    <row r="1537" spans="1:1" x14ac:dyDescent="0.3">
      <c r="A1537" s="20"/>
    </row>
    <row r="1538" spans="1:1" x14ac:dyDescent="0.3">
      <c r="A1538" s="20"/>
    </row>
    <row r="1539" spans="1:1" x14ac:dyDescent="0.3">
      <c r="A1539" s="20"/>
    </row>
    <row r="1540" spans="1:1" x14ac:dyDescent="0.3">
      <c r="A1540" s="20"/>
    </row>
    <row r="1541" spans="1:1" x14ac:dyDescent="0.3">
      <c r="A1541" s="20"/>
    </row>
    <row r="1542" spans="1:1" x14ac:dyDescent="0.3">
      <c r="A1542" s="20"/>
    </row>
    <row r="1543" spans="1:1" x14ac:dyDescent="0.3">
      <c r="A1543" s="20"/>
    </row>
    <row r="1544" spans="1:1" x14ac:dyDescent="0.3">
      <c r="A1544" s="20"/>
    </row>
    <row r="1545" spans="1:1" x14ac:dyDescent="0.3">
      <c r="A1545" s="20"/>
    </row>
    <row r="1546" spans="1:1" x14ac:dyDescent="0.3">
      <c r="A1546" s="20"/>
    </row>
    <row r="1547" spans="1:1" x14ac:dyDescent="0.3">
      <c r="A1547" s="20"/>
    </row>
    <row r="1548" spans="1:1" x14ac:dyDescent="0.3">
      <c r="A1548" s="20"/>
    </row>
    <row r="1549" spans="1:1" x14ac:dyDescent="0.3">
      <c r="A1549" s="20"/>
    </row>
    <row r="1550" spans="1:1" x14ac:dyDescent="0.3">
      <c r="A1550" s="20"/>
    </row>
    <row r="1551" spans="1:1" x14ac:dyDescent="0.3">
      <c r="A1551" s="20"/>
    </row>
    <row r="1552" spans="1:1" x14ac:dyDescent="0.3">
      <c r="A1552" s="20"/>
    </row>
    <row r="1553" spans="1:1" x14ac:dyDescent="0.3">
      <c r="A1553" s="20"/>
    </row>
    <row r="1554" spans="1:1" x14ac:dyDescent="0.3">
      <c r="A1554" s="20"/>
    </row>
    <row r="1555" spans="1:1" x14ac:dyDescent="0.3">
      <c r="A1555" s="20"/>
    </row>
    <row r="1556" spans="1:1" x14ac:dyDescent="0.3">
      <c r="A1556" s="20"/>
    </row>
    <row r="1557" spans="1:1" x14ac:dyDescent="0.3">
      <c r="A1557" s="20"/>
    </row>
    <row r="1558" spans="1:1" x14ac:dyDescent="0.3">
      <c r="A1558" s="20"/>
    </row>
    <row r="1559" spans="1:1" x14ac:dyDescent="0.3">
      <c r="A1559" s="20"/>
    </row>
    <row r="1560" spans="1:1" x14ac:dyDescent="0.3">
      <c r="A1560" s="20"/>
    </row>
    <row r="1561" spans="1:1" x14ac:dyDescent="0.3">
      <c r="A1561" s="20"/>
    </row>
    <row r="1562" spans="1:1" x14ac:dyDescent="0.3">
      <c r="A1562" s="20"/>
    </row>
    <row r="1563" spans="1:1" x14ac:dyDescent="0.3">
      <c r="A1563" s="20"/>
    </row>
    <row r="1564" spans="1:1" x14ac:dyDescent="0.3">
      <c r="A1564" s="20"/>
    </row>
    <row r="1565" spans="1:1" x14ac:dyDescent="0.3">
      <c r="A1565" s="20"/>
    </row>
    <row r="1566" spans="1:1" x14ac:dyDescent="0.3">
      <c r="A1566" s="20"/>
    </row>
    <row r="1567" spans="1:1" x14ac:dyDescent="0.3">
      <c r="A1567" s="20"/>
    </row>
    <row r="1568" spans="1:1" x14ac:dyDescent="0.3">
      <c r="A1568" s="20"/>
    </row>
    <row r="1569" spans="1:1" x14ac:dyDescent="0.3">
      <c r="A1569" s="20"/>
    </row>
    <row r="1570" spans="1:1" x14ac:dyDescent="0.3">
      <c r="A1570" s="20"/>
    </row>
    <row r="1571" spans="1:1" x14ac:dyDescent="0.3">
      <c r="A1571" s="20"/>
    </row>
    <row r="1572" spans="1:1" x14ac:dyDescent="0.3">
      <c r="A1572" s="20"/>
    </row>
    <row r="1573" spans="1:1" x14ac:dyDescent="0.3">
      <c r="A1573" s="20"/>
    </row>
    <row r="1574" spans="1:1" x14ac:dyDescent="0.3">
      <c r="A1574" s="20"/>
    </row>
    <row r="1575" spans="1:1" x14ac:dyDescent="0.3">
      <c r="A1575" s="20"/>
    </row>
    <row r="1576" spans="1:1" x14ac:dyDescent="0.3">
      <c r="A1576" s="20"/>
    </row>
    <row r="1577" spans="1:1" x14ac:dyDescent="0.3">
      <c r="A1577" s="20"/>
    </row>
    <row r="1578" spans="1:1" x14ac:dyDescent="0.3">
      <c r="A1578" s="20"/>
    </row>
    <row r="1579" spans="1:1" x14ac:dyDescent="0.3">
      <c r="A1579" s="20"/>
    </row>
    <row r="1580" spans="1:1" x14ac:dyDescent="0.3">
      <c r="A1580" s="20"/>
    </row>
    <row r="1581" spans="1:1" x14ac:dyDescent="0.3">
      <c r="A1581" s="20"/>
    </row>
    <row r="1582" spans="1:1" x14ac:dyDescent="0.3">
      <c r="A1582" s="20"/>
    </row>
    <row r="1583" spans="1:1" x14ac:dyDescent="0.3">
      <c r="A1583" s="20"/>
    </row>
    <row r="1584" spans="1:1" x14ac:dyDescent="0.3">
      <c r="A1584" s="20"/>
    </row>
    <row r="1585" spans="1:1" x14ac:dyDescent="0.3">
      <c r="A1585" s="20"/>
    </row>
    <row r="1586" spans="1:1" x14ac:dyDescent="0.3">
      <c r="A1586" s="20"/>
    </row>
    <row r="1587" spans="1:1" x14ac:dyDescent="0.3">
      <c r="A1587" s="20"/>
    </row>
    <row r="1588" spans="1:1" x14ac:dyDescent="0.3">
      <c r="A1588" s="20"/>
    </row>
    <row r="1589" spans="1:1" x14ac:dyDescent="0.3">
      <c r="A1589" s="20"/>
    </row>
    <row r="1590" spans="1:1" x14ac:dyDescent="0.3">
      <c r="A1590" s="20"/>
    </row>
    <row r="1591" spans="1:1" x14ac:dyDescent="0.3">
      <c r="A1591" s="20"/>
    </row>
    <row r="1592" spans="1:1" x14ac:dyDescent="0.3">
      <c r="A1592" s="20"/>
    </row>
    <row r="1593" spans="1:1" x14ac:dyDescent="0.3">
      <c r="A1593" s="20"/>
    </row>
    <row r="1594" spans="1:1" x14ac:dyDescent="0.3">
      <c r="A1594" s="20"/>
    </row>
    <row r="1595" spans="1:1" x14ac:dyDescent="0.3">
      <c r="A1595" s="20"/>
    </row>
    <row r="1596" spans="1:1" x14ac:dyDescent="0.3">
      <c r="A1596" s="20"/>
    </row>
    <row r="1597" spans="1:1" x14ac:dyDescent="0.3">
      <c r="A1597" s="20"/>
    </row>
    <row r="1598" spans="1:1" x14ac:dyDescent="0.3">
      <c r="A1598" s="20"/>
    </row>
    <row r="1599" spans="1:1" x14ac:dyDescent="0.3">
      <c r="A1599" s="20"/>
    </row>
    <row r="1600" spans="1:1" x14ac:dyDescent="0.3">
      <c r="A1600" s="20"/>
    </row>
    <row r="1601" spans="1:1" x14ac:dyDescent="0.3">
      <c r="A1601" s="20"/>
    </row>
    <row r="1602" spans="1:1" x14ac:dyDescent="0.3">
      <c r="A1602" s="20"/>
    </row>
    <row r="1603" spans="1:1" x14ac:dyDescent="0.3">
      <c r="A1603" s="20"/>
    </row>
    <row r="1604" spans="1:1" x14ac:dyDescent="0.3">
      <c r="A1604" s="20"/>
    </row>
    <row r="1605" spans="1:1" x14ac:dyDescent="0.3">
      <c r="A1605" s="20"/>
    </row>
    <row r="1606" spans="1:1" x14ac:dyDescent="0.3">
      <c r="A1606" s="20"/>
    </row>
    <row r="1607" spans="1:1" x14ac:dyDescent="0.3">
      <c r="A1607" s="20"/>
    </row>
    <row r="1608" spans="1:1" x14ac:dyDescent="0.3">
      <c r="A1608" s="20"/>
    </row>
    <row r="1609" spans="1:1" x14ac:dyDescent="0.3">
      <c r="A1609" s="20"/>
    </row>
    <row r="1610" spans="1:1" x14ac:dyDescent="0.3">
      <c r="A1610" s="20"/>
    </row>
    <row r="1611" spans="1:1" x14ac:dyDescent="0.3">
      <c r="A1611" s="20"/>
    </row>
    <row r="1612" spans="1:1" x14ac:dyDescent="0.3">
      <c r="A1612" s="20"/>
    </row>
    <row r="1613" spans="1:1" x14ac:dyDescent="0.3">
      <c r="A1613" s="20"/>
    </row>
    <row r="1614" spans="1:1" x14ac:dyDescent="0.3">
      <c r="A1614" s="20"/>
    </row>
    <row r="1615" spans="1:1" x14ac:dyDescent="0.3">
      <c r="A1615" s="20"/>
    </row>
    <row r="1616" spans="1:1" x14ac:dyDescent="0.3">
      <c r="A1616" s="20"/>
    </row>
    <row r="1617" spans="1:1" x14ac:dyDescent="0.3">
      <c r="A1617" s="20"/>
    </row>
    <row r="1618" spans="1:1" x14ac:dyDescent="0.3">
      <c r="A1618" s="20"/>
    </row>
    <row r="1619" spans="1:1" x14ac:dyDescent="0.3">
      <c r="A1619" s="20"/>
    </row>
    <row r="1620" spans="1:1" x14ac:dyDescent="0.3">
      <c r="A1620" s="20"/>
    </row>
    <row r="1621" spans="1:1" x14ac:dyDescent="0.3">
      <c r="A1621" s="20"/>
    </row>
    <row r="1622" spans="1:1" x14ac:dyDescent="0.3">
      <c r="A1622" s="20"/>
    </row>
    <row r="1623" spans="1:1" x14ac:dyDescent="0.3">
      <c r="A1623" s="20"/>
    </row>
    <row r="1624" spans="1:1" x14ac:dyDescent="0.3">
      <c r="A1624" s="20"/>
    </row>
    <row r="1625" spans="1:1" x14ac:dyDescent="0.3">
      <c r="A1625" s="20"/>
    </row>
    <row r="1626" spans="1:1" x14ac:dyDescent="0.3">
      <c r="A1626" s="20"/>
    </row>
    <row r="1627" spans="1:1" x14ac:dyDescent="0.3">
      <c r="A1627" s="20"/>
    </row>
    <row r="1628" spans="1:1" x14ac:dyDescent="0.3">
      <c r="A1628" s="20"/>
    </row>
    <row r="1629" spans="1:1" x14ac:dyDescent="0.3">
      <c r="A1629" s="20"/>
    </row>
    <row r="1630" spans="1:1" x14ac:dyDescent="0.3">
      <c r="A1630" s="20"/>
    </row>
    <row r="1631" spans="1:1" x14ac:dyDescent="0.3">
      <c r="A1631" s="20"/>
    </row>
    <row r="1632" spans="1:1" x14ac:dyDescent="0.3">
      <c r="A1632" s="20"/>
    </row>
    <row r="1633" spans="1:1" x14ac:dyDescent="0.3">
      <c r="A1633" s="20"/>
    </row>
    <row r="1634" spans="1:1" x14ac:dyDescent="0.3">
      <c r="A1634" s="20"/>
    </row>
    <row r="1635" spans="1:1" x14ac:dyDescent="0.3">
      <c r="A1635" s="20"/>
    </row>
    <row r="1636" spans="1:1" x14ac:dyDescent="0.3">
      <c r="A1636" s="20"/>
    </row>
    <row r="1637" spans="1:1" x14ac:dyDescent="0.3">
      <c r="A1637" s="20"/>
    </row>
    <row r="1638" spans="1:1" x14ac:dyDescent="0.3">
      <c r="A1638" s="20"/>
    </row>
    <row r="1639" spans="1:1" x14ac:dyDescent="0.3">
      <c r="A1639" s="20"/>
    </row>
    <row r="1640" spans="1:1" x14ac:dyDescent="0.3">
      <c r="A1640" s="20"/>
    </row>
    <row r="1641" spans="1:1" x14ac:dyDescent="0.3">
      <c r="A1641" s="20"/>
    </row>
    <row r="1642" spans="1:1" x14ac:dyDescent="0.3">
      <c r="A1642" s="20"/>
    </row>
    <row r="1643" spans="1:1" x14ac:dyDescent="0.3">
      <c r="A1643" s="20"/>
    </row>
    <row r="1644" spans="1:1" x14ac:dyDescent="0.3">
      <c r="A1644" s="20"/>
    </row>
    <row r="1645" spans="1:1" x14ac:dyDescent="0.3">
      <c r="A1645" s="20"/>
    </row>
    <row r="1646" spans="1:1" x14ac:dyDescent="0.3">
      <c r="A1646" s="20"/>
    </row>
    <row r="1647" spans="1:1" x14ac:dyDescent="0.3">
      <c r="A1647" s="20"/>
    </row>
    <row r="1648" spans="1:1" x14ac:dyDescent="0.3">
      <c r="A1648" s="20"/>
    </row>
    <row r="1649" spans="1:1" x14ac:dyDescent="0.3">
      <c r="A1649" s="20"/>
    </row>
    <row r="1650" spans="1:1" x14ac:dyDescent="0.3">
      <c r="A1650" s="20"/>
    </row>
    <row r="1651" spans="1:1" x14ac:dyDescent="0.3">
      <c r="A1651" s="20"/>
    </row>
    <row r="1652" spans="1:1" x14ac:dyDescent="0.3">
      <c r="A1652" s="20"/>
    </row>
    <row r="1653" spans="1:1" x14ac:dyDescent="0.3">
      <c r="A1653" s="20"/>
    </row>
    <row r="1654" spans="1:1" x14ac:dyDescent="0.3">
      <c r="A1654" s="20"/>
    </row>
    <row r="1655" spans="1:1" x14ac:dyDescent="0.3">
      <c r="A1655" s="20"/>
    </row>
    <row r="1656" spans="1:1" x14ac:dyDescent="0.3">
      <c r="A1656" s="20"/>
    </row>
    <row r="1657" spans="1:1" x14ac:dyDescent="0.3">
      <c r="A1657" s="20"/>
    </row>
    <row r="1658" spans="1:1" x14ac:dyDescent="0.3">
      <c r="A1658" s="20"/>
    </row>
    <row r="1659" spans="1:1" x14ac:dyDescent="0.3">
      <c r="A1659" s="20"/>
    </row>
    <row r="1660" spans="1:1" x14ac:dyDescent="0.3">
      <c r="A1660" s="20"/>
    </row>
    <row r="1661" spans="1:1" x14ac:dyDescent="0.3">
      <c r="A1661" s="20"/>
    </row>
    <row r="1662" spans="1:1" x14ac:dyDescent="0.3">
      <c r="A1662" s="20"/>
    </row>
    <row r="1663" spans="1:1" x14ac:dyDescent="0.3">
      <c r="A1663" s="20"/>
    </row>
    <row r="1664" spans="1:1" x14ac:dyDescent="0.3">
      <c r="A1664" s="20"/>
    </row>
    <row r="1665" spans="1:1" x14ac:dyDescent="0.3">
      <c r="A1665" s="20"/>
    </row>
    <row r="1666" spans="1:1" x14ac:dyDescent="0.3">
      <c r="A1666" s="20"/>
    </row>
    <row r="1667" spans="1:1" x14ac:dyDescent="0.3">
      <c r="A1667" s="20"/>
    </row>
    <row r="1668" spans="1:1" x14ac:dyDescent="0.3">
      <c r="A1668" s="20"/>
    </row>
    <row r="1669" spans="1:1" x14ac:dyDescent="0.3">
      <c r="A1669" s="20"/>
    </row>
    <row r="1670" spans="1:1" x14ac:dyDescent="0.3">
      <c r="A1670" s="20"/>
    </row>
    <row r="1671" spans="1:1" x14ac:dyDescent="0.3">
      <c r="A1671" s="20"/>
    </row>
    <row r="1672" spans="1:1" x14ac:dyDescent="0.3">
      <c r="A1672" s="20"/>
    </row>
    <row r="1673" spans="1:1" x14ac:dyDescent="0.3">
      <c r="A1673" s="20"/>
    </row>
    <row r="1674" spans="1:1" x14ac:dyDescent="0.3">
      <c r="A1674" s="20"/>
    </row>
    <row r="1675" spans="1:1" x14ac:dyDescent="0.3">
      <c r="A1675" s="20"/>
    </row>
    <row r="1676" spans="1:1" x14ac:dyDescent="0.3">
      <c r="A1676" s="20"/>
    </row>
    <row r="1677" spans="1:1" x14ac:dyDescent="0.3">
      <c r="A1677" s="20"/>
    </row>
    <row r="1678" spans="1:1" x14ac:dyDescent="0.3">
      <c r="A1678" s="20"/>
    </row>
    <row r="1679" spans="1:1" x14ac:dyDescent="0.3">
      <c r="A1679" s="20"/>
    </row>
    <row r="1680" spans="1:1" x14ac:dyDescent="0.3">
      <c r="A1680" s="20"/>
    </row>
    <row r="1681" spans="1:1" x14ac:dyDescent="0.3">
      <c r="A1681" s="20"/>
    </row>
    <row r="1682" spans="1:1" x14ac:dyDescent="0.3">
      <c r="A1682" s="20"/>
    </row>
    <row r="1683" spans="1:1" x14ac:dyDescent="0.3">
      <c r="A1683" s="20"/>
    </row>
    <row r="1684" spans="1:1" x14ac:dyDescent="0.3">
      <c r="A1684" s="20"/>
    </row>
    <row r="1685" spans="1:1" x14ac:dyDescent="0.3">
      <c r="A1685" s="20"/>
    </row>
    <row r="1686" spans="1:1" x14ac:dyDescent="0.3">
      <c r="A1686" s="20"/>
    </row>
    <row r="1687" spans="1:1" x14ac:dyDescent="0.3">
      <c r="A1687" s="20"/>
    </row>
    <row r="1688" spans="1:1" x14ac:dyDescent="0.3">
      <c r="A1688" s="20"/>
    </row>
    <row r="1689" spans="1:1" x14ac:dyDescent="0.3">
      <c r="A1689" s="20"/>
    </row>
    <row r="1690" spans="1:1" x14ac:dyDescent="0.3">
      <c r="A1690" s="20"/>
    </row>
    <row r="1691" spans="1:1" x14ac:dyDescent="0.3">
      <c r="A1691" s="20"/>
    </row>
    <row r="1692" spans="1:1" x14ac:dyDescent="0.3">
      <c r="A1692" s="20"/>
    </row>
    <row r="1693" spans="1:1" x14ac:dyDescent="0.3">
      <c r="A1693" s="20"/>
    </row>
    <row r="1694" spans="1:1" x14ac:dyDescent="0.3">
      <c r="A1694" s="20"/>
    </row>
    <row r="1695" spans="1:1" x14ac:dyDescent="0.3">
      <c r="A1695" s="20"/>
    </row>
    <row r="1696" spans="1:1" x14ac:dyDescent="0.3">
      <c r="A1696" s="20"/>
    </row>
    <row r="1697" spans="1:1" x14ac:dyDescent="0.3">
      <c r="A1697" s="20"/>
    </row>
    <row r="1698" spans="1:1" x14ac:dyDescent="0.3">
      <c r="A1698" s="20"/>
    </row>
    <row r="1699" spans="1:1" x14ac:dyDescent="0.3">
      <c r="A1699" s="20"/>
    </row>
    <row r="1700" spans="1:1" x14ac:dyDescent="0.3">
      <c r="A1700" s="20"/>
    </row>
    <row r="1701" spans="1:1" x14ac:dyDescent="0.3">
      <c r="A1701" s="20"/>
    </row>
    <row r="1702" spans="1:1" x14ac:dyDescent="0.3">
      <c r="A1702" s="20"/>
    </row>
    <row r="1703" spans="1:1" x14ac:dyDescent="0.3">
      <c r="A1703" s="20"/>
    </row>
    <row r="1704" spans="1:1" x14ac:dyDescent="0.3">
      <c r="A1704" s="20"/>
    </row>
    <row r="1705" spans="1:1" x14ac:dyDescent="0.3">
      <c r="A1705" s="20"/>
    </row>
    <row r="1706" spans="1:1" x14ac:dyDescent="0.3">
      <c r="A1706" s="20"/>
    </row>
    <row r="1707" spans="1:1" x14ac:dyDescent="0.3">
      <c r="A1707" s="20"/>
    </row>
    <row r="1708" spans="1:1" x14ac:dyDescent="0.3">
      <c r="A1708" s="20"/>
    </row>
    <row r="1709" spans="1:1" x14ac:dyDescent="0.3">
      <c r="A1709" s="20"/>
    </row>
    <row r="1710" spans="1:1" x14ac:dyDescent="0.3">
      <c r="A1710" s="20"/>
    </row>
    <row r="1711" spans="1:1" x14ac:dyDescent="0.3">
      <c r="A1711" s="20"/>
    </row>
    <row r="1712" spans="1:1" x14ac:dyDescent="0.3">
      <c r="A1712" s="20"/>
    </row>
    <row r="1713" spans="1:1" x14ac:dyDescent="0.3">
      <c r="A1713" s="20"/>
    </row>
    <row r="1714" spans="1:1" x14ac:dyDescent="0.3">
      <c r="A1714" s="20"/>
    </row>
    <row r="1715" spans="1:1" x14ac:dyDescent="0.3">
      <c r="A1715" s="20"/>
    </row>
    <row r="1716" spans="1:1" x14ac:dyDescent="0.3">
      <c r="A1716" s="20"/>
    </row>
    <row r="1717" spans="1:1" x14ac:dyDescent="0.3">
      <c r="A1717" s="20"/>
    </row>
    <row r="1718" spans="1:1" x14ac:dyDescent="0.3">
      <c r="A1718" s="20"/>
    </row>
    <row r="1719" spans="1:1" x14ac:dyDescent="0.3">
      <c r="A1719" s="20"/>
    </row>
    <row r="1720" spans="1:1" x14ac:dyDescent="0.3">
      <c r="A1720" s="20"/>
    </row>
    <row r="1721" spans="1:1" x14ac:dyDescent="0.3">
      <c r="A1721" s="20"/>
    </row>
    <row r="1722" spans="1:1" x14ac:dyDescent="0.3">
      <c r="A1722" s="20"/>
    </row>
    <row r="1723" spans="1:1" x14ac:dyDescent="0.3">
      <c r="A1723" s="20"/>
    </row>
    <row r="1724" spans="1:1" x14ac:dyDescent="0.3">
      <c r="A1724" s="20"/>
    </row>
    <row r="1725" spans="1:1" x14ac:dyDescent="0.3">
      <c r="A1725" s="20"/>
    </row>
    <row r="1726" spans="1:1" x14ac:dyDescent="0.3">
      <c r="A1726" s="20"/>
    </row>
    <row r="1727" spans="1:1" x14ac:dyDescent="0.3">
      <c r="A1727" s="20"/>
    </row>
    <row r="1728" spans="1:1" x14ac:dyDescent="0.3">
      <c r="A1728" s="20"/>
    </row>
    <row r="1729" spans="1:1" x14ac:dyDescent="0.3">
      <c r="A1729" s="20"/>
    </row>
    <row r="1730" spans="1:1" x14ac:dyDescent="0.3">
      <c r="A1730" s="20"/>
    </row>
    <row r="1731" spans="1:1" x14ac:dyDescent="0.3">
      <c r="A1731" s="20"/>
    </row>
    <row r="1732" spans="1:1" x14ac:dyDescent="0.3">
      <c r="A1732" s="20"/>
    </row>
    <row r="1733" spans="1:1" x14ac:dyDescent="0.3">
      <c r="A1733" s="20"/>
    </row>
    <row r="1734" spans="1:1" x14ac:dyDescent="0.3">
      <c r="A1734" s="20"/>
    </row>
    <row r="1735" spans="1:1" x14ac:dyDescent="0.3">
      <c r="A1735" s="20"/>
    </row>
    <row r="1736" spans="1:1" x14ac:dyDescent="0.3">
      <c r="A1736" s="20"/>
    </row>
    <row r="1737" spans="1:1" x14ac:dyDescent="0.3">
      <c r="A1737" s="20"/>
    </row>
    <row r="1738" spans="1:1" x14ac:dyDescent="0.3">
      <c r="A1738" s="20"/>
    </row>
    <row r="1739" spans="1:1" x14ac:dyDescent="0.3">
      <c r="A1739" s="20"/>
    </row>
    <row r="1740" spans="1:1" x14ac:dyDescent="0.3">
      <c r="A1740" s="20"/>
    </row>
    <row r="1741" spans="1:1" x14ac:dyDescent="0.3">
      <c r="A1741" s="20"/>
    </row>
    <row r="1742" spans="1:1" x14ac:dyDescent="0.3">
      <c r="A1742" s="20"/>
    </row>
    <row r="1743" spans="1:1" x14ac:dyDescent="0.3">
      <c r="A1743" s="20"/>
    </row>
    <row r="1744" spans="1:1" x14ac:dyDescent="0.3">
      <c r="A1744" s="20"/>
    </row>
    <row r="1745" spans="1:1" x14ac:dyDescent="0.3">
      <c r="A1745" s="20"/>
    </row>
    <row r="1746" spans="1:1" x14ac:dyDescent="0.3">
      <c r="A1746" s="20"/>
    </row>
    <row r="1747" spans="1:1" x14ac:dyDescent="0.3">
      <c r="A1747" s="20"/>
    </row>
    <row r="1748" spans="1:1" x14ac:dyDescent="0.3">
      <c r="A1748" s="20"/>
    </row>
    <row r="1749" spans="1:1" x14ac:dyDescent="0.3">
      <c r="A1749" s="20"/>
    </row>
    <row r="1750" spans="1:1" x14ac:dyDescent="0.3">
      <c r="A1750" s="20"/>
    </row>
    <row r="1751" spans="1:1" x14ac:dyDescent="0.3">
      <c r="A1751" s="20"/>
    </row>
    <row r="1752" spans="1:1" x14ac:dyDescent="0.3">
      <c r="A1752" s="20"/>
    </row>
    <row r="1753" spans="1:1" x14ac:dyDescent="0.3">
      <c r="A1753" s="20"/>
    </row>
    <row r="1754" spans="1:1" x14ac:dyDescent="0.3">
      <c r="A1754" s="20"/>
    </row>
    <row r="1755" spans="1:1" x14ac:dyDescent="0.3">
      <c r="A1755" s="20"/>
    </row>
    <row r="1756" spans="1:1" x14ac:dyDescent="0.3">
      <c r="A1756" s="20"/>
    </row>
    <row r="1757" spans="1:1" x14ac:dyDescent="0.3">
      <c r="A1757" s="20"/>
    </row>
    <row r="1758" spans="1:1" x14ac:dyDescent="0.3">
      <c r="A1758" s="20"/>
    </row>
    <row r="1759" spans="1:1" x14ac:dyDescent="0.3">
      <c r="A1759" s="20"/>
    </row>
    <row r="1760" spans="1:1" x14ac:dyDescent="0.3">
      <c r="A1760" s="20"/>
    </row>
    <row r="1761" spans="1:1" x14ac:dyDescent="0.3">
      <c r="A1761" s="20"/>
    </row>
    <row r="1762" spans="1:1" x14ac:dyDescent="0.3">
      <c r="A1762" s="20"/>
    </row>
    <row r="1763" spans="1:1" x14ac:dyDescent="0.3">
      <c r="A1763" s="20"/>
    </row>
    <row r="1764" spans="1:1" x14ac:dyDescent="0.3">
      <c r="A1764" s="20"/>
    </row>
    <row r="1765" spans="1:1" x14ac:dyDescent="0.3">
      <c r="A1765" s="20"/>
    </row>
    <row r="1766" spans="1:1" x14ac:dyDescent="0.3">
      <c r="A1766" s="20"/>
    </row>
    <row r="1767" spans="1:1" x14ac:dyDescent="0.3">
      <c r="A1767" s="20"/>
    </row>
    <row r="1768" spans="1:1" x14ac:dyDescent="0.3">
      <c r="A1768" s="20"/>
    </row>
    <row r="1769" spans="1:1" x14ac:dyDescent="0.3">
      <c r="A1769" s="20"/>
    </row>
    <row r="1770" spans="1:1" x14ac:dyDescent="0.3">
      <c r="A1770" s="20"/>
    </row>
    <row r="1771" spans="1:1" x14ac:dyDescent="0.3">
      <c r="A1771" s="20"/>
    </row>
    <row r="1772" spans="1:1" x14ac:dyDescent="0.3">
      <c r="A1772" s="20"/>
    </row>
    <row r="1773" spans="1:1" x14ac:dyDescent="0.3">
      <c r="A1773" s="20"/>
    </row>
    <row r="1774" spans="1:1" x14ac:dyDescent="0.3">
      <c r="A1774" s="20"/>
    </row>
    <row r="1775" spans="1:1" x14ac:dyDescent="0.3">
      <c r="A1775" s="20"/>
    </row>
    <row r="1776" spans="1:1" x14ac:dyDescent="0.3">
      <c r="A1776" s="20"/>
    </row>
    <row r="1777" spans="1:1" x14ac:dyDescent="0.3">
      <c r="A1777" s="20"/>
    </row>
    <row r="1778" spans="1:1" x14ac:dyDescent="0.3">
      <c r="A1778" s="20"/>
    </row>
    <row r="1779" spans="1:1" x14ac:dyDescent="0.3">
      <c r="A1779" s="20"/>
    </row>
    <row r="1780" spans="1:1" x14ac:dyDescent="0.3">
      <c r="A1780" s="20"/>
    </row>
    <row r="1781" spans="1:1" x14ac:dyDescent="0.3">
      <c r="A1781" s="20"/>
    </row>
    <row r="1782" spans="1:1" x14ac:dyDescent="0.3">
      <c r="A1782" s="20"/>
    </row>
    <row r="1783" spans="1:1" x14ac:dyDescent="0.3">
      <c r="A1783" s="20"/>
    </row>
    <row r="1784" spans="1:1" x14ac:dyDescent="0.3">
      <c r="A1784" s="20"/>
    </row>
    <row r="1785" spans="1:1" x14ac:dyDescent="0.3">
      <c r="A1785" s="20"/>
    </row>
    <row r="1786" spans="1:1" x14ac:dyDescent="0.3">
      <c r="A1786" s="20"/>
    </row>
    <row r="1787" spans="1:1" x14ac:dyDescent="0.3">
      <c r="A1787" s="20"/>
    </row>
    <row r="1788" spans="1:1" x14ac:dyDescent="0.3">
      <c r="A1788" s="20"/>
    </row>
    <row r="1789" spans="1:1" x14ac:dyDescent="0.3">
      <c r="A1789" s="20"/>
    </row>
    <row r="1790" spans="1:1" x14ac:dyDescent="0.3">
      <c r="A1790" s="20"/>
    </row>
    <row r="1791" spans="1:1" x14ac:dyDescent="0.3">
      <c r="A1791" s="20"/>
    </row>
    <row r="1792" spans="1:1" x14ac:dyDescent="0.3">
      <c r="A1792" s="20"/>
    </row>
    <row r="1793" spans="1:1" x14ac:dyDescent="0.3">
      <c r="A1793" s="20"/>
    </row>
    <row r="1794" spans="1:1" x14ac:dyDescent="0.3">
      <c r="A1794" s="20"/>
    </row>
    <row r="1795" spans="1:1" x14ac:dyDescent="0.3">
      <c r="A1795" s="20"/>
    </row>
    <row r="1796" spans="1:1" x14ac:dyDescent="0.3">
      <c r="A1796" s="20"/>
    </row>
    <row r="1797" spans="1:1" x14ac:dyDescent="0.3">
      <c r="A1797" s="20"/>
    </row>
    <row r="1798" spans="1:1" x14ac:dyDescent="0.3">
      <c r="A1798" s="20"/>
    </row>
    <row r="1799" spans="1:1" x14ac:dyDescent="0.3">
      <c r="A1799" s="20"/>
    </row>
    <row r="1800" spans="1:1" x14ac:dyDescent="0.3">
      <c r="A1800" s="20"/>
    </row>
    <row r="1801" spans="1:1" x14ac:dyDescent="0.3">
      <c r="A1801" s="20"/>
    </row>
    <row r="1802" spans="1:1" x14ac:dyDescent="0.3">
      <c r="A1802" s="20"/>
    </row>
    <row r="1803" spans="1:1" x14ac:dyDescent="0.3">
      <c r="A1803" s="20"/>
    </row>
    <row r="1804" spans="1:1" x14ac:dyDescent="0.3">
      <c r="A1804" s="20"/>
    </row>
    <row r="1805" spans="1:1" x14ac:dyDescent="0.3">
      <c r="A1805" s="20"/>
    </row>
    <row r="1806" spans="1:1" x14ac:dyDescent="0.3">
      <c r="A1806" s="20"/>
    </row>
    <row r="1807" spans="1:1" x14ac:dyDescent="0.3">
      <c r="A1807" s="20"/>
    </row>
    <row r="1808" spans="1:1" x14ac:dyDescent="0.3">
      <c r="A1808" s="20"/>
    </row>
    <row r="1809" spans="1:1" x14ac:dyDescent="0.3">
      <c r="A1809" s="20"/>
    </row>
    <row r="1810" spans="1:1" x14ac:dyDescent="0.3">
      <c r="A1810" s="20"/>
    </row>
    <row r="1811" spans="1:1" x14ac:dyDescent="0.3">
      <c r="A1811" s="20"/>
    </row>
    <row r="1812" spans="1:1" x14ac:dyDescent="0.3">
      <c r="A1812" s="20"/>
    </row>
    <row r="1813" spans="1:1" x14ac:dyDescent="0.3">
      <c r="A1813" s="20"/>
    </row>
    <row r="1814" spans="1:1" x14ac:dyDescent="0.3">
      <c r="A1814" s="20"/>
    </row>
    <row r="1815" spans="1:1" x14ac:dyDescent="0.3">
      <c r="A1815" s="20"/>
    </row>
    <row r="1816" spans="1:1" x14ac:dyDescent="0.3">
      <c r="A1816" s="20"/>
    </row>
    <row r="1817" spans="1:1" x14ac:dyDescent="0.3">
      <c r="A1817" s="20"/>
    </row>
    <row r="1818" spans="1:1" x14ac:dyDescent="0.3">
      <c r="A1818" s="20"/>
    </row>
    <row r="1819" spans="1:1" x14ac:dyDescent="0.3">
      <c r="A1819" s="20"/>
    </row>
    <row r="1820" spans="1:1" x14ac:dyDescent="0.3">
      <c r="A1820" s="20"/>
    </row>
    <row r="1821" spans="1:1" x14ac:dyDescent="0.3">
      <c r="A1821" s="20"/>
    </row>
    <row r="1822" spans="1:1" x14ac:dyDescent="0.3">
      <c r="A1822" s="20"/>
    </row>
    <row r="1823" spans="1:1" x14ac:dyDescent="0.3">
      <c r="A1823" s="20"/>
    </row>
    <row r="1824" spans="1:1" x14ac:dyDescent="0.3">
      <c r="A1824" s="20"/>
    </row>
    <row r="1825" spans="1:1" x14ac:dyDescent="0.3">
      <c r="A1825" s="20"/>
    </row>
    <row r="1826" spans="1:1" x14ac:dyDescent="0.3">
      <c r="A1826" s="20"/>
    </row>
    <row r="1827" spans="1:1" x14ac:dyDescent="0.3">
      <c r="A1827" s="20"/>
    </row>
    <row r="1828" spans="1:1" x14ac:dyDescent="0.3">
      <c r="A1828" s="20"/>
    </row>
    <row r="1829" spans="1:1" x14ac:dyDescent="0.3">
      <c r="A1829" s="20"/>
    </row>
    <row r="1830" spans="1:1" x14ac:dyDescent="0.3">
      <c r="A1830" s="20"/>
    </row>
    <row r="1831" spans="1:1" x14ac:dyDescent="0.3">
      <c r="A1831" s="20"/>
    </row>
    <row r="1832" spans="1:1" x14ac:dyDescent="0.3">
      <c r="A1832" s="20"/>
    </row>
    <row r="1833" spans="1:1" x14ac:dyDescent="0.3">
      <c r="A1833" s="20"/>
    </row>
    <row r="1834" spans="1:1" x14ac:dyDescent="0.3">
      <c r="A1834" s="20"/>
    </row>
    <row r="1835" spans="1:1" x14ac:dyDescent="0.3">
      <c r="A1835" s="20"/>
    </row>
    <row r="1836" spans="1:1" x14ac:dyDescent="0.3">
      <c r="A1836" s="20"/>
    </row>
    <row r="1837" spans="1:1" x14ac:dyDescent="0.3">
      <c r="A1837" s="20"/>
    </row>
    <row r="1838" spans="1:1" x14ac:dyDescent="0.3">
      <c r="A1838" s="20"/>
    </row>
    <row r="1839" spans="1:1" x14ac:dyDescent="0.3">
      <c r="A1839" s="20"/>
    </row>
    <row r="1840" spans="1:1" x14ac:dyDescent="0.3">
      <c r="A1840" s="20"/>
    </row>
    <row r="1841" spans="1:1" x14ac:dyDescent="0.3">
      <c r="A1841" s="20"/>
    </row>
    <row r="1842" spans="1:1" x14ac:dyDescent="0.3">
      <c r="A1842" s="20"/>
    </row>
    <row r="1843" spans="1:1" x14ac:dyDescent="0.3">
      <c r="A1843" s="20"/>
    </row>
    <row r="1844" spans="1:1" x14ac:dyDescent="0.3">
      <c r="A1844" s="20"/>
    </row>
    <row r="1845" spans="1:1" x14ac:dyDescent="0.3">
      <c r="A1845" s="20"/>
    </row>
    <row r="1846" spans="1:1" x14ac:dyDescent="0.3">
      <c r="A1846" s="20"/>
    </row>
    <row r="1847" spans="1:1" x14ac:dyDescent="0.3">
      <c r="A1847" s="20"/>
    </row>
    <row r="1848" spans="1:1" x14ac:dyDescent="0.3">
      <c r="A1848" s="20"/>
    </row>
    <row r="1849" spans="1:1" x14ac:dyDescent="0.3">
      <c r="A1849" s="20"/>
    </row>
    <row r="1850" spans="1:1" x14ac:dyDescent="0.3">
      <c r="A1850" s="20"/>
    </row>
    <row r="1851" spans="1:1" x14ac:dyDescent="0.3">
      <c r="A1851" s="20"/>
    </row>
    <row r="1852" spans="1:1" x14ac:dyDescent="0.3">
      <c r="A1852" s="20"/>
    </row>
    <row r="1853" spans="1:1" x14ac:dyDescent="0.3">
      <c r="A1853" s="20"/>
    </row>
    <row r="1854" spans="1:1" x14ac:dyDescent="0.3">
      <c r="A1854" s="20"/>
    </row>
    <row r="1855" spans="1:1" x14ac:dyDescent="0.3">
      <c r="A1855" s="20"/>
    </row>
    <row r="1856" spans="1:1" x14ac:dyDescent="0.3">
      <c r="A1856" s="20"/>
    </row>
    <row r="1857" spans="1:1" x14ac:dyDescent="0.3">
      <c r="A1857" s="20"/>
    </row>
    <row r="1858" spans="1:1" x14ac:dyDescent="0.3">
      <c r="A1858" s="20"/>
    </row>
    <row r="1859" spans="1:1" x14ac:dyDescent="0.3">
      <c r="A1859" s="20"/>
    </row>
    <row r="1860" spans="1:1" x14ac:dyDescent="0.3">
      <c r="A1860" s="20"/>
    </row>
    <row r="1861" spans="1:1" x14ac:dyDescent="0.3">
      <c r="A1861" s="20"/>
    </row>
    <row r="1862" spans="1:1" x14ac:dyDescent="0.3">
      <c r="A1862" s="20"/>
    </row>
    <row r="1863" spans="1:1" x14ac:dyDescent="0.3">
      <c r="A1863" s="20"/>
    </row>
    <row r="1864" spans="1:1" x14ac:dyDescent="0.3">
      <c r="A1864" s="20"/>
    </row>
    <row r="1865" spans="1:1" x14ac:dyDescent="0.3">
      <c r="A1865" s="20"/>
    </row>
    <row r="1866" spans="1:1" x14ac:dyDescent="0.3">
      <c r="A1866" s="20"/>
    </row>
    <row r="1867" spans="1:1" x14ac:dyDescent="0.3">
      <c r="A1867" s="20"/>
    </row>
    <row r="1868" spans="1:1" x14ac:dyDescent="0.3">
      <c r="A1868" s="20"/>
    </row>
    <row r="1869" spans="1:1" x14ac:dyDescent="0.3">
      <c r="A1869" s="20"/>
    </row>
    <row r="1870" spans="1:1" x14ac:dyDescent="0.3">
      <c r="A1870" s="20"/>
    </row>
    <row r="1871" spans="1:1" x14ac:dyDescent="0.3">
      <c r="A1871" s="20"/>
    </row>
    <row r="1872" spans="1:1" x14ac:dyDescent="0.3">
      <c r="A1872" s="20"/>
    </row>
    <row r="1873" spans="1:1" x14ac:dyDescent="0.3">
      <c r="A1873" s="20"/>
    </row>
    <row r="1874" spans="1:1" x14ac:dyDescent="0.3">
      <c r="A1874" s="20"/>
    </row>
    <row r="1875" spans="1:1" x14ac:dyDescent="0.3">
      <c r="A1875" s="20"/>
    </row>
    <row r="1876" spans="1:1" x14ac:dyDescent="0.3">
      <c r="A1876" s="20"/>
    </row>
    <row r="1877" spans="1:1" x14ac:dyDescent="0.3">
      <c r="A1877" s="20"/>
    </row>
    <row r="1878" spans="1:1" x14ac:dyDescent="0.3">
      <c r="A1878" s="20"/>
    </row>
    <row r="1879" spans="1:1" x14ac:dyDescent="0.3">
      <c r="A1879" s="20"/>
    </row>
    <row r="1880" spans="1:1" x14ac:dyDescent="0.3">
      <c r="A1880" s="20"/>
    </row>
    <row r="1881" spans="1:1" x14ac:dyDescent="0.3">
      <c r="A1881" s="20"/>
    </row>
    <row r="1882" spans="1:1" x14ac:dyDescent="0.3">
      <c r="A1882" s="20"/>
    </row>
    <row r="1883" spans="1:1" x14ac:dyDescent="0.3">
      <c r="A1883" s="20"/>
    </row>
    <row r="1884" spans="1:1" x14ac:dyDescent="0.3">
      <c r="A1884" s="20"/>
    </row>
    <row r="1885" spans="1:1" x14ac:dyDescent="0.3">
      <c r="A1885" s="20"/>
    </row>
    <row r="1886" spans="1:1" x14ac:dyDescent="0.3">
      <c r="A1886" s="20"/>
    </row>
    <row r="1887" spans="1:1" x14ac:dyDescent="0.3">
      <c r="A1887" s="20"/>
    </row>
    <row r="1888" spans="1:1" x14ac:dyDescent="0.3">
      <c r="A1888" s="20"/>
    </row>
    <row r="1889" spans="1:1" x14ac:dyDescent="0.3">
      <c r="A1889" s="20"/>
    </row>
    <row r="1890" spans="1:1" x14ac:dyDescent="0.3">
      <c r="A1890" s="20"/>
    </row>
    <row r="1891" spans="1:1" x14ac:dyDescent="0.3">
      <c r="A1891" s="20"/>
    </row>
    <row r="1892" spans="1:1" x14ac:dyDescent="0.3">
      <c r="A1892" s="20"/>
    </row>
    <row r="1893" spans="1:1" x14ac:dyDescent="0.3">
      <c r="A1893" s="20"/>
    </row>
    <row r="1894" spans="1:1" x14ac:dyDescent="0.3">
      <c r="A1894" s="20"/>
    </row>
    <row r="1895" spans="1:1" x14ac:dyDescent="0.3">
      <c r="A1895" s="20"/>
    </row>
    <row r="1896" spans="1:1" x14ac:dyDescent="0.3">
      <c r="A1896" s="20"/>
    </row>
    <row r="1897" spans="1:1" x14ac:dyDescent="0.3">
      <c r="A1897" s="20"/>
    </row>
    <row r="1898" spans="1:1" x14ac:dyDescent="0.3">
      <c r="A1898" s="20"/>
    </row>
    <row r="1899" spans="1:1" x14ac:dyDescent="0.3">
      <c r="A1899" s="20"/>
    </row>
    <row r="1900" spans="1:1" x14ac:dyDescent="0.3">
      <c r="A1900" s="20"/>
    </row>
    <row r="1901" spans="1:1" x14ac:dyDescent="0.3">
      <c r="A1901" s="20"/>
    </row>
    <row r="1902" spans="1:1" x14ac:dyDescent="0.3">
      <c r="A1902" s="20"/>
    </row>
    <row r="1903" spans="1:1" x14ac:dyDescent="0.3">
      <c r="A1903" s="20"/>
    </row>
    <row r="1904" spans="1:1" x14ac:dyDescent="0.3">
      <c r="A1904" s="20"/>
    </row>
    <row r="1905" spans="1:1" x14ac:dyDescent="0.3">
      <c r="A1905" s="20"/>
    </row>
    <row r="1906" spans="1:1" x14ac:dyDescent="0.3">
      <c r="A1906" s="20"/>
    </row>
    <row r="1907" spans="1:1" x14ac:dyDescent="0.3">
      <c r="A1907" s="20"/>
    </row>
    <row r="1908" spans="1:1" x14ac:dyDescent="0.3">
      <c r="A1908" s="20"/>
    </row>
    <row r="1909" spans="1:1" x14ac:dyDescent="0.3">
      <c r="A1909" s="20"/>
    </row>
    <row r="1910" spans="1:1" x14ac:dyDescent="0.3">
      <c r="A1910" s="20"/>
    </row>
    <row r="1911" spans="1:1" x14ac:dyDescent="0.3">
      <c r="A1911" s="20"/>
    </row>
    <row r="1912" spans="1:1" x14ac:dyDescent="0.3">
      <c r="A1912" s="20"/>
    </row>
    <row r="1913" spans="1:1" x14ac:dyDescent="0.3">
      <c r="A1913" s="20"/>
    </row>
    <row r="1914" spans="1:1" x14ac:dyDescent="0.3">
      <c r="A1914" s="20"/>
    </row>
    <row r="1915" spans="1:1" x14ac:dyDescent="0.3">
      <c r="A1915" s="20"/>
    </row>
    <row r="1916" spans="1:1" x14ac:dyDescent="0.3">
      <c r="A1916" s="20"/>
    </row>
    <row r="1917" spans="1:1" x14ac:dyDescent="0.3">
      <c r="A1917" s="20"/>
    </row>
    <row r="1918" spans="1:1" x14ac:dyDescent="0.3">
      <c r="A1918" s="20"/>
    </row>
    <row r="1919" spans="1:1" x14ac:dyDescent="0.3">
      <c r="A1919" s="20"/>
    </row>
    <row r="1920" spans="1:1" x14ac:dyDescent="0.3">
      <c r="A1920" s="20"/>
    </row>
    <row r="1921" spans="1:1" x14ac:dyDescent="0.3">
      <c r="A1921" s="20"/>
    </row>
    <row r="1922" spans="1:1" x14ac:dyDescent="0.3">
      <c r="A1922" s="20"/>
    </row>
    <row r="1923" spans="1:1" x14ac:dyDescent="0.3">
      <c r="A1923" s="20"/>
    </row>
    <row r="1924" spans="1:1" x14ac:dyDescent="0.3">
      <c r="A1924" s="20"/>
    </row>
    <row r="1925" spans="1:1" x14ac:dyDescent="0.3">
      <c r="A1925" s="20"/>
    </row>
    <row r="1926" spans="1:1" x14ac:dyDescent="0.3">
      <c r="A1926" s="20"/>
    </row>
    <row r="1927" spans="1:1" x14ac:dyDescent="0.3">
      <c r="A1927" s="20"/>
    </row>
    <row r="1928" spans="1:1" x14ac:dyDescent="0.3">
      <c r="A1928" s="20"/>
    </row>
    <row r="1929" spans="1:1" x14ac:dyDescent="0.3">
      <c r="A1929" s="20"/>
    </row>
    <row r="1930" spans="1:1" x14ac:dyDescent="0.3">
      <c r="A1930" s="20"/>
    </row>
    <row r="1931" spans="1:1" x14ac:dyDescent="0.3">
      <c r="A1931" s="20"/>
    </row>
    <row r="1932" spans="1:1" x14ac:dyDescent="0.3">
      <c r="A1932" s="20"/>
    </row>
    <row r="1933" spans="1:1" x14ac:dyDescent="0.3">
      <c r="A1933" s="20"/>
    </row>
    <row r="1934" spans="1:1" x14ac:dyDescent="0.3">
      <c r="A1934" s="20"/>
    </row>
    <row r="1935" spans="1:1" x14ac:dyDescent="0.3">
      <c r="A1935" s="20"/>
    </row>
    <row r="1936" spans="1:1" x14ac:dyDescent="0.3">
      <c r="A1936" s="20"/>
    </row>
    <row r="1937" spans="1:1" x14ac:dyDescent="0.3">
      <c r="A1937" s="20"/>
    </row>
    <row r="1938" spans="1:1" x14ac:dyDescent="0.3">
      <c r="A1938" s="20"/>
    </row>
    <row r="1939" spans="1:1" x14ac:dyDescent="0.3">
      <c r="A1939" s="20"/>
    </row>
    <row r="1940" spans="1:1" x14ac:dyDescent="0.3">
      <c r="A1940" s="20"/>
    </row>
    <row r="1941" spans="1:1" x14ac:dyDescent="0.3">
      <c r="A1941" s="20"/>
    </row>
    <row r="1942" spans="1:1" x14ac:dyDescent="0.3">
      <c r="A1942" s="20"/>
    </row>
    <row r="1943" spans="1:1" x14ac:dyDescent="0.3">
      <c r="A1943" s="20"/>
    </row>
    <row r="1944" spans="1:1" x14ac:dyDescent="0.3">
      <c r="A1944" s="20"/>
    </row>
    <row r="1945" spans="1:1" x14ac:dyDescent="0.3">
      <c r="A1945" s="20"/>
    </row>
    <row r="1946" spans="1:1" x14ac:dyDescent="0.3">
      <c r="A1946" s="20"/>
    </row>
    <row r="1947" spans="1:1" x14ac:dyDescent="0.3">
      <c r="A1947" s="20"/>
    </row>
    <row r="1948" spans="1:1" x14ac:dyDescent="0.3">
      <c r="A1948" s="20"/>
    </row>
    <row r="1949" spans="1:1" x14ac:dyDescent="0.3">
      <c r="A1949" s="20"/>
    </row>
    <row r="1950" spans="1:1" x14ac:dyDescent="0.3">
      <c r="A1950" s="20"/>
    </row>
    <row r="1951" spans="1:1" x14ac:dyDescent="0.3">
      <c r="A1951" s="20"/>
    </row>
    <row r="1952" spans="1:1" x14ac:dyDescent="0.3">
      <c r="A1952" s="20"/>
    </row>
    <row r="1953" spans="1:1" x14ac:dyDescent="0.3">
      <c r="A1953" s="20"/>
    </row>
    <row r="1954" spans="1:1" x14ac:dyDescent="0.3">
      <c r="A1954" s="20"/>
    </row>
    <row r="1955" spans="1:1" x14ac:dyDescent="0.3">
      <c r="A1955" s="20"/>
    </row>
    <row r="1956" spans="1:1" x14ac:dyDescent="0.3">
      <c r="A1956" s="20"/>
    </row>
    <row r="1957" spans="1:1" x14ac:dyDescent="0.3">
      <c r="A1957" s="20"/>
    </row>
    <row r="1958" spans="1:1" x14ac:dyDescent="0.3">
      <c r="A1958" s="20"/>
    </row>
    <row r="1959" spans="1:1" x14ac:dyDescent="0.3">
      <c r="A1959" s="20"/>
    </row>
    <row r="1960" spans="1:1" x14ac:dyDescent="0.3">
      <c r="A1960" s="20"/>
    </row>
    <row r="1961" spans="1:1" x14ac:dyDescent="0.3">
      <c r="A1961" s="20"/>
    </row>
    <row r="1962" spans="1:1" x14ac:dyDescent="0.3">
      <c r="A1962" s="20"/>
    </row>
    <row r="1963" spans="1:1" x14ac:dyDescent="0.3">
      <c r="A1963" s="20"/>
    </row>
    <row r="1964" spans="1:1" x14ac:dyDescent="0.3">
      <c r="A1964" s="20"/>
    </row>
    <row r="1965" spans="1:1" x14ac:dyDescent="0.3">
      <c r="A1965" s="20"/>
    </row>
    <row r="1966" spans="1:1" x14ac:dyDescent="0.3">
      <c r="A1966" s="20"/>
    </row>
    <row r="1967" spans="1:1" x14ac:dyDescent="0.3">
      <c r="A1967" s="20"/>
    </row>
    <row r="1968" spans="1:1" x14ac:dyDescent="0.3">
      <c r="A1968" s="20"/>
    </row>
    <row r="1969" spans="1:1" x14ac:dyDescent="0.3">
      <c r="A1969" s="20"/>
    </row>
    <row r="1970" spans="1:1" x14ac:dyDescent="0.3">
      <c r="A1970" s="20"/>
    </row>
    <row r="1971" spans="1:1" x14ac:dyDescent="0.3">
      <c r="A1971" s="20"/>
    </row>
    <row r="1972" spans="1:1" x14ac:dyDescent="0.3">
      <c r="A1972" s="20"/>
    </row>
    <row r="1973" spans="1:1" x14ac:dyDescent="0.3">
      <c r="A1973" s="20"/>
    </row>
    <row r="1974" spans="1:1" x14ac:dyDescent="0.3">
      <c r="A1974" s="20"/>
    </row>
    <row r="1975" spans="1:1" x14ac:dyDescent="0.3">
      <c r="A1975" s="20"/>
    </row>
    <row r="1976" spans="1:1" x14ac:dyDescent="0.3">
      <c r="A1976" s="20"/>
    </row>
    <row r="1977" spans="1:1" x14ac:dyDescent="0.3">
      <c r="A1977" s="20"/>
    </row>
    <row r="1978" spans="1:1" x14ac:dyDescent="0.3">
      <c r="A1978" s="20"/>
    </row>
    <row r="1979" spans="1:1" x14ac:dyDescent="0.3">
      <c r="A1979" s="20"/>
    </row>
    <row r="1980" spans="1:1" x14ac:dyDescent="0.3">
      <c r="A1980" s="20"/>
    </row>
    <row r="1981" spans="1:1" x14ac:dyDescent="0.3">
      <c r="A1981" s="20"/>
    </row>
    <row r="1982" spans="1:1" x14ac:dyDescent="0.3">
      <c r="A1982" s="20"/>
    </row>
    <row r="1983" spans="1:1" x14ac:dyDescent="0.3">
      <c r="A1983" s="20"/>
    </row>
    <row r="1984" spans="1:1" x14ac:dyDescent="0.3">
      <c r="A1984" s="20"/>
    </row>
    <row r="1985" spans="1:1" x14ac:dyDescent="0.3">
      <c r="A1985" s="20"/>
    </row>
    <row r="1986" spans="1:1" x14ac:dyDescent="0.3">
      <c r="A1986" s="20"/>
    </row>
    <row r="1987" spans="1:1" x14ac:dyDescent="0.3">
      <c r="A1987" s="20"/>
    </row>
    <row r="1988" spans="1:1" x14ac:dyDescent="0.3">
      <c r="A1988" s="20"/>
    </row>
    <row r="1989" spans="1:1" x14ac:dyDescent="0.3">
      <c r="A1989" s="20"/>
    </row>
    <row r="1990" spans="1:1" x14ac:dyDescent="0.3">
      <c r="A1990" s="20"/>
    </row>
    <row r="1991" spans="1:1" x14ac:dyDescent="0.3">
      <c r="A1991" s="20"/>
    </row>
    <row r="1992" spans="1:1" x14ac:dyDescent="0.3">
      <c r="A1992" s="20"/>
    </row>
    <row r="1993" spans="1:1" x14ac:dyDescent="0.3">
      <c r="A1993" s="20"/>
    </row>
    <row r="1994" spans="1:1" x14ac:dyDescent="0.3">
      <c r="A1994" s="20"/>
    </row>
    <row r="1995" spans="1:1" x14ac:dyDescent="0.3">
      <c r="A1995" s="20"/>
    </row>
    <row r="1996" spans="1:1" x14ac:dyDescent="0.3">
      <c r="A1996" s="20"/>
    </row>
    <row r="1997" spans="1:1" x14ac:dyDescent="0.3">
      <c r="A1997" s="20"/>
    </row>
    <row r="1998" spans="1:1" x14ac:dyDescent="0.3">
      <c r="A1998" s="20"/>
    </row>
    <row r="1999" spans="1:1" x14ac:dyDescent="0.3">
      <c r="A1999" s="20"/>
    </row>
    <row r="2000" spans="1:1" x14ac:dyDescent="0.3">
      <c r="A2000" s="20"/>
    </row>
    <row r="2001" spans="1:1" x14ac:dyDescent="0.3">
      <c r="A2001" s="20"/>
    </row>
    <row r="2002" spans="1:1" x14ac:dyDescent="0.3">
      <c r="A2002" s="20"/>
    </row>
    <row r="2003" spans="1:1" x14ac:dyDescent="0.3">
      <c r="A2003" s="20"/>
    </row>
    <row r="2004" spans="1:1" x14ac:dyDescent="0.3">
      <c r="A2004" s="20"/>
    </row>
    <row r="2005" spans="1:1" x14ac:dyDescent="0.3">
      <c r="A2005" s="20"/>
    </row>
    <row r="2006" spans="1:1" x14ac:dyDescent="0.3">
      <c r="A2006" s="20"/>
    </row>
    <row r="2007" spans="1:1" x14ac:dyDescent="0.3">
      <c r="A2007" s="20"/>
    </row>
    <row r="2008" spans="1:1" x14ac:dyDescent="0.3">
      <c r="A2008" s="20"/>
    </row>
    <row r="2009" spans="1:1" x14ac:dyDescent="0.3">
      <c r="A2009" s="20"/>
    </row>
    <row r="2010" spans="1:1" x14ac:dyDescent="0.3">
      <c r="A2010" s="20"/>
    </row>
    <row r="2011" spans="1:1" x14ac:dyDescent="0.3">
      <c r="A2011" s="20"/>
    </row>
    <row r="2012" spans="1:1" x14ac:dyDescent="0.3">
      <c r="A2012" s="20"/>
    </row>
    <row r="2013" spans="1:1" x14ac:dyDescent="0.3">
      <c r="A2013" s="20"/>
    </row>
    <row r="2014" spans="1:1" x14ac:dyDescent="0.3">
      <c r="A2014" s="20"/>
    </row>
    <row r="2015" spans="1:1" x14ac:dyDescent="0.3">
      <c r="A2015" s="20"/>
    </row>
    <row r="2016" spans="1:1" x14ac:dyDescent="0.3">
      <c r="A2016" s="20"/>
    </row>
    <row r="2017" spans="1:1" x14ac:dyDescent="0.3">
      <c r="A2017" s="20"/>
    </row>
    <row r="2018" spans="1:1" x14ac:dyDescent="0.3">
      <c r="A2018" s="20"/>
    </row>
    <row r="2019" spans="1:1" x14ac:dyDescent="0.3">
      <c r="A2019" s="20"/>
    </row>
    <row r="2020" spans="1:1" x14ac:dyDescent="0.3">
      <c r="A2020" s="20"/>
    </row>
    <row r="2021" spans="1:1" x14ac:dyDescent="0.3">
      <c r="A2021" s="20"/>
    </row>
    <row r="2022" spans="1:1" x14ac:dyDescent="0.3">
      <c r="A2022" s="20"/>
    </row>
    <row r="2023" spans="1:1" x14ac:dyDescent="0.3">
      <c r="A2023" s="20"/>
    </row>
    <row r="2024" spans="1:1" x14ac:dyDescent="0.3">
      <c r="A2024" s="20"/>
    </row>
    <row r="2025" spans="1:1" x14ac:dyDescent="0.3">
      <c r="A2025" s="20"/>
    </row>
    <row r="2026" spans="1:1" x14ac:dyDescent="0.3">
      <c r="A2026" s="20"/>
    </row>
    <row r="2027" spans="1:1" x14ac:dyDescent="0.3">
      <c r="A2027" s="20"/>
    </row>
    <row r="2028" spans="1:1" x14ac:dyDescent="0.3">
      <c r="A2028" s="20"/>
    </row>
    <row r="2029" spans="1:1" x14ac:dyDescent="0.3">
      <c r="A2029" s="20"/>
    </row>
    <row r="2030" spans="1:1" x14ac:dyDescent="0.3">
      <c r="A2030" s="20"/>
    </row>
    <row r="2031" spans="1:1" x14ac:dyDescent="0.3">
      <c r="A2031" s="20"/>
    </row>
    <row r="2032" spans="1:1" x14ac:dyDescent="0.3">
      <c r="A2032" s="20"/>
    </row>
    <row r="2033" spans="1:1" x14ac:dyDescent="0.3">
      <c r="A2033" s="20"/>
    </row>
    <row r="2034" spans="1:1" x14ac:dyDescent="0.3">
      <c r="A2034" s="20"/>
    </row>
    <row r="2035" spans="1:1" x14ac:dyDescent="0.3">
      <c r="A2035" s="20"/>
    </row>
    <row r="2036" spans="1:1" x14ac:dyDescent="0.3">
      <c r="A2036" s="20"/>
    </row>
    <row r="2037" spans="1:1" x14ac:dyDescent="0.3">
      <c r="A2037" s="20"/>
    </row>
    <row r="2038" spans="1:1" x14ac:dyDescent="0.3">
      <c r="A2038" s="20"/>
    </row>
    <row r="2039" spans="1:1" x14ac:dyDescent="0.3">
      <c r="A2039" s="20"/>
    </row>
    <row r="2040" spans="1:1" x14ac:dyDescent="0.3">
      <c r="A2040" s="20"/>
    </row>
    <row r="2041" spans="1:1" x14ac:dyDescent="0.3">
      <c r="A2041" s="20"/>
    </row>
    <row r="2042" spans="1:1" x14ac:dyDescent="0.3">
      <c r="A2042" s="20"/>
    </row>
    <row r="2043" spans="1:1" x14ac:dyDescent="0.3">
      <c r="A2043" s="20"/>
    </row>
    <row r="2044" spans="1:1" x14ac:dyDescent="0.3">
      <c r="A2044" s="20"/>
    </row>
    <row r="2045" spans="1:1" x14ac:dyDescent="0.3">
      <c r="A2045" s="20"/>
    </row>
    <row r="2046" spans="1:1" x14ac:dyDescent="0.3">
      <c r="A2046" s="20"/>
    </row>
    <row r="2047" spans="1:1" x14ac:dyDescent="0.3">
      <c r="A2047" s="20"/>
    </row>
    <row r="2048" spans="1:1" x14ac:dyDescent="0.3">
      <c r="A2048" s="20"/>
    </row>
    <row r="2049" spans="1:1" x14ac:dyDescent="0.3">
      <c r="A2049" s="20"/>
    </row>
    <row r="2050" spans="1:1" x14ac:dyDescent="0.3">
      <c r="A2050" s="20"/>
    </row>
    <row r="2051" spans="1:1" x14ac:dyDescent="0.3">
      <c r="A2051" s="20"/>
    </row>
    <row r="2052" spans="1:1" x14ac:dyDescent="0.3">
      <c r="A2052" s="20"/>
    </row>
    <row r="2053" spans="1:1" x14ac:dyDescent="0.3">
      <c r="A2053" s="20"/>
    </row>
    <row r="2054" spans="1:1" x14ac:dyDescent="0.3">
      <c r="A2054" s="20"/>
    </row>
    <row r="2055" spans="1:1" x14ac:dyDescent="0.3">
      <c r="A2055" s="20"/>
    </row>
    <row r="2056" spans="1:1" x14ac:dyDescent="0.3">
      <c r="A2056" s="20"/>
    </row>
    <row r="2057" spans="1:1" x14ac:dyDescent="0.3">
      <c r="A2057" s="20"/>
    </row>
    <row r="2058" spans="1:1" x14ac:dyDescent="0.3">
      <c r="A2058" s="20"/>
    </row>
    <row r="2059" spans="1:1" x14ac:dyDescent="0.3">
      <c r="A2059" s="20"/>
    </row>
    <row r="2060" spans="1:1" x14ac:dyDescent="0.3">
      <c r="A2060" s="20"/>
    </row>
    <row r="2061" spans="1:1" x14ac:dyDescent="0.3">
      <c r="A2061" s="20"/>
    </row>
    <row r="2062" spans="1:1" x14ac:dyDescent="0.3">
      <c r="A2062" s="20"/>
    </row>
    <row r="2063" spans="1:1" x14ac:dyDescent="0.3">
      <c r="A2063" s="20"/>
    </row>
    <row r="2064" spans="1:1" x14ac:dyDescent="0.3">
      <c r="A2064" s="20"/>
    </row>
    <row r="2065" spans="1:1" x14ac:dyDescent="0.3">
      <c r="A2065" s="20"/>
    </row>
    <row r="2066" spans="1:1" x14ac:dyDescent="0.3">
      <c r="A2066" s="20"/>
    </row>
    <row r="2067" spans="1:1" x14ac:dyDescent="0.3">
      <c r="A2067" s="20"/>
    </row>
    <row r="2068" spans="1:1" x14ac:dyDescent="0.3">
      <c r="A2068" s="20"/>
    </row>
    <row r="2069" spans="1:1" x14ac:dyDescent="0.3">
      <c r="A2069" s="20"/>
    </row>
    <row r="2070" spans="1:1" x14ac:dyDescent="0.3">
      <c r="A2070" s="20"/>
    </row>
    <row r="2071" spans="1:1" x14ac:dyDescent="0.3">
      <c r="A2071" s="20"/>
    </row>
    <row r="2072" spans="1:1" x14ac:dyDescent="0.3">
      <c r="A2072" s="20"/>
    </row>
    <row r="2073" spans="1:1" x14ac:dyDescent="0.3">
      <c r="A2073" s="20"/>
    </row>
    <row r="2074" spans="1:1" x14ac:dyDescent="0.3">
      <c r="A2074" s="20"/>
    </row>
    <row r="2075" spans="1:1" x14ac:dyDescent="0.3">
      <c r="A2075" s="20"/>
    </row>
    <row r="2076" spans="1:1" x14ac:dyDescent="0.3">
      <c r="A2076" s="20"/>
    </row>
    <row r="2077" spans="1:1" x14ac:dyDescent="0.3">
      <c r="A2077" s="20"/>
    </row>
    <row r="2078" spans="1:1" x14ac:dyDescent="0.3">
      <c r="A2078" s="20"/>
    </row>
    <row r="2079" spans="1:1" x14ac:dyDescent="0.3">
      <c r="A2079" s="20"/>
    </row>
    <row r="2080" spans="1:1" x14ac:dyDescent="0.3">
      <c r="A2080" s="20"/>
    </row>
    <row r="2081" spans="1:1" x14ac:dyDescent="0.3">
      <c r="A2081" s="20"/>
    </row>
    <row r="2082" spans="1:1" x14ac:dyDescent="0.3">
      <c r="A2082" s="20"/>
    </row>
    <row r="2083" spans="1:1" x14ac:dyDescent="0.3">
      <c r="A2083" s="20"/>
    </row>
    <row r="2084" spans="1:1" x14ac:dyDescent="0.3">
      <c r="A2084" s="20"/>
    </row>
    <row r="2085" spans="1:1" x14ac:dyDescent="0.3">
      <c r="A2085" s="20"/>
    </row>
    <row r="2086" spans="1:1" x14ac:dyDescent="0.3">
      <c r="A2086" s="20"/>
    </row>
    <row r="2087" spans="1:1" x14ac:dyDescent="0.3">
      <c r="A2087" s="20"/>
    </row>
    <row r="2088" spans="1:1" x14ac:dyDescent="0.3">
      <c r="A2088" s="20"/>
    </row>
    <row r="2089" spans="1:1" x14ac:dyDescent="0.3">
      <c r="A2089" s="20"/>
    </row>
    <row r="2090" spans="1:1" x14ac:dyDescent="0.3">
      <c r="A2090" s="20"/>
    </row>
    <row r="2091" spans="1:1" x14ac:dyDescent="0.3">
      <c r="A2091" s="20"/>
    </row>
    <row r="2092" spans="1:1" x14ac:dyDescent="0.3">
      <c r="A2092" s="20"/>
    </row>
    <row r="2093" spans="1:1" x14ac:dyDescent="0.3">
      <c r="A2093" s="20"/>
    </row>
    <row r="2094" spans="1:1" x14ac:dyDescent="0.3">
      <c r="A2094" s="20"/>
    </row>
    <row r="2095" spans="1:1" x14ac:dyDescent="0.3">
      <c r="A2095" s="20"/>
    </row>
    <row r="2096" spans="1:1" x14ac:dyDescent="0.3">
      <c r="A2096" s="20"/>
    </row>
    <row r="2097" spans="1:1" x14ac:dyDescent="0.3">
      <c r="A2097" s="20"/>
    </row>
    <row r="2098" spans="1:1" x14ac:dyDescent="0.3">
      <c r="A2098" s="20"/>
    </row>
    <row r="2099" spans="1:1" x14ac:dyDescent="0.3">
      <c r="A2099" s="20"/>
    </row>
    <row r="2100" spans="1:1" x14ac:dyDescent="0.3">
      <c r="A2100" s="20"/>
    </row>
    <row r="2101" spans="1:1" x14ac:dyDescent="0.3">
      <c r="A2101" s="20"/>
    </row>
    <row r="2102" spans="1:1" x14ac:dyDescent="0.3">
      <c r="A2102" s="20"/>
    </row>
    <row r="2103" spans="1:1" x14ac:dyDescent="0.3">
      <c r="A2103" s="20"/>
    </row>
    <row r="2104" spans="1:1" x14ac:dyDescent="0.3">
      <c r="A2104" s="20"/>
    </row>
    <row r="2105" spans="1:1" x14ac:dyDescent="0.3">
      <c r="A2105" s="20"/>
    </row>
    <row r="2106" spans="1:1" x14ac:dyDescent="0.3">
      <c r="A2106" s="20"/>
    </row>
    <row r="2107" spans="1:1" x14ac:dyDescent="0.3">
      <c r="A2107" s="20"/>
    </row>
    <row r="2108" spans="1:1" x14ac:dyDescent="0.3">
      <c r="A2108" s="20"/>
    </row>
    <row r="2109" spans="1:1" x14ac:dyDescent="0.3">
      <c r="A2109" s="20"/>
    </row>
    <row r="2110" spans="1:1" x14ac:dyDescent="0.3">
      <c r="A2110" s="20"/>
    </row>
    <row r="2111" spans="1:1" x14ac:dyDescent="0.3">
      <c r="A2111" s="20"/>
    </row>
    <row r="2112" spans="1:1" x14ac:dyDescent="0.3">
      <c r="A2112" s="20"/>
    </row>
    <row r="2113" spans="1:1" x14ac:dyDescent="0.3">
      <c r="A2113" s="20"/>
    </row>
    <row r="2114" spans="1:1" x14ac:dyDescent="0.3">
      <c r="A2114" s="20"/>
    </row>
    <row r="2115" spans="1:1" x14ac:dyDescent="0.3">
      <c r="A2115" s="20"/>
    </row>
    <row r="2116" spans="1:1" x14ac:dyDescent="0.3">
      <c r="A2116" s="20"/>
    </row>
    <row r="2117" spans="1:1" x14ac:dyDescent="0.3">
      <c r="A2117" s="20"/>
    </row>
    <row r="2118" spans="1:1" x14ac:dyDescent="0.3">
      <c r="A2118" s="20"/>
    </row>
    <row r="2119" spans="1:1" x14ac:dyDescent="0.3">
      <c r="A2119" s="20"/>
    </row>
    <row r="2120" spans="1:1" x14ac:dyDescent="0.3">
      <c r="A2120" s="20"/>
    </row>
    <row r="2121" spans="1:1" x14ac:dyDescent="0.3">
      <c r="A2121" s="20"/>
    </row>
    <row r="2122" spans="1:1" x14ac:dyDescent="0.3">
      <c r="A2122" s="20"/>
    </row>
    <row r="2123" spans="1:1" x14ac:dyDescent="0.3">
      <c r="A2123" s="20"/>
    </row>
    <row r="2124" spans="1:1" x14ac:dyDescent="0.3">
      <c r="A2124" s="20"/>
    </row>
    <row r="2125" spans="1:1" x14ac:dyDescent="0.3">
      <c r="A2125" s="20"/>
    </row>
    <row r="2126" spans="1:1" x14ac:dyDescent="0.3">
      <c r="A2126" s="20"/>
    </row>
    <row r="2127" spans="1:1" x14ac:dyDescent="0.3">
      <c r="A2127" s="20"/>
    </row>
    <row r="2128" spans="1:1" x14ac:dyDescent="0.3">
      <c r="A2128" s="20"/>
    </row>
    <row r="2129" spans="1:1" x14ac:dyDescent="0.3">
      <c r="A2129" s="20"/>
    </row>
    <row r="2130" spans="1:1" x14ac:dyDescent="0.3">
      <c r="A2130" s="20"/>
    </row>
    <row r="2131" spans="1:1" x14ac:dyDescent="0.3">
      <c r="A2131" s="20"/>
    </row>
    <row r="2132" spans="1:1" x14ac:dyDescent="0.3">
      <c r="A2132" s="20"/>
    </row>
    <row r="2133" spans="1:1" x14ac:dyDescent="0.3">
      <c r="A2133" s="20"/>
    </row>
    <row r="2134" spans="1:1" x14ac:dyDescent="0.3">
      <c r="A2134" s="20"/>
    </row>
    <row r="2135" spans="1:1" x14ac:dyDescent="0.3">
      <c r="A2135" s="20"/>
    </row>
    <row r="2136" spans="1:1" x14ac:dyDescent="0.3">
      <c r="A2136" s="20"/>
    </row>
    <row r="2137" spans="1:1" x14ac:dyDescent="0.3">
      <c r="A2137" s="20"/>
    </row>
    <row r="2138" spans="1:1" x14ac:dyDescent="0.3">
      <c r="A2138" s="20"/>
    </row>
    <row r="2139" spans="1:1" x14ac:dyDescent="0.3">
      <c r="A2139" s="20"/>
    </row>
    <row r="2140" spans="1:1" x14ac:dyDescent="0.3">
      <c r="A2140" s="20"/>
    </row>
    <row r="2141" spans="1:1" x14ac:dyDescent="0.3">
      <c r="A2141" s="20"/>
    </row>
    <row r="2142" spans="1:1" x14ac:dyDescent="0.3">
      <c r="A2142" s="20"/>
    </row>
    <row r="2143" spans="1:1" x14ac:dyDescent="0.3">
      <c r="A2143" s="20"/>
    </row>
    <row r="2144" spans="1:1" x14ac:dyDescent="0.3">
      <c r="A2144" s="20"/>
    </row>
    <row r="2145" spans="1:1" x14ac:dyDescent="0.3">
      <c r="A2145" s="20"/>
    </row>
    <row r="2146" spans="1:1" x14ac:dyDescent="0.3">
      <c r="A2146" s="20"/>
    </row>
    <row r="2147" spans="1:1" x14ac:dyDescent="0.3">
      <c r="A2147" s="20"/>
    </row>
    <row r="2148" spans="1:1" x14ac:dyDescent="0.3">
      <c r="A2148" s="20"/>
    </row>
    <row r="2149" spans="1:1" x14ac:dyDescent="0.3">
      <c r="A2149" s="20"/>
    </row>
    <row r="2150" spans="1:1" x14ac:dyDescent="0.3">
      <c r="A2150" s="20"/>
    </row>
    <row r="2151" spans="1:1" x14ac:dyDescent="0.3">
      <c r="A2151" s="20"/>
    </row>
    <row r="2152" spans="1:1" x14ac:dyDescent="0.3">
      <c r="A2152" s="20"/>
    </row>
    <row r="2153" spans="1:1" x14ac:dyDescent="0.3">
      <c r="A2153" s="20"/>
    </row>
    <row r="2154" spans="1:1" x14ac:dyDescent="0.3">
      <c r="A2154" s="20"/>
    </row>
    <row r="2155" spans="1:1" x14ac:dyDescent="0.3">
      <c r="A2155" s="20"/>
    </row>
    <row r="2156" spans="1:1" x14ac:dyDescent="0.3">
      <c r="A2156" s="20"/>
    </row>
    <row r="2157" spans="1:1" x14ac:dyDescent="0.3">
      <c r="A2157" s="20"/>
    </row>
    <row r="2158" spans="1:1" x14ac:dyDescent="0.3">
      <c r="A2158" s="20"/>
    </row>
    <row r="2159" spans="1:1" x14ac:dyDescent="0.3">
      <c r="A2159" s="20"/>
    </row>
    <row r="2160" spans="1:1" x14ac:dyDescent="0.3">
      <c r="A2160" s="20"/>
    </row>
    <row r="2161" spans="1:1" x14ac:dyDescent="0.3">
      <c r="A2161" s="20"/>
    </row>
    <row r="2162" spans="1:1" x14ac:dyDescent="0.3">
      <c r="A2162" s="20"/>
    </row>
    <row r="2163" spans="1:1" x14ac:dyDescent="0.3">
      <c r="A2163" s="20"/>
    </row>
    <row r="2164" spans="1:1" x14ac:dyDescent="0.3">
      <c r="A2164" s="20"/>
    </row>
    <row r="2165" spans="1:1" x14ac:dyDescent="0.3">
      <c r="A2165" s="20"/>
    </row>
    <row r="2166" spans="1:1" x14ac:dyDescent="0.3">
      <c r="A2166" s="20"/>
    </row>
    <row r="2167" spans="1:1" x14ac:dyDescent="0.3">
      <c r="A2167" s="20"/>
    </row>
    <row r="2168" spans="1:1" x14ac:dyDescent="0.3">
      <c r="A2168" s="20"/>
    </row>
    <row r="2169" spans="1:1" x14ac:dyDescent="0.3">
      <c r="A2169" s="20"/>
    </row>
    <row r="2170" spans="1:1" x14ac:dyDescent="0.3">
      <c r="A2170" s="20"/>
    </row>
    <row r="2171" spans="1:1" x14ac:dyDescent="0.3">
      <c r="A2171" s="20"/>
    </row>
    <row r="2172" spans="1:1" x14ac:dyDescent="0.3">
      <c r="A2172" s="20"/>
    </row>
    <row r="2173" spans="1:1" x14ac:dyDescent="0.3">
      <c r="A2173" s="20"/>
    </row>
    <row r="2174" spans="1:1" x14ac:dyDescent="0.3">
      <c r="A2174" s="20"/>
    </row>
    <row r="2175" spans="1:1" x14ac:dyDescent="0.3">
      <c r="A2175" s="20"/>
    </row>
    <row r="2176" spans="1:1" x14ac:dyDescent="0.3">
      <c r="A2176" s="20"/>
    </row>
    <row r="2177" spans="1:1" x14ac:dyDescent="0.3">
      <c r="A2177" s="20"/>
    </row>
    <row r="2178" spans="1:1" x14ac:dyDescent="0.3">
      <c r="A2178" s="20"/>
    </row>
    <row r="2179" spans="1:1" x14ac:dyDescent="0.3">
      <c r="A2179" s="20"/>
    </row>
    <row r="2180" spans="1:1" x14ac:dyDescent="0.3">
      <c r="A2180" s="20"/>
    </row>
    <row r="2181" spans="1:1" x14ac:dyDescent="0.3">
      <c r="A2181" s="20"/>
    </row>
    <row r="2182" spans="1:1" x14ac:dyDescent="0.3">
      <c r="A2182" s="20"/>
    </row>
    <row r="2183" spans="1:1" x14ac:dyDescent="0.3">
      <c r="A2183" s="20"/>
    </row>
    <row r="2184" spans="1:1" x14ac:dyDescent="0.3">
      <c r="A2184" s="20"/>
    </row>
    <row r="2185" spans="1:1" x14ac:dyDescent="0.3">
      <c r="A2185" s="20"/>
    </row>
    <row r="2186" spans="1:1" x14ac:dyDescent="0.3">
      <c r="A2186" s="20"/>
    </row>
    <row r="2187" spans="1:1" x14ac:dyDescent="0.3">
      <c r="A2187" s="20"/>
    </row>
    <row r="2188" spans="1:1" x14ac:dyDescent="0.3">
      <c r="A2188" s="20"/>
    </row>
    <row r="2189" spans="1:1" x14ac:dyDescent="0.3">
      <c r="A2189" s="20"/>
    </row>
    <row r="2190" spans="1:1" x14ac:dyDescent="0.3">
      <c r="A2190" s="20"/>
    </row>
    <row r="2191" spans="1:1" x14ac:dyDescent="0.3">
      <c r="A2191" s="20"/>
    </row>
    <row r="2192" spans="1:1" x14ac:dyDescent="0.3">
      <c r="A2192" s="20"/>
    </row>
    <row r="2193" spans="1:1" x14ac:dyDescent="0.3">
      <c r="A2193" s="20"/>
    </row>
    <row r="2194" spans="1:1" x14ac:dyDescent="0.3">
      <c r="A2194" s="20"/>
    </row>
    <row r="2195" spans="1:1" x14ac:dyDescent="0.3">
      <c r="A2195" s="20"/>
    </row>
    <row r="2196" spans="1:1" x14ac:dyDescent="0.3">
      <c r="A2196" s="20"/>
    </row>
    <row r="2197" spans="1:1" x14ac:dyDescent="0.3">
      <c r="A2197" s="20"/>
    </row>
    <row r="2198" spans="1:1" x14ac:dyDescent="0.3">
      <c r="A2198" s="20"/>
    </row>
    <row r="2199" spans="1:1" x14ac:dyDescent="0.3">
      <c r="A2199" s="20"/>
    </row>
    <row r="2200" spans="1:1" x14ac:dyDescent="0.3">
      <c r="A2200" s="20"/>
    </row>
    <row r="2201" spans="1:1" x14ac:dyDescent="0.3">
      <c r="A2201" s="20"/>
    </row>
    <row r="2202" spans="1:1" x14ac:dyDescent="0.3">
      <c r="A2202" s="20"/>
    </row>
    <row r="2203" spans="1:1" x14ac:dyDescent="0.3">
      <c r="A2203" s="20"/>
    </row>
    <row r="2204" spans="1:1" x14ac:dyDescent="0.3">
      <c r="A2204" s="20"/>
    </row>
    <row r="2205" spans="1:1" x14ac:dyDescent="0.3">
      <c r="A2205" s="20"/>
    </row>
    <row r="2206" spans="1:1" x14ac:dyDescent="0.3">
      <c r="A2206" s="20"/>
    </row>
    <row r="2207" spans="1:1" x14ac:dyDescent="0.3">
      <c r="A2207" s="20"/>
    </row>
    <row r="2208" spans="1:1" x14ac:dyDescent="0.3">
      <c r="A2208" s="20"/>
    </row>
    <row r="2209" spans="1:1" x14ac:dyDescent="0.3">
      <c r="A2209" s="20"/>
    </row>
    <row r="2210" spans="1:1" x14ac:dyDescent="0.3">
      <c r="A2210" s="20"/>
    </row>
    <row r="2211" spans="1:1" x14ac:dyDescent="0.3">
      <c r="A2211" s="20"/>
    </row>
    <row r="2212" spans="1:1" x14ac:dyDescent="0.3">
      <c r="A2212" s="20"/>
    </row>
    <row r="2213" spans="1:1" x14ac:dyDescent="0.3">
      <c r="A2213" s="20"/>
    </row>
    <row r="2214" spans="1:1" x14ac:dyDescent="0.3">
      <c r="A2214" s="20"/>
    </row>
    <row r="2215" spans="1:1" x14ac:dyDescent="0.3">
      <c r="A2215" s="20"/>
    </row>
    <row r="2216" spans="1:1" x14ac:dyDescent="0.3">
      <c r="A2216" s="20"/>
    </row>
    <row r="2217" spans="1:1" x14ac:dyDescent="0.3">
      <c r="A2217" s="20"/>
    </row>
    <row r="2218" spans="1:1" x14ac:dyDescent="0.3">
      <c r="A2218" s="20"/>
    </row>
    <row r="2219" spans="1:1" x14ac:dyDescent="0.3">
      <c r="A2219" s="20"/>
    </row>
    <row r="2220" spans="1:1" x14ac:dyDescent="0.3">
      <c r="A2220" s="20"/>
    </row>
    <row r="2221" spans="1:1" x14ac:dyDescent="0.3">
      <c r="A2221" s="20"/>
    </row>
    <row r="2222" spans="1:1" x14ac:dyDescent="0.3">
      <c r="A2222" s="20"/>
    </row>
    <row r="2223" spans="1:1" x14ac:dyDescent="0.3">
      <c r="A2223" s="20"/>
    </row>
    <row r="2224" spans="1:1" x14ac:dyDescent="0.3">
      <c r="A2224" s="20"/>
    </row>
    <row r="2225" spans="1:1" x14ac:dyDescent="0.3">
      <c r="A2225" s="20"/>
    </row>
    <row r="2226" spans="1:1" x14ac:dyDescent="0.3">
      <c r="A2226" s="20"/>
    </row>
    <row r="2227" spans="1:1" x14ac:dyDescent="0.3">
      <c r="A2227" s="20"/>
    </row>
    <row r="2228" spans="1:1" x14ac:dyDescent="0.3">
      <c r="A2228" s="20"/>
    </row>
    <row r="2229" spans="1:1" x14ac:dyDescent="0.3">
      <c r="A2229" s="20"/>
    </row>
    <row r="2230" spans="1:1" x14ac:dyDescent="0.3">
      <c r="A2230" s="20"/>
    </row>
    <row r="2231" spans="1:1" x14ac:dyDescent="0.3">
      <c r="A2231" s="20"/>
    </row>
    <row r="2232" spans="1:1" x14ac:dyDescent="0.3">
      <c r="A2232" s="20"/>
    </row>
    <row r="2233" spans="1:1" x14ac:dyDescent="0.3">
      <c r="A2233" s="20"/>
    </row>
    <row r="2234" spans="1:1" x14ac:dyDescent="0.3">
      <c r="A2234" s="20"/>
    </row>
    <row r="2235" spans="1:1" x14ac:dyDescent="0.3">
      <c r="A2235" s="20"/>
    </row>
    <row r="2236" spans="1:1" x14ac:dyDescent="0.3">
      <c r="A2236" s="20"/>
    </row>
    <row r="2237" spans="1:1" x14ac:dyDescent="0.3">
      <c r="A2237" s="20"/>
    </row>
    <row r="2238" spans="1:1" x14ac:dyDescent="0.3">
      <c r="A2238" s="20"/>
    </row>
    <row r="2239" spans="1:1" x14ac:dyDescent="0.3">
      <c r="A2239" s="20"/>
    </row>
    <row r="2240" spans="1:1" x14ac:dyDescent="0.3">
      <c r="A2240" s="20"/>
    </row>
    <row r="2241" spans="1:1" x14ac:dyDescent="0.3">
      <c r="A2241" s="20"/>
    </row>
    <row r="2242" spans="1:1" x14ac:dyDescent="0.3">
      <c r="A2242" s="20"/>
    </row>
    <row r="2243" spans="1:1" x14ac:dyDescent="0.3">
      <c r="A2243" s="20"/>
    </row>
    <row r="2244" spans="1:1" x14ac:dyDescent="0.3">
      <c r="A2244" s="20"/>
    </row>
    <row r="2245" spans="1:1" x14ac:dyDescent="0.3">
      <c r="A2245" s="20"/>
    </row>
    <row r="2246" spans="1:1" x14ac:dyDescent="0.3">
      <c r="A2246" s="20"/>
    </row>
    <row r="2247" spans="1:1" x14ac:dyDescent="0.3">
      <c r="A2247" s="20"/>
    </row>
    <row r="2248" spans="1:1" x14ac:dyDescent="0.3">
      <c r="A2248" s="20"/>
    </row>
    <row r="2249" spans="1:1" x14ac:dyDescent="0.3">
      <c r="A2249" s="20"/>
    </row>
    <row r="2250" spans="1:1" x14ac:dyDescent="0.3">
      <c r="A2250" s="20"/>
    </row>
    <row r="2251" spans="1:1" x14ac:dyDescent="0.3">
      <c r="A2251" s="20"/>
    </row>
    <row r="2252" spans="1:1" x14ac:dyDescent="0.3">
      <c r="A2252" s="20"/>
    </row>
    <row r="2253" spans="1:1" x14ac:dyDescent="0.3">
      <c r="A2253" s="20"/>
    </row>
    <row r="2254" spans="1:1" x14ac:dyDescent="0.3">
      <c r="A2254" s="20"/>
    </row>
    <row r="2255" spans="1:1" x14ac:dyDescent="0.3">
      <c r="A2255" s="20"/>
    </row>
    <row r="2256" spans="1:1" x14ac:dyDescent="0.3">
      <c r="A2256" s="20"/>
    </row>
    <row r="2257" spans="1:1" x14ac:dyDescent="0.3">
      <c r="A2257" s="20"/>
    </row>
    <row r="2258" spans="1:1" x14ac:dyDescent="0.3">
      <c r="A2258" s="20"/>
    </row>
    <row r="2259" spans="1:1" x14ac:dyDescent="0.3">
      <c r="A2259" s="20"/>
    </row>
    <row r="2260" spans="1:1" x14ac:dyDescent="0.3">
      <c r="A2260" s="20"/>
    </row>
    <row r="2261" spans="1:1" x14ac:dyDescent="0.3">
      <c r="A2261" s="20"/>
    </row>
    <row r="2262" spans="1:1" x14ac:dyDescent="0.3">
      <c r="A2262" s="20"/>
    </row>
    <row r="2263" spans="1:1" x14ac:dyDescent="0.3">
      <c r="A2263" s="20"/>
    </row>
    <row r="2264" spans="1:1" x14ac:dyDescent="0.3">
      <c r="A2264" s="20"/>
    </row>
    <row r="2265" spans="1:1" x14ac:dyDescent="0.3">
      <c r="A2265" s="20"/>
    </row>
    <row r="2266" spans="1:1" x14ac:dyDescent="0.3">
      <c r="A2266" s="20"/>
    </row>
    <row r="2267" spans="1:1" x14ac:dyDescent="0.3">
      <c r="A2267" s="20"/>
    </row>
    <row r="2268" spans="1:1" x14ac:dyDescent="0.3">
      <c r="A2268" s="20"/>
    </row>
    <row r="2269" spans="1:1" x14ac:dyDescent="0.3">
      <c r="A2269" s="20"/>
    </row>
    <row r="2270" spans="1:1" x14ac:dyDescent="0.3">
      <c r="A2270" s="20"/>
    </row>
    <row r="2271" spans="1:1" x14ac:dyDescent="0.3">
      <c r="A2271" s="20"/>
    </row>
    <row r="2272" spans="1:1" x14ac:dyDescent="0.3">
      <c r="A2272" s="20"/>
    </row>
    <row r="2273" spans="1:1" x14ac:dyDescent="0.3">
      <c r="A2273" s="20"/>
    </row>
    <row r="2274" spans="1:1" x14ac:dyDescent="0.3">
      <c r="A2274" s="20"/>
    </row>
    <row r="2275" spans="1:1" x14ac:dyDescent="0.3">
      <c r="A2275" s="20"/>
    </row>
    <row r="2276" spans="1:1" x14ac:dyDescent="0.3">
      <c r="A2276" s="20"/>
    </row>
    <row r="2277" spans="1:1" x14ac:dyDescent="0.3">
      <c r="A2277" s="20"/>
    </row>
    <row r="2278" spans="1:1" x14ac:dyDescent="0.3">
      <c r="A2278" s="20"/>
    </row>
    <row r="2279" spans="1:1" x14ac:dyDescent="0.3">
      <c r="A2279" s="20"/>
    </row>
    <row r="2280" spans="1:1" x14ac:dyDescent="0.3">
      <c r="A2280" s="20"/>
    </row>
    <row r="2281" spans="1:1" x14ac:dyDescent="0.3">
      <c r="A2281" s="20"/>
    </row>
    <row r="2282" spans="1:1" x14ac:dyDescent="0.3">
      <c r="A2282" s="20"/>
    </row>
    <row r="2283" spans="1:1" x14ac:dyDescent="0.3">
      <c r="A2283" s="20"/>
    </row>
    <row r="2284" spans="1:1" x14ac:dyDescent="0.3">
      <c r="A2284" s="20"/>
    </row>
    <row r="2285" spans="1:1" x14ac:dyDescent="0.3">
      <c r="A2285" s="20"/>
    </row>
    <row r="2286" spans="1:1" x14ac:dyDescent="0.3">
      <c r="A2286" s="20"/>
    </row>
    <row r="2287" spans="1:1" x14ac:dyDescent="0.3">
      <c r="A2287" s="20"/>
    </row>
    <row r="2288" spans="1:1" x14ac:dyDescent="0.3">
      <c r="A2288" s="20"/>
    </row>
    <row r="2289" spans="1:1" x14ac:dyDescent="0.3">
      <c r="A2289" s="20"/>
    </row>
    <row r="2290" spans="1:1" x14ac:dyDescent="0.3">
      <c r="A2290" s="20"/>
    </row>
    <row r="2291" spans="1:1" x14ac:dyDescent="0.3">
      <c r="A2291" s="20"/>
    </row>
    <row r="2292" spans="1:1" x14ac:dyDescent="0.3">
      <c r="A2292" s="20"/>
    </row>
    <row r="2293" spans="1:1" x14ac:dyDescent="0.3">
      <c r="A2293" s="20"/>
    </row>
    <row r="2294" spans="1:1" x14ac:dyDescent="0.3">
      <c r="A2294" s="20"/>
    </row>
    <row r="2295" spans="1:1" x14ac:dyDescent="0.3">
      <c r="A2295" s="20"/>
    </row>
    <row r="2296" spans="1:1" x14ac:dyDescent="0.3">
      <c r="A2296" s="20"/>
    </row>
    <row r="2297" spans="1:1" x14ac:dyDescent="0.3">
      <c r="A2297" s="20"/>
    </row>
    <row r="2298" spans="1:1" x14ac:dyDescent="0.3">
      <c r="A2298" s="20"/>
    </row>
    <row r="2299" spans="1:1" x14ac:dyDescent="0.3">
      <c r="A2299" s="20"/>
    </row>
    <row r="2300" spans="1:1" x14ac:dyDescent="0.3">
      <c r="A2300" s="20"/>
    </row>
    <row r="2301" spans="1:1" x14ac:dyDescent="0.3">
      <c r="A2301" s="20"/>
    </row>
    <row r="2302" spans="1:1" x14ac:dyDescent="0.3">
      <c r="A2302" s="20"/>
    </row>
    <row r="2303" spans="1:1" x14ac:dyDescent="0.3">
      <c r="A2303" s="20"/>
    </row>
    <row r="2304" spans="1:1" x14ac:dyDescent="0.3">
      <c r="A2304" s="20"/>
    </row>
    <row r="2305" spans="1:1" x14ac:dyDescent="0.3">
      <c r="A2305" s="20"/>
    </row>
    <row r="2306" spans="1:1" x14ac:dyDescent="0.3">
      <c r="A2306" s="20"/>
    </row>
    <row r="2307" spans="1:1" x14ac:dyDescent="0.3">
      <c r="A2307" s="20"/>
    </row>
    <row r="2308" spans="1:1" x14ac:dyDescent="0.3">
      <c r="A2308" s="20"/>
    </row>
    <row r="2309" spans="1:1" x14ac:dyDescent="0.3">
      <c r="A2309" s="20"/>
    </row>
    <row r="2310" spans="1:1" x14ac:dyDescent="0.3">
      <c r="A2310" s="20"/>
    </row>
    <row r="2311" spans="1:1" x14ac:dyDescent="0.3">
      <c r="A2311" s="20"/>
    </row>
    <row r="2312" spans="1:1" x14ac:dyDescent="0.3">
      <c r="A2312" s="20"/>
    </row>
    <row r="2313" spans="1:1" x14ac:dyDescent="0.3">
      <c r="A2313" s="20"/>
    </row>
    <row r="2314" spans="1:1" x14ac:dyDescent="0.3">
      <c r="A2314" s="20"/>
    </row>
    <row r="2315" spans="1:1" x14ac:dyDescent="0.3">
      <c r="A2315" s="20"/>
    </row>
    <row r="2316" spans="1:1" x14ac:dyDescent="0.3">
      <c r="A2316" s="20"/>
    </row>
    <row r="2317" spans="1:1" x14ac:dyDescent="0.3">
      <c r="A2317" s="20"/>
    </row>
    <row r="2318" spans="1:1" x14ac:dyDescent="0.3">
      <c r="A2318" s="20"/>
    </row>
    <row r="2319" spans="1:1" x14ac:dyDescent="0.3">
      <c r="A2319" s="20"/>
    </row>
    <row r="2320" spans="1:1" x14ac:dyDescent="0.3">
      <c r="A2320" s="20"/>
    </row>
    <row r="2321" spans="1:1" x14ac:dyDescent="0.3">
      <c r="A2321" s="20"/>
    </row>
    <row r="2322" spans="1:1" x14ac:dyDescent="0.3">
      <c r="A2322" s="20"/>
    </row>
    <row r="2323" spans="1:1" x14ac:dyDescent="0.3">
      <c r="A2323" s="20"/>
    </row>
    <row r="2324" spans="1:1" x14ac:dyDescent="0.3">
      <c r="A2324" s="20"/>
    </row>
    <row r="2325" spans="1:1" x14ac:dyDescent="0.3">
      <c r="A2325" s="20"/>
    </row>
    <row r="2326" spans="1:1" x14ac:dyDescent="0.3">
      <c r="A2326" s="20"/>
    </row>
    <row r="2327" spans="1:1" x14ac:dyDescent="0.3">
      <c r="A2327" s="20"/>
    </row>
    <row r="2328" spans="1:1" x14ac:dyDescent="0.3">
      <c r="A2328" s="20"/>
    </row>
    <row r="2329" spans="1:1" x14ac:dyDescent="0.3">
      <c r="A2329" s="20"/>
    </row>
    <row r="2330" spans="1:1" x14ac:dyDescent="0.3">
      <c r="A2330" s="20"/>
    </row>
    <row r="2331" spans="1:1" x14ac:dyDescent="0.3">
      <c r="A2331" s="20"/>
    </row>
    <row r="2332" spans="1:1" x14ac:dyDescent="0.3">
      <c r="A2332" s="20"/>
    </row>
    <row r="2333" spans="1:1" x14ac:dyDescent="0.3">
      <c r="A2333" s="20"/>
    </row>
    <row r="2334" spans="1:1" x14ac:dyDescent="0.3">
      <c r="A2334" s="20"/>
    </row>
    <row r="2335" spans="1:1" x14ac:dyDescent="0.3">
      <c r="A2335" s="20"/>
    </row>
    <row r="2336" spans="1:1" x14ac:dyDescent="0.3">
      <c r="A2336" s="20"/>
    </row>
    <row r="2337" spans="1:1" x14ac:dyDescent="0.3">
      <c r="A2337" s="20"/>
    </row>
    <row r="2338" spans="1:1" x14ac:dyDescent="0.3">
      <c r="A2338" s="20"/>
    </row>
    <row r="2339" spans="1:1" x14ac:dyDescent="0.3">
      <c r="A2339" s="20"/>
    </row>
    <row r="2340" spans="1:1" x14ac:dyDescent="0.3">
      <c r="A2340" s="20"/>
    </row>
    <row r="2341" spans="1:1" x14ac:dyDescent="0.3">
      <c r="A2341" s="20"/>
    </row>
    <row r="2342" spans="1:1" x14ac:dyDescent="0.3">
      <c r="A2342" s="20"/>
    </row>
    <row r="2343" spans="1:1" x14ac:dyDescent="0.3">
      <c r="A2343" s="20"/>
    </row>
    <row r="2344" spans="1:1" x14ac:dyDescent="0.3">
      <c r="A2344" s="20"/>
    </row>
    <row r="2345" spans="1:1" x14ac:dyDescent="0.3">
      <c r="A2345" s="20"/>
    </row>
    <row r="2346" spans="1:1" x14ac:dyDescent="0.3">
      <c r="A2346" s="20"/>
    </row>
    <row r="2347" spans="1:1" x14ac:dyDescent="0.3">
      <c r="A2347" s="20"/>
    </row>
    <row r="2348" spans="1:1" x14ac:dyDescent="0.3">
      <c r="A2348" s="20"/>
    </row>
    <row r="2349" spans="1:1" x14ac:dyDescent="0.3">
      <c r="A2349" s="20"/>
    </row>
    <row r="2350" spans="1:1" x14ac:dyDescent="0.3">
      <c r="A2350" s="20"/>
    </row>
    <row r="2351" spans="1:1" x14ac:dyDescent="0.3">
      <c r="A2351" s="20"/>
    </row>
    <row r="2352" spans="1:1" x14ac:dyDescent="0.3">
      <c r="A2352" s="20"/>
    </row>
    <row r="2353" spans="1:1" x14ac:dyDescent="0.3">
      <c r="A2353" s="20"/>
    </row>
    <row r="2354" spans="1:1" x14ac:dyDescent="0.3">
      <c r="A2354" s="20"/>
    </row>
    <row r="2355" spans="1:1" x14ac:dyDescent="0.3">
      <c r="A2355" s="20"/>
    </row>
    <row r="2356" spans="1:1" x14ac:dyDescent="0.3">
      <c r="A2356" s="20"/>
    </row>
    <row r="2357" spans="1:1" x14ac:dyDescent="0.3">
      <c r="A2357" s="20"/>
    </row>
    <row r="2358" spans="1:1" x14ac:dyDescent="0.3">
      <c r="A2358" s="20"/>
    </row>
    <row r="2359" spans="1:1" x14ac:dyDescent="0.3">
      <c r="A2359" s="20"/>
    </row>
    <row r="2360" spans="1:1" x14ac:dyDescent="0.3">
      <c r="A2360" s="20"/>
    </row>
    <row r="2361" spans="1:1" x14ac:dyDescent="0.3">
      <c r="A2361" s="20"/>
    </row>
    <row r="2362" spans="1:1" x14ac:dyDescent="0.3">
      <c r="A2362" s="20"/>
    </row>
    <row r="2363" spans="1:1" x14ac:dyDescent="0.3">
      <c r="A2363" s="20"/>
    </row>
    <row r="2364" spans="1:1" x14ac:dyDescent="0.3">
      <c r="A2364" s="20"/>
    </row>
    <row r="2365" spans="1:1" x14ac:dyDescent="0.3">
      <c r="A2365" s="20"/>
    </row>
    <row r="2366" spans="1:1" x14ac:dyDescent="0.3">
      <c r="A2366" s="20"/>
    </row>
    <row r="2367" spans="1:1" x14ac:dyDescent="0.3">
      <c r="A2367" s="20"/>
    </row>
    <row r="2368" spans="1:1" x14ac:dyDescent="0.3">
      <c r="A2368" s="20"/>
    </row>
    <row r="2369" spans="1:1" x14ac:dyDescent="0.3">
      <c r="A2369" s="20"/>
    </row>
    <row r="2370" spans="1:1" x14ac:dyDescent="0.3">
      <c r="A2370" s="20"/>
    </row>
    <row r="2371" spans="1:1" x14ac:dyDescent="0.3">
      <c r="A2371" s="20"/>
    </row>
    <row r="2372" spans="1:1" x14ac:dyDescent="0.3">
      <c r="A2372" s="20"/>
    </row>
    <row r="2373" spans="1:1" x14ac:dyDescent="0.3">
      <c r="A2373" s="20"/>
    </row>
    <row r="2374" spans="1:1" x14ac:dyDescent="0.3">
      <c r="A2374" s="20"/>
    </row>
    <row r="2375" spans="1:1" x14ac:dyDescent="0.3">
      <c r="A2375" s="20"/>
    </row>
    <row r="2376" spans="1:1" x14ac:dyDescent="0.3">
      <c r="A2376" s="20"/>
    </row>
    <row r="2377" spans="1:1" x14ac:dyDescent="0.3">
      <c r="A2377" s="20"/>
    </row>
    <row r="2378" spans="1:1" x14ac:dyDescent="0.3">
      <c r="A2378" s="20"/>
    </row>
    <row r="2379" spans="1:1" x14ac:dyDescent="0.3">
      <c r="A2379" s="20"/>
    </row>
    <row r="2380" spans="1:1" x14ac:dyDescent="0.3">
      <c r="A2380" s="20"/>
    </row>
    <row r="2381" spans="1:1" x14ac:dyDescent="0.3">
      <c r="A2381" s="20"/>
    </row>
    <row r="2382" spans="1:1" x14ac:dyDescent="0.3">
      <c r="A2382" s="20"/>
    </row>
    <row r="2383" spans="1:1" x14ac:dyDescent="0.3">
      <c r="A2383" s="20"/>
    </row>
    <row r="2384" spans="1:1" x14ac:dyDescent="0.3">
      <c r="A2384" s="20"/>
    </row>
    <row r="2385" spans="1:1" x14ac:dyDescent="0.3">
      <c r="A2385" s="20"/>
    </row>
    <row r="2386" spans="1:1" x14ac:dyDescent="0.3">
      <c r="A2386" s="20"/>
    </row>
    <row r="2387" spans="1:1" x14ac:dyDescent="0.3">
      <c r="A2387" s="20"/>
    </row>
    <row r="2388" spans="1:1" x14ac:dyDescent="0.3">
      <c r="A2388" s="20"/>
    </row>
    <row r="2389" spans="1:1" x14ac:dyDescent="0.3">
      <c r="A2389" s="20"/>
    </row>
    <row r="2390" spans="1:1" x14ac:dyDescent="0.3">
      <c r="A2390" s="20"/>
    </row>
    <row r="2391" spans="1:1" x14ac:dyDescent="0.3">
      <c r="A2391" s="20"/>
    </row>
    <row r="2392" spans="1:1" x14ac:dyDescent="0.3">
      <c r="A2392" s="20"/>
    </row>
    <row r="2393" spans="1:1" x14ac:dyDescent="0.3">
      <c r="A2393" s="20"/>
    </row>
    <row r="2394" spans="1:1" x14ac:dyDescent="0.3">
      <c r="A2394" s="20"/>
    </row>
    <row r="2395" spans="1:1" x14ac:dyDescent="0.3">
      <c r="A2395" s="20"/>
    </row>
    <row r="2396" spans="1:1" x14ac:dyDescent="0.3">
      <c r="A2396" s="20"/>
    </row>
    <row r="2397" spans="1:1" x14ac:dyDescent="0.3">
      <c r="A2397" s="20"/>
    </row>
    <row r="2398" spans="1:1" x14ac:dyDescent="0.3">
      <c r="A2398" s="20"/>
    </row>
    <row r="2399" spans="1:1" x14ac:dyDescent="0.3">
      <c r="A2399" s="20"/>
    </row>
    <row r="2400" spans="1:1" x14ac:dyDescent="0.3">
      <c r="A2400" s="20"/>
    </row>
    <row r="2401" spans="1:1" x14ac:dyDescent="0.3">
      <c r="A2401" s="20"/>
    </row>
    <row r="2402" spans="1:1" x14ac:dyDescent="0.3">
      <c r="A2402" s="20"/>
    </row>
    <row r="2403" spans="1:1" x14ac:dyDescent="0.3">
      <c r="A2403" s="20"/>
    </row>
    <row r="2404" spans="1:1" x14ac:dyDescent="0.3">
      <c r="A2404" s="20"/>
    </row>
    <row r="2405" spans="1:1" x14ac:dyDescent="0.3">
      <c r="A2405" s="20"/>
    </row>
    <row r="2406" spans="1:1" x14ac:dyDescent="0.3">
      <c r="A2406" s="20"/>
    </row>
    <row r="2407" spans="1:1" x14ac:dyDescent="0.3">
      <c r="A2407" s="20"/>
    </row>
    <row r="2408" spans="1:1" x14ac:dyDescent="0.3">
      <c r="A2408" s="20"/>
    </row>
    <row r="2409" spans="1:1" x14ac:dyDescent="0.3">
      <c r="A2409" s="20"/>
    </row>
    <row r="2410" spans="1:1" x14ac:dyDescent="0.3">
      <c r="A2410" s="20"/>
    </row>
    <row r="2411" spans="1:1" x14ac:dyDescent="0.3">
      <c r="A2411" s="20"/>
    </row>
    <row r="2412" spans="1:1" x14ac:dyDescent="0.3">
      <c r="A2412" s="20"/>
    </row>
    <row r="2413" spans="1:1" x14ac:dyDescent="0.3">
      <c r="A2413" s="20"/>
    </row>
    <row r="2414" spans="1:1" x14ac:dyDescent="0.3">
      <c r="A2414" s="20"/>
    </row>
    <row r="2415" spans="1:1" x14ac:dyDescent="0.3">
      <c r="A2415" s="20"/>
    </row>
    <row r="2416" spans="1:1" x14ac:dyDescent="0.3">
      <c r="A2416" s="20"/>
    </row>
    <row r="2417" spans="1:1" x14ac:dyDescent="0.3">
      <c r="A2417" s="20"/>
    </row>
    <row r="2418" spans="1:1" x14ac:dyDescent="0.3">
      <c r="A2418" s="20"/>
    </row>
    <row r="2419" spans="1:1" x14ac:dyDescent="0.3">
      <c r="A2419" s="20"/>
    </row>
    <row r="2420" spans="1:1" x14ac:dyDescent="0.3">
      <c r="A2420" s="20"/>
    </row>
    <row r="2421" spans="1:1" x14ac:dyDescent="0.3">
      <c r="A2421" s="20"/>
    </row>
    <row r="2422" spans="1:1" x14ac:dyDescent="0.3">
      <c r="A2422" s="20"/>
    </row>
    <row r="2423" spans="1:1" x14ac:dyDescent="0.3">
      <c r="A2423" s="20"/>
    </row>
    <row r="2424" spans="1:1" x14ac:dyDescent="0.3">
      <c r="A2424" s="20"/>
    </row>
    <row r="2425" spans="1:1" x14ac:dyDescent="0.3">
      <c r="A2425" s="20"/>
    </row>
    <row r="2426" spans="1:1" x14ac:dyDescent="0.3">
      <c r="A2426" s="20"/>
    </row>
    <row r="2427" spans="1:1" x14ac:dyDescent="0.3">
      <c r="A2427" s="20"/>
    </row>
    <row r="2428" spans="1:1" x14ac:dyDescent="0.3">
      <c r="A2428" s="20"/>
    </row>
    <row r="2429" spans="1:1" x14ac:dyDescent="0.3">
      <c r="A2429" s="20"/>
    </row>
    <row r="2430" spans="1:1" x14ac:dyDescent="0.3">
      <c r="A2430" s="20"/>
    </row>
    <row r="2431" spans="1:1" x14ac:dyDescent="0.3">
      <c r="A2431" s="20"/>
    </row>
    <row r="2432" spans="1:1" x14ac:dyDescent="0.3">
      <c r="A2432" s="20"/>
    </row>
    <row r="2433" spans="1:1" x14ac:dyDescent="0.3">
      <c r="A2433" s="20"/>
    </row>
    <row r="2434" spans="1:1" x14ac:dyDescent="0.3">
      <c r="A2434" s="20"/>
    </row>
    <row r="2435" spans="1:1" x14ac:dyDescent="0.3">
      <c r="A2435" s="20"/>
    </row>
    <row r="2436" spans="1:1" x14ac:dyDescent="0.3">
      <c r="A2436" s="20"/>
    </row>
    <row r="2437" spans="1:1" x14ac:dyDescent="0.3">
      <c r="A2437" s="20"/>
    </row>
    <row r="2438" spans="1:1" x14ac:dyDescent="0.3">
      <c r="A2438" s="20"/>
    </row>
    <row r="2439" spans="1:1" x14ac:dyDescent="0.3">
      <c r="A2439" s="20"/>
    </row>
    <row r="2440" spans="1:1" x14ac:dyDescent="0.3">
      <c r="A2440" s="20"/>
    </row>
    <row r="2441" spans="1:1" x14ac:dyDescent="0.3">
      <c r="A2441" s="20"/>
    </row>
    <row r="2442" spans="1:1" x14ac:dyDescent="0.3">
      <c r="A2442" s="20"/>
    </row>
    <row r="2443" spans="1:1" x14ac:dyDescent="0.3">
      <c r="A2443" s="20"/>
    </row>
    <row r="2444" spans="1:1" x14ac:dyDescent="0.3">
      <c r="A2444" s="20"/>
    </row>
    <row r="2445" spans="1:1" x14ac:dyDescent="0.3">
      <c r="A2445" s="20"/>
    </row>
    <row r="2446" spans="1:1" x14ac:dyDescent="0.3">
      <c r="A2446" s="20"/>
    </row>
    <row r="2447" spans="1:1" x14ac:dyDescent="0.3">
      <c r="A2447" s="20"/>
    </row>
    <row r="2448" spans="1:1" x14ac:dyDescent="0.3">
      <c r="A2448" s="20"/>
    </row>
    <row r="2449" spans="1:1" x14ac:dyDescent="0.3">
      <c r="A2449" s="20"/>
    </row>
    <row r="2450" spans="1:1" x14ac:dyDescent="0.3">
      <c r="A2450" s="20"/>
    </row>
    <row r="2451" spans="1:1" x14ac:dyDescent="0.3">
      <c r="A2451" s="20"/>
    </row>
    <row r="2452" spans="1:1" x14ac:dyDescent="0.3">
      <c r="A2452" s="20"/>
    </row>
    <row r="2453" spans="1:1" x14ac:dyDescent="0.3">
      <c r="A2453" s="20"/>
    </row>
    <row r="2454" spans="1:1" x14ac:dyDescent="0.3">
      <c r="A2454" s="20"/>
    </row>
    <row r="2455" spans="1:1" x14ac:dyDescent="0.3">
      <c r="A2455" s="20"/>
    </row>
    <row r="2456" spans="1:1" x14ac:dyDescent="0.3">
      <c r="A2456" s="20"/>
    </row>
    <row r="2457" spans="1:1" x14ac:dyDescent="0.3">
      <c r="A2457" s="20"/>
    </row>
    <row r="2458" spans="1:1" x14ac:dyDescent="0.3">
      <c r="A2458" s="20"/>
    </row>
    <row r="2459" spans="1:1" x14ac:dyDescent="0.3">
      <c r="A2459" s="20"/>
    </row>
    <row r="2460" spans="1:1" x14ac:dyDescent="0.3">
      <c r="A2460" s="20"/>
    </row>
    <row r="2461" spans="1:1" x14ac:dyDescent="0.3">
      <c r="A2461" s="20"/>
    </row>
    <row r="2462" spans="1:1" x14ac:dyDescent="0.3">
      <c r="A2462" s="20"/>
    </row>
    <row r="2463" spans="1:1" x14ac:dyDescent="0.3">
      <c r="A2463" s="20"/>
    </row>
    <row r="2464" spans="1:1" x14ac:dyDescent="0.3">
      <c r="A2464" s="20"/>
    </row>
    <row r="2465" spans="1:1" x14ac:dyDescent="0.3">
      <c r="A2465" s="20"/>
    </row>
    <row r="2466" spans="1:1" x14ac:dyDescent="0.3">
      <c r="A2466" s="20"/>
    </row>
    <row r="2467" spans="1:1" x14ac:dyDescent="0.3">
      <c r="A2467" s="20"/>
    </row>
    <row r="2468" spans="1:1" x14ac:dyDescent="0.3">
      <c r="A2468" s="20"/>
    </row>
    <row r="2469" spans="1:1" x14ac:dyDescent="0.3">
      <c r="A2469" s="20"/>
    </row>
    <row r="2470" spans="1:1" x14ac:dyDescent="0.3">
      <c r="A2470" s="20"/>
    </row>
    <row r="2471" spans="1:1" x14ac:dyDescent="0.3">
      <c r="A2471" s="20"/>
    </row>
    <row r="2472" spans="1:1" x14ac:dyDescent="0.3">
      <c r="A2472" s="20"/>
    </row>
    <row r="2473" spans="1:1" x14ac:dyDescent="0.3">
      <c r="A2473" s="20"/>
    </row>
    <row r="2474" spans="1:1" x14ac:dyDescent="0.3">
      <c r="A2474" s="20"/>
    </row>
    <row r="2475" spans="1:1" x14ac:dyDescent="0.3">
      <c r="A2475" s="20"/>
    </row>
    <row r="2476" spans="1:1" x14ac:dyDescent="0.3">
      <c r="A2476" s="20"/>
    </row>
    <row r="2477" spans="1:1" x14ac:dyDescent="0.3">
      <c r="A2477" s="20"/>
    </row>
    <row r="2478" spans="1:1" x14ac:dyDescent="0.3">
      <c r="A2478" s="20"/>
    </row>
    <row r="2479" spans="1:1" x14ac:dyDescent="0.3">
      <c r="A2479" s="20"/>
    </row>
    <row r="2480" spans="1:1" x14ac:dyDescent="0.3">
      <c r="A2480" s="20"/>
    </row>
    <row r="2481" spans="1:1" x14ac:dyDescent="0.3">
      <c r="A2481" s="20"/>
    </row>
    <row r="2482" spans="1:1" x14ac:dyDescent="0.3">
      <c r="A2482" s="20"/>
    </row>
    <row r="2483" spans="1:1" x14ac:dyDescent="0.3">
      <c r="A2483" s="20"/>
    </row>
    <row r="2484" spans="1:1" x14ac:dyDescent="0.3">
      <c r="A2484" s="20"/>
    </row>
    <row r="2485" spans="1:1" x14ac:dyDescent="0.3">
      <c r="A2485" s="20"/>
    </row>
    <row r="2486" spans="1:1" x14ac:dyDescent="0.3">
      <c r="A2486" s="20"/>
    </row>
    <row r="2487" spans="1:1" x14ac:dyDescent="0.3">
      <c r="A2487" s="20"/>
    </row>
    <row r="2488" spans="1:1" x14ac:dyDescent="0.3">
      <c r="A2488" s="20"/>
    </row>
    <row r="2489" spans="1:1" x14ac:dyDescent="0.3">
      <c r="A2489" s="20"/>
    </row>
    <row r="2490" spans="1:1" x14ac:dyDescent="0.3">
      <c r="A2490" s="20"/>
    </row>
    <row r="2491" spans="1:1" x14ac:dyDescent="0.3">
      <c r="A2491" s="20"/>
    </row>
    <row r="2492" spans="1:1" x14ac:dyDescent="0.3">
      <c r="A2492" s="20"/>
    </row>
    <row r="2493" spans="1:1" x14ac:dyDescent="0.3">
      <c r="A2493" s="20"/>
    </row>
    <row r="2494" spans="1:1" x14ac:dyDescent="0.3">
      <c r="A2494" s="20"/>
    </row>
    <row r="2495" spans="1:1" x14ac:dyDescent="0.3">
      <c r="A2495" s="20"/>
    </row>
    <row r="2496" spans="1:1" x14ac:dyDescent="0.3">
      <c r="A2496" s="20"/>
    </row>
    <row r="2497" spans="1:1" x14ac:dyDescent="0.3">
      <c r="A2497" s="20"/>
    </row>
    <row r="2498" spans="1:1" x14ac:dyDescent="0.3">
      <c r="A2498" s="20"/>
    </row>
    <row r="2499" spans="1:1" x14ac:dyDescent="0.3">
      <c r="A2499" s="20"/>
    </row>
    <row r="2500" spans="1:1" x14ac:dyDescent="0.3">
      <c r="A2500" s="20"/>
    </row>
    <row r="2501" spans="1:1" x14ac:dyDescent="0.3">
      <c r="A2501" s="20"/>
    </row>
    <row r="2502" spans="1:1" x14ac:dyDescent="0.3">
      <c r="A2502" s="20"/>
    </row>
    <row r="2503" spans="1:1" x14ac:dyDescent="0.3">
      <c r="A2503" s="20"/>
    </row>
    <row r="2504" spans="1:1" x14ac:dyDescent="0.3">
      <c r="A2504" s="20"/>
    </row>
    <row r="2505" spans="1:1" x14ac:dyDescent="0.3">
      <c r="A2505" s="20"/>
    </row>
    <row r="2506" spans="1:1" x14ac:dyDescent="0.3">
      <c r="A2506" s="20"/>
    </row>
    <row r="2507" spans="1:1" x14ac:dyDescent="0.3">
      <c r="A2507" s="20"/>
    </row>
    <row r="2508" spans="1:1" x14ac:dyDescent="0.3">
      <c r="A2508" s="20"/>
    </row>
    <row r="2509" spans="1:1" x14ac:dyDescent="0.3">
      <c r="A2509" s="20"/>
    </row>
    <row r="2510" spans="1:1" x14ac:dyDescent="0.3">
      <c r="A2510" s="20"/>
    </row>
    <row r="2511" spans="1:1" x14ac:dyDescent="0.3">
      <c r="A2511" s="20"/>
    </row>
    <row r="2512" spans="1:1" x14ac:dyDescent="0.3">
      <c r="A2512" s="20"/>
    </row>
    <row r="2513" spans="1:1" x14ac:dyDescent="0.3">
      <c r="A2513" s="20"/>
    </row>
    <row r="2514" spans="1:1" x14ac:dyDescent="0.3">
      <c r="A2514" s="20"/>
    </row>
    <row r="2515" spans="1:1" x14ac:dyDescent="0.3">
      <c r="A2515" s="20"/>
    </row>
    <row r="2516" spans="1:1" x14ac:dyDescent="0.3">
      <c r="A2516" s="20"/>
    </row>
    <row r="2517" spans="1:1" x14ac:dyDescent="0.3">
      <c r="A2517" s="20"/>
    </row>
    <row r="2518" spans="1:1" x14ac:dyDescent="0.3">
      <c r="A2518" s="20"/>
    </row>
    <row r="2519" spans="1:1" x14ac:dyDescent="0.3">
      <c r="A2519" s="20"/>
    </row>
    <row r="2520" spans="1:1" x14ac:dyDescent="0.3">
      <c r="A2520" s="20"/>
    </row>
    <row r="2521" spans="1:1" x14ac:dyDescent="0.3">
      <c r="A2521" s="20"/>
    </row>
    <row r="2522" spans="1:1" x14ac:dyDescent="0.3">
      <c r="A2522" s="20"/>
    </row>
    <row r="2523" spans="1:1" x14ac:dyDescent="0.3">
      <c r="A2523" s="20"/>
    </row>
    <row r="2524" spans="1:1" x14ac:dyDescent="0.3">
      <c r="A2524" s="20"/>
    </row>
    <row r="2525" spans="1:1" x14ac:dyDescent="0.3">
      <c r="A2525" s="20"/>
    </row>
    <row r="2526" spans="1:1" x14ac:dyDescent="0.3">
      <c r="A2526" s="20"/>
    </row>
    <row r="2527" spans="1:1" x14ac:dyDescent="0.3">
      <c r="A2527" s="20"/>
    </row>
    <row r="2528" spans="1:1" x14ac:dyDescent="0.3">
      <c r="A2528" s="20"/>
    </row>
    <row r="2529" spans="1:1" x14ac:dyDescent="0.3">
      <c r="A2529" s="20"/>
    </row>
    <row r="2530" spans="1:1" x14ac:dyDescent="0.3">
      <c r="A2530" s="20"/>
    </row>
    <row r="2531" spans="1:1" x14ac:dyDescent="0.3">
      <c r="A2531" s="20"/>
    </row>
    <row r="2532" spans="1:1" x14ac:dyDescent="0.3">
      <c r="A2532" s="20"/>
    </row>
    <row r="2533" spans="1:1" x14ac:dyDescent="0.3">
      <c r="A2533" s="20"/>
    </row>
    <row r="2534" spans="1:1" x14ac:dyDescent="0.3">
      <c r="A2534" s="20"/>
    </row>
    <row r="2535" spans="1:1" x14ac:dyDescent="0.3">
      <c r="A2535" s="20"/>
    </row>
    <row r="2536" spans="1:1" x14ac:dyDescent="0.3">
      <c r="A2536" s="20"/>
    </row>
    <row r="2537" spans="1:1" x14ac:dyDescent="0.3">
      <c r="A2537" s="20"/>
    </row>
    <row r="2538" spans="1:1" x14ac:dyDescent="0.3">
      <c r="A2538" s="20"/>
    </row>
    <row r="2539" spans="1:1" x14ac:dyDescent="0.3">
      <c r="A2539" s="20"/>
    </row>
    <row r="2540" spans="1:1" x14ac:dyDescent="0.3">
      <c r="A2540" s="20"/>
    </row>
    <row r="2541" spans="1:1" x14ac:dyDescent="0.3">
      <c r="A2541" s="20"/>
    </row>
    <row r="2542" spans="1:1" x14ac:dyDescent="0.3">
      <c r="A2542" s="20"/>
    </row>
    <row r="2543" spans="1:1" x14ac:dyDescent="0.3">
      <c r="A2543" s="20"/>
    </row>
    <row r="2544" spans="1:1" x14ac:dyDescent="0.3">
      <c r="A2544" s="20"/>
    </row>
    <row r="2545" spans="1:1" x14ac:dyDescent="0.3">
      <c r="A2545" s="20"/>
    </row>
    <row r="2546" spans="1:1" x14ac:dyDescent="0.3">
      <c r="A2546" s="20"/>
    </row>
    <row r="2547" spans="1:1" x14ac:dyDescent="0.3">
      <c r="A2547" s="20"/>
    </row>
    <row r="2548" spans="1:1" x14ac:dyDescent="0.3">
      <c r="A2548" s="20"/>
    </row>
    <row r="2549" spans="1:1" x14ac:dyDescent="0.3">
      <c r="A2549" s="20"/>
    </row>
    <row r="2550" spans="1:1" x14ac:dyDescent="0.3">
      <c r="A2550" s="20"/>
    </row>
    <row r="2551" spans="1:1" x14ac:dyDescent="0.3">
      <c r="A2551" s="20"/>
    </row>
    <row r="2552" spans="1:1" x14ac:dyDescent="0.3">
      <c r="A2552" s="20"/>
    </row>
    <row r="2553" spans="1:1" x14ac:dyDescent="0.3">
      <c r="A2553" s="20"/>
    </row>
    <row r="2554" spans="1:1" x14ac:dyDescent="0.3">
      <c r="A2554" s="20"/>
    </row>
    <row r="2555" spans="1:1" x14ac:dyDescent="0.3">
      <c r="A2555" s="20"/>
    </row>
    <row r="2556" spans="1:1" x14ac:dyDescent="0.3">
      <c r="A2556" s="20"/>
    </row>
    <row r="2557" spans="1:1" x14ac:dyDescent="0.3">
      <c r="A2557" s="20"/>
    </row>
    <row r="2558" spans="1:1" x14ac:dyDescent="0.3">
      <c r="A2558" s="20"/>
    </row>
    <row r="2559" spans="1:1" x14ac:dyDescent="0.3">
      <c r="A2559" s="20"/>
    </row>
    <row r="2560" spans="1:1" x14ac:dyDescent="0.3">
      <c r="A2560" s="20"/>
    </row>
    <row r="2561" spans="1:1" x14ac:dyDescent="0.3">
      <c r="A2561" s="20"/>
    </row>
    <row r="2562" spans="1:1" x14ac:dyDescent="0.3">
      <c r="A2562" s="20"/>
    </row>
    <row r="2563" spans="1:1" x14ac:dyDescent="0.3">
      <c r="A2563" s="20"/>
    </row>
    <row r="2564" spans="1:1" x14ac:dyDescent="0.3">
      <c r="A2564" s="20"/>
    </row>
    <row r="2565" spans="1:1" x14ac:dyDescent="0.3">
      <c r="A2565" s="20"/>
    </row>
    <row r="2566" spans="1:1" x14ac:dyDescent="0.3">
      <c r="A2566" s="20"/>
    </row>
    <row r="2567" spans="1:1" x14ac:dyDescent="0.3">
      <c r="A2567" s="20"/>
    </row>
    <row r="2568" spans="1:1" x14ac:dyDescent="0.3">
      <c r="A2568" s="20"/>
    </row>
    <row r="2569" spans="1:1" x14ac:dyDescent="0.3">
      <c r="A2569" s="20"/>
    </row>
    <row r="2570" spans="1:1" x14ac:dyDescent="0.3">
      <c r="A2570" s="20"/>
    </row>
    <row r="2571" spans="1:1" x14ac:dyDescent="0.3">
      <c r="A2571" s="20"/>
    </row>
    <row r="2572" spans="1:1" x14ac:dyDescent="0.3">
      <c r="A2572" s="20"/>
    </row>
    <row r="2573" spans="1:1" x14ac:dyDescent="0.3">
      <c r="A2573" s="20"/>
    </row>
    <row r="2574" spans="1:1" x14ac:dyDescent="0.3">
      <c r="A2574" s="20"/>
    </row>
    <row r="2575" spans="1:1" x14ac:dyDescent="0.3">
      <c r="A2575" s="20"/>
    </row>
    <row r="2576" spans="1:1" x14ac:dyDescent="0.3">
      <c r="A2576" s="20"/>
    </row>
    <row r="2577" spans="1:1" x14ac:dyDescent="0.3">
      <c r="A2577" s="20"/>
    </row>
    <row r="2578" spans="1:1" x14ac:dyDescent="0.3">
      <c r="A2578" s="20"/>
    </row>
    <row r="2579" spans="1:1" x14ac:dyDescent="0.3">
      <c r="A2579" s="20"/>
    </row>
    <row r="2580" spans="1:1" x14ac:dyDescent="0.3">
      <c r="A2580" s="20"/>
    </row>
    <row r="2581" spans="1:1" x14ac:dyDescent="0.3">
      <c r="A2581" s="20"/>
    </row>
    <row r="2582" spans="1:1" x14ac:dyDescent="0.3">
      <c r="A2582" s="20"/>
    </row>
    <row r="2583" spans="1:1" x14ac:dyDescent="0.3">
      <c r="A2583" s="20"/>
    </row>
    <row r="2584" spans="1:1" x14ac:dyDescent="0.3">
      <c r="A2584" s="20"/>
    </row>
    <row r="2585" spans="1:1" x14ac:dyDescent="0.3">
      <c r="A2585" s="20"/>
    </row>
    <row r="2586" spans="1:1" x14ac:dyDescent="0.3">
      <c r="A2586" s="20"/>
    </row>
    <row r="2587" spans="1:1" x14ac:dyDescent="0.3">
      <c r="A2587" s="20"/>
    </row>
    <row r="2588" spans="1:1" x14ac:dyDescent="0.3">
      <c r="A2588" s="20"/>
    </row>
    <row r="2589" spans="1:1" x14ac:dyDescent="0.3">
      <c r="A2589" s="20"/>
    </row>
    <row r="2590" spans="1:1" x14ac:dyDescent="0.3">
      <c r="A2590" s="20"/>
    </row>
    <row r="2591" spans="1:1" x14ac:dyDescent="0.3">
      <c r="A2591" s="20"/>
    </row>
    <row r="2592" spans="1:1" x14ac:dyDescent="0.3">
      <c r="A2592" s="20"/>
    </row>
    <row r="2593" spans="1:1" x14ac:dyDescent="0.3">
      <c r="A2593" s="20"/>
    </row>
    <row r="2594" spans="1:1" x14ac:dyDescent="0.3">
      <c r="A2594" s="20"/>
    </row>
    <row r="2595" spans="1:1" x14ac:dyDescent="0.3">
      <c r="A2595" s="20"/>
    </row>
    <row r="2596" spans="1:1" x14ac:dyDescent="0.3">
      <c r="A2596" s="20"/>
    </row>
    <row r="2597" spans="1:1" x14ac:dyDescent="0.3">
      <c r="A2597" s="20"/>
    </row>
    <row r="2598" spans="1:1" x14ac:dyDescent="0.3">
      <c r="A2598" s="20"/>
    </row>
    <row r="2599" spans="1:1" x14ac:dyDescent="0.3">
      <c r="A2599" s="20"/>
    </row>
    <row r="2600" spans="1:1" x14ac:dyDescent="0.3">
      <c r="A2600" s="20"/>
    </row>
    <row r="2601" spans="1:1" x14ac:dyDescent="0.3">
      <c r="A2601" s="20"/>
    </row>
    <row r="2602" spans="1:1" x14ac:dyDescent="0.3">
      <c r="A2602" s="20"/>
    </row>
    <row r="2603" spans="1:1" x14ac:dyDescent="0.3">
      <c r="A2603" s="20"/>
    </row>
    <row r="2604" spans="1:1" x14ac:dyDescent="0.3">
      <c r="A2604" s="20"/>
    </row>
    <row r="2605" spans="1:1" x14ac:dyDescent="0.3">
      <c r="A2605" s="20"/>
    </row>
    <row r="2606" spans="1:1" x14ac:dyDescent="0.3">
      <c r="A2606" s="20"/>
    </row>
    <row r="2607" spans="1:1" x14ac:dyDescent="0.3">
      <c r="A2607" s="20"/>
    </row>
    <row r="2608" spans="1:1" x14ac:dyDescent="0.3">
      <c r="A2608" s="20"/>
    </row>
    <row r="2609" spans="1:1" x14ac:dyDescent="0.3">
      <c r="A2609" s="20"/>
    </row>
    <row r="2610" spans="1:1" x14ac:dyDescent="0.3">
      <c r="A2610" s="20"/>
    </row>
    <row r="2611" spans="1:1" x14ac:dyDescent="0.3">
      <c r="A2611" s="20"/>
    </row>
    <row r="2612" spans="1:1" x14ac:dyDescent="0.3">
      <c r="A2612" s="20"/>
    </row>
    <row r="2613" spans="1:1" x14ac:dyDescent="0.3">
      <c r="A2613" s="20"/>
    </row>
    <row r="2614" spans="1:1" x14ac:dyDescent="0.3">
      <c r="A2614" s="20"/>
    </row>
    <row r="2615" spans="1:1" x14ac:dyDescent="0.3">
      <c r="A2615" s="20"/>
    </row>
    <row r="2616" spans="1:1" x14ac:dyDescent="0.3">
      <c r="A2616" s="20"/>
    </row>
    <row r="2617" spans="1:1" x14ac:dyDescent="0.3">
      <c r="A2617" s="20"/>
    </row>
    <row r="2618" spans="1:1" x14ac:dyDescent="0.3">
      <c r="A2618" s="20"/>
    </row>
    <row r="2619" spans="1:1" x14ac:dyDescent="0.3">
      <c r="A2619" s="20"/>
    </row>
    <row r="2620" spans="1:1" x14ac:dyDescent="0.3">
      <c r="A2620" s="20"/>
    </row>
    <row r="2621" spans="1:1" x14ac:dyDescent="0.3">
      <c r="A2621" s="20"/>
    </row>
    <row r="2622" spans="1:1" x14ac:dyDescent="0.3">
      <c r="A2622" s="20"/>
    </row>
    <row r="2623" spans="1:1" x14ac:dyDescent="0.3">
      <c r="A2623" s="20"/>
    </row>
    <row r="2624" spans="1:1" x14ac:dyDescent="0.3">
      <c r="A2624" s="20"/>
    </row>
    <row r="2625" spans="1:1" x14ac:dyDescent="0.3">
      <c r="A2625" s="20"/>
    </row>
    <row r="2626" spans="1:1" x14ac:dyDescent="0.3">
      <c r="A2626" s="20"/>
    </row>
    <row r="2627" spans="1:1" x14ac:dyDescent="0.3">
      <c r="A2627" s="20"/>
    </row>
    <row r="2628" spans="1:1" x14ac:dyDescent="0.3">
      <c r="A2628" s="20"/>
    </row>
    <row r="2629" spans="1:1" x14ac:dyDescent="0.3">
      <c r="A2629" s="20"/>
    </row>
    <row r="2630" spans="1:1" x14ac:dyDescent="0.3">
      <c r="A2630" s="20"/>
    </row>
    <row r="2631" spans="1:1" x14ac:dyDescent="0.3">
      <c r="A2631" s="20"/>
    </row>
    <row r="2632" spans="1:1" x14ac:dyDescent="0.3">
      <c r="A2632" s="20"/>
    </row>
    <row r="2633" spans="1:1" x14ac:dyDescent="0.3">
      <c r="A2633" s="20"/>
    </row>
    <row r="2634" spans="1:1" x14ac:dyDescent="0.3">
      <c r="A2634" s="20"/>
    </row>
    <row r="2635" spans="1:1" x14ac:dyDescent="0.3">
      <c r="A2635" s="20"/>
    </row>
    <row r="2636" spans="1:1" x14ac:dyDescent="0.3">
      <c r="A2636" s="20"/>
    </row>
    <row r="2637" spans="1:1" x14ac:dyDescent="0.3">
      <c r="A2637" s="20"/>
    </row>
    <row r="2638" spans="1:1" x14ac:dyDescent="0.3">
      <c r="A2638" s="20"/>
    </row>
    <row r="2639" spans="1:1" x14ac:dyDescent="0.3">
      <c r="A2639" s="20"/>
    </row>
    <row r="2640" spans="1:1" x14ac:dyDescent="0.3">
      <c r="A2640" s="20"/>
    </row>
    <row r="2641" spans="1:1" x14ac:dyDescent="0.3">
      <c r="A2641" s="20"/>
    </row>
    <row r="2642" spans="1:1" x14ac:dyDescent="0.3">
      <c r="A2642" s="20"/>
    </row>
    <row r="2643" spans="1:1" x14ac:dyDescent="0.3">
      <c r="A2643" s="20"/>
    </row>
    <row r="2644" spans="1:1" x14ac:dyDescent="0.3">
      <c r="A2644" s="20"/>
    </row>
    <row r="2645" spans="1:1" x14ac:dyDescent="0.3">
      <c r="A2645" s="20"/>
    </row>
    <row r="2646" spans="1:1" x14ac:dyDescent="0.3">
      <c r="A2646" s="20"/>
    </row>
    <row r="2647" spans="1:1" x14ac:dyDescent="0.3">
      <c r="A2647" s="20"/>
    </row>
    <row r="2648" spans="1:1" x14ac:dyDescent="0.3">
      <c r="A2648" s="20"/>
    </row>
    <row r="2649" spans="1:1" x14ac:dyDescent="0.3">
      <c r="A2649" s="20"/>
    </row>
    <row r="2650" spans="1:1" x14ac:dyDescent="0.3">
      <c r="A2650" s="20"/>
    </row>
    <row r="2651" spans="1:1" x14ac:dyDescent="0.3">
      <c r="A2651" s="20"/>
    </row>
    <row r="2652" spans="1:1" x14ac:dyDescent="0.3">
      <c r="A2652" s="20"/>
    </row>
    <row r="2653" spans="1:1" x14ac:dyDescent="0.3">
      <c r="A2653" s="20"/>
    </row>
    <row r="2654" spans="1:1" x14ac:dyDescent="0.3">
      <c r="A2654" s="20"/>
    </row>
    <row r="2655" spans="1:1" x14ac:dyDescent="0.3">
      <c r="A2655" s="20"/>
    </row>
    <row r="2656" spans="1:1" x14ac:dyDescent="0.3">
      <c r="A2656" s="20"/>
    </row>
    <row r="2657" spans="1:1" x14ac:dyDescent="0.3">
      <c r="A2657" s="20"/>
    </row>
    <row r="2658" spans="1:1" x14ac:dyDescent="0.3">
      <c r="A2658" s="20"/>
    </row>
    <row r="2659" spans="1:1" x14ac:dyDescent="0.3">
      <c r="A2659" s="20"/>
    </row>
    <row r="2660" spans="1:1" x14ac:dyDescent="0.3">
      <c r="A2660" s="20"/>
    </row>
    <row r="2661" spans="1:1" x14ac:dyDescent="0.3">
      <c r="A2661" s="20"/>
    </row>
    <row r="2662" spans="1:1" x14ac:dyDescent="0.3">
      <c r="A2662" s="20"/>
    </row>
    <row r="2663" spans="1:1" x14ac:dyDescent="0.3">
      <c r="A2663" s="20"/>
    </row>
    <row r="2664" spans="1:1" x14ac:dyDescent="0.3">
      <c r="A2664" s="20"/>
    </row>
    <row r="2665" spans="1:1" x14ac:dyDescent="0.3">
      <c r="A2665" s="20"/>
    </row>
    <row r="2666" spans="1:1" x14ac:dyDescent="0.3">
      <c r="A2666" s="20"/>
    </row>
    <row r="2667" spans="1:1" x14ac:dyDescent="0.3">
      <c r="A2667" s="20"/>
    </row>
    <row r="2668" spans="1:1" x14ac:dyDescent="0.3">
      <c r="A2668" s="20"/>
    </row>
    <row r="2669" spans="1:1" x14ac:dyDescent="0.3">
      <c r="A2669" s="20"/>
    </row>
    <row r="2670" spans="1:1" x14ac:dyDescent="0.3">
      <c r="A2670" s="20"/>
    </row>
    <row r="2671" spans="1:1" x14ac:dyDescent="0.3">
      <c r="A2671" s="20"/>
    </row>
    <row r="2672" spans="1:1" x14ac:dyDescent="0.3">
      <c r="A2672" s="20"/>
    </row>
    <row r="2673" spans="1:1" x14ac:dyDescent="0.3">
      <c r="A2673" s="20"/>
    </row>
    <row r="2674" spans="1:1" x14ac:dyDescent="0.3">
      <c r="A2674" s="20"/>
    </row>
    <row r="2675" spans="1:1" x14ac:dyDescent="0.3">
      <c r="A2675" s="20"/>
    </row>
    <row r="2676" spans="1:1" x14ac:dyDescent="0.3">
      <c r="A2676" s="20"/>
    </row>
    <row r="2677" spans="1:1" x14ac:dyDescent="0.3">
      <c r="A2677" s="20"/>
    </row>
    <row r="2678" spans="1:1" x14ac:dyDescent="0.3">
      <c r="A2678" s="20"/>
    </row>
    <row r="2679" spans="1:1" x14ac:dyDescent="0.3">
      <c r="A2679" s="20"/>
    </row>
    <row r="2680" spans="1:1" x14ac:dyDescent="0.3">
      <c r="A2680" s="20"/>
    </row>
    <row r="2681" spans="1:1" x14ac:dyDescent="0.3">
      <c r="A2681" s="20"/>
    </row>
    <row r="2682" spans="1:1" x14ac:dyDescent="0.3">
      <c r="A2682" s="20"/>
    </row>
    <row r="2683" spans="1:1" x14ac:dyDescent="0.3">
      <c r="A2683" s="20"/>
    </row>
    <row r="2684" spans="1:1" x14ac:dyDescent="0.3">
      <c r="A2684" s="20"/>
    </row>
    <row r="2685" spans="1:1" x14ac:dyDescent="0.3">
      <c r="A2685" s="20"/>
    </row>
    <row r="2686" spans="1:1" x14ac:dyDescent="0.3">
      <c r="A2686" s="20"/>
    </row>
    <row r="2687" spans="1:1" x14ac:dyDescent="0.3">
      <c r="A2687" s="20"/>
    </row>
    <row r="2688" spans="1:1" x14ac:dyDescent="0.3">
      <c r="A2688" s="20"/>
    </row>
    <row r="2689" spans="1:1" x14ac:dyDescent="0.3">
      <c r="A2689" s="20"/>
    </row>
    <row r="2690" spans="1:1" x14ac:dyDescent="0.3">
      <c r="A2690" s="20"/>
    </row>
    <row r="2691" spans="1:1" x14ac:dyDescent="0.3">
      <c r="A2691" s="20"/>
    </row>
    <row r="2692" spans="1:1" x14ac:dyDescent="0.3">
      <c r="A2692" s="20"/>
    </row>
    <row r="2693" spans="1:1" x14ac:dyDescent="0.3">
      <c r="A2693" s="20"/>
    </row>
    <row r="2694" spans="1:1" x14ac:dyDescent="0.3">
      <c r="A2694" s="20"/>
    </row>
    <row r="2695" spans="1:1" x14ac:dyDescent="0.3">
      <c r="A2695" s="20"/>
    </row>
    <row r="2696" spans="1:1" x14ac:dyDescent="0.3">
      <c r="A2696" s="20"/>
    </row>
    <row r="2697" spans="1:1" x14ac:dyDescent="0.3">
      <c r="A2697" s="20"/>
    </row>
    <row r="2698" spans="1:1" x14ac:dyDescent="0.3">
      <c r="A2698" s="20"/>
    </row>
    <row r="2699" spans="1:1" x14ac:dyDescent="0.3">
      <c r="A2699" s="20"/>
    </row>
    <row r="2700" spans="1:1" x14ac:dyDescent="0.3">
      <c r="A2700" s="20"/>
    </row>
    <row r="2701" spans="1:1" x14ac:dyDescent="0.3">
      <c r="A2701" s="20"/>
    </row>
    <row r="2702" spans="1:1" x14ac:dyDescent="0.3">
      <c r="A2702" s="20"/>
    </row>
    <row r="2703" spans="1:1" x14ac:dyDescent="0.3">
      <c r="A2703" s="20"/>
    </row>
    <row r="2704" spans="1:1" x14ac:dyDescent="0.3">
      <c r="A2704" s="20"/>
    </row>
    <row r="2705" spans="1:1" x14ac:dyDescent="0.3">
      <c r="A2705" s="20"/>
    </row>
    <row r="2706" spans="1:1" x14ac:dyDescent="0.3">
      <c r="A2706" s="20"/>
    </row>
    <row r="2707" spans="1:1" x14ac:dyDescent="0.3">
      <c r="A2707" s="20"/>
    </row>
    <row r="2708" spans="1:1" x14ac:dyDescent="0.3">
      <c r="A2708" s="20"/>
    </row>
    <row r="2709" spans="1:1" x14ac:dyDescent="0.3">
      <c r="A2709" s="20"/>
    </row>
    <row r="2710" spans="1:1" x14ac:dyDescent="0.3">
      <c r="A2710" s="20"/>
    </row>
    <row r="2711" spans="1:1" x14ac:dyDescent="0.3">
      <c r="A2711" s="20"/>
    </row>
    <row r="2712" spans="1:1" x14ac:dyDescent="0.3">
      <c r="A2712" s="20"/>
    </row>
    <row r="2713" spans="1:1" x14ac:dyDescent="0.3">
      <c r="A2713" s="20"/>
    </row>
    <row r="2714" spans="1:1" x14ac:dyDescent="0.3">
      <c r="A2714" s="20"/>
    </row>
    <row r="2715" spans="1:1" x14ac:dyDescent="0.3">
      <c r="A2715" s="20"/>
    </row>
    <row r="2716" spans="1:1" x14ac:dyDescent="0.3">
      <c r="A2716" s="20"/>
    </row>
    <row r="2717" spans="1:1" x14ac:dyDescent="0.3">
      <c r="A2717" s="20"/>
    </row>
    <row r="2718" spans="1:1" x14ac:dyDescent="0.3">
      <c r="A2718" s="20"/>
    </row>
    <row r="2719" spans="1:1" x14ac:dyDescent="0.3">
      <c r="A2719" s="20"/>
    </row>
    <row r="2720" spans="1:1" x14ac:dyDescent="0.3">
      <c r="A2720" s="20"/>
    </row>
    <row r="2721" spans="1:1" x14ac:dyDescent="0.3">
      <c r="A2721" s="20"/>
    </row>
    <row r="2722" spans="1:1" x14ac:dyDescent="0.3">
      <c r="A2722" s="20"/>
    </row>
    <row r="2723" spans="1:1" x14ac:dyDescent="0.3">
      <c r="A2723" s="20"/>
    </row>
    <row r="2724" spans="1:1" x14ac:dyDescent="0.3">
      <c r="A2724" s="20"/>
    </row>
    <row r="2725" spans="1:1" x14ac:dyDescent="0.3">
      <c r="A2725" s="20"/>
    </row>
    <row r="2726" spans="1:1" x14ac:dyDescent="0.3">
      <c r="A2726" s="20"/>
    </row>
    <row r="2727" spans="1:1" x14ac:dyDescent="0.3">
      <c r="A2727" s="20"/>
    </row>
    <row r="2728" spans="1:1" x14ac:dyDescent="0.3">
      <c r="A2728" s="20"/>
    </row>
    <row r="2729" spans="1:1" x14ac:dyDescent="0.3">
      <c r="A2729" s="20"/>
    </row>
    <row r="2730" spans="1:1" x14ac:dyDescent="0.3">
      <c r="A2730" s="20"/>
    </row>
    <row r="2731" spans="1:1" x14ac:dyDescent="0.3">
      <c r="A2731" s="20"/>
    </row>
    <row r="2732" spans="1:1" x14ac:dyDescent="0.3">
      <c r="A2732" s="20"/>
    </row>
    <row r="2733" spans="1:1" x14ac:dyDescent="0.3">
      <c r="A2733" s="20"/>
    </row>
    <row r="2734" spans="1:1" x14ac:dyDescent="0.3">
      <c r="A2734" s="20"/>
    </row>
    <row r="2735" spans="1:1" x14ac:dyDescent="0.3">
      <c r="A2735" s="20"/>
    </row>
    <row r="2736" spans="1:1" x14ac:dyDescent="0.3">
      <c r="A2736" s="20"/>
    </row>
    <row r="2737" spans="1:1" x14ac:dyDescent="0.3">
      <c r="A2737" s="20"/>
    </row>
    <row r="2738" spans="1:1" x14ac:dyDescent="0.3">
      <c r="A2738" s="20"/>
    </row>
    <row r="2739" spans="1:1" x14ac:dyDescent="0.3">
      <c r="A2739" s="20"/>
    </row>
    <row r="2740" spans="1:1" x14ac:dyDescent="0.3">
      <c r="A2740" s="20"/>
    </row>
    <row r="2741" spans="1:1" x14ac:dyDescent="0.3">
      <c r="A2741" s="20"/>
    </row>
    <row r="2742" spans="1:1" x14ac:dyDescent="0.3">
      <c r="A2742" s="20"/>
    </row>
    <row r="2743" spans="1:1" x14ac:dyDescent="0.3">
      <c r="A2743" s="20"/>
    </row>
    <row r="2744" spans="1:1" x14ac:dyDescent="0.3">
      <c r="A2744" s="20"/>
    </row>
    <row r="2745" spans="1:1" x14ac:dyDescent="0.3">
      <c r="A2745" s="20"/>
    </row>
    <row r="2746" spans="1:1" x14ac:dyDescent="0.3">
      <c r="A2746" s="20"/>
    </row>
    <row r="2747" spans="1:1" x14ac:dyDescent="0.3">
      <c r="A2747" s="20"/>
    </row>
    <row r="2748" spans="1:1" x14ac:dyDescent="0.3">
      <c r="A2748" s="20"/>
    </row>
    <row r="2749" spans="1:1" x14ac:dyDescent="0.3">
      <c r="A2749" s="20"/>
    </row>
    <row r="2750" spans="1:1" x14ac:dyDescent="0.3">
      <c r="A2750" s="20"/>
    </row>
    <row r="2751" spans="1:1" x14ac:dyDescent="0.3">
      <c r="A2751" s="20"/>
    </row>
    <row r="2752" spans="1:1" x14ac:dyDescent="0.3">
      <c r="A2752" s="20"/>
    </row>
    <row r="2753" spans="1:1" x14ac:dyDescent="0.3">
      <c r="A2753" s="20"/>
    </row>
    <row r="2754" spans="1:1" x14ac:dyDescent="0.3">
      <c r="A2754" s="20"/>
    </row>
    <row r="2755" spans="1:1" x14ac:dyDescent="0.3">
      <c r="A2755" s="20"/>
    </row>
    <row r="2756" spans="1:1" x14ac:dyDescent="0.3">
      <c r="A2756" s="20"/>
    </row>
    <row r="2757" spans="1:1" x14ac:dyDescent="0.3">
      <c r="A2757" s="20"/>
    </row>
    <row r="2758" spans="1:1" x14ac:dyDescent="0.3">
      <c r="A2758" s="20"/>
    </row>
    <row r="2759" spans="1:1" x14ac:dyDescent="0.3">
      <c r="A2759" s="20"/>
    </row>
    <row r="2760" spans="1:1" x14ac:dyDescent="0.3">
      <c r="A2760" s="20"/>
    </row>
    <row r="2761" spans="1:1" x14ac:dyDescent="0.3">
      <c r="A2761" s="20"/>
    </row>
    <row r="2762" spans="1:1" x14ac:dyDescent="0.3">
      <c r="A2762" s="20"/>
    </row>
    <row r="2763" spans="1:1" x14ac:dyDescent="0.3">
      <c r="A2763" s="20"/>
    </row>
    <row r="2764" spans="1:1" x14ac:dyDescent="0.3">
      <c r="A2764" s="20"/>
    </row>
    <row r="2765" spans="1:1" x14ac:dyDescent="0.3">
      <c r="A2765" s="20"/>
    </row>
    <row r="2766" spans="1:1" x14ac:dyDescent="0.3">
      <c r="A2766" s="20"/>
    </row>
    <row r="2767" spans="1:1" x14ac:dyDescent="0.3">
      <c r="A2767" s="20"/>
    </row>
    <row r="2768" spans="1:1" x14ac:dyDescent="0.3">
      <c r="A2768" s="20"/>
    </row>
    <row r="2769" spans="1:1" x14ac:dyDescent="0.3">
      <c r="A2769" s="20"/>
    </row>
    <row r="2770" spans="1:1" x14ac:dyDescent="0.3">
      <c r="A2770" s="20"/>
    </row>
    <row r="2771" spans="1:1" x14ac:dyDescent="0.3">
      <c r="A2771" s="20"/>
    </row>
    <row r="2772" spans="1:1" x14ac:dyDescent="0.3">
      <c r="A2772" s="20"/>
    </row>
    <row r="2773" spans="1:1" x14ac:dyDescent="0.3">
      <c r="A2773" s="20"/>
    </row>
    <row r="2774" spans="1:1" x14ac:dyDescent="0.3">
      <c r="A2774" s="20"/>
    </row>
    <row r="2775" spans="1:1" x14ac:dyDescent="0.3">
      <c r="A2775" s="20"/>
    </row>
    <row r="2776" spans="1:1" x14ac:dyDescent="0.3">
      <c r="A2776" s="20"/>
    </row>
    <row r="2777" spans="1:1" x14ac:dyDescent="0.3">
      <c r="A2777" s="20"/>
    </row>
    <row r="2778" spans="1:1" x14ac:dyDescent="0.3">
      <c r="A2778" s="20"/>
    </row>
    <row r="2779" spans="1:1" x14ac:dyDescent="0.3">
      <c r="A2779" s="20"/>
    </row>
    <row r="2780" spans="1:1" x14ac:dyDescent="0.3">
      <c r="A2780" s="20"/>
    </row>
    <row r="2781" spans="1:1" x14ac:dyDescent="0.3">
      <c r="A2781" s="20"/>
    </row>
    <row r="2782" spans="1:1" x14ac:dyDescent="0.3">
      <c r="A2782" s="20"/>
    </row>
    <row r="2783" spans="1:1" x14ac:dyDescent="0.3">
      <c r="A2783" s="20"/>
    </row>
    <row r="2784" spans="1:1" x14ac:dyDescent="0.3">
      <c r="A2784" s="20"/>
    </row>
    <row r="2785" spans="1:1" x14ac:dyDescent="0.3">
      <c r="A2785" s="20"/>
    </row>
    <row r="2786" spans="1:1" x14ac:dyDescent="0.3">
      <c r="A2786" s="20"/>
    </row>
    <row r="2787" spans="1:1" x14ac:dyDescent="0.3">
      <c r="A2787" s="20"/>
    </row>
    <row r="2788" spans="1:1" x14ac:dyDescent="0.3">
      <c r="A2788" s="20"/>
    </row>
    <row r="2789" spans="1:1" x14ac:dyDescent="0.3">
      <c r="A2789" s="20"/>
    </row>
    <row r="2790" spans="1:1" x14ac:dyDescent="0.3">
      <c r="A2790" s="20"/>
    </row>
    <row r="2791" spans="1:1" x14ac:dyDescent="0.3">
      <c r="A2791" s="20"/>
    </row>
    <row r="2792" spans="1:1" x14ac:dyDescent="0.3">
      <c r="A2792" s="20"/>
    </row>
    <row r="2793" spans="1:1" x14ac:dyDescent="0.3">
      <c r="A2793" s="20"/>
    </row>
    <row r="2794" spans="1:1" x14ac:dyDescent="0.3">
      <c r="A2794" s="20"/>
    </row>
    <row r="2795" spans="1:1" x14ac:dyDescent="0.3">
      <c r="A2795" s="20"/>
    </row>
    <row r="2796" spans="1:1" x14ac:dyDescent="0.3">
      <c r="A2796" s="20"/>
    </row>
    <row r="2797" spans="1:1" x14ac:dyDescent="0.3">
      <c r="A2797" s="20"/>
    </row>
    <row r="2798" spans="1:1" x14ac:dyDescent="0.3">
      <c r="A2798" s="20"/>
    </row>
    <row r="2799" spans="1:1" x14ac:dyDescent="0.3">
      <c r="A2799" s="20"/>
    </row>
    <row r="2800" spans="1:1" x14ac:dyDescent="0.3">
      <c r="A2800" s="20"/>
    </row>
    <row r="2801" spans="1:1" x14ac:dyDescent="0.3">
      <c r="A2801" s="20"/>
    </row>
    <row r="2802" spans="1:1" x14ac:dyDescent="0.3">
      <c r="A2802" s="20"/>
    </row>
    <row r="2803" spans="1:1" x14ac:dyDescent="0.3">
      <c r="A2803" s="20"/>
    </row>
    <row r="2804" spans="1:1" x14ac:dyDescent="0.3">
      <c r="A2804" s="20"/>
    </row>
    <row r="2805" spans="1:1" x14ac:dyDescent="0.3">
      <c r="A2805" s="20"/>
    </row>
    <row r="2806" spans="1:1" x14ac:dyDescent="0.3">
      <c r="A2806" s="20"/>
    </row>
    <row r="2807" spans="1:1" x14ac:dyDescent="0.3">
      <c r="A2807" s="20"/>
    </row>
    <row r="2808" spans="1:1" x14ac:dyDescent="0.3">
      <c r="A2808" s="20"/>
    </row>
    <row r="2809" spans="1:1" x14ac:dyDescent="0.3">
      <c r="A2809" s="20"/>
    </row>
    <row r="2810" spans="1:1" x14ac:dyDescent="0.3">
      <c r="A2810" s="20"/>
    </row>
    <row r="2811" spans="1:1" x14ac:dyDescent="0.3">
      <c r="A2811" s="20"/>
    </row>
    <row r="2812" spans="1:1" x14ac:dyDescent="0.3">
      <c r="A2812" s="20"/>
    </row>
    <row r="2813" spans="1:1" x14ac:dyDescent="0.3">
      <c r="A2813" s="20"/>
    </row>
    <row r="2814" spans="1:1" x14ac:dyDescent="0.3">
      <c r="A2814" s="20"/>
    </row>
    <row r="2815" spans="1:1" x14ac:dyDescent="0.3">
      <c r="A2815" s="20"/>
    </row>
    <row r="2816" spans="1:1" x14ac:dyDescent="0.3">
      <c r="A2816" s="20"/>
    </row>
    <row r="2817" spans="1:1" x14ac:dyDescent="0.3">
      <c r="A2817" s="20"/>
    </row>
    <row r="2818" spans="1:1" x14ac:dyDescent="0.3">
      <c r="A2818" s="20"/>
    </row>
    <row r="2819" spans="1:1" x14ac:dyDescent="0.3">
      <c r="A2819" s="20"/>
    </row>
    <row r="2820" spans="1:1" x14ac:dyDescent="0.3">
      <c r="A2820" s="20"/>
    </row>
    <row r="2821" spans="1:1" x14ac:dyDescent="0.3">
      <c r="A2821" s="20"/>
    </row>
    <row r="2822" spans="1:1" x14ac:dyDescent="0.3">
      <c r="A2822" s="20"/>
    </row>
    <row r="2823" spans="1:1" x14ac:dyDescent="0.3">
      <c r="A2823" s="20"/>
    </row>
    <row r="2824" spans="1:1" x14ac:dyDescent="0.3">
      <c r="A2824" s="20"/>
    </row>
    <row r="2825" spans="1:1" x14ac:dyDescent="0.3">
      <c r="A2825" s="20"/>
    </row>
    <row r="2826" spans="1:1" x14ac:dyDescent="0.3">
      <c r="A2826" s="20"/>
    </row>
    <row r="2827" spans="1:1" x14ac:dyDescent="0.3">
      <c r="A2827" s="20"/>
    </row>
    <row r="2828" spans="1:1" x14ac:dyDescent="0.3">
      <c r="A2828" s="20"/>
    </row>
    <row r="2829" spans="1:1" x14ac:dyDescent="0.3">
      <c r="A2829" s="20"/>
    </row>
    <row r="2830" spans="1:1" x14ac:dyDescent="0.3">
      <c r="A2830" s="20"/>
    </row>
    <row r="2831" spans="1:1" x14ac:dyDescent="0.3">
      <c r="A2831" s="20"/>
    </row>
    <row r="2832" spans="1:1" x14ac:dyDescent="0.3">
      <c r="A2832" s="20"/>
    </row>
    <row r="2833" spans="1:1" x14ac:dyDescent="0.3">
      <c r="A2833" s="20"/>
    </row>
    <row r="2834" spans="1:1" x14ac:dyDescent="0.3">
      <c r="A2834" s="20"/>
    </row>
    <row r="2835" spans="1:1" x14ac:dyDescent="0.3">
      <c r="A2835" s="20"/>
    </row>
    <row r="2836" spans="1:1" x14ac:dyDescent="0.3">
      <c r="A2836" s="20"/>
    </row>
    <row r="2837" spans="1:1" x14ac:dyDescent="0.3">
      <c r="A2837" s="20"/>
    </row>
    <row r="2838" spans="1:1" x14ac:dyDescent="0.3">
      <c r="A2838" s="20"/>
    </row>
    <row r="2839" spans="1:1" x14ac:dyDescent="0.3">
      <c r="A2839" s="20"/>
    </row>
    <row r="2840" spans="1:1" x14ac:dyDescent="0.3">
      <c r="A2840" s="20"/>
    </row>
    <row r="2841" spans="1:1" x14ac:dyDescent="0.3">
      <c r="A2841" s="20"/>
    </row>
    <row r="2842" spans="1:1" x14ac:dyDescent="0.3">
      <c r="A2842" s="20"/>
    </row>
    <row r="2843" spans="1:1" x14ac:dyDescent="0.3">
      <c r="A2843" s="20"/>
    </row>
    <row r="2844" spans="1:1" x14ac:dyDescent="0.3">
      <c r="A2844" s="20"/>
    </row>
    <row r="2845" spans="1:1" x14ac:dyDescent="0.3">
      <c r="A2845" s="20"/>
    </row>
    <row r="2846" spans="1:1" x14ac:dyDescent="0.3">
      <c r="A2846" s="20"/>
    </row>
    <row r="2847" spans="1:1" x14ac:dyDescent="0.3">
      <c r="A2847" s="20"/>
    </row>
    <row r="2848" spans="1:1" x14ac:dyDescent="0.3">
      <c r="A2848" s="20"/>
    </row>
    <row r="2849" spans="1:1" x14ac:dyDescent="0.3">
      <c r="A2849" s="20"/>
    </row>
    <row r="2850" spans="1:1" x14ac:dyDescent="0.3">
      <c r="A2850" s="20"/>
    </row>
    <row r="2851" spans="1:1" x14ac:dyDescent="0.3">
      <c r="A2851" s="20"/>
    </row>
    <row r="2852" spans="1:1" x14ac:dyDescent="0.3">
      <c r="A2852" s="20"/>
    </row>
    <row r="2853" spans="1:1" x14ac:dyDescent="0.3">
      <c r="A2853" s="20"/>
    </row>
    <row r="2854" spans="1:1" x14ac:dyDescent="0.3">
      <c r="A2854" s="20"/>
    </row>
    <row r="2855" spans="1:1" x14ac:dyDescent="0.3">
      <c r="A2855" s="20"/>
    </row>
    <row r="2856" spans="1:1" x14ac:dyDescent="0.3">
      <c r="A2856" s="20"/>
    </row>
    <row r="2857" spans="1:1" x14ac:dyDescent="0.3">
      <c r="A2857" s="20"/>
    </row>
    <row r="2858" spans="1:1" x14ac:dyDescent="0.3">
      <c r="A2858" s="20"/>
    </row>
    <row r="2859" spans="1:1" x14ac:dyDescent="0.3">
      <c r="A2859" s="20"/>
    </row>
    <row r="2860" spans="1:1" x14ac:dyDescent="0.3">
      <c r="A2860" s="20"/>
    </row>
    <row r="2861" spans="1:1" x14ac:dyDescent="0.3">
      <c r="A2861" s="20"/>
    </row>
    <row r="2862" spans="1:1" x14ac:dyDescent="0.3">
      <c r="A2862" s="20"/>
    </row>
    <row r="2863" spans="1:1" x14ac:dyDescent="0.3">
      <c r="A2863" s="20"/>
    </row>
    <row r="2864" spans="1:1" x14ac:dyDescent="0.3">
      <c r="A2864" s="20"/>
    </row>
    <row r="2865" spans="1:1" x14ac:dyDescent="0.3">
      <c r="A2865" s="20"/>
    </row>
    <row r="2866" spans="1:1" x14ac:dyDescent="0.3">
      <c r="A2866" s="20"/>
    </row>
    <row r="2867" spans="1:1" x14ac:dyDescent="0.3">
      <c r="A2867" s="20"/>
    </row>
    <row r="2868" spans="1:1" x14ac:dyDescent="0.3">
      <c r="A2868" s="20"/>
    </row>
    <row r="2869" spans="1:1" x14ac:dyDescent="0.3">
      <c r="A2869" s="20"/>
    </row>
    <row r="2870" spans="1:1" x14ac:dyDescent="0.3">
      <c r="A2870" s="20"/>
    </row>
    <row r="2871" spans="1:1" x14ac:dyDescent="0.3">
      <c r="A2871" s="20"/>
    </row>
    <row r="2872" spans="1:1" x14ac:dyDescent="0.3">
      <c r="A2872" s="20"/>
    </row>
    <row r="2873" spans="1:1" x14ac:dyDescent="0.3">
      <c r="A2873" s="20"/>
    </row>
    <row r="2874" spans="1:1" x14ac:dyDescent="0.3">
      <c r="A2874" s="20"/>
    </row>
    <row r="2875" spans="1:1" x14ac:dyDescent="0.3">
      <c r="A2875" s="20"/>
    </row>
    <row r="2876" spans="1:1" x14ac:dyDescent="0.3">
      <c r="A2876" s="20"/>
    </row>
    <row r="2877" spans="1:1" x14ac:dyDescent="0.3">
      <c r="A2877" s="20"/>
    </row>
    <row r="2878" spans="1:1" x14ac:dyDescent="0.3">
      <c r="A2878" s="20"/>
    </row>
    <row r="2879" spans="1:1" x14ac:dyDescent="0.3">
      <c r="A2879" s="20"/>
    </row>
    <row r="2880" spans="1:1" x14ac:dyDescent="0.3">
      <c r="A2880" s="20"/>
    </row>
    <row r="2881" spans="1:1" x14ac:dyDescent="0.3">
      <c r="A2881" s="20"/>
    </row>
    <row r="2882" spans="1:1" x14ac:dyDescent="0.3">
      <c r="A2882" s="20"/>
    </row>
    <row r="2883" spans="1:1" x14ac:dyDescent="0.3">
      <c r="A2883" s="20"/>
    </row>
    <row r="2884" spans="1:1" x14ac:dyDescent="0.3">
      <c r="A2884" s="20"/>
    </row>
    <row r="2885" spans="1:1" x14ac:dyDescent="0.3">
      <c r="A2885" s="20"/>
    </row>
    <row r="2886" spans="1:1" x14ac:dyDescent="0.3">
      <c r="A2886" s="20"/>
    </row>
    <row r="2887" spans="1:1" x14ac:dyDescent="0.3">
      <c r="A2887" s="20"/>
    </row>
    <row r="2888" spans="1:1" x14ac:dyDescent="0.3">
      <c r="A2888" s="20"/>
    </row>
    <row r="2889" spans="1:1" x14ac:dyDescent="0.3">
      <c r="A2889" s="20"/>
    </row>
    <row r="2890" spans="1:1" x14ac:dyDescent="0.3">
      <c r="A2890" s="20"/>
    </row>
    <row r="2891" spans="1:1" x14ac:dyDescent="0.3">
      <c r="A2891" s="20"/>
    </row>
    <row r="2892" spans="1:1" x14ac:dyDescent="0.3">
      <c r="A2892" s="20"/>
    </row>
    <row r="2893" spans="1:1" x14ac:dyDescent="0.3">
      <c r="A2893" s="20"/>
    </row>
    <row r="2894" spans="1:1" x14ac:dyDescent="0.3">
      <c r="A2894" s="20"/>
    </row>
    <row r="2895" spans="1:1" x14ac:dyDescent="0.3">
      <c r="A2895" s="20"/>
    </row>
    <row r="2896" spans="1:1" x14ac:dyDescent="0.3">
      <c r="A2896" s="20"/>
    </row>
    <row r="2897" spans="1:1" x14ac:dyDescent="0.3">
      <c r="A2897" s="20"/>
    </row>
    <row r="2898" spans="1:1" x14ac:dyDescent="0.3">
      <c r="A2898" s="20"/>
    </row>
    <row r="2899" spans="1:1" x14ac:dyDescent="0.3">
      <c r="A2899" s="20"/>
    </row>
    <row r="2900" spans="1:1" x14ac:dyDescent="0.3">
      <c r="A2900" s="20"/>
    </row>
    <row r="2901" spans="1:1" x14ac:dyDescent="0.3">
      <c r="A2901" s="20"/>
    </row>
    <row r="2902" spans="1:1" x14ac:dyDescent="0.3">
      <c r="A2902" s="20"/>
    </row>
    <row r="2903" spans="1:1" x14ac:dyDescent="0.3">
      <c r="A2903" s="20"/>
    </row>
    <row r="2904" spans="1:1" x14ac:dyDescent="0.3">
      <c r="A2904" s="20"/>
    </row>
    <row r="2905" spans="1:1" x14ac:dyDescent="0.3">
      <c r="A2905" s="20"/>
    </row>
    <row r="2906" spans="1:1" x14ac:dyDescent="0.3">
      <c r="A2906" s="20"/>
    </row>
    <row r="2907" spans="1:1" x14ac:dyDescent="0.3">
      <c r="A2907" s="20"/>
    </row>
    <row r="2908" spans="1:1" x14ac:dyDescent="0.3">
      <c r="A2908" s="20"/>
    </row>
    <row r="2909" spans="1:1" x14ac:dyDescent="0.3">
      <c r="A2909" s="20"/>
    </row>
    <row r="2910" spans="1:1" x14ac:dyDescent="0.3">
      <c r="A2910" s="20"/>
    </row>
    <row r="2911" spans="1:1" x14ac:dyDescent="0.3">
      <c r="A2911" s="20"/>
    </row>
    <row r="2912" spans="1:1" x14ac:dyDescent="0.3">
      <c r="A2912" s="20"/>
    </row>
    <row r="2913" spans="1:1" x14ac:dyDescent="0.3">
      <c r="A2913" s="20"/>
    </row>
    <row r="2914" spans="1:1" x14ac:dyDescent="0.3">
      <c r="A2914" s="20"/>
    </row>
    <row r="2915" spans="1:1" x14ac:dyDescent="0.3">
      <c r="A2915" s="20"/>
    </row>
    <row r="2916" spans="1:1" x14ac:dyDescent="0.3">
      <c r="A2916" s="20"/>
    </row>
    <row r="2917" spans="1:1" x14ac:dyDescent="0.3">
      <c r="A2917" s="20"/>
    </row>
    <row r="2918" spans="1:1" x14ac:dyDescent="0.3">
      <c r="A2918" s="20"/>
    </row>
    <row r="2919" spans="1:1" x14ac:dyDescent="0.3">
      <c r="A2919" s="20"/>
    </row>
    <row r="2920" spans="1:1" x14ac:dyDescent="0.3">
      <c r="A2920" s="20"/>
    </row>
    <row r="2921" spans="1:1" x14ac:dyDescent="0.3">
      <c r="A2921" s="20"/>
    </row>
    <row r="2922" spans="1:1" x14ac:dyDescent="0.3">
      <c r="A2922" s="20"/>
    </row>
    <row r="2923" spans="1:1" x14ac:dyDescent="0.3">
      <c r="A2923" s="20"/>
    </row>
    <row r="2924" spans="1:1" x14ac:dyDescent="0.3">
      <c r="A2924" s="20"/>
    </row>
    <row r="2925" spans="1:1" x14ac:dyDescent="0.3">
      <c r="A2925" s="20"/>
    </row>
    <row r="2926" spans="1:1" x14ac:dyDescent="0.3">
      <c r="A2926" s="20"/>
    </row>
    <row r="2927" spans="1:1" x14ac:dyDescent="0.3">
      <c r="A2927" s="20"/>
    </row>
    <row r="2928" spans="1:1" x14ac:dyDescent="0.3">
      <c r="A2928" s="20"/>
    </row>
    <row r="2929" spans="1:1" x14ac:dyDescent="0.3">
      <c r="A2929" s="20"/>
    </row>
    <row r="2930" spans="1:1" x14ac:dyDescent="0.3">
      <c r="A2930" s="20"/>
    </row>
    <row r="2931" spans="1:1" x14ac:dyDescent="0.3">
      <c r="A2931" s="20"/>
    </row>
    <row r="2932" spans="1:1" x14ac:dyDescent="0.3">
      <c r="A2932" s="20"/>
    </row>
    <row r="2933" spans="1:1" x14ac:dyDescent="0.3">
      <c r="A2933" s="20"/>
    </row>
    <row r="2934" spans="1:1" x14ac:dyDescent="0.3">
      <c r="A2934" s="20"/>
    </row>
    <row r="2935" spans="1:1" x14ac:dyDescent="0.3">
      <c r="A2935" s="20"/>
    </row>
    <row r="2936" spans="1:1" x14ac:dyDescent="0.3">
      <c r="A2936" s="20"/>
    </row>
    <row r="2937" spans="1:1" x14ac:dyDescent="0.3">
      <c r="A2937" s="20"/>
    </row>
    <row r="2938" spans="1:1" x14ac:dyDescent="0.3">
      <c r="A2938" s="20"/>
    </row>
    <row r="2939" spans="1:1" x14ac:dyDescent="0.3">
      <c r="A2939" s="20"/>
    </row>
    <row r="2940" spans="1:1" x14ac:dyDescent="0.3">
      <c r="A2940" s="20"/>
    </row>
    <row r="2941" spans="1:1" x14ac:dyDescent="0.3">
      <c r="A2941" s="20"/>
    </row>
    <row r="2942" spans="1:1" x14ac:dyDescent="0.3">
      <c r="A2942" s="20"/>
    </row>
    <row r="2943" spans="1:1" x14ac:dyDescent="0.3">
      <c r="A2943" s="20"/>
    </row>
    <row r="2944" spans="1:1" x14ac:dyDescent="0.3">
      <c r="A2944" s="20"/>
    </row>
    <row r="2945" spans="1:1" x14ac:dyDescent="0.3">
      <c r="A2945" s="20"/>
    </row>
    <row r="2946" spans="1:1" x14ac:dyDescent="0.3">
      <c r="A2946" s="20"/>
    </row>
    <row r="2947" spans="1:1" x14ac:dyDescent="0.3">
      <c r="A2947" s="20"/>
    </row>
    <row r="2948" spans="1:1" x14ac:dyDescent="0.3">
      <c r="A2948" s="20"/>
    </row>
    <row r="2949" spans="1:1" x14ac:dyDescent="0.3">
      <c r="A2949" s="20"/>
    </row>
    <row r="2950" spans="1:1" x14ac:dyDescent="0.3">
      <c r="A2950" s="20"/>
    </row>
    <row r="2951" spans="1:1" x14ac:dyDescent="0.3">
      <c r="A2951" s="20"/>
    </row>
    <row r="2952" spans="1:1" x14ac:dyDescent="0.3">
      <c r="A2952" s="20"/>
    </row>
    <row r="2953" spans="1:1" x14ac:dyDescent="0.3">
      <c r="A2953" s="20"/>
    </row>
    <row r="2954" spans="1:1" x14ac:dyDescent="0.3">
      <c r="A2954" s="20"/>
    </row>
    <row r="2955" spans="1:1" x14ac:dyDescent="0.3">
      <c r="A2955" s="20"/>
    </row>
    <row r="2956" spans="1:1" x14ac:dyDescent="0.3">
      <c r="A2956" s="20"/>
    </row>
    <row r="2957" spans="1:1" x14ac:dyDescent="0.3">
      <c r="A2957" s="20"/>
    </row>
    <row r="2958" spans="1:1" x14ac:dyDescent="0.3">
      <c r="A2958" s="20"/>
    </row>
    <row r="2959" spans="1:1" x14ac:dyDescent="0.3">
      <c r="A2959" s="20"/>
    </row>
    <row r="2960" spans="1:1" x14ac:dyDescent="0.3">
      <c r="A2960" s="20"/>
    </row>
    <row r="2961" spans="1:1" x14ac:dyDescent="0.3">
      <c r="A2961" s="20"/>
    </row>
    <row r="2962" spans="1:1" x14ac:dyDescent="0.3">
      <c r="A2962" s="20"/>
    </row>
    <row r="2963" spans="1:1" x14ac:dyDescent="0.3">
      <c r="A2963" s="20"/>
    </row>
    <row r="2964" spans="1:1" x14ac:dyDescent="0.3">
      <c r="A2964" s="20"/>
    </row>
    <row r="2965" spans="1:1" x14ac:dyDescent="0.3">
      <c r="A2965" s="20"/>
    </row>
    <row r="2966" spans="1:1" x14ac:dyDescent="0.3">
      <c r="A2966" s="20"/>
    </row>
    <row r="2967" spans="1:1" x14ac:dyDescent="0.3">
      <c r="A2967" s="20"/>
    </row>
    <row r="2968" spans="1:1" x14ac:dyDescent="0.3">
      <c r="A2968" s="20"/>
    </row>
    <row r="2969" spans="1:1" x14ac:dyDescent="0.3">
      <c r="A2969" s="20"/>
    </row>
    <row r="2970" spans="1:1" x14ac:dyDescent="0.3">
      <c r="A2970" s="20"/>
    </row>
    <row r="2971" spans="1:1" x14ac:dyDescent="0.3">
      <c r="A2971" s="20"/>
    </row>
    <row r="2972" spans="1:1" x14ac:dyDescent="0.3">
      <c r="A2972" s="20"/>
    </row>
    <row r="2973" spans="1:1" x14ac:dyDescent="0.3">
      <c r="A2973" s="20"/>
    </row>
    <row r="2974" spans="1:1" x14ac:dyDescent="0.3">
      <c r="A2974" s="20"/>
    </row>
    <row r="2975" spans="1:1" x14ac:dyDescent="0.3">
      <c r="A2975" s="20"/>
    </row>
    <row r="2976" spans="1:1" x14ac:dyDescent="0.3">
      <c r="A2976" s="20"/>
    </row>
    <row r="2977" spans="1:1" x14ac:dyDescent="0.3">
      <c r="A2977" s="20"/>
    </row>
    <row r="2978" spans="1:1" x14ac:dyDescent="0.3">
      <c r="A2978" s="20"/>
    </row>
    <row r="2979" spans="1:1" x14ac:dyDescent="0.3">
      <c r="A2979" s="20"/>
    </row>
    <row r="2980" spans="1:1" x14ac:dyDescent="0.3">
      <c r="A2980" s="20"/>
    </row>
    <row r="2981" spans="1:1" x14ac:dyDescent="0.3">
      <c r="A2981" s="20"/>
    </row>
    <row r="2982" spans="1:1" x14ac:dyDescent="0.3">
      <c r="A2982" s="20"/>
    </row>
    <row r="2983" spans="1:1" x14ac:dyDescent="0.3">
      <c r="A2983" s="20"/>
    </row>
    <row r="2984" spans="1:1" x14ac:dyDescent="0.3">
      <c r="A2984" s="20"/>
    </row>
    <row r="2985" spans="1:1" x14ac:dyDescent="0.3">
      <c r="A2985" s="20"/>
    </row>
    <row r="2986" spans="1:1" x14ac:dyDescent="0.3">
      <c r="A2986" s="20"/>
    </row>
    <row r="2987" spans="1:1" x14ac:dyDescent="0.3">
      <c r="A2987" s="20"/>
    </row>
    <row r="2988" spans="1:1" x14ac:dyDescent="0.3">
      <c r="A2988" s="20"/>
    </row>
    <row r="2989" spans="1:1" x14ac:dyDescent="0.3">
      <c r="A2989" s="20"/>
    </row>
    <row r="2990" spans="1:1" x14ac:dyDescent="0.3">
      <c r="A2990" s="20"/>
    </row>
    <row r="2991" spans="1:1" x14ac:dyDescent="0.3">
      <c r="A2991" s="20"/>
    </row>
    <row r="2992" spans="1:1" x14ac:dyDescent="0.3">
      <c r="A2992" s="20"/>
    </row>
    <row r="2993" spans="1:1" x14ac:dyDescent="0.3">
      <c r="A2993" s="20"/>
    </row>
    <row r="2994" spans="1:1" x14ac:dyDescent="0.3">
      <c r="A2994" s="20"/>
    </row>
    <row r="2995" spans="1:1" x14ac:dyDescent="0.3">
      <c r="A2995" s="20"/>
    </row>
    <row r="2996" spans="1:1" x14ac:dyDescent="0.3">
      <c r="A2996" s="20"/>
    </row>
    <row r="2997" spans="1:1" x14ac:dyDescent="0.3">
      <c r="A2997" s="20"/>
    </row>
    <row r="2998" spans="1:1" x14ac:dyDescent="0.3">
      <c r="A2998" s="20"/>
    </row>
    <row r="2999" spans="1:1" x14ac:dyDescent="0.3">
      <c r="A2999" s="20"/>
    </row>
    <row r="3000" spans="1:1" x14ac:dyDescent="0.3">
      <c r="A3000" s="20"/>
    </row>
    <row r="3001" spans="1:1" x14ac:dyDescent="0.3">
      <c r="A3001" s="20"/>
    </row>
    <row r="3002" spans="1:1" x14ac:dyDescent="0.3">
      <c r="A3002" s="20"/>
    </row>
    <row r="3003" spans="1:1" x14ac:dyDescent="0.3">
      <c r="A3003" s="20"/>
    </row>
    <row r="3004" spans="1:1" x14ac:dyDescent="0.3">
      <c r="A3004" s="20"/>
    </row>
    <row r="3005" spans="1:1" x14ac:dyDescent="0.3">
      <c r="A3005" s="20"/>
    </row>
    <row r="3006" spans="1:1" x14ac:dyDescent="0.3">
      <c r="A3006" s="20"/>
    </row>
    <row r="3007" spans="1:1" x14ac:dyDescent="0.3">
      <c r="A3007" s="20"/>
    </row>
    <row r="3008" spans="1:1" x14ac:dyDescent="0.3">
      <c r="A3008" s="20"/>
    </row>
    <row r="3009" spans="1:1" x14ac:dyDescent="0.3">
      <c r="A3009" s="20"/>
    </row>
    <row r="3010" spans="1:1" x14ac:dyDescent="0.3">
      <c r="A3010" s="20"/>
    </row>
    <row r="3011" spans="1:1" x14ac:dyDescent="0.3">
      <c r="A3011" s="20"/>
    </row>
    <row r="3012" spans="1:1" x14ac:dyDescent="0.3">
      <c r="A3012" s="20"/>
    </row>
    <row r="3013" spans="1:1" x14ac:dyDescent="0.3">
      <c r="A3013" s="20"/>
    </row>
    <row r="3014" spans="1:1" x14ac:dyDescent="0.3">
      <c r="A3014" s="20"/>
    </row>
    <row r="3015" spans="1:1" x14ac:dyDescent="0.3">
      <c r="A3015" s="20"/>
    </row>
    <row r="3016" spans="1:1" x14ac:dyDescent="0.3">
      <c r="A3016" s="20"/>
    </row>
    <row r="3017" spans="1:1" x14ac:dyDescent="0.3">
      <c r="A3017" s="20"/>
    </row>
    <row r="3018" spans="1:1" x14ac:dyDescent="0.3">
      <c r="A3018" s="20"/>
    </row>
    <row r="3019" spans="1:1" x14ac:dyDescent="0.3">
      <c r="A3019" s="20"/>
    </row>
    <row r="3020" spans="1:1" x14ac:dyDescent="0.3">
      <c r="A3020" s="20"/>
    </row>
    <row r="3021" spans="1:1" x14ac:dyDescent="0.3">
      <c r="A3021" s="20"/>
    </row>
    <row r="3022" spans="1:1" x14ac:dyDescent="0.3">
      <c r="A3022" s="20"/>
    </row>
    <row r="3023" spans="1:1" x14ac:dyDescent="0.3">
      <c r="A3023" s="20"/>
    </row>
    <row r="3024" spans="1:1" x14ac:dyDescent="0.3">
      <c r="A3024" s="20"/>
    </row>
    <row r="3025" spans="1:1" x14ac:dyDescent="0.3">
      <c r="A3025" s="20"/>
    </row>
    <row r="3026" spans="1:1" x14ac:dyDescent="0.3">
      <c r="A3026" s="20"/>
    </row>
    <row r="3027" spans="1:1" x14ac:dyDescent="0.3">
      <c r="A3027" s="20"/>
    </row>
    <row r="3028" spans="1:1" x14ac:dyDescent="0.3">
      <c r="A3028" s="20"/>
    </row>
    <row r="3029" spans="1:1" x14ac:dyDescent="0.3">
      <c r="A3029" s="20"/>
    </row>
    <row r="3030" spans="1:1" x14ac:dyDescent="0.3">
      <c r="A3030" s="20"/>
    </row>
    <row r="3031" spans="1:1" x14ac:dyDescent="0.3">
      <c r="A3031" s="20"/>
    </row>
    <row r="3032" spans="1:1" x14ac:dyDescent="0.3">
      <c r="A3032" s="20"/>
    </row>
    <row r="3033" spans="1:1" x14ac:dyDescent="0.3">
      <c r="A3033" s="20"/>
    </row>
    <row r="3034" spans="1:1" x14ac:dyDescent="0.3">
      <c r="A3034" s="20"/>
    </row>
    <row r="3035" spans="1:1" x14ac:dyDescent="0.3">
      <c r="A3035" s="20"/>
    </row>
    <row r="3036" spans="1:1" x14ac:dyDescent="0.3">
      <c r="A3036" s="20"/>
    </row>
    <row r="3037" spans="1:1" x14ac:dyDescent="0.3">
      <c r="A3037" s="20"/>
    </row>
    <row r="3038" spans="1:1" x14ac:dyDescent="0.3">
      <c r="A3038" s="20"/>
    </row>
    <row r="3039" spans="1:1" x14ac:dyDescent="0.3">
      <c r="A3039" s="20"/>
    </row>
    <row r="3040" spans="1:1" x14ac:dyDescent="0.3">
      <c r="A3040" s="20"/>
    </row>
    <row r="3041" spans="1:1" x14ac:dyDescent="0.3">
      <c r="A3041" s="20"/>
    </row>
    <row r="3042" spans="1:1" x14ac:dyDescent="0.3">
      <c r="A3042" s="20"/>
    </row>
    <row r="3043" spans="1:1" x14ac:dyDescent="0.3">
      <c r="A3043" s="20"/>
    </row>
    <row r="3044" spans="1:1" x14ac:dyDescent="0.3">
      <c r="A3044" s="20"/>
    </row>
    <row r="3045" spans="1:1" x14ac:dyDescent="0.3">
      <c r="A3045" s="20"/>
    </row>
    <row r="3046" spans="1:1" x14ac:dyDescent="0.3">
      <c r="A3046" s="20"/>
    </row>
    <row r="3047" spans="1:1" x14ac:dyDescent="0.3">
      <c r="A3047" s="20"/>
    </row>
    <row r="3048" spans="1:1" x14ac:dyDescent="0.3">
      <c r="A3048" s="20"/>
    </row>
    <row r="3049" spans="1:1" x14ac:dyDescent="0.3">
      <c r="A3049" s="20"/>
    </row>
    <row r="3050" spans="1:1" x14ac:dyDescent="0.3">
      <c r="A3050" s="20"/>
    </row>
    <row r="3051" spans="1:1" x14ac:dyDescent="0.3">
      <c r="A3051" s="20"/>
    </row>
    <row r="3052" spans="1:1" x14ac:dyDescent="0.3">
      <c r="A3052" s="20"/>
    </row>
    <row r="3053" spans="1:1" x14ac:dyDescent="0.3">
      <c r="A3053" s="20"/>
    </row>
    <row r="3054" spans="1:1" x14ac:dyDescent="0.3">
      <c r="A3054" s="20"/>
    </row>
    <row r="3055" spans="1:1" x14ac:dyDescent="0.3">
      <c r="A3055" s="20"/>
    </row>
    <row r="3056" spans="1:1" x14ac:dyDescent="0.3">
      <c r="A3056" s="20"/>
    </row>
    <row r="3057" spans="1:1" x14ac:dyDescent="0.3">
      <c r="A3057" s="20"/>
    </row>
    <row r="3058" spans="1:1" x14ac:dyDescent="0.3">
      <c r="A3058" s="20"/>
    </row>
    <row r="3059" spans="1:1" x14ac:dyDescent="0.3">
      <c r="A3059" s="20"/>
    </row>
    <row r="3060" spans="1:1" x14ac:dyDescent="0.3">
      <c r="A3060" s="20"/>
    </row>
    <row r="3061" spans="1:1" x14ac:dyDescent="0.3">
      <c r="A3061" s="20"/>
    </row>
    <row r="3062" spans="1:1" x14ac:dyDescent="0.3">
      <c r="A3062" s="20"/>
    </row>
    <row r="3063" spans="1:1" x14ac:dyDescent="0.3">
      <c r="A3063" s="20"/>
    </row>
    <row r="3064" spans="1:1" x14ac:dyDescent="0.3">
      <c r="A3064" s="20"/>
    </row>
    <row r="3065" spans="1:1" x14ac:dyDescent="0.3">
      <c r="A3065" s="20"/>
    </row>
    <row r="3066" spans="1:1" x14ac:dyDescent="0.3">
      <c r="A3066" s="20"/>
    </row>
    <row r="3067" spans="1:1" x14ac:dyDescent="0.3">
      <c r="A3067" s="20"/>
    </row>
    <row r="3068" spans="1:1" x14ac:dyDescent="0.3">
      <c r="A3068" s="20"/>
    </row>
    <row r="3069" spans="1:1" x14ac:dyDescent="0.3">
      <c r="A3069" s="20"/>
    </row>
    <row r="3070" spans="1:1" x14ac:dyDescent="0.3">
      <c r="A3070" s="20"/>
    </row>
    <row r="3071" spans="1:1" x14ac:dyDescent="0.3">
      <c r="A3071" s="20"/>
    </row>
    <row r="3072" spans="1:1" x14ac:dyDescent="0.3">
      <c r="A3072" s="20"/>
    </row>
    <row r="3073" spans="1:1" x14ac:dyDescent="0.3">
      <c r="A3073" s="20"/>
    </row>
    <row r="3074" spans="1:1" x14ac:dyDescent="0.3">
      <c r="A3074" s="20"/>
    </row>
    <row r="3075" spans="1:1" x14ac:dyDescent="0.3">
      <c r="A3075" s="20"/>
    </row>
    <row r="3076" spans="1:1" x14ac:dyDescent="0.3">
      <c r="A3076" s="20"/>
    </row>
    <row r="3077" spans="1:1" x14ac:dyDescent="0.3">
      <c r="A3077" s="20"/>
    </row>
    <row r="3078" spans="1:1" x14ac:dyDescent="0.3">
      <c r="A3078" s="20"/>
    </row>
    <row r="3079" spans="1:1" x14ac:dyDescent="0.3">
      <c r="A3079" s="20"/>
    </row>
    <row r="3080" spans="1:1" x14ac:dyDescent="0.3">
      <c r="A3080" s="20"/>
    </row>
    <row r="3081" spans="1:1" x14ac:dyDescent="0.3">
      <c r="A3081" s="20"/>
    </row>
    <row r="3082" spans="1:1" x14ac:dyDescent="0.3">
      <c r="A3082" s="20"/>
    </row>
    <row r="3083" spans="1:1" x14ac:dyDescent="0.3">
      <c r="A3083" s="20"/>
    </row>
    <row r="3084" spans="1:1" x14ac:dyDescent="0.3">
      <c r="A3084" s="20"/>
    </row>
    <row r="3085" spans="1:1" x14ac:dyDescent="0.3">
      <c r="A3085" s="20"/>
    </row>
    <row r="3086" spans="1:1" x14ac:dyDescent="0.3">
      <c r="A3086" s="20"/>
    </row>
    <row r="3087" spans="1:1" x14ac:dyDescent="0.3">
      <c r="A3087" s="20"/>
    </row>
    <row r="3088" spans="1:1" x14ac:dyDescent="0.3">
      <c r="A3088" s="20"/>
    </row>
    <row r="3089" spans="1:1" x14ac:dyDescent="0.3">
      <c r="A3089" s="20"/>
    </row>
    <row r="3090" spans="1:1" x14ac:dyDescent="0.3">
      <c r="A3090" s="20"/>
    </row>
    <row r="3091" spans="1:1" x14ac:dyDescent="0.3">
      <c r="A3091" s="20"/>
    </row>
    <row r="3092" spans="1:1" x14ac:dyDescent="0.3">
      <c r="A3092" s="20"/>
    </row>
    <row r="3093" spans="1:1" x14ac:dyDescent="0.3">
      <c r="A3093" s="20"/>
    </row>
    <row r="3094" spans="1:1" x14ac:dyDescent="0.3">
      <c r="A3094" s="20"/>
    </row>
    <row r="3095" spans="1:1" x14ac:dyDescent="0.3">
      <c r="A3095" s="20"/>
    </row>
    <row r="3096" spans="1:1" x14ac:dyDescent="0.3">
      <c r="A3096" s="20"/>
    </row>
    <row r="3097" spans="1:1" x14ac:dyDescent="0.3">
      <c r="A3097" s="20"/>
    </row>
    <row r="3098" spans="1:1" x14ac:dyDescent="0.3">
      <c r="A3098" s="20"/>
    </row>
    <row r="3099" spans="1:1" x14ac:dyDescent="0.3">
      <c r="A3099" s="20"/>
    </row>
    <row r="3100" spans="1:1" x14ac:dyDescent="0.3">
      <c r="A3100" s="20"/>
    </row>
    <row r="3101" spans="1:1" x14ac:dyDescent="0.3">
      <c r="A3101" s="20"/>
    </row>
    <row r="3102" spans="1:1" x14ac:dyDescent="0.3">
      <c r="A3102" s="20"/>
    </row>
    <row r="3103" spans="1:1" x14ac:dyDescent="0.3">
      <c r="A3103" s="20"/>
    </row>
    <row r="3104" spans="1:1" x14ac:dyDescent="0.3">
      <c r="A3104" s="20"/>
    </row>
    <row r="3105" spans="1:1" x14ac:dyDescent="0.3">
      <c r="A3105" s="20"/>
    </row>
    <row r="3106" spans="1:1" x14ac:dyDescent="0.3">
      <c r="A3106" s="20"/>
    </row>
    <row r="3107" spans="1:1" x14ac:dyDescent="0.3">
      <c r="A3107" s="20"/>
    </row>
    <row r="3108" spans="1:1" x14ac:dyDescent="0.3">
      <c r="A3108" s="20"/>
    </row>
    <row r="3109" spans="1:1" x14ac:dyDescent="0.3">
      <c r="A3109" s="20"/>
    </row>
    <row r="3110" spans="1:1" x14ac:dyDescent="0.3">
      <c r="A3110" s="20"/>
    </row>
    <row r="3111" spans="1:1" x14ac:dyDescent="0.3">
      <c r="A3111" s="20"/>
    </row>
    <row r="3112" spans="1:1" x14ac:dyDescent="0.3">
      <c r="A3112" s="20"/>
    </row>
    <row r="3113" spans="1:1" x14ac:dyDescent="0.3">
      <c r="A3113" s="20"/>
    </row>
    <row r="3114" spans="1:1" x14ac:dyDescent="0.3">
      <c r="A3114" s="20"/>
    </row>
    <row r="3115" spans="1:1" x14ac:dyDescent="0.3">
      <c r="A3115" s="20"/>
    </row>
    <row r="3116" spans="1:1" x14ac:dyDescent="0.3">
      <c r="A3116" s="20"/>
    </row>
    <row r="3117" spans="1:1" x14ac:dyDescent="0.3">
      <c r="A3117" s="20"/>
    </row>
    <row r="3118" spans="1:1" x14ac:dyDescent="0.3">
      <c r="A3118" s="20"/>
    </row>
    <row r="3119" spans="1:1" x14ac:dyDescent="0.3">
      <c r="A3119" s="20"/>
    </row>
    <row r="3120" spans="1:1" x14ac:dyDescent="0.3">
      <c r="A3120" s="20"/>
    </row>
    <row r="3121" spans="1:1" x14ac:dyDescent="0.3">
      <c r="A3121" s="20"/>
    </row>
    <row r="3122" spans="1:1" x14ac:dyDescent="0.3">
      <c r="A3122" s="20"/>
    </row>
    <row r="3123" spans="1:1" x14ac:dyDescent="0.3">
      <c r="A3123" s="20"/>
    </row>
    <row r="3124" spans="1:1" x14ac:dyDescent="0.3">
      <c r="A3124" s="20"/>
    </row>
    <row r="3125" spans="1:1" x14ac:dyDescent="0.3">
      <c r="A3125" s="20"/>
    </row>
    <row r="3126" spans="1:1" x14ac:dyDescent="0.3">
      <c r="A3126" s="20"/>
    </row>
    <row r="3127" spans="1:1" x14ac:dyDescent="0.3">
      <c r="A3127" s="20"/>
    </row>
    <row r="3128" spans="1:1" x14ac:dyDescent="0.3">
      <c r="A3128" s="20"/>
    </row>
    <row r="3129" spans="1:1" x14ac:dyDescent="0.3">
      <c r="A3129" s="20"/>
    </row>
    <row r="3130" spans="1:1" x14ac:dyDescent="0.3">
      <c r="A3130" s="20"/>
    </row>
    <row r="3131" spans="1:1" x14ac:dyDescent="0.3">
      <c r="A3131" s="20"/>
    </row>
    <row r="3132" spans="1:1" x14ac:dyDescent="0.3">
      <c r="A3132" s="20"/>
    </row>
    <row r="3133" spans="1:1" x14ac:dyDescent="0.3">
      <c r="A3133" s="20"/>
    </row>
    <row r="3134" spans="1:1" x14ac:dyDescent="0.3">
      <c r="A3134" s="20"/>
    </row>
    <row r="3135" spans="1:1" x14ac:dyDescent="0.3">
      <c r="A3135" s="20"/>
    </row>
    <row r="3136" spans="1:1" x14ac:dyDescent="0.3">
      <c r="A3136" s="20"/>
    </row>
    <row r="3137" spans="1:1" x14ac:dyDescent="0.3">
      <c r="A3137" s="20"/>
    </row>
    <row r="3138" spans="1:1" x14ac:dyDescent="0.3">
      <c r="A3138" s="20"/>
    </row>
    <row r="3139" spans="1:1" x14ac:dyDescent="0.3">
      <c r="A3139" s="20"/>
    </row>
    <row r="3140" spans="1:1" x14ac:dyDescent="0.3">
      <c r="A3140" s="20"/>
    </row>
    <row r="3141" spans="1:1" x14ac:dyDescent="0.3">
      <c r="A3141" s="20"/>
    </row>
    <row r="3142" spans="1:1" x14ac:dyDescent="0.3">
      <c r="A3142" s="20"/>
    </row>
    <row r="3143" spans="1:1" x14ac:dyDescent="0.3">
      <c r="A3143" s="20"/>
    </row>
    <row r="3144" spans="1:1" x14ac:dyDescent="0.3">
      <c r="A3144" s="20"/>
    </row>
    <row r="3145" spans="1:1" x14ac:dyDescent="0.3">
      <c r="A3145" s="20"/>
    </row>
    <row r="3146" spans="1:1" x14ac:dyDescent="0.3">
      <c r="A3146" s="20"/>
    </row>
    <row r="3147" spans="1:1" x14ac:dyDescent="0.3">
      <c r="A3147" s="20"/>
    </row>
    <row r="3148" spans="1:1" x14ac:dyDescent="0.3">
      <c r="A3148" s="20"/>
    </row>
    <row r="3149" spans="1:1" x14ac:dyDescent="0.3">
      <c r="A3149" s="20"/>
    </row>
    <row r="3150" spans="1:1" x14ac:dyDescent="0.3">
      <c r="A3150" s="20"/>
    </row>
    <row r="3151" spans="1:1" x14ac:dyDescent="0.3">
      <c r="A3151" s="20"/>
    </row>
    <row r="3152" spans="1:1" x14ac:dyDescent="0.3">
      <c r="A3152" s="20"/>
    </row>
    <row r="3153" spans="1:1" x14ac:dyDescent="0.3">
      <c r="A3153" s="20"/>
    </row>
    <row r="3154" spans="1:1" x14ac:dyDescent="0.3">
      <c r="A3154" s="20"/>
    </row>
    <row r="3155" spans="1:1" x14ac:dyDescent="0.3">
      <c r="A3155" s="20"/>
    </row>
    <row r="3156" spans="1:1" x14ac:dyDescent="0.3">
      <c r="A3156" s="20"/>
    </row>
    <row r="3157" spans="1:1" x14ac:dyDescent="0.3">
      <c r="A3157" s="20"/>
    </row>
    <row r="3158" spans="1:1" x14ac:dyDescent="0.3">
      <c r="A3158" s="20"/>
    </row>
    <row r="3159" spans="1:1" x14ac:dyDescent="0.3">
      <c r="A3159" s="20"/>
    </row>
    <row r="3160" spans="1:1" x14ac:dyDescent="0.3">
      <c r="A3160" s="20"/>
    </row>
    <row r="3161" spans="1:1" x14ac:dyDescent="0.3">
      <c r="A3161" s="20"/>
    </row>
    <row r="3162" spans="1:1" x14ac:dyDescent="0.3">
      <c r="A3162" s="20"/>
    </row>
    <row r="3163" spans="1:1" x14ac:dyDescent="0.3">
      <c r="A3163" s="20"/>
    </row>
    <row r="3164" spans="1:1" x14ac:dyDescent="0.3">
      <c r="A3164" s="20"/>
    </row>
    <row r="3165" spans="1:1" x14ac:dyDescent="0.3">
      <c r="A3165" s="20"/>
    </row>
    <row r="3166" spans="1:1" x14ac:dyDescent="0.3">
      <c r="A3166" s="20"/>
    </row>
    <row r="3167" spans="1:1" x14ac:dyDescent="0.3">
      <c r="A3167" s="20"/>
    </row>
    <row r="3168" spans="1:1" x14ac:dyDescent="0.3">
      <c r="A3168" s="20"/>
    </row>
    <row r="3169" spans="1:1" x14ac:dyDescent="0.3">
      <c r="A3169" s="20"/>
    </row>
    <row r="3170" spans="1:1" x14ac:dyDescent="0.3">
      <c r="A3170" s="20"/>
    </row>
    <row r="3171" spans="1:1" x14ac:dyDescent="0.3">
      <c r="A3171" s="20"/>
    </row>
    <row r="3172" spans="1:1" x14ac:dyDescent="0.3">
      <c r="A3172" s="20"/>
    </row>
    <row r="3173" spans="1:1" x14ac:dyDescent="0.3">
      <c r="A3173" s="20"/>
    </row>
    <row r="3174" spans="1:1" x14ac:dyDescent="0.3">
      <c r="A3174" s="20"/>
    </row>
    <row r="3175" spans="1:1" x14ac:dyDescent="0.3">
      <c r="A3175" s="20"/>
    </row>
    <row r="3176" spans="1:1" x14ac:dyDescent="0.3">
      <c r="A3176" s="20"/>
    </row>
    <row r="3177" spans="1:1" x14ac:dyDescent="0.3">
      <c r="A3177" s="20"/>
    </row>
    <row r="3178" spans="1:1" x14ac:dyDescent="0.3">
      <c r="A3178" s="20"/>
    </row>
    <row r="3179" spans="1:1" x14ac:dyDescent="0.3">
      <c r="A3179" s="20"/>
    </row>
    <row r="3180" spans="1:1" x14ac:dyDescent="0.3">
      <c r="A3180" s="20"/>
    </row>
    <row r="3181" spans="1:1" x14ac:dyDescent="0.3">
      <c r="A3181" s="20"/>
    </row>
    <row r="3182" spans="1:1" x14ac:dyDescent="0.3">
      <c r="A3182" s="20"/>
    </row>
    <row r="3183" spans="1:1" x14ac:dyDescent="0.3">
      <c r="A3183" s="20"/>
    </row>
    <row r="3184" spans="1:1" x14ac:dyDescent="0.3">
      <c r="A3184" s="20"/>
    </row>
    <row r="3185" spans="1:1" x14ac:dyDescent="0.3">
      <c r="A3185" s="20"/>
    </row>
    <row r="3186" spans="1:1" x14ac:dyDescent="0.3">
      <c r="A3186" s="20"/>
    </row>
    <row r="3187" spans="1:1" x14ac:dyDescent="0.3">
      <c r="A3187" s="20"/>
    </row>
    <row r="3188" spans="1:1" x14ac:dyDescent="0.3">
      <c r="A3188" s="20"/>
    </row>
    <row r="3189" spans="1:1" x14ac:dyDescent="0.3">
      <c r="A3189" s="20"/>
    </row>
    <row r="3190" spans="1:1" x14ac:dyDescent="0.3">
      <c r="A3190" s="20"/>
    </row>
    <row r="3191" spans="1:1" x14ac:dyDescent="0.3">
      <c r="A3191" s="20"/>
    </row>
    <row r="3192" spans="1:1" x14ac:dyDescent="0.3">
      <c r="A3192" s="20"/>
    </row>
    <row r="3193" spans="1:1" x14ac:dyDescent="0.3">
      <c r="A3193" s="20"/>
    </row>
    <row r="3194" spans="1:1" x14ac:dyDescent="0.3">
      <c r="A3194" s="20"/>
    </row>
    <row r="3195" spans="1:1" x14ac:dyDescent="0.3">
      <c r="A3195" s="20"/>
    </row>
    <row r="3196" spans="1:1" x14ac:dyDescent="0.3">
      <c r="A3196" s="20"/>
    </row>
    <row r="3197" spans="1:1" x14ac:dyDescent="0.3">
      <c r="A3197" s="20"/>
    </row>
    <row r="3198" spans="1:1" x14ac:dyDescent="0.3">
      <c r="A3198" s="20"/>
    </row>
    <row r="3199" spans="1:1" x14ac:dyDescent="0.3">
      <c r="A3199" s="20"/>
    </row>
    <row r="3200" spans="1:1" x14ac:dyDescent="0.3">
      <c r="A3200" s="20"/>
    </row>
    <row r="3201" spans="1:1" x14ac:dyDescent="0.3">
      <c r="A3201" s="20"/>
    </row>
    <row r="3202" spans="1:1" x14ac:dyDescent="0.3">
      <c r="A3202" s="20"/>
    </row>
    <row r="3203" spans="1:1" x14ac:dyDescent="0.3">
      <c r="A3203" s="20"/>
    </row>
    <row r="3204" spans="1:1" x14ac:dyDescent="0.3">
      <c r="A3204" s="20"/>
    </row>
    <row r="3205" spans="1:1" x14ac:dyDescent="0.3">
      <c r="A3205" s="20"/>
    </row>
    <row r="3206" spans="1:1" x14ac:dyDescent="0.3">
      <c r="A3206" s="20"/>
    </row>
    <row r="3207" spans="1:1" x14ac:dyDescent="0.3">
      <c r="A3207" s="20"/>
    </row>
    <row r="3208" spans="1:1" x14ac:dyDescent="0.3">
      <c r="A3208" s="20"/>
    </row>
    <row r="3209" spans="1:1" x14ac:dyDescent="0.3">
      <c r="A3209" s="20"/>
    </row>
    <row r="3210" spans="1:1" x14ac:dyDescent="0.3">
      <c r="A3210" s="20"/>
    </row>
    <row r="3211" spans="1:1" x14ac:dyDescent="0.3">
      <c r="A3211" s="20"/>
    </row>
    <row r="3212" spans="1:1" x14ac:dyDescent="0.3">
      <c r="A3212" s="20"/>
    </row>
    <row r="3213" spans="1:1" x14ac:dyDescent="0.3">
      <c r="A3213" s="20"/>
    </row>
    <row r="3214" spans="1:1" x14ac:dyDescent="0.3">
      <c r="A3214" s="20"/>
    </row>
    <row r="3215" spans="1:1" x14ac:dyDescent="0.3">
      <c r="A3215" s="20"/>
    </row>
    <row r="3216" spans="1:1" x14ac:dyDescent="0.3">
      <c r="A3216" s="20"/>
    </row>
    <row r="3217" spans="1:1" x14ac:dyDescent="0.3">
      <c r="A3217" s="20"/>
    </row>
    <row r="3218" spans="1:1" x14ac:dyDescent="0.3">
      <c r="A3218" s="20"/>
    </row>
    <row r="3219" spans="1:1" x14ac:dyDescent="0.3">
      <c r="A3219" s="20"/>
    </row>
    <row r="3220" spans="1:1" x14ac:dyDescent="0.3">
      <c r="A3220" s="20"/>
    </row>
    <row r="3221" spans="1:1" x14ac:dyDescent="0.3">
      <c r="A3221" s="20"/>
    </row>
    <row r="3222" spans="1:1" x14ac:dyDescent="0.3">
      <c r="A3222" s="20"/>
    </row>
    <row r="3223" spans="1:1" x14ac:dyDescent="0.3">
      <c r="A3223" s="20"/>
    </row>
    <row r="3224" spans="1:1" x14ac:dyDescent="0.3">
      <c r="A3224" s="20"/>
    </row>
    <row r="3225" spans="1:1" x14ac:dyDescent="0.3">
      <c r="A3225" s="20"/>
    </row>
    <row r="3226" spans="1:1" x14ac:dyDescent="0.3">
      <c r="A3226" s="20"/>
    </row>
    <row r="3227" spans="1:1" x14ac:dyDescent="0.3">
      <c r="A3227" s="20"/>
    </row>
    <row r="3228" spans="1:1" x14ac:dyDescent="0.3">
      <c r="A3228" s="20"/>
    </row>
    <row r="3229" spans="1:1" x14ac:dyDescent="0.3">
      <c r="A3229" s="20"/>
    </row>
    <row r="3230" spans="1:1" x14ac:dyDescent="0.3">
      <c r="A3230" s="20"/>
    </row>
    <row r="3231" spans="1:1" x14ac:dyDescent="0.3">
      <c r="A3231" s="20"/>
    </row>
    <row r="3232" spans="1:1" x14ac:dyDescent="0.3">
      <c r="A3232" s="20"/>
    </row>
    <row r="3233" spans="1:1" x14ac:dyDescent="0.3">
      <c r="A3233" s="20"/>
    </row>
    <row r="3234" spans="1:1" x14ac:dyDescent="0.3">
      <c r="A3234" s="20"/>
    </row>
    <row r="3235" spans="1:1" x14ac:dyDescent="0.3">
      <c r="A3235" s="20"/>
    </row>
    <row r="3236" spans="1:1" x14ac:dyDescent="0.3">
      <c r="A3236" s="20"/>
    </row>
    <row r="3237" spans="1:1" x14ac:dyDescent="0.3">
      <c r="A3237" s="20"/>
    </row>
    <row r="3238" spans="1:1" x14ac:dyDescent="0.3">
      <c r="A3238" s="20"/>
    </row>
    <row r="3239" spans="1:1" x14ac:dyDescent="0.3">
      <c r="A3239" s="20"/>
    </row>
    <row r="3240" spans="1:1" x14ac:dyDescent="0.3">
      <c r="A3240" s="20"/>
    </row>
    <row r="3241" spans="1:1" x14ac:dyDescent="0.3">
      <c r="A3241" s="20"/>
    </row>
    <row r="3242" spans="1:1" x14ac:dyDescent="0.3">
      <c r="A3242" s="20"/>
    </row>
    <row r="3243" spans="1:1" x14ac:dyDescent="0.3">
      <c r="A3243" s="20"/>
    </row>
    <row r="3244" spans="1:1" x14ac:dyDescent="0.3">
      <c r="A3244" s="20"/>
    </row>
    <row r="3245" spans="1:1" x14ac:dyDescent="0.3">
      <c r="A3245" s="20"/>
    </row>
    <row r="3246" spans="1:1" x14ac:dyDescent="0.3">
      <c r="A3246" s="20"/>
    </row>
    <row r="3247" spans="1:1" x14ac:dyDescent="0.3">
      <c r="A3247" s="20"/>
    </row>
    <row r="3248" spans="1:1" x14ac:dyDescent="0.3">
      <c r="A3248" s="20"/>
    </row>
    <row r="3249" spans="1:1" x14ac:dyDescent="0.3">
      <c r="A3249" s="20"/>
    </row>
    <row r="3250" spans="1:1" x14ac:dyDescent="0.3">
      <c r="A3250" s="20"/>
    </row>
    <row r="3251" spans="1:1" x14ac:dyDescent="0.3">
      <c r="A3251" s="20"/>
    </row>
    <row r="3252" spans="1:1" x14ac:dyDescent="0.3">
      <c r="A3252" s="20"/>
    </row>
    <row r="3253" spans="1:1" x14ac:dyDescent="0.3">
      <c r="A3253" s="20"/>
    </row>
    <row r="3254" spans="1:1" x14ac:dyDescent="0.3">
      <c r="A3254" s="20"/>
    </row>
    <row r="3255" spans="1:1" x14ac:dyDescent="0.3">
      <c r="A3255" s="20"/>
    </row>
    <row r="3256" spans="1:1" x14ac:dyDescent="0.3">
      <c r="A3256" s="20"/>
    </row>
    <row r="3257" spans="1:1" x14ac:dyDescent="0.3">
      <c r="A3257" s="20"/>
    </row>
    <row r="3258" spans="1:1" x14ac:dyDescent="0.3">
      <c r="A3258" s="20"/>
    </row>
    <row r="3259" spans="1:1" x14ac:dyDescent="0.3">
      <c r="A3259" s="20"/>
    </row>
    <row r="3260" spans="1:1" x14ac:dyDescent="0.3">
      <c r="A3260" s="20"/>
    </row>
    <row r="3261" spans="1:1" x14ac:dyDescent="0.3">
      <c r="A3261" s="20"/>
    </row>
    <row r="3262" spans="1:1" x14ac:dyDescent="0.3">
      <c r="A3262" s="20"/>
    </row>
    <row r="3263" spans="1:1" x14ac:dyDescent="0.3">
      <c r="A3263" s="20"/>
    </row>
    <row r="3264" spans="1:1" x14ac:dyDescent="0.3">
      <c r="A3264" s="20"/>
    </row>
    <row r="3265" spans="1:1" x14ac:dyDescent="0.3">
      <c r="A3265" s="20"/>
    </row>
    <row r="3266" spans="1:1" x14ac:dyDescent="0.3">
      <c r="A3266" s="20"/>
    </row>
    <row r="3267" spans="1:1" x14ac:dyDescent="0.3">
      <c r="A3267" s="20"/>
    </row>
    <row r="3268" spans="1:1" x14ac:dyDescent="0.3">
      <c r="A3268" s="20"/>
    </row>
    <row r="3269" spans="1:1" x14ac:dyDescent="0.3">
      <c r="A3269" s="20"/>
    </row>
    <row r="3270" spans="1:1" x14ac:dyDescent="0.3">
      <c r="A3270" s="20"/>
    </row>
    <row r="3271" spans="1:1" x14ac:dyDescent="0.3">
      <c r="A3271" s="20"/>
    </row>
    <row r="3272" spans="1:1" x14ac:dyDescent="0.3">
      <c r="A3272" s="20"/>
    </row>
    <row r="3273" spans="1:1" x14ac:dyDescent="0.3">
      <c r="A3273" s="20"/>
    </row>
    <row r="3274" spans="1:1" x14ac:dyDescent="0.3">
      <c r="A3274" s="20"/>
    </row>
    <row r="3275" spans="1:1" x14ac:dyDescent="0.3">
      <c r="A3275" s="20"/>
    </row>
    <row r="3276" spans="1:1" x14ac:dyDescent="0.3">
      <c r="A3276" s="20"/>
    </row>
    <row r="3277" spans="1:1" x14ac:dyDescent="0.3">
      <c r="A3277" s="20"/>
    </row>
    <row r="3278" spans="1:1" x14ac:dyDescent="0.3">
      <c r="A3278" s="20"/>
    </row>
    <row r="3279" spans="1:1" x14ac:dyDescent="0.3">
      <c r="A3279" s="20"/>
    </row>
    <row r="3280" spans="1:1" x14ac:dyDescent="0.3">
      <c r="A3280" s="20"/>
    </row>
    <row r="3281" spans="1:1" x14ac:dyDescent="0.3">
      <c r="A3281" s="20"/>
    </row>
    <row r="3282" spans="1:1" x14ac:dyDescent="0.3">
      <c r="A3282" s="20"/>
    </row>
    <row r="3283" spans="1:1" x14ac:dyDescent="0.3">
      <c r="A3283" s="20"/>
    </row>
    <row r="3284" spans="1:1" x14ac:dyDescent="0.3">
      <c r="A3284" s="20"/>
    </row>
    <row r="3285" spans="1:1" x14ac:dyDescent="0.3">
      <c r="A3285" s="20"/>
    </row>
    <row r="3286" spans="1:1" x14ac:dyDescent="0.3">
      <c r="A3286" s="20"/>
    </row>
    <row r="3287" spans="1:1" x14ac:dyDescent="0.3">
      <c r="A3287" s="20"/>
    </row>
    <row r="3288" spans="1:1" x14ac:dyDescent="0.3">
      <c r="A3288" s="20"/>
    </row>
    <row r="3289" spans="1:1" x14ac:dyDescent="0.3">
      <c r="A3289" s="20"/>
    </row>
    <row r="3290" spans="1:1" x14ac:dyDescent="0.3">
      <c r="A3290" s="20"/>
    </row>
    <row r="3291" spans="1:1" x14ac:dyDescent="0.3">
      <c r="A3291" s="20"/>
    </row>
    <row r="3292" spans="1:1" x14ac:dyDescent="0.3">
      <c r="A3292" s="20"/>
    </row>
    <row r="3293" spans="1:1" x14ac:dyDescent="0.3">
      <c r="A3293" s="20"/>
    </row>
    <row r="3294" spans="1:1" x14ac:dyDescent="0.3">
      <c r="A3294" s="20"/>
    </row>
    <row r="3295" spans="1:1" x14ac:dyDescent="0.3">
      <c r="A3295" s="20"/>
    </row>
    <row r="3296" spans="1:1" x14ac:dyDescent="0.3">
      <c r="A3296" s="20"/>
    </row>
    <row r="3297" spans="1:1" x14ac:dyDescent="0.3">
      <c r="A3297" s="20"/>
    </row>
    <row r="3298" spans="1:1" x14ac:dyDescent="0.3">
      <c r="A3298" s="20"/>
    </row>
    <row r="3299" spans="1:1" x14ac:dyDescent="0.3">
      <c r="A3299" s="20"/>
    </row>
    <row r="3300" spans="1:1" x14ac:dyDescent="0.3">
      <c r="A3300" s="20"/>
    </row>
    <row r="3301" spans="1:1" x14ac:dyDescent="0.3">
      <c r="A3301" s="20"/>
    </row>
    <row r="3302" spans="1:1" x14ac:dyDescent="0.3">
      <c r="A3302" s="20"/>
    </row>
    <row r="3303" spans="1:1" x14ac:dyDescent="0.3">
      <c r="A3303" s="20"/>
    </row>
    <row r="3304" spans="1:1" x14ac:dyDescent="0.3">
      <c r="A3304" s="20"/>
    </row>
    <row r="3305" spans="1:1" x14ac:dyDescent="0.3">
      <c r="A3305" s="20"/>
    </row>
    <row r="3306" spans="1:1" x14ac:dyDescent="0.3">
      <c r="A3306" s="20"/>
    </row>
    <row r="3307" spans="1:1" x14ac:dyDescent="0.3">
      <c r="A3307" s="20"/>
    </row>
    <row r="3308" spans="1:1" x14ac:dyDescent="0.3">
      <c r="A3308" s="20"/>
    </row>
    <row r="3309" spans="1:1" x14ac:dyDescent="0.3">
      <c r="A3309" s="20"/>
    </row>
    <row r="3310" spans="1:1" x14ac:dyDescent="0.3">
      <c r="A3310" s="20"/>
    </row>
    <row r="3311" spans="1:1" x14ac:dyDescent="0.3">
      <c r="A3311" s="20"/>
    </row>
    <row r="3312" spans="1:1" x14ac:dyDescent="0.3">
      <c r="A3312" s="20"/>
    </row>
    <row r="3313" spans="1:1" x14ac:dyDescent="0.3">
      <c r="A3313" s="20"/>
    </row>
    <row r="3314" spans="1:1" x14ac:dyDescent="0.3">
      <c r="A3314" s="20"/>
    </row>
    <row r="3315" spans="1:1" x14ac:dyDescent="0.3">
      <c r="A3315" s="20"/>
    </row>
    <row r="3316" spans="1:1" x14ac:dyDescent="0.3">
      <c r="A3316" s="20"/>
    </row>
    <row r="3317" spans="1:1" x14ac:dyDescent="0.3">
      <c r="A3317" s="20"/>
    </row>
    <row r="3318" spans="1:1" x14ac:dyDescent="0.3">
      <c r="A3318" s="20"/>
    </row>
    <row r="3319" spans="1:1" x14ac:dyDescent="0.3">
      <c r="A3319" s="20"/>
    </row>
    <row r="3320" spans="1:1" x14ac:dyDescent="0.3">
      <c r="A3320" s="20"/>
    </row>
    <row r="3321" spans="1:1" x14ac:dyDescent="0.3">
      <c r="A3321" s="20"/>
    </row>
    <row r="3322" spans="1:1" x14ac:dyDescent="0.3">
      <c r="A3322" s="20"/>
    </row>
    <row r="3323" spans="1:1" x14ac:dyDescent="0.3">
      <c r="A3323" s="20"/>
    </row>
    <row r="3324" spans="1:1" x14ac:dyDescent="0.3">
      <c r="A3324" s="20"/>
    </row>
    <row r="3325" spans="1:1" x14ac:dyDescent="0.3">
      <c r="A3325" s="20"/>
    </row>
    <row r="3326" spans="1:1" x14ac:dyDescent="0.3">
      <c r="A3326" s="20"/>
    </row>
    <row r="3327" spans="1:1" x14ac:dyDescent="0.3">
      <c r="A3327" s="20"/>
    </row>
    <row r="3328" spans="1:1" x14ac:dyDescent="0.3">
      <c r="A3328" s="20"/>
    </row>
    <row r="3329" spans="1:1" x14ac:dyDescent="0.3">
      <c r="A3329" s="20"/>
    </row>
    <row r="3330" spans="1:1" x14ac:dyDescent="0.3">
      <c r="A3330" s="20"/>
    </row>
    <row r="3331" spans="1:1" x14ac:dyDescent="0.3">
      <c r="A3331" s="20"/>
    </row>
    <row r="3332" spans="1:1" x14ac:dyDescent="0.3">
      <c r="A3332" s="20"/>
    </row>
    <row r="3333" spans="1:1" x14ac:dyDescent="0.3">
      <c r="A3333" s="20"/>
    </row>
    <row r="3334" spans="1:1" x14ac:dyDescent="0.3">
      <c r="A3334" s="20"/>
    </row>
    <row r="3335" spans="1:1" x14ac:dyDescent="0.3">
      <c r="A3335" s="20"/>
    </row>
    <row r="3336" spans="1:1" x14ac:dyDescent="0.3">
      <c r="A3336" s="20"/>
    </row>
    <row r="3337" spans="1:1" x14ac:dyDescent="0.3">
      <c r="A3337" s="20"/>
    </row>
    <row r="3338" spans="1:1" x14ac:dyDescent="0.3">
      <c r="A3338" s="20"/>
    </row>
    <row r="3339" spans="1:1" x14ac:dyDescent="0.3">
      <c r="A3339" s="20"/>
    </row>
    <row r="3340" spans="1:1" x14ac:dyDescent="0.3">
      <c r="A3340" s="20"/>
    </row>
    <row r="3341" spans="1:1" x14ac:dyDescent="0.3">
      <c r="A3341" s="20"/>
    </row>
    <row r="3342" spans="1:1" x14ac:dyDescent="0.3">
      <c r="A3342" s="20"/>
    </row>
    <row r="3343" spans="1:1" x14ac:dyDescent="0.3">
      <c r="A3343" s="20"/>
    </row>
    <row r="3344" spans="1:1" x14ac:dyDescent="0.3">
      <c r="A3344" s="20"/>
    </row>
    <row r="3345" spans="1:1" x14ac:dyDescent="0.3">
      <c r="A3345" s="20"/>
    </row>
    <row r="3346" spans="1:1" x14ac:dyDescent="0.3">
      <c r="A3346" s="20"/>
    </row>
    <row r="3347" spans="1:1" x14ac:dyDescent="0.3">
      <c r="A3347" s="20"/>
    </row>
    <row r="3348" spans="1:1" x14ac:dyDescent="0.3">
      <c r="A3348" s="20"/>
    </row>
    <row r="3349" spans="1:1" x14ac:dyDescent="0.3">
      <c r="A3349" s="20"/>
    </row>
    <row r="3350" spans="1:1" x14ac:dyDescent="0.3">
      <c r="A3350" s="20"/>
    </row>
    <row r="3351" spans="1:1" x14ac:dyDescent="0.3">
      <c r="A3351" s="20"/>
    </row>
    <row r="3352" spans="1:1" x14ac:dyDescent="0.3">
      <c r="A3352" s="20"/>
    </row>
    <row r="3353" spans="1:1" x14ac:dyDescent="0.3">
      <c r="A3353" s="20"/>
    </row>
    <row r="3354" spans="1:1" x14ac:dyDescent="0.3">
      <c r="A3354" s="20"/>
    </row>
    <row r="3355" spans="1:1" x14ac:dyDescent="0.3">
      <c r="A3355" s="20"/>
    </row>
    <row r="3356" spans="1:1" x14ac:dyDescent="0.3">
      <c r="A3356" s="20"/>
    </row>
    <row r="3357" spans="1:1" x14ac:dyDescent="0.3">
      <c r="A3357" s="20"/>
    </row>
    <row r="3358" spans="1:1" x14ac:dyDescent="0.3">
      <c r="A3358" s="20"/>
    </row>
    <row r="3359" spans="1:1" x14ac:dyDescent="0.3">
      <c r="A3359" s="20"/>
    </row>
    <row r="3360" spans="1:1" x14ac:dyDescent="0.3">
      <c r="A3360" s="20"/>
    </row>
    <row r="3361" spans="1:1" x14ac:dyDescent="0.3">
      <c r="A3361" s="20"/>
    </row>
    <row r="3362" spans="1:1" x14ac:dyDescent="0.3">
      <c r="A3362" s="20"/>
    </row>
    <row r="3363" spans="1:1" x14ac:dyDescent="0.3">
      <c r="A3363" s="20"/>
    </row>
    <row r="3364" spans="1:1" x14ac:dyDescent="0.3">
      <c r="A3364" s="20"/>
    </row>
    <row r="3365" spans="1:1" x14ac:dyDescent="0.3">
      <c r="A3365" s="20"/>
    </row>
    <row r="3366" spans="1:1" x14ac:dyDescent="0.3">
      <c r="A3366" s="20"/>
    </row>
    <row r="3367" spans="1:1" x14ac:dyDescent="0.3">
      <c r="A3367" s="20"/>
    </row>
    <row r="3368" spans="1:1" x14ac:dyDescent="0.3">
      <c r="A3368" s="20"/>
    </row>
    <row r="3369" spans="1:1" x14ac:dyDescent="0.3">
      <c r="A3369" s="20"/>
    </row>
    <row r="3370" spans="1:1" x14ac:dyDescent="0.3">
      <c r="A3370" s="20"/>
    </row>
    <row r="3371" spans="1:1" x14ac:dyDescent="0.3">
      <c r="A3371" s="20"/>
    </row>
    <row r="3372" spans="1:1" x14ac:dyDescent="0.3">
      <c r="A3372" s="20"/>
    </row>
    <row r="3373" spans="1:1" x14ac:dyDescent="0.3">
      <c r="A3373" s="20"/>
    </row>
    <row r="3374" spans="1:1" x14ac:dyDescent="0.3">
      <c r="A3374" s="20"/>
    </row>
    <row r="3375" spans="1:1" x14ac:dyDescent="0.3">
      <c r="A3375" s="20"/>
    </row>
    <row r="3376" spans="1:1" x14ac:dyDescent="0.3">
      <c r="A3376" s="20"/>
    </row>
    <row r="3377" spans="1:1" x14ac:dyDescent="0.3">
      <c r="A3377" s="20"/>
    </row>
    <row r="3378" spans="1:1" x14ac:dyDescent="0.3">
      <c r="A3378" s="20"/>
    </row>
    <row r="3379" spans="1:1" x14ac:dyDescent="0.3">
      <c r="A3379" s="20"/>
    </row>
    <row r="3380" spans="1:1" x14ac:dyDescent="0.3">
      <c r="A3380" s="20"/>
    </row>
    <row r="3381" spans="1:1" x14ac:dyDescent="0.3">
      <c r="A3381" s="20"/>
    </row>
    <row r="3382" spans="1:1" x14ac:dyDescent="0.3">
      <c r="A3382" s="20"/>
    </row>
    <row r="3383" spans="1:1" x14ac:dyDescent="0.3">
      <c r="A3383" s="20"/>
    </row>
    <row r="3384" spans="1:1" x14ac:dyDescent="0.3">
      <c r="A3384" s="20"/>
    </row>
    <row r="3385" spans="1:1" x14ac:dyDescent="0.3">
      <c r="A3385" s="20"/>
    </row>
    <row r="3386" spans="1:1" x14ac:dyDescent="0.3">
      <c r="A3386" s="20"/>
    </row>
    <row r="3387" spans="1:1" x14ac:dyDescent="0.3">
      <c r="A3387" s="20"/>
    </row>
    <row r="3388" spans="1:1" x14ac:dyDescent="0.3">
      <c r="A3388" s="20"/>
    </row>
    <row r="3389" spans="1:1" x14ac:dyDescent="0.3">
      <c r="A3389" s="20"/>
    </row>
    <row r="3390" spans="1:1" x14ac:dyDescent="0.3">
      <c r="A3390" s="20"/>
    </row>
    <row r="3391" spans="1:1" x14ac:dyDescent="0.3">
      <c r="A3391" s="20"/>
    </row>
    <row r="3392" spans="1:1" x14ac:dyDescent="0.3">
      <c r="A3392" s="20"/>
    </row>
    <row r="3393" spans="1:1" x14ac:dyDescent="0.3">
      <c r="A3393" s="20"/>
    </row>
    <row r="3394" spans="1:1" x14ac:dyDescent="0.3">
      <c r="A3394" s="20"/>
    </row>
    <row r="3395" spans="1:1" x14ac:dyDescent="0.3">
      <c r="A3395" s="20"/>
    </row>
    <row r="3396" spans="1:1" x14ac:dyDescent="0.3">
      <c r="A3396" s="20"/>
    </row>
    <row r="3397" spans="1:1" x14ac:dyDescent="0.3">
      <c r="A3397" s="20"/>
    </row>
    <row r="3398" spans="1:1" x14ac:dyDescent="0.3">
      <c r="A3398" s="20"/>
    </row>
    <row r="3399" spans="1:1" x14ac:dyDescent="0.3">
      <c r="A3399" s="20"/>
    </row>
    <row r="3400" spans="1:1" x14ac:dyDescent="0.3">
      <c r="A3400" s="20"/>
    </row>
    <row r="3401" spans="1:1" x14ac:dyDescent="0.3">
      <c r="A3401" s="20"/>
    </row>
    <row r="3402" spans="1:1" x14ac:dyDescent="0.3">
      <c r="A3402" s="20"/>
    </row>
    <row r="3403" spans="1:1" x14ac:dyDescent="0.3">
      <c r="A3403" s="20"/>
    </row>
    <row r="3404" spans="1:1" x14ac:dyDescent="0.3">
      <c r="A3404" s="20"/>
    </row>
    <row r="3405" spans="1:1" x14ac:dyDescent="0.3">
      <c r="A3405" s="20"/>
    </row>
    <row r="3406" spans="1:1" x14ac:dyDescent="0.3">
      <c r="A3406" s="20"/>
    </row>
    <row r="3407" spans="1:1" x14ac:dyDescent="0.3">
      <c r="A3407" s="20"/>
    </row>
    <row r="3408" spans="1:1" x14ac:dyDescent="0.3">
      <c r="A3408" s="20"/>
    </row>
    <row r="3409" spans="1:1" x14ac:dyDescent="0.3">
      <c r="A3409" s="20"/>
    </row>
    <row r="3410" spans="1:1" x14ac:dyDescent="0.3">
      <c r="A3410" s="20"/>
    </row>
    <row r="3411" spans="1:1" x14ac:dyDescent="0.3">
      <c r="A3411" s="20"/>
    </row>
    <row r="3412" spans="1:1" x14ac:dyDescent="0.3">
      <c r="A3412" s="20"/>
    </row>
    <row r="3413" spans="1:1" x14ac:dyDescent="0.3">
      <c r="A3413" s="20"/>
    </row>
    <row r="3414" spans="1:1" x14ac:dyDescent="0.3">
      <c r="A3414" s="20"/>
    </row>
    <row r="3415" spans="1:1" x14ac:dyDescent="0.3">
      <c r="A3415" s="20"/>
    </row>
    <row r="3416" spans="1:1" x14ac:dyDescent="0.3">
      <c r="A3416" s="20"/>
    </row>
    <row r="3417" spans="1:1" x14ac:dyDescent="0.3">
      <c r="A3417" s="20"/>
    </row>
    <row r="3418" spans="1:1" x14ac:dyDescent="0.3">
      <c r="A3418" s="20"/>
    </row>
    <row r="3419" spans="1:1" x14ac:dyDescent="0.3">
      <c r="A3419" s="20"/>
    </row>
    <row r="3420" spans="1:1" x14ac:dyDescent="0.3">
      <c r="A3420" s="20"/>
    </row>
    <row r="3421" spans="1:1" x14ac:dyDescent="0.3">
      <c r="A3421" s="20"/>
    </row>
    <row r="3422" spans="1:1" x14ac:dyDescent="0.3">
      <c r="A3422" s="20"/>
    </row>
    <row r="3423" spans="1:1" x14ac:dyDescent="0.3">
      <c r="A3423" s="20"/>
    </row>
    <row r="3424" spans="1:1" x14ac:dyDescent="0.3">
      <c r="A3424" s="20"/>
    </row>
    <row r="3425" spans="1:1" x14ac:dyDescent="0.3">
      <c r="A3425" s="20"/>
    </row>
    <row r="3426" spans="1:1" x14ac:dyDescent="0.3">
      <c r="A3426" s="20"/>
    </row>
    <row r="3427" spans="1:1" x14ac:dyDescent="0.3">
      <c r="A3427" s="20"/>
    </row>
    <row r="3428" spans="1:1" x14ac:dyDescent="0.3">
      <c r="A3428" s="20"/>
    </row>
    <row r="3429" spans="1:1" x14ac:dyDescent="0.3">
      <c r="A3429" s="20"/>
    </row>
    <row r="3430" spans="1:1" x14ac:dyDescent="0.3">
      <c r="A3430" s="20"/>
    </row>
    <row r="3431" spans="1:1" x14ac:dyDescent="0.3">
      <c r="A3431" s="20"/>
    </row>
    <row r="3432" spans="1:1" x14ac:dyDescent="0.3">
      <c r="A3432" s="20"/>
    </row>
    <row r="3433" spans="1:1" x14ac:dyDescent="0.3">
      <c r="A3433" s="20"/>
    </row>
    <row r="3434" spans="1:1" x14ac:dyDescent="0.3">
      <c r="A3434" s="20"/>
    </row>
    <row r="3435" spans="1:1" x14ac:dyDescent="0.3">
      <c r="A3435" s="20"/>
    </row>
    <row r="3436" spans="1:1" x14ac:dyDescent="0.3">
      <c r="A3436" s="20"/>
    </row>
    <row r="3437" spans="1:1" x14ac:dyDescent="0.3">
      <c r="A3437" s="20"/>
    </row>
    <row r="3438" spans="1:1" x14ac:dyDescent="0.3">
      <c r="A3438" s="20"/>
    </row>
    <row r="3439" spans="1:1" x14ac:dyDescent="0.3">
      <c r="A3439" s="20"/>
    </row>
    <row r="3440" spans="1:1" x14ac:dyDescent="0.3">
      <c r="A3440" s="20"/>
    </row>
    <row r="3441" spans="1:1" x14ac:dyDescent="0.3">
      <c r="A3441" s="20"/>
    </row>
    <row r="3442" spans="1:1" x14ac:dyDescent="0.3">
      <c r="A3442" s="20"/>
    </row>
    <row r="3443" spans="1:1" x14ac:dyDescent="0.3">
      <c r="A3443" s="20"/>
    </row>
    <row r="3444" spans="1:1" x14ac:dyDescent="0.3">
      <c r="A3444" s="20"/>
    </row>
    <row r="3445" spans="1:1" x14ac:dyDescent="0.3">
      <c r="A3445" s="20"/>
    </row>
    <row r="3446" spans="1:1" x14ac:dyDescent="0.3">
      <c r="A3446" s="20"/>
    </row>
    <row r="3447" spans="1:1" x14ac:dyDescent="0.3">
      <c r="A3447" s="20"/>
    </row>
    <row r="3448" spans="1:1" x14ac:dyDescent="0.3">
      <c r="A3448" s="20"/>
    </row>
    <row r="3449" spans="1:1" x14ac:dyDescent="0.3">
      <c r="A3449" s="20"/>
    </row>
    <row r="3450" spans="1:1" x14ac:dyDescent="0.3">
      <c r="A3450" s="20"/>
    </row>
    <row r="3451" spans="1:1" x14ac:dyDescent="0.3">
      <c r="A3451" s="20"/>
    </row>
    <row r="3452" spans="1:1" x14ac:dyDescent="0.3">
      <c r="A3452" s="20"/>
    </row>
    <row r="3453" spans="1:1" x14ac:dyDescent="0.3">
      <c r="A3453" s="20"/>
    </row>
    <row r="3454" spans="1:1" x14ac:dyDescent="0.3">
      <c r="A3454" s="20"/>
    </row>
    <row r="3455" spans="1:1" x14ac:dyDescent="0.3">
      <c r="A3455" s="20"/>
    </row>
    <row r="3456" spans="1:1" x14ac:dyDescent="0.3">
      <c r="A3456" s="20"/>
    </row>
    <row r="3457" spans="1:1" x14ac:dyDescent="0.3">
      <c r="A3457" s="20"/>
    </row>
    <row r="3458" spans="1:1" x14ac:dyDescent="0.3">
      <c r="A3458" s="20"/>
    </row>
    <row r="3459" spans="1:1" x14ac:dyDescent="0.3">
      <c r="A3459" s="20"/>
    </row>
    <row r="3460" spans="1:1" x14ac:dyDescent="0.3">
      <c r="A3460" s="20"/>
    </row>
    <row r="3461" spans="1:1" x14ac:dyDescent="0.3">
      <c r="A3461" s="20"/>
    </row>
    <row r="3462" spans="1:1" x14ac:dyDescent="0.3">
      <c r="A3462" s="20"/>
    </row>
    <row r="3463" spans="1:1" x14ac:dyDescent="0.3">
      <c r="A3463" s="20"/>
    </row>
    <row r="3464" spans="1:1" x14ac:dyDescent="0.3">
      <c r="A3464" s="20"/>
    </row>
    <row r="3465" spans="1:1" x14ac:dyDescent="0.3">
      <c r="A3465" s="20"/>
    </row>
    <row r="3466" spans="1:1" x14ac:dyDescent="0.3">
      <c r="A3466" s="20"/>
    </row>
    <row r="3467" spans="1:1" x14ac:dyDescent="0.3">
      <c r="A3467" s="20"/>
    </row>
    <row r="3468" spans="1:1" x14ac:dyDescent="0.3">
      <c r="A3468" s="20"/>
    </row>
    <row r="3469" spans="1:1" x14ac:dyDescent="0.3">
      <c r="A3469" s="20"/>
    </row>
    <row r="3470" spans="1:1" x14ac:dyDescent="0.3">
      <c r="A3470" s="20"/>
    </row>
    <row r="3471" spans="1:1" x14ac:dyDescent="0.3">
      <c r="A3471" s="20"/>
    </row>
    <row r="3472" spans="1:1" x14ac:dyDescent="0.3">
      <c r="A3472" s="20"/>
    </row>
    <row r="3473" spans="1:1" x14ac:dyDescent="0.3">
      <c r="A3473" s="20"/>
    </row>
    <row r="3474" spans="1:1" x14ac:dyDescent="0.3">
      <c r="A3474" s="20"/>
    </row>
    <row r="3475" spans="1:1" x14ac:dyDescent="0.3">
      <c r="A3475" s="20"/>
    </row>
    <row r="3476" spans="1:1" x14ac:dyDescent="0.3">
      <c r="A3476" s="20"/>
    </row>
    <row r="3477" spans="1:1" x14ac:dyDescent="0.3">
      <c r="A3477" s="20"/>
    </row>
    <row r="3478" spans="1:1" x14ac:dyDescent="0.3">
      <c r="A3478" s="20"/>
    </row>
    <row r="3479" spans="1:1" x14ac:dyDescent="0.3">
      <c r="A3479" s="20"/>
    </row>
    <row r="3480" spans="1:1" x14ac:dyDescent="0.3">
      <c r="A3480" s="20"/>
    </row>
    <row r="3481" spans="1:1" x14ac:dyDescent="0.3">
      <c r="A3481" s="20"/>
    </row>
    <row r="3482" spans="1:1" x14ac:dyDescent="0.3">
      <c r="A3482" s="20"/>
    </row>
    <row r="3483" spans="1:1" x14ac:dyDescent="0.3">
      <c r="A3483" s="20"/>
    </row>
    <row r="3484" spans="1:1" x14ac:dyDescent="0.3">
      <c r="A3484" s="20"/>
    </row>
    <row r="3485" spans="1:1" x14ac:dyDescent="0.3">
      <c r="A3485" s="20"/>
    </row>
    <row r="3486" spans="1:1" x14ac:dyDescent="0.3">
      <c r="A3486" s="20"/>
    </row>
    <row r="3487" spans="1:1" x14ac:dyDescent="0.3">
      <c r="A3487" s="20"/>
    </row>
    <row r="3488" spans="1:1" x14ac:dyDescent="0.3">
      <c r="A3488" s="20"/>
    </row>
    <row r="3489" spans="1:1" x14ac:dyDescent="0.3">
      <c r="A3489" s="20"/>
    </row>
    <row r="3490" spans="1:1" x14ac:dyDescent="0.3">
      <c r="A3490" s="20"/>
    </row>
    <row r="3491" spans="1:1" x14ac:dyDescent="0.3">
      <c r="A3491" s="20"/>
    </row>
    <row r="3492" spans="1:1" x14ac:dyDescent="0.3">
      <c r="A3492" s="20"/>
    </row>
    <row r="3493" spans="1:1" x14ac:dyDescent="0.3">
      <c r="A3493" s="20"/>
    </row>
    <row r="3494" spans="1:1" x14ac:dyDescent="0.3">
      <c r="A3494" s="20"/>
    </row>
    <row r="3495" spans="1:1" x14ac:dyDescent="0.3">
      <c r="A3495" s="20"/>
    </row>
    <row r="3496" spans="1:1" x14ac:dyDescent="0.3">
      <c r="A3496" s="20"/>
    </row>
    <row r="3497" spans="1:1" x14ac:dyDescent="0.3">
      <c r="A3497" s="20"/>
    </row>
    <row r="3498" spans="1:1" x14ac:dyDescent="0.3">
      <c r="A3498" s="20"/>
    </row>
    <row r="3499" spans="1:1" x14ac:dyDescent="0.3">
      <c r="A3499" s="20"/>
    </row>
    <row r="3500" spans="1:1" x14ac:dyDescent="0.3">
      <c r="A3500" s="20"/>
    </row>
    <row r="3501" spans="1:1" x14ac:dyDescent="0.3">
      <c r="A3501" s="20"/>
    </row>
    <row r="3502" spans="1:1" x14ac:dyDescent="0.3">
      <c r="A3502" s="20"/>
    </row>
    <row r="3503" spans="1:1" x14ac:dyDescent="0.3">
      <c r="A3503" s="20"/>
    </row>
    <row r="3504" spans="1:1" x14ac:dyDescent="0.3">
      <c r="A3504" s="20"/>
    </row>
    <row r="3505" spans="1:1" x14ac:dyDescent="0.3">
      <c r="A3505" s="20"/>
    </row>
    <row r="3506" spans="1:1" x14ac:dyDescent="0.3">
      <c r="A3506" s="20"/>
    </row>
    <row r="3507" spans="1:1" x14ac:dyDescent="0.3">
      <c r="A3507" s="20"/>
    </row>
    <row r="3508" spans="1:1" x14ac:dyDescent="0.3">
      <c r="A3508" s="20"/>
    </row>
    <row r="3509" spans="1:1" x14ac:dyDescent="0.3">
      <c r="A3509" s="20"/>
    </row>
    <row r="3510" spans="1:1" x14ac:dyDescent="0.3">
      <c r="A3510" s="20"/>
    </row>
    <row r="3511" spans="1:1" x14ac:dyDescent="0.3">
      <c r="A3511" s="20"/>
    </row>
    <row r="3512" spans="1:1" x14ac:dyDescent="0.3">
      <c r="A3512" s="20"/>
    </row>
    <row r="3513" spans="1:1" x14ac:dyDescent="0.3">
      <c r="A3513" s="20"/>
    </row>
    <row r="3514" spans="1:1" x14ac:dyDescent="0.3">
      <c r="A3514" s="20"/>
    </row>
    <row r="3515" spans="1:1" x14ac:dyDescent="0.3">
      <c r="A3515" s="20"/>
    </row>
    <row r="3516" spans="1:1" x14ac:dyDescent="0.3">
      <c r="A3516" s="20"/>
    </row>
    <row r="3517" spans="1:1" x14ac:dyDescent="0.3">
      <c r="A3517" s="20"/>
    </row>
    <row r="3518" spans="1:1" x14ac:dyDescent="0.3">
      <c r="A3518" s="20"/>
    </row>
    <row r="3519" spans="1:1" x14ac:dyDescent="0.3">
      <c r="A3519" s="20"/>
    </row>
    <row r="3520" spans="1:1" x14ac:dyDescent="0.3">
      <c r="A3520" s="20"/>
    </row>
    <row r="3521" spans="1:1" x14ac:dyDescent="0.3">
      <c r="A3521" s="20"/>
    </row>
    <row r="3522" spans="1:1" x14ac:dyDescent="0.3">
      <c r="A3522" s="20"/>
    </row>
    <row r="3523" spans="1:1" x14ac:dyDescent="0.3">
      <c r="A3523" s="20"/>
    </row>
    <row r="3524" spans="1:1" x14ac:dyDescent="0.3">
      <c r="A3524" s="20"/>
    </row>
    <row r="3525" spans="1:1" x14ac:dyDescent="0.3">
      <c r="A3525" s="20"/>
    </row>
    <row r="3526" spans="1:1" x14ac:dyDescent="0.3">
      <c r="A3526" s="20"/>
    </row>
    <row r="3527" spans="1:1" x14ac:dyDescent="0.3">
      <c r="A3527" s="20"/>
    </row>
    <row r="3528" spans="1:1" x14ac:dyDescent="0.3">
      <c r="A3528" s="20"/>
    </row>
    <row r="3529" spans="1:1" x14ac:dyDescent="0.3">
      <c r="A3529" s="20"/>
    </row>
    <row r="3530" spans="1:1" x14ac:dyDescent="0.3">
      <c r="A3530" s="20"/>
    </row>
    <row r="3531" spans="1:1" x14ac:dyDescent="0.3">
      <c r="A3531" s="20"/>
    </row>
    <row r="3532" spans="1:1" x14ac:dyDescent="0.3">
      <c r="A3532" s="20"/>
    </row>
    <row r="3533" spans="1:1" x14ac:dyDescent="0.3">
      <c r="A3533" s="20"/>
    </row>
    <row r="3534" spans="1:1" x14ac:dyDescent="0.3">
      <c r="A3534" s="20"/>
    </row>
    <row r="3535" spans="1:1" x14ac:dyDescent="0.3">
      <c r="A3535" s="20"/>
    </row>
    <row r="3536" spans="1:1" x14ac:dyDescent="0.3">
      <c r="A3536" s="20"/>
    </row>
    <row r="3537" spans="1:1" x14ac:dyDescent="0.3">
      <c r="A3537" s="20"/>
    </row>
    <row r="3538" spans="1:1" x14ac:dyDescent="0.3">
      <c r="A3538" s="20"/>
    </row>
    <row r="3539" spans="1:1" x14ac:dyDescent="0.3">
      <c r="A3539" s="20"/>
    </row>
    <row r="3540" spans="1:1" x14ac:dyDescent="0.3">
      <c r="A3540" s="20"/>
    </row>
    <row r="3541" spans="1:1" x14ac:dyDescent="0.3">
      <c r="A3541" s="20"/>
    </row>
    <row r="3542" spans="1:1" x14ac:dyDescent="0.3">
      <c r="A3542" s="20"/>
    </row>
    <row r="3543" spans="1:1" x14ac:dyDescent="0.3">
      <c r="A3543" s="20"/>
    </row>
    <row r="3544" spans="1:1" x14ac:dyDescent="0.3">
      <c r="A3544" s="20"/>
    </row>
    <row r="3545" spans="1:1" x14ac:dyDescent="0.3">
      <c r="A3545" s="20"/>
    </row>
    <row r="3546" spans="1:1" x14ac:dyDescent="0.3">
      <c r="A3546" s="20"/>
    </row>
    <row r="3547" spans="1:1" x14ac:dyDescent="0.3">
      <c r="A3547" s="20"/>
    </row>
    <row r="3548" spans="1:1" x14ac:dyDescent="0.3">
      <c r="A3548" s="20"/>
    </row>
    <row r="3549" spans="1:1" x14ac:dyDescent="0.3">
      <c r="A3549" s="20"/>
    </row>
    <row r="3550" spans="1:1" x14ac:dyDescent="0.3">
      <c r="A3550" s="20"/>
    </row>
    <row r="3551" spans="1:1" x14ac:dyDescent="0.3">
      <c r="A3551" s="20"/>
    </row>
    <row r="3552" spans="1:1" x14ac:dyDescent="0.3">
      <c r="A3552" s="20"/>
    </row>
    <row r="3553" spans="1:1" x14ac:dyDescent="0.3">
      <c r="A3553" s="20"/>
    </row>
    <row r="3554" spans="1:1" x14ac:dyDescent="0.3">
      <c r="A3554" s="20"/>
    </row>
    <row r="3555" spans="1:1" x14ac:dyDescent="0.3">
      <c r="A3555" s="20"/>
    </row>
    <row r="3556" spans="1:1" x14ac:dyDescent="0.3">
      <c r="A3556" s="20"/>
    </row>
    <row r="3557" spans="1:1" x14ac:dyDescent="0.3">
      <c r="A3557" s="20"/>
    </row>
    <row r="3558" spans="1:1" x14ac:dyDescent="0.3">
      <c r="A3558" s="20"/>
    </row>
    <row r="3559" spans="1:1" x14ac:dyDescent="0.3">
      <c r="A3559" s="20"/>
    </row>
    <row r="3560" spans="1:1" x14ac:dyDescent="0.3">
      <c r="A3560" s="20"/>
    </row>
    <row r="3561" spans="1:1" x14ac:dyDescent="0.3">
      <c r="A3561" s="20"/>
    </row>
    <row r="3562" spans="1:1" x14ac:dyDescent="0.3">
      <c r="A3562" s="20"/>
    </row>
    <row r="3563" spans="1:1" x14ac:dyDescent="0.3">
      <c r="A3563" s="20"/>
    </row>
    <row r="3564" spans="1:1" x14ac:dyDescent="0.3">
      <c r="A3564" s="20"/>
    </row>
    <row r="3565" spans="1:1" x14ac:dyDescent="0.3">
      <c r="A3565" s="20"/>
    </row>
    <row r="3566" spans="1:1" x14ac:dyDescent="0.3">
      <c r="A3566" s="20"/>
    </row>
    <row r="3567" spans="1:1" x14ac:dyDescent="0.3">
      <c r="A3567" s="20"/>
    </row>
    <row r="3568" spans="1:1" x14ac:dyDescent="0.3">
      <c r="A3568" s="20"/>
    </row>
    <row r="3569" spans="1:1" x14ac:dyDescent="0.3">
      <c r="A3569" s="20"/>
    </row>
    <row r="3570" spans="1:1" x14ac:dyDescent="0.3">
      <c r="A3570" s="20"/>
    </row>
    <row r="3571" spans="1:1" x14ac:dyDescent="0.3">
      <c r="A3571" s="20"/>
    </row>
    <row r="3572" spans="1:1" x14ac:dyDescent="0.3">
      <c r="A3572" s="20"/>
    </row>
    <row r="3573" spans="1:1" x14ac:dyDescent="0.3">
      <c r="A3573" s="20"/>
    </row>
    <row r="3574" spans="1:1" x14ac:dyDescent="0.3">
      <c r="A3574" s="20"/>
    </row>
    <row r="3575" spans="1:1" x14ac:dyDescent="0.3">
      <c r="A3575" s="20"/>
    </row>
    <row r="3576" spans="1:1" x14ac:dyDescent="0.3">
      <c r="A3576" s="20"/>
    </row>
    <row r="3577" spans="1:1" x14ac:dyDescent="0.3">
      <c r="A3577" s="20"/>
    </row>
    <row r="3578" spans="1:1" x14ac:dyDescent="0.3">
      <c r="A3578" s="20"/>
    </row>
    <row r="3579" spans="1:1" x14ac:dyDescent="0.3">
      <c r="A3579" s="20"/>
    </row>
    <row r="3580" spans="1:1" x14ac:dyDescent="0.3">
      <c r="A3580" s="20"/>
    </row>
    <row r="3581" spans="1:1" x14ac:dyDescent="0.3">
      <c r="A3581" s="20"/>
    </row>
    <row r="3582" spans="1:1" x14ac:dyDescent="0.3">
      <c r="A3582" s="20"/>
    </row>
    <row r="3583" spans="1:1" x14ac:dyDescent="0.3">
      <c r="A3583" s="20"/>
    </row>
    <row r="3584" spans="1:1" x14ac:dyDescent="0.3">
      <c r="A3584" s="20"/>
    </row>
    <row r="3585" spans="1:1" x14ac:dyDescent="0.3">
      <c r="A3585" s="20"/>
    </row>
    <row r="3586" spans="1:1" x14ac:dyDescent="0.3">
      <c r="A3586" s="20"/>
    </row>
    <row r="3587" spans="1:1" x14ac:dyDescent="0.3">
      <c r="A3587" s="20"/>
    </row>
    <row r="3588" spans="1:1" x14ac:dyDescent="0.3">
      <c r="A3588" s="20"/>
    </row>
    <row r="3589" spans="1:1" x14ac:dyDescent="0.3">
      <c r="A3589" s="20"/>
    </row>
    <row r="3590" spans="1:1" x14ac:dyDescent="0.3">
      <c r="A3590" s="20"/>
    </row>
    <row r="3591" spans="1:1" x14ac:dyDescent="0.3">
      <c r="A3591" s="20"/>
    </row>
    <row r="3592" spans="1:1" x14ac:dyDescent="0.3">
      <c r="A3592" s="20"/>
    </row>
    <row r="3593" spans="1:1" x14ac:dyDescent="0.3">
      <c r="A3593" s="20"/>
    </row>
    <row r="3594" spans="1:1" x14ac:dyDescent="0.3">
      <c r="A3594" s="20"/>
    </row>
    <row r="3595" spans="1:1" x14ac:dyDescent="0.3">
      <c r="A3595" s="20"/>
    </row>
    <row r="3596" spans="1:1" x14ac:dyDescent="0.3">
      <c r="A3596" s="20"/>
    </row>
    <row r="3597" spans="1:1" x14ac:dyDescent="0.3">
      <c r="A3597" s="20"/>
    </row>
    <row r="3598" spans="1:1" x14ac:dyDescent="0.3">
      <c r="A3598" s="20"/>
    </row>
    <row r="3599" spans="1:1" x14ac:dyDescent="0.3">
      <c r="A3599" s="20"/>
    </row>
    <row r="3600" spans="1:1" x14ac:dyDescent="0.3">
      <c r="A3600" s="20"/>
    </row>
    <row r="3601" spans="1:1" x14ac:dyDescent="0.3">
      <c r="A3601" s="20"/>
    </row>
    <row r="3602" spans="1:1" x14ac:dyDescent="0.3">
      <c r="A3602" s="20"/>
    </row>
    <row r="3603" spans="1:1" x14ac:dyDescent="0.3">
      <c r="A3603" s="20"/>
    </row>
    <row r="3604" spans="1:1" x14ac:dyDescent="0.3">
      <c r="A3604" s="20"/>
    </row>
    <row r="3605" spans="1:1" x14ac:dyDescent="0.3">
      <c r="A3605" s="20"/>
    </row>
    <row r="3606" spans="1:1" x14ac:dyDescent="0.3">
      <c r="A3606" s="20"/>
    </row>
    <row r="3607" spans="1:1" x14ac:dyDescent="0.3">
      <c r="A3607" s="20"/>
    </row>
    <row r="3608" spans="1:1" x14ac:dyDescent="0.3">
      <c r="A3608" s="20"/>
    </row>
    <row r="3609" spans="1:1" x14ac:dyDescent="0.3">
      <c r="A3609" s="20"/>
    </row>
    <row r="3610" spans="1:1" x14ac:dyDescent="0.3">
      <c r="A3610" s="20"/>
    </row>
    <row r="3611" spans="1:1" x14ac:dyDescent="0.3">
      <c r="A3611" s="20"/>
    </row>
    <row r="3612" spans="1:1" x14ac:dyDescent="0.3">
      <c r="A3612" s="20"/>
    </row>
    <row r="3613" spans="1:1" x14ac:dyDescent="0.3">
      <c r="A3613" s="20"/>
    </row>
    <row r="3614" spans="1:1" x14ac:dyDescent="0.3">
      <c r="A3614" s="20"/>
    </row>
    <row r="3615" spans="1:1" x14ac:dyDescent="0.3">
      <c r="A3615" s="20"/>
    </row>
    <row r="3616" spans="1:1" x14ac:dyDescent="0.3">
      <c r="A3616" s="20"/>
    </row>
    <row r="3617" spans="1:1" x14ac:dyDescent="0.3">
      <c r="A3617" s="20"/>
    </row>
    <row r="3618" spans="1:1" x14ac:dyDescent="0.3">
      <c r="A3618" s="20"/>
    </row>
    <row r="3619" spans="1:1" x14ac:dyDescent="0.3">
      <c r="A3619" s="20"/>
    </row>
    <row r="3620" spans="1:1" x14ac:dyDescent="0.3">
      <c r="A3620" s="20"/>
    </row>
    <row r="3621" spans="1:1" x14ac:dyDescent="0.3">
      <c r="A3621" s="20"/>
    </row>
    <row r="3622" spans="1:1" x14ac:dyDescent="0.3">
      <c r="A3622" s="20"/>
    </row>
    <row r="3623" spans="1:1" x14ac:dyDescent="0.3">
      <c r="A3623" s="20"/>
    </row>
    <row r="3624" spans="1:1" x14ac:dyDescent="0.3">
      <c r="A3624" s="20"/>
    </row>
    <row r="3625" spans="1:1" x14ac:dyDescent="0.3">
      <c r="A3625" s="20"/>
    </row>
    <row r="3626" spans="1:1" x14ac:dyDescent="0.3">
      <c r="A3626" s="20"/>
    </row>
    <row r="3627" spans="1:1" x14ac:dyDescent="0.3">
      <c r="A3627" s="20"/>
    </row>
    <row r="3628" spans="1:1" x14ac:dyDescent="0.3">
      <c r="A3628" s="20"/>
    </row>
    <row r="3629" spans="1:1" x14ac:dyDescent="0.3">
      <c r="A3629" s="20"/>
    </row>
    <row r="3630" spans="1:1" x14ac:dyDescent="0.3">
      <c r="A3630" s="20"/>
    </row>
    <row r="3631" spans="1:1" x14ac:dyDescent="0.3">
      <c r="A3631" s="20"/>
    </row>
    <row r="3632" spans="1:1" x14ac:dyDescent="0.3">
      <c r="A3632" s="20"/>
    </row>
    <row r="3633" spans="1:1" x14ac:dyDescent="0.3">
      <c r="A3633" s="20"/>
    </row>
    <row r="3634" spans="1:1" x14ac:dyDescent="0.3">
      <c r="A3634" s="20"/>
    </row>
    <row r="3635" spans="1:1" x14ac:dyDescent="0.3">
      <c r="A3635" s="20"/>
    </row>
    <row r="3636" spans="1:1" x14ac:dyDescent="0.3">
      <c r="A3636" s="20"/>
    </row>
    <row r="3637" spans="1:1" x14ac:dyDescent="0.3">
      <c r="A3637" s="20"/>
    </row>
    <row r="3638" spans="1:1" x14ac:dyDescent="0.3">
      <c r="A3638" s="20"/>
    </row>
    <row r="3639" spans="1:1" x14ac:dyDescent="0.3">
      <c r="A3639" s="20"/>
    </row>
    <row r="3640" spans="1:1" x14ac:dyDescent="0.3">
      <c r="A3640" s="20"/>
    </row>
    <row r="3641" spans="1:1" x14ac:dyDescent="0.3">
      <c r="A3641" s="20"/>
    </row>
    <row r="3642" spans="1:1" x14ac:dyDescent="0.3">
      <c r="A3642" s="20"/>
    </row>
    <row r="3643" spans="1:1" x14ac:dyDescent="0.3">
      <c r="A3643" s="20"/>
    </row>
    <row r="3644" spans="1:1" x14ac:dyDescent="0.3">
      <c r="A3644" s="20"/>
    </row>
    <row r="3645" spans="1:1" x14ac:dyDescent="0.3">
      <c r="A3645" s="20"/>
    </row>
    <row r="3646" spans="1:1" x14ac:dyDescent="0.3">
      <c r="A3646" s="20"/>
    </row>
    <row r="3647" spans="1:1" x14ac:dyDescent="0.3">
      <c r="A3647" s="20"/>
    </row>
    <row r="3648" spans="1:1" x14ac:dyDescent="0.3">
      <c r="A3648" s="20"/>
    </row>
    <row r="3649" spans="1:1" x14ac:dyDescent="0.3">
      <c r="A3649" s="20"/>
    </row>
    <row r="3650" spans="1:1" x14ac:dyDescent="0.3">
      <c r="A3650" s="20"/>
    </row>
    <row r="3651" spans="1:1" x14ac:dyDescent="0.3">
      <c r="A3651" s="20"/>
    </row>
    <row r="3652" spans="1:1" x14ac:dyDescent="0.3">
      <c r="A3652" s="20"/>
    </row>
    <row r="3653" spans="1:1" x14ac:dyDescent="0.3">
      <c r="A3653" s="20"/>
    </row>
    <row r="3654" spans="1:1" x14ac:dyDescent="0.3">
      <c r="A3654" s="20"/>
    </row>
    <row r="3655" spans="1:1" x14ac:dyDescent="0.3">
      <c r="A3655" s="20"/>
    </row>
    <row r="3656" spans="1:1" x14ac:dyDescent="0.3">
      <c r="A3656" s="20"/>
    </row>
    <row r="3657" spans="1:1" x14ac:dyDescent="0.3">
      <c r="A3657" s="20"/>
    </row>
    <row r="3658" spans="1:1" x14ac:dyDescent="0.3">
      <c r="A3658" s="20"/>
    </row>
    <row r="3659" spans="1:1" x14ac:dyDescent="0.3">
      <c r="A3659" s="20"/>
    </row>
    <row r="3660" spans="1:1" x14ac:dyDescent="0.3">
      <c r="A3660" s="20"/>
    </row>
    <row r="3661" spans="1:1" x14ac:dyDescent="0.3">
      <c r="A3661" s="20"/>
    </row>
    <row r="3662" spans="1:1" x14ac:dyDescent="0.3">
      <c r="A3662" s="20"/>
    </row>
    <row r="3663" spans="1:1" x14ac:dyDescent="0.3">
      <c r="A3663" s="20"/>
    </row>
    <row r="3664" spans="1:1" x14ac:dyDescent="0.3">
      <c r="A3664" s="20"/>
    </row>
    <row r="3665" spans="1:1" x14ac:dyDescent="0.3">
      <c r="A3665" s="20"/>
    </row>
    <row r="3666" spans="1:1" x14ac:dyDescent="0.3">
      <c r="A3666" s="20"/>
    </row>
    <row r="3667" spans="1:1" x14ac:dyDescent="0.3">
      <c r="A3667" s="20"/>
    </row>
    <row r="3668" spans="1:1" x14ac:dyDescent="0.3">
      <c r="A3668" s="20"/>
    </row>
    <row r="3669" spans="1:1" x14ac:dyDescent="0.3">
      <c r="A3669" s="20"/>
    </row>
    <row r="3670" spans="1:1" x14ac:dyDescent="0.3">
      <c r="A3670" s="20"/>
    </row>
    <row r="3671" spans="1:1" x14ac:dyDescent="0.3">
      <c r="A3671" s="20"/>
    </row>
    <row r="3672" spans="1:1" x14ac:dyDescent="0.3">
      <c r="A3672" s="20"/>
    </row>
    <row r="3673" spans="1:1" x14ac:dyDescent="0.3">
      <c r="A3673" s="20"/>
    </row>
    <row r="3674" spans="1:1" x14ac:dyDescent="0.3">
      <c r="A3674" s="20"/>
    </row>
    <row r="3675" spans="1:1" x14ac:dyDescent="0.3">
      <c r="A3675" s="20"/>
    </row>
    <row r="3676" spans="1:1" x14ac:dyDescent="0.3">
      <c r="A3676" s="20"/>
    </row>
    <row r="3677" spans="1:1" x14ac:dyDescent="0.3">
      <c r="A3677" s="20"/>
    </row>
    <row r="3678" spans="1:1" x14ac:dyDescent="0.3">
      <c r="A3678" s="20"/>
    </row>
    <row r="3679" spans="1:1" x14ac:dyDescent="0.3">
      <c r="A3679" s="20"/>
    </row>
    <row r="3680" spans="1:1" x14ac:dyDescent="0.3">
      <c r="A3680" s="20"/>
    </row>
    <row r="3681" spans="1:1" x14ac:dyDescent="0.3">
      <c r="A3681" s="20"/>
    </row>
    <row r="3682" spans="1:1" x14ac:dyDescent="0.3">
      <c r="A3682" s="20"/>
    </row>
    <row r="3683" spans="1:1" x14ac:dyDescent="0.3">
      <c r="A3683" s="20"/>
    </row>
    <row r="3684" spans="1:1" x14ac:dyDescent="0.3">
      <c r="A3684" s="20"/>
    </row>
    <row r="3685" spans="1:1" x14ac:dyDescent="0.3">
      <c r="A3685" s="20"/>
    </row>
    <row r="3686" spans="1:1" x14ac:dyDescent="0.3">
      <c r="A3686" s="20"/>
    </row>
    <row r="3687" spans="1:1" x14ac:dyDescent="0.3">
      <c r="A3687" s="20"/>
    </row>
    <row r="3688" spans="1:1" x14ac:dyDescent="0.3">
      <c r="A3688" s="20"/>
    </row>
    <row r="3689" spans="1:1" x14ac:dyDescent="0.3">
      <c r="A3689" s="20"/>
    </row>
    <row r="3690" spans="1:1" x14ac:dyDescent="0.3">
      <c r="A3690" s="20"/>
    </row>
    <row r="3691" spans="1:1" x14ac:dyDescent="0.3">
      <c r="A3691" s="20"/>
    </row>
    <row r="3692" spans="1:1" x14ac:dyDescent="0.3">
      <c r="A3692" s="20"/>
    </row>
    <row r="3693" spans="1:1" x14ac:dyDescent="0.3">
      <c r="A3693" s="20"/>
    </row>
    <row r="3694" spans="1:1" x14ac:dyDescent="0.3">
      <c r="A3694" s="20"/>
    </row>
    <row r="3695" spans="1:1" x14ac:dyDescent="0.3">
      <c r="A3695" s="20"/>
    </row>
    <row r="3696" spans="1:1" x14ac:dyDescent="0.3">
      <c r="A3696" s="20"/>
    </row>
    <row r="3697" spans="1:1" x14ac:dyDescent="0.3">
      <c r="A3697" s="20"/>
    </row>
    <row r="3698" spans="1:1" x14ac:dyDescent="0.3">
      <c r="A3698" s="20"/>
    </row>
    <row r="3699" spans="1:1" x14ac:dyDescent="0.3">
      <c r="A3699" s="20"/>
    </row>
    <row r="3700" spans="1:1" x14ac:dyDescent="0.3">
      <c r="A3700" s="20"/>
    </row>
    <row r="3701" spans="1:1" x14ac:dyDescent="0.3">
      <c r="A3701" s="20"/>
    </row>
    <row r="3702" spans="1:1" x14ac:dyDescent="0.3">
      <c r="A3702" s="20"/>
    </row>
    <row r="3703" spans="1:1" x14ac:dyDescent="0.3">
      <c r="A3703" s="20"/>
    </row>
    <row r="3704" spans="1:1" x14ac:dyDescent="0.3">
      <c r="A3704" s="20"/>
    </row>
    <row r="3705" spans="1:1" x14ac:dyDescent="0.3">
      <c r="A3705" s="20"/>
    </row>
    <row r="3706" spans="1:1" x14ac:dyDescent="0.3">
      <c r="A3706" s="20"/>
    </row>
    <row r="3707" spans="1:1" x14ac:dyDescent="0.3">
      <c r="A3707" s="20"/>
    </row>
    <row r="3708" spans="1:1" x14ac:dyDescent="0.3">
      <c r="A3708" s="20"/>
    </row>
    <row r="3709" spans="1:1" x14ac:dyDescent="0.3">
      <c r="A3709" s="20"/>
    </row>
    <row r="3710" spans="1:1" x14ac:dyDescent="0.3">
      <c r="A3710" s="20"/>
    </row>
    <row r="3711" spans="1:1" x14ac:dyDescent="0.3">
      <c r="A3711" s="20"/>
    </row>
    <row r="3712" spans="1:1" x14ac:dyDescent="0.3">
      <c r="A3712" s="20"/>
    </row>
    <row r="3713" spans="1:1" x14ac:dyDescent="0.3">
      <c r="A3713" s="20"/>
    </row>
    <row r="3714" spans="1:1" x14ac:dyDescent="0.3">
      <c r="A3714" s="20"/>
    </row>
    <row r="3715" spans="1:1" x14ac:dyDescent="0.3">
      <c r="A3715" s="20"/>
    </row>
    <row r="3716" spans="1:1" x14ac:dyDescent="0.3">
      <c r="A3716" s="20"/>
    </row>
    <row r="3717" spans="1:1" x14ac:dyDescent="0.3">
      <c r="A3717" s="20"/>
    </row>
    <row r="3718" spans="1:1" x14ac:dyDescent="0.3">
      <c r="A3718" s="20"/>
    </row>
    <row r="3719" spans="1:1" x14ac:dyDescent="0.3">
      <c r="A3719" s="20"/>
    </row>
    <row r="3720" spans="1:1" x14ac:dyDescent="0.3">
      <c r="A3720" s="20"/>
    </row>
    <row r="3721" spans="1:1" x14ac:dyDescent="0.3">
      <c r="A3721" s="20"/>
    </row>
    <row r="3722" spans="1:1" x14ac:dyDescent="0.3">
      <c r="A3722" s="20"/>
    </row>
    <row r="3723" spans="1:1" x14ac:dyDescent="0.3">
      <c r="A3723" s="20"/>
    </row>
    <row r="3724" spans="1:1" x14ac:dyDescent="0.3">
      <c r="A3724" s="20"/>
    </row>
    <row r="3725" spans="1:1" x14ac:dyDescent="0.3">
      <c r="A3725" s="20"/>
    </row>
    <row r="3726" spans="1:1" x14ac:dyDescent="0.3">
      <c r="A3726" s="20"/>
    </row>
    <row r="3727" spans="1:1" x14ac:dyDescent="0.3">
      <c r="A3727" s="20"/>
    </row>
    <row r="3728" spans="1:1" x14ac:dyDescent="0.3">
      <c r="A3728" s="20"/>
    </row>
    <row r="3729" spans="1:1" x14ac:dyDescent="0.3">
      <c r="A3729" s="20"/>
    </row>
    <row r="3730" spans="1:1" x14ac:dyDescent="0.3">
      <c r="A3730" s="20"/>
    </row>
    <row r="3731" spans="1:1" x14ac:dyDescent="0.3">
      <c r="A3731" s="20"/>
    </row>
    <row r="3732" spans="1:1" x14ac:dyDescent="0.3">
      <c r="A3732" s="20"/>
    </row>
    <row r="3733" spans="1:1" x14ac:dyDescent="0.3">
      <c r="A3733" s="20"/>
    </row>
    <row r="3734" spans="1:1" x14ac:dyDescent="0.3">
      <c r="A3734" s="20"/>
    </row>
    <row r="3735" spans="1:1" x14ac:dyDescent="0.3">
      <c r="A3735" s="20"/>
    </row>
    <row r="3736" spans="1:1" x14ac:dyDescent="0.3">
      <c r="A3736" s="20"/>
    </row>
    <row r="3737" spans="1:1" x14ac:dyDescent="0.3">
      <c r="A3737" s="20"/>
    </row>
    <row r="3738" spans="1:1" x14ac:dyDescent="0.3">
      <c r="A3738" s="20"/>
    </row>
    <row r="3739" spans="1:1" x14ac:dyDescent="0.3">
      <c r="A3739" s="20"/>
    </row>
    <row r="3740" spans="1:1" x14ac:dyDescent="0.3">
      <c r="A3740" s="20"/>
    </row>
    <row r="3741" spans="1:1" x14ac:dyDescent="0.3">
      <c r="A3741" s="20"/>
    </row>
    <row r="3742" spans="1:1" x14ac:dyDescent="0.3">
      <c r="A3742" s="20"/>
    </row>
    <row r="3743" spans="1:1" x14ac:dyDescent="0.3">
      <c r="A3743" s="20"/>
    </row>
    <row r="3744" spans="1:1" x14ac:dyDescent="0.3">
      <c r="A3744" s="20"/>
    </row>
    <row r="3745" spans="1:1" x14ac:dyDescent="0.3">
      <c r="A3745" s="20"/>
    </row>
    <row r="3746" spans="1:1" x14ac:dyDescent="0.3">
      <c r="A3746" s="20"/>
    </row>
    <row r="3747" spans="1:1" x14ac:dyDescent="0.3">
      <c r="A3747" s="20"/>
    </row>
    <row r="3748" spans="1:1" x14ac:dyDescent="0.3">
      <c r="A3748" s="20"/>
    </row>
    <row r="3749" spans="1:1" x14ac:dyDescent="0.3">
      <c r="A3749" s="20"/>
    </row>
    <row r="3750" spans="1:1" x14ac:dyDescent="0.3">
      <c r="A3750" s="20"/>
    </row>
    <row r="3751" spans="1:1" x14ac:dyDescent="0.3">
      <c r="A3751" s="20"/>
    </row>
    <row r="3752" spans="1:1" x14ac:dyDescent="0.3">
      <c r="A3752" s="20"/>
    </row>
    <row r="3753" spans="1:1" x14ac:dyDescent="0.3">
      <c r="A3753" s="20"/>
    </row>
    <row r="3754" spans="1:1" x14ac:dyDescent="0.3">
      <c r="A3754" s="20"/>
    </row>
    <row r="3755" spans="1:1" x14ac:dyDescent="0.3">
      <c r="A3755" s="20"/>
    </row>
    <row r="3756" spans="1:1" x14ac:dyDescent="0.3">
      <c r="A3756" s="20"/>
    </row>
    <row r="3757" spans="1:1" x14ac:dyDescent="0.3">
      <c r="A3757" s="20"/>
    </row>
    <row r="3758" spans="1:1" x14ac:dyDescent="0.3">
      <c r="A3758" s="20"/>
    </row>
    <row r="3759" spans="1:1" x14ac:dyDescent="0.3">
      <c r="A3759" s="20"/>
    </row>
    <row r="3760" spans="1:1" x14ac:dyDescent="0.3">
      <c r="A3760" s="20"/>
    </row>
    <row r="3761" spans="1:1" x14ac:dyDescent="0.3">
      <c r="A3761" s="20"/>
    </row>
    <row r="3762" spans="1:1" x14ac:dyDescent="0.3">
      <c r="A3762" s="20"/>
    </row>
    <row r="3763" spans="1:1" x14ac:dyDescent="0.3">
      <c r="A3763" s="20"/>
    </row>
    <row r="3764" spans="1:1" x14ac:dyDescent="0.3">
      <c r="A3764" s="20"/>
    </row>
    <row r="3765" spans="1:1" x14ac:dyDescent="0.3">
      <c r="A3765" s="20"/>
    </row>
    <row r="3766" spans="1:1" x14ac:dyDescent="0.3">
      <c r="A3766" s="20"/>
    </row>
    <row r="3767" spans="1:1" x14ac:dyDescent="0.3">
      <c r="A3767" s="20"/>
    </row>
    <row r="3768" spans="1:1" x14ac:dyDescent="0.3">
      <c r="A3768" s="20"/>
    </row>
    <row r="3769" spans="1:1" x14ac:dyDescent="0.3">
      <c r="A3769" s="20"/>
    </row>
    <row r="3770" spans="1:1" x14ac:dyDescent="0.3">
      <c r="A3770" s="20"/>
    </row>
    <row r="3771" spans="1:1" x14ac:dyDescent="0.3">
      <c r="A3771" s="20"/>
    </row>
    <row r="3772" spans="1:1" x14ac:dyDescent="0.3">
      <c r="A3772" s="20"/>
    </row>
    <row r="3773" spans="1:1" x14ac:dyDescent="0.3">
      <c r="A3773" s="20"/>
    </row>
    <row r="3774" spans="1:1" x14ac:dyDescent="0.3">
      <c r="A3774" s="20"/>
    </row>
    <row r="3775" spans="1:1" x14ac:dyDescent="0.3">
      <c r="A3775" s="20"/>
    </row>
    <row r="3776" spans="1:1" x14ac:dyDescent="0.3">
      <c r="A3776" s="20"/>
    </row>
    <row r="3777" spans="1:1" x14ac:dyDescent="0.3">
      <c r="A3777" s="20"/>
    </row>
    <row r="3778" spans="1:1" x14ac:dyDescent="0.3">
      <c r="A3778" s="20"/>
    </row>
    <row r="3779" spans="1:1" x14ac:dyDescent="0.3">
      <c r="A3779" s="20"/>
    </row>
    <row r="3780" spans="1:1" x14ac:dyDescent="0.3">
      <c r="A3780" s="20"/>
    </row>
    <row r="3781" spans="1:1" x14ac:dyDescent="0.3">
      <c r="A3781" s="20"/>
    </row>
    <row r="3782" spans="1:1" x14ac:dyDescent="0.3">
      <c r="A3782" s="20"/>
    </row>
    <row r="3783" spans="1:1" x14ac:dyDescent="0.3">
      <c r="A3783" s="20"/>
    </row>
    <row r="3784" spans="1:1" x14ac:dyDescent="0.3">
      <c r="A3784" s="20"/>
    </row>
    <row r="3785" spans="1:1" x14ac:dyDescent="0.3">
      <c r="A3785" s="20"/>
    </row>
    <row r="3786" spans="1:1" x14ac:dyDescent="0.3">
      <c r="A3786" s="20"/>
    </row>
    <row r="3787" spans="1:1" x14ac:dyDescent="0.3">
      <c r="A3787" s="20"/>
    </row>
    <row r="3788" spans="1:1" x14ac:dyDescent="0.3">
      <c r="A3788" s="20"/>
    </row>
    <row r="3789" spans="1:1" x14ac:dyDescent="0.3">
      <c r="A3789" s="20"/>
    </row>
    <row r="3790" spans="1:1" x14ac:dyDescent="0.3">
      <c r="A3790" s="20"/>
    </row>
    <row r="3791" spans="1:1" x14ac:dyDescent="0.3">
      <c r="A3791" s="20"/>
    </row>
    <row r="3792" spans="1:1" x14ac:dyDescent="0.3">
      <c r="A3792" s="20"/>
    </row>
    <row r="3793" spans="1:1" x14ac:dyDescent="0.3">
      <c r="A3793" s="20"/>
    </row>
    <row r="3794" spans="1:1" x14ac:dyDescent="0.3">
      <c r="A3794" s="20"/>
    </row>
    <row r="3795" spans="1:1" x14ac:dyDescent="0.3">
      <c r="A3795" s="20"/>
    </row>
    <row r="3796" spans="1:1" x14ac:dyDescent="0.3">
      <c r="A3796" s="20"/>
    </row>
    <row r="3797" spans="1:1" x14ac:dyDescent="0.3">
      <c r="A3797" s="20"/>
    </row>
    <row r="3798" spans="1:1" x14ac:dyDescent="0.3">
      <c r="A3798" s="20"/>
    </row>
    <row r="3799" spans="1:1" x14ac:dyDescent="0.3">
      <c r="A3799" s="20"/>
    </row>
    <row r="3800" spans="1:1" x14ac:dyDescent="0.3">
      <c r="A3800" s="20"/>
    </row>
    <row r="3801" spans="1:1" x14ac:dyDescent="0.3">
      <c r="A3801" s="20"/>
    </row>
    <row r="3802" spans="1:1" x14ac:dyDescent="0.3">
      <c r="A3802" s="20"/>
    </row>
    <row r="3803" spans="1:1" x14ac:dyDescent="0.3">
      <c r="A3803" s="20"/>
    </row>
    <row r="3804" spans="1:1" x14ac:dyDescent="0.3">
      <c r="A3804" s="20"/>
    </row>
    <row r="3805" spans="1:1" x14ac:dyDescent="0.3">
      <c r="A3805" s="20"/>
    </row>
    <row r="3806" spans="1:1" x14ac:dyDescent="0.3">
      <c r="A3806" s="20"/>
    </row>
    <row r="3807" spans="1:1" x14ac:dyDescent="0.3">
      <c r="A3807" s="20"/>
    </row>
    <row r="3808" spans="1:1" x14ac:dyDescent="0.3">
      <c r="A3808" s="20"/>
    </row>
    <row r="3809" spans="1:1" x14ac:dyDescent="0.3">
      <c r="A3809" s="20"/>
    </row>
    <row r="3810" spans="1:1" x14ac:dyDescent="0.3">
      <c r="A3810" s="20"/>
    </row>
    <row r="3811" spans="1:1" x14ac:dyDescent="0.3">
      <c r="A3811" s="20"/>
    </row>
    <row r="3812" spans="1:1" x14ac:dyDescent="0.3">
      <c r="A3812" s="20"/>
    </row>
    <row r="3813" spans="1:1" x14ac:dyDescent="0.3">
      <c r="A3813" s="20"/>
    </row>
    <row r="3814" spans="1:1" x14ac:dyDescent="0.3">
      <c r="A3814" s="20"/>
    </row>
    <row r="3815" spans="1:1" x14ac:dyDescent="0.3">
      <c r="A3815" s="20"/>
    </row>
    <row r="3816" spans="1:1" x14ac:dyDescent="0.3">
      <c r="A3816" s="20"/>
    </row>
    <row r="3817" spans="1:1" x14ac:dyDescent="0.3">
      <c r="A3817" s="20"/>
    </row>
    <row r="3818" spans="1:1" x14ac:dyDescent="0.3">
      <c r="A3818" s="20"/>
    </row>
    <row r="3819" spans="1:1" x14ac:dyDescent="0.3">
      <c r="A3819" s="20"/>
    </row>
    <row r="3820" spans="1:1" x14ac:dyDescent="0.3">
      <c r="A3820" s="20"/>
    </row>
    <row r="3821" spans="1:1" x14ac:dyDescent="0.3">
      <c r="A3821" s="20"/>
    </row>
    <row r="3822" spans="1:1" x14ac:dyDescent="0.3">
      <c r="A3822" s="20"/>
    </row>
    <row r="3823" spans="1:1" x14ac:dyDescent="0.3">
      <c r="A3823" s="20"/>
    </row>
    <row r="3824" spans="1:1" x14ac:dyDescent="0.3">
      <c r="A3824" s="20"/>
    </row>
    <row r="3825" spans="1:1" x14ac:dyDescent="0.3">
      <c r="A3825" s="20"/>
    </row>
    <row r="3826" spans="1:1" x14ac:dyDescent="0.3">
      <c r="A3826" s="20"/>
    </row>
    <row r="3827" spans="1:1" x14ac:dyDescent="0.3">
      <c r="A3827" s="20"/>
    </row>
    <row r="3828" spans="1:1" x14ac:dyDescent="0.3">
      <c r="A3828" s="20"/>
    </row>
    <row r="3829" spans="1:1" x14ac:dyDescent="0.3">
      <c r="A3829" s="20"/>
    </row>
    <row r="3830" spans="1:1" x14ac:dyDescent="0.3">
      <c r="A3830" s="20"/>
    </row>
    <row r="3831" spans="1:1" x14ac:dyDescent="0.3">
      <c r="A3831" s="20"/>
    </row>
    <row r="3832" spans="1:1" x14ac:dyDescent="0.3">
      <c r="A3832" s="20"/>
    </row>
    <row r="3833" spans="1:1" x14ac:dyDescent="0.3">
      <c r="A3833" s="20"/>
    </row>
    <row r="3834" spans="1:1" x14ac:dyDescent="0.3">
      <c r="A3834" s="20"/>
    </row>
    <row r="3835" spans="1:1" x14ac:dyDescent="0.3">
      <c r="A3835" s="20"/>
    </row>
    <row r="3836" spans="1:1" x14ac:dyDescent="0.3">
      <c r="A3836" s="20"/>
    </row>
    <row r="3837" spans="1:1" x14ac:dyDescent="0.3">
      <c r="A3837" s="20"/>
    </row>
    <row r="3838" spans="1:1" x14ac:dyDescent="0.3">
      <c r="A3838" s="20"/>
    </row>
    <row r="3839" spans="1:1" x14ac:dyDescent="0.3">
      <c r="A3839" s="20"/>
    </row>
    <row r="3840" spans="1:1" x14ac:dyDescent="0.3">
      <c r="A3840" s="20"/>
    </row>
    <row r="3841" spans="1:1" x14ac:dyDescent="0.3">
      <c r="A3841" s="20"/>
    </row>
    <row r="3842" spans="1:1" x14ac:dyDescent="0.3">
      <c r="A3842" s="20"/>
    </row>
    <row r="3843" spans="1:1" x14ac:dyDescent="0.3">
      <c r="A3843" s="20"/>
    </row>
    <row r="3844" spans="1:1" x14ac:dyDescent="0.3">
      <c r="A3844" s="20"/>
    </row>
    <row r="3845" spans="1:1" x14ac:dyDescent="0.3">
      <c r="A3845" s="20"/>
    </row>
    <row r="3846" spans="1:1" x14ac:dyDescent="0.3">
      <c r="A3846" s="20"/>
    </row>
    <row r="3847" spans="1:1" x14ac:dyDescent="0.3">
      <c r="A3847" s="20"/>
    </row>
    <row r="3848" spans="1:1" x14ac:dyDescent="0.3">
      <c r="A3848" s="20"/>
    </row>
    <row r="3849" spans="1:1" x14ac:dyDescent="0.3">
      <c r="A3849" s="20"/>
    </row>
    <row r="3850" spans="1:1" x14ac:dyDescent="0.3">
      <c r="A3850" s="20"/>
    </row>
    <row r="3851" spans="1:1" x14ac:dyDescent="0.3">
      <c r="A3851" s="20"/>
    </row>
    <row r="3852" spans="1:1" x14ac:dyDescent="0.3">
      <c r="A3852" s="20"/>
    </row>
    <row r="3853" spans="1:1" x14ac:dyDescent="0.3">
      <c r="A3853" s="20"/>
    </row>
    <row r="3854" spans="1:1" x14ac:dyDescent="0.3">
      <c r="A3854" s="20"/>
    </row>
    <row r="3855" spans="1:1" x14ac:dyDescent="0.3">
      <c r="A3855" s="20"/>
    </row>
    <row r="3856" spans="1:1" x14ac:dyDescent="0.3">
      <c r="A3856" s="20"/>
    </row>
    <row r="3857" spans="1:1" x14ac:dyDescent="0.3">
      <c r="A3857" s="20"/>
    </row>
    <row r="3858" spans="1:1" x14ac:dyDescent="0.3">
      <c r="A3858" s="20"/>
    </row>
    <row r="3859" spans="1:1" x14ac:dyDescent="0.3">
      <c r="A3859" s="20"/>
    </row>
    <row r="3860" spans="1:1" x14ac:dyDescent="0.3">
      <c r="A3860" s="20"/>
    </row>
    <row r="3861" spans="1:1" x14ac:dyDescent="0.3">
      <c r="A3861" s="20"/>
    </row>
    <row r="3862" spans="1:1" x14ac:dyDescent="0.3">
      <c r="A3862" s="20"/>
    </row>
    <row r="3863" spans="1:1" x14ac:dyDescent="0.3">
      <c r="A3863" s="20"/>
    </row>
    <row r="3864" spans="1:1" x14ac:dyDescent="0.3">
      <c r="A3864" s="20"/>
    </row>
    <row r="3865" spans="1:1" x14ac:dyDescent="0.3">
      <c r="A3865" s="20"/>
    </row>
    <row r="3866" spans="1:1" x14ac:dyDescent="0.3">
      <c r="A3866" s="20"/>
    </row>
    <row r="3867" spans="1:1" x14ac:dyDescent="0.3">
      <c r="A3867" s="20"/>
    </row>
    <row r="3868" spans="1:1" x14ac:dyDescent="0.3">
      <c r="A3868" s="20"/>
    </row>
    <row r="3869" spans="1:1" x14ac:dyDescent="0.3">
      <c r="A3869" s="20"/>
    </row>
    <row r="3870" spans="1:1" x14ac:dyDescent="0.3">
      <c r="A3870" s="20"/>
    </row>
    <row r="3871" spans="1:1" x14ac:dyDescent="0.3">
      <c r="A3871" s="20"/>
    </row>
    <row r="3872" spans="1:1" x14ac:dyDescent="0.3">
      <c r="A3872" s="20"/>
    </row>
    <row r="3873" spans="1:1" x14ac:dyDescent="0.3">
      <c r="A3873" s="20"/>
    </row>
    <row r="3874" spans="1:1" x14ac:dyDescent="0.3">
      <c r="A3874" s="20"/>
    </row>
    <row r="3875" spans="1:1" x14ac:dyDescent="0.3">
      <c r="A3875" s="20"/>
    </row>
    <row r="3876" spans="1:1" x14ac:dyDescent="0.3">
      <c r="A3876" s="20"/>
    </row>
    <row r="3877" spans="1:1" x14ac:dyDescent="0.3">
      <c r="A3877" s="20"/>
    </row>
    <row r="3878" spans="1:1" x14ac:dyDescent="0.3">
      <c r="A3878" s="20"/>
    </row>
    <row r="3879" spans="1:1" x14ac:dyDescent="0.3">
      <c r="A3879" s="20"/>
    </row>
    <row r="3880" spans="1:1" x14ac:dyDescent="0.3">
      <c r="A3880" s="20"/>
    </row>
    <row r="3881" spans="1:1" x14ac:dyDescent="0.3">
      <c r="A3881" s="20"/>
    </row>
    <row r="3882" spans="1:1" x14ac:dyDescent="0.3">
      <c r="A3882" s="20"/>
    </row>
    <row r="3883" spans="1:1" x14ac:dyDescent="0.3">
      <c r="A3883" s="20"/>
    </row>
    <row r="3884" spans="1:1" x14ac:dyDescent="0.3">
      <c r="A3884" s="20"/>
    </row>
    <row r="3885" spans="1:1" x14ac:dyDescent="0.3">
      <c r="A3885" s="20"/>
    </row>
    <row r="3886" spans="1:1" x14ac:dyDescent="0.3">
      <c r="A3886" s="20"/>
    </row>
    <row r="3887" spans="1:1" x14ac:dyDescent="0.3">
      <c r="A3887" s="20"/>
    </row>
    <row r="3888" spans="1:1" x14ac:dyDescent="0.3">
      <c r="A3888" s="20"/>
    </row>
    <row r="3889" spans="1:1" x14ac:dyDescent="0.3">
      <c r="A3889" s="20"/>
    </row>
    <row r="3890" spans="1:1" x14ac:dyDescent="0.3">
      <c r="A3890" s="20"/>
    </row>
    <row r="3891" spans="1:1" x14ac:dyDescent="0.3">
      <c r="A3891" s="20"/>
    </row>
    <row r="3892" spans="1:1" x14ac:dyDescent="0.3">
      <c r="A3892" s="20"/>
    </row>
    <row r="3893" spans="1:1" x14ac:dyDescent="0.3">
      <c r="A3893" s="20"/>
    </row>
    <row r="3894" spans="1:1" x14ac:dyDescent="0.3">
      <c r="A3894" s="20"/>
    </row>
    <row r="3895" spans="1:1" x14ac:dyDescent="0.3">
      <c r="A3895" s="20"/>
    </row>
    <row r="3896" spans="1:1" x14ac:dyDescent="0.3">
      <c r="A3896" s="20"/>
    </row>
    <row r="3897" spans="1:1" x14ac:dyDescent="0.3">
      <c r="A3897" s="20"/>
    </row>
    <row r="3898" spans="1:1" x14ac:dyDescent="0.3">
      <c r="A3898" s="20"/>
    </row>
    <row r="3899" spans="1:1" x14ac:dyDescent="0.3">
      <c r="A3899" s="20"/>
    </row>
    <row r="3900" spans="1:1" x14ac:dyDescent="0.3">
      <c r="A3900" s="20"/>
    </row>
    <row r="3901" spans="1:1" x14ac:dyDescent="0.3">
      <c r="A3901" s="20"/>
    </row>
    <row r="3902" spans="1:1" x14ac:dyDescent="0.3">
      <c r="A3902" s="20"/>
    </row>
    <row r="3903" spans="1:1" x14ac:dyDescent="0.3">
      <c r="A3903" s="20"/>
    </row>
    <row r="3904" spans="1:1" x14ac:dyDescent="0.3">
      <c r="A3904" s="20"/>
    </row>
    <row r="3905" spans="1:1" x14ac:dyDescent="0.3">
      <c r="A3905" s="20"/>
    </row>
    <row r="3906" spans="1:1" x14ac:dyDescent="0.3">
      <c r="A3906" s="20"/>
    </row>
    <row r="3907" spans="1:1" x14ac:dyDescent="0.3">
      <c r="A3907" s="20"/>
    </row>
    <row r="3908" spans="1:1" x14ac:dyDescent="0.3">
      <c r="A3908" s="20"/>
    </row>
    <row r="3909" spans="1:1" x14ac:dyDescent="0.3">
      <c r="A3909" s="20"/>
    </row>
    <row r="3910" spans="1:1" x14ac:dyDescent="0.3">
      <c r="A3910" s="20"/>
    </row>
    <row r="3911" spans="1:1" x14ac:dyDescent="0.3">
      <c r="A3911" s="20"/>
    </row>
    <row r="3912" spans="1:1" x14ac:dyDescent="0.3">
      <c r="A3912" s="20"/>
    </row>
    <row r="3913" spans="1:1" x14ac:dyDescent="0.3">
      <c r="A3913" s="20"/>
    </row>
    <row r="3914" spans="1:1" x14ac:dyDescent="0.3">
      <c r="A3914" s="20"/>
    </row>
    <row r="3915" spans="1:1" x14ac:dyDescent="0.3">
      <c r="A3915" s="20"/>
    </row>
    <row r="3916" spans="1:1" x14ac:dyDescent="0.3">
      <c r="A3916" s="20"/>
    </row>
    <row r="3917" spans="1:1" x14ac:dyDescent="0.3">
      <c r="A3917" s="20"/>
    </row>
    <row r="3918" spans="1:1" x14ac:dyDescent="0.3">
      <c r="A3918" s="20"/>
    </row>
    <row r="3919" spans="1:1" x14ac:dyDescent="0.3">
      <c r="A3919" s="20"/>
    </row>
    <row r="3920" spans="1:1" x14ac:dyDescent="0.3">
      <c r="A3920" s="20"/>
    </row>
    <row r="3921" spans="1:1" x14ac:dyDescent="0.3">
      <c r="A3921" s="20"/>
    </row>
    <row r="3922" spans="1:1" x14ac:dyDescent="0.3">
      <c r="A3922" s="20"/>
    </row>
    <row r="3923" spans="1:1" x14ac:dyDescent="0.3">
      <c r="A3923" s="20"/>
    </row>
    <row r="3924" spans="1:1" x14ac:dyDescent="0.3">
      <c r="A3924" s="20"/>
    </row>
    <row r="3925" spans="1:1" x14ac:dyDescent="0.3">
      <c r="A3925" s="20"/>
    </row>
    <row r="3926" spans="1:1" x14ac:dyDescent="0.3">
      <c r="A3926" s="20"/>
    </row>
    <row r="3927" spans="1:1" x14ac:dyDescent="0.3">
      <c r="A3927" s="20"/>
    </row>
    <row r="3928" spans="1:1" x14ac:dyDescent="0.3">
      <c r="A3928" s="20"/>
    </row>
    <row r="3929" spans="1:1" x14ac:dyDescent="0.3">
      <c r="A3929" s="20"/>
    </row>
    <row r="3930" spans="1:1" x14ac:dyDescent="0.3">
      <c r="A3930" s="20"/>
    </row>
    <row r="3931" spans="1:1" x14ac:dyDescent="0.3">
      <c r="A3931" s="20"/>
    </row>
    <row r="3932" spans="1:1" x14ac:dyDescent="0.3">
      <c r="A3932" s="20"/>
    </row>
    <row r="3933" spans="1:1" x14ac:dyDescent="0.3">
      <c r="A3933" s="20"/>
    </row>
    <row r="3934" spans="1:1" x14ac:dyDescent="0.3">
      <c r="A3934" s="20"/>
    </row>
    <row r="3935" spans="1:1" x14ac:dyDescent="0.3">
      <c r="A3935" s="20"/>
    </row>
    <row r="3936" spans="1:1" x14ac:dyDescent="0.3">
      <c r="A3936" s="20"/>
    </row>
    <row r="3937" spans="1:1" x14ac:dyDescent="0.3">
      <c r="A3937" s="20"/>
    </row>
    <row r="3938" spans="1:1" x14ac:dyDescent="0.3">
      <c r="A3938" s="20"/>
    </row>
    <row r="3939" spans="1:1" x14ac:dyDescent="0.3">
      <c r="A3939" s="20"/>
    </row>
    <row r="3940" spans="1:1" x14ac:dyDescent="0.3">
      <c r="A3940" s="20"/>
    </row>
    <row r="3941" spans="1:1" x14ac:dyDescent="0.3">
      <c r="A3941" s="20"/>
    </row>
    <row r="3942" spans="1:1" x14ac:dyDescent="0.3">
      <c r="A3942" s="20"/>
    </row>
    <row r="3943" spans="1:1" x14ac:dyDescent="0.3">
      <c r="A3943" s="20"/>
    </row>
    <row r="3944" spans="1:1" x14ac:dyDescent="0.3">
      <c r="A3944" s="20"/>
    </row>
    <row r="3945" spans="1:1" x14ac:dyDescent="0.3">
      <c r="A3945" s="20"/>
    </row>
    <row r="3946" spans="1:1" x14ac:dyDescent="0.3">
      <c r="A3946" s="20"/>
    </row>
    <row r="3947" spans="1:1" x14ac:dyDescent="0.3">
      <c r="A3947" s="20"/>
    </row>
    <row r="3948" spans="1:1" x14ac:dyDescent="0.3">
      <c r="A3948" s="20"/>
    </row>
    <row r="3949" spans="1:1" x14ac:dyDescent="0.3">
      <c r="A3949" s="20"/>
    </row>
    <row r="3950" spans="1:1" x14ac:dyDescent="0.3">
      <c r="A3950" s="20"/>
    </row>
    <row r="3951" spans="1:1" x14ac:dyDescent="0.3">
      <c r="A3951" s="20"/>
    </row>
    <row r="3952" spans="1:1" x14ac:dyDescent="0.3">
      <c r="A3952" s="20"/>
    </row>
    <row r="3953" spans="1:1" x14ac:dyDescent="0.3">
      <c r="A3953" s="20"/>
    </row>
    <row r="3954" spans="1:1" x14ac:dyDescent="0.3">
      <c r="A3954" s="20"/>
    </row>
    <row r="3955" spans="1:1" x14ac:dyDescent="0.3">
      <c r="A3955" s="20"/>
    </row>
    <row r="3956" spans="1:1" x14ac:dyDescent="0.3">
      <c r="A3956" s="20"/>
    </row>
    <row r="3957" spans="1:1" x14ac:dyDescent="0.3">
      <c r="A3957" s="20"/>
    </row>
    <row r="3958" spans="1:1" x14ac:dyDescent="0.3">
      <c r="A3958" s="20"/>
    </row>
    <row r="3959" spans="1:1" x14ac:dyDescent="0.3">
      <c r="A3959" s="20"/>
    </row>
    <row r="3960" spans="1:1" x14ac:dyDescent="0.3">
      <c r="A3960" s="20"/>
    </row>
    <row r="3961" spans="1:1" x14ac:dyDescent="0.3">
      <c r="A3961" s="20"/>
    </row>
    <row r="3962" spans="1:1" x14ac:dyDescent="0.3">
      <c r="A3962" s="20"/>
    </row>
    <row r="3963" spans="1:1" x14ac:dyDescent="0.3">
      <c r="A3963" s="20"/>
    </row>
    <row r="3964" spans="1:1" x14ac:dyDescent="0.3">
      <c r="A3964" s="20"/>
    </row>
    <row r="3965" spans="1:1" x14ac:dyDescent="0.3">
      <c r="A3965" s="20"/>
    </row>
    <row r="3966" spans="1:1" x14ac:dyDescent="0.3">
      <c r="A3966" s="20"/>
    </row>
    <row r="3967" spans="1:1" x14ac:dyDescent="0.3">
      <c r="A3967" s="20"/>
    </row>
    <row r="3968" spans="1:1" x14ac:dyDescent="0.3">
      <c r="A3968" s="20"/>
    </row>
    <row r="3969" spans="1:1" x14ac:dyDescent="0.3">
      <c r="A3969" s="20"/>
    </row>
    <row r="3970" spans="1:1" x14ac:dyDescent="0.3">
      <c r="A3970" s="20"/>
    </row>
    <row r="3971" spans="1:1" x14ac:dyDescent="0.3">
      <c r="A3971" s="20"/>
    </row>
    <row r="3972" spans="1:1" x14ac:dyDescent="0.3">
      <c r="A3972" s="20"/>
    </row>
    <row r="3973" spans="1:1" x14ac:dyDescent="0.3">
      <c r="A3973" s="20"/>
    </row>
    <row r="3974" spans="1:1" x14ac:dyDescent="0.3">
      <c r="A3974" s="20"/>
    </row>
    <row r="3975" spans="1:1" x14ac:dyDescent="0.3">
      <c r="A3975" s="20"/>
    </row>
    <row r="3976" spans="1:1" x14ac:dyDescent="0.3">
      <c r="A3976" s="20"/>
    </row>
    <row r="3977" spans="1:1" x14ac:dyDescent="0.3">
      <c r="A3977" s="20"/>
    </row>
    <row r="3978" spans="1:1" x14ac:dyDescent="0.3">
      <c r="A3978" s="20"/>
    </row>
    <row r="3979" spans="1:1" x14ac:dyDescent="0.3">
      <c r="A3979" s="20"/>
    </row>
    <row r="3980" spans="1:1" x14ac:dyDescent="0.3">
      <c r="A3980" s="20"/>
    </row>
    <row r="3981" spans="1:1" x14ac:dyDescent="0.3">
      <c r="A3981" s="20"/>
    </row>
    <row r="3982" spans="1:1" x14ac:dyDescent="0.3">
      <c r="A3982" s="20"/>
    </row>
    <row r="3983" spans="1:1" x14ac:dyDescent="0.3">
      <c r="A3983" s="20"/>
    </row>
    <row r="3984" spans="1:1" x14ac:dyDescent="0.3">
      <c r="A3984" s="20"/>
    </row>
    <row r="3985" spans="1:1" x14ac:dyDescent="0.3">
      <c r="A3985" s="20"/>
    </row>
    <row r="3986" spans="1:1" x14ac:dyDescent="0.3">
      <c r="A3986" s="20"/>
    </row>
    <row r="3987" spans="1:1" x14ac:dyDescent="0.3">
      <c r="A3987" s="20"/>
    </row>
    <row r="3988" spans="1:1" x14ac:dyDescent="0.3">
      <c r="A3988" s="20"/>
    </row>
    <row r="3989" spans="1:1" x14ac:dyDescent="0.3">
      <c r="A3989" s="20"/>
    </row>
    <row r="3990" spans="1:1" x14ac:dyDescent="0.3">
      <c r="A3990" s="20"/>
    </row>
    <row r="3991" spans="1:1" x14ac:dyDescent="0.3">
      <c r="A3991" s="20"/>
    </row>
    <row r="3992" spans="1:1" x14ac:dyDescent="0.3">
      <c r="A3992" s="20"/>
    </row>
    <row r="3993" spans="1:1" x14ac:dyDescent="0.3">
      <c r="A3993" s="20"/>
    </row>
    <row r="3994" spans="1:1" x14ac:dyDescent="0.3">
      <c r="A3994" s="20"/>
    </row>
    <row r="3995" spans="1:1" x14ac:dyDescent="0.3">
      <c r="A3995" s="20"/>
    </row>
    <row r="3996" spans="1:1" x14ac:dyDescent="0.3">
      <c r="A3996" s="20"/>
    </row>
    <row r="3997" spans="1:1" x14ac:dyDescent="0.3">
      <c r="A3997" s="20"/>
    </row>
    <row r="3998" spans="1:1" x14ac:dyDescent="0.3">
      <c r="A3998" s="20"/>
    </row>
    <row r="3999" spans="1:1" x14ac:dyDescent="0.3">
      <c r="A3999" s="20"/>
    </row>
    <row r="4000" spans="1:1" x14ac:dyDescent="0.3">
      <c r="A4000" s="20"/>
    </row>
    <row r="4001" spans="1:1" x14ac:dyDescent="0.3">
      <c r="A4001" s="20"/>
    </row>
    <row r="4002" spans="1:1" x14ac:dyDescent="0.3">
      <c r="A4002" s="20"/>
    </row>
    <row r="4003" spans="1:1" x14ac:dyDescent="0.3">
      <c r="A4003" s="20"/>
    </row>
    <row r="4004" spans="1:1" x14ac:dyDescent="0.3">
      <c r="A4004" s="20"/>
    </row>
    <row r="4005" spans="1:1" x14ac:dyDescent="0.3">
      <c r="A4005" s="20"/>
    </row>
    <row r="4006" spans="1:1" x14ac:dyDescent="0.3">
      <c r="A4006" s="20"/>
    </row>
    <row r="4007" spans="1:1" x14ac:dyDescent="0.3">
      <c r="A4007" s="20"/>
    </row>
    <row r="4008" spans="1:1" x14ac:dyDescent="0.3">
      <c r="A4008" s="20"/>
    </row>
    <row r="4009" spans="1:1" x14ac:dyDescent="0.3">
      <c r="A4009" s="20"/>
    </row>
    <row r="4010" spans="1:1" x14ac:dyDescent="0.3">
      <c r="A4010" s="20"/>
    </row>
    <row r="4011" spans="1:1" x14ac:dyDescent="0.3">
      <c r="A4011" s="20"/>
    </row>
    <row r="4012" spans="1:1" x14ac:dyDescent="0.3">
      <c r="A4012" s="20"/>
    </row>
    <row r="4013" spans="1:1" x14ac:dyDescent="0.3">
      <c r="A4013" s="20"/>
    </row>
    <row r="4014" spans="1:1" x14ac:dyDescent="0.3">
      <c r="A4014" s="20"/>
    </row>
    <row r="4015" spans="1:1" x14ac:dyDescent="0.3">
      <c r="A4015" s="20"/>
    </row>
    <row r="4016" spans="1:1" x14ac:dyDescent="0.3">
      <c r="A4016" s="20"/>
    </row>
    <row r="4017" spans="1:1" x14ac:dyDescent="0.3">
      <c r="A4017" s="20"/>
    </row>
    <row r="4018" spans="1:1" x14ac:dyDescent="0.3">
      <c r="A4018" s="20"/>
    </row>
    <row r="4019" spans="1:1" x14ac:dyDescent="0.3">
      <c r="A4019" s="20"/>
    </row>
    <row r="4020" spans="1:1" x14ac:dyDescent="0.3">
      <c r="A4020" s="20"/>
    </row>
    <row r="4021" spans="1:1" x14ac:dyDescent="0.3">
      <c r="A4021" s="20"/>
    </row>
    <row r="4022" spans="1:1" x14ac:dyDescent="0.3">
      <c r="A4022" s="20"/>
    </row>
    <row r="4023" spans="1:1" x14ac:dyDescent="0.3">
      <c r="A4023" s="20"/>
    </row>
    <row r="4024" spans="1:1" x14ac:dyDescent="0.3">
      <c r="A4024" s="20"/>
    </row>
    <row r="4025" spans="1:1" x14ac:dyDescent="0.3">
      <c r="A4025" s="20"/>
    </row>
    <row r="4026" spans="1:1" x14ac:dyDescent="0.3">
      <c r="A4026" s="20"/>
    </row>
    <row r="4027" spans="1:1" x14ac:dyDescent="0.3">
      <c r="A4027" s="20"/>
    </row>
    <row r="4028" spans="1:1" x14ac:dyDescent="0.3">
      <c r="A4028" s="20"/>
    </row>
    <row r="4029" spans="1:1" x14ac:dyDescent="0.3">
      <c r="A4029" s="20"/>
    </row>
    <row r="4030" spans="1:1" x14ac:dyDescent="0.3">
      <c r="A4030" s="20"/>
    </row>
    <row r="4031" spans="1:1" x14ac:dyDescent="0.3">
      <c r="A4031" s="20"/>
    </row>
    <row r="4032" spans="1:1" x14ac:dyDescent="0.3">
      <c r="A4032" s="20"/>
    </row>
    <row r="4033" spans="1:1" x14ac:dyDescent="0.3">
      <c r="A4033" s="20"/>
    </row>
    <row r="4034" spans="1:1" x14ac:dyDescent="0.3">
      <c r="A4034" s="20"/>
    </row>
    <row r="4035" spans="1:1" x14ac:dyDescent="0.3">
      <c r="A4035" s="20"/>
    </row>
    <row r="4036" spans="1:1" x14ac:dyDescent="0.3">
      <c r="A4036" s="20"/>
    </row>
    <row r="4037" spans="1:1" x14ac:dyDescent="0.3">
      <c r="A4037" s="20"/>
    </row>
    <row r="4038" spans="1:1" x14ac:dyDescent="0.3">
      <c r="A4038" s="20"/>
    </row>
    <row r="4039" spans="1:1" x14ac:dyDescent="0.3">
      <c r="A4039" s="20"/>
    </row>
    <row r="4040" spans="1:1" x14ac:dyDescent="0.3">
      <c r="A4040" s="20"/>
    </row>
    <row r="4041" spans="1:1" x14ac:dyDescent="0.3">
      <c r="A4041" s="20"/>
    </row>
    <row r="4042" spans="1:1" x14ac:dyDescent="0.3">
      <c r="A4042" s="20"/>
    </row>
    <row r="4043" spans="1:1" x14ac:dyDescent="0.3">
      <c r="A4043" s="20"/>
    </row>
    <row r="4044" spans="1:1" x14ac:dyDescent="0.3">
      <c r="A4044" s="20"/>
    </row>
    <row r="4045" spans="1:1" x14ac:dyDescent="0.3">
      <c r="A4045" s="20"/>
    </row>
    <row r="4046" spans="1:1" x14ac:dyDescent="0.3">
      <c r="A4046" s="20"/>
    </row>
    <row r="4047" spans="1:1" x14ac:dyDescent="0.3">
      <c r="A4047" s="20"/>
    </row>
    <row r="4048" spans="1:1" x14ac:dyDescent="0.3">
      <c r="A4048" s="20"/>
    </row>
    <row r="4049" spans="1:1" x14ac:dyDescent="0.3">
      <c r="A4049" s="20"/>
    </row>
    <row r="4050" spans="1:1" x14ac:dyDescent="0.3">
      <c r="A4050" s="20"/>
    </row>
    <row r="4051" spans="1:1" x14ac:dyDescent="0.3">
      <c r="A4051" s="20"/>
    </row>
    <row r="4052" spans="1:1" x14ac:dyDescent="0.3">
      <c r="A4052" s="20"/>
    </row>
    <row r="4053" spans="1:1" x14ac:dyDescent="0.3">
      <c r="A4053" s="20"/>
    </row>
    <row r="4054" spans="1:1" x14ac:dyDescent="0.3">
      <c r="A4054" s="20"/>
    </row>
    <row r="4055" spans="1:1" x14ac:dyDescent="0.3">
      <c r="A4055" s="20"/>
    </row>
    <row r="4056" spans="1:1" x14ac:dyDescent="0.3">
      <c r="A4056" s="20"/>
    </row>
    <row r="4057" spans="1:1" x14ac:dyDescent="0.3">
      <c r="A4057" s="20"/>
    </row>
    <row r="4058" spans="1:1" x14ac:dyDescent="0.3">
      <c r="A4058" s="20"/>
    </row>
    <row r="4059" spans="1:1" x14ac:dyDescent="0.3">
      <c r="A4059" s="20"/>
    </row>
    <row r="4060" spans="1:1" x14ac:dyDescent="0.3">
      <c r="A4060" s="20"/>
    </row>
    <row r="4061" spans="1:1" x14ac:dyDescent="0.3">
      <c r="A4061" s="20"/>
    </row>
    <row r="4062" spans="1:1" x14ac:dyDescent="0.3">
      <c r="A4062" s="20"/>
    </row>
    <row r="4063" spans="1:1" x14ac:dyDescent="0.3">
      <c r="A4063" s="20"/>
    </row>
    <row r="4064" spans="1:1" x14ac:dyDescent="0.3">
      <c r="A4064" s="20"/>
    </row>
    <row r="4065" spans="1:1" x14ac:dyDescent="0.3">
      <c r="A4065" s="20"/>
    </row>
    <row r="4066" spans="1:1" x14ac:dyDescent="0.3">
      <c r="A4066" s="20"/>
    </row>
    <row r="4067" spans="1:1" x14ac:dyDescent="0.3">
      <c r="A4067" s="20"/>
    </row>
    <row r="4068" spans="1:1" x14ac:dyDescent="0.3">
      <c r="A4068" s="20"/>
    </row>
    <row r="4069" spans="1:1" x14ac:dyDescent="0.3">
      <c r="A4069" s="20"/>
    </row>
    <row r="4070" spans="1:1" x14ac:dyDescent="0.3">
      <c r="A4070" s="20"/>
    </row>
    <row r="4071" spans="1:1" x14ac:dyDescent="0.3">
      <c r="A4071" s="20"/>
    </row>
    <row r="4072" spans="1:1" x14ac:dyDescent="0.3">
      <c r="A4072" s="20"/>
    </row>
    <row r="4073" spans="1:1" x14ac:dyDescent="0.3">
      <c r="A4073" s="20"/>
    </row>
    <row r="4074" spans="1:1" x14ac:dyDescent="0.3">
      <c r="A4074" s="20"/>
    </row>
    <row r="4075" spans="1:1" x14ac:dyDescent="0.3">
      <c r="A4075" s="20"/>
    </row>
    <row r="4076" spans="1:1" x14ac:dyDescent="0.3">
      <c r="A4076" s="20"/>
    </row>
    <row r="4077" spans="1:1" x14ac:dyDescent="0.3">
      <c r="A4077" s="20"/>
    </row>
    <row r="4078" spans="1:1" x14ac:dyDescent="0.3">
      <c r="A4078" s="20"/>
    </row>
    <row r="4079" spans="1:1" x14ac:dyDescent="0.3">
      <c r="A4079" s="20"/>
    </row>
    <row r="4080" spans="1:1" x14ac:dyDescent="0.3">
      <c r="A4080" s="20"/>
    </row>
    <row r="4081" spans="1:1" x14ac:dyDescent="0.3">
      <c r="A4081" s="20"/>
    </row>
    <row r="4082" spans="1:1" x14ac:dyDescent="0.3">
      <c r="A4082" s="20"/>
    </row>
    <row r="4083" spans="1:1" x14ac:dyDescent="0.3">
      <c r="A4083" s="20"/>
    </row>
    <row r="4084" spans="1:1" x14ac:dyDescent="0.3">
      <c r="A4084" s="20"/>
    </row>
    <row r="4085" spans="1:1" x14ac:dyDescent="0.3">
      <c r="A4085" s="20"/>
    </row>
    <row r="4086" spans="1:1" x14ac:dyDescent="0.3">
      <c r="A4086" s="20"/>
    </row>
    <row r="4087" spans="1:1" x14ac:dyDescent="0.3">
      <c r="A4087" s="20"/>
    </row>
    <row r="4088" spans="1:1" x14ac:dyDescent="0.3">
      <c r="A4088" s="20"/>
    </row>
    <row r="4089" spans="1:1" x14ac:dyDescent="0.3">
      <c r="A4089" s="20"/>
    </row>
    <row r="4090" spans="1:1" x14ac:dyDescent="0.3">
      <c r="A4090" s="20"/>
    </row>
    <row r="4091" spans="1:1" x14ac:dyDescent="0.3">
      <c r="A4091" s="20"/>
    </row>
    <row r="4092" spans="1:1" x14ac:dyDescent="0.3">
      <c r="A4092" s="20"/>
    </row>
    <row r="4093" spans="1:1" x14ac:dyDescent="0.3">
      <c r="A4093" s="20"/>
    </row>
    <row r="4094" spans="1:1" x14ac:dyDescent="0.3">
      <c r="A4094" s="20"/>
    </row>
    <row r="4095" spans="1:1" x14ac:dyDescent="0.3">
      <c r="A4095" s="20"/>
    </row>
    <row r="4096" spans="1:1" x14ac:dyDescent="0.3">
      <c r="A4096" s="20"/>
    </row>
    <row r="4097" spans="1:1" x14ac:dyDescent="0.3">
      <c r="A4097" s="20"/>
    </row>
    <row r="4098" spans="1:1" x14ac:dyDescent="0.3">
      <c r="A4098" s="20"/>
    </row>
    <row r="4099" spans="1:1" x14ac:dyDescent="0.3">
      <c r="A4099" s="20"/>
    </row>
    <row r="4100" spans="1:1" x14ac:dyDescent="0.3">
      <c r="A4100" s="20"/>
    </row>
    <row r="4101" spans="1:1" x14ac:dyDescent="0.3">
      <c r="A4101" s="20"/>
    </row>
    <row r="4102" spans="1:1" x14ac:dyDescent="0.3">
      <c r="A4102" s="20"/>
    </row>
    <row r="4103" spans="1:1" x14ac:dyDescent="0.3">
      <c r="A4103" s="20"/>
    </row>
    <row r="4104" spans="1:1" x14ac:dyDescent="0.3">
      <c r="A4104" s="20"/>
    </row>
    <row r="4105" spans="1:1" x14ac:dyDescent="0.3">
      <c r="A4105" s="20"/>
    </row>
    <row r="4106" spans="1:1" x14ac:dyDescent="0.3">
      <c r="A4106" s="20"/>
    </row>
    <row r="4107" spans="1:1" x14ac:dyDescent="0.3">
      <c r="A4107" s="20"/>
    </row>
    <row r="4108" spans="1:1" x14ac:dyDescent="0.3">
      <c r="A4108" s="20"/>
    </row>
    <row r="4109" spans="1:1" x14ac:dyDescent="0.3">
      <c r="A4109" s="20"/>
    </row>
    <row r="4110" spans="1:1" x14ac:dyDescent="0.3">
      <c r="A4110" s="20"/>
    </row>
    <row r="4111" spans="1:1" x14ac:dyDescent="0.3">
      <c r="A4111" s="20"/>
    </row>
    <row r="4112" spans="1:1" x14ac:dyDescent="0.3">
      <c r="A4112" s="20"/>
    </row>
    <row r="4113" spans="1:1" x14ac:dyDescent="0.3">
      <c r="A4113" s="20"/>
    </row>
    <row r="4114" spans="1:1" x14ac:dyDescent="0.3">
      <c r="A4114" s="20"/>
    </row>
    <row r="4115" spans="1:1" x14ac:dyDescent="0.3">
      <c r="A4115" s="20"/>
    </row>
    <row r="4116" spans="1:1" x14ac:dyDescent="0.3">
      <c r="A4116" s="20"/>
    </row>
    <row r="4117" spans="1:1" x14ac:dyDescent="0.3">
      <c r="A4117" s="20"/>
    </row>
    <row r="4118" spans="1:1" x14ac:dyDescent="0.3">
      <c r="A4118" s="20"/>
    </row>
    <row r="4119" spans="1:1" x14ac:dyDescent="0.3">
      <c r="A4119" s="20"/>
    </row>
    <row r="4120" spans="1:1" x14ac:dyDescent="0.3">
      <c r="A4120" s="20"/>
    </row>
    <row r="4121" spans="1:1" x14ac:dyDescent="0.3">
      <c r="A4121" s="20"/>
    </row>
    <row r="4122" spans="1:1" x14ac:dyDescent="0.3">
      <c r="A4122" s="20"/>
    </row>
    <row r="4123" spans="1:1" x14ac:dyDescent="0.3">
      <c r="A4123" s="20"/>
    </row>
    <row r="4124" spans="1:1" x14ac:dyDescent="0.3">
      <c r="A4124" s="20"/>
    </row>
    <row r="4125" spans="1:1" x14ac:dyDescent="0.3">
      <c r="A4125" s="20"/>
    </row>
    <row r="4126" spans="1:1" x14ac:dyDescent="0.3">
      <c r="A4126" s="20"/>
    </row>
    <row r="4127" spans="1:1" x14ac:dyDescent="0.3">
      <c r="A4127" s="20"/>
    </row>
    <row r="4128" spans="1:1" x14ac:dyDescent="0.3">
      <c r="A4128" s="20"/>
    </row>
    <row r="4129" spans="1:1" x14ac:dyDescent="0.3">
      <c r="A4129" s="20"/>
    </row>
    <row r="4130" spans="1:1" x14ac:dyDescent="0.3">
      <c r="A4130" s="20"/>
    </row>
    <row r="4131" spans="1:1" x14ac:dyDescent="0.3">
      <c r="A4131" s="20"/>
    </row>
    <row r="4132" spans="1:1" x14ac:dyDescent="0.3">
      <c r="A4132" s="20"/>
    </row>
    <row r="4133" spans="1:1" x14ac:dyDescent="0.3">
      <c r="A4133" s="20"/>
    </row>
    <row r="4134" spans="1:1" x14ac:dyDescent="0.3">
      <c r="A4134" s="20"/>
    </row>
    <row r="4135" spans="1:1" x14ac:dyDescent="0.3">
      <c r="A4135" s="20"/>
    </row>
    <row r="4136" spans="1:1" x14ac:dyDescent="0.3">
      <c r="A4136" s="20"/>
    </row>
    <row r="4137" spans="1:1" x14ac:dyDescent="0.3">
      <c r="A4137" s="20"/>
    </row>
    <row r="4138" spans="1:1" x14ac:dyDescent="0.3">
      <c r="A4138" s="20"/>
    </row>
    <row r="4139" spans="1:1" x14ac:dyDescent="0.3">
      <c r="A4139" s="20"/>
    </row>
    <row r="4140" spans="1:1" x14ac:dyDescent="0.3">
      <c r="A4140" s="20"/>
    </row>
    <row r="4141" spans="1:1" x14ac:dyDescent="0.3">
      <c r="A4141" s="20"/>
    </row>
    <row r="4142" spans="1:1" x14ac:dyDescent="0.3">
      <c r="A4142" s="20"/>
    </row>
    <row r="4143" spans="1:1" x14ac:dyDescent="0.3">
      <c r="A4143" s="20"/>
    </row>
    <row r="4144" spans="1:1" x14ac:dyDescent="0.3">
      <c r="A4144" s="20"/>
    </row>
    <row r="4145" spans="1:1" x14ac:dyDescent="0.3">
      <c r="A4145" s="20"/>
    </row>
    <row r="4146" spans="1:1" x14ac:dyDescent="0.3">
      <c r="A4146" s="20"/>
    </row>
    <row r="4147" spans="1:1" x14ac:dyDescent="0.3">
      <c r="A4147" s="20"/>
    </row>
    <row r="4148" spans="1:1" x14ac:dyDescent="0.3">
      <c r="A4148" s="20"/>
    </row>
    <row r="4149" spans="1:1" x14ac:dyDescent="0.3">
      <c r="A4149" s="20"/>
    </row>
    <row r="4150" spans="1:1" x14ac:dyDescent="0.3">
      <c r="A4150" s="20"/>
    </row>
    <row r="4151" spans="1:1" x14ac:dyDescent="0.3">
      <c r="A4151" s="20"/>
    </row>
    <row r="4152" spans="1:1" x14ac:dyDescent="0.3">
      <c r="A4152" s="20"/>
    </row>
    <row r="4153" spans="1:1" x14ac:dyDescent="0.3">
      <c r="A4153" s="20"/>
    </row>
    <row r="4154" spans="1:1" x14ac:dyDescent="0.3">
      <c r="A4154" s="20"/>
    </row>
    <row r="4155" spans="1:1" x14ac:dyDescent="0.3">
      <c r="A4155" s="20"/>
    </row>
    <row r="4156" spans="1:1" x14ac:dyDescent="0.3">
      <c r="A4156" s="20"/>
    </row>
    <row r="4157" spans="1:1" x14ac:dyDescent="0.3">
      <c r="A4157" s="20"/>
    </row>
    <row r="4158" spans="1:1" x14ac:dyDescent="0.3">
      <c r="A4158" s="20"/>
    </row>
    <row r="4159" spans="1:1" x14ac:dyDescent="0.3">
      <c r="A4159" s="20"/>
    </row>
    <row r="4160" spans="1:1" x14ac:dyDescent="0.3">
      <c r="A4160" s="20"/>
    </row>
    <row r="4161" spans="1:1" x14ac:dyDescent="0.3">
      <c r="A4161" s="20"/>
    </row>
    <row r="4162" spans="1:1" x14ac:dyDescent="0.3">
      <c r="A4162" s="20"/>
    </row>
    <row r="4163" spans="1:1" x14ac:dyDescent="0.3">
      <c r="A4163" s="20"/>
    </row>
    <row r="4164" spans="1:1" x14ac:dyDescent="0.3">
      <c r="A4164" s="20"/>
    </row>
    <row r="4165" spans="1:1" x14ac:dyDescent="0.3">
      <c r="A4165" s="20"/>
    </row>
    <row r="4166" spans="1:1" x14ac:dyDescent="0.3">
      <c r="A4166" s="20"/>
    </row>
    <row r="4167" spans="1:1" x14ac:dyDescent="0.3">
      <c r="A4167" s="20"/>
    </row>
    <row r="4168" spans="1:1" x14ac:dyDescent="0.3">
      <c r="A4168" s="20"/>
    </row>
    <row r="4169" spans="1:1" x14ac:dyDescent="0.3">
      <c r="A4169" s="20"/>
    </row>
    <row r="4170" spans="1:1" x14ac:dyDescent="0.3">
      <c r="A4170" s="20"/>
    </row>
    <row r="4171" spans="1:1" x14ac:dyDescent="0.3">
      <c r="A4171" s="20"/>
    </row>
    <row r="4172" spans="1:1" x14ac:dyDescent="0.3">
      <c r="A4172" s="20"/>
    </row>
    <row r="4173" spans="1:1" x14ac:dyDescent="0.3">
      <c r="A4173" s="20"/>
    </row>
    <row r="4174" spans="1:1" x14ac:dyDescent="0.3">
      <c r="A4174" s="20"/>
    </row>
    <row r="4175" spans="1:1" x14ac:dyDescent="0.3">
      <c r="A4175" s="20"/>
    </row>
    <row r="4176" spans="1:1" x14ac:dyDescent="0.3">
      <c r="A4176" s="20"/>
    </row>
    <row r="4177" spans="1:1" x14ac:dyDescent="0.3">
      <c r="A4177" s="20"/>
    </row>
    <row r="4178" spans="1:1" x14ac:dyDescent="0.3">
      <c r="A4178" s="20"/>
    </row>
    <row r="4179" spans="1:1" x14ac:dyDescent="0.3">
      <c r="A4179" s="20"/>
    </row>
    <row r="4180" spans="1:1" x14ac:dyDescent="0.3">
      <c r="A4180" s="20"/>
    </row>
    <row r="4181" spans="1:1" x14ac:dyDescent="0.3">
      <c r="A4181" s="20"/>
    </row>
    <row r="4182" spans="1:1" x14ac:dyDescent="0.3">
      <c r="A4182" s="20"/>
    </row>
    <row r="4183" spans="1:1" x14ac:dyDescent="0.3">
      <c r="A4183" s="20"/>
    </row>
    <row r="4184" spans="1:1" x14ac:dyDescent="0.3">
      <c r="A4184" s="20"/>
    </row>
    <row r="4185" spans="1:1" x14ac:dyDescent="0.3">
      <c r="A4185" s="20"/>
    </row>
    <row r="4186" spans="1:1" x14ac:dyDescent="0.3">
      <c r="A4186" s="20"/>
    </row>
    <row r="4187" spans="1:1" x14ac:dyDescent="0.3">
      <c r="A4187" s="20"/>
    </row>
    <row r="4188" spans="1:1" x14ac:dyDescent="0.3">
      <c r="A4188" s="20"/>
    </row>
    <row r="4189" spans="1:1" x14ac:dyDescent="0.3">
      <c r="A4189" s="20"/>
    </row>
    <row r="4190" spans="1:1" x14ac:dyDescent="0.3">
      <c r="A4190" s="20"/>
    </row>
    <row r="4191" spans="1:1" x14ac:dyDescent="0.3">
      <c r="A4191" s="20"/>
    </row>
    <row r="4192" spans="1:1" x14ac:dyDescent="0.3">
      <c r="A4192" s="20"/>
    </row>
    <row r="4193" spans="1:1" x14ac:dyDescent="0.3">
      <c r="A4193" s="20"/>
    </row>
    <row r="4194" spans="1:1" x14ac:dyDescent="0.3">
      <c r="A4194" s="20"/>
    </row>
    <row r="4195" spans="1:1" x14ac:dyDescent="0.3">
      <c r="A4195" s="20"/>
    </row>
    <row r="4196" spans="1:1" x14ac:dyDescent="0.3">
      <c r="A4196" s="20"/>
    </row>
    <row r="4197" spans="1:1" x14ac:dyDescent="0.3">
      <c r="A4197" s="20"/>
    </row>
    <row r="4198" spans="1:1" x14ac:dyDescent="0.3">
      <c r="A4198" s="20"/>
    </row>
    <row r="4199" spans="1:1" x14ac:dyDescent="0.3">
      <c r="A4199" s="20"/>
    </row>
    <row r="4200" spans="1:1" x14ac:dyDescent="0.3">
      <c r="A4200" s="20"/>
    </row>
    <row r="4201" spans="1:1" x14ac:dyDescent="0.3">
      <c r="A4201" s="20"/>
    </row>
    <row r="4202" spans="1:1" x14ac:dyDescent="0.3">
      <c r="A4202" s="20"/>
    </row>
    <row r="4203" spans="1:1" x14ac:dyDescent="0.3">
      <c r="A4203" s="20"/>
    </row>
    <row r="4204" spans="1:1" x14ac:dyDescent="0.3">
      <c r="A4204" s="20"/>
    </row>
    <row r="4205" spans="1:1" x14ac:dyDescent="0.3">
      <c r="A4205" s="20"/>
    </row>
    <row r="4206" spans="1:1" x14ac:dyDescent="0.3">
      <c r="A4206" s="20"/>
    </row>
    <row r="4207" spans="1:1" x14ac:dyDescent="0.3">
      <c r="A4207" s="20"/>
    </row>
    <row r="4208" spans="1:1" x14ac:dyDescent="0.3">
      <c r="A4208" s="20"/>
    </row>
    <row r="4209" spans="1:1" x14ac:dyDescent="0.3">
      <c r="A4209" s="20"/>
    </row>
    <row r="4210" spans="1:1" x14ac:dyDescent="0.3">
      <c r="A4210" s="20"/>
    </row>
    <row r="4211" spans="1:1" x14ac:dyDescent="0.3">
      <c r="A4211" s="20"/>
    </row>
    <row r="4212" spans="1:1" x14ac:dyDescent="0.3">
      <c r="A4212" s="20"/>
    </row>
    <row r="4213" spans="1:1" x14ac:dyDescent="0.3">
      <c r="A4213" s="20"/>
    </row>
    <row r="4214" spans="1:1" x14ac:dyDescent="0.3">
      <c r="A4214" s="20"/>
    </row>
    <row r="4215" spans="1:1" x14ac:dyDescent="0.3">
      <c r="A4215" s="20"/>
    </row>
    <row r="4216" spans="1:1" x14ac:dyDescent="0.3">
      <c r="A4216" s="20"/>
    </row>
    <row r="4217" spans="1:1" x14ac:dyDescent="0.3">
      <c r="A4217" s="20"/>
    </row>
    <row r="4218" spans="1:1" x14ac:dyDescent="0.3">
      <c r="A4218" s="20"/>
    </row>
    <row r="4219" spans="1:1" x14ac:dyDescent="0.3">
      <c r="A4219" s="20"/>
    </row>
    <row r="4220" spans="1:1" x14ac:dyDescent="0.3">
      <c r="A4220" s="20"/>
    </row>
    <row r="4221" spans="1:1" x14ac:dyDescent="0.3">
      <c r="A4221" s="20"/>
    </row>
    <row r="4222" spans="1:1" x14ac:dyDescent="0.3">
      <c r="A4222" s="20"/>
    </row>
    <row r="4223" spans="1:1" x14ac:dyDescent="0.3">
      <c r="A4223" s="20"/>
    </row>
    <row r="4224" spans="1:1" x14ac:dyDescent="0.3">
      <c r="A4224" s="20"/>
    </row>
    <row r="4225" spans="1:1" x14ac:dyDescent="0.3">
      <c r="A4225" s="20"/>
    </row>
    <row r="4226" spans="1:1" x14ac:dyDescent="0.3">
      <c r="A4226" s="20"/>
    </row>
    <row r="4227" spans="1:1" x14ac:dyDescent="0.3">
      <c r="A4227" s="20"/>
    </row>
    <row r="4228" spans="1:1" x14ac:dyDescent="0.3">
      <c r="A4228" s="20"/>
    </row>
    <row r="4229" spans="1:1" x14ac:dyDescent="0.3">
      <c r="A4229" s="20"/>
    </row>
    <row r="4230" spans="1:1" x14ac:dyDescent="0.3">
      <c r="A4230" s="20"/>
    </row>
    <row r="4231" spans="1:1" x14ac:dyDescent="0.3">
      <c r="A4231" s="20"/>
    </row>
    <row r="4232" spans="1:1" x14ac:dyDescent="0.3">
      <c r="A4232" s="20"/>
    </row>
    <row r="4233" spans="1:1" x14ac:dyDescent="0.3">
      <c r="A4233" s="20"/>
    </row>
    <row r="4234" spans="1:1" x14ac:dyDescent="0.3">
      <c r="A4234" s="20"/>
    </row>
    <row r="4235" spans="1:1" x14ac:dyDescent="0.3">
      <c r="A4235" s="20"/>
    </row>
    <row r="4236" spans="1:1" x14ac:dyDescent="0.3">
      <c r="A4236" s="20"/>
    </row>
    <row r="4237" spans="1:1" x14ac:dyDescent="0.3">
      <c r="A4237" s="20"/>
    </row>
    <row r="4238" spans="1:1" x14ac:dyDescent="0.3">
      <c r="A4238" s="20"/>
    </row>
    <row r="4239" spans="1:1" x14ac:dyDescent="0.3">
      <c r="A4239" s="20"/>
    </row>
    <row r="4240" spans="1:1" x14ac:dyDescent="0.3">
      <c r="A4240" s="20"/>
    </row>
    <row r="4241" spans="1:1" x14ac:dyDescent="0.3">
      <c r="A4241" s="20"/>
    </row>
    <row r="4242" spans="1:1" x14ac:dyDescent="0.3">
      <c r="A4242" s="20"/>
    </row>
    <row r="4243" spans="1:1" x14ac:dyDescent="0.3">
      <c r="A4243" s="20"/>
    </row>
    <row r="4244" spans="1:1" x14ac:dyDescent="0.3">
      <c r="A4244" s="20"/>
    </row>
    <row r="4245" spans="1:1" x14ac:dyDescent="0.3">
      <c r="A4245" s="20"/>
    </row>
    <row r="4246" spans="1:1" x14ac:dyDescent="0.3">
      <c r="A4246" s="20"/>
    </row>
    <row r="4247" spans="1:1" x14ac:dyDescent="0.3">
      <c r="A4247" s="20"/>
    </row>
    <row r="4248" spans="1:1" x14ac:dyDescent="0.3">
      <c r="A4248" s="20"/>
    </row>
    <row r="4249" spans="1:1" x14ac:dyDescent="0.3">
      <c r="A4249" s="20"/>
    </row>
    <row r="4250" spans="1:1" x14ac:dyDescent="0.3">
      <c r="A4250" s="20"/>
    </row>
    <row r="4251" spans="1:1" x14ac:dyDescent="0.3">
      <c r="A4251" s="20"/>
    </row>
    <row r="4252" spans="1:1" x14ac:dyDescent="0.3">
      <c r="A4252" s="20"/>
    </row>
    <row r="4253" spans="1:1" x14ac:dyDescent="0.3">
      <c r="A4253" s="20"/>
    </row>
    <row r="4254" spans="1:1" x14ac:dyDescent="0.3">
      <c r="A4254" s="20"/>
    </row>
    <row r="4255" spans="1:1" x14ac:dyDescent="0.3">
      <c r="A4255" s="20"/>
    </row>
    <row r="4256" spans="1:1" x14ac:dyDescent="0.3">
      <c r="A4256" s="20"/>
    </row>
    <row r="4257" spans="1:1" x14ac:dyDescent="0.3">
      <c r="A4257" s="20"/>
    </row>
    <row r="4258" spans="1:1" x14ac:dyDescent="0.3">
      <c r="A4258" s="20"/>
    </row>
    <row r="4259" spans="1:1" x14ac:dyDescent="0.3">
      <c r="A4259" s="20"/>
    </row>
    <row r="4260" spans="1:1" x14ac:dyDescent="0.3">
      <c r="A4260" s="20"/>
    </row>
    <row r="4261" spans="1:1" x14ac:dyDescent="0.3">
      <c r="A4261" s="20"/>
    </row>
    <row r="4262" spans="1:1" x14ac:dyDescent="0.3">
      <c r="A4262" s="20"/>
    </row>
    <row r="4263" spans="1:1" x14ac:dyDescent="0.3">
      <c r="A4263" s="20"/>
    </row>
    <row r="4264" spans="1:1" x14ac:dyDescent="0.3">
      <c r="A4264" s="20"/>
    </row>
    <row r="4265" spans="1:1" x14ac:dyDescent="0.3">
      <c r="A4265" s="20"/>
    </row>
    <row r="4266" spans="1:1" x14ac:dyDescent="0.3">
      <c r="A4266" s="20"/>
    </row>
    <row r="4267" spans="1:1" x14ac:dyDescent="0.3">
      <c r="A4267" s="20"/>
    </row>
    <row r="4268" spans="1:1" x14ac:dyDescent="0.3">
      <c r="A4268" s="20"/>
    </row>
    <row r="4269" spans="1:1" x14ac:dyDescent="0.3">
      <c r="A4269" s="20"/>
    </row>
    <row r="4270" spans="1:1" x14ac:dyDescent="0.3">
      <c r="A4270" s="20"/>
    </row>
    <row r="4271" spans="1:1" x14ac:dyDescent="0.3">
      <c r="A4271" s="20"/>
    </row>
    <row r="4272" spans="1:1" x14ac:dyDescent="0.3">
      <c r="A4272" s="20"/>
    </row>
    <row r="4273" spans="1:1" x14ac:dyDescent="0.3">
      <c r="A4273" s="20"/>
    </row>
    <row r="4274" spans="1:1" x14ac:dyDescent="0.3">
      <c r="A4274" s="20"/>
    </row>
    <row r="4275" spans="1:1" x14ac:dyDescent="0.3">
      <c r="A4275" s="20"/>
    </row>
    <row r="4276" spans="1:1" x14ac:dyDescent="0.3">
      <c r="A4276" s="20"/>
    </row>
    <row r="4277" spans="1:1" x14ac:dyDescent="0.3">
      <c r="A4277" s="20"/>
    </row>
    <row r="4278" spans="1:1" x14ac:dyDescent="0.3">
      <c r="A4278" s="20"/>
    </row>
    <row r="4279" spans="1:1" x14ac:dyDescent="0.3">
      <c r="A4279" s="20"/>
    </row>
    <row r="4280" spans="1:1" x14ac:dyDescent="0.3">
      <c r="A4280" s="20"/>
    </row>
    <row r="4281" spans="1:1" x14ac:dyDescent="0.3">
      <c r="A4281" s="20"/>
    </row>
    <row r="4282" spans="1:1" x14ac:dyDescent="0.3">
      <c r="A4282" s="20"/>
    </row>
    <row r="4283" spans="1:1" x14ac:dyDescent="0.3">
      <c r="A4283" s="20"/>
    </row>
    <row r="4284" spans="1:1" x14ac:dyDescent="0.3">
      <c r="A4284" s="20"/>
    </row>
    <row r="4285" spans="1:1" x14ac:dyDescent="0.3">
      <c r="A4285" s="20"/>
    </row>
    <row r="4286" spans="1:1" x14ac:dyDescent="0.3">
      <c r="A4286" s="20"/>
    </row>
    <row r="4287" spans="1:1" x14ac:dyDescent="0.3">
      <c r="A4287" s="20"/>
    </row>
    <row r="4288" spans="1:1" x14ac:dyDescent="0.3">
      <c r="A4288" s="20"/>
    </row>
    <row r="4289" spans="1:1" x14ac:dyDescent="0.3">
      <c r="A4289" s="20"/>
    </row>
    <row r="4290" spans="1:1" x14ac:dyDescent="0.3">
      <c r="A4290" s="20"/>
    </row>
    <row r="4291" spans="1:1" x14ac:dyDescent="0.3">
      <c r="A4291" s="20"/>
    </row>
    <row r="4292" spans="1:1" x14ac:dyDescent="0.3">
      <c r="A4292" s="20"/>
    </row>
    <row r="4293" spans="1:1" x14ac:dyDescent="0.3">
      <c r="A4293" s="20"/>
    </row>
    <row r="4294" spans="1:1" x14ac:dyDescent="0.3">
      <c r="A4294" s="20"/>
    </row>
    <row r="4295" spans="1:1" x14ac:dyDescent="0.3">
      <c r="A4295" s="20"/>
    </row>
    <row r="4296" spans="1:1" x14ac:dyDescent="0.3">
      <c r="A4296" s="20"/>
    </row>
    <row r="4297" spans="1:1" x14ac:dyDescent="0.3">
      <c r="A4297" s="20"/>
    </row>
    <row r="4298" spans="1:1" x14ac:dyDescent="0.3">
      <c r="A4298" s="20"/>
    </row>
    <row r="4299" spans="1:1" x14ac:dyDescent="0.3">
      <c r="A4299" s="20"/>
    </row>
    <row r="4300" spans="1:1" x14ac:dyDescent="0.3">
      <c r="A4300" s="20"/>
    </row>
    <row r="4301" spans="1:1" x14ac:dyDescent="0.3">
      <c r="A4301" s="20"/>
    </row>
    <row r="4302" spans="1:1" x14ac:dyDescent="0.3">
      <c r="A4302" s="20"/>
    </row>
    <row r="4303" spans="1:1" x14ac:dyDescent="0.3">
      <c r="A4303" s="20"/>
    </row>
    <row r="4304" spans="1:1" x14ac:dyDescent="0.3">
      <c r="A4304" s="20"/>
    </row>
    <row r="4305" spans="1:1" x14ac:dyDescent="0.3">
      <c r="A4305" s="20"/>
    </row>
    <row r="4306" spans="1:1" x14ac:dyDescent="0.3">
      <c r="A4306" s="20"/>
    </row>
    <row r="4307" spans="1:1" x14ac:dyDescent="0.3">
      <c r="A4307" s="20"/>
    </row>
    <row r="4308" spans="1:1" x14ac:dyDescent="0.3">
      <c r="A4308" s="20"/>
    </row>
    <row r="4309" spans="1:1" x14ac:dyDescent="0.3">
      <c r="A4309" s="20"/>
    </row>
    <row r="4310" spans="1:1" x14ac:dyDescent="0.3">
      <c r="A4310" s="20"/>
    </row>
    <row r="4311" spans="1:1" x14ac:dyDescent="0.3">
      <c r="A4311" s="20"/>
    </row>
    <row r="4312" spans="1:1" x14ac:dyDescent="0.3">
      <c r="A4312" s="20"/>
    </row>
    <row r="4313" spans="1:1" x14ac:dyDescent="0.3">
      <c r="A4313" s="20"/>
    </row>
    <row r="4314" spans="1:1" x14ac:dyDescent="0.3">
      <c r="A4314" s="20"/>
    </row>
    <row r="4315" spans="1:1" x14ac:dyDescent="0.3">
      <c r="A4315" s="20"/>
    </row>
    <row r="4316" spans="1:1" x14ac:dyDescent="0.3">
      <c r="A4316" s="20"/>
    </row>
    <row r="4317" spans="1:1" x14ac:dyDescent="0.3">
      <c r="A4317" s="20"/>
    </row>
    <row r="4318" spans="1:1" x14ac:dyDescent="0.3">
      <c r="A4318" s="20"/>
    </row>
    <row r="4319" spans="1:1" x14ac:dyDescent="0.3">
      <c r="A4319" s="20"/>
    </row>
    <row r="4320" spans="1:1" x14ac:dyDescent="0.3">
      <c r="A4320" s="20"/>
    </row>
    <row r="4321" spans="1:1" x14ac:dyDescent="0.3">
      <c r="A4321" s="20"/>
    </row>
    <row r="4322" spans="1:1" x14ac:dyDescent="0.3">
      <c r="A4322" s="20"/>
    </row>
    <row r="4323" spans="1:1" x14ac:dyDescent="0.3">
      <c r="A4323" s="20"/>
    </row>
    <row r="4324" spans="1:1" x14ac:dyDescent="0.3">
      <c r="A4324" s="20"/>
    </row>
    <row r="4325" spans="1:1" x14ac:dyDescent="0.3">
      <c r="A4325" s="20"/>
    </row>
    <row r="4326" spans="1:1" x14ac:dyDescent="0.3">
      <c r="A4326" s="20"/>
    </row>
    <row r="4327" spans="1:1" x14ac:dyDescent="0.3">
      <c r="A4327" s="20"/>
    </row>
    <row r="4328" spans="1:1" x14ac:dyDescent="0.3">
      <c r="A4328" s="20"/>
    </row>
    <row r="4329" spans="1:1" x14ac:dyDescent="0.3">
      <c r="A4329" s="20"/>
    </row>
    <row r="4330" spans="1:1" x14ac:dyDescent="0.3">
      <c r="A4330" s="20"/>
    </row>
    <row r="4331" spans="1:1" x14ac:dyDescent="0.3">
      <c r="A4331" s="20"/>
    </row>
    <row r="4332" spans="1:1" x14ac:dyDescent="0.3">
      <c r="A4332" s="20"/>
    </row>
    <row r="4333" spans="1:1" x14ac:dyDescent="0.3">
      <c r="A4333" s="20"/>
    </row>
    <row r="4334" spans="1:1" x14ac:dyDescent="0.3">
      <c r="A4334" s="20"/>
    </row>
    <row r="4335" spans="1:1" x14ac:dyDescent="0.3">
      <c r="A4335" s="20"/>
    </row>
    <row r="4336" spans="1:1" x14ac:dyDescent="0.3">
      <c r="A4336" s="20"/>
    </row>
    <row r="4337" spans="1:1" x14ac:dyDescent="0.3">
      <c r="A4337" s="20"/>
    </row>
    <row r="4338" spans="1:1" x14ac:dyDescent="0.3">
      <c r="A4338" s="20"/>
    </row>
    <row r="4339" spans="1:1" x14ac:dyDescent="0.3">
      <c r="A4339" s="20"/>
    </row>
    <row r="4340" spans="1:1" x14ac:dyDescent="0.3">
      <c r="A4340" s="20"/>
    </row>
    <row r="4341" spans="1:1" x14ac:dyDescent="0.3">
      <c r="A4341" s="20"/>
    </row>
    <row r="4342" spans="1:1" x14ac:dyDescent="0.3">
      <c r="A4342" s="20"/>
    </row>
    <row r="4343" spans="1:1" x14ac:dyDescent="0.3">
      <c r="A4343" s="20"/>
    </row>
    <row r="4344" spans="1:1" x14ac:dyDescent="0.3">
      <c r="A4344" s="20"/>
    </row>
    <row r="4345" spans="1:1" x14ac:dyDescent="0.3">
      <c r="A4345" s="20"/>
    </row>
    <row r="4346" spans="1:1" x14ac:dyDescent="0.3">
      <c r="A4346" s="20"/>
    </row>
    <row r="4347" spans="1:1" x14ac:dyDescent="0.3">
      <c r="A4347" s="20"/>
    </row>
    <row r="4348" spans="1:1" x14ac:dyDescent="0.3">
      <c r="A4348" s="20"/>
    </row>
    <row r="4349" spans="1:1" x14ac:dyDescent="0.3">
      <c r="A4349" s="20"/>
    </row>
    <row r="4350" spans="1:1" x14ac:dyDescent="0.3">
      <c r="A4350" s="20"/>
    </row>
    <row r="4351" spans="1:1" x14ac:dyDescent="0.3">
      <c r="A4351" s="20"/>
    </row>
    <row r="4352" spans="1:1" x14ac:dyDescent="0.3">
      <c r="A4352" s="20"/>
    </row>
    <row r="4353" spans="1:1" x14ac:dyDescent="0.3">
      <c r="A4353" s="20"/>
    </row>
    <row r="4354" spans="1:1" x14ac:dyDescent="0.3">
      <c r="A4354" s="20"/>
    </row>
    <row r="4355" spans="1:1" x14ac:dyDescent="0.3">
      <c r="A4355" s="20"/>
    </row>
    <row r="4356" spans="1:1" x14ac:dyDescent="0.3">
      <c r="A4356" s="20"/>
    </row>
    <row r="4357" spans="1:1" x14ac:dyDescent="0.3">
      <c r="A4357" s="20"/>
    </row>
    <row r="4358" spans="1:1" x14ac:dyDescent="0.3">
      <c r="A4358" s="20"/>
    </row>
    <row r="4359" spans="1:1" x14ac:dyDescent="0.3">
      <c r="A4359" s="20"/>
    </row>
    <row r="4360" spans="1:1" x14ac:dyDescent="0.3">
      <c r="A4360" s="20"/>
    </row>
    <row r="4361" spans="1:1" x14ac:dyDescent="0.3">
      <c r="A4361" s="20"/>
    </row>
    <row r="4362" spans="1:1" x14ac:dyDescent="0.3">
      <c r="A4362" s="20"/>
    </row>
    <row r="4363" spans="1:1" x14ac:dyDescent="0.3">
      <c r="A4363" s="20"/>
    </row>
    <row r="4364" spans="1:1" x14ac:dyDescent="0.3">
      <c r="A4364" s="20"/>
    </row>
    <row r="4365" spans="1:1" x14ac:dyDescent="0.3">
      <c r="A4365" s="20"/>
    </row>
    <row r="4366" spans="1:1" x14ac:dyDescent="0.3">
      <c r="A4366" s="20"/>
    </row>
    <row r="4367" spans="1:1" x14ac:dyDescent="0.3">
      <c r="A4367" s="20"/>
    </row>
    <row r="4368" spans="1:1" x14ac:dyDescent="0.3">
      <c r="A4368" s="20"/>
    </row>
    <row r="4369" spans="1:1" x14ac:dyDescent="0.3">
      <c r="A4369" s="20"/>
    </row>
    <row r="4370" spans="1:1" x14ac:dyDescent="0.3">
      <c r="A4370" s="20"/>
    </row>
    <row r="4371" spans="1:1" x14ac:dyDescent="0.3">
      <c r="A4371" s="20"/>
    </row>
    <row r="4372" spans="1:1" x14ac:dyDescent="0.3">
      <c r="A4372" s="20"/>
    </row>
    <row r="4373" spans="1:1" x14ac:dyDescent="0.3">
      <c r="A4373" s="20"/>
    </row>
    <row r="4374" spans="1:1" x14ac:dyDescent="0.3">
      <c r="A4374" s="20"/>
    </row>
    <row r="4375" spans="1:1" x14ac:dyDescent="0.3">
      <c r="A4375" s="20"/>
    </row>
    <row r="4376" spans="1:1" x14ac:dyDescent="0.3">
      <c r="A4376" s="20"/>
    </row>
    <row r="4377" spans="1:1" x14ac:dyDescent="0.3">
      <c r="A4377" s="20"/>
    </row>
    <row r="4378" spans="1:1" x14ac:dyDescent="0.3">
      <c r="A4378" s="20"/>
    </row>
    <row r="4379" spans="1:1" x14ac:dyDescent="0.3">
      <c r="A4379" s="20"/>
    </row>
    <row r="4380" spans="1:1" x14ac:dyDescent="0.3">
      <c r="A4380" s="20"/>
    </row>
    <row r="4381" spans="1:1" x14ac:dyDescent="0.3">
      <c r="A4381" s="20"/>
    </row>
    <row r="4382" spans="1:1" x14ac:dyDescent="0.3">
      <c r="A4382" s="20"/>
    </row>
    <row r="4383" spans="1:1" x14ac:dyDescent="0.3">
      <c r="A4383" s="20"/>
    </row>
    <row r="4384" spans="1:1" x14ac:dyDescent="0.3">
      <c r="A4384" s="20"/>
    </row>
    <row r="4385" spans="1:1" x14ac:dyDescent="0.3">
      <c r="A4385" s="20"/>
    </row>
    <row r="4386" spans="1:1" x14ac:dyDescent="0.3">
      <c r="A4386" s="20"/>
    </row>
    <row r="4387" spans="1:1" x14ac:dyDescent="0.3">
      <c r="A4387" s="20"/>
    </row>
    <row r="4388" spans="1:1" x14ac:dyDescent="0.3">
      <c r="A4388" s="20"/>
    </row>
    <row r="4389" spans="1:1" x14ac:dyDescent="0.3">
      <c r="A4389" s="20"/>
    </row>
    <row r="4390" spans="1:1" x14ac:dyDescent="0.3">
      <c r="A4390" s="20"/>
    </row>
    <row r="4391" spans="1:1" x14ac:dyDescent="0.3">
      <c r="A4391" s="20"/>
    </row>
    <row r="4392" spans="1:1" x14ac:dyDescent="0.3">
      <c r="A4392" s="20"/>
    </row>
    <row r="4393" spans="1:1" x14ac:dyDescent="0.3">
      <c r="A4393" s="20"/>
    </row>
    <row r="4394" spans="1:1" x14ac:dyDescent="0.3">
      <c r="A4394" s="20"/>
    </row>
    <row r="4395" spans="1:1" x14ac:dyDescent="0.3">
      <c r="A4395" s="20"/>
    </row>
    <row r="4396" spans="1:1" x14ac:dyDescent="0.3">
      <c r="A4396" s="20"/>
    </row>
    <row r="4397" spans="1:1" x14ac:dyDescent="0.3">
      <c r="A4397" s="20"/>
    </row>
    <row r="4398" spans="1:1" x14ac:dyDescent="0.3">
      <c r="A4398" s="20"/>
    </row>
    <row r="4399" spans="1:1" x14ac:dyDescent="0.3">
      <c r="A4399" s="20"/>
    </row>
    <row r="4400" spans="1:1" x14ac:dyDescent="0.3">
      <c r="A4400" s="20"/>
    </row>
    <row r="4401" spans="1:1" x14ac:dyDescent="0.3">
      <c r="A4401" s="20"/>
    </row>
    <row r="4402" spans="1:1" x14ac:dyDescent="0.3">
      <c r="A4402" s="20"/>
    </row>
    <row r="4403" spans="1:1" x14ac:dyDescent="0.3">
      <c r="A4403" s="20"/>
    </row>
    <row r="4404" spans="1:1" x14ac:dyDescent="0.3">
      <c r="A4404" s="20"/>
    </row>
    <row r="4405" spans="1:1" x14ac:dyDescent="0.3">
      <c r="A4405" s="20"/>
    </row>
    <row r="4406" spans="1:1" x14ac:dyDescent="0.3">
      <c r="A4406" s="20"/>
    </row>
    <row r="4407" spans="1:1" x14ac:dyDescent="0.3">
      <c r="A4407" s="20"/>
    </row>
    <row r="4408" spans="1:1" x14ac:dyDescent="0.3">
      <c r="A4408" s="20"/>
    </row>
    <row r="4409" spans="1:1" x14ac:dyDescent="0.3">
      <c r="A4409" s="20"/>
    </row>
    <row r="4410" spans="1:1" x14ac:dyDescent="0.3">
      <c r="A4410" s="20"/>
    </row>
    <row r="4411" spans="1:1" x14ac:dyDescent="0.3">
      <c r="A4411" s="20"/>
    </row>
    <row r="4412" spans="1:1" x14ac:dyDescent="0.3">
      <c r="A4412" s="20"/>
    </row>
    <row r="4413" spans="1:1" x14ac:dyDescent="0.3">
      <c r="A4413" s="20"/>
    </row>
    <row r="4414" spans="1:1" x14ac:dyDescent="0.3">
      <c r="A4414" s="20"/>
    </row>
    <row r="4415" spans="1:1" x14ac:dyDescent="0.3">
      <c r="A4415" s="20"/>
    </row>
    <row r="4416" spans="1:1" x14ac:dyDescent="0.3">
      <c r="A4416" s="20"/>
    </row>
    <row r="4417" spans="1:1" x14ac:dyDescent="0.3">
      <c r="A4417" s="20"/>
    </row>
    <row r="4418" spans="1:1" x14ac:dyDescent="0.3">
      <c r="A4418" s="20"/>
    </row>
    <row r="4419" spans="1:1" x14ac:dyDescent="0.3">
      <c r="A4419" s="20"/>
    </row>
    <row r="4420" spans="1:1" x14ac:dyDescent="0.3">
      <c r="A4420" s="20"/>
    </row>
    <row r="4421" spans="1:1" x14ac:dyDescent="0.3">
      <c r="A4421" s="20"/>
    </row>
    <row r="4422" spans="1:1" x14ac:dyDescent="0.3">
      <c r="A4422" s="20"/>
    </row>
    <row r="4423" spans="1:1" x14ac:dyDescent="0.3">
      <c r="A4423" s="20"/>
    </row>
    <row r="4424" spans="1:1" x14ac:dyDescent="0.3">
      <c r="A4424" s="20"/>
    </row>
    <row r="4425" spans="1:1" x14ac:dyDescent="0.3">
      <c r="A4425" s="20"/>
    </row>
    <row r="4426" spans="1:1" x14ac:dyDescent="0.3">
      <c r="A4426" s="20"/>
    </row>
    <row r="4427" spans="1:1" x14ac:dyDescent="0.3">
      <c r="A4427" s="20"/>
    </row>
    <row r="4428" spans="1:1" x14ac:dyDescent="0.3">
      <c r="A4428" s="20"/>
    </row>
    <row r="4429" spans="1:1" x14ac:dyDescent="0.3">
      <c r="A4429" s="20"/>
    </row>
    <row r="4430" spans="1:1" x14ac:dyDescent="0.3">
      <c r="A4430" s="20"/>
    </row>
    <row r="4431" spans="1:1" x14ac:dyDescent="0.3">
      <c r="A4431" s="20"/>
    </row>
    <row r="4432" spans="1:1" x14ac:dyDescent="0.3">
      <c r="A4432" s="20"/>
    </row>
    <row r="4433" spans="1:1" x14ac:dyDescent="0.3">
      <c r="A4433" s="20"/>
    </row>
    <row r="4434" spans="1:1" x14ac:dyDescent="0.3">
      <c r="A4434" s="20"/>
    </row>
    <row r="4435" spans="1:1" x14ac:dyDescent="0.3">
      <c r="A4435" s="20"/>
    </row>
    <row r="4436" spans="1:1" x14ac:dyDescent="0.3">
      <c r="A4436" s="20"/>
    </row>
    <row r="4437" spans="1:1" x14ac:dyDescent="0.3">
      <c r="A4437" s="20"/>
    </row>
    <row r="4438" spans="1:1" x14ac:dyDescent="0.3">
      <c r="A4438" s="20"/>
    </row>
    <row r="4439" spans="1:1" x14ac:dyDescent="0.3">
      <c r="A4439" s="20"/>
    </row>
    <row r="4440" spans="1:1" x14ac:dyDescent="0.3">
      <c r="A4440" s="20"/>
    </row>
    <row r="4441" spans="1:1" x14ac:dyDescent="0.3">
      <c r="A4441" s="20"/>
    </row>
    <row r="4442" spans="1:1" x14ac:dyDescent="0.3">
      <c r="A4442" s="20"/>
    </row>
    <row r="4443" spans="1:1" x14ac:dyDescent="0.3">
      <c r="A4443" s="20"/>
    </row>
    <row r="4444" spans="1:1" x14ac:dyDescent="0.3">
      <c r="A4444" s="20"/>
    </row>
    <row r="4445" spans="1:1" x14ac:dyDescent="0.3">
      <c r="A4445" s="20"/>
    </row>
    <row r="4446" spans="1:1" x14ac:dyDescent="0.3">
      <c r="A4446" s="20"/>
    </row>
    <row r="4447" spans="1:1" x14ac:dyDescent="0.3">
      <c r="A4447" s="20"/>
    </row>
    <row r="4448" spans="1:1" x14ac:dyDescent="0.3">
      <c r="A4448" s="20"/>
    </row>
    <row r="4449" spans="1:1" x14ac:dyDescent="0.3">
      <c r="A4449" s="20"/>
    </row>
    <row r="4450" spans="1:1" x14ac:dyDescent="0.3">
      <c r="A4450" s="20"/>
    </row>
    <row r="4451" spans="1:1" x14ac:dyDescent="0.3">
      <c r="A4451" s="20"/>
    </row>
    <row r="4452" spans="1:1" x14ac:dyDescent="0.3">
      <c r="A4452" s="20"/>
    </row>
    <row r="4453" spans="1:1" x14ac:dyDescent="0.3">
      <c r="A4453" s="20"/>
    </row>
    <row r="4454" spans="1:1" x14ac:dyDescent="0.3">
      <c r="A4454" s="20"/>
    </row>
    <row r="4455" spans="1:1" x14ac:dyDescent="0.3">
      <c r="A4455" s="20"/>
    </row>
    <row r="4456" spans="1:1" x14ac:dyDescent="0.3">
      <c r="A4456" s="20"/>
    </row>
    <row r="4457" spans="1:1" x14ac:dyDescent="0.3">
      <c r="A4457" s="20"/>
    </row>
    <row r="4458" spans="1:1" x14ac:dyDescent="0.3">
      <c r="A4458" s="20"/>
    </row>
    <row r="4459" spans="1:1" x14ac:dyDescent="0.3">
      <c r="A4459" s="20"/>
    </row>
    <row r="4460" spans="1:1" x14ac:dyDescent="0.3">
      <c r="A4460" s="20"/>
    </row>
    <row r="4461" spans="1:1" x14ac:dyDescent="0.3">
      <c r="A4461" s="20"/>
    </row>
    <row r="4462" spans="1:1" x14ac:dyDescent="0.3">
      <c r="A4462" s="20"/>
    </row>
    <row r="4463" spans="1:1" x14ac:dyDescent="0.3">
      <c r="A4463" s="20"/>
    </row>
    <row r="4464" spans="1:1" x14ac:dyDescent="0.3">
      <c r="A4464" s="20"/>
    </row>
    <row r="4465" spans="1:1" x14ac:dyDescent="0.3">
      <c r="A4465" s="20"/>
    </row>
    <row r="4466" spans="1:1" x14ac:dyDescent="0.3">
      <c r="A4466" s="20"/>
    </row>
    <row r="4467" spans="1:1" x14ac:dyDescent="0.3">
      <c r="A4467" s="20"/>
    </row>
    <row r="4468" spans="1:1" x14ac:dyDescent="0.3">
      <c r="A4468" s="20"/>
    </row>
    <row r="4469" spans="1:1" x14ac:dyDescent="0.3">
      <c r="A4469" s="20"/>
    </row>
    <row r="4470" spans="1:1" x14ac:dyDescent="0.3">
      <c r="A4470" s="20"/>
    </row>
    <row r="4471" spans="1:1" x14ac:dyDescent="0.3">
      <c r="A4471" s="20"/>
    </row>
    <row r="4472" spans="1:1" x14ac:dyDescent="0.3">
      <c r="A4472" s="20"/>
    </row>
    <row r="4473" spans="1:1" x14ac:dyDescent="0.3">
      <c r="A4473" s="20"/>
    </row>
    <row r="4474" spans="1:1" x14ac:dyDescent="0.3">
      <c r="A4474" s="20"/>
    </row>
    <row r="4475" spans="1:1" x14ac:dyDescent="0.3">
      <c r="A4475" s="20"/>
    </row>
    <row r="4476" spans="1:1" x14ac:dyDescent="0.3">
      <c r="A4476" s="20"/>
    </row>
    <row r="4477" spans="1:1" x14ac:dyDescent="0.3">
      <c r="A4477" s="20"/>
    </row>
    <row r="4478" spans="1:1" x14ac:dyDescent="0.3">
      <c r="A4478" s="20"/>
    </row>
    <row r="4479" spans="1:1" x14ac:dyDescent="0.3">
      <c r="A4479" s="20"/>
    </row>
    <row r="4480" spans="1:1" x14ac:dyDescent="0.3">
      <c r="A4480" s="20"/>
    </row>
    <row r="4481" spans="1:1" x14ac:dyDescent="0.3">
      <c r="A4481" s="20"/>
    </row>
    <row r="4482" spans="1:1" x14ac:dyDescent="0.3">
      <c r="A4482" s="20"/>
    </row>
    <row r="4483" spans="1:1" x14ac:dyDescent="0.3">
      <c r="A4483" s="20"/>
    </row>
    <row r="4484" spans="1:1" x14ac:dyDescent="0.3">
      <c r="A4484" s="20"/>
    </row>
    <row r="4485" spans="1:1" x14ac:dyDescent="0.3">
      <c r="A4485" s="20"/>
    </row>
    <row r="4486" spans="1:1" x14ac:dyDescent="0.3">
      <c r="A4486" s="20"/>
    </row>
    <row r="4487" spans="1:1" x14ac:dyDescent="0.3">
      <c r="A4487" s="20"/>
    </row>
    <row r="4488" spans="1:1" x14ac:dyDescent="0.3">
      <c r="A4488" s="20"/>
    </row>
    <row r="4489" spans="1:1" x14ac:dyDescent="0.3">
      <c r="A4489" s="20"/>
    </row>
    <row r="4490" spans="1:1" x14ac:dyDescent="0.3">
      <c r="A4490" s="20"/>
    </row>
    <row r="4491" spans="1:1" x14ac:dyDescent="0.3">
      <c r="A4491" s="20"/>
    </row>
    <row r="4492" spans="1:1" x14ac:dyDescent="0.3">
      <c r="A4492" s="20"/>
    </row>
    <row r="4493" spans="1:1" x14ac:dyDescent="0.3">
      <c r="A4493" s="20"/>
    </row>
    <row r="4494" spans="1:1" x14ac:dyDescent="0.3">
      <c r="A4494" s="20"/>
    </row>
    <row r="4495" spans="1:1" x14ac:dyDescent="0.3">
      <c r="A4495" s="20"/>
    </row>
    <row r="4496" spans="1:1" x14ac:dyDescent="0.3">
      <c r="A4496" s="20"/>
    </row>
    <row r="4497" spans="1:1" x14ac:dyDescent="0.3">
      <c r="A4497" s="20"/>
    </row>
    <row r="4498" spans="1:1" x14ac:dyDescent="0.3">
      <c r="A4498" s="20"/>
    </row>
    <row r="4499" spans="1:1" x14ac:dyDescent="0.3">
      <c r="A4499" s="20"/>
    </row>
    <row r="4500" spans="1:1" x14ac:dyDescent="0.3">
      <c r="A4500" s="20"/>
    </row>
    <row r="4501" spans="1:1" x14ac:dyDescent="0.3">
      <c r="A4501" s="20"/>
    </row>
    <row r="4502" spans="1:1" x14ac:dyDescent="0.3">
      <c r="A4502" s="20"/>
    </row>
    <row r="4503" spans="1:1" x14ac:dyDescent="0.3">
      <c r="A4503" s="20"/>
    </row>
    <row r="4504" spans="1:1" x14ac:dyDescent="0.3">
      <c r="A4504" s="20"/>
    </row>
    <row r="4505" spans="1:1" x14ac:dyDescent="0.3">
      <c r="A4505" s="20"/>
    </row>
    <row r="4506" spans="1:1" x14ac:dyDescent="0.3">
      <c r="A4506" s="20"/>
    </row>
    <row r="4507" spans="1:1" x14ac:dyDescent="0.3">
      <c r="A4507" s="20"/>
    </row>
    <row r="4508" spans="1:1" x14ac:dyDescent="0.3">
      <c r="A4508" s="20"/>
    </row>
    <row r="4509" spans="1:1" x14ac:dyDescent="0.3">
      <c r="A4509" s="20"/>
    </row>
    <row r="4510" spans="1:1" x14ac:dyDescent="0.3">
      <c r="A4510" s="20"/>
    </row>
    <row r="4511" spans="1:1" x14ac:dyDescent="0.3">
      <c r="A4511" s="20"/>
    </row>
    <row r="4512" spans="1:1" x14ac:dyDescent="0.3">
      <c r="A4512" s="20"/>
    </row>
    <row r="4513" spans="1:1" x14ac:dyDescent="0.3">
      <c r="A4513" s="20"/>
    </row>
    <row r="4514" spans="1:1" x14ac:dyDescent="0.3">
      <c r="A4514" s="20"/>
    </row>
    <row r="4515" spans="1:1" x14ac:dyDescent="0.3">
      <c r="A4515" s="20"/>
    </row>
    <row r="4516" spans="1:1" x14ac:dyDescent="0.3">
      <c r="A4516" s="20"/>
    </row>
    <row r="4517" spans="1:1" x14ac:dyDescent="0.3">
      <c r="A4517" s="20"/>
    </row>
    <row r="4518" spans="1:1" x14ac:dyDescent="0.3">
      <c r="A4518" s="20"/>
    </row>
    <row r="4519" spans="1:1" x14ac:dyDescent="0.3">
      <c r="A4519" s="20"/>
    </row>
    <row r="4520" spans="1:1" x14ac:dyDescent="0.3">
      <c r="A4520" s="20"/>
    </row>
    <row r="4521" spans="1:1" x14ac:dyDescent="0.3">
      <c r="A4521" s="20"/>
    </row>
    <row r="4522" spans="1:1" x14ac:dyDescent="0.3">
      <c r="A4522" s="20"/>
    </row>
    <row r="4523" spans="1:1" x14ac:dyDescent="0.3">
      <c r="A4523" s="20"/>
    </row>
    <row r="4524" spans="1:1" x14ac:dyDescent="0.3">
      <c r="A4524" s="20"/>
    </row>
    <row r="4525" spans="1:1" x14ac:dyDescent="0.3">
      <c r="A4525" s="20"/>
    </row>
    <row r="4526" spans="1:1" x14ac:dyDescent="0.3">
      <c r="A4526" s="20"/>
    </row>
    <row r="4527" spans="1:1" x14ac:dyDescent="0.3">
      <c r="A4527" s="20"/>
    </row>
    <row r="4528" spans="1:1" x14ac:dyDescent="0.3">
      <c r="A4528" s="20"/>
    </row>
    <row r="4529" spans="1:1" x14ac:dyDescent="0.3">
      <c r="A4529" s="20"/>
    </row>
    <row r="4530" spans="1:1" x14ac:dyDescent="0.3">
      <c r="A4530" s="20"/>
    </row>
    <row r="4531" spans="1:1" x14ac:dyDescent="0.3">
      <c r="A4531" s="20"/>
    </row>
    <row r="4532" spans="1:1" x14ac:dyDescent="0.3">
      <c r="A4532" s="20"/>
    </row>
    <row r="4533" spans="1:1" x14ac:dyDescent="0.3">
      <c r="A4533" s="20"/>
    </row>
    <row r="4534" spans="1:1" x14ac:dyDescent="0.3">
      <c r="A4534" s="20"/>
    </row>
    <row r="4535" spans="1:1" x14ac:dyDescent="0.3">
      <c r="A4535" s="20"/>
    </row>
    <row r="4536" spans="1:1" x14ac:dyDescent="0.3">
      <c r="A4536" s="20"/>
    </row>
    <row r="4537" spans="1:1" x14ac:dyDescent="0.3">
      <c r="A4537" s="20"/>
    </row>
    <row r="4538" spans="1:1" x14ac:dyDescent="0.3">
      <c r="A4538" s="20"/>
    </row>
    <row r="4539" spans="1:1" x14ac:dyDescent="0.3">
      <c r="A4539" s="20"/>
    </row>
    <row r="4540" spans="1:1" x14ac:dyDescent="0.3">
      <c r="A4540" s="20"/>
    </row>
    <row r="4541" spans="1:1" x14ac:dyDescent="0.3">
      <c r="A4541" s="20"/>
    </row>
    <row r="4542" spans="1:1" x14ac:dyDescent="0.3">
      <c r="A4542" s="20"/>
    </row>
    <row r="4543" spans="1:1" x14ac:dyDescent="0.3">
      <c r="A4543" s="20"/>
    </row>
    <row r="4544" spans="1:1" x14ac:dyDescent="0.3">
      <c r="A4544" s="20"/>
    </row>
    <row r="4545" spans="1:1" x14ac:dyDescent="0.3">
      <c r="A4545" s="20"/>
    </row>
    <row r="4546" spans="1:1" x14ac:dyDescent="0.3">
      <c r="A4546" s="20"/>
    </row>
    <row r="4547" spans="1:1" x14ac:dyDescent="0.3">
      <c r="A4547" s="20"/>
    </row>
    <row r="4548" spans="1:1" x14ac:dyDescent="0.3">
      <c r="A4548" s="20"/>
    </row>
    <row r="4549" spans="1:1" x14ac:dyDescent="0.3">
      <c r="A4549" s="20"/>
    </row>
    <row r="4550" spans="1:1" x14ac:dyDescent="0.3">
      <c r="A4550" s="20"/>
    </row>
    <row r="4551" spans="1:1" x14ac:dyDescent="0.3">
      <c r="A4551" s="20"/>
    </row>
    <row r="4552" spans="1:1" x14ac:dyDescent="0.3">
      <c r="A4552" s="20"/>
    </row>
    <row r="4553" spans="1:1" x14ac:dyDescent="0.3">
      <c r="A4553" s="20"/>
    </row>
    <row r="4554" spans="1:1" x14ac:dyDescent="0.3">
      <c r="A4554" s="20"/>
    </row>
    <row r="4555" spans="1:1" x14ac:dyDescent="0.3">
      <c r="A4555" s="20"/>
    </row>
    <row r="4556" spans="1:1" x14ac:dyDescent="0.3">
      <c r="A4556" s="20"/>
    </row>
    <row r="4557" spans="1:1" x14ac:dyDescent="0.3">
      <c r="A4557" s="20"/>
    </row>
    <row r="4558" spans="1:1" x14ac:dyDescent="0.3">
      <c r="A4558" s="20"/>
    </row>
    <row r="4559" spans="1:1" x14ac:dyDescent="0.3">
      <c r="A4559" s="20"/>
    </row>
    <row r="4560" spans="1:1" x14ac:dyDescent="0.3">
      <c r="A4560" s="20"/>
    </row>
    <row r="4561" spans="1:1" x14ac:dyDescent="0.3">
      <c r="A4561" s="20"/>
    </row>
    <row r="4562" spans="1:1" x14ac:dyDescent="0.3">
      <c r="A4562" s="20"/>
    </row>
    <row r="4563" spans="1:1" x14ac:dyDescent="0.3">
      <c r="A4563" s="20"/>
    </row>
    <row r="4564" spans="1:1" x14ac:dyDescent="0.3">
      <c r="A4564" s="20"/>
    </row>
    <row r="4565" spans="1:1" x14ac:dyDescent="0.3">
      <c r="A4565" s="20"/>
    </row>
    <row r="4566" spans="1:1" x14ac:dyDescent="0.3">
      <c r="A4566" s="20"/>
    </row>
    <row r="4567" spans="1:1" x14ac:dyDescent="0.3">
      <c r="A4567" s="20"/>
    </row>
    <row r="4568" spans="1:1" x14ac:dyDescent="0.3">
      <c r="A4568" s="20"/>
    </row>
    <row r="4569" spans="1:1" x14ac:dyDescent="0.3">
      <c r="A4569" s="20"/>
    </row>
    <row r="4570" spans="1:1" x14ac:dyDescent="0.3">
      <c r="A4570" s="20"/>
    </row>
    <row r="4571" spans="1:1" x14ac:dyDescent="0.3">
      <c r="A4571" s="20"/>
    </row>
    <row r="4572" spans="1:1" x14ac:dyDescent="0.3">
      <c r="A4572" s="20"/>
    </row>
    <row r="4573" spans="1:1" x14ac:dyDescent="0.3">
      <c r="A4573" s="20"/>
    </row>
    <row r="4574" spans="1:1" x14ac:dyDescent="0.3">
      <c r="A4574" s="20"/>
    </row>
    <row r="4575" spans="1:1" x14ac:dyDescent="0.3">
      <c r="A4575" s="20"/>
    </row>
    <row r="4576" spans="1:1" x14ac:dyDescent="0.3">
      <c r="A4576" s="20"/>
    </row>
    <row r="4577" spans="1:1" x14ac:dyDescent="0.3">
      <c r="A4577" s="20"/>
    </row>
    <row r="4578" spans="1:1" x14ac:dyDescent="0.3">
      <c r="A4578" s="20"/>
    </row>
    <row r="4579" spans="1:1" x14ac:dyDescent="0.3">
      <c r="A4579" s="20"/>
    </row>
    <row r="4580" spans="1:1" x14ac:dyDescent="0.3">
      <c r="A4580" s="20"/>
    </row>
    <row r="4581" spans="1:1" x14ac:dyDescent="0.3">
      <c r="A4581" s="20"/>
    </row>
    <row r="4582" spans="1:1" x14ac:dyDescent="0.3">
      <c r="A4582" s="20"/>
    </row>
    <row r="4583" spans="1:1" x14ac:dyDescent="0.3">
      <c r="A4583" s="20"/>
    </row>
    <row r="4584" spans="1:1" x14ac:dyDescent="0.3">
      <c r="A4584" s="20"/>
    </row>
    <row r="4585" spans="1:1" x14ac:dyDescent="0.3">
      <c r="A4585" s="20"/>
    </row>
    <row r="4586" spans="1:1" x14ac:dyDescent="0.3">
      <c r="A4586" s="20"/>
    </row>
    <row r="4587" spans="1:1" x14ac:dyDescent="0.3">
      <c r="A4587" s="20"/>
    </row>
    <row r="4588" spans="1:1" x14ac:dyDescent="0.3">
      <c r="A4588" s="20"/>
    </row>
    <row r="4589" spans="1:1" x14ac:dyDescent="0.3">
      <c r="A4589" s="20"/>
    </row>
    <row r="4590" spans="1:1" x14ac:dyDescent="0.3">
      <c r="A4590" s="20"/>
    </row>
    <row r="4591" spans="1:1" x14ac:dyDescent="0.3">
      <c r="A4591" s="20"/>
    </row>
    <row r="4592" spans="1:1" x14ac:dyDescent="0.3">
      <c r="A4592" s="20"/>
    </row>
    <row r="4593" spans="1:1" x14ac:dyDescent="0.3">
      <c r="A4593" s="20"/>
    </row>
    <row r="4594" spans="1:1" x14ac:dyDescent="0.3">
      <c r="A4594" s="20"/>
    </row>
    <row r="4595" spans="1:1" x14ac:dyDescent="0.3">
      <c r="A4595" s="20"/>
    </row>
    <row r="4596" spans="1:1" x14ac:dyDescent="0.3">
      <c r="A4596" s="20"/>
    </row>
    <row r="4597" spans="1:1" x14ac:dyDescent="0.3">
      <c r="A4597" s="20"/>
    </row>
    <row r="4598" spans="1:1" x14ac:dyDescent="0.3">
      <c r="A4598" s="20"/>
    </row>
    <row r="4599" spans="1:1" x14ac:dyDescent="0.3">
      <c r="A4599" s="20"/>
    </row>
    <row r="4600" spans="1:1" x14ac:dyDescent="0.3">
      <c r="A4600" s="20"/>
    </row>
    <row r="4601" spans="1:1" x14ac:dyDescent="0.3">
      <c r="A4601" s="20"/>
    </row>
    <row r="4602" spans="1:1" x14ac:dyDescent="0.3">
      <c r="A4602" s="20"/>
    </row>
    <row r="4603" spans="1:1" x14ac:dyDescent="0.3">
      <c r="A4603" s="20"/>
    </row>
    <row r="4604" spans="1:1" x14ac:dyDescent="0.3">
      <c r="A4604" s="20"/>
    </row>
    <row r="4605" spans="1:1" x14ac:dyDescent="0.3">
      <c r="A4605" s="20"/>
    </row>
    <row r="4606" spans="1:1" x14ac:dyDescent="0.3">
      <c r="A4606" s="20"/>
    </row>
    <row r="4607" spans="1:1" x14ac:dyDescent="0.3">
      <c r="A4607" s="20"/>
    </row>
    <row r="4608" spans="1:1" x14ac:dyDescent="0.3">
      <c r="A4608" s="20"/>
    </row>
    <row r="4609" spans="1:1" x14ac:dyDescent="0.3">
      <c r="A4609" s="20"/>
    </row>
    <row r="4610" spans="1:1" x14ac:dyDescent="0.3">
      <c r="A4610" s="20"/>
    </row>
    <row r="4611" spans="1:1" x14ac:dyDescent="0.3">
      <c r="A4611" s="20"/>
    </row>
    <row r="4612" spans="1:1" x14ac:dyDescent="0.3">
      <c r="A4612" s="20"/>
    </row>
    <row r="4613" spans="1:1" x14ac:dyDescent="0.3">
      <c r="A4613" s="20"/>
    </row>
    <row r="4614" spans="1:1" x14ac:dyDescent="0.3">
      <c r="A4614" s="20"/>
    </row>
    <row r="4615" spans="1:1" x14ac:dyDescent="0.3">
      <c r="A4615" s="20"/>
    </row>
    <row r="4616" spans="1:1" x14ac:dyDescent="0.3">
      <c r="A4616" s="20"/>
    </row>
    <row r="4617" spans="1:1" x14ac:dyDescent="0.3">
      <c r="A4617" s="20"/>
    </row>
    <row r="4618" spans="1:1" x14ac:dyDescent="0.3">
      <c r="A4618" s="20"/>
    </row>
    <row r="4619" spans="1:1" x14ac:dyDescent="0.3">
      <c r="A4619" s="20"/>
    </row>
    <row r="4620" spans="1:1" x14ac:dyDescent="0.3">
      <c r="A4620" s="20"/>
    </row>
    <row r="4621" spans="1:1" x14ac:dyDescent="0.3">
      <c r="A4621" s="20"/>
    </row>
    <row r="4622" spans="1:1" x14ac:dyDescent="0.3">
      <c r="A4622" s="20"/>
    </row>
    <row r="4623" spans="1:1" x14ac:dyDescent="0.3">
      <c r="A4623" s="20"/>
    </row>
    <row r="4624" spans="1:1" x14ac:dyDescent="0.3">
      <c r="A4624" s="20"/>
    </row>
    <row r="4625" spans="1:1" x14ac:dyDescent="0.3">
      <c r="A4625" s="20"/>
    </row>
    <row r="4626" spans="1:1" x14ac:dyDescent="0.3">
      <c r="A4626" s="20"/>
    </row>
    <row r="4627" spans="1:1" x14ac:dyDescent="0.3">
      <c r="A4627" s="20"/>
    </row>
    <row r="4628" spans="1:1" x14ac:dyDescent="0.3">
      <c r="A4628" s="20"/>
    </row>
    <row r="4629" spans="1:1" x14ac:dyDescent="0.3">
      <c r="A4629" s="20"/>
    </row>
    <row r="4630" spans="1:1" x14ac:dyDescent="0.3">
      <c r="A4630" s="20"/>
    </row>
    <row r="4631" spans="1:1" x14ac:dyDescent="0.3">
      <c r="A4631" s="20"/>
    </row>
    <row r="4632" spans="1:1" x14ac:dyDescent="0.3">
      <c r="A4632" s="20"/>
    </row>
    <row r="4633" spans="1:1" x14ac:dyDescent="0.3">
      <c r="A4633" s="20"/>
    </row>
    <row r="4634" spans="1:1" x14ac:dyDescent="0.3">
      <c r="A4634" s="20"/>
    </row>
    <row r="4635" spans="1:1" x14ac:dyDescent="0.3">
      <c r="A4635" s="20"/>
    </row>
    <row r="4636" spans="1:1" x14ac:dyDescent="0.3">
      <c r="A4636" s="20"/>
    </row>
    <row r="4637" spans="1:1" x14ac:dyDescent="0.3">
      <c r="A4637" s="20"/>
    </row>
    <row r="4638" spans="1:1" x14ac:dyDescent="0.3">
      <c r="A4638" s="20"/>
    </row>
    <row r="4639" spans="1:1" x14ac:dyDescent="0.3">
      <c r="A4639" s="20"/>
    </row>
    <row r="4640" spans="1:1" x14ac:dyDescent="0.3">
      <c r="A4640" s="20"/>
    </row>
    <row r="4641" spans="1:1" x14ac:dyDescent="0.3">
      <c r="A4641" s="20"/>
    </row>
    <row r="4642" spans="1:1" x14ac:dyDescent="0.3">
      <c r="A4642" s="20"/>
    </row>
    <row r="4643" spans="1:1" x14ac:dyDescent="0.3">
      <c r="A4643" s="20"/>
    </row>
    <row r="4644" spans="1:1" x14ac:dyDescent="0.3">
      <c r="A4644" s="20"/>
    </row>
    <row r="4645" spans="1:1" x14ac:dyDescent="0.3">
      <c r="A4645" s="20"/>
    </row>
    <row r="4646" spans="1:1" x14ac:dyDescent="0.3">
      <c r="A4646" s="20"/>
    </row>
    <row r="4647" spans="1:1" x14ac:dyDescent="0.3">
      <c r="A4647" s="20"/>
    </row>
    <row r="4648" spans="1:1" x14ac:dyDescent="0.3">
      <c r="A4648" s="20"/>
    </row>
    <row r="4649" spans="1:1" x14ac:dyDescent="0.3">
      <c r="A4649" s="20"/>
    </row>
    <row r="4650" spans="1:1" x14ac:dyDescent="0.3">
      <c r="A4650" s="20"/>
    </row>
    <row r="4651" spans="1:1" x14ac:dyDescent="0.3">
      <c r="A4651" s="20"/>
    </row>
    <row r="4652" spans="1:1" x14ac:dyDescent="0.3">
      <c r="A4652" s="20"/>
    </row>
    <row r="4653" spans="1:1" x14ac:dyDescent="0.3">
      <c r="A4653" s="20"/>
    </row>
    <row r="4654" spans="1:1" x14ac:dyDescent="0.3">
      <c r="A4654" s="20"/>
    </row>
    <row r="4655" spans="1:1" x14ac:dyDescent="0.3">
      <c r="A4655" s="20"/>
    </row>
    <row r="4656" spans="1:1" x14ac:dyDescent="0.3">
      <c r="A4656" s="20"/>
    </row>
    <row r="4657" spans="1:1" x14ac:dyDescent="0.3">
      <c r="A4657" s="20"/>
    </row>
    <row r="4658" spans="1:1" x14ac:dyDescent="0.3">
      <c r="A4658" s="20"/>
    </row>
    <row r="4659" spans="1:1" x14ac:dyDescent="0.3">
      <c r="A4659" s="20"/>
    </row>
    <row r="4660" spans="1:1" x14ac:dyDescent="0.3">
      <c r="A4660" s="20"/>
    </row>
    <row r="4661" spans="1:1" x14ac:dyDescent="0.3">
      <c r="A4661" s="20"/>
    </row>
    <row r="4662" spans="1:1" x14ac:dyDescent="0.3">
      <c r="A4662" s="20"/>
    </row>
    <row r="4663" spans="1:1" x14ac:dyDescent="0.3">
      <c r="A4663" s="20"/>
    </row>
    <row r="4664" spans="1:1" x14ac:dyDescent="0.3">
      <c r="A4664" s="20"/>
    </row>
    <row r="4665" spans="1:1" x14ac:dyDescent="0.3">
      <c r="A4665" s="20"/>
    </row>
    <row r="4666" spans="1:1" x14ac:dyDescent="0.3">
      <c r="A4666" s="20"/>
    </row>
    <row r="4667" spans="1:1" x14ac:dyDescent="0.3">
      <c r="A4667" s="20"/>
    </row>
    <row r="4668" spans="1:1" x14ac:dyDescent="0.3">
      <c r="A4668" s="20"/>
    </row>
    <row r="4669" spans="1:1" x14ac:dyDescent="0.3">
      <c r="A4669" s="20"/>
    </row>
    <row r="4670" spans="1:1" x14ac:dyDescent="0.3">
      <c r="A4670" s="20"/>
    </row>
    <row r="4671" spans="1:1" x14ac:dyDescent="0.3">
      <c r="A4671" s="20"/>
    </row>
    <row r="4672" spans="1:1" x14ac:dyDescent="0.3">
      <c r="A4672" s="20"/>
    </row>
    <row r="4673" spans="1:1" x14ac:dyDescent="0.3">
      <c r="A4673" s="20"/>
    </row>
    <row r="4674" spans="1:1" x14ac:dyDescent="0.3">
      <c r="A4674" s="20"/>
    </row>
    <row r="4675" spans="1:1" x14ac:dyDescent="0.3">
      <c r="A4675" s="20"/>
    </row>
    <row r="4676" spans="1:1" x14ac:dyDescent="0.3">
      <c r="A4676" s="20"/>
    </row>
    <row r="4677" spans="1:1" x14ac:dyDescent="0.3">
      <c r="A4677" s="20"/>
    </row>
    <row r="4678" spans="1:1" x14ac:dyDescent="0.3">
      <c r="A4678" s="20"/>
    </row>
    <row r="4679" spans="1:1" x14ac:dyDescent="0.3">
      <c r="A4679" s="20"/>
    </row>
    <row r="4680" spans="1:1" x14ac:dyDescent="0.3">
      <c r="A4680" s="20"/>
    </row>
    <row r="4681" spans="1:1" x14ac:dyDescent="0.3">
      <c r="A4681" s="20"/>
    </row>
    <row r="4682" spans="1:1" x14ac:dyDescent="0.3">
      <c r="A4682" s="20"/>
    </row>
    <row r="4683" spans="1:1" x14ac:dyDescent="0.3">
      <c r="A4683" s="20"/>
    </row>
    <row r="4684" spans="1:1" x14ac:dyDescent="0.3">
      <c r="A4684" s="20"/>
    </row>
    <row r="4685" spans="1:1" x14ac:dyDescent="0.3">
      <c r="A4685" s="20"/>
    </row>
    <row r="4686" spans="1:1" x14ac:dyDescent="0.3">
      <c r="A4686" s="20"/>
    </row>
    <row r="4687" spans="1:1" x14ac:dyDescent="0.3">
      <c r="A4687" s="20"/>
    </row>
    <row r="4688" spans="1:1" x14ac:dyDescent="0.3">
      <c r="A4688" s="20"/>
    </row>
    <row r="4689" spans="1:1" x14ac:dyDescent="0.3">
      <c r="A4689" s="20"/>
    </row>
    <row r="4690" spans="1:1" x14ac:dyDescent="0.3">
      <c r="A4690" s="20"/>
    </row>
    <row r="4691" spans="1:1" x14ac:dyDescent="0.3">
      <c r="A4691" s="20"/>
    </row>
    <row r="4692" spans="1:1" x14ac:dyDescent="0.3">
      <c r="A4692" s="20"/>
    </row>
    <row r="4693" spans="1:1" x14ac:dyDescent="0.3">
      <c r="A4693" s="20"/>
    </row>
    <row r="4694" spans="1:1" x14ac:dyDescent="0.3">
      <c r="A4694" s="20"/>
    </row>
    <row r="4695" spans="1:1" x14ac:dyDescent="0.3">
      <c r="A4695" s="20"/>
    </row>
    <row r="4696" spans="1:1" x14ac:dyDescent="0.3">
      <c r="A4696" s="20"/>
    </row>
    <row r="4697" spans="1:1" x14ac:dyDescent="0.3">
      <c r="A4697" s="20"/>
    </row>
    <row r="4698" spans="1:1" x14ac:dyDescent="0.3">
      <c r="A4698" s="20"/>
    </row>
    <row r="4699" spans="1:1" x14ac:dyDescent="0.3">
      <c r="A4699" s="20"/>
    </row>
    <row r="4700" spans="1:1" x14ac:dyDescent="0.3">
      <c r="A4700" s="20"/>
    </row>
    <row r="4701" spans="1:1" x14ac:dyDescent="0.3">
      <c r="A4701" s="20"/>
    </row>
    <row r="4702" spans="1:1" x14ac:dyDescent="0.3">
      <c r="A4702" s="20"/>
    </row>
    <row r="4703" spans="1:1" x14ac:dyDescent="0.3">
      <c r="A4703" s="20"/>
    </row>
    <row r="4704" spans="1:1" x14ac:dyDescent="0.3">
      <c r="A4704" s="20"/>
    </row>
    <row r="4705" spans="1:1" x14ac:dyDescent="0.3">
      <c r="A4705" s="20"/>
    </row>
    <row r="4706" spans="1:1" x14ac:dyDescent="0.3">
      <c r="A4706" s="20"/>
    </row>
    <row r="4707" spans="1:1" x14ac:dyDescent="0.3">
      <c r="A4707" s="20"/>
    </row>
    <row r="4708" spans="1:1" x14ac:dyDescent="0.3">
      <c r="A4708" s="20"/>
    </row>
    <row r="4709" spans="1:1" x14ac:dyDescent="0.3">
      <c r="A4709" s="20"/>
    </row>
    <row r="4710" spans="1:1" x14ac:dyDescent="0.3">
      <c r="A4710" s="20"/>
    </row>
    <row r="4711" spans="1:1" x14ac:dyDescent="0.3">
      <c r="A4711" s="20"/>
    </row>
    <row r="4712" spans="1:1" x14ac:dyDescent="0.3">
      <c r="A4712" s="20"/>
    </row>
    <row r="4713" spans="1:1" x14ac:dyDescent="0.3">
      <c r="A4713" s="20"/>
    </row>
    <row r="4714" spans="1:1" x14ac:dyDescent="0.3">
      <c r="A4714" s="20"/>
    </row>
    <row r="4715" spans="1:1" x14ac:dyDescent="0.3">
      <c r="A4715" s="20"/>
    </row>
    <row r="4716" spans="1:1" x14ac:dyDescent="0.3">
      <c r="A4716" s="20"/>
    </row>
    <row r="4717" spans="1:1" x14ac:dyDescent="0.3">
      <c r="A4717" s="20"/>
    </row>
    <row r="4718" spans="1:1" x14ac:dyDescent="0.3">
      <c r="A4718" s="20"/>
    </row>
    <row r="4719" spans="1:1" x14ac:dyDescent="0.3">
      <c r="A4719" s="20"/>
    </row>
    <row r="4720" spans="1:1" x14ac:dyDescent="0.3">
      <c r="A4720" s="20"/>
    </row>
    <row r="4721" spans="1:1" x14ac:dyDescent="0.3">
      <c r="A4721" s="20"/>
    </row>
    <row r="4722" spans="1:1" x14ac:dyDescent="0.3">
      <c r="A4722" s="20"/>
    </row>
    <row r="4723" spans="1:1" x14ac:dyDescent="0.3">
      <c r="A4723" s="20"/>
    </row>
    <row r="4724" spans="1:1" x14ac:dyDescent="0.3">
      <c r="A4724" s="20"/>
    </row>
    <row r="4725" spans="1:1" x14ac:dyDescent="0.3">
      <c r="A4725" s="20"/>
    </row>
    <row r="4726" spans="1:1" x14ac:dyDescent="0.3">
      <c r="A4726" s="20"/>
    </row>
    <row r="4727" spans="1:1" x14ac:dyDescent="0.3">
      <c r="A4727" s="20"/>
    </row>
    <row r="4728" spans="1:1" x14ac:dyDescent="0.3">
      <c r="A4728" s="20"/>
    </row>
    <row r="4729" spans="1:1" x14ac:dyDescent="0.3">
      <c r="A4729" s="20"/>
    </row>
    <row r="4730" spans="1:1" x14ac:dyDescent="0.3">
      <c r="A4730" s="20"/>
    </row>
    <row r="4731" spans="1:1" x14ac:dyDescent="0.3">
      <c r="A4731" s="20"/>
    </row>
    <row r="4732" spans="1:1" x14ac:dyDescent="0.3">
      <c r="A4732" s="20"/>
    </row>
    <row r="4733" spans="1:1" x14ac:dyDescent="0.3">
      <c r="A4733" s="20"/>
    </row>
    <row r="4734" spans="1:1" x14ac:dyDescent="0.3">
      <c r="A4734" s="20"/>
    </row>
    <row r="4735" spans="1:1" x14ac:dyDescent="0.3">
      <c r="A4735" s="20"/>
    </row>
    <row r="4736" spans="1:1" x14ac:dyDescent="0.3">
      <c r="A4736" s="20"/>
    </row>
    <row r="4737" spans="1:1" x14ac:dyDescent="0.3">
      <c r="A4737" s="20"/>
    </row>
    <row r="4738" spans="1:1" x14ac:dyDescent="0.3">
      <c r="A4738" s="20"/>
    </row>
    <row r="4739" spans="1:1" x14ac:dyDescent="0.3">
      <c r="A4739" s="20"/>
    </row>
    <row r="4740" spans="1:1" x14ac:dyDescent="0.3">
      <c r="A4740" s="20"/>
    </row>
    <row r="4741" spans="1:1" x14ac:dyDescent="0.3">
      <c r="A4741" s="20"/>
    </row>
    <row r="4742" spans="1:1" x14ac:dyDescent="0.3">
      <c r="A4742" s="20"/>
    </row>
    <row r="4743" spans="1:1" x14ac:dyDescent="0.3">
      <c r="A4743" s="20"/>
    </row>
    <row r="4744" spans="1:1" x14ac:dyDescent="0.3">
      <c r="A4744" s="20"/>
    </row>
    <row r="4745" spans="1:1" x14ac:dyDescent="0.3">
      <c r="A4745" s="20"/>
    </row>
    <row r="4746" spans="1:1" x14ac:dyDescent="0.3">
      <c r="A4746" s="20"/>
    </row>
    <row r="4747" spans="1:1" x14ac:dyDescent="0.3">
      <c r="A4747" s="20"/>
    </row>
    <row r="4748" spans="1:1" x14ac:dyDescent="0.3">
      <c r="A4748" s="20"/>
    </row>
    <row r="4749" spans="1:1" x14ac:dyDescent="0.3">
      <c r="A4749" s="20"/>
    </row>
    <row r="4750" spans="1:1" x14ac:dyDescent="0.3">
      <c r="A4750" s="20"/>
    </row>
    <row r="4751" spans="1:1" x14ac:dyDescent="0.3">
      <c r="A4751" s="20"/>
    </row>
    <row r="4752" spans="1:1" x14ac:dyDescent="0.3">
      <c r="A4752" s="20"/>
    </row>
    <row r="4753" spans="1:1" x14ac:dyDescent="0.3">
      <c r="A4753" s="20"/>
    </row>
    <row r="4754" spans="1:1" x14ac:dyDescent="0.3">
      <c r="A4754" s="20"/>
    </row>
    <row r="4755" spans="1:1" x14ac:dyDescent="0.3">
      <c r="A4755" s="20"/>
    </row>
    <row r="4756" spans="1:1" x14ac:dyDescent="0.3">
      <c r="A4756" s="20"/>
    </row>
    <row r="4757" spans="1:1" x14ac:dyDescent="0.3">
      <c r="A4757" s="20"/>
    </row>
    <row r="4758" spans="1:1" x14ac:dyDescent="0.3">
      <c r="A4758" s="20"/>
    </row>
    <row r="4759" spans="1:1" x14ac:dyDescent="0.3">
      <c r="A4759" s="20"/>
    </row>
    <row r="4760" spans="1:1" x14ac:dyDescent="0.3">
      <c r="A4760" s="20"/>
    </row>
    <row r="4761" spans="1:1" x14ac:dyDescent="0.3">
      <c r="A4761" s="20"/>
    </row>
    <row r="4762" spans="1:1" x14ac:dyDescent="0.3">
      <c r="A4762" s="20"/>
    </row>
    <row r="4763" spans="1:1" x14ac:dyDescent="0.3">
      <c r="A4763" s="20"/>
    </row>
    <row r="4764" spans="1:1" x14ac:dyDescent="0.3">
      <c r="A4764" s="20"/>
    </row>
    <row r="4765" spans="1:1" x14ac:dyDescent="0.3">
      <c r="A4765" s="20"/>
    </row>
    <row r="4766" spans="1:1" x14ac:dyDescent="0.3">
      <c r="A4766" s="20"/>
    </row>
    <row r="4767" spans="1:1" x14ac:dyDescent="0.3">
      <c r="A4767" s="20"/>
    </row>
    <row r="4768" spans="1:1" x14ac:dyDescent="0.3">
      <c r="A4768" s="20"/>
    </row>
    <row r="4769" spans="1:1" x14ac:dyDescent="0.3">
      <c r="A4769" s="20"/>
    </row>
    <row r="4770" spans="1:1" x14ac:dyDescent="0.3">
      <c r="A4770" s="20"/>
    </row>
    <row r="4771" spans="1:1" x14ac:dyDescent="0.3">
      <c r="A4771" s="20"/>
    </row>
    <row r="4772" spans="1:1" x14ac:dyDescent="0.3">
      <c r="A4772" s="20"/>
    </row>
    <row r="4773" spans="1:1" x14ac:dyDescent="0.3">
      <c r="A4773" s="20"/>
    </row>
    <row r="4774" spans="1:1" x14ac:dyDescent="0.3">
      <c r="A4774" s="20"/>
    </row>
    <row r="4775" spans="1:1" x14ac:dyDescent="0.3">
      <c r="A4775" s="20"/>
    </row>
    <row r="4776" spans="1:1" x14ac:dyDescent="0.3">
      <c r="A4776" s="20"/>
    </row>
    <row r="4777" spans="1:1" x14ac:dyDescent="0.3">
      <c r="A4777" s="20"/>
    </row>
    <row r="4778" spans="1:1" x14ac:dyDescent="0.3">
      <c r="A4778" s="20"/>
    </row>
    <row r="4779" spans="1:1" x14ac:dyDescent="0.3">
      <c r="A4779" s="20"/>
    </row>
    <row r="4780" spans="1:1" x14ac:dyDescent="0.3">
      <c r="A4780" s="20"/>
    </row>
    <row r="4781" spans="1:1" x14ac:dyDescent="0.3">
      <c r="A4781" s="20"/>
    </row>
    <row r="4782" spans="1:1" x14ac:dyDescent="0.3">
      <c r="A4782" s="20"/>
    </row>
    <row r="4783" spans="1:1" x14ac:dyDescent="0.3">
      <c r="A4783" s="20"/>
    </row>
    <row r="4784" spans="1:1" x14ac:dyDescent="0.3">
      <c r="A4784" s="20"/>
    </row>
    <row r="4785" spans="1:1" x14ac:dyDescent="0.3">
      <c r="A4785" s="20"/>
    </row>
    <row r="4786" spans="1:1" x14ac:dyDescent="0.3">
      <c r="A4786" s="20"/>
    </row>
    <row r="4787" spans="1:1" x14ac:dyDescent="0.3">
      <c r="A4787" s="20"/>
    </row>
    <row r="4788" spans="1:1" x14ac:dyDescent="0.3">
      <c r="A4788" s="20"/>
    </row>
    <row r="4789" spans="1:1" x14ac:dyDescent="0.3">
      <c r="A4789" s="20"/>
    </row>
    <row r="4790" spans="1:1" x14ac:dyDescent="0.3">
      <c r="A4790" s="20"/>
    </row>
    <row r="4791" spans="1:1" x14ac:dyDescent="0.3">
      <c r="A4791" s="20"/>
    </row>
    <row r="4792" spans="1:1" x14ac:dyDescent="0.3">
      <c r="A4792" s="20"/>
    </row>
    <row r="4793" spans="1:1" x14ac:dyDescent="0.3">
      <c r="A4793" s="20"/>
    </row>
    <row r="4794" spans="1:1" x14ac:dyDescent="0.3">
      <c r="A4794" s="20"/>
    </row>
    <row r="4795" spans="1:1" x14ac:dyDescent="0.3">
      <c r="A4795" s="20"/>
    </row>
    <row r="4796" spans="1:1" x14ac:dyDescent="0.3">
      <c r="A4796" s="20"/>
    </row>
    <row r="4797" spans="1:1" x14ac:dyDescent="0.3">
      <c r="A4797" s="20"/>
    </row>
    <row r="4798" spans="1:1" x14ac:dyDescent="0.3">
      <c r="A4798" s="20"/>
    </row>
    <row r="4799" spans="1:1" x14ac:dyDescent="0.3">
      <c r="A4799" s="20"/>
    </row>
    <row r="4800" spans="1:1" x14ac:dyDescent="0.3">
      <c r="A4800" s="20"/>
    </row>
    <row r="4801" spans="1:1" x14ac:dyDescent="0.3">
      <c r="A4801" s="20"/>
    </row>
    <row r="4802" spans="1:1" x14ac:dyDescent="0.3">
      <c r="A4802" s="20"/>
    </row>
    <row r="4803" spans="1:1" x14ac:dyDescent="0.3">
      <c r="A4803" s="20"/>
    </row>
    <row r="4804" spans="1:1" x14ac:dyDescent="0.3">
      <c r="A4804" s="20"/>
    </row>
    <row r="4805" spans="1:1" x14ac:dyDescent="0.3">
      <c r="A4805" s="20"/>
    </row>
    <row r="4806" spans="1:1" x14ac:dyDescent="0.3">
      <c r="A4806" s="20"/>
    </row>
    <row r="4807" spans="1:1" x14ac:dyDescent="0.3">
      <c r="A4807" s="20"/>
    </row>
    <row r="4808" spans="1:1" x14ac:dyDescent="0.3">
      <c r="A4808" s="20"/>
    </row>
    <row r="4809" spans="1:1" x14ac:dyDescent="0.3">
      <c r="A4809" s="20"/>
    </row>
    <row r="4810" spans="1:1" x14ac:dyDescent="0.3">
      <c r="A4810" s="20"/>
    </row>
    <row r="4811" spans="1:1" x14ac:dyDescent="0.3">
      <c r="A4811" s="20"/>
    </row>
    <row r="4812" spans="1:1" x14ac:dyDescent="0.3">
      <c r="A4812" s="20"/>
    </row>
    <row r="4813" spans="1:1" x14ac:dyDescent="0.3">
      <c r="A4813" s="20"/>
    </row>
    <row r="4814" spans="1:1" x14ac:dyDescent="0.3">
      <c r="A4814" s="20"/>
    </row>
    <row r="4815" spans="1:1" x14ac:dyDescent="0.3">
      <c r="A4815" s="20"/>
    </row>
    <row r="4816" spans="1:1" x14ac:dyDescent="0.3">
      <c r="A4816" s="20"/>
    </row>
    <row r="4817" spans="1:1" x14ac:dyDescent="0.3">
      <c r="A4817" s="20"/>
    </row>
    <row r="4818" spans="1:1" x14ac:dyDescent="0.3">
      <c r="A4818" s="20"/>
    </row>
    <row r="4819" spans="1:1" x14ac:dyDescent="0.3">
      <c r="A4819" s="20"/>
    </row>
    <row r="4820" spans="1:1" x14ac:dyDescent="0.3">
      <c r="A4820" s="20"/>
    </row>
    <row r="4821" spans="1:1" x14ac:dyDescent="0.3">
      <c r="A4821" s="20"/>
    </row>
    <row r="4822" spans="1:1" x14ac:dyDescent="0.3">
      <c r="A4822" s="20"/>
    </row>
    <row r="4823" spans="1:1" x14ac:dyDescent="0.3">
      <c r="A4823" s="20"/>
    </row>
    <row r="4824" spans="1:1" x14ac:dyDescent="0.3">
      <c r="A4824" s="20"/>
    </row>
    <row r="4825" spans="1:1" x14ac:dyDescent="0.3">
      <c r="A4825" s="20"/>
    </row>
    <row r="4826" spans="1:1" x14ac:dyDescent="0.3">
      <c r="A4826" s="20"/>
    </row>
    <row r="4827" spans="1:1" x14ac:dyDescent="0.3">
      <c r="A4827" s="20"/>
    </row>
    <row r="4828" spans="1:1" x14ac:dyDescent="0.3">
      <c r="A4828" s="20"/>
    </row>
    <row r="4829" spans="1:1" x14ac:dyDescent="0.3">
      <c r="A4829" s="20"/>
    </row>
    <row r="4830" spans="1:1" x14ac:dyDescent="0.3">
      <c r="A4830" s="20"/>
    </row>
    <row r="4831" spans="1:1" x14ac:dyDescent="0.3">
      <c r="A4831" s="20"/>
    </row>
    <row r="4832" spans="1:1" x14ac:dyDescent="0.3">
      <c r="A4832" s="20"/>
    </row>
    <row r="4833" spans="1:1" x14ac:dyDescent="0.3">
      <c r="A4833" s="20"/>
    </row>
    <row r="4834" spans="1:1" x14ac:dyDescent="0.3">
      <c r="A4834" s="20"/>
    </row>
    <row r="4835" spans="1:1" x14ac:dyDescent="0.3">
      <c r="A4835" s="20"/>
    </row>
    <row r="4836" spans="1:1" x14ac:dyDescent="0.3">
      <c r="A4836" s="20"/>
    </row>
    <row r="4837" spans="1:1" x14ac:dyDescent="0.3">
      <c r="A4837" s="20"/>
    </row>
    <row r="4838" spans="1:1" x14ac:dyDescent="0.3">
      <c r="A4838" s="20"/>
    </row>
    <row r="4839" spans="1:1" x14ac:dyDescent="0.3">
      <c r="A4839" s="20"/>
    </row>
    <row r="4840" spans="1:1" x14ac:dyDescent="0.3">
      <c r="A4840" s="20"/>
    </row>
    <row r="4841" spans="1:1" x14ac:dyDescent="0.3">
      <c r="A4841" s="20"/>
    </row>
    <row r="4842" spans="1:1" x14ac:dyDescent="0.3">
      <c r="A4842" s="20"/>
    </row>
    <row r="4843" spans="1:1" x14ac:dyDescent="0.3">
      <c r="A4843" s="20"/>
    </row>
    <row r="4844" spans="1:1" x14ac:dyDescent="0.3">
      <c r="A4844" s="20"/>
    </row>
    <row r="4845" spans="1:1" x14ac:dyDescent="0.3">
      <c r="A4845" s="20"/>
    </row>
    <row r="4846" spans="1:1" x14ac:dyDescent="0.3">
      <c r="A4846" s="20"/>
    </row>
    <row r="4847" spans="1:1" x14ac:dyDescent="0.3">
      <c r="A4847" s="20"/>
    </row>
    <row r="4848" spans="1:1" x14ac:dyDescent="0.3">
      <c r="A4848" s="20"/>
    </row>
    <row r="4849" spans="1:1" x14ac:dyDescent="0.3">
      <c r="A4849" s="20"/>
    </row>
    <row r="4850" spans="1:1" x14ac:dyDescent="0.3">
      <c r="A4850" s="20"/>
    </row>
    <row r="4851" spans="1:1" x14ac:dyDescent="0.3">
      <c r="A4851" s="20"/>
    </row>
    <row r="4852" spans="1:1" x14ac:dyDescent="0.3">
      <c r="A4852" s="20"/>
    </row>
    <row r="4853" spans="1:1" x14ac:dyDescent="0.3">
      <c r="A4853" s="20"/>
    </row>
    <row r="4854" spans="1:1" x14ac:dyDescent="0.3">
      <c r="A4854" s="20"/>
    </row>
    <row r="4855" spans="1:1" x14ac:dyDescent="0.3">
      <c r="A4855" s="20"/>
    </row>
    <row r="4856" spans="1:1" x14ac:dyDescent="0.3">
      <c r="A4856" s="20"/>
    </row>
    <row r="4857" spans="1:1" x14ac:dyDescent="0.3">
      <c r="A4857" s="20"/>
    </row>
    <row r="4858" spans="1:1" x14ac:dyDescent="0.3">
      <c r="A4858" s="20"/>
    </row>
    <row r="4859" spans="1:1" x14ac:dyDescent="0.3">
      <c r="A4859" s="20"/>
    </row>
    <row r="4860" spans="1:1" x14ac:dyDescent="0.3">
      <c r="A4860" s="20"/>
    </row>
    <row r="4861" spans="1:1" x14ac:dyDescent="0.3">
      <c r="A4861" s="20"/>
    </row>
    <row r="4862" spans="1:1" x14ac:dyDescent="0.3">
      <c r="A4862" s="20"/>
    </row>
    <row r="4863" spans="1:1" x14ac:dyDescent="0.3">
      <c r="A4863" s="20"/>
    </row>
    <row r="4864" spans="1:1" x14ac:dyDescent="0.3">
      <c r="A4864" s="20"/>
    </row>
    <row r="4865" spans="1:1" x14ac:dyDescent="0.3">
      <c r="A4865" s="20"/>
    </row>
    <row r="4866" spans="1:1" x14ac:dyDescent="0.3">
      <c r="A4866" s="20"/>
    </row>
    <row r="4867" spans="1:1" x14ac:dyDescent="0.3">
      <c r="A4867" s="20"/>
    </row>
    <row r="4868" spans="1:1" x14ac:dyDescent="0.3">
      <c r="A4868" s="20"/>
    </row>
    <row r="4869" spans="1:1" x14ac:dyDescent="0.3">
      <c r="A4869" s="20"/>
    </row>
    <row r="4870" spans="1:1" x14ac:dyDescent="0.3">
      <c r="A4870" s="20"/>
    </row>
    <row r="4871" spans="1:1" x14ac:dyDescent="0.3">
      <c r="A4871" s="20"/>
    </row>
    <row r="4872" spans="1:1" x14ac:dyDescent="0.3">
      <c r="A4872" s="20"/>
    </row>
    <row r="4873" spans="1:1" x14ac:dyDescent="0.3">
      <c r="A4873" s="20"/>
    </row>
    <row r="4874" spans="1:1" x14ac:dyDescent="0.3">
      <c r="A4874" s="20"/>
    </row>
    <row r="4875" spans="1:1" x14ac:dyDescent="0.3">
      <c r="A4875" s="20"/>
    </row>
    <row r="4876" spans="1:1" x14ac:dyDescent="0.3">
      <c r="A4876" s="20"/>
    </row>
    <row r="4877" spans="1:1" x14ac:dyDescent="0.3">
      <c r="A4877" s="20"/>
    </row>
    <row r="4878" spans="1:1" x14ac:dyDescent="0.3">
      <c r="A4878" s="20"/>
    </row>
    <row r="4879" spans="1:1" x14ac:dyDescent="0.3">
      <c r="A4879" s="20"/>
    </row>
    <row r="4880" spans="1:1" x14ac:dyDescent="0.3">
      <c r="A4880" s="20"/>
    </row>
    <row r="4881" spans="1:1" x14ac:dyDescent="0.3">
      <c r="A4881" s="20"/>
    </row>
    <row r="4882" spans="1:1" x14ac:dyDescent="0.3">
      <c r="A4882" s="20"/>
    </row>
    <row r="4883" spans="1:1" x14ac:dyDescent="0.3">
      <c r="A4883" s="20"/>
    </row>
    <row r="4884" spans="1:1" x14ac:dyDescent="0.3">
      <c r="A4884" s="20"/>
    </row>
    <row r="4885" spans="1:1" x14ac:dyDescent="0.3">
      <c r="A4885" s="20"/>
    </row>
    <row r="4886" spans="1:1" x14ac:dyDescent="0.3">
      <c r="A4886" s="20"/>
    </row>
    <row r="4887" spans="1:1" x14ac:dyDescent="0.3">
      <c r="A4887" s="20"/>
    </row>
    <row r="4888" spans="1:1" x14ac:dyDescent="0.3">
      <c r="A4888" s="20"/>
    </row>
    <row r="4889" spans="1:1" x14ac:dyDescent="0.3">
      <c r="A4889" s="20"/>
    </row>
    <row r="4890" spans="1:1" x14ac:dyDescent="0.3">
      <c r="A4890" s="20"/>
    </row>
    <row r="4891" spans="1:1" x14ac:dyDescent="0.3">
      <c r="A4891" s="20"/>
    </row>
    <row r="4892" spans="1:1" x14ac:dyDescent="0.3">
      <c r="A4892" s="20"/>
    </row>
    <row r="4893" spans="1:1" x14ac:dyDescent="0.3">
      <c r="A4893" s="20"/>
    </row>
    <row r="4894" spans="1:1" x14ac:dyDescent="0.3">
      <c r="A4894" s="20"/>
    </row>
    <row r="4895" spans="1:1" x14ac:dyDescent="0.3">
      <c r="A4895" s="20"/>
    </row>
    <row r="4896" spans="1:1" x14ac:dyDescent="0.3">
      <c r="A4896" s="20"/>
    </row>
    <row r="4897" spans="1:1" x14ac:dyDescent="0.3">
      <c r="A4897" s="20"/>
    </row>
    <row r="4898" spans="1:1" x14ac:dyDescent="0.3">
      <c r="A4898" s="20"/>
    </row>
    <row r="4899" spans="1:1" x14ac:dyDescent="0.3">
      <c r="A4899" s="20"/>
    </row>
    <row r="4900" spans="1:1" x14ac:dyDescent="0.3">
      <c r="A4900" s="20"/>
    </row>
    <row r="4901" spans="1:1" x14ac:dyDescent="0.3">
      <c r="A4901" s="20"/>
    </row>
    <row r="4902" spans="1:1" x14ac:dyDescent="0.3">
      <c r="A4902" s="20"/>
    </row>
    <row r="4903" spans="1:1" x14ac:dyDescent="0.3">
      <c r="A4903" s="20"/>
    </row>
    <row r="4904" spans="1:1" x14ac:dyDescent="0.3">
      <c r="A4904" s="20"/>
    </row>
    <row r="4905" spans="1:1" x14ac:dyDescent="0.3">
      <c r="A4905" s="20"/>
    </row>
    <row r="4906" spans="1:1" x14ac:dyDescent="0.3">
      <c r="A4906" s="20"/>
    </row>
    <row r="4907" spans="1:1" x14ac:dyDescent="0.3">
      <c r="A4907" s="20"/>
    </row>
    <row r="4908" spans="1:1" x14ac:dyDescent="0.3">
      <c r="A4908" s="20"/>
    </row>
    <row r="4909" spans="1:1" x14ac:dyDescent="0.3">
      <c r="A4909" s="20"/>
    </row>
    <row r="4910" spans="1:1" x14ac:dyDescent="0.3">
      <c r="A4910" s="20"/>
    </row>
    <row r="4911" spans="1:1" x14ac:dyDescent="0.3">
      <c r="A4911" s="20"/>
    </row>
    <row r="4912" spans="1:1" x14ac:dyDescent="0.3">
      <c r="A4912" s="20"/>
    </row>
    <row r="4913" spans="1:1" x14ac:dyDescent="0.3">
      <c r="A4913" s="20"/>
    </row>
    <row r="4914" spans="1:1" x14ac:dyDescent="0.3">
      <c r="A4914" s="20"/>
    </row>
    <row r="4915" spans="1:1" x14ac:dyDescent="0.3">
      <c r="A4915" s="20"/>
    </row>
    <row r="4916" spans="1:1" x14ac:dyDescent="0.3">
      <c r="A4916" s="20"/>
    </row>
    <row r="4917" spans="1:1" x14ac:dyDescent="0.3">
      <c r="A4917" s="20"/>
    </row>
    <row r="4918" spans="1:1" x14ac:dyDescent="0.3">
      <c r="A4918" s="20"/>
    </row>
    <row r="4919" spans="1:1" x14ac:dyDescent="0.3">
      <c r="A4919" s="20"/>
    </row>
    <row r="4920" spans="1:1" x14ac:dyDescent="0.3">
      <c r="A4920" s="20"/>
    </row>
    <row r="4921" spans="1:1" x14ac:dyDescent="0.3">
      <c r="A4921" s="20"/>
    </row>
    <row r="4922" spans="1:1" x14ac:dyDescent="0.3">
      <c r="A4922" s="20"/>
    </row>
    <row r="4923" spans="1:1" x14ac:dyDescent="0.3">
      <c r="A4923" s="20"/>
    </row>
    <row r="4924" spans="1:1" x14ac:dyDescent="0.3">
      <c r="A4924" s="20"/>
    </row>
    <row r="4925" spans="1:1" x14ac:dyDescent="0.3">
      <c r="A4925" s="20"/>
    </row>
    <row r="4926" spans="1:1" x14ac:dyDescent="0.3">
      <c r="A4926" s="20"/>
    </row>
    <row r="4927" spans="1:1" x14ac:dyDescent="0.3">
      <c r="A4927" s="20"/>
    </row>
    <row r="4928" spans="1:1" x14ac:dyDescent="0.3">
      <c r="A4928" s="20"/>
    </row>
    <row r="4929" spans="1:1" x14ac:dyDescent="0.3">
      <c r="A4929" s="20"/>
    </row>
    <row r="4930" spans="1:1" x14ac:dyDescent="0.3">
      <c r="A4930" s="20"/>
    </row>
    <row r="4931" spans="1:1" x14ac:dyDescent="0.3">
      <c r="A4931" s="20"/>
    </row>
    <row r="4932" spans="1:1" x14ac:dyDescent="0.3">
      <c r="A4932" s="20"/>
    </row>
    <row r="4933" spans="1:1" x14ac:dyDescent="0.3">
      <c r="A4933" s="20"/>
    </row>
    <row r="4934" spans="1:1" x14ac:dyDescent="0.3">
      <c r="A4934" s="20"/>
    </row>
    <row r="4935" spans="1:1" x14ac:dyDescent="0.3">
      <c r="A4935" s="20"/>
    </row>
    <row r="4936" spans="1:1" x14ac:dyDescent="0.3">
      <c r="A4936" s="20"/>
    </row>
    <row r="4937" spans="1:1" x14ac:dyDescent="0.3">
      <c r="A4937" s="20"/>
    </row>
    <row r="4938" spans="1:1" x14ac:dyDescent="0.3">
      <c r="A4938" s="20"/>
    </row>
    <row r="4939" spans="1:1" x14ac:dyDescent="0.3">
      <c r="A4939" s="20"/>
    </row>
    <row r="4940" spans="1:1" x14ac:dyDescent="0.3">
      <c r="A4940" s="20"/>
    </row>
    <row r="4941" spans="1:1" x14ac:dyDescent="0.3">
      <c r="A4941" s="20"/>
    </row>
    <row r="4942" spans="1:1" x14ac:dyDescent="0.3">
      <c r="A4942" s="20"/>
    </row>
    <row r="4943" spans="1:1" x14ac:dyDescent="0.3">
      <c r="A4943" s="20"/>
    </row>
    <row r="4944" spans="1:1" x14ac:dyDescent="0.3">
      <c r="A4944" s="20"/>
    </row>
    <row r="4945" spans="1:1" x14ac:dyDescent="0.3">
      <c r="A4945" s="20"/>
    </row>
    <row r="4946" spans="1:1" x14ac:dyDescent="0.3">
      <c r="A4946" s="20"/>
    </row>
    <row r="4947" spans="1:1" x14ac:dyDescent="0.3">
      <c r="A4947" s="20"/>
    </row>
    <row r="4948" spans="1:1" x14ac:dyDescent="0.3">
      <c r="A4948" s="20"/>
    </row>
    <row r="4949" spans="1:1" x14ac:dyDescent="0.3">
      <c r="A4949" s="20"/>
    </row>
    <row r="4950" spans="1:1" x14ac:dyDescent="0.3">
      <c r="A4950" s="20"/>
    </row>
    <row r="4951" spans="1:1" x14ac:dyDescent="0.3">
      <c r="A4951" s="20"/>
    </row>
    <row r="4952" spans="1:1" x14ac:dyDescent="0.3">
      <c r="A4952" s="20"/>
    </row>
    <row r="4953" spans="1:1" x14ac:dyDescent="0.3">
      <c r="A4953" s="20"/>
    </row>
    <row r="4954" spans="1:1" x14ac:dyDescent="0.3">
      <c r="A4954" s="20"/>
    </row>
    <row r="4955" spans="1:1" x14ac:dyDescent="0.3">
      <c r="A4955" s="20"/>
    </row>
    <row r="4956" spans="1:1" x14ac:dyDescent="0.3">
      <c r="A4956" s="20"/>
    </row>
    <row r="4957" spans="1:1" x14ac:dyDescent="0.3">
      <c r="A4957" s="20"/>
    </row>
    <row r="4958" spans="1:1" x14ac:dyDescent="0.3">
      <c r="A4958" s="20"/>
    </row>
    <row r="4959" spans="1:1" x14ac:dyDescent="0.3">
      <c r="A4959" s="20"/>
    </row>
    <row r="4960" spans="1:1" x14ac:dyDescent="0.3">
      <c r="A4960" s="20"/>
    </row>
    <row r="4961" spans="1:1" x14ac:dyDescent="0.3">
      <c r="A4961" s="20"/>
    </row>
    <row r="4962" spans="1:1" x14ac:dyDescent="0.3">
      <c r="A4962" s="20"/>
    </row>
    <row r="4963" spans="1:1" x14ac:dyDescent="0.3">
      <c r="A4963" s="20"/>
    </row>
    <row r="4964" spans="1:1" x14ac:dyDescent="0.3">
      <c r="A4964" s="20"/>
    </row>
    <row r="4965" spans="1:1" x14ac:dyDescent="0.3">
      <c r="A4965" s="20"/>
    </row>
    <row r="4966" spans="1:1" x14ac:dyDescent="0.3">
      <c r="A4966" s="20"/>
    </row>
    <row r="4967" spans="1:1" x14ac:dyDescent="0.3">
      <c r="A4967" s="20"/>
    </row>
    <row r="4968" spans="1:1" x14ac:dyDescent="0.3">
      <c r="A4968" s="20"/>
    </row>
    <row r="4969" spans="1:1" x14ac:dyDescent="0.3">
      <c r="A4969" s="20"/>
    </row>
    <row r="4970" spans="1:1" x14ac:dyDescent="0.3">
      <c r="A4970" s="20"/>
    </row>
    <row r="4971" spans="1:1" x14ac:dyDescent="0.3">
      <c r="A4971" s="20"/>
    </row>
    <row r="4972" spans="1:1" x14ac:dyDescent="0.3">
      <c r="A4972" s="20"/>
    </row>
    <row r="4973" spans="1:1" x14ac:dyDescent="0.3">
      <c r="A4973" s="20"/>
    </row>
    <row r="4974" spans="1:1" x14ac:dyDescent="0.3">
      <c r="A4974" s="20"/>
    </row>
    <row r="4975" spans="1:1" x14ac:dyDescent="0.3">
      <c r="A4975" s="20"/>
    </row>
    <row r="4976" spans="1:1" x14ac:dyDescent="0.3">
      <c r="A4976" s="20"/>
    </row>
    <row r="4977" spans="1:1" x14ac:dyDescent="0.3">
      <c r="A4977" s="20"/>
    </row>
    <row r="4978" spans="1:1" x14ac:dyDescent="0.3">
      <c r="A4978" s="20"/>
    </row>
    <row r="4979" spans="1:1" x14ac:dyDescent="0.3">
      <c r="A4979" s="20"/>
    </row>
    <row r="4980" spans="1:1" x14ac:dyDescent="0.3">
      <c r="A4980" s="20"/>
    </row>
    <row r="4981" spans="1:1" x14ac:dyDescent="0.3">
      <c r="A4981" s="20"/>
    </row>
    <row r="4982" spans="1:1" x14ac:dyDescent="0.3">
      <c r="A4982" s="20"/>
    </row>
    <row r="4983" spans="1:1" x14ac:dyDescent="0.3">
      <c r="A4983" s="20"/>
    </row>
    <row r="4984" spans="1:1" x14ac:dyDescent="0.3">
      <c r="A4984" s="20"/>
    </row>
    <row r="4985" spans="1:1" x14ac:dyDescent="0.3">
      <c r="A4985" s="20"/>
    </row>
    <row r="4986" spans="1:1" x14ac:dyDescent="0.3">
      <c r="A4986" s="20"/>
    </row>
    <row r="4987" spans="1:1" x14ac:dyDescent="0.3">
      <c r="A4987" s="20"/>
    </row>
    <row r="4988" spans="1:1" x14ac:dyDescent="0.3">
      <c r="A4988" s="20"/>
    </row>
    <row r="4989" spans="1:1" x14ac:dyDescent="0.3">
      <c r="A4989" s="20"/>
    </row>
    <row r="4990" spans="1:1" x14ac:dyDescent="0.3">
      <c r="A4990" s="20"/>
    </row>
    <row r="4991" spans="1:1" x14ac:dyDescent="0.3">
      <c r="A4991" s="20"/>
    </row>
    <row r="4992" spans="1:1" x14ac:dyDescent="0.3">
      <c r="A4992" s="20"/>
    </row>
    <row r="4993" spans="1:1" x14ac:dyDescent="0.3">
      <c r="A4993" s="20"/>
    </row>
    <row r="4994" spans="1:1" x14ac:dyDescent="0.3">
      <c r="A4994" s="20"/>
    </row>
    <row r="4995" spans="1:1" x14ac:dyDescent="0.3">
      <c r="A4995" s="20"/>
    </row>
    <row r="4996" spans="1:1" x14ac:dyDescent="0.3">
      <c r="A4996" s="20"/>
    </row>
    <row r="4997" spans="1:1" x14ac:dyDescent="0.3">
      <c r="A4997" s="20"/>
    </row>
    <row r="4998" spans="1:1" x14ac:dyDescent="0.3">
      <c r="A4998" s="20"/>
    </row>
    <row r="4999" spans="1:1" x14ac:dyDescent="0.3">
      <c r="A4999" s="20"/>
    </row>
    <row r="5000" spans="1:1" x14ac:dyDescent="0.3">
      <c r="A5000" s="20"/>
    </row>
    <row r="5001" spans="1:1" x14ac:dyDescent="0.3">
      <c r="A5001" s="20"/>
    </row>
    <row r="5002" spans="1:1" x14ac:dyDescent="0.3">
      <c r="A5002" s="20"/>
    </row>
    <row r="5003" spans="1:1" x14ac:dyDescent="0.3">
      <c r="A5003" s="20"/>
    </row>
    <row r="5004" spans="1:1" x14ac:dyDescent="0.3">
      <c r="A5004" s="20"/>
    </row>
    <row r="5005" spans="1:1" x14ac:dyDescent="0.3">
      <c r="A5005" s="20"/>
    </row>
    <row r="5006" spans="1:1" x14ac:dyDescent="0.3">
      <c r="A5006" s="20"/>
    </row>
    <row r="5007" spans="1:1" x14ac:dyDescent="0.3">
      <c r="A5007" s="20"/>
    </row>
    <row r="5008" spans="1:1" x14ac:dyDescent="0.3">
      <c r="A5008" s="20"/>
    </row>
    <row r="5009" spans="1:1" x14ac:dyDescent="0.3">
      <c r="A5009" s="20"/>
    </row>
    <row r="5010" spans="1:1" x14ac:dyDescent="0.3">
      <c r="A5010" s="20"/>
    </row>
    <row r="5011" spans="1:1" x14ac:dyDescent="0.3">
      <c r="A5011" s="20"/>
    </row>
    <row r="5012" spans="1:1" x14ac:dyDescent="0.3">
      <c r="A5012" s="20"/>
    </row>
    <row r="5013" spans="1:1" x14ac:dyDescent="0.3">
      <c r="A5013" s="20"/>
    </row>
    <row r="5014" spans="1:1" x14ac:dyDescent="0.3">
      <c r="A5014" s="20"/>
    </row>
    <row r="5015" spans="1:1" x14ac:dyDescent="0.3">
      <c r="A5015" s="20"/>
    </row>
    <row r="5016" spans="1:1" x14ac:dyDescent="0.3">
      <c r="A5016" s="20"/>
    </row>
    <row r="5017" spans="1:1" x14ac:dyDescent="0.3">
      <c r="A5017" s="20"/>
    </row>
    <row r="5018" spans="1:1" x14ac:dyDescent="0.3">
      <c r="A5018" s="20"/>
    </row>
    <row r="5019" spans="1:1" x14ac:dyDescent="0.3">
      <c r="A5019" s="20"/>
    </row>
    <row r="5020" spans="1:1" x14ac:dyDescent="0.3">
      <c r="A5020" s="20"/>
    </row>
    <row r="5021" spans="1:1" x14ac:dyDescent="0.3">
      <c r="A5021" s="20"/>
    </row>
    <row r="5022" spans="1:1" x14ac:dyDescent="0.3">
      <c r="A5022" s="20"/>
    </row>
    <row r="5023" spans="1:1" x14ac:dyDescent="0.3">
      <c r="A5023" s="20"/>
    </row>
    <row r="5024" spans="1:1" x14ac:dyDescent="0.3">
      <c r="A5024" s="20"/>
    </row>
    <row r="5025" spans="1:1" x14ac:dyDescent="0.3">
      <c r="A5025" s="20"/>
    </row>
    <row r="5026" spans="1:1" x14ac:dyDescent="0.3">
      <c r="A5026" s="20"/>
    </row>
    <row r="5027" spans="1:1" x14ac:dyDescent="0.3">
      <c r="A5027" s="20"/>
    </row>
    <row r="5028" spans="1:1" x14ac:dyDescent="0.3">
      <c r="A5028" s="20"/>
    </row>
    <row r="5029" spans="1:1" x14ac:dyDescent="0.3">
      <c r="A5029" s="20"/>
    </row>
    <row r="5030" spans="1:1" x14ac:dyDescent="0.3">
      <c r="A5030" s="20"/>
    </row>
    <row r="5031" spans="1:1" x14ac:dyDescent="0.3">
      <c r="A5031" s="20"/>
    </row>
    <row r="5032" spans="1:1" x14ac:dyDescent="0.3">
      <c r="A5032" s="20"/>
    </row>
    <row r="5033" spans="1:1" x14ac:dyDescent="0.3">
      <c r="A5033" s="20"/>
    </row>
    <row r="5034" spans="1:1" x14ac:dyDescent="0.3">
      <c r="A5034" s="20"/>
    </row>
    <row r="5035" spans="1:1" x14ac:dyDescent="0.3">
      <c r="A5035" s="20"/>
    </row>
    <row r="5036" spans="1:1" x14ac:dyDescent="0.3">
      <c r="A5036" s="20"/>
    </row>
    <row r="5037" spans="1:1" x14ac:dyDescent="0.3">
      <c r="A5037" s="20"/>
    </row>
    <row r="5038" spans="1:1" x14ac:dyDescent="0.3">
      <c r="A5038" s="20"/>
    </row>
    <row r="5039" spans="1:1" x14ac:dyDescent="0.3">
      <c r="A5039" s="20"/>
    </row>
    <row r="5040" spans="1:1" x14ac:dyDescent="0.3">
      <c r="A5040" s="20"/>
    </row>
    <row r="5041" spans="1:1" x14ac:dyDescent="0.3">
      <c r="A5041" s="20"/>
    </row>
    <row r="5042" spans="1:1" x14ac:dyDescent="0.3">
      <c r="A5042" s="20"/>
    </row>
    <row r="5043" spans="1:1" x14ac:dyDescent="0.3">
      <c r="A5043" s="20"/>
    </row>
    <row r="5044" spans="1:1" x14ac:dyDescent="0.3">
      <c r="A5044" s="20"/>
    </row>
    <row r="5045" spans="1:1" x14ac:dyDescent="0.3">
      <c r="A5045" s="20"/>
    </row>
    <row r="5046" spans="1:1" x14ac:dyDescent="0.3">
      <c r="A5046" s="20"/>
    </row>
    <row r="5047" spans="1:1" x14ac:dyDescent="0.3">
      <c r="A5047" s="20"/>
    </row>
    <row r="5048" spans="1:1" x14ac:dyDescent="0.3">
      <c r="A5048" s="20"/>
    </row>
    <row r="5049" spans="1:1" x14ac:dyDescent="0.3">
      <c r="A5049" s="20"/>
    </row>
    <row r="5050" spans="1:1" x14ac:dyDescent="0.3">
      <c r="A5050" s="20"/>
    </row>
    <row r="5051" spans="1:1" x14ac:dyDescent="0.3">
      <c r="A5051" s="20"/>
    </row>
    <row r="5052" spans="1:1" x14ac:dyDescent="0.3">
      <c r="A5052" s="20"/>
    </row>
    <row r="5053" spans="1:1" x14ac:dyDescent="0.3">
      <c r="A5053" s="20"/>
    </row>
    <row r="5054" spans="1:1" x14ac:dyDescent="0.3">
      <c r="A5054" s="20"/>
    </row>
    <row r="5055" spans="1:1" x14ac:dyDescent="0.3">
      <c r="A5055" s="20"/>
    </row>
    <row r="5056" spans="1:1" x14ac:dyDescent="0.3">
      <c r="A5056" s="20"/>
    </row>
    <row r="5057" spans="1:1" x14ac:dyDescent="0.3">
      <c r="A5057" s="20"/>
    </row>
    <row r="5058" spans="1:1" x14ac:dyDescent="0.3">
      <c r="A5058" s="20"/>
    </row>
    <row r="5059" spans="1:1" x14ac:dyDescent="0.3">
      <c r="A5059" s="20"/>
    </row>
    <row r="5060" spans="1:1" x14ac:dyDescent="0.3">
      <c r="A5060" s="20"/>
    </row>
    <row r="5061" spans="1:1" x14ac:dyDescent="0.3">
      <c r="A5061" s="20"/>
    </row>
    <row r="5062" spans="1:1" x14ac:dyDescent="0.3">
      <c r="A5062" s="20"/>
    </row>
    <row r="5063" spans="1:1" x14ac:dyDescent="0.3">
      <c r="A5063" s="20"/>
    </row>
    <row r="5064" spans="1:1" x14ac:dyDescent="0.3">
      <c r="A5064" s="20"/>
    </row>
    <row r="5065" spans="1:1" x14ac:dyDescent="0.3">
      <c r="A5065" s="20"/>
    </row>
    <row r="5066" spans="1:1" x14ac:dyDescent="0.3">
      <c r="A5066" s="20"/>
    </row>
    <row r="5067" spans="1:1" x14ac:dyDescent="0.3">
      <c r="A5067" s="20"/>
    </row>
    <row r="5068" spans="1:1" x14ac:dyDescent="0.3">
      <c r="A5068" s="20"/>
    </row>
    <row r="5069" spans="1:1" x14ac:dyDescent="0.3">
      <c r="A5069" s="20"/>
    </row>
    <row r="5070" spans="1:1" x14ac:dyDescent="0.3">
      <c r="A5070" s="20"/>
    </row>
    <row r="5071" spans="1:1" x14ac:dyDescent="0.3">
      <c r="A5071" s="20"/>
    </row>
    <row r="5072" spans="1:1" x14ac:dyDescent="0.3">
      <c r="A5072" s="20"/>
    </row>
    <row r="5073" spans="1:1" x14ac:dyDescent="0.3">
      <c r="A5073" s="20"/>
    </row>
    <row r="5074" spans="1:1" x14ac:dyDescent="0.3">
      <c r="A5074" s="20"/>
    </row>
    <row r="5075" spans="1:1" x14ac:dyDescent="0.3">
      <c r="A5075" s="20"/>
    </row>
    <row r="5076" spans="1:1" x14ac:dyDescent="0.3">
      <c r="A5076" s="20"/>
    </row>
    <row r="5077" spans="1:1" x14ac:dyDescent="0.3">
      <c r="A5077" s="20"/>
    </row>
    <row r="5078" spans="1:1" x14ac:dyDescent="0.3">
      <c r="A5078" s="20"/>
    </row>
    <row r="5079" spans="1:1" x14ac:dyDescent="0.3">
      <c r="A5079" s="20"/>
    </row>
    <row r="5080" spans="1:1" x14ac:dyDescent="0.3">
      <c r="A5080" s="20"/>
    </row>
    <row r="5081" spans="1:1" x14ac:dyDescent="0.3">
      <c r="A5081" s="20"/>
    </row>
    <row r="5082" spans="1:1" x14ac:dyDescent="0.3">
      <c r="A5082" s="20"/>
    </row>
    <row r="5083" spans="1:1" x14ac:dyDescent="0.3">
      <c r="A5083" s="20"/>
    </row>
    <row r="5084" spans="1:1" x14ac:dyDescent="0.3">
      <c r="A5084" s="20"/>
    </row>
    <row r="5085" spans="1:1" x14ac:dyDescent="0.3">
      <c r="A5085" s="20"/>
    </row>
    <row r="5086" spans="1:1" x14ac:dyDescent="0.3">
      <c r="A5086" s="20"/>
    </row>
    <row r="5087" spans="1:1" x14ac:dyDescent="0.3">
      <c r="A5087" s="20"/>
    </row>
    <row r="5088" spans="1:1" x14ac:dyDescent="0.3">
      <c r="A5088" s="20"/>
    </row>
    <row r="5089" spans="1:1" x14ac:dyDescent="0.3">
      <c r="A5089" s="20"/>
    </row>
    <row r="5090" spans="1:1" x14ac:dyDescent="0.3">
      <c r="A5090" s="20"/>
    </row>
    <row r="5091" spans="1:1" x14ac:dyDescent="0.3">
      <c r="A5091" s="20"/>
    </row>
    <row r="5092" spans="1:1" x14ac:dyDescent="0.3">
      <c r="A5092" s="20"/>
    </row>
    <row r="5093" spans="1:1" x14ac:dyDescent="0.3">
      <c r="A5093" s="20"/>
    </row>
    <row r="5094" spans="1:1" x14ac:dyDescent="0.3">
      <c r="A5094" s="20"/>
    </row>
    <row r="5095" spans="1:1" x14ac:dyDescent="0.3">
      <c r="A5095" s="20"/>
    </row>
    <row r="5096" spans="1:1" x14ac:dyDescent="0.3">
      <c r="A5096" s="20"/>
    </row>
    <row r="5097" spans="1:1" x14ac:dyDescent="0.3">
      <c r="A5097" s="20"/>
    </row>
    <row r="5098" spans="1:1" x14ac:dyDescent="0.3">
      <c r="A5098" s="20"/>
    </row>
    <row r="5099" spans="1:1" x14ac:dyDescent="0.3">
      <c r="A5099" s="20"/>
    </row>
    <row r="5100" spans="1:1" x14ac:dyDescent="0.3">
      <c r="A5100" s="20"/>
    </row>
    <row r="5101" spans="1:1" x14ac:dyDescent="0.3">
      <c r="A5101" s="20"/>
    </row>
    <row r="5102" spans="1:1" x14ac:dyDescent="0.3">
      <c r="A5102" s="20"/>
    </row>
    <row r="5103" spans="1:1" x14ac:dyDescent="0.3">
      <c r="A5103" s="20"/>
    </row>
    <row r="5104" spans="1:1" x14ac:dyDescent="0.3">
      <c r="A5104" s="20"/>
    </row>
    <row r="5105" spans="1:1" x14ac:dyDescent="0.3">
      <c r="A5105" s="20"/>
    </row>
    <row r="5106" spans="1:1" x14ac:dyDescent="0.3">
      <c r="A5106" s="20"/>
    </row>
    <row r="5107" spans="1:1" x14ac:dyDescent="0.3">
      <c r="A5107" s="20"/>
    </row>
    <row r="5108" spans="1:1" x14ac:dyDescent="0.3">
      <c r="A5108" s="20"/>
    </row>
    <row r="5109" spans="1:1" x14ac:dyDescent="0.3">
      <c r="A5109" s="20"/>
    </row>
    <row r="5110" spans="1:1" x14ac:dyDescent="0.3">
      <c r="A5110" s="20"/>
    </row>
    <row r="5111" spans="1:1" x14ac:dyDescent="0.3">
      <c r="A5111" s="20"/>
    </row>
    <row r="5112" spans="1:1" x14ac:dyDescent="0.3">
      <c r="A5112" s="20"/>
    </row>
    <row r="5113" spans="1:1" x14ac:dyDescent="0.3">
      <c r="A5113" s="20"/>
    </row>
    <row r="5114" spans="1:1" x14ac:dyDescent="0.3">
      <c r="A5114" s="20"/>
    </row>
    <row r="5115" spans="1:1" x14ac:dyDescent="0.3">
      <c r="A5115" s="20"/>
    </row>
    <row r="5116" spans="1:1" x14ac:dyDescent="0.3">
      <c r="A5116" s="20"/>
    </row>
    <row r="5117" spans="1:1" x14ac:dyDescent="0.3">
      <c r="A5117" s="20"/>
    </row>
    <row r="5118" spans="1:1" x14ac:dyDescent="0.3">
      <c r="A5118" s="20"/>
    </row>
    <row r="5119" spans="1:1" x14ac:dyDescent="0.3">
      <c r="A5119" s="20"/>
    </row>
    <row r="5120" spans="1:1" x14ac:dyDescent="0.3">
      <c r="A5120" s="20"/>
    </row>
    <row r="5121" spans="1:1" x14ac:dyDescent="0.3">
      <c r="A5121" s="20"/>
    </row>
    <row r="5122" spans="1:1" x14ac:dyDescent="0.3">
      <c r="A5122" s="20"/>
    </row>
    <row r="5123" spans="1:1" x14ac:dyDescent="0.3">
      <c r="A5123" s="20"/>
    </row>
    <row r="5124" spans="1:1" x14ac:dyDescent="0.3">
      <c r="A5124" s="20"/>
    </row>
    <row r="5125" spans="1:1" x14ac:dyDescent="0.3">
      <c r="A5125" s="20"/>
    </row>
    <row r="5126" spans="1:1" x14ac:dyDescent="0.3">
      <c r="A5126" s="20"/>
    </row>
    <row r="5127" spans="1:1" x14ac:dyDescent="0.3">
      <c r="A5127" s="20"/>
    </row>
    <row r="5128" spans="1:1" x14ac:dyDescent="0.3">
      <c r="A5128" s="20"/>
    </row>
    <row r="5129" spans="1:1" x14ac:dyDescent="0.3">
      <c r="A5129" s="20"/>
    </row>
    <row r="5130" spans="1:1" x14ac:dyDescent="0.3">
      <c r="A5130" s="20"/>
    </row>
    <row r="5131" spans="1:1" x14ac:dyDescent="0.3">
      <c r="A5131" s="20"/>
    </row>
    <row r="5132" spans="1:1" x14ac:dyDescent="0.3">
      <c r="A5132" s="20"/>
    </row>
    <row r="5133" spans="1:1" x14ac:dyDescent="0.3">
      <c r="A5133" s="20"/>
    </row>
    <row r="5134" spans="1:1" x14ac:dyDescent="0.3">
      <c r="A5134" s="20"/>
    </row>
    <row r="5135" spans="1:1" x14ac:dyDescent="0.3">
      <c r="A5135" s="20"/>
    </row>
    <row r="5136" spans="1:1" x14ac:dyDescent="0.3">
      <c r="A5136" s="20"/>
    </row>
    <row r="5137" spans="1:1" x14ac:dyDescent="0.3">
      <c r="A5137" s="20"/>
    </row>
    <row r="5138" spans="1:1" x14ac:dyDescent="0.3">
      <c r="A5138" s="20"/>
    </row>
    <row r="5139" spans="1:1" x14ac:dyDescent="0.3">
      <c r="A5139" s="20"/>
    </row>
    <row r="5140" spans="1:1" x14ac:dyDescent="0.3">
      <c r="A5140" s="20"/>
    </row>
    <row r="5141" spans="1:1" x14ac:dyDescent="0.3">
      <c r="A5141" s="20"/>
    </row>
    <row r="5142" spans="1:1" x14ac:dyDescent="0.3">
      <c r="A5142" s="20"/>
    </row>
    <row r="5143" spans="1:1" x14ac:dyDescent="0.3">
      <c r="A5143" s="20"/>
    </row>
    <row r="5144" spans="1:1" x14ac:dyDescent="0.3">
      <c r="A5144" s="20"/>
    </row>
    <row r="5145" spans="1:1" x14ac:dyDescent="0.3">
      <c r="A5145" s="20"/>
    </row>
    <row r="5146" spans="1:1" x14ac:dyDescent="0.3">
      <c r="A5146" s="20"/>
    </row>
    <row r="5147" spans="1:1" x14ac:dyDescent="0.3">
      <c r="A5147" s="20"/>
    </row>
    <row r="5148" spans="1:1" x14ac:dyDescent="0.3">
      <c r="A5148" s="20"/>
    </row>
    <row r="5149" spans="1:1" x14ac:dyDescent="0.3">
      <c r="A5149" s="20"/>
    </row>
    <row r="5150" spans="1:1" x14ac:dyDescent="0.3">
      <c r="A5150" s="20"/>
    </row>
    <row r="5151" spans="1:1" x14ac:dyDescent="0.3">
      <c r="A5151" s="20"/>
    </row>
    <row r="5152" spans="1:1" x14ac:dyDescent="0.3">
      <c r="A5152" s="20"/>
    </row>
    <row r="5153" spans="1:1" x14ac:dyDescent="0.3">
      <c r="A5153" s="20"/>
    </row>
    <row r="5154" spans="1:1" x14ac:dyDescent="0.3">
      <c r="A5154" s="20"/>
    </row>
    <row r="5155" spans="1:1" x14ac:dyDescent="0.3">
      <c r="A5155" s="20"/>
    </row>
    <row r="5156" spans="1:1" x14ac:dyDescent="0.3">
      <c r="A5156" s="20"/>
    </row>
    <row r="5157" spans="1:1" x14ac:dyDescent="0.3">
      <c r="A5157" s="20"/>
    </row>
    <row r="5158" spans="1:1" x14ac:dyDescent="0.3">
      <c r="A5158" s="20"/>
    </row>
    <row r="5159" spans="1:1" x14ac:dyDescent="0.3">
      <c r="A5159" s="20"/>
    </row>
    <row r="5160" spans="1:1" x14ac:dyDescent="0.3">
      <c r="A5160" s="20"/>
    </row>
    <row r="5161" spans="1:1" x14ac:dyDescent="0.3">
      <c r="A5161" s="20"/>
    </row>
    <row r="5162" spans="1:1" x14ac:dyDescent="0.3">
      <c r="A5162" s="20"/>
    </row>
    <row r="5163" spans="1:1" x14ac:dyDescent="0.3">
      <c r="A5163" s="20"/>
    </row>
    <row r="5164" spans="1:1" x14ac:dyDescent="0.3">
      <c r="A5164" s="20"/>
    </row>
    <row r="5165" spans="1:1" x14ac:dyDescent="0.3">
      <c r="A5165" s="20"/>
    </row>
    <row r="5166" spans="1:1" x14ac:dyDescent="0.3">
      <c r="A5166" s="20"/>
    </row>
    <row r="5167" spans="1:1" x14ac:dyDescent="0.3">
      <c r="A5167" s="20"/>
    </row>
    <row r="5168" spans="1:1" x14ac:dyDescent="0.3">
      <c r="A5168" s="20"/>
    </row>
    <row r="5169" spans="1:1" x14ac:dyDescent="0.3">
      <c r="A5169" s="20"/>
    </row>
    <row r="5170" spans="1:1" x14ac:dyDescent="0.3">
      <c r="A5170" s="20"/>
    </row>
    <row r="5171" spans="1:1" x14ac:dyDescent="0.3">
      <c r="A5171" s="20"/>
    </row>
    <row r="5172" spans="1:1" x14ac:dyDescent="0.3">
      <c r="A5172" s="20"/>
    </row>
    <row r="5173" spans="1:1" x14ac:dyDescent="0.3">
      <c r="A5173" s="20"/>
    </row>
    <row r="5174" spans="1:1" x14ac:dyDescent="0.3">
      <c r="A5174" s="20"/>
    </row>
    <row r="5175" spans="1:1" x14ac:dyDescent="0.3">
      <c r="A5175" s="20"/>
    </row>
    <row r="5176" spans="1:1" x14ac:dyDescent="0.3">
      <c r="A5176" s="20"/>
    </row>
    <row r="5177" spans="1:1" x14ac:dyDescent="0.3">
      <c r="A5177" s="20"/>
    </row>
    <row r="5178" spans="1:1" x14ac:dyDescent="0.3">
      <c r="A5178" s="20"/>
    </row>
    <row r="5179" spans="1:1" x14ac:dyDescent="0.3">
      <c r="A5179" s="20"/>
    </row>
    <row r="5180" spans="1:1" x14ac:dyDescent="0.3">
      <c r="A5180" s="20"/>
    </row>
    <row r="5181" spans="1:1" x14ac:dyDescent="0.3">
      <c r="A5181" s="20"/>
    </row>
    <row r="5182" spans="1:1" x14ac:dyDescent="0.3">
      <c r="A5182" s="20"/>
    </row>
    <row r="5183" spans="1:1" x14ac:dyDescent="0.3">
      <c r="A5183" s="20"/>
    </row>
    <row r="5184" spans="1:1" x14ac:dyDescent="0.3">
      <c r="A5184" s="20"/>
    </row>
    <row r="5185" spans="1:1" x14ac:dyDescent="0.3">
      <c r="A5185" s="20"/>
    </row>
    <row r="5186" spans="1:1" x14ac:dyDescent="0.3">
      <c r="A5186" s="20"/>
    </row>
    <row r="5187" spans="1:1" x14ac:dyDescent="0.3">
      <c r="A5187" s="20"/>
    </row>
    <row r="5188" spans="1:1" x14ac:dyDescent="0.3">
      <c r="A5188" s="20"/>
    </row>
    <row r="5189" spans="1:1" x14ac:dyDescent="0.3">
      <c r="A5189" s="20"/>
    </row>
    <row r="5190" spans="1:1" x14ac:dyDescent="0.3">
      <c r="A5190" s="20"/>
    </row>
    <row r="5191" spans="1:1" x14ac:dyDescent="0.3">
      <c r="A5191" s="20"/>
    </row>
    <row r="5192" spans="1:1" x14ac:dyDescent="0.3">
      <c r="A5192" s="20"/>
    </row>
    <row r="5193" spans="1:1" x14ac:dyDescent="0.3">
      <c r="A5193" s="20"/>
    </row>
    <row r="5194" spans="1:1" x14ac:dyDescent="0.3">
      <c r="A5194" s="20"/>
    </row>
    <row r="5195" spans="1:1" x14ac:dyDescent="0.3">
      <c r="A5195" s="20"/>
    </row>
    <row r="5196" spans="1:1" x14ac:dyDescent="0.3">
      <c r="A5196" s="20"/>
    </row>
    <row r="5197" spans="1:1" x14ac:dyDescent="0.3">
      <c r="A5197" s="20"/>
    </row>
    <row r="5198" spans="1:1" x14ac:dyDescent="0.3">
      <c r="A5198" s="20"/>
    </row>
    <row r="5199" spans="1:1" x14ac:dyDescent="0.3">
      <c r="A5199" s="20"/>
    </row>
    <row r="5200" spans="1:1" x14ac:dyDescent="0.3">
      <c r="A5200" s="20"/>
    </row>
    <row r="5201" spans="1:1" x14ac:dyDescent="0.3">
      <c r="A5201" s="20"/>
    </row>
    <row r="5202" spans="1:1" x14ac:dyDescent="0.3">
      <c r="A5202" s="20"/>
    </row>
    <row r="5203" spans="1:1" x14ac:dyDescent="0.3">
      <c r="A5203" s="20"/>
    </row>
    <row r="5204" spans="1:1" x14ac:dyDescent="0.3">
      <c r="A5204" s="20"/>
    </row>
    <row r="5205" spans="1:1" x14ac:dyDescent="0.3">
      <c r="A5205" s="20"/>
    </row>
    <row r="5206" spans="1:1" x14ac:dyDescent="0.3">
      <c r="A5206" s="20"/>
    </row>
    <row r="5207" spans="1:1" x14ac:dyDescent="0.3">
      <c r="A5207" s="20"/>
    </row>
    <row r="5208" spans="1:1" x14ac:dyDescent="0.3">
      <c r="A5208" s="20"/>
    </row>
    <row r="5209" spans="1:1" x14ac:dyDescent="0.3">
      <c r="A5209" s="20"/>
    </row>
    <row r="5210" spans="1:1" x14ac:dyDescent="0.3">
      <c r="A5210" s="20"/>
    </row>
    <row r="5211" spans="1:1" x14ac:dyDescent="0.3">
      <c r="A5211" s="20"/>
    </row>
    <row r="5212" spans="1:1" x14ac:dyDescent="0.3">
      <c r="A5212" s="20"/>
    </row>
    <row r="5213" spans="1:1" x14ac:dyDescent="0.3">
      <c r="A5213" s="20"/>
    </row>
    <row r="5214" spans="1:1" x14ac:dyDescent="0.3">
      <c r="A5214" s="20"/>
    </row>
    <row r="5215" spans="1:1" x14ac:dyDescent="0.3">
      <c r="A5215" s="20"/>
    </row>
    <row r="5216" spans="1:1" x14ac:dyDescent="0.3">
      <c r="A5216" s="20"/>
    </row>
    <row r="5217" spans="1:1" x14ac:dyDescent="0.3">
      <c r="A5217" s="20"/>
    </row>
    <row r="5218" spans="1:1" x14ac:dyDescent="0.3">
      <c r="A5218" s="20"/>
    </row>
    <row r="5219" spans="1:1" x14ac:dyDescent="0.3">
      <c r="A5219" s="20"/>
    </row>
    <row r="5220" spans="1:1" x14ac:dyDescent="0.3">
      <c r="A5220" s="20"/>
    </row>
    <row r="5221" spans="1:1" x14ac:dyDescent="0.3">
      <c r="A5221" s="20"/>
    </row>
    <row r="5222" spans="1:1" x14ac:dyDescent="0.3">
      <c r="A5222" s="20"/>
    </row>
    <row r="5223" spans="1:1" x14ac:dyDescent="0.3">
      <c r="A5223" s="20"/>
    </row>
    <row r="5224" spans="1:1" x14ac:dyDescent="0.3">
      <c r="A5224" s="20"/>
    </row>
    <row r="5225" spans="1:1" x14ac:dyDescent="0.3">
      <c r="A5225" s="20"/>
    </row>
    <row r="5226" spans="1:1" x14ac:dyDescent="0.3">
      <c r="A5226" s="20"/>
    </row>
    <row r="5227" spans="1:1" x14ac:dyDescent="0.3">
      <c r="A5227" s="20"/>
    </row>
    <row r="5228" spans="1:1" x14ac:dyDescent="0.3">
      <c r="A5228" s="20"/>
    </row>
    <row r="5229" spans="1:1" x14ac:dyDescent="0.3">
      <c r="A5229" s="20"/>
    </row>
    <row r="5230" spans="1:1" x14ac:dyDescent="0.3">
      <c r="A5230" s="20"/>
    </row>
    <row r="5231" spans="1:1" x14ac:dyDescent="0.3">
      <c r="A5231" s="20"/>
    </row>
    <row r="5232" spans="1:1" x14ac:dyDescent="0.3">
      <c r="A5232" s="20"/>
    </row>
    <row r="5233" spans="1:1" x14ac:dyDescent="0.3">
      <c r="A5233" s="20"/>
    </row>
    <row r="5234" spans="1:1" x14ac:dyDescent="0.3">
      <c r="A5234" s="20"/>
    </row>
    <row r="5235" spans="1:1" x14ac:dyDescent="0.3">
      <c r="A5235" s="20"/>
    </row>
    <row r="5236" spans="1:1" x14ac:dyDescent="0.3">
      <c r="A5236" s="20"/>
    </row>
    <row r="5237" spans="1:1" x14ac:dyDescent="0.3">
      <c r="A5237" s="20"/>
    </row>
    <row r="5238" spans="1:1" x14ac:dyDescent="0.3">
      <c r="A5238" s="20"/>
    </row>
    <row r="5239" spans="1:1" x14ac:dyDescent="0.3">
      <c r="A5239" s="20"/>
    </row>
    <row r="5240" spans="1:1" x14ac:dyDescent="0.3">
      <c r="A5240" s="20"/>
    </row>
    <row r="5241" spans="1:1" x14ac:dyDescent="0.3">
      <c r="A5241" s="20"/>
    </row>
    <row r="5242" spans="1:1" x14ac:dyDescent="0.3">
      <c r="A5242" s="20"/>
    </row>
    <row r="5243" spans="1:1" x14ac:dyDescent="0.3">
      <c r="A5243" s="20"/>
    </row>
    <row r="5244" spans="1:1" x14ac:dyDescent="0.3">
      <c r="A5244" s="20"/>
    </row>
    <row r="5245" spans="1:1" x14ac:dyDescent="0.3">
      <c r="A5245" s="20"/>
    </row>
    <row r="5246" spans="1:1" x14ac:dyDescent="0.3">
      <c r="A5246" s="20"/>
    </row>
    <row r="5247" spans="1:1" x14ac:dyDescent="0.3">
      <c r="A5247" s="20"/>
    </row>
    <row r="5248" spans="1:1" x14ac:dyDescent="0.3">
      <c r="A5248" s="20"/>
    </row>
    <row r="5249" spans="1:1" x14ac:dyDescent="0.3">
      <c r="A5249" s="20"/>
    </row>
    <row r="5250" spans="1:1" x14ac:dyDescent="0.3">
      <c r="A5250" s="20"/>
    </row>
    <row r="5251" spans="1:1" x14ac:dyDescent="0.3">
      <c r="A5251" s="20"/>
    </row>
    <row r="5252" spans="1:1" x14ac:dyDescent="0.3">
      <c r="A5252" s="20"/>
    </row>
    <row r="5253" spans="1:1" x14ac:dyDescent="0.3">
      <c r="A5253" s="20"/>
    </row>
    <row r="5254" spans="1:1" x14ac:dyDescent="0.3">
      <c r="A5254" s="20"/>
    </row>
    <row r="5255" spans="1:1" x14ac:dyDescent="0.3">
      <c r="A5255" s="20"/>
    </row>
    <row r="5256" spans="1:1" x14ac:dyDescent="0.3">
      <c r="A5256" s="20"/>
    </row>
    <row r="5257" spans="1:1" x14ac:dyDescent="0.3">
      <c r="A5257" s="20"/>
    </row>
    <row r="5258" spans="1:1" x14ac:dyDescent="0.3">
      <c r="A5258" s="20"/>
    </row>
    <row r="5259" spans="1:1" x14ac:dyDescent="0.3">
      <c r="A5259" s="20"/>
    </row>
    <row r="5260" spans="1:1" x14ac:dyDescent="0.3">
      <c r="A5260" s="20"/>
    </row>
    <row r="5261" spans="1:1" x14ac:dyDescent="0.3">
      <c r="A5261" s="20"/>
    </row>
    <row r="5262" spans="1:1" x14ac:dyDescent="0.3">
      <c r="A5262" s="20"/>
    </row>
    <row r="5263" spans="1:1" x14ac:dyDescent="0.3">
      <c r="A5263" s="20"/>
    </row>
    <row r="5264" spans="1:1" x14ac:dyDescent="0.3">
      <c r="A5264" s="20"/>
    </row>
    <row r="5265" spans="1:1" x14ac:dyDescent="0.3">
      <c r="A5265" s="20"/>
    </row>
    <row r="5266" spans="1:1" x14ac:dyDescent="0.3">
      <c r="A5266" s="20"/>
    </row>
    <row r="5267" spans="1:1" x14ac:dyDescent="0.3">
      <c r="A5267" s="20"/>
    </row>
    <row r="5268" spans="1:1" x14ac:dyDescent="0.3">
      <c r="A5268" s="20"/>
    </row>
    <row r="5269" spans="1:1" x14ac:dyDescent="0.3">
      <c r="A5269" s="20"/>
    </row>
    <row r="5270" spans="1:1" x14ac:dyDescent="0.3">
      <c r="A5270" s="20"/>
    </row>
    <row r="5271" spans="1:1" x14ac:dyDescent="0.3">
      <c r="A5271" s="20"/>
    </row>
    <row r="5272" spans="1:1" x14ac:dyDescent="0.3">
      <c r="A5272" s="20"/>
    </row>
    <row r="5273" spans="1:1" x14ac:dyDescent="0.3">
      <c r="A5273" s="20"/>
    </row>
    <row r="5274" spans="1:1" x14ac:dyDescent="0.3">
      <c r="A5274" s="20"/>
    </row>
    <row r="5275" spans="1:1" x14ac:dyDescent="0.3">
      <c r="A5275" s="20"/>
    </row>
    <row r="5276" spans="1:1" x14ac:dyDescent="0.3">
      <c r="A5276" s="20"/>
    </row>
    <row r="5277" spans="1:1" x14ac:dyDescent="0.3">
      <c r="A5277" s="20"/>
    </row>
    <row r="5278" spans="1:1" x14ac:dyDescent="0.3">
      <c r="A5278" s="20"/>
    </row>
    <row r="5279" spans="1:1" x14ac:dyDescent="0.3">
      <c r="A5279" s="20"/>
    </row>
    <row r="5280" spans="1:1" x14ac:dyDescent="0.3">
      <c r="A5280" s="20"/>
    </row>
    <row r="5281" spans="1:1" x14ac:dyDescent="0.3">
      <c r="A5281" s="20"/>
    </row>
    <row r="5282" spans="1:1" x14ac:dyDescent="0.3">
      <c r="A5282" s="20"/>
    </row>
    <row r="5283" spans="1:1" x14ac:dyDescent="0.3">
      <c r="A5283" s="20"/>
    </row>
    <row r="5284" spans="1:1" x14ac:dyDescent="0.3">
      <c r="A5284" s="20"/>
    </row>
    <row r="5285" spans="1:1" x14ac:dyDescent="0.3">
      <c r="A5285" s="20"/>
    </row>
    <row r="5286" spans="1:1" x14ac:dyDescent="0.3">
      <c r="A5286" s="20"/>
    </row>
    <row r="5287" spans="1:1" x14ac:dyDescent="0.3">
      <c r="A5287" s="20"/>
    </row>
    <row r="5288" spans="1:1" x14ac:dyDescent="0.3">
      <c r="A5288" s="20"/>
    </row>
    <row r="5289" spans="1:1" x14ac:dyDescent="0.3">
      <c r="A5289" s="20"/>
    </row>
    <row r="5290" spans="1:1" x14ac:dyDescent="0.3">
      <c r="A5290" s="20"/>
    </row>
    <row r="5291" spans="1:1" x14ac:dyDescent="0.3">
      <c r="A5291" s="20"/>
    </row>
    <row r="5292" spans="1:1" x14ac:dyDescent="0.3">
      <c r="A5292" s="20"/>
    </row>
    <row r="5293" spans="1:1" x14ac:dyDescent="0.3">
      <c r="A5293" s="20"/>
    </row>
    <row r="5294" spans="1:1" x14ac:dyDescent="0.3">
      <c r="A5294" s="20"/>
    </row>
    <row r="5295" spans="1:1" x14ac:dyDescent="0.3">
      <c r="A5295" s="20"/>
    </row>
    <row r="5296" spans="1:1" x14ac:dyDescent="0.3">
      <c r="A5296" s="20"/>
    </row>
    <row r="5297" spans="1:1" x14ac:dyDescent="0.3">
      <c r="A5297" s="20"/>
    </row>
    <row r="5298" spans="1:1" x14ac:dyDescent="0.3">
      <c r="A5298" s="20"/>
    </row>
    <row r="5299" spans="1:1" x14ac:dyDescent="0.3">
      <c r="A5299" s="20"/>
    </row>
    <row r="5300" spans="1:1" x14ac:dyDescent="0.3">
      <c r="A5300" s="20"/>
    </row>
    <row r="5301" spans="1:1" x14ac:dyDescent="0.3">
      <c r="A5301" s="20"/>
    </row>
    <row r="5302" spans="1:1" x14ac:dyDescent="0.3">
      <c r="A5302" s="20"/>
    </row>
    <row r="5303" spans="1:1" x14ac:dyDescent="0.3">
      <c r="A5303" s="20"/>
    </row>
    <row r="5304" spans="1:1" x14ac:dyDescent="0.3">
      <c r="A5304" s="20"/>
    </row>
    <row r="5305" spans="1:1" x14ac:dyDescent="0.3">
      <c r="A5305" s="20"/>
    </row>
    <row r="5306" spans="1:1" x14ac:dyDescent="0.3">
      <c r="A5306" s="20"/>
    </row>
    <row r="5307" spans="1:1" x14ac:dyDescent="0.3">
      <c r="A5307" s="20"/>
    </row>
    <row r="5308" spans="1:1" x14ac:dyDescent="0.3">
      <c r="A5308" s="20"/>
    </row>
    <row r="5309" spans="1:1" x14ac:dyDescent="0.3">
      <c r="A5309" s="20"/>
    </row>
    <row r="5310" spans="1:1" x14ac:dyDescent="0.3">
      <c r="A5310" s="20"/>
    </row>
    <row r="5311" spans="1:1" x14ac:dyDescent="0.3">
      <c r="A5311" s="20"/>
    </row>
    <row r="5312" spans="1:1" x14ac:dyDescent="0.3">
      <c r="A5312" s="20"/>
    </row>
    <row r="5313" spans="1:1" x14ac:dyDescent="0.3">
      <c r="A5313" s="20"/>
    </row>
    <row r="5314" spans="1:1" x14ac:dyDescent="0.3">
      <c r="A5314" s="20"/>
    </row>
    <row r="5315" spans="1:1" x14ac:dyDescent="0.3">
      <c r="A5315" s="20"/>
    </row>
    <row r="5316" spans="1:1" x14ac:dyDescent="0.3">
      <c r="A5316" s="20"/>
    </row>
    <row r="5317" spans="1:1" x14ac:dyDescent="0.3">
      <c r="A5317" s="20"/>
    </row>
    <row r="5318" spans="1:1" x14ac:dyDescent="0.3">
      <c r="A5318" s="20"/>
    </row>
    <row r="5319" spans="1:1" x14ac:dyDescent="0.3">
      <c r="A5319" s="20"/>
    </row>
    <row r="5320" spans="1:1" x14ac:dyDescent="0.3">
      <c r="A5320" s="20"/>
    </row>
    <row r="5321" spans="1:1" x14ac:dyDescent="0.3">
      <c r="A5321" s="20"/>
    </row>
    <row r="5322" spans="1:1" x14ac:dyDescent="0.3">
      <c r="A5322" s="20"/>
    </row>
    <row r="5323" spans="1:1" x14ac:dyDescent="0.3">
      <c r="A5323" s="20"/>
    </row>
    <row r="5324" spans="1:1" x14ac:dyDescent="0.3">
      <c r="A5324" s="20"/>
    </row>
    <row r="5325" spans="1:1" x14ac:dyDescent="0.3">
      <c r="A5325" s="20"/>
    </row>
    <row r="5326" spans="1:1" x14ac:dyDescent="0.3">
      <c r="A5326" s="20"/>
    </row>
    <row r="5327" spans="1:1" x14ac:dyDescent="0.3">
      <c r="A5327" s="20"/>
    </row>
    <row r="5328" spans="1:1" x14ac:dyDescent="0.3">
      <c r="A5328" s="20"/>
    </row>
    <row r="5329" spans="1:1" x14ac:dyDescent="0.3">
      <c r="A5329" s="20"/>
    </row>
    <row r="5330" spans="1:1" x14ac:dyDescent="0.3">
      <c r="A5330" s="20"/>
    </row>
    <row r="5331" spans="1:1" x14ac:dyDescent="0.3">
      <c r="A5331" s="20"/>
    </row>
    <row r="5332" spans="1:1" x14ac:dyDescent="0.3">
      <c r="A5332" s="20"/>
    </row>
    <row r="5333" spans="1:1" x14ac:dyDescent="0.3">
      <c r="A5333" s="20"/>
    </row>
    <row r="5334" spans="1:1" x14ac:dyDescent="0.3">
      <c r="A5334" s="20"/>
    </row>
    <row r="5335" spans="1:1" x14ac:dyDescent="0.3">
      <c r="A5335" s="20"/>
    </row>
    <row r="5336" spans="1:1" x14ac:dyDescent="0.3">
      <c r="A5336" s="20"/>
    </row>
    <row r="5337" spans="1:1" x14ac:dyDescent="0.3">
      <c r="A5337" s="20"/>
    </row>
    <row r="5338" spans="1:1" x14ac:dyDescent="0.3">
      <c r="A5338" s="20"/>
    </row>
    <row r="5339" spans="1:1" x14ac:dyDescent="0.3">
      <c r="A5339" s="20"/>
    </row>
    <row r="5340" spans="1:1" x14ac:dyDescent="0.3">
      <c r="A5340" s="20"/>
    </row>
    <row r="5341" spans="1:1" x14ac:dyDescent="0.3">
      <c r="A5341" s="20"/>
    </row>
    <row r="5342" spans="1:1" x14ac:dyDescent="0.3">
      <c r="A5342" s="20"/>
    </row>
    <row r="5343" spans="1:1" x14ac:dyDescent="0.3">
      <c r="A5343" s="20"/>
    </row>
    <row r="5344" spans="1:1" x14ac:dyDescent="0.3">
      <c r="A5344" s="20"/>
    </row>
    <row r="5345" spans="1:1" x14ac:dyDescent="0.3">
      <c r="A5345" s="20"/>
    </row>
    <row r="5346" spans="1:1" x14ac:dyDescent="0.3">
      <c r="A5346" s="20"/>
    </row>
    <row r="5347" spans="1:1" x14ac:dyDescent="0.3">
      <c r="A5347" s="20"/>
    </row>
    <row r="5348" spans="1:1" x14ac:dyDescent="0.3">
      <c r="A5348" s="20"/>
    </row>
    <row r="5349" spans="1:1" x14ac:dyDescent="0.3">
      <c r="A5349" s="20"/>
    </row>
    <row r="5350" spans="1:1" x14ac:dyDescent="0.3">
      <c r="A5350" s="20"/>
    </row>
    <row r="5351" spans="1:1" x14ac:dyDescent="0.3">
      <c r="A5351" s="20"/>
    </row>
    <row r="5352" spans="1:1" x14ac:dyDescent="0.3">
      <c r="A5352" s="20"/>
    </row>
    <row r="5353" spans="1:1" x14ac:dyDescent="0.3">
      <c r="A5353" s="20"/>
    </row>
    <row r="5354" spans="1:1" x14ac:dyDescent="0.3">
      <c r="A5354" s="20"/>
    </row>
    <row r="5355" spans="1:1" x14ac:dyDescent="0.3">
      <c r="A5355" s="20"/>
    </row>
    <row r="5356" spans="1:1" x14ac:dyDescent="0.3">
      <c r="A5356" s="20"/>
    </row>
    <row r="5357" spans="1:1" x14ac:dyDescent="0.3">
      <c r="A5357" s="20"/>
    </row>
    <row r="5358" spans="1:1" x14ac:dyDescent="0.3">
      <c r="A5358" s="20"/>
    </row>
    <row r="5359" spans="1:1" x14ac:dyDescent="0.3">
      <c r="A5359" s="20"/>
    </row>
    <row r="5360" spans="1:1" x14ac:dyDescent="0.3">
      <c r="A5360" s="20"/>
    </row>
    <row r="5361" spans="1:1" x14ac:dyDescent="0.3">
      <c r="A5361" s="20"/>
    </row>
    <row r="5362" spans="1:1" x14ac:dyDescent="0.3">
      <c r="A5362" s="20"/>
    </row>
    <row r="5363" spans="1:1" x14ac:dyDescent="0.3">
      <c r="A5363" s="20"/>
    </row>
    <row r="5364" spans="1:1" x14ac:dyDescent="0.3">
      <c r="A5364" s="20"/>
    </row>
    <row r="5365" spans="1:1" x14ac:dyDescent="0.3">
      <c r="A5365" s="20"/>
    </row>
    <row r="5366" spans="1:1" x14ac:dyDescent="0.3">
      <c r="A5366" s="20"/>
    </row>
    <row r="5367" spans="1:1" x14ac:dyDescent="0.3">
      <c r="A5367" s="20"/>
    </row>
    <row r="5368" spans="1:1" x14ac:dyDescent="0.3">
      <c r="A5368" s="20"/>
    </row>
    <row r="5369" spans="1:1" x14ac:dyDescent="0.3">
      <c r="A5369" s="20"/>
    </row>
    <row r="5370" spans="1:1" x14ac:dyDescent="0.3">
      <c r="A5370" s="20"/>
    </row>
    <row r="5371" spans="1:1" x14ac:dyDescent="0.3">
      <c r="A5371" s="20"/>
    </row>
    <row r="5372" spans="1:1" x14ac:dyDescent="0.3">
      <c r="A5372" s="20"/>
    </row>
    <row r="5373" spans="1:1" x14ac:dyDescent="0.3">
      <c r="A5373" s="20"/>
    </row>
    <row r="5374" spans="1:1" x14ac:dyDescent="0.3">
      <c r="A5374" s="20"/>
    </row>
    <row r="5375" spans="1:1" x14ac:dyDescent="0.3">
      <c r="A5375" s="20"/>
    </row>
    <row r="5376" spans="1:1" x14ac:dyDescent="0.3">
      <c r="A5376" s="20"/>
    </row>
    <row r="5377" spans="1:1" x14ac:dyDescent="0.3">
      <c r="A5377" s="20"/>
    </row>
    <row r="5378" spans="1:1" x14ac:dyDescent="0.3">
      <c r="A5378" s="20"/>
    </row>
    <row r="5379" spans="1:1" x14ac:dyDescent="0.3">
      <c r="A5379" s="20"/>
    </row>
    <row r="5380" spans="1:1" x14ac:dyDescent="0.3">
      <c r="A5380" s="20"/>
    </row>
    <row r="5381" spans="1:1" x14ac:dyDescent="0.3">
      <c r="A5381" s="20"/>
    </row>
    <row r="5382" spans="1:1" x14ac:dyDescent="0.3">
      <c r="A5382" s="20"/>
    </row>
    <row r="5383" spans="1:1" x14ac:dyDescent="0.3">
      <c r="A5383" s="20"/>
    </row>
    <row r="5384" spans="1:1" x14ac:dyDescent="0.3">
      <c r="A5384" s="20"/>
    </row>
    <row r="5385" spans="1:1" x14ac:dyDescent="0.3">
      <c r="A5385" s="20"/>
    </row>
    <row r="5386" spans="1:1" x14ac:dyDescent="0.3">
      <c r="A5386" s="20"/>
    </row>
    <row r="5387" spans="1:1" x14ac:dyDescent="0.3">
      <c r="A5387" s="20"/>
    </row>
    <row r="5388" spans="1:1" x14ac:dyDescent="0.3">
      <c r="A5388" s="20"/>
    </row>
    <row r="5389" spans="1:1" x14ac:dyDescent="0.3">
      <c r="A5389" s="20"/>
    </row>
    <row r="5390" spans="1:1" x14ac:dyDescent="0.3">
      <c r="A5390" s="20"/>
    </row>
    <row r="5391" spans="1:1" x14ac:dyDescent="0.3">
      <c r="A5391" s="20"/>
    </row>
    <row r="5392" spans="1:1" x14ac:dyDescent="0.3">
      <c r="A5392" s="20"/>
    </row>
    <row r="5393" spans="1:1" x14ac:dyDescent="0.3">
      <c r="A5393" s="20"/>
    </row>
    <row r="5394" spans="1:1" x14ac:dyDescent="0.3">
      <c r="A5394" s="20"/>
    </row>
    <row r="5395" spans="1:1" x14ac:dyDescent="0.3">
      <c r="A5395" s="20"/>
    </row>
    <row r="5396" spans="1:1" x14ac:dyDescent="0.3">
      <c r="A5396" s="20"/>
    </row>
    <row r="5397" spans="1:1" x14ac:dyDescent="0.3">
      <c r="A5397" s="20"/>
    </row>
    <row r="5398" spans="1:1" x14ac:dyDescent="0.3">
      <c r="A5398" s="20"/>
    </row>
    <row r="5399" spans="1:1" x14ac:dyDescent="0.3">
      <c r="A5399" s="20"/>
    </row>
    <row r="5400" spans="1:1" x14ac:dyDescent="0.3">
      <c r="A5400" s="20"/>
    </row>
    <row r="5401" spans="1:1" x14ac:dyDescent="0.3">
      <c r="A5401" s="20"/>
    </row>
    <row r="5402" spans="1:1" x14ac:dyDescent="0.3">
      <c r="A5402" s="20"/>
    </row>
    <row r="5403" spans="1:1" x14ac:dyDescent="0.3">
      <c r="A5403" s="20"/>
    </row>
    <row r="5404" spans="1:1" x14ac:dyDescent="0.3">
      <c r="A5404" s="20"/>
    </row>
    <row r="5405" spans="1:1" x14ac:dyDescent="0.3">
      <c r="A5405" s="20"/>
    </row>
    <row r="5406" spans="1:1" x14ac:dyDescent="0.3">
      <c r="A5406" s="20"/>
    </row>
    <row r="5407" spans="1:1" x14ac:dyDescent="0.3">
      <c r="A5407" s="20"/>
    </row>
    <row r="5408" spans="1:1" x14ac:dyDescent="0.3">
      <c r="A5408" s="20"/>
    </row>
    <row r="5409" spans="1:1" x14ac:dyDescent="0.3">
      <c r="A5409" s="20"/>
    </row>
    <row r="5410" spans="1:1" x14ac:dyDescent="0.3">
      <c r="A5410" s="20"/>
    </row>
    <row r="5411" spans="1:1" x14ac:dyDescent="0.3">
      <c r="A5411" s="20"/>
    </row>
    <row r="5412" spans="1:1" x14ac:dyDescent="0.3">
      <c r="A5412" s="20"/>
    </row>
    <row r="5413" spans="1:1" x14ac:dyDescent="0.3">
      <c r="A5413" s="20"/>
    </row>
    <row r="5414" spans="1:1" x14ac:dyDescent="0.3">
      <c r="A5414" s="20"/>
    </row>
    <row r="5415" spans="1:1" x14ac:dyDescent="0.3">
      <c r="A5415" s="20"/>
    </row>
    <row r="5416" spans="1:1" x14ac:dyDescent="0.3">
      <c r="A5416" s="20"/>
    </row>
    <row r="5417" spans="1:1" x14ac:dyDescent="0.3">
      <c r="A5417" s="20"/>
    </row>
    <row r="5418" spans="1:1" x14ac:dyDescent="0.3">
      <c r="A5418" s="20"/>
    </row>
    <row r="5419" spans="1:1" x14ac:dyDescent="0.3">
      <c r="A5419" s="20"/>
    </row>
    <row r="5420" spans="1:1" x14ac:dyDescent="0.3">
      <c r="A5420" s="20"/>
    </row>
    <row r="5421" spans="1:1" x14ac:dyDescent="0.3">
      <c r="A5421" s="20"/>
    </row>
    <row r="5422" spans="1:1" x14ac:dyDescent="0.3">
      <c r="A5422" s="20"/>
    </row>
    <row r="5423" spans="1:1" x14ac:dyDescent="0.3">
      <c r="A5423" s="20"/>
    </row>
    <row r="5424" spans="1:1" x14ac:dyDescent="0.3">
      <c r="A5424" s="20"/>
    </row>
    <row r="5425" spans="1:1" x14ac:dyDescent="0.3">
      <c r="A5425" s="20"/>
    </row>
    <row r="5426" spans="1:1" x14ac:dyDescent="0.3">
      <c r="A5426" s="20"/>
    </row>
    <row r="5427" spans="1:1" x14ac:dyDescent="0.3">
      <c r="A5427" s="20"/>
    </row>
    <row r="5428" spans="1:1" x14ac:dyDescent="0.3">
      <c r="A5428" s="20"/>
    </row>
    <row r="5429" spans="1:1" x14ac:dyDescent="0.3">
      <c r="A5429" s="20"/>
    </row>
    <row r="5430" spans="1:1" x14ac:dyDescent="0.3">
      <c r="A5430" s="20"/>
    </row>
    <row r="5431" spans="1:1" x14ac:dyDescent="0.3">
      <c r="A5431" s="20"/>
    </row>
    <row r="5432" spans="1:1" x14ac:dyDescent="0.3">
      <c r="A5432" s="20"/>
    </row>
    <row r="5433" spans="1:1" x14ac:dyDescent="0.3">
      <c r="A5433" s="20"/>
    </row>
    <row r="5434" spans="1:1" x14ac:dyDescent="0.3">
      <c r="A5434" s="20"/>
    </row>
    <row r="5435" spans="1:1" x14ac:dyDescent="0.3">
      <c r="A5435" s="20"/>
    </row>
    <row r="5436" spans="1:1" x14ac:dyDescent="0.3">
      <c r="A5436" s="20"/>
    </row>
    <row r="5437" spans="1:1" x14ac:dyDescent="0.3">
      <c r="A5437" s="20"/>
    </row>
    <row r="5438" spans="1:1" x14ac:dyDescent="0.3">
      <c r="A5438" s="20"/>
    </row>
    <row r="5439" spans="1:1" x14ac:dyDescent="0.3">
      <c r="A5439" s="20"/>
    </row>
    <row r="5440" spans="1:1" x14ac:dyDescent="0.3">
      <c r="A5440" s="20"/>
    </row>
    <row r="5441" spans="1:1" x14ac:dyDescent="0.3">
      <c r="A5441" s="20"/>
    </row>
    <row r="5442" spans="1:1" x14ac:dyDescent="0.3">
      <c r="A5442" s="20"/>
    </row>
    <row r="5443" spans="1:1" x14ac:dyDescent="0.3">
      <c r="A5443" s="20"/>
    </row>
    <row r="5444" spans="1:1" x14ac:dyDescent="0.3">
      <c r="A5444" s="20"/>
    </row>
    <row r="5445" spans="1:1" x14ac:dyDescent="0.3">
      <c r="A5445" s="20"/>
    </row>
    <row r="5446" spans="1:1" x14ac:dyDescent="0.3">
      <c r="A5446" s="20"/>
    </row>
    <row r="5447" spans="1:1" x14ac:dyDescent="0.3">
      <c r="A5447" s="20"/>
    </row>
    <row r="5448" spans="1:1" x14ac:dyDescent="0.3">
      <c r="A5448" s="20"/>
    </row>
    <row r="5449" spans="1:1" x14ac:dyDescent="0.3">
      <c r="A5449" s="20"/>
    </row>
    <row r="5450" spans="1:1" x14ac:dyDescent="0.3">
      <c r="A5450" s="20"/>
    </row>
    <row r="5451" spans="1:1" x14ac:dyDescent="0.3">
      <c r="A5451" s="20"/>
    </row>
    <row r="5452" spans="1:1" x14ac:dyDescent="0.3">
      <c r="A5452" s="20"/>
    </row>
    <row r="5453" spans="1:1" x14ac:dyDescent="0.3">
      <c r="A5453" s="20"/>
    </row>
    <row r="5454" spans="1:1" x14ac:dyDescent="0.3">
      <c r="A5454" s="20"/>
    </row>
    <row r="5455" spans="1:1" x14ac:dyDescent="0.3">
      <c r="A5455" s="20"/>
    </row>
    <row r="5456" spans="1:1" x14ac:dyDescent="0.3">
      <c r="A5456" s="20"/>
    </row>
    <row r="5457" spans="1:1" x14ac:dyDescent="0.3">
      <c r="A5457" s="20"/>
    </row>
    <row r="5458" spans="1:1" x14ac:dyDescent="0.3">
      <c r="A5458" s="20"/>
    </row>
    <row r="5459" spans="1:1" x14ac:dyDescent="0.3">
      <c r="A5459" s="20"/>
    </row>
    <row r="5460" spans="1:1" x14ac:dyDescent="0.3">
      <c r="A5460" s="20"/>
    </row>
    <row r="5461" spans="1:1" x14ac:dyDescent="0.3">
      <c r="A5461" s="20"/>
    </row>
    <row r="5462" spans="1:1" x14ac:dyDescent="0.3">
      <c r="A5462" s="20"/>
    </row>
    <row r="5463" spans="1:1" x14ac:dyDescent="0.3">
      <c r="A5463" s="20"/>
    </row>
    <row r="5464" spans="1:1" x14ac:dyDescent="0.3">
      <c r="A5464" s="20"/>
    </row>
    <row r="5465" spans="1:1" x14ac:dyDescent="0.3">
      <c r="A5465" s="20"/>
    </row>
    <row r="5466" spans="1:1" x14ac:dyDescent="0.3">
      <c r="A5466" s="20"/>
    </row>
    <row r="5467" spans="1:1" x14ac:dyDescent="0.3">
      <c r="A5467" s="20"/>
    </row>
    <row r="5468" spans="1:1" x14ac:dyDescent="0.3">
      <c r="A5468" s="20"/>
    </row>
    <row r="5469" spans="1:1" x14ac:dyDescent="0.3">
      <c r="A5469" s="20"/>
    </row>
    <row r="5470" spans="1:1" x14ac:dyDescent="0.3">
      <c r="A5470" s="20"/>
    </row>
    <row r="5471" spans="1:1" x14ac:dyDescent="0.3">
      <c r="A5471" s="20"/>
    </row>
    <row r="5472" spans="1:1" x14ac:dyDescent="0.3">
      <c r="A5472" s="20"/>
    </row>
    <row r="5473" spans="1:1" x14ac:dyDescent="0.3">
      <c r="A5473" s="20"/>
    </row>
    <row r="5474" spans="1:1" x14ac:dyDescent="0.3">
      <c r="A5474" s="20"/>
    </row>
    <row r="5475" spans="1:1" x14ac:dyDescent="0.3">
      <c r="A5475" s="20"/>
    </row>
    <row r="5476" spans="1:1" x14ac:dyDescent="0.3">
      <c r="A5476" s="20"/>
    </row>
    <row r="5477" spans="1:1" x14ac:dyDescent="0.3">
      <c r="A5477" s="20"/>
    </row>
    <row r="5478" spans="1:1" x14ac:dyDescent="0.3">
      <c r="A5478" s="20"/>
    </row>
    <row r="5479" spans="1:1" x14ac:dyDescent="0.3">
      <c r="A5479" s="20"/>
    </row>
    <row r="5480" spans="1:1" x14ac:dyDescent="0.3">
      <c r="A5480" s="20"/>
    </row>
    <row r="5481" spans="1:1" x14ac:dyDescent="0.3">
      <c r="A5481" s="20"/>
    </row>
    <row r="5482" spans="1:1" x14ac:dyDescent="0.3">
      <c r="A5482" s="20"/>
    </row>
    <row r="5483" spans="1:1" x14ac:dyDescent="0.3">
      <c r="A5483" s="20"/>
    </row>
    <row r="5484" spans="1:1" x14ac:dyDescent="0.3">
      <c r="A5484" s="20"/>
    </row>
    <row r="5485" spans="1:1" x14ac:dyDescent="0.3">
      <c r="A5485" s="20"/>
    </row>
    <row r="5486" spans="1:1" x14ac:dyDescent="0.3">
      <c r="A5486" s="20"/>
    </row>
    <row r="5487" spans="1:1" x14ac:dyDescent="0.3">
      <c r="A5487" s="20"/>
    </row>
    <row r="5488" spans="1:1" x14ac:dyDescent="0.3">
      <c r="A5488" s="20"/>
    </row>
    <row r="5489" spans="1:1" x14ac:dyDescent="0.3">
      <c r="A5489" s="20"/>
    </row>
    <row r="5490" spans="1:1" x14ac:dyDescent="0.3">
      <c r="A5490" s="20"/>
    </row>
    <row r="5491" spans="1:1" x14ac:dyDescent="0.3">
      <c r="A5491" s="20"/>
    </row>
    <row r="5492" spans="1:1" x14ac:dyDescent="0.3">
      <c r="A5492" s="20"/>
    </row>
    <row r="5493" spans="1:1" x14ac:dyDescent="0.3">
      <c r="A5493" s="20"/>
    </row>
    <row r="5494" spans="1:1" x14ac:dyDescent="0.3">
      <c r="A5494" s="20"/>
    </row>
    <row r="5495" spans="1:1" x14ac:dyDescent="0.3">
      <c r="A5495" s="20"/>
    </row>
    <row r="5496" spans="1:1" x14ac:dyDescent="0.3">
      <c r="A5496" s="20"/>
    </row>
    <row r="5497" spans="1:1" x14ac:dyDescent="0.3">
      <c r="A5497" s="20"/>
    </row>
    <row r="5498" spans="1:1" x14ac:dyDescent="0.3">
      <c r="A5498" s="20"/>
    </row>
    <row r="5499" spans="1:1" x14ac:dyDescent="0.3">
      <c r="A5499" s="20"/>
    </row>
    <row r="5500" spans="1:1" x14ac:dyDescent="0.3">
      <c r="A5500" s="20"/>
    </row>
    <row r="5501" spans="1:1" x14ac:dyDescent="0.3">
      <c r="A5501" s="20"/>
    </row>
    <row r="5502" spans="1:1" x14ac:dyDescent="0.3">
      <c r="A5502" s="20"/>
    </row>
    <row r="5503" spans="1:1" x14ac:dyDescent="0.3">
      <c r="A5503" s="20"/>
    </row>
    <row r="5504" spans="1:1" x14ac:dyDescent="0.3">
      <c r="A5504" s="20"/>
    </row>
    <row r="5505" spans="1:1" x14ac:dyDescent="0.3">
      <c r="A5505" s="20"/>
    </row>
    <row r="5506" spans="1:1" x14ac:dyDescent="0.3">
      <c r="A5506" s="20"/>
    </row>
    <row r="5507" spans="1:1" x14ac:dyDescent="0.3">
      <c r="A5507" s="20"/>
    </row>
    <row r="5508" spans="1:1" x14ac:dyDescent="0.3">
      <c r="A5508" s="20"/>
    </row>
    <row r="5509" spans="1:1" x14ac:dyDescent="0.3">
      <c r="A5509" s="20"/>
    </row>
    <row r="5510" spans="1:1" x14ac:dyDescent="0.3">
      <c r="A5510" s="20"/>
    </row>
    <row r="5511" spans="1:1" x14ac:dyDescent="0.3">
      <c r="A5511" s="20"/>
    </row>
    <row r="5512" spans="1:1" x14ac:dyDescent="0.3">
      <c r="A5512" s="20"/>
    </row>
    <row r="5513" spans="1:1" x14ac:dyDescent="0.3">
      <c r="A5513" s="20"/>
    </row>
    <row r="5514" spans="1:1" x14ac:dyDescent="0.3">
      <c r="A5514" s="20"/>
    </row>
    <row r="5515" spans="1:1" x14ac:dyDescent="0.3">
      <c r="A5515" s="20"/>
    </row>
    <row r="5516" spans="1:1" x14ac:dyDescent="0.3">
      <c r="A5516" s="20"/>
    </row>
    <row r="5517" spans="1:1" x14ac:dyDescent="0.3">
      <c r="A5517" s="20"/>
    </row>
    <row r="5518" spans="1:1" x14ac:dyDescent="0.3">
      <c r="A5518" s="20"/>
    </row>
    <row r="5519" spans="1:1" x14ac:dyDescent="0.3">
      <c r="A5519" s="20"/>
    </row>
    <row r="5520" spans="1:1" x14ac:dyDescent="0.3">
      <c r="A5520" s="20"/>
    </row>
    <row r="5521" spans="1:1" x14ac:dyDescent="0.3">
      <c r="A5521" s="20"/>
    </row>
    <row r="5522" spans="1:1" x14ac:dyDescent="0.3">
      <c r="A5522" s="20"/>
    </row>
    <row r="5523" spans="1:1" x14ac:dyDescent="0.3">
      <c r="A5523" s="20"/>
    </row>
    <row r="5524" spans="1:1" x14ac:dyDescent="0.3">
      <c r="A5524" s="20"/>
    </row>
    <row r="5525" spans="1:1" x14ac:dyDescent="0.3">
      <c r="A5525" s="20"/>
    </row>
    <row r="5526" spans="1:1" x14ac:dyDescent="0.3">
      <c r="A5526" s="20"/>
    </row>
    <row r="5527" spans="1:1" x14ac:dyDescent="0.3">
      <c r="A5527" s="20"/>
    </row>
    <row r="5528" spans="1:1" x14ac:dyDescent="0.3">
      <c r="A5528" s="20"/>
    </row>
    <row r="5529" spans="1:1" x14ac:dyDescent="0.3">
      <c r="A5529" s="20"/>
    </row>
    <row r="5530" spans="1:1" x14ac:dyDescent="0.3">
      <c r="A5530" s="20"/>
    </row>
    <row r="5531" spans="1:1" x14ac:dyDescent="0.3">
      <c r="A5531" s="20"/>
    </row>
    <row r="5532" spans="1:1" x14ac:dyDescent="0.3">
      <c r="A5532" s="20"/>
    </row>
    <row r="5533" spans="1:1" x14ac:dyDescent="0.3">
      <c r="A5533" s="20"/>
    </row>
    <row r="5534" spans="1:1" x14ac:dyDescent="0.3">
      <c r="A5534" s="20"/>
    </row>
    <row r="5535" spans="1:1" x14ac:dyDescent="0.3">
      <c r="A5535" s="20"/>
    </row>
    <row r="5536" spans="1:1" x14ac:dyDescent="0.3">
      <c r="A5536" s="20"/>
    </row>
    <row r="5537" spans="1:1" x14ac:dyDescent="0.3">
      <c r="A5537" s="20"/>
    </row>
    <row r="5538" spans="1:1" x14ac:dyDescent="0.3">
      <c r="A5538" s="20"/>
    </row>
    <row r="5539" spans="1:1" x14ac:dyDescent="0.3">
      <c r="A5539" s="20"/>
    </row>
    <row r="5540" spans="1:1" x14ac:dyDescent="0.3">
      <c r="A5540" s="20"/>
    </row>
    <row r="5541" spans="1:1" x14ac:dyDescent="0.3">
      <c r="A5541" s="20"/>
    </row>
    <row r="5542" spans="1:1" x14ac:dyDescent="0.3">
      <c r="A5542" s="20"/>
    </row>
    <row r="5543" spans="1:1" x14ac:dyDescent="0.3">
      <c r="A5543" s="20"/>
    </row>
    <row r="5544" spans="1:1" x14ac:dyDescent="0.3">
      <c r="A5544" s="20"/>
    </row>
    <row r="5545" spans="1:1" x14ac:dyDescent="0.3">
      <c r="A5545" s="20"/>
    </row>
    <row r="5546" spans="1:1" x14ac:dyDescent="0.3">
      <c r="A5546" s="20"/>
    </row>
    <row r="5547" spans="1:1" x14ac:dyDescent="0.3">
      <c r="A5547" s="20"/>
    </row>
    <row r="5548" spans="1:1" x14ac:dyDescent="0.3">
      <c r="A5548" s="20"/>
    </row>
    <row r="5549" spans="1:1" x14ac:dyDescent="0.3">
      <c r="A5549" s="20"/>
    </row>
    <row r="5550" spans="1:1" x14ac:dyDescent="0.3">
      <c r="A5550" s="20"/>
    </row>
    <row r="5551" spans="1:1" x14ac:dyDescent="0.3">
      <c r="A5551" s="20"/>
    </row>
    <row r="5552" spans="1:1" x14ac:dyDescent="0.3">
      <c r="A5552" s="20"/>
    </row>
    <row r="5553" spans="1:1" x14ac:dyDescent="0.3">
      <c r="A5553" s="20"/>
    </row>
    <row r="5554" spans="1:1" x14ac:dyDescent="0.3">
      <c r="A5554" s="20"/>
    </row>
    <row r="5555" spans="1:1" x14ac:dyDescent="0.3">
      <c r="A5555" s="20"/>
    </row>
    <row r="5556" spans="1:1" x14ac:dyDescent="0.3">
      <c r="A5556" s="20"/>
    </row>
    <row r="5557" spans="1:1" x14ac:dyDescent="0.3">
      <c r="A5557" s="20"/>
    </row>
    <row r="5558" spans="1:1" x14ac:dyDescent="0.3">
      <c r="A5558" s="20"/>
    </row>
    <row r="5559" spans="1:1" x14ac:dyDescent="0.3">
      <c r="A5559" s="20"/>
    </row>
    <row r="5560" spans="1:1" x14ac:dyDescent="0.3">
      <c r="A5560" s="20"/>
    </row>
    <row r="5561" spans="1:1" x14ac:dyDescent="0.3">
      <c r="A5561" s="20"/>
    </row>
    <row r="5562" spans="1:1" x14ac:dyDescent="0.3">
      <c r="A5562" s="20"/>
    </row>
    <row r="5563" spans="1:1" x14ac:dyDescent="0.3">
      <c r="A5563" s="20"/>
    </row>
    <row r="5564" spans="1:1" x14ac:dyDescent="0.3">
      <c r="A5564" s="20"/>
    </row>
    <row r="5565" spans="1:1" x14ac:dyDescent="0.3">
      <c r="A5565" s="20"/>
    </row>
    <row r="5566" spans="1:1" x14ac:dyDescent="0.3">
      <c r="A5566" s="20"/>
    </row>
    <row r="5567" spans="1:1" x14ac:dyDescent="0.3">
      <c r="A5567" s="20"/>
    </row>
    <row r="5568" spans="1:1" x14ac:dyDescent="0.3">
      <c r="A5568" s="20"/>
    </row>
    <row r="5569" spans="1:1" x14ac:dyDescent="0.3">
      <c r="A5569" s="20"/>
    </row>
    <row r="5570" spans="1:1" x14ac:dyDescent="0.3">
      <c r="A5570" s="20"/>
    </row>
    <row r="5571" spans="1:1" x14ac:dyDescent="0.3">
      <c r="A5571" s="20"/>
    </row>
    <row r="5572" spans="1:1" x14ac:dyDescent="0.3">
      <c r="A5572" s="20"/>
    </row>
    <row r="5573" spans="1:1" x14ac:dyDescent="0.3">
      <c r="A5573" s="20"/>
    </row>
    <row r="5574" spans="1:1" x14ac:dyDescent="0.3">
      <c r="A5574" s="20"/>
    </row>
    <row r="5575" spans="1:1" x14ac:dyDescent="0.3">
      <c r="A5575" s="20"/>
    </row>
    <row r="5576" spans="1:1" x14ac:dyDescent="0.3">
      <c r="A5576" s="20"/>
    </row>
    <row r="5577" spans="1:1" x14ac:dyDescent="0.3">
      <c r="A5577" s="20"/>
    </row>
    <row r="5578" spans="1:1" x14ac:dyDescent="0.3">
      <c r="A5578" s="20"/>
    </row>
    <row r="5579" spans="1:1" x14ac:dyDescent="0.3">
      <c r="A5579" s="20"/>
    </row>
    <row r="5580" spans="1:1" x14ac:dyDescent="0.3">
      <c r="A5580" s="20"/>
    </row>
    <row r="5581" spans="1:1" x14ac:dyDescent="0.3">
      <c r="A5581" s="20"/>
    </row>
    <row r="5582" spans="1:1" x14ac:dyDescent="0.3">
      <c r="A5582" s="20"/>
    </row>
    <row r="5583" spans="1:1" x14ac:dyDescent="0.3">
      <c r="A5583" s="20"/>
    </row>
    <row r="5584" spans="1:1" x14ac:dyDescent="0.3">
      <c r="A5584" s="20"/>
    </row>
    <row r="5585" spans="1:1" x14ac:dyDescent="0.3">
      <c r="A5585" s="20"/>
    </row>
    <row r="5586" spans="1:1" x14ac:dyDescent="0.3">
      <c r="A5586" s="20"/>
    </row>
    <row r="5587" spans="1:1" x14ac:dyDescent="0.3">
      <c r="A5587" s="20"/>
    </row>
    <row r="5588" spans="1:1" x14ac:dyDescent="0.3">
      <c r="A5588" s="20"/>
    </row>
    <row r="5589" spans="1:1" x14ac:dyDescent="0.3">
      <c r="A5589" s="20"/>
    </row>
    <row r="5590" spans="1:1" x14ac:dyDescent="0.3">
      <c r="A5590" s="20"/>
    </row>
    <row r="5591" spans="1:1" x14ac:dyDescent="0.3">
      <c r="A5591" s="20"/>
    </row>
    <row r="5592" spans="1:1" x14ac:dyDescent="0.3">
      <c r="A5592" s="20"/>
    </row>
    <row r="5593" spans="1:1" x14ac:dyDescent="0.3">
      <c r="A5593" s="20"/>
    </row>
    <row r="5594" spans="1:1" x14ac:dyDescent="0.3">
      <c r="A5594" s="20"/>
    </row>
    <row r="5595" spans="1:1" x14ac:dyDescent="0.3">
      <c r="A5595" s="20"/>
    </row>
    <row r="5596" spans="1:1" x14ac:dyDescent="0.3">
      <c r="A5596" s="20"/>
    </row>
    <row r="5597" spans="1:1" x14ac:dyDescent="0.3">
      <c r="A5597" s="20"/>
    </row>
    <row r="5598" spans="1:1" x14ac:dyDescent="0.3">
      <c r="A5598" s="20"/>
    </row>
    <row r="5599" spans="1:1" x14ac:dyDescent="0.3">
      <c r="A5599" s="20"/>
    </row>
    <row r="5600" spans="1:1" x14ac:dyDescent="0.3">
      <c r="A5600" s="20"/>
    </row>
    <row r="5601" spans="1:1" x14ac:dyDescent="0.3">
      <c r="A5601" s="20"/>
    </row>
    <row r="5602" spans="1:1" x14ac:dyDescent="0.3">
      <c r="A5602" s="20"/>
    </row>
    <row r="5603" spans="1:1" x14ac:dyDescent="0.3">
      <c r="A5603" s="20"/>
    </row>
    <row r="5604" spans="1:1" x14ac:dyDescent="0.3">
      <c r="A5604" s="20"/>
    </row>
    <row r="5605" spans="1:1" x14ac:dyDescent="0.3">
      <c r="A5605" s="20"/>
    </row>
    <row r="5606" spans="1:1" x14ac:dyDescent="0.3">
      <c r="A5606" s="20"/>
    </row>
    <row r="5607" spans="1:1" x14ac:dyDescent="0.3">
      <c r="A5607" s="20"/>
    </row>
    <row r="5608" spans="1:1" x14ac:dyDescent="0.3">
      <c r="A5608" s="20"/>
    </row>
    <row r="5609" spans="1:1" x14ac:dyDescent="0.3">
      <c r="A5609" s="20"/>
    </row>
    <row r="5610" spans="1:1" x14ac:dyDescent="0.3">
      <c r="A5610" s="20"/>
    </row>
    <row r="5611" spans="1:1" x14ac:dyDescent="0.3">
      <c r="A5611" s="20"/>
    </row>
    <row r="5612" spans="1:1" x14ac:dyDescent="0.3">
      <c r="A5612" s="20"/>
    </row>
    <row r="5613" spans="1:1" x14ac:dyDescent="0.3">
      <c r="A5613" s="20"/>
    </row>
    <row r="5614" spans="1:1" x14ac:dyDescent="0.3">
      <c r="A5614" s="20"/>
    </row>
    <row r="5615" spans="1:1" x14ac:dyDescent="0.3">
      <c r="A5615" s="20"/>
    </row>
    <row r="5616" spans="1:1" x14ac:dyDescent="0.3">
      <c r="A5616" s="20"/>
    </row>
    <row r="5617" spans="1:1" x14ac:dyDescent="0.3">
      <c r="A5617" s="20"/>
    </row>
    <row r="5618" spans="1:1" x14ac:dyDescent="0.3">
      <c r="A5618" s="20"/>
    </row>
    <row r="5619" spans="1:1" x14ac:dyDescent="0.3">
      <c r="A5619" s="20"/>
    </row>
    <row r="5620" spans="1:1" x14ac:dyDescent="0.3">
      <c r="A5620" s="20"/>
    </row>
    <row r="5621" spans="1:1" x14ac:dyDescent="0.3">
      <c r="A5621" s="20"/>
    </row>
    <row r="5622" spans="1:1" x14ac:dyDescent="0.3">
      <c r="A5622" s="20"/>
    </row>
    <row r="5623" spans="1:1" x14ac:dyDescent="0.3">
      <c r="A5623" s="20"/>
    </row>
    <row r="5624" spans="1:1" x14ac:dyDescent="0.3">
      <c r="A5624" s="20"/>
    </row>
    <row r="5625" spans="1:1" x14ac:dyDescent="0.3">
      <c r="A5625" s="20"/>
    </row>
    <row r="5626" spans="1:1" x14ac:dyDescent="0.3">
      <c r="A5626" s="20"/>
    </row>
    <row r="5627" spans="1:1" x14ac:dyDescent="0.3">
      <c r="A5627" s="20"/>
    </row>
    <row r="5628" spans="1:1" x14ac:dyDescent="0.3">
      <c r="A5628" s="20"/>
    </row>
    <row r="5629" spans="1:1" x14ac:dyDescent="0.3">
      <c r="A5629" s="20"/>
    </row>
    <row r="5630" spans="1:1" x14ac:dyDescent="0.3">
      <c r="A5630" s="20"/>
    </row>
    <row r="5631" spans="1:1" x14ac:dyDescent="0.3">
      <c r="A5631" s="20"/>
    </row>
    <row r="5632" spans="1:1" x14ac:dyDescent="0.3">
      <c r="A5632" s="20"/>
    </row>
    <row r="5633" spans="1:1" x14ac:dyDescent="0.3">
      <c r="A5633" s="20"/>
    </row>
    <row r="5634" spans="1:1" x14ac:dyDescent="0.3">
      <c r="A5634" s="20"/>
    </row>
    <row r="5635" spans="1:1" x14ac:dyDescent="0.3">
      <c r="A5635" s="20"/>
    </row>
    <row r="5636" spans="1:1" x14ac:dyDescent="0.3">
      <c r="A5636" s="20"/>
    </row>
    <row r="5637" spans="1:1" x14ac:dyDescent="0.3">
      <c r="A5637" s="20"/>
    </row>
    <row r="5638" spans="1:1" x14ac:dyDescent="0.3">
      <c r="A5638" s="20"/>
    </row>
    <row r="5639" spans="1:1" x14ac:dyDescent="0.3">
      <c r="A5639" s="20"/>
    </row>
    <row r="5640" spans="1:1" x14ac:dyDescent="0.3">
      <c r="A5640" s="20"/>
    </row>
    <row r="5641" spans="1:1" x14ac:dyDescent="0.3">
      <c r="A5641" s="20"/>
    </row>
    <row r="5642" spans="1:1" x14ac:dyDescent="0.3">
      <c r="A5642" s="20"/>
    </row>
    <row r="5643" spans="1:1" x14ac:dyDescent="0.3">
      <c r="A5643" s="20"/>
    </row>
    <row r="5644" spans="1:1" x14ac:dyDescent="0.3">
      <c r="A5644" s="20"/>
    </row>
    <row r="5645" spans="1:1" x14ac:dyDescent="0.3">
      <c r="A5645" s="20"/>
    </row>
    <row r="5646" spans="1:1" x14ac:dyDescent="0.3">
      <c r="A5646" s="20"/>
    </row>
    <row r="5647" spans="1:1" x14ac:dyDescent="0.3">
      <c r="A5647" s="20"/>
    </row>
    <row r="5648" spans="1:1" x14ac:dyDescent="0.3">
      <c r="A5648" s="20"/>
    </row>
    <row r="5649" spans="1:1" x14ac:dyDescent="0.3">
      <c r="A5649" s="20"/>
    </row>
    <row r="5650" spans="1:1" x14ac:dyDescent="0.3">
      <c r="A5650" s="20"/>
    </row>
    <row r="5651" spans="1:1" x14ac:dyDescent="0.3">
      <c r="A5651" s="20"/>
    </row>
    <row r="5652" spans="1:1" x14ac:dyDescent="0.3">
      <c r="A5652" s="20"/>
    </row>
    <row r="5653" spans="1:1" x14ac:dyDescent="0.3">
      <c r="A5653" s="20"/>
    </row>
    <row r="5654" spans="1:1" x14ac:dyDescent="0.3">
      <c r="A5654" s="20"/>
    </row>
    <row r="5655" spans="1:1" x14ac:dyDescent="0.3">
      <c r="A5655" s="20"/>
    </row>
    <row r="5656" spans="1:1" x14ac:dyDescent="0.3">
      <c r="A5656" s="20"/>
    </row>
    <row r="5657" spans="1:1" x14ac:dyDescent="0.3">
      <c r="A5657" s="20"/>
    </row>
    <row r="5658" spans="1:1" x14ac:dyDescent="0.3">
      <c r="A5658" s="20"/>
    </row>
    <row r="5659" spans="1:1" x14ac:dyDescent="0.3">
      <c r="A5659" s="20"/>
    </row>
    <row r="5660" spans="1:1" x14ac:dyDescent="0.3">
      <c r="A5660" s="20"/>
    </row>
    <row r="5661" spans="1:1" x14ac:dyDescent="0.3">
      <c r="A5661" s="20"/>
    </row>
    <row r="5662" spans="1:1" x14ac:dyDescent="0.3">
      <c r="A5662" s="20"/>
    </row>
    <row r="5663" spans="1:1" x14ac:dyDescent="0.3">
      <c r="A5663" s="20"/>
    </row>
    <row r="5664" spans="1:1" x14ac:dyDescent="0.3">
      <c r="A5664" s="20"/>
    </row>
    <row r="5665" spans="1:1" x14ac:dyDescent="0.3">
      <c r="A5665" s="20"/>
    </row>
    <row r="5666" spans="1:1" x14ac:dyDescent="0.3">
      <c r="A5666" s="20"/>
    </row>
    <row r="5667" spans="1:1" x14ac:dyDescent="0.3">
      <c r="A5667" s="20"/>
    </row>
    <row r="5668" spans="1:1" x14ac:dyDescent="0.3">
      <c r="A5668" s="20"/>
    </row>
    <row r="5669" spans="1:1" x14ac:dyDescent="0.3">
      <c r="A5669" s="20"/>
    </row>
    <row r="5670" spans="1:1" x14ac:dyDescent="0.3">
      <c r="A5670" s="20"/>
    </row>
    <row r="5671" spans="1:1" x14ac:dyDescent="0.3">
      <c r="A5671" s="20"/>
    </row>
    <row r="5672" spans="1:1" x14ac:dyDescent="0.3">
      <c r="A5672" s="20"/>
    </row>
    <row r="5673" spans="1:1" x14ac:dyDescent="0.3">
      <c r="A5673" s="20"/>
    </row>
    <row r="5674" spans="1:1" x14ac:dyDescent="0.3">
      <c r="A5674" s="20"/>
    </row>
    <row r="5675" spans="1:1" x14ac:dyDescent="0.3">
      <c r="A5675" s="20"/>
    </row>
    <row r="5676" spans="1:1" x14ac:dyDescent="0.3">
      <c r="A5676" s="20"/>
    </row>
    <row r="5677" spans="1:1" x14ac:dyDescent="0.3">
      <c r="A5677" s="20"/>
    </row>
    <row r="5678" spans="1:1" x14ac:dyDescent="0.3">
      <c r="A5678" s="20"/>
    </row>
    <row r="5679" spans="1:1" x14ac:dyDescent="0.3">
      <c r="A5679" s="20"/>
    </row>
    <row r="5680" spans="1:1" x14ac:dyDescent="0.3">
      <c r="A5680" s="20"/>
    </row>
    <row r="5681" spans="1:1" x14ac:dyDescent="0.3">
      <c r="A5681" s="20"/>
    </row>
    <row r="5682" spans="1:1" x14ac:dyDescent="0.3">
      <c r="A5682" s="20"/>
    </row>
    <row r="5683" spans="1:1" x14ac:dyDescent="0.3">
      <c r="A5683" s="20"/>
    </row>
    <row r="5684" spans="1:1" x14ac:dyDescent="0.3">
      <c r="A5684" s="20"/>
    </row>
    <row r="5685" spans="1:1" x14ac:dyDescent="0.3">
      <c r="A5685" s="20"/>
    </row>
    <row r="5686" spans="1:1" x14ac:dyDescent="0.3">
      <c r="A5686" s="20"/>
    </row>
    <row r="5687" spans="1:1" x14ac:dyDescent="0.3">
      <c r="A5687" s="20"/>
    </row>
    <row r="5688" spans="1:1" x14ac:dyDescent="0.3">
      <c r="A5688" s="20"/>
    </row>
    <row r="5689" spans="1:1" x14ac:dyDescent="0.3">
      <c r="A5689" s="20"/>
    </row>
    <row r="5690" spans="1:1" x14ac:dyDescent="0.3">
      <c r="A5690" s="20"/>
    </row>
    <row r="5691" spans="1:1" x14ac:dyDescent="0.3">
      <c r="A5691" s="20"/>
    </row>
    <row r="5692" spans="1:1" x14ac:dyDescent="0.3">
      <c r="A5692" s="20"/>
    </row>
    <row r="5693" spans="1:1" x14ac:dyDescent="0.3">
      <c r="A5693" s="20"/>
    </row>
    <row r="5694" spans="1:1" x14ac:dyDescent="0.3">
      <c r="A5694" s="20"/>
    </row>
    <row r="5695" spans="1:1" x14ac:dyDescent="0.3">
      <c r="A5695" s="20"/>
    </row>
    <row r="5696" spans="1:1" x14ac:dyDescent="0.3">
      <c r="A5696" s="20"/>
    </row>
    <row r="5697" spans="1:1" x14ac:dyDescent="0.3">
      <c r="A5697" s="20"/>
    </row>
    <row r="5698" spans="1:1" x14ac:dyDescent="0.3">
      <c r="A5698" s="20"/>
    </row>
    <row r="5699" spans="1:1" x14ac:dyDescent="0.3">
      <c r="A5699" s="20"/>
    </row>
    <row r="5700" spans="1:1" x14ac:dyDescent="0.3">
      <c r="A5700" s="20"/>
    </row>
    <row r="5701" spans="1:1" x14ac:dyDescent="0.3">
      <c r="A5701" s="20"/>
    </row>
    <row r="5702" spans="1:1" x14ac:dyDescent="0.3">
      <c r="A5702" s="20"/>
    </row>
    <row r="5703" spans="1:1" x14ac:dyDescent="0.3">
      <c r="A5703" s="20"/>
    </row>
    <row r="5704" spans="1:1" x14ac:dyDescent="0.3">
      <c r="A5704" s="20"/>
    </row>
    <row r="5705" spans="1:1" x14ac:dyDescent="0.3">
      <c r="A5705" s="20"/>
    </row>
    <row r="5706" spans="1:1" x14ac:dyDescent="0.3">
      <c r="A5706" s="20"/>
    </row>
    <row r="5707" spans="1:1" x14ac:dyDescent="0.3">
      <c r="A5707" s="20"/>
    </row>
    <row r="5708" spans="1:1" x14ac:dyDescent="0.3">
      <c r="A5708" s="20"/>
    </row>
    <row r="5709" spans="1:1" x14ac:dyDescent="0.3">
      <c r="A5709" s="20"/>
    </row>
    <row r="5710" spans="1:1" x14ac:dyDescent="0.3">
      <c r="A5710" s="20"/>
    </row>
    <row r="5711" spans="1:1" x14ac:dyDescent="0.3">
      <c r="A5711" s="20"/>
    </row>
    <row r="5712" spans="1:1" x14ac:dyDescent="0.3">
      <c r="A5712" s="20"/>
    </row>
    <row r="5713" spans="1:1" x14ac:dyDescent="0.3">
      <c r="A5713" s="20"/>
    </row>
    <row r="5714" spans="1:1" x14ac:dyDescent="0.3">
      <c r="A5714" s="20"/>
    </row>
    <row r="5715" spans="1:1" x14ac:dyDescent="0.3">
      <c r="A5715" s="20"/>
    </row>
    <row r="5716" spans="1:1" x14ac:dyDescent="0.3">
      <c r="A5716" s="20"/>
    </row>
    <row r="5717" spans="1:1" x14ac:dyDescent="0.3">
      <c r="A5717" s="20"/>
    </row>
    <row r="5718" spans="1:1" x14ac:dyDescent="0.3">
      <c r="A5718" s="20"/>
    </row>
    <row r="5719" spans="1:1" x14ac:dyDescent="0.3">
      <c r="A5719" s="20"/>
    </row>
    <row r="5720" spans="1:1" x14ac:dyDescent="0.3">
      <c r="A5720" s="20"/>
    </row>
    <row r="5721" spans="1:1" x14ac:dyDescent="0.3">
      <c r="A5721" s="20"/>
    </row>
    <row r="5722" spans="1:1" x14ac:dyDescent="0.3">
      <c r="A5722" s="20"/>
    </row>
    <row r="5723" spans="1:1" x14ac:dyDescent="0.3">
      <c r="A5723" s="20"/>
    </row>
    <row r="5724" spans="1:1" x14ac:dyDescent="0.3">
      <c r="A5724" s="20"/>
    </row>
    <row r="5725" spans="1:1" x14ac:dyDescent="0.3">
      <c r="A5725" s="20"/>
    </row>
    <row r="5726" spans="1:1" x14ac:dyDescent="0.3">
      <c r="A5726" s="20"/>
    </row>
    <row r="5727" spans="1:1" x14ac:dyDescent="0.3">
      <c r="A5727" s="20"/>
    </row>
    <row r="5728" spans="1:1" x14ac:dyDescent="0.3">
      <c r="A5728" s="20"/>
    </row>
    <row r="5729" spans="1:1" x14ac:dyDescent="0.3">
      <c r="A5729" s="20"/>
    </row>
    <row r="5730" spans="1:1" x14ac:dyDescent="0.3">
      <c r="A5730" s="20"/>
    </row>
    <row r="5731" spans="1:1" x14ac:dyDescent="0.3">
      <c r="A5731" s="20"/>
    </row>
    <row r="5732" spans="1:1" x14ac:dyDescent="0.3">
      <c r="A5732" s="20"/>
    </row>
    <row r="5733" spans="1:1" x14ac:dyDescent="0.3">
      <c r="A5733" s="20"/>
    </row>
    <row r="5734" spans="1:1" x14ac:dyDescent="0.3">
      <c r="A5734" s="20"/>
    </row>
    <row r="5735" spans="1:1" x14ac:dyDescent="0.3">
      <c r="A5735" s="20"/>
    </row>
    <row r="5736" spans="1:1" x14ac:dyDescent="0.3">
      <c r="A5736" s="20"/>
    </row>
    <row r="5737" spans="1:1" x14ac:dyDescent="0.3">
      <c r="A5737" s="20"/>
    </row>
    <row r="5738" spans="1:1" x14ac:dyDescent="0.3">
      <c r="A5738" s="20"/>
    </row>
    <row r="5739" spans="1:1" x14ac:dyDescent="0.3">
      <c r="A5739" s="20"/>
    </row>
    <row r="5740" spans="1:1" x14ac:dyDescent="0.3">
      <c r="A5740" s="20"/>
    </row>
    <row r="5741" spans="1:1" x14ac:dyDescent="0.3">
      <c r="A5741" s="20"/>
    </row>
    <row r="5742" spans="1:1" x14ac:dyDescent="0.3">
      <c r="A5742" s="20"/>
    </row>
    <row r="5743" spans="1:1" x14ac:dyDescent="0.3">
      <c r="A5743" s="20"/>
    </row>
    <row r="5744" spans="1:1" x14ac:dyDescent="0.3">
      <c r="A5744" s="20"/>
    </row>
    <row r="5745" spans="1:1" x14ac:dyDescent="0.3">
      <c r="A5745" s="20"/>
    </row>
    <row r="5746" spans="1:1" x14ac:dyDescent="0.3">
      <c r="A5746" s="20"/>
    </row>
    <row r="5747" spans="1:1" x14ac:dyDescent="0.3">
      <c r="A5747" s="20"/>
    </row>
    <row r="5748" spans="1:1" x14ac:dyDescent="0.3">
      <c r="A5748" s="20"/>
    </row>
    <row r="5749" spans="1:1" x14ac:dyDescent="0.3">
      <c r="A5749" s="20"/>
    </row>
    <row r="5750" spans="1:1" x14ac:dyDescent="0.3">
      <c r="A5750" s="20"/>
    </row>
    <row r="5751" spans="1:1" x14ac:dyDescent="0.3">
      <c r="A5751" s="20"/>
    </row>
    <row r="5752" spans="1:1" x14ac:dyDescent="0.3">
      <c r="A5752" s="20"/>
    </row>
    <row r="5753" spans="1:1" x14ac:dyDescent="0.3">
      <c r="A5753" s="20"/>
    </row>
    <row r="5754" spans="1:1" x14ac:dyDescent="0.3">
      <c r="A5754" s="20"/>
    </row>
    <row r="5755" spans="1:1" x14ac:dyDescent="0.3">
      <c r="A5755" s="20"/>
    </row>
    <row r="5756" spans="1:1" x14ac:dyDescent="0.3">
      <c r="A5756" s="20"/>
    </row>
    <row r="5757" spans="1:1" x14ac:dyDescent="0.3">
      <c r="A5757" s="20"/>
    </row>
    <row r="5758" spans="1:1" x14ac:dyDescent="0.3">
      <c r="A5758" s="20"/>
    </row>
    <row r="5759" spans="1:1" x14ac:dyDescent="0.3">
      <c r="A5759" s="20"/>
    </row>
    <row r="5760" spans="1:1" x14ac:dyDescent="0.3">
      <c r="A5760" s="20"/>
    </row>
    <row r="5761" spans="1:1" x14ac:dyDescent="0.3">
      <c r="A5761" s="20"/>
    </row>
    <row r="5762" spans="1:1" x14ac:dyDescent="0.3">
      <c r="A5762" s="20"/>
    </row>
    <row r="5763" spans="1:1" x14ac:dyDescent="0.3">
      <c r="A5763" s="20"/>
    </row>
    <row r="5764" spans="1:1" x14ac:dyDescent="0.3">
      <c r="A5764" s="20"/>
    </row>
    <row r="5765" spans="1:1" x14ac:dyDescent="0.3">
      <c r="A5765" s="20"/>
    </row>
    <row r="5766" spans="1:1" x14ac:dyDescent="0.3">
      <c r="A5766" s="20"/>
    </row>
    <row r="5767" spans="1:1" x14ac:dyDescent="0.3">
      <c r="A5767" s="20"/>
    </row>
    <row r="5768" spans="1:1" x14ac:dyDescent="0.3">
      <c r="A5768" s="20"/>
    </row>
    <row r="5769" spans="1:1" x14ac:dyDescent="0.3">
      <c r="A5769" s="20"/>
    </row>
    <row r="5770" spans="1:1" x14ac:dyDescent="0.3">
      <c r="A5770" s="20"/>
    </row>
    <row r="5771" spans="1:1" x14ac:dyDescent="0.3">
      <c r="A5771" s="20"/>
    </row>
    <row r="5772" spans="1:1" x14ac:dyDescent="0.3">
      <c r="A5772" s="20"/>
    </row>
    <row r="5773" spans="1:1" x14ac:dyDescent="0.3">
      <c r="A5773" s="20"/>
    </row>
    <row r="5774" spans="1:1" x14ac:dyDescent="0.3">
      <c r="A5774" s="20"/>
    </row>
    <row r="5775" spans="1:1" x14ac:dyDescent="0.3">
      <c r="A5775" s="20"/>
    </row>
    <row r="5776" spans="1:1" x14ac:dyDescent="0.3">
      <c r="A5776" s="20"/>
    </row>
    <row r="5777" spans="1:1" x14ac:dyDescent="0.3">
      <c r="A5777" s="20"/>
    </row>
    <row r="5778" spans="1:1" x14ac:dyDescent="0.3">
      <c r="A5778" s="20"/>
    </row>
    <row r="5779" spans="1:1" x14ac:dyDescent="0.3">
      <c r="A5779" s="20"/>
    </row>
    <row r="5780" spans="1:1" x14ac:dyDescent="0.3">
      <c r="A5780" s="20"/>
    </row>
    <row r="5781" spans="1:1" x14ac:dyDescent="0.3">
      <c r="A5781" s="20"/>
    </row>
    <row r="5782" spans="1:1" x14ac:dyDescent="0.3">
      <c r="A5782" s="20"/>
    </row>
    <row r="5783" spans="1:1" x14ac:dyDescent="0.3">
      <c r="A5783" s="20"/>
    </row>
    <row r="5784" spans="1:1" x14ac:dyDescent="0.3">
      <c r="A5784" s="20"/>
    </row>
    <row r="5785" spans="1:1" x14ac:dyDescent="0.3">
      <c r="A5785" s="20"/>
    </row>
    <row r="5786" spans="1:1" x14ac:dyDescent="0.3">
      <c r="A5786" s="20"/>
    </row>
    <row r="5787" spans="1:1" x14ac:dyDescent="0.3">
      <c r="A5787" s="20"/>
    </row>
    <row r="5788" spans="1:1" x14ac:dyDescent="0.3">
      <c r="A5788" s="20"/>
    </row>
    <row r="5789" spans="1:1" x14ac:dyDescent="0.3">
      <c r="A5789" s="20"/>
    </row>
    <row r="5790" spans="1:1" x14ac:dyDescent="0.3">
      <c r="A5790" s="20"/>
    </row>
    <row r="5791" spans="1:1" x14ac:dyDescent="0.3">
      <c r="A5791" s="20"/>
    </row>
    <row r="5792" spans="1:1" x14ac:dyDescent="0.3">
      <c r="A5792" s="20"/>
    </row>
    <row r="5793" spans="1:1" x14ac:dyDescent="0.3">
      <c r="A5793" s="20"/>
    </row>
    <row r="5794" spans="1:1" x14ac:dyDescent="0.3">
      <c r="A5794" s="20"/>
    </row>
    <row r="5795" spans="1:1" x14ac:dyDescent="0.3">
      <c r="A5795" s="20"/>
    </row>
    <row r="5796" spans="1:1" x14ac:dyDescent="0.3">
      <c r="A5796" s="20"/>
    </row>
    <row r="5797" spans="1:1" x14ac:dyDescent="0.3">
      <c r="A5797" s="20"/>
    </row>
    <row r="5798" spans="1:1" x14ac:dyDescent="0.3">
      <c r="A5798" s="20"/>
    </row>
    <row r="5799" spans="1:1" x14ac:dyDescent="0.3">
      <c r="A5799" s="20"/>
    </row>
    <row r="5800" spans="1:1" x14ac:dyDescent="0.3">
      <c r="A5800" s="20"/>
    </row>
    <row r="5801" spans="1:1" x14ac:dyDescent="0.3">
      <c r="A5801" s="20"/>
    </row>
    <row r="5802" spans="1:1" x14ac:dyDescent="0.3">
      <c r="A5802" s="20"/>
    </row>
    <row r="5803" spans="1:1" x14ac:dyDescent="0.3">
      <c r="A5803" s="20"/>
    </row>
    <row r="5804" spans="1:1" x14ac:dyDescent="0.3">
      <c r="A5804" s="20"/>
    </row>
    <row r="5805" spans="1:1" x14ac:dyDescent="0.3">
      <c r="A5805" s="20"/>
    </row>
    <row r="5806" spans="1:1" x14ac:dyDescent="0.3">
      <c r="A5806" s="20"/>
    </row>
    <row r="5807" spans="1:1" x14ac:dyDescent="0.3">
      <c r="A5807" s="20"/>
    </row>
    <row r="5808" spans="1:1" x14ac:dyDescent="0.3">
      <c r="A5808" s="20"/>
    </row>
    <row r="5809" spans="1:1" x14ac:dyDescent="0.3">
      <c r="A5809" s="20"/>
    </row>
    <row r="5810" spans="1:1" x14ac:dyDescent="0.3">
      <c r="A5810" s="20"/>
    </row>
    <row r="5811" spans="1:1" x14ac:dyDescent="0.3">
      <c r="A5811" s="20"/>
    </row>
    <row r="5812" spans="1:1" x14ac:dyDescent="0.3">
      <c r="A5812" s="20"/>
    </row>
    <row r="5813" spans="1:1" x14ac:dyDescent="0.3">
      <c r="A5813" s="20"/>
    </row>
    <row r="5814" spans="1:1" x14ac:dyDescent="0.3">
      <c r="A5814" s="20"/>
    </row>
    <row r="5815" spans="1:1" x14ac:dyDescent="0.3">
      <c r="A5815" s="20"/>
    </row>
    <row r="5816" spans="1:1" x14ac:dyDescent="0.3">
      <c r="A5816" s="20"/>
    </row>
    <row r="5817" spans="1:1" x14ac:dyDescent="0.3">
      <c r="A5817" s="20"/>
    </row>
    <row r="5818" spans="1:1" x14ac:dyDescent="0.3">
      <c r="A5818" s="20"/>
    </row>
    <row r="5819" spans="1:1" x14ac:dyDescent="0.3">
      <c r="A5819" s="20"/>
    </row>
    <row r="5820" spans="1:1" x14ac:dyDescent="0.3">
      <c r="A5820" s="20"/>
    </row>
    <row r="5821" spans="1:1" x14ac:dyDescent="0.3">
      <c r="A5821" s="20"/>
    </row>
    <row r="5822" spans="1:1" x14ac:dyDescent="0.3">
      <c r="A5822" s="20"/>
    </row>
    <row r="5823" spans="1:1" x14ac:dyDescent="0.3">
      <c r="A5823" s="20"/>
    </row>
    <row r="5824" spans="1:1" x14ac:dyDescent="0.3">
      <c r="A5824" s="20"/>
    </row>
    <row r="5825" spans="1:1" x14ac:dyDescent="0.3">
      <c r="A5825" s="20"/>
    </row>
    <row r="5826" spans="1:1" x14ac:dyDescent="0.3">
      <c r="A5826" s="20"/>
    </row>
    <row r="5827" spans="1:1" x14ac:dyDescent="0.3">
      <c r="A5827" s="20"/>
    </row>
    <row r="5828" spans="1:1" x14ac:dyDescent="0.3">
      <c r="A5828" s="20"/>
    </row>
    <row r="5829" spans="1:1" x14ac:dyDescent="0.3">
      <c r="A5829" s="20"/>
    </row>
    <row r="5830" spans="1:1" x14ac:dyDescent="0.3">
      <c r="A5830" s="20"/>
    </row>
    <row r="5831" spans="1:1" x14ac:dyDescent="0.3">
      <c r="A5831" s="20"/>
    </row>
    <row r="5832" spans="1:1" x14ac:dyDescent="0.3">
      <c r="A5832" s="20"/>
    </row>
    <row r="5833" spans="1:1" x14ac:dyDescent="0.3">
      <c r="A5833" s="20"/>
    </row>
    <row r="5834" spans="1:1" x14ac:dyDescent="0.3">
      <c r="A5834" s="20"/>
    </row>
    <row r="5835" spans="1:1" x14ac:dyDescent="0.3">
      <c r="A5835" s="20"/>
    </row>
    <row r="5836" spans="1:1" x14ac:dyDescent="0.3">
      <c r="A5836" s="20"/>
    </row>
    <row r="5837" spans="1:1" x14ac:dyDescent="0.3">
      <c r="A5837" s="20"/>
    </row>
    <row r="5838" spans="1:1" x14ac:dyDescent="0.3">
      <c r="A5838" s="20"/>
    </row>
    <row r="5839" spans="1:1" x14ac:dyDescent="0.3">
      <c r="A5839" s="20"/>
    </row>
    <row r="5840" spans="1:1" x14ac:dyDescent="0.3">
      <c r="A5840" s="20"/>
    </row>
    <row r="5841" spans="1:1" x14ac:dyDescent="0.3">
      <c r="A5841" s="20"/>
    </row>
    <row r="5842" spans="1:1" x14ac:dyDescent="0.3">
      <c r="A5842" s="20"/>
    </row>
    <row r="5843" spans="1:1" x14ac:dyDescent="0.3">
      <c r="A5843" s="20"/>
    </row>
    <row r="5844" spans="1:1" x14ac:dyDescent="0.3">
      <c r="A5844" s="20"/>
    </row>
    <row r="5845" spans="1:1" x14ac:dyDescent="0.3">
      <c r="A5845" s="20"/>
    </row>
    <row r="5846" spans="1:1" x14ac:dyDescent="0.3">
      <c r="A5846" s="20"/>
    </row>
    <row r="5847" spans="1:1" x14ac:dyDescent="0.3">
      <c r="A5847" s="20"/>
    </row>
    <row r="5848" spans="1:1" x14ac:dyDescent="0.3">
      <c r="A5848" s="20"/>
    </row>
    <row r="5849" spans="1:1" x14ac:dyDescent="0.3">
      <c r="A5849" s="20"/>
    </row>
    <row r="5850" spans="1:1" x14ac:dyDescent="0.3">
      <c r="A5850" s="20"/>
    </row>
    <row r="5851" spans="1:1" x14ac:dyDescent="0.3">
      <c r="A5851" s="20"/>
    </row>
    <row r="5852" spans="1:1" x14ac:dyDescent="0.3">
      <c r="A5852" s="20"/>
    </row>
    <row r="5853" spans="1:1" x14ac:dyDescent="0.3">
      <c r="A5853" s="20"/>
    </row>
    <row r="5854" spans="1:1" x14ac:dyDescent="0.3">
      <c r="A5854" s="20"/>
    </row>
    <row r="5855" spans="1:1" x14ac:dyDescent="0.3">
      <c r="A5855" s="20"/>
    </row>
    <row r="5856" spans="1:1" x14ac:dyDescent="0.3">
      <c r="A5856" s="20"/>
    </row>
    <row r="5857" spans="1:1" x14ac:dyDescent="0.3">
      <c r="A5857" s="20"/>
    </row>
    <row r="5858" spans="1:1" x14ac:dyDescent="0.3">
      <c r="A5858" s="20"/>
    </row>
    <row r="5859" spans="1:1" x14ac:dyDescent="0.3">
      <c r="A5859" s="20"/>
    </row>
    <row r="5860" spans="1:1" x14ac:dyDescent="0.3">
      <c r="A5860" s="20"/>
    </row>
    <row r="5861" spans="1:1" x14ac:dyDescent="0.3">
      <c r="A5861" s="20"/>
    </row>
    <row r="5862" spans="1:1" x14ac:dyDescent="0.3">
      <c r="A5862" s="20"/>
    </row>
    <row r="5863" spans="1:1" x14ac:dyDescent="0.3">
      <c r="A5863" s="20"/>
    </row>
    <row r="5864" spans="1:1" x14ac:dyDescent="0.3">
      <c r="A5864" s="20"/>
    </row>
    <row r="5865" spans="1:1" x14ac:dyDescent="0.3">
      <c r="A5865" s="20"/>
    </row>
    <row r="5866" spans="1:1" x14ac:dyDescent="0.3">
      <c r="A5866" s="20"/>
    </row>
    <row r="5867" spans="1:1" x14ac:dyDescent="0.3">
      <c r="A5867" s="20"/>
    </row>
    <row r="5868" spans="1:1" x14ac:dyDescent="0.3">
      <c r="A5868" s="20"/>
    </row>
    <row r="5869" spans="1:1" x14ac:dyDescent="0.3">
      <c r="A5869" s="20"/>
    </row>
    <row r="5870" spans="1:1" x14ac:dyDescent="0.3">
      <c r="A5870" s="20"/>
    </row>
    <row r="5871" spans="1:1" x14ac:dyDescent="0.3">
      <c r="A5871" s="20"/>
    </row>
    <row r="5872" spans="1:1" x14ac:dyDescent="0.3">
      <c r="A5872" s="20"/>
    </row>
    <row r="5873" spans="1:1" x14ac:dyDescent="0.3">
      <c r="A5873" s="20"/>
    </row>
    <row r="5874" spans="1:1" x14ac:dyDescent="0.3">
      <c r="A5874" s="20"/>
    </row>
    <row r="5875" spans="1:1" x14ac:dyDescent="0.3">
      <c r="A5875" s="20"/>
    </row>
    <row r="5876" spans="1:1" x14ac:dyDescent="0.3">
      <c r="A5876" s="20"/>
    </row>
    <row r="5877" spans="1:1" x14ac:dyDescent="0.3">
      <c r="A5877" s="20"/>
    </row>
    <row r="5878" spans="1:1" x14ac:dyDescent="0.3">
      <c r="A5878" s="20"/>
    </row>
    <row r="5879" spans="1:1" x14ac:dyDescent="0.3">
      <c r="A5879" s="20"/>
    </row>
    <row r="5880" spans="1:1" x14ac:dyDescent="0.3">
      <c r="A5880" s="20"/>
    </row>
    <row r="5881" spans="1:1" x14ac:dyDescent="0.3">
      <c r="A5881" s="20"/>
    </row>
    <row r="5882" spans="1:1" x14ac:dyDescent="0.3">
      <c r="A5882" s="20"/>
    </row>
    <row r="5883" spans="1:1" x14ac:dyDescent="0.3">
      <c r="A5883" s="20"/>
    </row>
    <row r="5884" spans="1:1" x14ac:dyDescent="0.3">
      <c r="A5884" s="20"/>
    </row>
    <row r="5885" spans="1:1" x14ac:dyDescent="0.3">
      <c r="A5885" s="20"/>
    </row>
    <row r="5886" spans="1:1" x14ac:dyDescent="0.3">
      <c r="A5886" s="20"/>
    </row>
    <row r="5887" spans="1:1" x14ac:dyDescent="0.3">
      <c r="A5887" s="20"/>
    </row>
    <row r="5888" spans="1:1" x14ac:dyDescent="0.3">
      <c r="A5888" s="20"/>
    </row>
    <row r="5889" spans="1:1" x14ac:dyDescent="0.3">
      <c r="A5889" s="20"/>
    </row>
    <row r="5890" spans="1:1" x14ac:dyDescent="0.3">
      <c r="A5890" s="20"/>
    </row>
    <row r="5891" spans="1:1" x14ac:dyDescent="0.3">
      <c r="A5891" s="20"/>
    </row>
    <row r="5892" spans="1:1" x14ac:dyDescent="0.3">
      <c r="A5892" s="20"/>
    </row>
    <row r="5893" spans="1:1" x14ac:dyDescent="0.3">
      <c r="A5893" s="20"/>
    </row>
    <row r="5894" spans="1:1" x14ac:dyDescent="0.3">
      <c r="A5894" s="20"/>
    </row>
    <row r="5895" spans="1:1" x14ac:dyDescent="0.3">
      <c r="A5895" s="20"/>
    </row>
    <row r="5896" spans="1:1" x14ac:dyDescent="0.3">
      <c r="A5896" s="20"/>
    </row>
    <row r="5897" spans="1:1" x14ac:dyDescent="0.3">
      <c r="A5897" s="20"/>
    </row>
    <row r="5898" spans="1:1" x14ac:dyDescent="0.3">
      <c r="A5898" s="20"/>
    </row>
    <row r="5899" spans="1:1" x14ac:dyDescent="0.3">
      <c r="A5899" s="20"/>
    </row>
    <row r="5900" spans="1:1" x14ac:dyDescent="0.3">
      <c r="A5900" s="20"/>
    </row>
    <row r="5901" spans="1:1" x14ac:dyDescent="0.3">
      <c r="A5901" s="20"/>
    </row>
    <row r="5902" spans="1:1" x14ac:dyDescent="0.3">
      <c r="A5902" s="20"/>
    </row>
    <row r="5903" spans="1:1" x14ac:dyDescent="0.3">
      <c r="A5903" s="20"/>
    </row>
    <row r="5904" spans="1:1" x14ac:dyDescent="0.3">
      <c r="A5904" s="20"/>
    </row>
    <row r="5905" spans="1:1" x14ac:dyDescent="0.3">
      <c r="A5905" s="20"/>
    </row>
    <row r="5906" spans="1:1" x14ac:dyDescent="0.3">
      <c r="A5906" s="20"/>
    </row>
    <row r="5907" spans="1:1" x14ac:dyDescent="0.3">
      <c r="A5907" s="20"/>
    </row>
    <row r="5908" spans="1:1" x14ac:dyDescent="0.3">
      <c r="A5908" s="20"/>
    </row>
    <row r="5909" spans="1:1" x14ac:dyDescent="0.3">
      <c r="A5909" s="20"/>
    </row>
    <row r="5910" spans="1:1" x14ac:dyDescent="0.3">
      <c r="A5910" s="20"/>
    </row>
    <row r="5911" spans="1:1" x14ac:dyDescent="0.3">
      <c r="A5911" s="20"/>
    </row>
    <row r="5912" spans="1:1" x14ac:dyDescent="0.3">
      <c r="A5912" s="20"/>
    </row>
    <row r="5913" spans="1:1" x14ac:dyDescent="0.3">
      <c r="A5913" s="20"/>
    </row>
    <row r="5914" spans="1:1" x14ac:dyDescent="0.3">
      <c r="A5914" s="20"/>
    </row>
    <row r="5915" spans="1:1" x14ac:dyDescent="0.3">
      <c r="A5915" s="20"/>
    </row>
    <row r="5916" spans="1:1" x14ac:dyDescent="0.3">
      <c r="A5916" s="20"/>
    </row>
    <row r="5917" spans="1:1" x14ac:dyDescent="0.3">
      <c r="A5917" s="20"/>
    </row>
    <row r="5918" spans="1:1" x14ac:dyDescent="0.3">
      <c r="A5918" s="20"/>
    </row>
    <row r="5919" spans="1:1" x14ac:dyDescent="0.3">
      <c r="A5919" s="20"/>
    </row>
    <row r="5920" spans="1:1" x14ac:dyDescent="0.3">
      <c r="A5920" s="20"/>
    </row>
    <row r="5921" spans="1:1" x14ac:dyDescent="0.3">
      <c r="A5921" s="20"/>
    </row>
    <row r="5922" spans="1:1" x14ac:dyDescent="0.3">
      <c r="A5922" s="20"/>
    </row>
    <row r="5923" spans="1:1" x14ac:dyDescent="0.3">
      <c r="A5923" s="20"/>
    </row>
    <row r="5924" spans="1:1" x14ac:dyDescent="0.3">
      <c r="A5924" s="20"/>
    </row>
    <row r="5925" spans="1:1" x14ac:dyDescent="0.3">
      <c r="A5925" s="20"/>
    </row>
    <row r="5926" spans="1:1" x14ac:dyDescent="0.3">
      <c r="A5926" s="20"/>
    </row>
    <row r="5927" spans="1:1" x14ac:dyDescent="0.3">
      <c r="A5927" s="20"/>
    </row>
    <row r="5928" spans="1:1" x14ac:dyDescent="0.3">
      <c r="A5928" s="20"/>
    </row>
    <row r="5929" spans="1:1" x14ac:dyDescent="0.3">
      <c r="A5929" s="20"/>
    </row>
    <row r="5930" spans="1:1" x14ac:dyDescent="0.3">
      <c r="A5930" s="20"/>
    </row>
    <row r="5931" spans="1:1" x14ac:dyDescent="0.3">
      <c r="A5931" s="20"/>
    </row>
    <row r="5932" spans="1:1" x14ac:dyDescent="0.3">
      <c r="A5932" s="20"/>
    </row>
    <row r="5933" spans="1:1" x14ac:dyDescent="0.3">
      <c r="A5933" s="20"/>
    </row>
    <row r="5934" spans="1:1" x14ac:dyDescent="0.3">
      <c r="A5934" s="20"/>
    </row>
    <row r="5935" spans="1:1" x14ac:dyDescent="0.3">
      <c r="A5935" s="20"/>
    </row>
    <row r="5936" spans="1:1" x14ac:dyDescent="0.3">
      <c r="A5936" s="20"/>
    </row>
    <row r="5937" spans="1:1" x14ac:dyDescent="0.3">
      <c r="A5937" s="20"/>
    </row>
    <row r="5938" spans="1:1" x14ac:dyDescent="0.3">
      <c r="A5938" s="20"/>
    </row>
    <row r="5939" spans="1:1" x14ac:dyDescent="0.3">
      <c r="A5939" s="20"/>
    </row>
    <row r="5940" spans="1:1" x14ac:dyDescent="0.3">
      <c r="A5940" s="20"/>
    </row>
    <row r="5941" spans="1:1" x14ac:dyDescent="0.3">
      <c r="A5941" s="20"/>
    </row>
    <row r="5942" spans="1:1" x14ac:dyDescent="0.3">
      <c r="A5942" s="20"/>
    </row>
    <row r="5943" spans="1:1" x14ac:dyDescent="0.3">
      <c r="A5943" s="20"/>
    </row>
    <row r="5944" spans="1:1" x14ac:dyDescent="0.3">
      <c r="A5944" s="20"/>
    </row>
    <row r="5945" spans="1:1" x14ac:dyDescent="0.3">
      <c r="A5945" s="20"/>
    </row>
    <row r="5946" spans="1:1" x14ac:dyDescent="0.3">
      <c r="A5946" s="20"/>
    </row>
    <row r="5947" spans="1:1" x14ac:dyDescent="0.3">
      <c r="A5947" s="20"/>
    </row>
    <row r="5948" spans="1:1" x14ac:dyDescent="0.3">
      <c r="A5948" s="20"/>
    </row>
    <row r="5949" spans="1:1" x14ac:dyDescent="0.3">
      <c r="A5949" s="20"/>
    </row>
    <row r="5950" spans="1:1" x14ac:dyDescent="0.3">
      <c r="A5950" s="20"/>
    </row>
    <row r="5951" spans="1:1" x14ac:dyDescent="0.3">
      <c r="A5951" s="20"/>
    </row>
    <row r="5952" spans="1:1" x14ac:dyDescent="0.3">
      <c r="A5952" s="20"/>
    </row>
    <row r="5953" spans="1:1" x14ac:dyDescent="0.3">
      <c r="A5953" s="20"/>
    </row>
    <row r="5954" spans="1:1" x14ac:dyDescent="0.3">
      <c r="A5954" s="20"/>
    </row>
    <row r="5955" spans="1:1" x14ac:dyDescent="0.3">
      <c r="A5955" s="20"/>
    </row>
    <row r="5956" spans="1:1" x14ac:dyDescent="0.3">
      <c r="A5956" s="20"/>
    </row>
    <row r="5957" spans="1:1" x14ac:dyDescent="0.3">
      <c r="A5957" s="20"/>
    </row>
    <row r="5958" spans="1:1" x14ac:dyDescent="0.3">
      <c r="A5958" s="20"/>
    </row>
    <row r="5959" spans="1:1" x14ac:dyDescent="0.3">
      <c r="A5959" s="20"/>
    </row>
    <row r="5960" spans="1:1" x14ac:dyDescent="0.3">
      <c r="A5960" s="20"/>
    </row>
    <row r="5961" spans="1:1" x14ac:dyDescent="0.3">
      <c r="A5961" s="20"/>
    </row>
    <row r="5962" spans="1:1" x14ac:dyDescent="0.3">
      <c r="A5962" s="20"/>
    </row>
    <row r="5963" spans="1:1" x14ac:dyDescent="0.3">
      <c r="A5963" s="20"/>
    </row>
    <row r="5964" spans="1:1" x14ac:dyDescent="0.3">
      <c r="A5964" s="20"/>
    </row>
    <row r="5965" spans="1:1" x14ac:dyDescent="0.3">
      <c r="A5965" s="20"/>
    </row>
    <row r="5966" spans="1:1" x14ac:dyDescent="0.3">
      <c r="A5966" s="20"/>
    </row>
    <row r="5967" spans="1:1" x14ac:dyDescent="0.3">
      <c r="A5967" s="20"/>
    </row>
    <row r="5968" spans="1:1" x14ac:dyDescent="0.3">
      <c r="A5968" s="20"/>
    </row>
    <row r="5969" spans="1:1" x14ac:dyDescent="0.3">
      <c r="A5969" s="20"/>
    </row>
    <row r="5970" spans="1:1" x14ac:dyDescent="0.3">
      <c r="A5970" s="20"/>
    </row>
    <row r="5971" spans="1:1" x14ac:dyDescent="0.3">
      <c r="A5971" s="20"/>
    </row>
    <row r="5972" spans="1:1" x14ac:dyDescent="0.3">
      <c r="A5972" s="20"/>
    </row>
    <row r="5973" spans="1:1" x14ac:dyDescent="0.3">
      <c r="A5973" s="20"/>
    </row>
    <row r="5974" spans="1:1" x14ac:dyDescent="0.3">
      <c r="A5974" s="20"/>
    </row>
    <row r="5975" spans="1:1" x14ac:dyDescent="0.3">
      <c r="A5975" s="20"/>
    </row>
    <row r="5976" spans="1:1" x14ac:dyDescent="0.3">
      <c r="A5976" s="20"/>
    </row>
    <row r="5977" spans="1:1" x14ac:dyDescent="0.3">
      <c r="A5977" s="20"/>
    </row>
    <row r="5978" spans="1:1" x14ac:dyDescent="0.3">
      <c r="A5978" s="20"/>
    </row>
    <row r="5979" spans="1:1" x14ac:dyDescent="0.3">
      <c r="A5979" s="20"/>
    </row>
    <row r="5980" spans="1:1" x14ac:dyDescent="0.3">
      <c r="A5980" s="20"/>
    </row>
    <row r="5981" spans="1:1" x14ac:dyDescent="0.3">
      <c r="A5981" s="20"/>
    </row>
    <row r="5982" spans="1:1" x14ac:dyDescent="0.3">
      <c r="A5982" s="20"/>
    </row>
    <row r="5983" spans="1:1" x14ac:dyDescent="0.3">
      <c r="A5983" s="20"/>
    </row>
    <row r="5984" spans="1:1" x14ac:dyDescent="0.3">
      <c r="A5984" s="20"/>
    </row>
    <row r="5985" spans="1:1" x14ac:dyDescent="0.3">
      <c r="A5985" s="20"/>
    </row>
    <row r="5986" spans="1:1" x14ac:dyDescent="0.3">
      <c r="A5986" s="20"/>
    </row>
    <row r="5987" spans="1:1" x14ac:dyDescent="0.3">
      <c r="A5987" s="20"/>
    </row>
    <row r="5988" spans="1:1" x14ac:dyDescent="0.3">
      <c r="A5988" s="20"/>
    </row>
    <row r="5989" spans="1:1" x14ac:dyDescent="0.3">
      <c r="A5989" s="20"/>
    </row>
    <row r="5990" spans="1:1" x14ac:dyDescent="0.3">
      <c r="A5990" s="20"/>
    </row>
    <row r="5991" spans="1:1" x14ac:dyDescent="0.3">
      <c r="A5991" s="20"/>
    </row>
    <row r="5992" spans="1:1" x14ac:dyDescent="0.3">
      <c r="A5992" s="20"/>
    </row>
    <row r="5993" spans="1:1" x14ac:dyDescent="0.3">
      <c r="A5993" s="20"/>
    </row>
    <row r="5994" spans="1:1" x14ac:dyDescent="0.3">
      <c r="A5994" s="20"/>
    </row>
    <row r="5995" spans="1:1" x14ac:dyDescent="0.3">
      <c r="A5995" s="20"/>
    </row>
    <row r="5996" spans="1:1" x14ac:dyDescent="0.3">
      <c r="A5996" s="20"/>
    </row>
    <row r="5997" spans="1:1" x14ac:dyDescent="0.3">
      <c r="A5997" s="20"/>
    </row>
    <row r="5998" spans="1:1" x14ac:dyDescent="0.3">
      <c r="A5998" s="20"/>
    </row>
    <row r="5999" spans="1:1" x14ac:dyDescent="0.3">
      <c r="A5999" s="20"/>
    </row>
    <row r="6000" spans="1:1" x14ac:dyDescent="0.3">
      <c r="A6000" s="20"/>
    </row>
    <row r="6001" spans="1:1" x14ac:dyDescent="0.3">
      <c r="A6001" s="20"/>
    </row>
    <row r="6002" spans="1:1" x14ac:dyDescent="0.3">
      <c r="A6002" s="20"/>
    </row>
    <row r="6003" spans="1:1" x14ac:dyDescent="0.3">
      <c r="A6003" s="20"/>
    </row>
    <row r="6004" spans="1:1" x14ac:dyDescent="0.3">
      <c r="A6004" s="20"/>
    </row>
    <row r="6005" spans="1:1" x14ac:dyDescent="0.3">
      <c r="A6005" s="20"/>
    </row>
    <row r="6006" spans="1:1" x14ac:dyDescent="0.3">
      <c r="A6006" s="20"/>
    </row>
    <row r="6007" spans="1:1" x14ac:dyDescent="0.3">
      <c r="A6007" s="20"/>
    </row>
    <row r="6008" spans="1:1" x14ac:dyDescent="0.3">
      <c r="A6008" s="20"/>
    </row>
    <row r="6009" spans="1:1" x14ac:dyDescent="0.3">
      <c r="A6009" s="20"/>
    </row>
    <row r="6010" spans="1:1" x14ac:dyDescent="0.3">
      <c r="A6010" s="20"/>
    </row>
    <row r="6011" spans="1:1" x14ac:dyDescent="0.3">
      <c r="A6011" s="20"/>
    </row>
    <row r="6012" spans="1:1" x14ac:dyDescent="0.3">
      <c r="A6012" s="20"/>
    </row>
    <row r="6013" spans="1:1" x14ac:dyDescent="0.3">
      <c r="A6013" s="20"/>
    </row>
    <row r="6014" spans="1:1" x14ac:dyDescent="0.3">
      <c r="A6014" s="20"/>
    </row>
    <row r="6015" spans="1:1" x14ac:dyDescent="0.3">
      <c r="A6015" s="20"/>
    </row>
    <row r="6016" spans="1:1" x14ac:dyDescent="0.3">
      <c r="A6016" s="20"/>
    </row>
    <row r="6017" spans="1:1" x14ac:dyDescent="0.3">
      <c r="A6017" s="20"/>
    </row>
    <row r="6018" spans="1:1" x14ac:dyDescent="0.3">
      <c r="A6018" s="20"/>
    </row>
    <row r="6019" spans="1:1" x14ac:dyDescent="0.3">
      <c r="A6019" s="20"/>
    </row>
    <row r="6020" spans="1:1" x14ac:dyDescent="0.3">
      <c r="A6020" s="20"/>
    </row>
    <row r="6021" spans="1:1" x14ac:dyDescent="0.3">
      <c r="A6021" s="20"/>
    </row>
    <row r="6022" spans="1:1" x14ac:dyDescent="0.3">
      <c r="A6022" s="20"/>
    </row>
    <row r="6023" spans="1:1" x14ac:dyDescent="0.3">
      <c r="A6023" s="20"/>
    </row>
    <row r="6024" spans="1:1" x14ac:dyDescent="0.3">
      <c r="A6024" s="20"/>
    </row>
    <row r="6025" spans="1:1" x14ac:dyDescent="0.3">
      <c r="A6025" s="20"/>
    </row>
    <row r="6026" spans="1:1" x14ac:dyDescent="0.3">
      <c r="A6026" s="20"/>
    </row>
    <row r="6027" spans="1:1" x14ac:dyDescent="0.3">
      <c r="A6027" s="20"/>
    </row>
    <row r="6028" spans="1:1" x14ac:dyDescent="0.3">
      <c r="A6028" s="20"/>
    </row>
    <row r="6029" spans="1:1" x14ac:dyDescent="0.3">
      <c r="A6029" s="20"/>
    </row>
    <row r="6030" spans="1:1" x14ac:dyDescent="0.3">
      <c r="A6030" s="20"/>
    </row>
    <row r="6031" spans="1:1" x14ac:dyDescent="0.3">
      <c r="A6031" s="20"/>
    </row>
    <row r="6032" spans="1:1" x14ac:dyDescent="0.3">
      <c r="A6032" s="20"/>
    </row>
    <row r="6033" spans="1:1" x14ac:dyDescent="0.3">
      <c r="A6033" s="20"/>
    </row>
    <row r="6034" spans="1:1" x14ac:dyDescent="0.3">
      <c r="A6034" s="20"/>
    </row>
    <row r="6035" spans="1:1" x14ac:dyDescent="0.3">
      <c r="A6035" s="20"/>
    </row>
    <row r="6036" spans="1:1" x14ac:dyDescent="0.3">
      <c r="A6036" s="20"/>
    </row>
    <row r="6037" spans="1:1" x14ac:dyDescent="0.3">
      <c r="A6037" s="20"/>
    </row>
    <row r="6038" spans="1:1" x14ac:dyDescent="0.3">
      <c r="A6038" s="20"/>
    </row>
    <row r="6039" spans="1:1" x14ac:dyDescent="0.3">
      <c r="A6039" s="20"/>
    </row>
    <row r="6040" spans="1:1" x14ac:dyDescent="0.3">
      <c r="A6040" s="20"/>
    </row>
    <row r="6041" spans="1:1" x14ac:dyDescent="0.3">
      <c r="A6041" s="20"/>
    </row>
    <row r="6042" spans="1:1" x14ac:dyDescent="0.3">
      <c r="A6042" s="20"/>
    </row>
    <row r="6043" spans="1:1" x14ac:dyDescent="0.3">
      <c r="A6043" s="20"/>
    </row>
    <row r="6044" spans="1:1" x14ac:dyDescent="0.3">
      <c r="A6044" s="20"/>
    </row>
    <row r="6045" spans="1:1" x14ac:dyDescent="0.3">
      <c r="A6045" s="20"/>
    </row>
    <row r="6046" spans="1:1" x14ac:dyDescent="0.3">
      <c r="A6046" s="20"/>
    </row>
    <row r="6047" spans="1:1" x14ac:dyDescent="0.3">
      <c r="A6047" s="20"/>
    </row>
    <row r="6048" spans="1:1" x14ac:dyDescent="0.3">
      <c r="A6048" s="20"/>
    </row>
    <row r="6049" spans="1:1" x14ac:dyDescent="0.3">
      <c r="A6049" s="20"/>
    </row>
    <row r="6050" spans="1:1" x14ac:dyDescent="0.3">
      <c r="A6050" s="20"/>
    </row>
    <row r="6051" spans="1:1" x14ac:dyDescent="0.3">
      <c r="A6051" s="20"/>
    </row>
    <row r="6052" spans="1:1" x14ac:dyDescent="0.3">
      <c r="A6052" s="20"/>
    </row>
    <row r="6053" spans="1:1" x14ac:dyDescent="0.3">
      <c r="A6053" s="20"/>
    </row>
    <row r="6054" spans="1:1" x14ac:dyDescent="0.3">
      <c r="A6054" s="20"/>
    </row>
    <row r="6055" spans="1:1" x14ac:dyDescent="0.3">
      <c r="A6055" s="20"/>
    </row>
    <row r="6056" spans="1:1" x14ac:dyDescent="0.3">
      <c r="A6056" s="20"/>
    </row>
    <row r="6057" spans="1:1" x14ac:dyDescent="0.3">
      <c r="A6057" s="20"/>
    </row>
    <row r="6058" spans="1:1" x14ac:dyDescent="0.3">
      <c r="A6058" s="20"/>
    </row>
    <row r="6059" spans="1:1" x14ac:dyDescent="0.3">
      <c r="A6059" s="20"/>
    </row>
    <row r="6060" spans="1:1" x14ac:dyDescent="0.3">
      <c r="A6060" s="20"/>
    </row>
    <row r="6061" spans="1:1" x14ac:dyDescent="0.3">
      <c r="A6061" s="20"/>
    </row>
    <row r="6062" spans="1:1" x14ac:dyDescent="0.3">
      <c r="A6062" s="20"/>
    </row>
    <row r="6063" spans="1:1" x14ac:dyDescent="0.3">
      <c r="A6063" s="20"/>
    </row>
    <row r="6064" spans="1:1" x14ac:dyDescent="0.3">
      <c r="A6064" s="20"/>
    </row>
    <row r="6065" spans="1:1" x14ac:dyDescent="0.3">
      <c r="A6065" s="20"/>
    </row>
    <row r="6066" spans="1:1" x14ac:dyDescent="0.3">
      <c r="A6066" s="20"/>
    </row>
    <row r="6067" spans="1:1" x14ac:dyDescent="0.3">
      <c r="A6067" s="20"/>
    </row>
    <row r="6068" spans="1:1" x14ac:dyDescent="0.3">
      <c r="A6068" s="20"/>
    </row>
    <row r="6069" spans="1:1" x14ac:dyDescent="0.3">
      <c r="A6069" s="20"/>
    </row>
    <row r="6070" spans="1:1" x14ac:dyDescent="0.3">
      <c r="A6070" s="20"/>
    </row>
    <row r="6071" spans="1:1" x14ac:dyDescent="0.3">
      <c r="A6071" s="20"/>
    </row>
    <row r="6072" spans="1:1" x14ac:dyDescent="0.3">
      <c r="A6072" s="20"/>
    </row>
    <row r="6073" spans="1:1" x14ac:dyDescent="0.3">
      <c r="A6073" s="20"/>
    </row>
    <row r="6074" spans="1:1" x14ac:dyDescent="0.3">
      <c r="A6074" s="20"/>
    </row>
    <row r="6075" spans="1:1" x14ac:dyDescent="0.3">
      <c r="A6075" s="20"/>
    </row>
    <row r="6076" spans="1:1" x14ac:dyDescent="0.3">
      <c r="A6076" s="20"/>
    </row>
    <row r="6077" spans="1:1" x14ac:dyDescent="0.3">
      <c r="A6077" s="20"/>
    </row>
    <row r="6078" spans="1:1" x14ac:dyDescent="0.3">
      <c r="A6078" s="20"/>
    </row>
    <row r="6079" spans="1:1" x14ac:dyDescent="0.3">
      <c r="A6079" s="20"/>
    </row>
    <row r="6080" spans="1:1" x14ac:dyDescent="0.3">
      <c r="A6080" s="20"/>
    </row>
    <row r="6081" spans="1:1" x14ac:dyDescent="0.3">
      <c r="A6081" s="20"/>
    </row>
    <row r="6082" spans="1:1" x14ac:dyDescent="0.3">
      <c r="A6082" s="20"/>
    </row>
    <row r="6083" spans="1:1" x14ac:dyDescent="0.3">
      <c r="A6083" s="20"/>
    </row>
    <row r="6084" spans="1:1" x14ac:dyDescent="0.3">
      <c r="A6084" s="20"/>
    </row>
    <row r="6085" spans="1:1" x14ac:dyDescent="0.3">
      <c r="A6085" s="20"/>
    </row>
    <row r="6086" spans="1:1" x14ac:dyDescent="0.3">
      <c r="A6086" s="20"/>
    </row>
    <row r="6087" spans="1:1" x14ac:dyDescent="0.3">
      <c r="A6087" s="20"/>
    </row>
    <row r="6088" spans="1:1" x14ac:dyDescent="0.3">
      <c r="A6088" s="20"/>
    </row>
    <row r="6089" spans="1:1" x14ac:dyDescent="0.3">
      <c r="A6089" s="20"/>
    </row>
    <row r="6090" spans="1:1" x14ac:dyDescent="0.3">
      <c r="A6090" s="20"/>
    </row>
    <row r="6091" spans="1:1" x14ac:dyDescent="0.3">
      <c r="A6091" s="20"/>
    </row>
    <row r="6092" spans="1:1" x14ac:dyDescent="0.3">
      <c r="A6092" s="20"/>
    </row>
    <row r="6093" spans="1:1" x14ac:dyDescent="0.3">
      <c r="A6093" s="20"/>
    </row>
    <row r="6094" spans="1:1" x14ac:dyDescent="0.3">
      <c r="A6094" s="20"/>
    </row>
    <row r="6095" spans="1:1" x14ac:dyDescent="0.3">
      <c r="A6095" s="20"/>
    </row>
    <row r="6096" spans="1:1" x14ac:dyDescent="0.3">
      <c r="A6096" s="20"/>
    </row>
    <row r="6097" spans="1:1" x14ac:dyDescent="0.3">
      <c r="A6097" s="20"/>
    </row>
    <row r="6098" spans="1:1" x14ac:dyDescent="0.3">
      <c r="A6098" s="20"/>
    </row>
    <row r="6099" spans="1:1" x14ac:dyDescent="0.3">
      <c r="A6099" s="20"/>
    </row>
    <row r="6100" spans="1:1" x14ac:dyDescent="0.3">
      <c r="A6100" s="20"/>
    </row>
    <row r="6101" spans="1:1" x14ac:dyDescent="0.3">
      <c r="A6101" s="20"/>
    </row>
    <row r="6102" spans="1:1" x14ac:dyDescent="0.3">
      <c r="A6102" s="20"/>
    </row>
    <row r="6103" spans="1:1" x14ac:dyDescent="0.3">
      <c r="A6103" s="20"/>
    </row>
    <row r="6104" spans="1:1" x14ac:dyDescent="0.3">
      <c r="A6104" s="20"/>
    </row>
    <row r="6105" spans="1:1" x14ac:dyDescent="0.3">
      <c r="A6105" s="20"/>
    </row>
    <row r="6106" spans="1:1" x14ac:dyDescent="0.3">
      <c r="A6106" s="20"/>
    </row>
    <row r="6107" spans="1:1" x14ac:dyDescent="0.3">
      <c r="A6107" s="20"/>
    </row>
    <row r="6108" spans="1:1" x14ac:dyDescent="0.3">
      <c r="A6108" s="20"/>
    </row>
    <row r="6109" spans="1:1" x14ac:dyDescent="0.3">
      <c r="A6109" s="20"/>
    </row>
    <row r="6110" spans="1:1" x14ac:dyDescent="0.3">
      <c r="A6110" s="20"/>
    </row>
    <row r="6111" spans="1:1" x14ac:dyDescent="0.3">
      <c r="A6111" s="20"/>
    </row>
    <row r="6112" spans="1:1" x14ac:dyDescent="0.3">
      <c r="A6112" s="20"/>
    </row>
    <row r="6113" spans="1:1" x14ac:dyDescent="0.3">
      <c r="A6113" s="20"/>
    </row>
    <row r="6114" spans="1:1" x14ac:dyDescent="0.3">
      <c r="A6114" s="20"/>
    </row>
    <row r="6115" spans="1:1" x14ac:dyDescent="0.3">
      <c r="A6115" s="20"/>
    </row>
    <row r="6116" spans="1:1" x14ac:dyDescent="0.3">
      <c r="A6116" s="20"/>
    </row>
    <row r="6117" spans="1:1" x14ac:dyDescent="0.3">
      <c r="A6117" s="20"/>
    </row>
    <row r="6118" spans="1:1" x14ac:dyDescent="0.3">
      <c r="A6118" s="20"/>
    </row>
    <row r="6119" spans="1:1" x14ac:dyDescent="0.3">
      <c r="A6119" s="20"/>
    </row>
    <row r="6120" spans="1:1" x14ac:dyDescent="0.3">
      <c r="A6120" s="20"/>
    </row>
    <row r="6121" spans="1:1" x14ac:dyDescent="0.3">
      <c r="A6121" s="20"/>
    </row>
    <row r="6122" spans="1:1" x14ac:dyDescent="0.3">
      <c r="A6122" s="20"/>
    </row>
    <row r="6123" spans="1:1" x14ac:dyDescent="0.3">
      <c r="A6123" s="20"/>
    </row>
    <row r="6124" spans="1:1" x14ac:dyDescent="0.3">
      <c r="A6124" s="20"/>
    </row>
    <row r="6125" spans="1:1" x14ac:dyDescent="0.3">
      <c r="A6125" s="20"/>
    </row>
    <row r="6126" spans="1:1" x14ac:dyDescent="0.3">
      <c r="A6126" s="20"/>
    </row>
    <row r="6127" spans="1:1" x14ac:dyDescent="0.3">
      <c r="A6127" s="20"/>
    </row>
    <row r="6128" spans="1:1" x14ac:dyDescent="0.3">
      <c r="A6128" s="20"/>
    </row>
    <row r="6129" spans="1:1" x14ac:dyDescent="0.3">
      <c r="A6129" s="20"/>
    </row>
    <row r="6130" spans="1:1" x14ac:dyDescent="0.3">
      <c r="A6130" s="20"/>
    </row>
    <row r="6131" spans="1:1" x14ac:dyDescent="0.3">
      <c r="A6131" s="20"/>
    </row>
    <row r="6132" spans="1:1" x14ac:dyDescent="0.3">
      <c r="A6132" s="20"/>
    </row>
    <row r="6133" spans="1:1" x14ac:dyDescent="0.3">
      <c r="A6133" s="20"/>
    </row>
    <row r="6134" spans="1:1" x14ac:dyDescent="0.3">
      <c r="A6134" s="20"/>
    </row>
    <row r="6135" spans="1:1" x14ac:dyDescent="0.3">
      <c r="A6135" s="20"/>
    </row>
    <row r="6136" spans="1:1" x14ac:dyDescent="0.3">
      <c r="A6136" s="20"/>
    </row>
    <row r="6137" spans="1:1" x14ac:dyDescent="0.3">
      <c r="A6137" s="20"/>
    </row>
    <row r="6138" spans="1:1" x14ac:dyDescent="0.3">
      <c r="A6138" s="20"/>
    </row>
    <row r="6139" spans="1:1" x14ac:dyDescent="0.3">
      <c r="A6139" s="20"/>
    </row>
    <row r="6140" spans="1:1" x14ac:dyDescent="0.3">
      <c r="A6140" s="20"/>
    </row>
    <row r="6141" spans="1:1" x14ac:dyDescent="0.3">
      <c r="A6141" s="20"/>
    </row>
    <row r="6142" spans="1:1" x14ac:dyDescent="0.3">
      <c r="A6142" s="20"/>
    </row>
    <row r="6143" spans="1:1" x14ac:dyDescent="0.3">
      <c r="A6143" s="20"/>
    </row>
    <row r="6144" spans="1:1" x14ac:dyDescent="0.3">
      <c r="A6144" s="20"/>
    </row>
    <row r="6145" spans="1:1" x14ac:dyDescent="0.3">
      <c r="A6145" s="20"/>
    </row>
    <row r="6146" spans="1:1" x14ac:dyDescent="0.3">
      <c r="A6146" s="20"/>
    </row>
    <row r="6147" spans="1:1" x14ac:dyDescent="0.3">
      <c r="A6147" s="20"/>
    </row>
    <row r="6148" spans="1:1" x14ac:dyDescent="0.3">
      <c r="A6148" s="20"/>
    </row>
    <row r="6149" spans="1:1" x14ac:dyDescent="0.3">
      <c r="A6149" s="20"/>
    </row>
    <row r="6150" spans="1:1" x14ac:dyDescent="0.3">
      <c r="A6150" s="20"/>
    </row>
    <row r="6151" spans="1:1" x14ac:dyDescent="0.3">
      <c r="A6151" s="20"/>
    </row>
    <row r="6152" spans="1:1" x14ac:dyDescent="0.3">
      <c r="A6152" s="20"/>
    </row>
    <row r="6153" spans="1:1" x14ac:dyDescent="0.3">
      <c r="A6153" s="20"/>
    </row>
    <row r="6154" spans="1:1" x14ac:dyDescent="0.3">
      <c r="A6154" s="20"/>
    </row>
    <row r="6155" spans="1:1" x14ac:dyDescent="0.3">
      <c r="A6155" s="20"/>
    </row>
    <row r="6156" spans="1:1" x14ac:dyDescent="0.3">
      <c r="A6156" s="20"/>
    </row>
    <row r="6157" spans="1:1" x14ac:dyDescent="0.3">
      <c r="A6157" s="20"/>
    </row>
    <row r="6158" spans="1:1" x14ac:dyDescent="0.3">
      <c r="A6158" s="20"/>
    </row>
    <row r="6159" spans="1:1" x14ac:dyDescent="0.3">
      <c r="A6159" s="20"/>
    </row>
    <row r="6160" spans="1:1" x14ac:dyDescent="0.3">
      <c r="A6160" s="20"/>
    </row>
    <row r="6161" spans="1:1" x14ac:dyDescent="0.3">
      <c r="A6161" s="20"/>
    </row>
    <row r="6162" spans="1:1" x14ac:dyDescent="0.3">
      <c r="A6162" s="20"/>
    </row>
    <row r="6163" spans="1:1" x14ac:dyDescent="0.3">
      <c r="A6163" s="20"/>
    </row>
    <row r="6164" spans="1:1" x14ac:dyDescent="0.3">
      <c r="A6164" s="20"/>
    </row>
    <row r="6165" spans="1:1" x14ac:dyDescent="0.3">
      <c r="A6165" s="20"/>
    </row>
    <row r="6166" spans="1:1" x14ac:dyDescent="0.3">
      <c r="A6166" s="20"/>
    </row>
    <row r="6167" spans="1:1" x14ac:dyDescent="0.3">
      <c r="A6167" s="20"/>
    </row>
    <row r="6168" spans="1:1" x14ac:dyDescent="0.3">
      <c r="A6168" s="20"/>
    </row>
    <row r="6169" spans="1:1" x14ac:dyDescent="0.3">
      <c r="A6169" s="20"/>
    </row>
    <row r="6170" spans="1:1" x14ac:dyDescent="0.3">
      <c r="A6170" s="20"/>
    </row>
    <row r="6171" spans="1:1" x14ac:dyDescent="0.3">
      <c r="A6171" s="20"/>
    </row>
    <row r="6172" spans="1:1" x14ac:dyDescent="0.3">
      <c r="A6172" s="20"/>
    </row>
    <row r="6173" spans="1:1" x14ac:dyDescent="0.3">
      <c r="A6173" s="20"/>
    </row>
    <row r="6174" spans="1:1" x14ac:dyDescent="0.3">
      <c r="A6174" s="20"/>
    </row>
    <row r="6175" spans="1:1" x14ac:dyDescent="0.3">
      <c r="A6175" s="20"/>
    </row>
    <row r="6176" spans="1:1" x14ac:dyDescent="0.3">
      <c r="A6176" s="20"/>
    </row>
    <row r="6177" spans="1:1" x14ac:dyDescent="0.3">
      <c r="A6177" s="20"/>
    </row>
    <row r="6178" spans="1:1" x14ac:dyDescent="0.3">
      <c r="A6178" s="20"/>
    </row>
    <row r="6179" spans="1:1" x14ac:dyDescent="0.3">
      <c r="A6179" s="20"/>
    </row>
    <row r="6180" spans="1:1" x14ac:dyDescent="0.3">
      <c r="A6180" s="20"/>
    </row>
    <row r="6181" spans="1:1" x14ac:dyDescent="0.3">
      <c r="A6181" s="20"/>
    </row>
    <row r="6182" spans="1:1" x14ac:dyDescent="0.3">
      <c r="A6182" s="20"/>
    </row>
    <row r="6183" spans="1:1" x14ac:dyDescent="0.3">
      <c r="A6183" s="20"/>
    </row>
    <row r="6184" spans="1:1" x14ac:dyDescent="0.3">
      <c r="A6184" s="20"/>
    </row>
    <row r="6185" spans="1:1" x14ac:dyDescent="0.3">
      <c r="A6185" s="20"/>
    </row>
    <row r="6186" spans="1:1" x14ac:dyDescent="0.3">
      <c r="A6186" s="20"/>
    </row>
    <row r="6187" spans="1:1" x14ac:dyDescent="0.3">
      <c r="A6187" s="20"/>
    </row>
    <row r="6188" spans="1:1" x14ac:dyDescent="0.3">
      <c r="A6188" s="20"/>
    </row>
    <row r="6189" spans="1:1" x14ac:dyDescent="0.3">
      <c r="A6189" s="20"/>
    </row>
    <row r="6190" spans="1:1" x14ac:dyDescent="0.3">
      <c r="A6190" s="20"/>
    </row>
    <row r="6191" spans="1:1" x14ac:dyDescent="0.3">
      <c r="A6191" s="20"/>
    </row>
    <row r="6192" spans="1:1" x14ac:dyDescent="0.3">
      <c r="A6192" s="20"/>
    </row>
    <row r="6193" spans="1:1" x14ac:dyDescent="0.3">
      <c r="A6193" s="20"/>
    </row>
    <row r="6194" spans="1:1" x14ac:dyDescent="0.3">
      <c r="A6194" s="20"/>
    </row>
    <row r="6195" spans="1:1" x14ac:dyDescent="0.3">
      <c r="A6195" s="20"/>
    </row>
    <row r="6196" spans="1:1" x14ac:dyDescent="0.3">
      <c r="A6196" s="20"/>
    </row>
    <row r="6197" spans="1:1" x14ac:dyDescent="0.3">
      <c r="A6197" s="20"/>
    </row>
    <row r="6198" spans="1:1" x14ac:dyDescent="0.3">
      <c r="A6198" s="20"/>
    </row>
    <row r="6199" spans="1:1" x14ac:dyDescent="0.3">
      <c r="A6199" s="20"/>
    </row>
    <row r="6200" spans="1:1" x14ac:dyDescent="0.3">
      <c r="A6200" s="20"/>
    </row>
    <row r="6201" spans="1:1" x14ac:dyDescent="0.3">
      <c r="A6201" s="20"/>
    </row>
    <row r="6202" spans="1:1" x14ac:dyDescent="0.3">
      <c r="A6202" s="20"/>
    </row>
    <row r="6203" spans="1:1" x14ac:dyDescent="0.3">
      <c r="A6203" s="20"/>
    </row>
    <row r="6204" spans="1:1" x14ac:dyDescent="0.3">
      <c r="A6204" s="20"/>
    </row>
    <row r="6205" spans="1:1" x14ac:dyDescent="0.3">
      <c r="A6205" s="20"/>
    </row>
    <row r="6206" spans="1:1" x14ac:dyDescent="0.3">
      <c r="A6206" s="20"/>
    </row>
    <row r="6207" spans="1:1" x14ac:dyDescent="0.3">
      <c r="A6207" s="20"/>
    </row>
    <row r="6208" spans="1:1" x14ac:dyDescent="0.3">
      <c r="A6208" s="20"/>
    </row>
    <row r="6209" spans="1:1" x14ac:dyDescent="0.3">
      <c r="A6209" s="20"/>
    </row>
    <row r="6210" spans="1:1" x14ac:dyDescent="0.3">
      <c r="A6210" s="20"/>
    </row>
    <row r="6211" spans="1:1" x14ac:dyDescent="0.3">
      <c r="A6211" s="20"/>
    </row>
    <row r="6212" spans="1:1" x14ac:dyDescent="0.3">
      <c r="A6212" s="20"/>
    </row>
    <row r="6213" spans="1:1" x14ac:dyDescent="0.3">
      <c r="A6213" s="20"/>
    </row>
    <row r="6214" spans="1:1" x14ac:dyDescent="0.3">
      <c r="A6214" s="20"/>
    </row>
    <row r="6215" spans="1:1" x14ac:dyDescent="0.3">
      <c r="A6215" s="20"/>
    </row>
    <row r="6216" spans="1:1" x14ac:dyDescent="0.3">
      <c r="A6216" s="20"/>
    </row>
    <row r="6217" spans="1:1" x14ac:dyDescent="0.3">
      <c r="A6217" s="20"/>
    </row>
    <row r="6218" spans="1:1" x14ac:dyDescent="0.3">
      <c r="A6218" s="20"/>
    </row>
    <row r="6219" spans="1:1" x14ac:dyDescent="0.3">
      <c r="A6219" s="20"/>
    </row>
    <row r="6220" spans="1:1" x14ac:dyDescent="0.3">
      <c r="A6220" s="20"/>
    </row>
    <row r="6221" spans="1:1" x14ac:dyDescent="0.3">
      <c r="A6221" s="20"/>
    </row>
    <row r="6222" spans="1:1" x14ac:dyDescent="0.3">
      <c r="A6222" s="20"/>
    </row>
    <row r="6223" spans="1:1" x14ac:dyDescent="0.3">
      <c r="A6223" s="20"/>
    </row>
    <row r="6224" spans="1:1" x14ac:dyDescent="0.3">
      <c r="A6224" s="20"/>
    </row>
    <row r="6225" spans="1:1" x14ac:dyDescent="0.3">
      <c r="A6225" s="20"/>
    </row>
    <row r="6226" spans="1:1" x14ac:dyDescent="0.3">
      <c r="A6226" s="20"/>
    </row>
    <row r="6227" spans="1:1" x14ac:dyDescent="0.3">
      <c r="A6227" s="20"/>
    </row>
    <row r="6228" spans="1:1" x14ac:dyDescent="0.3">
      <c r="A6228" s="20"/>
    </row>
    <row r="6229" spans="1:1" x14ac:dyDescent="0.3">
      <c r="A6229" s="20"/>
    </row>
    <row r="6230" spans="1:1" x14ac:dyDescent="0.3">
      <c r="A6230" s="20"/>
    </row>
    <row r="6231" spans="1:1" x14ac:dyDescent="0.3">
      <c r="A6231" s="20"/>
    </row>
    <row r="6232" spans="1:1" x14ac:dyDescent="0.3">
      <c r="A6232" s="20"/>
    </row>
    <row r="6233" spans="1:1" x14ac:dyDescent="0.3">
      <c r="A6233" s="20"/>
    </row>
    <row r="6234" spans="1:1" x14ac:dyDescent="0.3">
      <c r="A6234" s="20"/>
    </row>
    <row r="6235" spans="1:1" x14ac:dyDescent="0.3">
      <c r="A6235" s="20"/>
    </row>
    <row r="6236" spans="1:1" x14ac:dyDescent="0.3">
      <c r="A6236" s="20"/>
    </row>
    <row r="6237" spans="1:1" x14ac:dyDescent="0.3">
      <c r="A6237" s="20"/>
    </row>
    <row r="6238" spans="1:1" x14ac:dyDescent="0.3">
      <c r="A6238" s="20"/>
    </row>
    <row r="6239" spans="1:1" x14ac:dyDescent="0.3">
      <c r="A6239" s="20"/>
    </row>
    <row r="6240" spans="1:1" x14ac:dyDescent="0.3">
      <c r="A6240" s="20"/>
    </row>
    <row r="6241" spans="1:1" x14ac:dyDescent="0.3">
      <c r="A6241" s="20"/>
    </row>
    <row r="6242" spans="1:1" x14ac:dyDescent="0.3">
      <c r="A6242" s="20"/>
    </row>
    <row r="6243" spans="1:1" x14ac:dyDescent="0.3">
      <c r="A6243" s="20"/>
    </row>
    <row r="6244" spans="1:1" x14ac:dyDescent="0.3">
      <c r="A6244" s="20"/>
    </row>
    <row r="6245" spans="1:1" x14ac:dyDescent="0.3">
      <c r="A6245" s="20"/>
    </row>
    <row r="6246" spans="1:1" x14ac:dyDescent="0.3">
      <c r="A6246" s="20"/>
    </row>
    <row r="6247" spans="1:1" x14ac:dyDescent="0.3">
      <c r="A6247" s="20"/>
    </row>
    <row r="6248" spans="1:1" x14ac:dyDescent="0.3">
      <c r="A6248" s="20"/>
    </row>
    <row r="6249" spans="1:1" x14ac:dyDescent="0.3">
      <c r="A6249" s="20"/>
    </row>
    <row r="6250" spans="1:1" x14ac:dyDescent="0.3">
      <c r="A6250" s="20"/>
    </row>
    <row r="6251" spans="1:1" x14ac:dyDescent="0.3">
      <c r="A6251" s="20"/>
    </row>
    <row r="6252" spans="1:1" x14ac:dyDescent="0.3">
      <c r="A6252" s="20"/>
    </row>
    <row r="6253" spans="1:1" x14ac:dyDescent="0.3">
      <c r="A6253" s="20"/>
    </row>
    <row r="6254" spans="1:1" x14ac:dyDescent="0.3">
      <c r="A6254" s="20"/>
    </row>
    <row r="6255" spans="1:1" x14ac:dyDescent="0.3">
      <c r="A6255" s="20"/>
    </row>
    <row r="6256" spans="1:1" x14ac:dyDescent="0.3">
      <c r="A6256" s="20"/>
    </row>
    <row r="6257" spans="1:1" x14ac:dyDescent="0.3">
      <c r="A6257" s="20"/>
    </row>
    <row r="6258" spans="1:1" x14ac:dyDescent="0.3">
      <c r="A6258" s="20"/>
    </row>
    <row r="6259" spans="1:1" x14ac:dyDescent="0.3">
      <c r="A6259" s="20"/>
    </row>
    <row r="6260" spans="1:1" x14ac:dyDescent="0.3">
      <c r="A6260" s="20"/>
    </row>
    <row r="6261" spans="1:1" x14ac:dyDescent="0.3">
      <c r="A6261" s="20"/>
    </row>
    <row r="6262" spans="1:1" x14ac:dyDescent="0.3">
      <c r="A6262" s="20"/>
    </row>
    <row r="6263" spans="1:1" x14ac:dyDescent="0.3">
      <c r="A6263" s="20"/>
    </row>
    <row r="6264" spans="1:1" x14ac:dyDescent="0.3">
      <c r="A6264" s="20"/>
    </row>
    <row r="6265" spans="1:1" x14ac:dyDescent="0.3">
      <c r="A6265" s="20"/>
    </row>
    <row r="6266" spans="1:1" x14ac:dyDescent="0.3">
      <c r="A6266" s="20"/>
    </row>
    <row r="6267" spans="1:1" x14ac:dyDescent="0.3">
      <c r="A6267" s="20"/>
    </row>
    <row r="6268" spans="1:1" x14ac:dyDescent="0.3">
      <c r="A6268" s="20"/>
    </row>
    <row r="6269" spans="1:1" x14ac:dyDescent="0.3">
      <c r="A6269" s="20"/>
    </row>
    <row r="6270" spans="1:1" x14ac:dyDescent="0.3">
      <c r="A6270" s="20"/>
    </row>
    <row r="6271" spans="1:1" x14ac:dyDescent="0.3">
      <c r="A6271" s="20"/>
    </row>
    <row r="6272" spans="1:1" x14ac:dyDescent="0.3">
      <c r="A6272" s="20"/>
    </row>
    <row r="6273" spans="1:1" x14ac:dyDescent="0.3">
      <c r="A6273" s="20"/>
    </row>
    <row r="6274" spans="1:1" x14ac:dyDescent="0.3">
      <c r="A6274" s="20"/>
    </row>
    <row r="6275" spans="1:1" x14ac:dyDescent="0.3">
      <c r="A6275" s="20"/>
    </row>
    <row r="6276" spans="1:1" x14ac:dyDescent="0.3">
      <c r="A6276" s="20"/>
    </row>
    <row r="6277" spans="1:1" x14ac:dyDescent="0.3">
      <c r="A6277" s="20"/>
    </row>
    <row r="6278" spans="1:1" x14ac:dyDescent="0.3">
      <c r="A6278" s="20"/>
    </row>
    <row r="6279" spans="1:1" x14ac:dyDescent="0.3">
      <c r="A6279" s="20"/>
    </row>
    <row r="6280" spans="1:1" x14ac:dyDescent="0.3">
      <c r="A6280" s="20"/>
    </row>
    <row r="6281" spans="1:1" x14ac:dyDescent="0.3">
      <c r="A6281" s="20"/>
    </row>
    <row r="6282" spans="1:1" x14ac:dyDescent="0.3">
      <c r="A6282" s="20"/>
    </row>
    <row r="6283" spans="1:1" x14ac:dyDescent="0.3">
      <c r="A6283" s="20"/>
    </row>
    <row r="6284" spans="1:1" x14ac:dyDescent="0.3">
      <c r="A6284" s="20"/>
    </row>
    <row r="6285" spans="1:1" x14ac:dyDescent="0.3">
      <c r="A6285" s="20"/>
    </row>
    <row r="6286" spans="1:1" x14ac:dyDescent="0.3">
      <c r="A6286" s="20"/>
    </row>
    <row r="6287" spans="1:1" x14ac:dyDescent="0.3">
      <c r="A6287" s="20"/>
    </row>
    <row r="6288" spans="1:1" x14ac:dyDescent="0.3">
      <c r="A6288" s="20"/>
    </row>
    <row r="6289" spans="1:1" x14ac:dyDescent="0.3">
      <c r="A6289" s="20"/>
    </row>
    <row r="6290" spans="1:1" x14ac:dyDescent="0.3">
      <c r="A6290" s="20"/>
    </row>
    <row r="6291" spans="1:1" x14ac:dyDescent="0.3">
      <c r="A6291" s="20"/>
    </row>
    <row r="6292" spans="1:1" x14ac:dyDescent="0.3">
      <c r="A6292" s="20"/>
    </row>
    <row r="6293" spans="1:1" x14ac:dyDescent="0.3">
      <c r="A6293" s="20"/>
    </row>
    <row r="6294" spans="1:1" x14ac:dyDescent="0.3">
      <c r="A6294" s="20"/>
    </row>
    <row r="6295" spans="1:1" x14ac:dyDescent="0.3">
      <c r="A6295" s="20"/>
    </row>
    <row r="6296" spans="1:1" x14ac:dyDescent="0.3">
      <c r="A6296" s="20"/>
    </row>
    <row r="6297" spans="1:1" x14ac:dyDescent="0.3">
      <c r="A6297" s="20"/>
    </row>
    <row r="6298" spans="1:1" x14ac:dyDescent="0.3">
      <c r="A6298" s="20"/>
    </row>
    <row r="6299" spans="1:1" x14ac:dyDescent="0.3">
      <c r="A6299" s="20"/>
    </row>
    <row r="6300" spans="1:1" x14ac:dyDescent="0.3">
      <c r="A6300" s="20"/>
    </row>
    <row r="6301" spans="1:1" x14ac:dyDescent="0.3">
      <c r="A6301" s="20"/>
    </row>
    <row r="6302" spans="1:1" x14ac:dyDescent="0.3">
      <c r="A6302" s="20"/>
    </row>
    <row r="6303" spans="1:1" x14ac:dyDescent="0.3">
      <c r="A6303" s="20"/>
    </row>
    <row r="6304" spans="1:1" x14ac:dyDescent="0.3">
      <c r="A6304" s="20"/>
    </row>
    <row r="6305" spans="1:1" x14ac:dyDescent="0.3">
      <c r="A6305" s="20"/>
    </row>
    <row r="6306" spans="1:1" x14ac:dyDescent="0.3">
      <c r="A6306" s="20"/>
    </row>
    <row r="6307" spans="1:1" x14ac:dyDescent="0.3">
      <c r="A6307" s="20"/>
    </row>
    <row r="6308" spans="1:1" x14ac:dyDescent="0.3">
      <c r="A6308" s="20"/>
    </row>
    <row r="6309" spans="1:1" x14ac:dyDescent="0.3">
      <c r="A6309" s="20"/>
    </row>
    <row r="6310" spans="1:1" x14ac:dyDescent="0.3">
      <c r="A6310" s="20"/>
    </row>
    <row r="6311" spans="1:1" x14ac:dyDescent="0.3">
      <c r="A6311" s="20"/>
    </row>
    <row r="6312" spans="1:1" x14ac:dyDescent="0.3">
      <c r="A6312" s="20"/>
    </row>
    <row r="6313" spans="1:1" x14ac:dyDescent="0.3">
      <c r="A6313" s="20"/>
    </row>
    <row r="6314" spans="1:1" x14ac:dyDescent="0.3">
      <c r="A6314" s="20"/>
    </row>
    <row r="6315" spans="1:1" x14ac:dyDescent="0.3">
      <c r="A6315" s="20"/>
    </row>
    <row r="6316" spans="1:1" x14ac:dyDescent="0.3">
      <c r="A6316" s="20"/>
    </row>
    <row r="6317" spans="1:1" x14ac:dyDescent="0.3">
      <c r="A6317" s="20"/>
    </row>
    <row r="6318" spans="1:1" x14ac:dyDescent="0.3">
      <c r="A6318" s="20"/>
    </row>
    <row r="6319" spans="1:1" x14ac:dyDescent="0.3">
      <c r="A6319" s="20"/>
    </row>
    <row r="6320" spans="1:1" x14ac:dyDescent="0.3">
      <c r="A6320" s="20"/>
    </row>
    <row r="6321" spans="1:1" x14ac:dyDescent="0.3">
      <c r="A6321" s="20"/>
    </row>
    <row r="6322" spans="1:1" x14ac:dyDescent="0.3">
      <c r="A6322" s="20"/>
    </row>
    <row r="6323" spans="1:1" x14ac:dyDescent="0.3">
      <c r="A6323" s="20"/>
    </row>
    <row r="6324" spans="1:1" x14ac:dyDescent="0.3">
      <c r="A6324" s="20"/>
    </row>
    <row r="6325" spans="1:1" x14ac:dyDescent="0.3">
      <c r="A6325" s="20"/>
    </row>
    <row r="6326" spans="1:1" x14ac:dyDescent="0.3">
      <c r="A6326" s="20"/>
    </row>
    <row r="6327" spans="1:1" x14ac:dyDescent="0.3">
      <c r="A6327" s="20"/>
    </row>
    <row r="6328" spans="1:1" x14ac:dyDescent="0.3">
      <c r="A6328" s="20"/>
    </row>
    <row r="6329" spans="1:1" x14ac:dyDescent="0.3">
      <c r="A6329" s="20"/>
    </row>
    <row r="6330" spans="1:1" x14ac:dyDescent="0.3">
      <c r="A6330" s="20"/>
    </row>
    <row r="6331" spans="1:1" x14ac:dyDescent="0.3">
      <c r="A6331" s="20"/>
    </row>
    <row r="6332" spans="1:1" x14ac:dyDescent="0.3">
      <c r="A6332" s="20"/>
    </row>
    <row r="6333" spans="1:1" x14ac:dyDescent="0.3">
      <c r="A6333" s="20"/>
    </row>
    <row r="6334" spans="1:1" x14ac:dyDescent="0.3">
      <c r="A6334" s="20"/>
    </row>
    <row r="6335" spans="1:1" x14ac:dyDescent="0.3">
      <c r="A6335" s="20"/>
    </row>
    <row r="6336" spans="1:1" x14ac:dyDescent="0.3">
      <c r="A6336" s="20"/>
    </row>
    <row r="6337" spans="1:1" x14ac:dyDescent="0.3">
      <c r="A6337" s="20"/>
    </row>
    <row r="6338" spans="1:1" x14ac:dyDescent="0.3">
      <c r="A6338" s="20"/>
    </row>
    <row r="6339" spans="1:1" x14ac:dyDescent="0.3">
      <c r="A6339" s="20"/>
    </row>
    <row r="6340" spans="1:1" x14ac:dyDescent="0.3">
      <c r="A6340" s="20"/>
    </row>
    <row r="6341" spans="1:1" x14ac:dyDescent="0.3">
      <c r="A6341" s="20"/>
    </row>
    <row r="6342" spans="1:1" x14ac:dyDescent="0.3">
      <c r="A6342" s="20"/>
    </row>
    <row r="6343" spans="1:1" x14ac:dyDescent="0.3">
      <c r="A6343" s="20"/>
    </row>
    <row r="6344" spans="1:1" x14ac:dyDescent="0.3">
      <c r="A6344" s="20"/>
    </row>
    <row r="6345" spans="1:1" x14ac:dyDescent="0.3">
      <c r="A6345" s="20"/>
    </row>
    <row r="6346" spans="1:1" x14ac:dyDescent="0.3">
      <c r="A6346" s="20"/>
    </row>
    <row r="6347" spans="1:1" x14ac:dyDescent="0.3">
      <c r="A6347" s="20"/>
    </row>
    <row r="6348" spans="1:1" x14ac:dyDescent="0.3">
      <c r="A6348" s="20"/>
    </row>
    <row r="6349" spans="1:1" x14ac:dyDescent="0.3">
      <c r="A6349" s="20"/>
    </row>
    <row r="6350" spans="1:1" x14ac:dyDescent="0.3">
      <c r="A6350" s="20"/>
    </row>
    <row r="6351" spans="1:1" x14ac:dyDescent="0.3">
      <c r="A6351" s="20"/>
    </row>
    <row r="6352" spans="1:1" x14ac:dyDescent="0.3">
      <c r="A6352" s="20"/>
    </row>
    <row r="6353" spans="1:1" x14ac:dyDescent="0.3">
      <c r="A6353" s="20"/>
    </row>
    <row r="6354" spans="1:1" x14ac:dyDescent="0.3">
      <c r="A6354" s="20"/>
    </row>
    <row r="6355" spans="1:1" x14ac:dyDescent="0.3">
      <c r="A6355" s="20"/>
    </row>
    <row r="6356" spans="1:1" x14ac:dyDescent="0.3">
      <c r="A6356" s="20"/>
    </row>
    <row r="6357" spans="1:1" x14ac:dyDescent="0.3">
      <c r="A6357" s="20"/>
    </row>
    <row r="6358" spans="1:1" x14ac:dyDescent="0.3">
      <c r="A6358" s="20"/>
    </row>
    <row r="6359" spans="1:1" x14ac:dyDescent="0.3">
      <c r="A6359" s="20"/>
    </row>
    <row r="6360" spans="1:1" x14ac:dyDescent="0.3">
      <c r="A6360" s="20"/>
    </row>
    <row r="6361" spans="1:1" x14ac:dyDescent="0.3">
      <c r="A6361" s="20"/>
    </row>
    <row r="6362" spans="1:1" x14ac:dyDescent="0.3">
      <c r="A6362" s="20"/>
    </row>
    <row r="6363" spans="1:1" x14ac:dyDescent="0.3">
      <c r="A6363" s="20"/>
    </row>
    <row r="6364" spans="1:1" x14ac:dyDescent="0.3">
      <c r="A6364" s="20"/>
    </row>
    <row r="6365" spans="1:1" x14ac:dyDescent="0.3">
      <c r="A6365" s="20"/>
    </row>
    <row r="6366" spans="1:1" x14ac:dyDescent="0.3">
      <c r="A6366" s="20"/>
    </row>
    <row r="6367" spans="1:1" x14ac:dyDescent="0.3">
      <c r="A6367" s="20"/>
    </row>
    <row r="6368" spans="1:1" x14ac:dyDescent="0.3">
      <c r="A6368" s="20"/>
    </row>
    <row r="6369" spans="1:1" x14ac:dyDescent="0.3">
      <c r="A6369" s="20"/>
    </row>
    <row r="6370" spans="1:1" x14ac:dyDescent="0.3">
      <c r="A6370" s="20"/>
    </row>
    <row r="6371" spans="1:1" x14ac:dyDescent="0.3">
      <c r="A6371" s="20"/>
    </row>
    <row r="6372" spans="1:1" x14ac:dyDescent="0.3">
      <c r="A6372" s="20"/>
    </row>
    <row r="6373" spans="1:1" x14ac:dyDescent="0.3">
      <c r="A6373" s="20"/>
    </row>
    <row r="6374" spans="1:1" x14ac:dyDescent="0.3">
      <c r="A6374" s="20"/>
    </row>
    <row r="6375" spans="1:1" x14ac:dyDescent="0.3">
      <c r="A6375" s="20"/>
    </row>
    <row r="6376" spans="1:1" x14ac:dyDescent="0.3">
      <c r="A6376" s="20"/>
    </row>
    <row r="6377" spans="1:1" x14ac:dyDescent="0.3">
      <c r="A6377" s="20"/>
    </row>
    <row r="6378" spans="1:1" x14ac:dyDescent="0.3">
      <c r="A6378" s="20"/>
    </row>
    <row r="6379" spans="1:1" x14ac:dyDescent="0.3">
      <c r="A6379" s="20"/>
    </row>
    <row r="6380" spans="1:1" x14ac:dyDescent="0.3">
      <c r="A6380" s="20"/>
    </row>
    <row r="6381" spans="1:1" x14ac:dyDescent="0.3">
      <c r="A6381" s="20"/>
    </row>
    <row r="6382" spans="1:1" x14ac:dyDescent="0.3">
      <c r="A6382" s="20"/>
    </row>
    <row r="6383" spans="1:1" x14ac:dyDescent="0.3">
      <c r="A6383" s="20"/>
    </row>
    <row r="6384" spans="1:1" x14ac:dyDescent="0.3">
      <c r="A6384" s="20"/>
    </row>
    <row r="6385" spans="1:1" x14ac:dyDescent="0.3">
      <c r="A6385" s="20"/>
    </row>
    <row r="6386" spans="1:1" x14ac:dyDescent="0.3">
      <c r="A6386" s="20"/>
    </row>
    <row r="6387" spans="1:1" x14ac:dyDescent="0.3">
      <c r="A6387" s="20"/>
    </row>
    <row r="6388" spans="1:1" x14ac:dyDescent="0.3">
      <c r="A6388" s="20"/>
    </row>
    <row r="6389" spans="1:1" x14ac:dyDescent="0.3">
      <c r="A6389" s="20"/>
    </row>
    <row r="6390" spans="1:1" x14ac:dyDescent="0.3">
      <c r="A6390" s="20"/>
    </row>
    <row r="6391" spans="1:1" x14ac:dyDescent="0.3">
      <c r="A6391" s="20"/>
    </row>
    <row r="6392" spans="1:1" x14ac:dyDescent="0.3">
      <c r="A6392" s="20"/>
    </row>
    <row r="6393" spans="1:1" x14ac:dyDescent="0.3">
      <c r="A6393" s="20"/>
    </row>
    <row r="6394" spans="1:1" x14ac:dyDescent="0.3">
      <c r="A6394" s="20"/>
    </row>
    <row r="6395" spans="1:1" x14ac:dyDescent="0.3">
      <c r="A6395" s="20"/>
    </row>
    <row r="6396" spans="1:1" x14ac:dyDescent="0.3">
      <c r="A6396" s="20"/>
    </row>
    <row r="6397" spans="1:1" x14ac:dyDescent="0.3">
      <c r="A6397" s="20"/>
    </row>
    <row r="6398" spans="1:1" x14ac:dyDescent="0.3">
      <c r="A6398" s="20"/>
    </row>
    <row r="6399" spans="1:1" x14ac:dyDescent="0.3">
      <c r="A6399" s="20"/>
    </row>
    <row r="6400" spans="1:1" x14ac:dyDescent="0.3">
      <c r="A6400" s="20"/>
    </row>
    <row r="6401" spans="1:1" x14ac:dyDescent="0.3">
      <c r="A6401" s="20"/>
    </row>
    <row r="6402" spans="1:1" x14ac:dyDescent="0.3">
      <c r="A6402" s="20"/>
    </row>
    <row r="6403" spans="1:1" x14ac:dyDescent="0.3">
      <c r="A6403" s="20"/>
    </row>
    <row r="6404" spans="1:1" x14ac:dyDescent="0.3">
      <c r="A6404" s="20"/>
    </row>
    <row r="6405" spans="1:1" x14ac:dyDescent="0.3">
      <c r="A6405" s="20"/>
    </row>
    <row r="6406" spans="1:1" x14ac:dyDescent="0.3">
      <c r="A6406" s="20"/>
    </row>
    <row r="6407" spans="1:1" x14ac:dyDescent="0.3">
      <c r="A6407" s="20"/>
    </row>
    <row r="6408" spans="1:1" x14ac:dyDescent="0.3">
      <c r="A6408" s="20"/>
    </row>
    <row r="6409" spans="1:1" x14ac:dyDescent="0.3">
      <c r="A6409" s="20"/>
    </row>
    <row r="6410" spans="1:1" x14ac:dyDescent="0.3">
      <c r="A6410" s="20"/>
    </row>
    <row r="6411" spans="1:1" x14ac:dyDescent="0.3">
      <c r="A6411" s="20"/>
    </row>
    <row r="6412" spans="1:1" x14ac:dyDescent="0.3">
      <c r="A6412" s="20"/>
    </row>
    <row r="6413" spans="1:1" x14ac:dyDescent="0.3">
      <c r="A6413" s="20"/>
    </row>
    <row r="6414" spans="1:1" x14ac:dyDescent="0.3">
      <c r="A6414" s="20"/>
    </row>
    <row r="6415" spans="1:1" x14ac:dyDescent="0.3">
      <c r="A6415" s="20"/>
    </row>
    <row r="6416" spans="1:1" x14ac:dyDescent="0.3">
      <c r="A6416" s="20"/>
    </row>
    <row r="6417" spans="1:1" x14ac:dyDescent="0.3">
      <c r="A6417" s="20"/>
    </row>
    <row r="6418" spans="1:1" x14ac:dyDescent="0.3">
      <c r="A6418" s="20"/>
    </row>
    <row r="6419" spans="1:1" x14ac:dyDescent="0.3">
      <c r="A6419" s="20"/>
    </row>
    <row r="6420" spans="1:1" x14ac:dyDescent="0.3">
      <c r="A6420" s="20"/>
    </row>
    <row r="6421" spans="1:1" x14ac:dyDescent="0.3">
      <c r="A6421" s="20"/>
    </row>
    <row r="6422" spans="1:1" x14ac:dyDescent="0.3">
      <c r="A6422" s="20"/>
    </row>
    <row r="6423" spans="1:1" x14ac:dyDescent="0.3">
      <c r="A6423" s="20"/>
    </row>
    <row r="6424" spans="1:1" x14ac:dyDescent="0.3">
      <c r="A6424" s="20"/>
    </row>
    <row r="6425" spans="1:1" x14ac:dyDescent="0.3">
      <c r="A6425" s="20"/>
    </row>
    <row r="6426" spans="1:1" x14ac:dyDescent="0.3">
      <c r="A6426" s="20"/>
    </row>
    <row r="6427" spans="1:1" x14ac:dyDescent="0.3">
      <c r="A6427" s="20"/>
    </row>
    <row r="6428" spans="1:1" x14ac:dyDescent="0.3">
      <c r="A6428" s="20"/>
    </row>
    <row r="6429" spans="1:1" x14ac:dyDescent="0.3">
      <c r="A6429" s="20"/>
    </row>
    <row r="6430" spans="1:1" x14ac:dyDescent="0.3">
      <c r="A6430" s="20"/>
    </row>
    <row r="6431" spans="1:1" x14ac:dyDescent="0.3">
      <c r="A6431" s="20"/>
    </row>
    <row r="6432" spans="1:1" x14ac:dyDescent="0.3">
      <c r="A6432" s="20"/>
    </row>
    <row r="6433" spans="1:1" x14ac:dyDescent="0.3">
      <c r="A6433" s="20"/>
    </row>
    <row r="6434" spans="1:1" x14ac:dyDescent="0.3">
      <c r="A6434" s="20"/>
    </row>
    <row r="6435" spans="1:1" x14ac:dyDescent="0.3">
      <c r="A6435" s="20"/>
    </row>
    <row r="6436" spans="1:1" x14ac:dyDescent="0.3">
      <c r="A6436" s="20"/>
    </row>
    <row r="6437" spans="1:1" x14ac:dyDescent="0.3">
      <c r="A6437" s="20"/>
    </row>
    <row r="6438" spans="1:1" x14ac:dyDescent="0.3">
      <c r="A6438" s="20"/>
    </row>
    <row r="6439" spans="1:1" x14ac:dyDescent="0.3">
      <c r="A6439" s="20"/>
    </row>
    <row r="6440" spans="1:1" x14ac:dyDescent="0.3">
      <c r="A6440" s="20"/>
    </row>
    <row r="6441" spans="1:1" x14ac:dyDescent="0.3">
      <c r="A6441" s="20"/>
    </row>
    <row r="6442" spans="1:1" x14ac:dyDescent="0.3">
      <c r="A6442" s="20"/>
    </row>
    <row r="6443" spans="1:1" x14ac:dyDescent="0.3">
      <c r="A6443" s="20"/>
    </row>
    <row r="6444" spans="1:1" x14ac:dyDescent="0.3">
      <c r="A6444" s="20"/>
    </row>
    <row r="6445" spans="1:1" x14ac:dyDescent="0.3">
      <c r="A6445" s="20"/>
    </row>
    <row r="6446" spans="1:1" x14ac:dyDescent="0.3">
      <c r="A6446" s="20"/>
    </row>
    <row r="6447" spans="1:1" x14ac:dyDescent="0.3">
      <c r="A6447" s="20"/>
    </row>
    <row r="6448" spans="1:1" x14ac:dyDescent="0.3">
      <c r="A6448" s="20"/>
    </row>
    <row r="6449" spans="1:1" x14ac:dyDescent="0.3">
      <c r="A6449" s="20"/>
    </row>
    <row r="6450" spans="1:1" x14ac:dyDescent="0.3">
      <c r="A6450" s="20"/>
    </row>
    <row r="6451" spans="1:1" x14ac:dyDescent="0.3">
      <c r="A6451" s="20"/>
    </row>
    <row r="6452" spans="1:1" x14ac:dyDescent="0.3">
      <c r="A6452" s="20"/>
    </row>
    <row r="6453" spans="1:1" x14ac:dyDescent="0.3">
      <c r="A6453" s="20"/>
    </row>
    <row r="6454" spans="1:1" x14ac:dyDescent="0.3">
      <c r="A6454" s="20"/>
    </row>
    <row r="6455" spans="1:1" x14ac:dyDescent="0.3">
      <c r="A6455" s="20"/>
    </row>
    <row r="6456" spans="1:1" x14ac:dyDescent="0.3">
      <c r="A6456" s="20"/>
    </row>
    <row r="6457" spans="1:1" x14ac:dyDescent="0.3">
      <c r="A6457" s="20"/>
    </row>
    <row r="6458" spans="1:1" x14ac:dyDescent="0.3">
      <c r="A6458" s="20"/>
    </row>
    <row r="6459" spans="1:1" x14ac:dyDescent="0.3">
      <c r="A6459" s="20"/>
    </row>
    <row r="6460" spans="1:1" x14ac:dyDescent="0.3">
      <c r="A6460" s="20"/>
    </row>
    <row r="6461" spans="1:1" x14ac:dyDescent="0.3">
      <c r="A6461" s="20"/>
    </row>
    <row r="6462" spans="1:1" x14ac:dyDescent="0.3">
      <c r="A6462" s="20"/>
    </row>
    <row r="6463" spans="1:1" x14ac:dyDescent="0.3">
      <c r="A6463" s="20"/>
    </row>
    <row r="6464" spans="1:1" x14ac:dyDescent="0.3">
      <c r="A6464" s="20"/>
    </row>
    <row r="6465" spans="1:1" x14ac:dyDescent="0.3">
      <c r="A6465" s="20"/>
    </row>
    <row r="6466" spans="1:1" x14ac:dyDescent="0.3">
      <c r="A6466" s="20"/>
    </row>
    <row r="6467" spans="1:1" x14ac:dyDescent="0.3">
      <c r="A6467" s="20"/>
    </row>
    <row r="6468" spans="1:1" x14ac:dyDescent="0.3">
      <c r="A6468" s="20"/>
    </row>
    <row r="6469" spans="1:1" x14ac:dyDescent="0.3">
      <c r="A6469" s="20"/>
    </row>
    <row r="6470" spans="1:1" x14ac:dyDescent="0.3">
      <c r="A6470" s="20"/>
    </row>
    <row r="6471" spans="1:1" x14ac:dyDescent="0.3">
      <c r="A6471" s="20"/>
    </row>
    <row r="6472" spans="1:1" x14ac:dyDescent="0.3">
      <c r="A6472" s="20"/>
    </row>
    <row r="6473" spans="1:1" x14ac:dyDescent="0.3">
      <c r="A6473" s="20"/>
    </row>
    <row r="6474" spans="1:1" x14ac:dyDescent="0.3">
      <c r="A6474" s="20"/>
    </row>
    <row r="6475" spans="1:1" x14ac:dyDescent="0.3">
      <c r="A6475" s="20"/>
    </row>
    <row r="6476" spans="1:1" x14ac:dyDescent="0.3">
      <c r="A6476" s="20"/>
    </row>
    <row r="6477" spans="1:1" x14ac:dyDescent="0.3">
      <c r="A6477" s="20"/>
    </row>
    <row r="6478" spans="1:1" x14ac:dyDescent="0.3">
      <c r="A6478" s="20"/>
    </row>
    <row r="6479" spans="1:1" x14ac:dyDescent="0.3">
      <c r="A6479" s="20"/>
    </row>
    <row r="6480" spans="1:1" x14ac:dyDescent="0.3">
      <c r="A6480" s="20"/>
    </row>
    <row r="6481" spans="1:1" x14ac:dyDescent="0.3">
      <c r="A6481" s="20"/>
    </row>
    <row r="6482" spans="1:1" x14ac:dyDescent="0.3">
      <c r="A6482" s="20"/>
    </row>
    <row r="6483" spans="1:1" x14ac:dyDescent="0.3">
      <c r="A6483" s="20"/>
    </row>
    <row r="6484" spans="1:1" x14ac:dyDescent="0.3">
      <c r="A6484" s="20"/>
    </row>
    <row r="6485" spans="1:1" x14ac:dyDescent="0.3">
      <c r="A6485" s="20"/>
    </row>
    <row r="6486" spans="1:1" x14ac:dyDescent="0.3">
      <c r="A6486" s="20"/>
    </row>
    <row r="6487" spans="1:1" x14ac:dyDescent="0.3">
      <c r="A6487" s="20"/>
    </row>
    <row r="6488" spans="1:1" x14ac:dyDescent="0.3">
      <c r="A6488" s="20"/>
    </row>
    <row r="6489" spans="1:1" x14ac:dyDescent="0.3">
      <c r="A6489" s="20"/>
    </row>
    <row r="6490" spans="1:1" x14ac:dyDescent="0.3">
      <c r="A6490" s="20"/>
    </row>
    <row r="6491" spans="1:1" x14ac:dyDescent="0.3">
      <c r="A6491" s="20"/>
    </row>
    <row r="6492" spans="1:1" x14ac:dyDescent="0.3">
      <c r="A6492" s="20"/>
    </row>
    <row r="6493" spans="1:1" x14ac:dyDescent="0.3">
      <c r="A6493" s="20"/>
    </row>
    <row r="6494" spans="1:1" x14ac:dyDescent="0.3">
      <c r="A6494" s="20"/>
    </row>
    <row r="6495" spans="1:1" x14ac:dyDescent="0.3">
      <c r="A6495" s="20"/>
    </row>
    <row r="6496" spans="1:1" x14ac:dyDescent="0.3">
      <c r="A6496" s="20"/>
    </row>
    <row r="6497" spans="1:1" x14ac:dyDescent="0.3">
      <c r="A6497" s="20"/>
    </row>
    <row r="6498" spans="1:1" x14ac:dyDescent="0.3">
      <c r="A6498" s="20"/>
    </row>
    <row r="6499" spans="1:1" x14ac:dyDescent="0.3">
      <c r="A6499" s="20"/>
    </row>
    <row r="6500" spans="1:1" x14ac:dyDescent="0.3">
      <c r="A6500" s="20"/>
    </row>
    <row r="6501" spans="1:1" x14ac:dyDescent="0.3">
      <c r="A6501" s="20"/>
    </row>
    <row r="6502" spans="1:1" x14ac:dyDescent="0.3">
      <c r="A6502" s="20"/>
    </row>
    <row r="6503" spans="1:1" x14ac:dyDescent="0.3">
      <c r="A6503" s="20"/>
    </row>
    <row r="6504" spans="1:1" x14ac:dyDescent="0.3">
      <c r="A6504" s="20"/>
    </row>
    <row r="6505" spans="1:1" x14ac:dyDescent="0.3">
      <c r="A6505" s="20"/>
    </row>
    <row r="6506" spans="1:1" x14ac:dyDescent="0.3">
      <c r="A6506" s="20"/>
    </row>
    <row r="6507" spans="1:1" x14ac:dyDescent="0.3">
      <c r="A6507" s="20"/>
    </row>
    <row r="6508" spans="1:1" x14ac:dyDescent="0.3">
      <c r="A6508" s="20"/>
    </row>
    <row r="6509" spans="1:1" x14ac:dyDescent="0.3">
      <c r="A6509" s="20"/>
    </row>
    <row r="6510" spans="1:1" x14ac:dyDescent="0.3">
      <c r="A6510" s="20"/>
    </row>
    <row r="6511" spans="1:1" x14ac:dyDescent="0.3">
      <c r="A6511" s="20"/>
    </row>
    <row r="6512" spans="1:1" x14ac:dyDescent="0.3">
      <c r="A6512" s="20"/>
    </row>
    <row r="6513" spans="1:1" x14ac:dyDescent="0.3">
      <c r="A6513" s="20"/>
    </row>
    <row r="6514" spans="1:1" x14ac:dyDescent="0.3">
      <c r="A6514" s="20"/>
    </row>
    <row r="6515" spans="1:1" x14ac:dyDescent="0.3">
      <c r="A6515" s="20"/>
    </row>
    <row r="6516" spans="1:1" x14ac:dyDescent="0.3">
      <c r="A6516" s="20"/>
    </row>
    <row r="6517" spans="1:1" x14ac:dyDescent="0.3">
      <c r="A6517" s="20"/>
    </row>
    <row r="6518" spans="1:1" x14ac:dyDescent="0.3">
      <c r="A6518" s="20"/>
    </row>
    <row r="6519" spans="1:1" x14ac:dyDescent="0.3">
      <c r="A6519" s="20"/>
    </row>
    <row r="6520" spans="1:1" x14ac:dyDescent="0.3">
      <c r="A6520" s="20"/>
    </row>
    <row r="6521" spans="1:1" x14ac:dyDescent="0.3">
      <c r="A6521" s="20"/>
    </row>
    <row r="6522" spans="1:1" x14ac:dyDescent="0.3">
      <c r="A6522" s="20"/>
    </row>
    <row r="6523" spans="1:1" x14ac:dyDescent="0.3">
      <c r="A6523" s="20"/>
    </row>
    <row r="6524" spans="1:1" x14ac:dyDescent="0.3">
      <c r="A6524" s="20"/>
    </row>
    <row r="6525" spans="1:1" x14ac:dyDescent="0.3">
      <c r="A6525" s="20"/>
    </row>
    <row r="6526" spans="1:1" x14ac:dyDescent="0.3">
      <c r="A6526" s="20"/>
    </row>
    <row r="6527" spans="1:1" x14ac:dyDescent="0.3">
      <c r="A6527" s="20"/>
    </row>
    <row r="6528" spans="1:1" x14ac:dyDescent="0.3">
      <c r="A6528" s="20"/>
    </row>
    <row r="6529" spans="1:1" x14ac:dyDescent="0.3">
      <c r="A6529" s="20"/>
    </row>
    <row r="6530" spans="1:1" x14ac:dyDescent="0.3">
      <c r="A6530" s="20"/>
    </row>
    <row r="6531" spans="1:1" x14ac:dyDescent="0.3">
      <c r="A6531" s="20"/>
    </row>
    <row r="6532" spans="1:1" x14ac:dyDescent="0.3">
      <c r="A6532" s="20"/>
    </row>
    <row r="6533" spans="1:1" x14ac:dyDescent="0.3">
      <c r="A6533" s="20"/>
    </row>
    <row r="6534" spans="1:1" x14ac:dyDescent="0.3">
      <c r="A6534" s="20"/>
    </row>
    <row r="6535" spans="1:1" x14ac:dyDescent="0.3">
      <c r="A6535" s="20"/>
    </row>
    <row r="6536" spans="1:1" x14ac:dyDescent="0.3">
      <c r="A6536" s="20"/>
    </row>
    <row r="6537" spans="1:1" x14ac:dyDescent="0.3">
      <c r="A6537" s="20"/>
    </row>
    <row r="6538" spans="1:1" x14ac:dyDescent="0.3">
      <c r="A6538" s="20"/>
    </row>
    <row r="6539" spans="1:1" x14ac:dyDescent="0.3">
      <c r="A6539" s="20"/>
    </row>
    <row r="6540" spans="1:1" x14ac:dyDescent="0.3">
      <c r="A6540" s="20"/>
    </row>
    <row r="6541" spans="1:1" x14ac:dyDescent="0.3">
      <c r="A6541" s="20"/>
    </row>
    <row r="6542" spans="1:1" x14ac:dyDescent="0.3">
      <c r="A6542" s="20"/>
    </row>
    <row r="6543" spans="1:1" x14ac:dyDescent="0.3">
      <c r="A6543" s="20"/>
    </row>
    <row r="6544" spans="1:1" x14ac:dyDescent="0.3">
      <c r="A6544" s="20"/>
    </row>
    <row r="6545" spans="1:1" x14ac:dyDescent="0.3">
      <c r="A6545" s="20"/>
    </row>
    <row r="6546" spans="1:1" x14ac:dyDescent="0.3">
      <c r="A6546" s="20"/>
    </row>
    <row r="6547" spans="1:1" x14ac:dyDescent="0.3">
      <c r="A6547" s="20"/>
    </row>
    <row r="6548" spans="1:1" x14ac:dyDescent="0.3">
      <c r="A6548" s="20"/>
    </row>
    <row r="6549" spans="1:1" x14ac:dyDescent="0.3">
      <c r="A6549" s="20"/>
    </row>
    <row r="6550" spans="1:1" x14ac:dyDescent="0.3">
      <c r="A6550" s="20"/>
    </row>
    <row r="6551" spans="1:1" x14ac:dyDescent="0.3">
      <c r="A6551" s="20"/>
    </row>
    <row r="6552" spans="1:1" x14ac:dyDescent="0.3">
      <c r="A6552" s="20"/>
    </row>
    <row r="6553" spans="1:1" x14ac:dyDescent="0.3">
      <c r="A6553" s="20"/>
    </row>
    <row r="6554" spans="1:1" x14ac:dyDescent="0.3">
      <c r="A6554" s="20"/>
    </row>
    <row r="6555" spans="1:1" x14ac:dyDescent="0.3">
      <c r="A6555" s="20"/>
    </row>
    <row r="6556" spans="1:1" x14ac:dyDescent="0.3">
      <c r="A6556" s="20"/>
    </row>
    <row r="6557" spans="1:1" x14ac:dyDescent="0.3">
      <c r="A6557" s="20"/>
    </row>
    <row r="6558" spans="1:1" x14ac:dyDescent="0.3">
      <c r="A6558" s="20"/>
    </row>
    <row r="6559" spans="1:1" x14ac:dyDescent="0.3">
      <c r="A6559" s="20"/>
    </row>
    <row r="6560" spans="1:1" x14ac:dyDescent="0.3">
      <c r="A6560" s="20"/>
    </row>
    <row r="6561" spans="1:1" x14ac:dyDescent="0.3">
      <c r="A6561" s="20"/>
    </row>
    <row r="6562" spans="1:1" x14ac:dyDescent="0.3">
      <c r="A6562" s="20"/>
    </row>
    <row r="6563" spans="1:1" x14ac:dyDescent="0.3">
      <c r="A6563" s="20"/>
    </row>
    <row r="6564" spans="1:1" x14ac:dyDescent="0.3">
      <c r="A6564" s="20"/>
    </row>
    <row r="6565" spans="1:1" x14ac:dyDescent="0.3">
      <c r="A6565" s="20"/>
    </row>
    <row r="6566" spans="1:1" x14ac:dyDescent="0.3">
      <c r="A6566" s="20"/>
    </row>
    <row r="6567" spans="1:1" x14ac:dyDescent="0.3">
      <c r="A6567" s="20"/>
    </row>
    <row r="6568" spans="1:1" x14ac:dyDescent="0.3">
      <c r="A6568" s="20"/>
    </row>
    <row r="6569" spans="1:1" x14ac:dyDescent="0.3">
      <c r="A6569" s="20"/>
    </row>
    <row r="6570" spans="1:1" x14ac:dyDescent="0.3">
      <c r="A6570" s="20"/>
    </row>
    <row r="6571" spans="1:1" x14ac:dyDescent="0.3">
      <c r="A6571" s="20"/>
    </row>
    <row r="6572" spans="1:1" x14ac:dyDescent="0.3">
      <c r="A6572" s="20"/>
    </row>
    <row r="6573" spans="1:1" x14ac:dyDescent="0.3">
      <c r="A6573" s="20"/>
    </row>
    <row r="6574" spans="1:1" x14ac:dyDescent="0.3">
      <c r="A6574" s="20"/>
    </row>
    <row r="6575" spans="1:1" x14ac:dyDescent="0.3">
      <c r="A6575" s="20"/>
    </row>
    <row r="6576" spans="1:1" x14ac:dyDescent="0.3">
      <c r="A6576" s="20"/>
    </row>
    <row r="6577" spans="1:1" x14ac:dyDescent="0.3">
      <c r="A6577" s="20"/>
    </row>
    <row r="6578" spans="1:1" x14ac:dyDescent="0.3">
      <c r="A6578" s="20"/>
    </row>
    <row r="6579" spans="1:1" x14ac:dyDescent="0.3">
      <c r="A6579" s="20"/>
    </row>
    <row r="6580" spans="1:1" x14ac:dyDescent="0.3">
      <c r="A6580" s="20"/>
    </row>
    <row r="6581" spans="1:1" x14ac:dyDescent="0.3">
      <c r="A6581" s="20"/>
    </row>
    <row r="6582" spans="1:1" x14ac:dyDescent="0.3">
      <c r="A6582" s="20"/>
    </row>
    <row r="6583" spans="1:1" x14ac:dyDescent="0.3">
      <c r="A6583" s="20"/>
    </row>
    <row r="6584" spans="1:1" x14ac:dyDescent="0.3">
      <c r="A6584" s="20"/>
    </row>
    <row r="6585" spans="1:1" x14ac:dyDescent="0.3">
      <c r="A6585" s="20"/>
    </row>
    <row r="6586" spans="1:1" x14ac:dyDescent="0.3">
      <c r="A6586" s="20"/>
    </row>
    <row r="6587" spans="1:1" x14ac:dyDescent="0.3">
      <c r="A6587" s="20"/>
    </row>
    <row r="6588" spans="1:1" x14ac:dyDescent="0.3">
      <c r="A6588" s="20"/>
    </row>
    <row r="6589" spans="1:1" x14ac:dyDescent="0.3">
      <c r="A6589" s="20"/>
    </row>
    <row r="6590" spans="1:1" x14ac:dyDescent="0.3">
      <c r="A6590" s="20"/>
    </row>
    <row r="6591" spans="1:1" x14ac:dyDescent="0.3">
      <c r="A6591" s="20"/>
    </row>
    <row r="6592" spans="1:1" x14ac:dyDescent="0.3">
      <c r="A6592" s="20"/>
    </row>
    <row r="6593" spans="1:1" x14ac:dyDescent="0.3">
      <c r="A6593" s="20"/>
    </row>
    <row r="6594" spans="1:1" x14ac:dyDescent="0.3">
      <c r="A6594" s="20"/>
    </row>
    <row r="6595" spans="1:1" x14ac:dyDescent="0.3">
      <c r="A6595" s="20"/>
    </row>
    <row r="6596" spans="1:1" x14ac:dyDescent="0.3">
      <c r="A6596" s="20"/>
    </row>
    <row r="6597" spans="1:1" x14ac:dyDescent="0.3">
      <c r="A6597" s="20"/>
    </row>
    <row r="6598" spans="1:1" x14ac:dyDescent="0.3">
      <c r="A6598" s="20"/>
    </row>
    <row r="6599" spans="1:1" x14ac:dyDescent="0.3">
      <c r="A6599" s="20"/>
    </row>
    <row r="6600" spans="1:1" x14ac:dyDescent="0.3">
      <c r="A6600" s="20"/>
    </row>
    <row r="6601" spans="1:1" x14ac:dyDescent="0.3">
      <c r="A6601" s="20"/>
    </row>
    <row r="6602" spans="1:1" x14ac:dyDescent="0.3">
      <c r="A6602" s="20"/>
    </row>
    <row r="6603" spans="1:1" x14ac:dyDescent="0.3">
      <c r="A6603" s="20"/>
    </row>
    <row r="6604" spans="1:1" x14ac:dyDescent="0.3">
      <c r="A6604" s="20"/>
    </row>
    <row r="6605" spans="1:1" x14ac:dyDescent="0.3">
      <c r="A6605" s="20"/>
    </row>
    <row r="6606" spans="1:1" x14ac:dyDescent="0.3">
      <c r="A6606" s="20"/>
    </row>
    <row r="6607" spans="1:1" x14ac:dyDescent="0.3">
      <c r="A6607" s="20"/>
    </row>
    <row r="6608" spans="1:1" x14ac:dyDescent="0.3">
      <c r="A6608" s="20"/>
    </row>
    <row r="6609" spans="1:1" x14ac:dyDescent="0.3">
      <c r="A6609" s="20"/>
    </row>
    <row r="6610" spans="1:1" x14ac:dyDescent="0.3">
      <c r="A6610" s="20"/>
    </row>
    <row r="6611" spans="1:1" x14ac:dyDescent="0.3">
      <c r="A6611" s="20"/>
    </row>
    <row r="6612" spans="1:1" x14ac:dyDescent="0.3">
      <c r="A6612" s="20"/>
    </row>
    <row r="6613" spans="1:1" x14ac:dyDescent="0.3">
      <c r="A6613" s="20"/>
    </row>
    <row r="6614" spans="1:1" x14ac:dyDescent="0.3">
      <c r="A6614" s="20"/>
    </row>
    <row r="6615" spans="1:1" x14ac:dyDescent="0.3">
      <c r="A6615" s="20"/>
    </row>
    <row r="6616" spans="1:1" x14ac:dyDescent="0.3">
      <c r="A6616" s="20"/>
    </row>
    <row r="6617" spans="1:1" x14ac:dyDescent="0.3">
      <c r="A6617" s="20"/>
    </row>
    <row r="6618" spans="1:1" x14ac:dyDescent="0.3">
      <c r="A6618" s="20"/>
    </row>
    <row r="6619" spans="1:1" x14ac:dyDescent="0.3">
      <c r="A6619" s="20"/>
    </row>
    <row r="6620" spans="1:1" x14ac:dyDescent="0.3">
      <c r="A6620" s="20"/>
    </row>
    <row r="6621" spans="1:1" x14ac:dyDescent="0.3">
      <c r="A6621" s="20"/>
    </row>
    <row r="6622" spans="1:1" x14ac:dyDescent="0.3">
      <c r="A6622" s="20"/>
    </row>
    <row r="6623" spans="1:1" x14ac:dyDescent="0.3">
      <c r="A6623" s="20"/>
    </row>
    <row r="6624" spans="1:1" x14ac:dyDescent="0.3">
      <c r="A6624" s="20"/>
    </row>
    <row r="6625" spans="1:1" x14ac:dyDescent="0.3">
      <c r="A6625" s="20"/>
    </row>
    <row r="6626" spans="1:1" x14ac:dyDescent="0.3">
      <c r="A6626" s="20"/>
    </row>
    <row r="6627" spans="1:1" x14ac:dyDescent="0.3">
      <c r="A6627" s="20"/>
    </row>
    <row r="6628" spans="1:1" x14ac:dyDescent="0.3">
      <c r="A6628" s="20"/>
    </row>
    <row r="6629" spans="1:1" x14ac:dyDescent="0.3">
      <c r="A6629" s="20"/>
    </row>
    <row r="6630" spans="1:1" x14ac:dyDescent="0.3">
      <c r="A6630" s="20"/>
    </row>
    <row r="6631" spans="1:1" x14ac:dyDescent="0.3">
      <c r="A6631" s="20"/>
    </row>
    <row r="6632" spans="1:1" x14ac:dyDescent="0.3">
      <c r="A6632" s="20"/>
    </row>
    <row r="6633" spans="1:1" x14ac:dyDescent="0.3">
      <c r="A6633" s="20"/>
    </row>
    <row r="6634" spans="1:1" x14ac:dyDescent="0.3">
      <c r="A6634" s="20"/>
    </row>
    <row r="6635" spans="1:1" x14ac:dyDescent="0.3">
      <c r="A6635" s="20"/>
    </row>
    <row r="6636" spans="1:1" x14ac:dyDescent="0.3">
      <c r="A6636" s="20"/>
    </row>
    <row r="6637" spans="1:1" x14ac:dyDescent="0.3">
      <c r="A6637" s="20"/>
    </row>
    <row r="6638" spans="1:1" x14ac:dyDescent="0.3">
      <c r="A6638" s="20"/>
    </row>
    <row r="6639" spans="1:1" x14ac:dyDescent="0.3">
      <c r="A6639" s="20"/>
    </row>
    <row r="6640" spans="1:1" x14ac:dyDescent="0.3">
      <c r="A6640" s="20"/>
    </row>
    <row r="6641" spans="1:1" x14ac:dyDescent="0.3">
      <c r="A6641" s="20"/>
    </row>
    <row r="6642" spans="1:1" x14ac:dyDescent="0.3">
      <c r="A6642" s="20"/>
    </row>
    <row r="6643" spans="1:1" x14ac:dyDescent="0.3">
      <c r="A6643" s="20"/>
    </row>
    <row r="6644" spans="1:1" x14ac:dyDescent="0.3">
      <c r="A6644" s="20"/>
    </row>
    <row r="6645" spans="1:1" x14ac:dyDescent="0.3">
      <c r="A6645" s="20"/>
    </row>
    <row r="6646" spans="1:1" x14ac:dyDescent="0.3">
      <c r="A6646" s="20"/>
    </row>
    <row r="6647" spans="1:1" x14ac:dyDescent="0.3">
      <c r="A6647" s="20"/>
    </row>
    <row r="6648" spans="1:1" x14ac:dyDescent="0.3">
      <c r="A6648" s="20"/>
    </row>
    <row r="6649" spans="1:1" x14ac:dyDescent="0.3">
      <c r="A6649" s="20"/>
    </row>
    <row r="6650" spans="1:1" x14ac:dyDescent="0.3">
      <c r="A6650" s="20"/>
    </row>
    <row r="6651" spans="1:1" x14ac:dyDescent="0.3">
      <c r="A6651" s="20"/>
    </row>
    <row r="6652" spans="1:1" x14ac:dyDescent="0.3">
      <c r="A6652" s="20"/>
    </row>
    <row r="6653" spans="1:1" x14ac:dyDescent="0.3">
      <c r="A6653" s="20"/>
    </row>
    <row r="6654" spans="1:1" x14ac:dyDescent="0.3">
      <c r="A6654" s="20"/>
    </row>
    <row r="6655" spans="1:1" x14ac:dyDescent="0.3">
      <c r="A6655" s="20"/>
    </row>
    <row r="6656" spans="1:1" x14ac:dyDescent="0.3">
      <c r="A6656" s="20"/>
    </row>
    <row r="6657" spans="1:1" x14ac:dyDescent="0.3">
      <c r="A6657" s="20"/>
    </row>
    <row r="6658" spans="1:1" x14ac:dyDescent="0.3">
      <c r="A6658" s="20"/>
    </row>
    <row r="6659" spans="1:1" x14ac:dyDescent="0.3">
      <c r="A6659" s="20"/>
    </row>
    <row r="6660" spans="1:1" x14ac:dyDescent="0.3">
      <c r="A6660" s="20"/>
    </row>
    <row r="6661" spans="1:1" x14ac:dyDescent="0.3">
      <c r="A6661" s="20"/>
    </row>
    <row r="6662" spans="1:1" x14ac:dyDescent="0.3">
      <c r="A6662" s="20"/>
    </row>
    <row r="6663" spans="1:1" x14ac:dyDescent="0.3">
      <c r="A6663" s="20"/>
    </row>
    <row r="6664" spans="1:1" x14ac:dyDescent="0.3">
      <c r="A6664" s="20"/>
    </row>
    <row r="6665" spans="1:1" x14ac:dyDescent="0.3">
      <c r="A6665" s="20"/>
    </row>
    <row r="6666" spans="1:1" x14ac:dyDescent="0.3">
      <c r="A6666" s="20"/>
    </row>
    <row r="6667" spans="1:1" x14ac:dyDescent="0.3">
      <c r="A6667" s="20"/>
    </row>
    <row r="6668" spans="1:1" x14ac:dyDescent="0.3">
      <c r="A6668" s="20"/>
    </row>
    <row r="6669" spans="1:1" x14ac:dyDescent="0.3">
      <c r="A6669" s="20"/>
    </row>
    <row r="6670" spans="1:1" x14ac:dyDescent="0.3">
      <c r="A6670" s="20"/>
    </row>
    <row r="6671" spans="1:1" x14ac:dyDescent="0.3">
      <c r="A6671" s="20"/>
    </row>
    <row r="6672" spans="1:1" x14ac:dyDescent="0.3">
      <c r="A6672" s="20"/>
    </row>
    <row r="6673" spans="1:1" x14ac:dyDescent="0.3">
      <c r="A6673" s="20"/>
    </row>
    <row r="6674" spans="1:1" x14ac:dyDescent="0.3">
      <c r="A6674" s="20"/>
    </row>
    <row r="6675" spans="1:1" x14ac:dyDescent="0.3">
      <c r="A6675" s="20"/>
    </row>
    <row r="6676" spans="1:1" x14ac:dyDescent="0.3">
      <c r="A6676" s="20"/>
    </row>
    <row r="6677" spans="1:1" x14ac:dyDescent="0.3">
      <c r="A6677" s="20"/>
    </row>
    <row r="6678" spans="1:1" x14ac:dyDescent="0.3">
      <c r="A6678" s="20"/>
    </row>
    <row r="6679" spans="1:1" x14ac:dyDescent="0.3">
      <c r="A6679" s="20"/>
    </row>
    <row r="6680" spans="1:1" x14ac:dyDescent="0.3">
      <c r="A6680" s="20"/>
    </row>
    <row r="6681" spans="1:1" x14ac:dyDescent="0.3">
      <c r="A6681" s="20"/>
    </row>
    <row r="6682" spans="1:1" x14ac:dyDescent="0.3">
      <c r="A6682" s="20"/>
    </row>
    <row r="6683" spans="1:1" x14ac:dyDescent="0.3">
      <c r="A6683" s="20"/>
    </row>
    <row r="6684" spans="1:1" x14ac:dyDescent="0.3">
      <c r="A6684" s="20"/>
    </row>
    <row r="6685" spans="1:1" x14ac:dyDescent="0.3">
      <c r="A6685" s="20"/>
    </row>
    <row r="6686" spans="1:1" x14ac:dyDescent="0.3">
      <c r="A6686" s="20"/>
    </row>
    <row r="6687" spans="1:1" x14ac:dyDescent="0.3">
      <c r="A6687" s="20"/>
    </row>
    <row r="6688" spans="1:1" x14ac:dyDescent="0.3">
      <c r="A6688" s="20"/>
    </row>
    <row r="6689" spans="1:1" x14ac:dyDescent="0.3">
      <c r="A6689" s="20"/>
    </row>
    <row r="6690" spans="1:1" x14ac:dyDescent="0.3">
      <c r="A6690" s="20"/>
    </row>
    <row r="6691" spans="1:1" x14ac:dyDescent="0.3">
      <c r="A6691" s="20"/>
    </row>
    <row r="6692" spans="1:1" x14ac:dyDescent="0.3">
      <c r="A6692" s="20"/>
    </row>
    <row r="6693" spans="1:1" x14ac:dyDescent="0.3">
      <c r="A6693" s="20"/>
    </row>
    <row r="6694" spans="1:1" x14ac:dyDescent="0.3">
      <c r="A6694" s="20"/>
    </row>
    <row r="6695" spans="1:1" x14ac:dyDescent="0.3">
      <c r="A6695" s="20"/>
    </row>
    <row r="6696" spans="1:1" x14ac:dyDescent="0.3">
      <c r="A6696" s="20"/>
    </row>
    <row r="6697" spans="1:1" x14ac:dyDescent="0.3">
      <c r="A6697" s="20"/>
    </row>
    <row r="6698" spans="1:1" x14ac:dyDescent="0.3">
      <c r="A6698" s="20"/>
    </row>
    <row r="6699" spans="1:1" x14ac:dyDescent="0.3">
      <c r="A6699" s="20"/>
    </row>
    <row r="6700" spans="1:1" x14ac:dyDescent="0.3">
      <c r="A6700" s="20"/>
    </row>
    <row r="6701" spans="1:1" x14ac:dyDescent="0.3">
      <c r="A6701" s="20"/>
    </row>
    <row r="6702" spans="1:1" x14ac:dyDescent="0.3">
      <c r="A6702" s="20"/>
    </row>
    <row r="6703" spans="1:1" x14ac:dyDescent="0.3">
      <c r="A6703" s="20"/>
    </row>
    <row r="6704" spans="1:1" x14ac:dyDescent="0.3">
      <c r="A6704" s="20"/>
    </row>
    <row r="6705" spans="1:1" x14ac:dyDescent="0.3">
      <c r="A6705" s="20"/>
    </row>
    <row r="6706" spans="1:1" x14ac:dyDescent="0.3">
      <c r="A6706" s="20"/>
    </row>
    <row r="6707" spans="1:1" x14ac:dyDescent="0.3">
      <c r="A6707" s="20"/>
    </row>
    <row r="6708" spans="1:1" x14ac:dyDescent="0.3">
      <c r="A6708" s="20"/>
    </row>
    <row r="6709" spans="1:1" x14ac:dyDescent="0.3">
      <c r="A6709" s="20"/>
    </row>
    <row r="6710" spans="1:1" x14ac:dyDescent="0.3">
      <c r="A6710" s="20"/>
    </row>
    <row r="6711" spans="1:1" x14ac:dyDescent="0.3">
      <c r="A6711" s="20"/>
    </row>
    <row r="6712" spans="1:1" x14ac:dyDescent="0.3">
      <c r="A6712" s="20"/>
    </row>
    <row r="6713" spans="1:1" x14ac:dyDescent="0.3">
      <c r="A6713" s="20"/>
    </row>
    <row r="6714" spans="1:1" x14ac:dyDescent="0.3">
      <c r="A6714" s="20"/>
    </row>
    <row r="6715" spans="1:1" x14ac:dyDescent="0.3">
      <c r="A6715" s="20"/>
    </row>
    <row r="6716" spans="1:1" x14ac:dyDescent="0.3">
      <c r="A6716" s="20"/>
    </row>
    <row r="6717" spans="1:1" x14ac:dyDescent="0.3">
      <c r="A6717" s="20"/>
    </row>
    <row r="6718" spans="1:1" x14ac:dyDescent="0.3">
      <c r="A6718" s="20"/>
    </row>
    <row r="6719" spans="1:1" x14ac:dyDescent="0.3">
      <c r="A6719" s="20"/>
    </row>
    <row r="6720" spans="1:1" x14ac:dyDescent="0.3">
      <c r="A6720" s="20"/>
    </row>
    <row r="6721" spans="1:1" x14ac:dyDescent="0.3">
      <c r="A6721" s="20"/>
    </row>
    <row r="6722" spans="1:1" x14ac:dyDescent="0.3">
      <c r="A6722" s="20"/>
    </row>
    <row r="6723" spans="1:1" x14ac:dyDescent="0.3">
      <c r="A6723" s="20"/>
    </row>
    <row r="6724" spans="1:1" x14ac:dyDescent="0.3">
      <c r="A6724" s="20"/>
    </row>
    <row r="6725" spans="1:1" x14ac:dyDescent="0.3">
      <c r="A6725" s="20"/>
    </row>
    <row r="6726" spans="1:1" x14ac:dyDescent="0.3">
      <c r="A6726" s="20"/>
    </row>
    <row r="6727" spans="1:1" x14ac:dyDescent="0.3">
      <c r="A6727" s="20"/>
    </row>
    <row r="6728" spans="1:1" x14ac:dyDescent="0.3">
      <c r="A6728" s="20"/>
    </row>
    <row r="6729" spans="1:1" x14ac:dyDescent="0.3">
      <c r="A6729" s="20"/>
    </row>
    <row r="6730" spans="1:1" x14ac:dyDescent="0.3">
      <c r="A6730" s="20"/>
    </row>
    <row r="6731" spans="1:1" x14ac:dyDescent="0.3">
      <c r="A6731" s="20"/>
    </row>
    <row r="6732" spans="1:1" x14ac:dyDescent="0.3">
      <c r="A6732" s="20"/>
    </row>
    <row r="6733" spans="1:1" x14ac:dyDescent="0.3">
      <c r="A6733" s="20"/>
    </row>
    <row r="6734" spans="1:1" x14ac:dyDescent="0.3">
      <c r="A6734" s="20"/>
    </row>
    <row r="6735" spans="1:1" x14ac:dyDescent="0.3">
      <c r="A6735" s="20"/>
    </row>
    <row r="6736" spans="1:1" x14ac:dyDescent="0.3">
      <c r="A6736" s="20"/>
    </row>
    <row r="6737" spans="1:1" x14ac:dyDescent="0.3">
      <c r="A6737" s="20"/>
    </row>
    <row r="6738" spans="1:1" x14ac:dyDescent="0.3">
      <c r="A6738" s="20"/>
    </row>
    <row r="6739" spans="1:1" x14ac:dyDescent="0.3">
      <c r="A6739" s="20"/>
    </row>
    <row r="6740" spans="1:1" x14ac:dyDescent="0.3">
      <c r="A6740" s="20"/>
    </row>
    <row r="6741" spans="1:1" x14ac:dyDescent="0.3">
      <c r="A6741" s="20"/>
    </row>
    <row r="6742" spans="1:1" x14ac:dyDescent="0.3">
      <c r="A6742" s="20"/>
    </row>
    <row r="6743" spans="1:1" x14ac:dyDescent="0.3">
      <c r="A6743" s="20"/>
    </row>
    <row r="6744" spans="1:1" x14ac:dyDescent="0.3">
      <c r="A6744" s="20"/>
    </row>
    <row r="6745" spans="1:1" x14ac:dyDescent="0.3">
      <c r="A6745" s="20"/>
    </row>
    <row r="6746" spans="1:1" x14ac:dyDescent="0.3">
      <c r="A6746" s="20"/>
    </row>
    <row r="6747" spans="1:1" x14ac:dyDescent="0.3">
      <c r="A6747" s="20"/>
    </row>
    <row r="6748" spans="1:1" x14ac:dyDescent="0.3">
      <c r="A6748" s="20"/>
    </row>
    <row r="6749" spans="1:1" x14ac:dyDescent="0.3">
      <c r="A6749" s="20"/>
    </row>
    <row r="6750" spans="1:1" x14ac:dyDescent="0.3">
      <c r="A6750" s="20"/>
    </row>
    <row r="6751" spans="1:1" x14ac:dyDescent="0.3">
      <c r="A6751" s="20"/>
    </row>
    <row r="6752" spans="1:1" x14ac:dyDescent="0.3">
      <c r="A6752" s="20"/>
    </row>
    <row r="6753" spans="1:1" x14ac:dyDescent="0.3">
      <c r="A6753" s="20"/>
    </row>
    <row r="6754" spans="1:1" x14ac:dyDescent="0.3">
      <c r="A6754" s="20"/>
    </row>
    <row r="6755" spans="1:1" x14ac:dyDescent="0.3">
      <c r="A6755" s="20"/>
    </row>
    <row r="6756" spans="1:1" x14ac:dyDescent="0.3">
      <c r="A6756" s="20"/>
    </row>
    <row r="6757" spans="1:1" x14ac:dyDescent="0.3">
      <c r="A6757" s="20"/>
    </row>
    <row r="6758" spans="1:1" x14ac:dyDescent="0.3">
      <c r="A6758" s="20"/>
    </row>
    <row r="6759" spans="1:1" x14ac:dyDescent="0.3">
      <c r="A6759" s="20"/>
    </row>
    <row r="6760" spans="1:1" x14ac:dyDescent="0.3">
      <c r="A6760" s="20"/>
    </row>
    <row r="6761" spans="1:1" x14ac:dyDescent="0.3">
      <c r="A6761" s="20"/>
    </row>
    <row r="6762" spans="1:1" x14ac:dyDescent="0.3">
      <c r="A6762" s="20"/>
    </row>
    <row r="6763" spans="1:1" x14ac:dyDescent="0.3">
      <c r="A6763" s="20"/>
    </row>
    <row r="6764" spans="1:1" x14ac:dyDescent="0.3">
      <c r="A6764" s="20"/>
    </row>
    <row r="6765" spans="1:1" x14ac:dyDescent="0.3">
      <c r="A6765" s="20"/>
    </row>
    <row r="6766" spans="1:1" x14ac:dyDescent="0.3">
      <c r="A6766" s="20"/>
    </row>
    <row r="6767" spans="1:1" x14ac:dyDescent="0.3">
      <c r="A6767" s="20"/>
    </row>
    <row r="6768" spans="1:1" x14ac:dyDescent="0.3">
      <c r="A6768" s="20"/>
    </row>
    <row r="6769" spans="1:1" x14ac:dyDescent="0.3">
      <c r="A6769" s="20"/>
    </row>
    <row r="6770" spans="1:1" x14ac:dyDescent="0.3">
      <c r="A6770" s="20"/>
    </row>
    <row r="6771" spans="1:1" x14ac:dyDescent="0.3">
      <c r="A6771" s="20"/>
    </row>
    <row r="6772" spans="1:1" x14ac:dyDescent="0.3">
      <c r="A6772" s="20"/>
    </row>
    <row r="6773" spans="1:1" x14ac:dyDescent="0.3">
      <c r="A6773" s="20"/>
    </row>
    <row r="6774" spans="1:1" x14ac:dyDescent="0.3">
      <c r="A6774" s="20"/>
    </row>
    <row r="6775" spans="1:1" x14ac:dyDescent="0.3">
      <c r="A6775" s="20"/>
    </row>
    <row r="6776" spans="1:1" x14ac:dyDescent="0.3">
      <c r="A6776" s="20"/>
    </row>
    <row r="6777" spans="1:1" x14ac:dyDescent="0.3">
      <c r="A6777" s="20"/>
    </row>
    <row r="6778" spans="1:1" x14ac:dyDescent="0.3">
      <c r="A6778" s="20"/>
    </row>
    <row r="6779" spans="1:1" x14ac:dyDescent="0.3">
      <c r="A6779" s="20"/>
    </row>
    <row r="6780" spans="1:1" x14ac:dyDescent="0.3">
      <c r="A6780" s="20"/>
    </row>
    <row r="6781" spans="1:1" x14ac:dyDescent="0.3">
      <c r="A6781" s="20"/>
    </row>
    <row r="6782" spans="1:1" x14ac:dyDescent="0.3">
      <c r="A6782" s="20"/>
    </row>
    <row r="6783" spans="1:1" x14ac:dyDescent="0.3">
      <c r="A6783" s="20"/>
    </row>
    <row r="6784" spans="1:1" x14ac:dyDescent="0.3">
      <c r="A6784" s="20"/>
    </row>
    <row r="6785" spans="1:1" x14ac:dyDescent="0.3">
      <c r="A6785" s="20"/>
    </row>
    <row r="6786" spans="1:1" x14ac:dyDescent="0.3">
      <c r="A6786" s="20"/>
    </row>
    <row r="6787" spans="1:1" x14ac:dyDescent="0.3">
      <c r="A6787" s="20"/>
    </row>
    <row r="6788" spans="1:1" x14ac:dyDescent="0.3">
      <c r="A6788" s="20"/>
    </row>
    <row r="6789" spans="1:1" x14ac:dyDescent="0.3">
      <c r="A6789" s="20"/>
    </row>
    <row r="6790" spans="1:1" x14ac:dyDescent="0.3">
      <c r="A6790" s="20"/>
    </row>
    <row r="6791" spans="1:1" x14ac:dyDescent="0.3">
      <c r="A6791" s="20"/>
    </row>
    <row r="6792" spans="1:1" x14ac:dyDescent="0.3">
      <c r="A6792" s="20"/>
    </row>
    <row r="6793" spans="1:1" x14ac:dyDescent="0.3">
      <c r="A6793" s="20"/>
    </row>
    <row r="6794" spans="1:1" x14ac:dyDescent="0.3">
      <c r="A6794" s="20"/>
    </row>
    <row r="6795" spans="1:1" x14ac:dyDescent="0.3">
      <c r="A6795" s="20"/>
    </row>
    <row r="6796" spans="1:1" x14ac:dyDescent="0.3">
      <c r="A6796" s="20"/>
    </row>
    <row r="6797" spans="1:1" x14ac:dyDescent="0.3">
      <c r="A6797" s="20"/>
    </row>
    <row r="6798" spans="1:1" x14ac:dyDescent="0.3">
      <c r="A6798" s="20"/>
    </row>
    <row r="6799" spans="1:1" x14ac:dyDescent="0.3">
      <c r="A6799" s="20"/>
    </row>
    <row r="6800" spans="1:1" x14ac:dyDescent="0.3">
      <c r="A6800" s="20"/>
    </row>
    <row r="6801" spans="1:1" x14ac:dyDescent="0.3">
      <c r="A6801" s="20"/>
    </row>
    <row r="6802" spans="1:1" x14ac:dyDescent="0.3">
      <c r="A6802" s="20"/>
    </row>
    <row r="6803" spans="1:1" x14ac:dyDescent="0.3">
      <c r="A6803" s="20"/>
    </row>
    <row r="6804" spans="1:1" x14ac:dyDescent="0.3">
      <c r="A6804" s="20"/>
    </row>
    <row r="6805" spans="1:1" x14ac:dyDescent="0.3">
      <c r="A6805" s="20"/>
    </row>
    <row r="6806" spans="1:1" x14ac:dyDescent="0.3">
      <c r="A6806" s="20"/>
    </row>
    <row r="6807" spans="1:1" x14ac:dyDescent="0.3">
      <c r="A6807" s="20"/>
    </row>
    <row r="6808" spans="1:1" x14ac:dyDescent="0.3">
      <c r="A6808" s="20"/>
    </row>
    <row r="6809" spans="1:1" x14ac:dyDescent="0.3">
      <c r="A6809" s="20"/>
    </row>
    <row r="6810" spans="1:1" x14ac:dyDescent="0.3">
      <c r="A6810" s="20"/>
    </row>
    <row r="6811" spans="1:1" x14ac:dyDescent="0.3">
      <c r="A6811" s="20"/>
    </row>
    <row r="6812" spans="1:1" x14ac:dyDescent="0.3">
      <c r="A6812" s="20"/>
    </row>
    <row r="6813" spans="1:1" x14ac:dyDescent="0.3">
      <c r="A6813" s="20"/>
    </row>
    <row r="6814" spans="1:1" x14ac:dyDescent="0.3">
      <c r="A6814" s="20"/>
    </row>
    <row r="6815" spans="1:1" x14ac:dyDescent="0.3">
      <c r="A6815" s="20"/>
    </row>
    <row r="6816" spans="1:1" x14ac:dyDescent="0.3">
      <c r="A6816" s="20"/>
    </row>
    <row r="6817" spans="1:1" x14ac:dyDescent="0.3">
      <c r="A6817" s="20"/>
    </row>
    <row r="6818" spans="1:1" x14ac:dyDescent="0.3">
      <c r="A6818" s="20"/>
    </row>
    <row r="6819" spans="1:1" x14ac:dyDescent="0.3">
      <c r="A6819" s="20"/>
    </row>
    <row r="6820" spans="1:1" x14ac:dyDescent="0.3">
      <c r="A6820" s="20"/>
    </row>
    <row r="6821" spans="1:1" x14ac:dyDescent="0.3">
      <c r="A6821" s="20"/>
    </row>
    <row r="6822" spans="1:1" x14ac:dyDescent="0.3">
      <c r="A6822" s="20"/>
    </row>
    <row r="6823" spans="1:1" x14ac:dyDescent="0.3">
      <c r="A6823" s="20"/>
    </row>
    <row r="6824" spans="1:1" x14ac:dyDescent="0.3">
      <c r="A6824" s="20"/>
    </row>
    <row r="6825" spans="1:1" x14ac:dyDescent="0.3">
      <c r="A6825" s="20"/>
    </row>
    <row r="6826" spans="1:1" x14ac:dyDescent="0.3">
      <c r="A6826" s="20"/>
    </row>
    <row r="6827" spans="1:1" x14ac:dyDescent="0.3">
      <c r="A6827" s="20"/>
    </row>
    <row r="6828" spans="1:1" x14ac:dyDescent="0.3">
      <c r="A6828" s="20"/>
    </row>
    <row r="6829" spans="1:1" x14ac:dyDescent="0.3">
      <c r="A6829" s="20"/>
    </row>
    <row r="6830" spans="1:1" x14ac:dyDescent="0.3">
      <c r="A6830" s="20"/>
    </row>
    <row r="6831" spans="1:1" x14ac:dyDescent="0.3">
      <c r="A6831" s="20"/>
    </row>
    <row r="6832" spans="1:1" x14ac:dyDescent="0.3">
      <c r="A6832" s="20"/>
    </row>
    <row r="6833" spans="1:1" x14ac:dyDescent="0.3">
      <c r="A6833" s="20"/>
    </row>
    <row r="6834" spans="1:1" x14ac:dyDescent="0.3">
      <c r="A6834" s="20"/>
    </row>
    <row r="6835" spans="1:1" x14ac:dyDescent="0.3">
      <c r="A6835" s="20"/>
    </row>
    <row r="6836" spans="1:1" x14ac:dyDescent="0.3">
      <c r="A6836" s="20"/>
    </row>
    <row r="6837" spans="1:1" x14ac:dyDescent="0.3">
      <c r="A6837" s="20"/>
    </row>
    <row r="6838" spans="1:1" x14ac:dyDescent="0.3">
      <c r="A6838" s="20"/>
    </row>
    <row r="6839" spans="1:1" x14ac:dyDescent="0.3">
      <c r="A6839" s="20"/>
    </row>
    <row r="6840" spans="1:1" x14ac:dyDescent="0.3">
      <c r="A6840" s="20"/>
    </row>
    <row r="6841" spans="1:1" x14ac:dyDescent="0.3">
      <c r="A6841" s="20"/>
    </row>
    <row r="6842" spans="1:1" x14ac:dyDescent="0.3">
      <c r="A6842" s="20"/>
    </row>
    <row r="6843" spans="1:1" x14ac:dyDescent="0.3">
      <c r="A6843" s="20"/>
    </row>
    <row r="6844" spans="1:1" x14ac:dyDescent="0.3">
      <c r="A6844" s="20"/>
    </row>
    <row r="6845" spans="1:1" x14ac:dyDescent="0.3">
      <c r="A6845" s="20"/>
    </row>
    <row r="6846" spans="1:1" x14ac:dyDescent="0.3">
      <c r="A6846" s="20"/>
    </row>
    <row r="6847" spans="1:1" x14ac:dyDescent="0.3">
      <c r="A6847" s="20"/>
    </row>
    <row r="6848" spans="1:1" x14ac:dyDescent="0.3">
      <c r="A6848" s="20"/>
    </row>
    <row r="6849" spans="1:1" x14ac:dyDescent="0.3">
      <c r="A6849" s="20"/>
    </row>
    <row r="6850" spans="1:1" x14ac:dyDescent="0.3">
      <c r="A6850" s="20"/>
    </row>
    <row r="6851" spans="1:1" x14ac:dyDescent="0.3">
      <c r="A6851" s="20"/>
    </row>
    <row r="6852" spans="1:1" x14ac:dyDescent="0.3">
      <c r="A6852" s="20"/>
    </row>
    <row r="6853" spans="1:1" x14ac:dyDescent="0.3">
      <c r="A6853" s="20"/>
    </row>
    <row r="6854" spans="1:1" x14ac:dyDescent="0.3">
      <c r="A6854" s="20"/>
    </row>
    <row r="6855" spans="1:1" x14ac:dyDescent="0.3">
      <c r="A6855" s="20"/>
    </row>
    <row r="6856" spans="1:1" x14ac:dyDescent="0.3">
      <c r="A6856" s="20"/>
    </row>
    <row r="6857" spans="1:1" x14ac:dyDescent="0.3">
      <c r="A6857" s="20"/>
    </row>
    <row r="6858" spans="1:1" x14ac:dyDescent="0.3">
      <c r="A6858" s="20"/>
    </row>
    <row r="6859" spans="1:1" x14ac:dyDescent="0.3">
      <c r="A6859" s="20"/>
    </row>
    <row r="6860" spans="1:1" x14ac:dyDescent="0.3">
      <c r="A6860" s="20"/>
    </row>
    <row r="6861" spans="1:1" x14ac:dyDescent="0.3">
      <c r="A6861" s="20"/>
    </row>
    <row r="6862" spans="1:1" x14ac:dyDescent="0.3">
      <c r="A6862" s="20"/>
    </row>
    <row r="6863" spans="1:1" x14ac:dyDescent="0.3">
      <c r="A6863" s="20"/>
    </row>
    <row r="6864" spans="1:1" x14ac:dyDescent="0.3">
      <c r="A6864" s="20"/>
    </row>
    <row r="6865" spans="1:1" x14ac:dyDescent="0.3">
      <c r="A6865" s="20"/>
    </row>
    <row r="6866" spans="1:1" x14ac:dyDescent="0.3">
      <c r="A6866" s="20"/>
    </row>
    <row r="6867" spans="1:1" x14ac:dyDescent="0.3">
      <c r="A6867" s="20"/>
    </row>
    <row r="6868" spans="1:1" x14ac:dyDescent="0.3">
      <c r="A6868" s="20"/>
    </row>
    <row r="6869" spans="1:1" x14ac:dyDescent="0.3">
      <c r="A6869" s="20"/>
    </row>
    <row r="6870" spans="1:1" x14ac:dyDescent="0.3">
      <c r="A6870" s="20"/>
    </row>
    <row r="6871" spans="1:1" x14ac:dyDescent="0.3">
      <c r="A6871" s="20"/>
    </row>
    <row r="6872" spans="1:1" x14ac:dyDescent="0.3">
      <c r="A6872" s="20"/>
    </row>
    <row r="6873" spans="1:1" x14ac:dyDescent="0.3">
      <c r="A6873" s="20"/>
    </row>
    <row r="6874" spans="1:1" x14ac:dyDescent="0.3">
      <c r="A6874" s="20"/>
    </row>
    <row r="6875" spans="1:1" x14ac:dyDescent="0.3">
      <c r="A6875" s="20"/>
    </row>
    <row r="6876" spans="1:1" x14ac:dyDescent="0.3">
      <c r="A6876" s="20"/>
    </row>
    <row r="6877" spans="1:1" x14ac:dyDescent="0.3">
      <c r="A6877" s="20"/>
    </row>
    <row r="6878" spans="1:1" x14ac:dyDescent="0.3">
      <c r="A6878" s="20"/>
    </row>
    <row r="6879" spans="1:1" x14ac:dyDescent="0.3">
      <c r="A6879" s="20"/>
    </row>
    <row r="6880" spans="1:1" x14ac:dyDescent="0.3">
      <c r="A6880" s="20"/>
    </row>
    <row r="6881" spans="1:1" x14ac:dyDescent="0.3">
      <c r="A6881" s="20"/>
    </row>
    <row r="6882" spans="1:1" x14ac:dyDescent="0.3">
      <c r="A6882" s="20"/>
    </row>
    <row r="6883" spans="1:1" x14ac:dyDescent="0.3">
      <c r="A6883" s="20"/>
    </row>
    <row r="6884" spans="1:1" x14ac:dyDescent="0.3">
      <c r="A6884" s="20"/>
    </row>
    <row r="6885" spans="1:1" x14ac:dyDescent="0.3">
      <c r="A6885" s="20"/>
    </row>
    <row r="6886" spans="1:1" x14ac:dyDescent="0.3">
      <c r="A6886" s="20"/>
    </row>
    <row r="6887" spans="1:1" x14ac:dyDescent="0.3">
      <c r="A6887" s="20"/>
    </row>
    <row r="6888" spans="1:1" x14ac:dyDescent="0.3">
      <c r="A6888" s="20"/>
    </row>
    <row r="6889" spans="1:1" x14ac:dyDescent="0.3">
      <c r="A6889" s="20"/>
    </row>
    <row r="6890" spans="1:1" x14ac:dyDescent="0.3">
      <c r="A6890" s="20"/>
    </row>
    <row r="6891" spans="1:1" x14ac:dyDescent="0.3">
      <c r="A6891" s="20"/>
    </row>
    <row r="6892" spans="1:1" x14ac:dyDescent="0.3">
      <c r="A6892" s="20"/>
    </row>
    <row r="6893" spans="1:1" x14ac:dyDescent="0.3">
      <c r="A6893" s="20"/>
    </row>
    <row r="6894" spans="1:1" x14ac:dyDescent="0.3">
      <c r="A6894" s="20"/>
    </row>
    <row r="6895" spans="1:1" x14ac:dyDescent="0.3">
      <c r="A6895" s="20"/>
    </row>
    <row r="6896" spans="1:1" x14ac:dyDescent="0.3">
      <c r="A6896" s="20"/>
    </row>
    <row r="6897" spans="1:1" x14ac:dyDescent="0.3">
      <c r="A6897" s="20"/>
    </row>
    <row r="6898" spans="1:1" x14ac:dyDescent="0.3">
      <c r="A6898" s="20"/>
    </row>
    <row r="6899" spans="1:1" x14ac:dyDescent="0.3">
      <c r="A6899" s="20"/>
    </row>
    <row r="6900" spans="1:1" x14ac:dyDescent="0.3">
      <c r="A6900" s="20"/>
    </row>
    <row r="6901" spans="1:1" x14ac:dyDescent="0.3">
      <c r="A6901" s="20"/>
    </row>
    <row r="6902" spans="1:1" x14ac:dyDescent="0.3">
      <c r="A6902" s="20"/>
    </row>
    <row r="6903" spans="1:1" x14ac:dyDescent="0.3">
      <c r="A6903" s="20"/>
    </row>
    <row r="6904" spans="1:1" x14ac:dyDescent="0.3">
      <c r="A6904" s="20"/>
    </row>
    <row r="6905" spans="1:1" x14ac:dyDescent="0.3">
      <c r="A6905" s="20"/>
    </row>
    <row r="6906" spans="1:1" x14ac:dyDescent="0.3">
      <c r="A6906" s="20"/>
    </row>
    <row r="6907" spans="1:1" x14ac:dyDescent="0.3">
      <c r="A6907" s="20"/>
    </row>
    <row r="6908" spans="1:1" x14ac:dyDescent="0.3">
      <c r="A6908" s="20"/>
    </row>
    <row r="6909" spans="1:1" x14ac:dyDescent="0.3">
      <c r="A6909" s="20"/>
    </row>
    <row r="6910" spans="1:1" x14ac:dyDescent="0.3">
      <c r="A6910" s="20"/>
    </row>
    <row r="6911" spans="1:1" x14ac:dyDescent="0.3">
      <c r="A6911" s="20"/>
    </row>
    <row r="6912" spans="1:1" x14ac:dyDescent="0.3">
      <c r="A6912" s="20"/>
    </row>
    <row r="6913" spans="1:1" x14ac:dyDescent="0.3">
      <c r="A6913" s="20"/>
    </row>
    <row r="6914" spans="1:1" x14ac:dyDescent="0.3">
      <c r="A6914" s="20"/>
    </row>
    <row r="6915" spans="1:1" x14ac:dyDescent="0.3">
      <c r="A6915" s="20"/>
    </row>
    <row r="6916" spans="1:1" x14ac:dyDescent="0.3">
      <c r="A6916" s="20"/>
    </row>
    <row r="6917" spans="1:1" x14ac:dyDescent="0.3">
      <c r="A6917" s="20"/>
    </row>
    <row r="6918" spans="1:1" x14ac:dyDescent="0.3">
      <c r="A6918" s="20"/>
    </row>
    <row r="6919" spans="1:1" x14ac:dyDescent="0.3">
      <c r="A6919" s="20"/>
    </row>
    <row r="6920" spans="1:1" x14ac:dyDescent="0.3">
      <c r="A6920" s="20"/>
    </row>
    <row r="6921" spans="1:1" x14ac:dyDescent="0.3">
      <c r="A6921" s="20"/>
    </row>
    <row r="6922" spans="1:1" x14ac:dyDescent="0.3">
      <c r="A6922" s="20"/>
    </row>
    <row r="6923" spans="1:1" x14ac:dyDescent="0.3">
      <c r="A6923" s="20"/>
    </row>
    <row r="6924" spans="1:1" x14ac:dyDescent="0.3">
      <c r="A6924" s="20"/>
    </row>
    <row r="6925" spans="1:1" x14ac:dyDescent="0.3">
      <c r="A6925" s="20"/>
    </row>
    <row r="6926" spans="1:1" x14ac:dyDescent="0.3">
      <c r="A6926" s="20"/>
    </row>
    <row r="6927" spans="1:1" x14ac:dyDescent="0.3">
      <c r="A6927" s="20"/>
    </row>
    <row r="6928" spans="1:1" x14ac:dyDescent="0.3">
      <c r="A6928" s="20"/>
    </row>
    <row r="6929" spans="1:1" x14ac:dyDescent="0.3">
      <c r="A6929" s="20"/>
    </row>
    <row r="6930" spans="1:1" x14ac:dyDescent="0.3">
      <c r="A6930" s="20"/>
    </row>
    <row r="6931" spans="1:1" x14ac:dyDescent="0.3">
      <c r="A6931" s="20"/>
    </row>
    <row r="6932" spans="1:1" x14ac:dyDescent="0.3">
      <c r="A6932" s="20"/>
    </row>
    <row r="6933" spans="1:1" x14ac:dyDescent="0.3">
      <c r="A6933" s="20"/>
    </row>
    <row r="6934" spans="1:1" x14ac:dyDescent="0.3">
      <c r="A6934" s="20"/>
    </row>
    <row r="6935" spans="1:1" x14ac:dyDescent="0.3">
      <c r="A6935" s="20"/>
    </row>
    <row r="6936" spans="1:1" x14ac:dyDescent="0.3">
      <c r="A6936" s="20"/>
    </row>
    <row r="6937" spans="1:1" x14ac:dyDescent="0.3">
      <c r="A6937" s="20"/>
    </row>
    <row r="6938" spans="1:1" x14ac:dyDescent="0.3">
      <c r="A6938" s="20"/>
    </row>
    <row r="6939" spans="1:1" x14ac:dyDescent="0.3">
      <c r="A6939" s="20"/>
    </row>
    <row r="6940" spans="1:1" x14ac:dyDescent="0.3">
      <c r="A6940" s="20"/>
    </row>
    <row r="6941" spans="1:1" x14ac:dyDescent="0.3">
      <c r="A6941" s="20"/>
    </row>
    <row r="6942" spans="1:1" x14ac:dyDescent="0.3">
      <c r="A6942" s="20"/>
    </row>
    <row r="6943" spans="1:1" x14ac:dyDescent="0.3">
      <c r="A6943" s="20"/>
    </row>
    <row r="6944" spans="1:1" x14ac:dyDescent="0.3">
      <c r="A6944" s="20"/>
    </row>
    <row r="6945" spans="1:1" x14ac:dyDescent="0.3">
      <c r="A6945" s="20"/>
    </row>
    <row r="6946" spans="1:1" x14ac:dyDescent="0.3">
      <c r="A6946" s="20"/>
    </row>
    <row r="6947" spans="1:1" x14ac:dyDescent="0.3">
      <c r="A6947" s="20"/>
    </row>
    <row r="6948" spans="1:1" x14ac:dyDescent="0.3">
      <c r="A6948" s="20"/>
    </row>
    <row r="6949" spans="1:1" x14ac:dyDescent="0.3">
      <c r="A6949" s="20"/>
    </row>
    <row r="6950" spans="1:1" x14ac:dyDescent="0.3">
      <c r="A6950" s="20"/>
    </row>
    <row r="6951" spans="1:1" x14ac:dyDescent="0.3">
      <c r="A6951" s="20"/>
    </row>
    <row r="6952" spans="1:1" x14ac:dyDescent="0.3">
      <c r="A6952" s="20"/>
    </row>
    <row r="6953" spans="1:1" x14ac:dyDescent="0.3">
      <c r="A6953" s="20"/>
    </row>
    <row r="6954" spans="1:1" x14ac:dyDescent="0.3">
      <c r="A6954" s="20"/>
    </row>
    <row r="6955" spans="1:1" x14ac:dyDescent="0.3">
      <c r="A6955" s="20"/>
    </row>
    <row r="6956" spans="1:1" x14ac:dyDescent="0.3">
      <c r="A6956" s="20"/>
    </row>
    <row r="6957" spans="1:1" x14ac:dyDescent="0.3">
      <c r="A6957" s="20"/>
    </row>
    <row r="6958" spans="1:1" x14ac:dyDescent="0.3">
      <c r="A6958" s="20"/>
    </row>
    <row r="6959" spans="1:1" x14ac:dyDescent="0.3">
      <c r="A6959" s="20"/>
    </row>
    <row r="6960" spans="1:1" x14ac:dyDescent="0.3">
      <c r="A6960" s="20"/>
    </row>
    <row r="6961" spans="1:1" x14ac:dyDescent="0.3">
      <c r="A6961" s="20"/>
    </row>
    <row r="6962" spans="1:1" x14ac:dyDescent="0.3">
      <c r="A6962" s="20"/>
    </row>
    <row r="6963" spans="1:1" x14ac:dyDescent="0.3">
      <c r="A6963" s="20"/>
    </row>
    <row r="6964" spans="1:1" x14ac:dyDescent="0.3">
      <c r="A6964" s="20"/>
    </row>
    <row r="6965" spans="1:1" x14ac:dyDescent="0.3">
      <c r="A6965" s="20"/>
    </row>
    <row r="6966" spans="1:1" x14ac:dyDescent="0.3">
      <c r="A6966" s="20"/>
    </row>
    <row r="6967" spans="1:1" x14ac:dyDescent="0.3">
      <c r="A6967" s="20"/>
    </row>
    <row r="6968" spans="1:1" x14ac:dyDescent="0.3">
      <c r="A6968" s="20"/>
    </row>
    <row r="6969" spans="1:1" x14ac:dyDescent="0.3">
      <c r="A6969" s="20"/>
    </row>
    <row r="6970" spans="1:1" x14ac:dyDescent="0.3">
      <c r="A6970" s="20"/>
    </row>
    <row r="6971" spans="1:1" x14ac:dyDescent="0.3">
      <c r="A6971" s="20"/>
    </row>
    <row r="6972" spans="1:1" x14ac:dyDescent="0.3">
      <c r="A6972" s="20"/>
    </row>
    <row r="6973" spans="1:1" x14ac:dyDescent="0.3">
      <c r="A6973" s="20"/>
    </row>
    <row r="6974" spans="1:1" x14ac:dyDescent="0.3">
      <c r="A6974" s="20"/>
    </row>
    <row r="6975" spans="1:1" x14ac:dyDescent="0.3">
      <c r="A6975" s="20"/>
    </row>
    <row r="6976" spans="1:1" x14ac:dyDescent="0.3">
      <c r="A6976" s="20"/>
    </row>
    <row r="6977" spans="1:1" x14ac:dyDescent="0.3">
      <c r="A6977" s="20"/>
    </row>
    <row r="6978" spans="1:1" x14ac:dyDescent="0.3">
      <c r="A6978" s="20"/>
    </row>
    <row r="6979" spans="1:1" x14ac:dyDescent="0.3">
      <c r="A6979" s="20"/>
    </row>
    <row r="6980" spans="1:1" x14ac:dyDescent="0.3">
      <c r="A6980" s="20"/>
    </row>
    <row r="6981" spans="1:1" x14ac:dyDescent="0.3">
      <c r="A6981" s="20"/>
    </row>
    <row r="6982" spans="1:1" x14ac:dyDescent="0.3">
      <c r="A6982" s="20"/>
    </row>
    <row r="6983" spans="1:1" x14ac:dyDescent="0.3">
      <c r="A6983" s="20"/>
    </row>
    <row r="6984" spans="1:1" x14ac:dyDescent="0.3">
      <c r="A6984" s="20"/>
    </row>
    <row r="6985" spans="1:1" x14ac:dyDescent="0.3">
      <c r="A6985" s="20"/>
    </row>
    <row r="6986" spans="1:1" x14ac:dyDescent="0.3">
      <c r="A6986" s="20"/>
    </row>
    <row r="6987" spans="1:1" x14ac:dyDescent="0.3">
      <c r="A6987" s="20"/>
    </row>
    <row r="6988" spans="1:1" x14ac:dyDescent="0.3">
      <c r="A6988" s="20"/>
    </row>
    <row r="6989" spans="1:1" x14ac:dyDescent="0.3">
      <c r="A6989" s="20"/>
    </row>
    <row r="6990" spans="1:1" x14ac:dyDescent="0.3">
      <c r="A6990" s="20"/>
    </row>
    <row r="6991" spans="1:1" x14ac:dyDescent="0.3">
      <c r="A6991" s="20"/>
    </row>
    <row r="6992" spans="1:1" x14ac:dyDescent="0.3">
      <c r="A6992" s="20"/>
    </row>
    <row r="6993" spans="1:1" x14ac:dyDescent="0.3">
      <c r="A6993" s="20"/>
    </row>
    <row r="6994" spans="1:1" x14ac:dyDescent="0.3">
      <c r="A6994" s="20"/>
    </row>
    <row r="6995" spans="1:1" x14ac:dyDescent="0.3">
      <c r="A6995" s="20"/>
    </row>
    <row r="6996" spans="1:1" x14ac:dyDescent="0.3">
      <c r="A6996" s="20"/>
    </row>
    <row r="6997" spans="1:1" x14ac:dyDescent="0.3">
      <c r="A6997" s="20"/>
    </row>
    <row r="6998" spans="1:1" x14ac:dyDescent="0.3">
      <c r="A6998" s="20"/>
    </row>
    <row r="6999" spans="1:1" x14ac:dyDescent="0.3">
      <c r="A6999" s="20"/>
    </row>
    <row r="7000" spans="1:1" x14ac:dyDescent="0.3">
      <c r="A7000" s="20"/>
    </row>
    <row r="7001" spans="1:1" x14ac:dyDescent="0.3">
      <c r="A7001" s="20"/>
    </row>
    <row r="7002" spans="1:1" x14ac:dyDescent="0.3">
      <c r="A7002" s="20"/>
    </row>
    <row r="7003" spans="1:1" x14ac:dyDescent="0.3">
      <c r="A7003" s="20"/>
    </row>
    <row r="7004" spans="1:1" x14ac:dyDescent="0.3">
      <c r="A7004" s="20"/>
    </row>
    <row r="7005" spans="1:1" x14ac:dyDescent="0.3">
      <c r="A7005" s="20"/>
    </row>
    <row r="7006" spans="1:1" x14ac:dyDescent="0.3">
      <c r="A7006" s="20"/>
    </row>
    <row r="7007" spans="1:1" x14ac:dyDescent="0.3">
      <c r="A7007" s="20"/>
    </row>
    <row r="7008" spans="1:1" x14ac:dyDescent="0.3">
      <c r="A7008" s="20"/>
    </row>
    <row r="7009" spans="1:1" x14ac:dyDescent="0.3">
      <c r="A7009" s="20"/>
    </row>
    <row r="7010" spans="1:1" x14ac:dyDescent="0.3">
      <c r="A7010" s="20"/>
    </row>
    <row r="7011" spans="1:1" x14ac:dyDescent="0.3">
      <c r="A7011" s="20"/>
    </row>
    <row r="7012" spans="1:1" x14ac:dyDescent="0.3">
      <c r="A7012" s="20"/>
    </row>
    <row r="7013" spans="1:1" x14ac:dyDescent="0.3">
      <c r="A7013" s="20"/>
    </row>
    <row r="7014" spans="1:1" x14ac:dyDescent="0.3">
      <c r="A7014" s="20"/>
    </row>
    <row r="7015" spans="1:1" x14ac:dyDescent="0.3">
      <c r="A7015" s="20"/>
    </row>
    <row r="7016" spans="1:1" x14ac:dyDescent="0.3">
      <c r="A7016" s="20"/>
    </row>
    <row r="7017" spans="1:1" x14ac:dyDescent="0.3">
      <c r="A7017" s="20"/>
    </row>
    <row r="7018" spans="1:1" x14ac:dyDescent="0.3">
      <c r="A7018" s="20"/>
    </row>
    <row r="7019" spans="1:1" x14ac:dyDescent="0.3">
      <c r="A7019" s="20"/>
    </row>
    <row r="7020" spans="1:1" x14ac:dyDescent="0.3">
      <c r="A7020" s="20"/>
    </row>
    <row r="7021" spans="1:1" x14ac:dyDescent="0.3">
      <c r="A7021" s="20"/>
    </row>
    <row r="7022" spans="1:1" x14ac:dyDescent="0.3">
      <c r="A7022" s="20"/>
    </row>
    <row r="7023" spans="1:1" x14ac:dyDescent="0.3">
      <c r="A7023" s="20"/>
    </row>
    <row r="7024" spans="1:1" x14ac:dyDescent="0.3">
      <c r="A7024" s="20"/>
    </row>
    <row r="7025" spans="1:1" x14ac:dyDescent="0.3">
      <c r="A7025" s="20"/>
    </row>
    <row r="7026" spans="1:1" x14ac:dyDescent="0.3">
      <c r="A7026" s="20"/>
    </row>
    <row r="7027" spans="1:1" x14ac:dyDescent="0.3">
      <c r="A7027" s="20"/>
    </row>
    <row r="7028" spans="1:1" x14ac:dyDescent="0.3">
      <c r="A7028" s="20"/>
    </row>
    <row r="7029" spans="1:1" x14ac:dyDescent="0.3">
      <c r="A7029" s="20"/>
    </row>
    <row r="7030" spans="1:1" x14ac:dyDescent="0.3">
      <c r="A7030" s="20"/>
    </row>
    <row r="7031" spans="1:1" x14ac:dyDescent="0.3">
      <c r="A7031" s="20"/>
    </row>
    <row r="7032" spans="1:1" x14ac:dyDescent="0.3">
      <c r="A7032" s="20"/>
    </row>
    <row r="7033" spans="1:1" x14ac:dyDescent="0.3">
      <c r="A7033" s="20"/>
    </row>
    <row r="7034" spans="1:1" x14ac:dyDescent="0.3">
      <c r="A7034" s="20"/>
    </row>
    <row r="7035" spans="1:1" x14ac:dyDescent="0.3">
      <c r="A7035" s="20"/>
    </row>
    <row r="7036" spans="1:1" x14ac:dyDescent="0.3">
      <c r="A7036" s="20"/>
    </row>
    <row r="7037" spans="1:1" x14ac:dyDescent="0.3">
      <c r="A7037" s="20"/>
    </row>
    <row r="7038" spans="1:1" x14ac:dyDescent="0.3">
      <c r="A7038" s="20"/>
    </row>
    <row r="7039" spans="1:1" x14ac:dyDescent="0.3">
      <c r="A7039" s="20"/>
    </row>
    <row r="7040" spans="1:1" x14ac:dyDescent="0.3">
      <c r="A7040" s="20"/>
    </row>
    <row r="7041" spans="1:1" x14ac:dyDescent="0.3">
      <c r="A7041" s="20"/>
    </row>
    <row r="7042" spans="1:1" x14ac:dyDescent="0.3">
      <c r="A7042" s="20"/>
    </row>
    <row r="7043" spans="1:1" x14ac:dyDescent="0.3">
      <c r="A7043" s="20"/>
    </row>
    <row r="7044" spans="1:1" x14ac:dyDescent="0.3">
      <c r="A7044" s="20"/>
    </row>
    <row r="7045" spans="1:1" x14ac:dyDescent="0.3">
      <c r="A7045" s="20"/>
    </row>
    <row r="7046" spans="1:1" x14ac:dyDescent="0.3">
      <c r="A7046" s="20"/>
    </row>
    <row r="7047" spans="1:1" x14ac:dyDescent="0.3">
      <c r="A7047" s="20"/>
    </row>
    <row r="7048" spans="1:1" x14ac:dyDescent="0.3">
      <c r="A7048" s="20"/>
    </row>
    <row r="7049" spans="1:1" x14ac:dyDescent="0.3">
      <c r="A7049" s="20"/>
    </row>
    <row r="7050" spans="1:1" x14ac:dyDescent="0.3">
      <c r="A7050" s="20"/>
    </row>
    <row r="7051" spans="1:1" x14ac:dyDescent="0.3">
      <c r="A7051" s="20"/>
    </row>
    <row r="7052" spans="1:1" x14ac:dyDescent="0.3">
      <c r="A7052" s="20"/>
    </row>
    <row r="7053" spans="1:1" x14ac:dyDescent="0.3">
      <c r="A7053" s="20"/>
    </row>
    <row r="7054" spans="1:1" x14ac:dyDescent="0.3">
      <c r="A7054" s="20"/>
    </row>
    <row r="7055" spans="1:1" x14ac:dyDescent="0.3">
      <c r="A7055" s="20"/>
    </row>
    <row r="7056" spans="1:1" x14ac:dyDescent="0.3">
      <c r="A7056" s="20"/>
    </row>
    <row r="7057" spans="1:1" x14ac:dyDescent="0.3">
      <c r="A7057" s="20"/>
    </row>
    <row r="7058" spans="1:1" x14ac:dyDescent="0.3">
      <c r="A7058" s="20"/>
    </row>
    <row r="7059" spans="1:1" x14ac:dyDescent="0.3">
      <c r="A7059" s="20"/>
    </row>
    <row r="7060" spans="1:1" x14ac:dyDescent="0.3">
      <c r="A7060" s="20"/>
    </row>
    <row r="7061" spans="1:1" x14ac:dyDescent="0.3">
      <c r="A7061" s="20"/>
    </row>
    <row r="7062" spans="1:1" x14ac:dyDescent="0.3">
      <c r="A7062" s="20"/>
    </row>
    <row r="7063" spans="1:1" x14ac:dyDescent="0.3">
      <c r="A7063" s="20"/>
    </row>
    <row r="7064" spans="1:1" x14ac:dyDescent="0.3">
      <c r="A7064" s="20"/>
    </row>
    <row r="7065" spans="1:1" x14ac:dyDescent="0.3">
      <c r="A7065" s="20"/>
    </row>
    <row r="7066" spans="1:1" x14ac:dyDescent="0.3">
      <c r="A7066" s="20"/>
    </row>
    <row r="7067" spans="1:1" x14ac:dyDescent="0.3">
      <c r="A7067" s="20"/>
    </row>
    <row r="7068" spans="1:1" x14ac:dyDescent="0.3">
      <c r="A7068" s="20"/>
    </row>
    <row r="7069" spans="1:1" x14ac:dyDescent="0.3">
      <c r="A7069" s="20"/>
    </row>
    <row r="7070" spans="1:1" x14ac:dyDescent="0.3">
      <c r="A7070" s="20"/>
    </row>
    <row r="7071" spans="1:1" x14ac:dyDescent="0.3">
      <c r="A7071" s="20"/>
    </row>
    <row r="7072" spans="1:1" x14ac:dyDescent="0.3">
      <c r="A7072" s="20"/>
    </row>
    <row r="7073" spans="1:1" x14ac:dyDescent="0.3">
      <c r="A7073" s="20"/>
    </row>
    <row r="7074" spans="1:1" x14ac:dyDescent="0.3">
      <c r="A7074" s="20"/>
    </row>
    <row r="7075" spans="1:1" x14ac:dyDescent="0.3">
      <c r="A7075" s="20"/>
    </row>
    <row r="7076" spans="1:1" x14ac:dyDescent="0.3">
      <c r="A7076" s="20"/>
    </row>
    <row r="7077" spans="1:1" x14ac:dyDescent="0.3">
      <c r="A7077" s="20"/>
    </row>
    <row r="7078" spans="1:1" x14ac:dyDescent="0.3">
      <c r="A7078" s="20"/>
    </row>
    <row r="7079" spans="1:1" x14ac:dyDescent="0.3">
      <c r="A7079" s="20"/>
    </row>
    <row r="7080" spans="1:1" x14ac:dyDescent="0.3">
      <c r="A7080" s="20"/>
    </row>
    <row r="7081" spans="1:1" x14ac:dyDescent="0.3">
      <c r="A7081" s="20"/>
    </row>
    <row r="7082" spans="1:1" x14ac:dyDescent="0.3">
      <c r="A7082" s="20"/>
    </row>
    <row r="7083" spans="1:1" x14ac:dyDescent="0.3">
      <c r="A7083" s="20"/>
    </row>
    <row r="7084" spans="1:1" x14ac:dyDescent="0.3">
      <c r="A7084" s="20"/>
    </row>
    <row r="7085" spans="1:1" x14ac:dyDescent="0.3">
      <c r="A7085" s="20"/>
    </row>
    <row r="7086" spans="1:1" x14ac:dyDescent="0.3">
      <c r="A7086" s="20"/>
    </row>
    <row r="7087" spans="1:1" x14ac:dyDescent="0.3">
      <c r="A7087" s="20"/>
    </row>
    <row r="7088" spans="1:1" x14ac:dyDescent="0.3">
      <c r="A7088" s="20"/>
    </row>
    <row r="7089" spans="1:1" x14ac:dyDescent="0.3">
      <c r="A7089" s="20"/>
    </row>
    <row r="7090" spans="1:1" x14ac:dyDescent="0.3">
      <c r="A7090" s="20"/>
    </row>
    <row r="7091" spans="1:1" x14ac:dyDescent="0.3">
      <c r="A7091" s="20"/>
    </row>
    <row r="7092" spans="1:1" x14ac:dyDescent="0.3">
      <c r="A7092" s="20"/>
    </row>
    <row r="7093" spans="1:1" x14ac:dyDescent="0.3">
      <c r="A7093" s="20"/>
    </row>
    <row r="7094" spans="1:1" x14ac:dyDescent="0.3">
      <c r="A7094" s="20"/>
    </row>
    <row r="7095" spans="1:1" x14ac:dyDescent="0.3">
      <c r="A7095" s="20"/>
    </row>
    <row r="7096" spans="1:1" x14ac:dyDescent="0.3">
      <c r="A7096" s="20"/>
    </row>
    <row r="7097" spans="1:1" x14ac:dyDescent="0.3">
      <c r="A7097" s="20"/>
    </row>
    <row r="7098" spans="1:1" x14ac:dyDescent="0.3">
      <c r="A7098" s="20"/>
    </row>
    <row r="7099" spans="1:1" x14ac:dyDescent="0.3">
      <c r="A7099" s="20"/>
    </row>
    <row r="7100" spans="1:1" x14ac:dyDescent="0.3">
      <c r="A7100" s="20"/>
    </row>
    <row r="7101" spans="1:1" x14ac:dyDescent="0.3">
      <c r="A7101" s="20"/>
    </row>
    <row r="7102" spans="1:1" x14ac:dyDescent="0.3">
      <c r="A7102" s="20"/>
    </row>
    <row r="7103" spans="1:1" x14ac:dyDescent="0.3">
      <c r="A7103" s="20"/>
    </row>
    <row r="7104" spans="1:1" x14ac:dyDescent="0.3">
      <c r="A7104" s="20"/>
    </row>
    <row r="7105" spans="1:1" x14ac:dyDescent="0.3">
      <c r="A7105" s="20"/>
    </row>
    <row r="7106" spans="1:1" x14ac:dyDescent="0.3">
      <c r="A7106" s="20"/>
    </row>
    <row r="7107" spans="1:1" x14ac:dyDescent="0.3">
      <c r="A7107" s="20"/>
    </row>
    <row r="7108" spans="1:1" x14ac:dyDescent="0.3">
      <c r="A7108" s="20"/>
    </row>
    <row r="7109" spans="1:1" x14ac:dyDescent="0.3">
      <c r="A7109" s="20"/>
    </row>
    <row r="7110" spans="1:1" x14ac:dyDescent="0.3">
      <c r="A7110" s="20"/>
    </row>
    <row r="7111" spans="1:1" x14ac:dyDescent="0.3">
      <c r="A7111" s="20"/>
    </row>
    <row r="7112" spans="1:1" x14ac:dyDescent="0.3">
      <c r="A7112" s="20"/>
    </row>
    <row r="7113" spans="1:1" x14ac:dyDescent="0.3">
      <c r="A7113" s="20"/>
    </row>
    <row r="7114" spans="1:1" x14ac:dyDescent="0.3">
      <c r="A7114" s="20"/>
    </row>
    <row r="7115" spans="1:1" x14ac:dyDescent="0.3">
      <c r="A7115" s="20"/>
    </row>
    <row r="7116" spans="1:1" x14ac:dyDescent="0.3">
      <c r="A7116" s="20"/>
    </row>
    <row r="7117" spans="1:1" x14ac:dyDescent="0.3">
      <c r="A7117" s="20"/>
    </row>
    <row r="7118" spans="1:1" x14ac:dyDescent="0.3">
      <c r="A7118" s="20"/>
    </row>
    <row r="7119" spans="1:1" x14ac:dyDescent="0.3">
      <c r="A7119" s="20"/>
    </row>
    <row r="7120" spans="1:1" x14ac:dyDescent="0.3">
      <c r="A7120" s="20"/>
    </row>
    <row r="7121" spans="1:1" x14ac:dyDescent="0.3">
      <c r="A7121" s="20"/>
    </row>
    <row r="7122" spans="1:1" x14ac:dyDescent="0.3">
      <c r="A7122" s="20"/>
    </row>
    <row r="7123" spans="1:1" x14ac:dyDescent="0.3">
      <c r="A7123" s="20"/>
    </row>
    <row r="7124" spans="1:1" x14ac:dyDescent="0.3">
      <c r="A7124" s="20"/>
    </row>
    <row r="7125" spans="1:1" x14ac:dyDescent="0.3">
      <c r="A7125" s="20"/>
    </row>
    <row r="7126" spans="1:1" x14ac:dyDescent="0.3">
      <c r="A7126" s="20"/>
    </row>
    <row r="7127" spans="1:1" x14ac:dyDescent="0.3">
      <c r="A7127" s="20"/>
    </row>
    <row r="7128" spans="1:1" x14ac:dyDescent="0.3">
      <c r="A7128" s="20"/>
    </row>
    <row r="7129" spans="1:1" x14ac:dyDescent="0.3">
      <c r="A7129" s="20"/>
    </row>
    <row r="7130" spans="1:1" x14ac:dyDescent="0.3">
      <c r="A7130" s="20"/>
    </row>
    <row r="7131" spans="1:1" x14ac:dyDescent="0.3">
      <c r="A7131" s="20"/>
    </row>
    <row r="7132" spans="1:1" x14ac:dyDescent="0.3">
      <c r="A7132" s="20"/>
    </row>
    <row r="7133" spans="1:1" x14ac:dyDescent="0.3">
      <c r="A7133" s="20"/>
    </row>
    <row r="7134" spans="1:1" x14ac:dyDescent="0.3">
      <c r="A7134" s="20"/>
    </row>
    <row r="7135" spans="1:1" x14ac:dyDescent="0.3">
      <c r="A7135" s="20"/>
    </row>
    <row r="7136" spans="1:1" x14ac:dyDescent="0.3">
      <c r="A7136" s="20"/>
    </row>
    <row r="7137" spans="1:1" x14ac:dyDescent="0.3">
      <c r="A7137" s="20"/>
    </row>
    <row r="7138" spans="1:1" x14ac:dyDescent="0.3">
      <c r="A7138" s="20"/>
    </row>
    <row r="7139" spans="1:1" x14ac:dyDescent="0.3">
      <c r="A7139" s="20"/>
    </row>
    <row r="7140" spans="1:1" x14ac:dyDescent="0.3">
      <c r="A7140" s="20"/>
    </row>
    <row r="7141" spans="1:1" x14ac:dyDescent="0.3">
      <c r="A7141" s="20"/>
    </row>
    <row r="7142" spans="1:1" x14ac:dyDescent="0.3">
      <c r="A7142" s="20"/>
    </row>
    <row r="7143" spans="1:1" x14ac:dyDescent="0.3">
      <c r="A7143" s="20"/>
    </row>
    <row r="7144" spans="1:1" x14ac:dyDescent="0.3">
      <c r="A7144" s="20"/>
    </row>
    <row r="7145" spans="1:1" x14ac:dyDescent="0.3">
      <c r="A7145" s="20"/>
    </row>
    <row r="7146" spans="1:1" x14ac:dyDescent="0.3">
      <c r="A7146" s="20"/>
    </row>
    <row r="7147" spans="1:1" x14ac:dyDescent="0.3">
      <c r="A7147" s="20"/>
    </row>
    <row r="7148" spans="1:1" x14ac:dyDescent="0.3">
      <c r="A7148" s="20"/>
    </row>
    <row r="7149" spans="1:1" x14ac:dyDescent="0.3">
      <c r="A7149" s="20"/>
    </row>
    <row r="7150" spans="1:1" x14ac:dyDescent="0.3">
      <c r="A7150" s="20"/>
    </row>
    <row r="7151" spans="1:1" x14ac:dyDescent="0.3">
      <c r="A7151" s="20"/>
    </row>
    <row r="7152" spans="1:1" x14ac:dyDescent="0.3">
      <c r="A7152" s="20"/>
    </row>
    <row r="7153" spans="1:1" x14ac:dyDescent="0.3">
      <c r="A7153" s="20"/>
    </row>
    <row r="7154" spans="1:1" x14ac:dyDescent="0.3">
      <c r="A7154" s="20"/>
    </row>
    <row r="7155" spans="1:1" x14ac:dyDescent="0.3">
      <c r="A7155" s="20"/>
    </row>
    <row r="7156" spans="1:1" x14ac:dyDescent="0.3">
      <c r="A7156" s="20"/>
    </row>
    <row r="7157" spans="1:1" x14ac:dyDescent="0.3">
      <c r="A7157" s="20"/>
    </row>
    <row r="7158" spans="1:1" x14ac:dyDescent="0.3">
      <c r="A7158" s="20"/>
    </row>
    <row r="7159" spans="1:1" x14ac:dyDescent="0.3">
      <c r="A7159" s="20"/>
    </row>
    <row r="7160" spans="1:1" x14ac:dyDescent="0.3">
      <c r="A7160" s="20"/>
    </row>
    <row r="7161" spans="1:1" x14ac:dyDescent="0.3">
      <c r="A7161" s="20"/>
    </row>
    <row r="7162" spans="1:1" x14ac:dyDescent="0.3">
      <c r="A7162" s="20"/>
    </row>
    <row r="7163" spans="1:1" x14ac:dyDescent="0.3">
      <c r="A7163" s="20"/>
    </row>
    <row r="7164" spans="1:1" x14ac:dyDescent="0.3">
      <c r="A7164" s="20"/>
    </row>
    <row r="7165" spans="1:1" x14ac:dyDescent="0.3">
      <c r="A7165" s="20"/>
    </row>
    <row r="7166" spans="1:1" x14ac:dyDescent="0.3">
      <c r="A7166" s="20"/>
    </row>
    <row r="7167" spans="1:1" x14ac:dyDescent="0.3">
      <c r="A7167" s="20"/>
    </row>
    <row r="7168" spans="1:1" x14ac:dyDescent="0.3">
      <c r="A7168" s="20"/>
    </row>
    <row r="7169" spans="1:1" x14ac:dyDescent="0.3">
      <c r="A7169" s="20"/>
    </row>
    <row r="7170" spans="1:1" x14ac:dyDescent="0.3">
      <c r="A7170" s="20"/>
    </row>
    <row r="7171" spans="1:1" x14ac:dyDescent="0.3">
      <c r="A7171" s="20"/>
    </row>
    <row r="7172" spans="1:1" x14ac:dyDescent="0.3">
      <c r="A7172" s="20"/>
    </row>
    <row r="7173" spans="1:1" x14ac:dyDescent="0.3">
      <c r="A7173" s="20"/>
    </row>
    <row r="7174" spans="1:1" x14ac:dyDescent="0.3">
      <c r="A7174" s="20"/>
    </row>
    <row r="7175" spans="1:1" x14ac:dyDescent="0.3">
      <c r="A7175" s="20"/>
    </row>
    <row r="7176" spans="1:1" x14ac:dyDescent="0.3">
      <c r="A7176" s="20"/>
    </row>
    <row r="7177" spans="1:1" x14ac:dyDescent="0.3">
      <c r="A7177" s="20"/>
    </row>
    <row r="7178" spans="1:1" x14ac:dyDescent="0.3">
      <c r="A7178" s="20"/>
    </row>
    <row r="7179" spans="1:1" x14ac:dyDescent="0.3">
      <c r="A7179" s="20"/>
    </row>
    <row r="7180" spans="1:1" x14ac:dyDescent="0.3">
      <c r="A7180" s="20"/>
    </row>
    <row r="7181" spans="1:1" x14ac:dyDescent="0.3">
      <c r="A7181" s="20"/>
    </row>
    <row r="7182" spans="1:1" x14ac:dyDescent="0.3">
      <c r="A7182" s="20"/>
    </row>
    <row r="7183" spans="1:1" x14ac:dyDescent="0.3">
      <c r="A7183" s="20"/>
    </row>
    <row r="7184" spans="1:1" x14ac:dyDescent="0.3">
      <c r="A7184" s="20"/>
    </row>
    <row r="7185" spans="1:1" x14ac:dyDescent="0.3">
      <c r="A7185" s="20"/>
    </row>
    <row r="7186" spans="1:1" x14ac:dyDescent="0.3">
      <c r="A7186" s="20"/>
    </row>
    <row r="7187" spans="1:1" x14ac:dyDescent="0.3">
      <c r="A7187" s="20"/>
    </row>
    <row r="7188" spans="1:1" x14ac:dyDescent="0.3">
      <c r="A7188" s="20"/>
    </row>
    <row r="7189" spans="1:1" x14ac:dyDescent="0.3">
      <c r="A7189" s="20"/>
    </row>
    <row r="7190" spans="1:1" x14ac:dyDescent="0.3">
      <c r="A7190" s="20"/>
    </row>
    <row r="7191" spans="1:1" x14ac:dyDescent="0.3">
      <c r="A7191" s="20"/>
    </row>
    <row r="7192" spans="1:1" x14ac:dyDescent="0.3">
      <c r="A7192" s="20"/>
    </row>
    <row r="7193" spans="1:1" x14ac:dyDescent="0.3">
      <c r="A7193" s="20"/>
    </row>
    <row r="7194" spans="1:1" x14ac:dyDescent="0.3">
      <c r="A7194" s="20"/>
    </row>
    <row r="7195" spans="1:1" x14ac:dyDescent="0.3">
      <c r="A7195" s="20"/>
    </row>
    <row r="7196" spans="1:1" x14ac:dyDescent="0.3">
      <c r="A7196" s="20"/>
    </row>
    <row r="7197" spans="1:1" x14ac:dyDescent="0.3">
      <c r="A7197" s="20"/>
    </row>
    <row r="7198" spans="1:1" x14ac:dyDescent="0.3">
      <c r="A7198" s="20"/>
    </row>
    <row r="7199" spans="1:1" x14ac:dyDescent="0.3">
      <c r="A7199" s="20"/>
    </row>
    <row r="7200" spans="1:1" x14ac:dyDescent="0.3">
      <c r="A7200" s="20"/>
    </row>
    <row r="7201" spans="1:1" x14ac:dyDescent="0.3">
      <c r="A7201" s="20"/>
    </row>
    <row r="7202" spans="1:1" x14ac:dyDescent="0.3">
      <c r="A7202" s="20"/>
    </row>
    <row r="7203" spans="1:1" x14ac:dyDescent="0.3">
      <c r="A7203" s="20"/>
    </row>
    <row r="7204" spans="1:1" x14ac:dyDescent="0.3">
      <c r="A7204" s="20"/>
    </row>
    <row r="7205" spans="1:1" x14ac:dyDescent="0.3">
      <c r="A7205" s="20"/>
    </row>
    <row r="7206" spans="1:1" x14ac:dyDescent="0.3">
      <c r="A7206" s="20"/>
    </row>
    <row r="7207" spans="1:1" x14ac:dyDescent="0.3">
      <c r="A7207" s="20"/>
    </row>
    <row r="7208" spans="1:1" x14ac:dyDescent="0.3">
      <c r="A7208" s="20"/>
    </row>
    <row r="7209" spans="1:1" x14ac:dyDescent="0.3">
      <c r="A7209" s="20"/>
    </row>
    <row r="7210" spans="1:1" x14ac:dyDescent="0.3">
      <c r="A7210" s="20"/>
    </row>
    <row r="7211" spans="1:1" x14ac:dyDescent="0.3">
      <c r="A7211" s="20"/>
    </row>
    <row r="7212" spans="1:1" x14ac:dyDescent="0.3">
      <c r="A7212" s="20"/>
    </row>
    <row r="7213" spans="1:1" x14ac:dyDescent="0.3">
      <c r="A7213" s="20"/>
    </row>
    <row r="7214" spans="1:1" x14ac:dyDescent="0.3">
      <c r="A7214" s="20"/>
    </row>
    <row r="7215" spans="1:1" x14ac:dyDescent="0.3">
      <c r="A7215" s="20"/>
    </row>
    <row r="7216" spans="1:1" x14ac:dyDescent="0.3">
      <c r="A7216" s="20"/>
    </row>
    <row r="7217" spans="1:1" x14ac:dyDescent="0.3">
      <c r="A7217" s="20"/>
    </row>
    <row r="7218" spans="1:1" x14ac:dyDescent="0.3">
      <c r="A7218" s="20"/>
    </row>
    <row r="7219" spans="1:1" x14ac:dyDescent="0.3">
      <c r="A7219" s="20"/>
    </row>
    <row r="7220" spans="1:1" x14ac:dyDescent="0.3">
      <c r="A7220" s="20"/>
    </row>
    <row r="7221" spans="1:1" x14ac:dyDescent="0.3">
      <c r="A7221" s="20"/>
    </row>
    <row r="7222" spans="1:1" x14ac:dyDescent="0.3">
      <c r="A7222" s="20"/>
    </row>
    <row r="7223" spans="1:1" x14ac:dyDescent="0.3">
      <c r="A7223" s="20"/>
    </row>
    <row r="7224" spans="1:1" x14ac:dyDescent="0.3">
      <c r="A7224" s="20"/>
    </row>
    <row r="7225" spans="1:1" x14ac:dyDescent="0.3">
      <c r="A7225" s="20"/>
    </row>
    <row r="7226" spans="1:1" x14ac:dyDescent="0.3">
      <c r="A7226" s="20"/>
    </row>
    <row r="7227" spans="1:1" x14ac:dyDescent="0.3">
      <c r="A7227" s="20"/>
    </row>
    <row r="7228" spans="1:1" x14ac:dyDescent="0.3">
      <c r="A7228" s="20"/>
    </row>
    <row r="7229" spans="1:1" x14ac:dyDescent="0.3">
      <c r="A7229" s="20"/>
    </row>
    <row r="7230" spans="1:1" x14ac:dyDescent="0.3">
      <c r="A7230" s="20"/>
    </row>
    <row r="7231" spans="1:1" x14ac:dyDescent="0.3">
      <c r="A7231" s="20"/>
    </row>
    <row r="7232" spans="1:1" x14ac:dyDescent="0.3">
      <c r="A7232" s="20"/>
    </row>
    <row r="7233" spans="1:1" x14ac:dyDescent="0.3">
      <c r="A7233" s="20"/>
    </row>
    <row r="7234" spans="1:1" x14ac:dyDescent="0.3">
      <c r="A7234" s="20"/>
    </row>
    <row r="7235" spans="1:1" x14ac:dyDescent="0.3">
      <c r="A7235" s="20"/>
    </row>
    <row r="7236" spans="1:1" x14ac:dyDescent="0.3">
      <c r="A7236" s="20"/>
    </row>
    <row r="7237" spans="1:1" x14ac:dyDescent="0.3">
      <c r="A7237" s="20"/>
    </row>
    <row r="7238" spans="1:1" x14ac:dyDescent="0.3">
      <c r="A7238" s="20"/>
    </row>
    <row r="7239" spans="1:1" x14ac:dyDescent="0.3">
      <c r="A7239" s="20"/>
    </row>
    <row r="7240" spans="1:1" x14ac:dyDescent="0.3">
      <c r="A7240" s="20"/>
    </row>
    <row r="7241" spans="1:1" x14ac:dyDescent="0.3">
      <c r="A7241" s="20"/>
    </row>
    <row r="7242" spans="1:1" x14ac:dyDescent="0.3">
      <c r="A7242" s="20"/>
    </row>
    <row r="7243" spans="1:1" x14ac:dyDescent="0.3">
      <c r="A7243" s="20"/>
    </row>
    <row r="7244" spans="1:1" x14ac:dyDescent="0.3">
      <c r="A7244" s="20"/>
    </row>
    <row r="7245" spans="1:1" x14ac:dyDescent="0.3">
      <c r="A7245" s="20"/>
    </row>
    <row r="7246" spans="1:1" x14ac:dyDescent="0.3">
      <c r="A7246" s="20"/>
    </row>
    <row r="7247" spans="1:1" x14ac:dyDescent="0.3">
      <c r="A7247" s="20"/>
    </row>
    <row r="7248" spans="1:1" x14ac:dyDescent="0.3">
      <c r="A7248" s="20"/>
    </row>
    <row r="7249" spans="1:1" x14ac:dyDescent="0.3">
      <c r="A7249" s="20"/>
    </row>
    <row r="7250" spans="1:1" x14ac:dyDescent="0.3">
      <c r="A7250" s="20"/>
    </row>
    <row r="7251" spans="1:1" x14ac:dyDescent="0.3">
      <c r="A7251" s="20"/>
    </row>
    <row r="7252" spans="1:1" x14ac:dyDescent="0.3">
      <c r="A7252" s="20"/>
    </row>
    <row r="7253" spans="1:1" x14ac:dyDescent="0.3">
      <c r="A7253" s="20"/>
    </row>
    <row r="7254" spans="1:1" x14ac:dyDescent="0.3">
      <c r="A7254" s="20"/>
    </row>
    <row r="7255" spans="1:1" x14ac:dyDescent="0.3">
      <c r="A7255" s="20"/>
    </row>
    <row r="7256" spans="1:1" x14ac:dyDescent="0.3">
      <c r="A7256" s="20"/>
    </row>
    <row r="7257" spans="1:1" x14ac:dyDescent="0.3">
      <c r="A7257" s="20"/>
    </row>
    <row r="7258" spans="1:1" x14ac:dyDescent="0.3">
      <c r="A7258" s="20"/>
    </row>
    <row r="7259" spans="1:1" x14ac:dyDescent="0.3">
      <c r="A7259" s="20"/>
    </row>
    <row r="7260" spans="1:1" x14ac:dyDescent="0.3">
      <c r="A7260" s="20"/>
    </row>
    <row r="7261" spans="1:1" x14ac:dyDescent="0.3">
      <c r="A7261" s="20"/>
    </row>
    <row r="7262" spans="1:1" x14ac:dyDescent="0.3">
      <c r="A7262" s="20"/>
    </row>
    <row r="7263" spans="1:1" x14ac:dyDescent="0.3">
      <c r="A7263" s="20"/>
    </row>
    <row r="7264" spans="1:1" x14ac:dyDescent="0.3">
      <c r="A7264" s="20"/>
    </row>
    <row r="7265" spans="1:1" x14ac:dyDescent="0.3">
      <c r="A7265" s="20"/>
    </row>
    <row r="7266" spans="1:1" x14ac:dyDescent="0.3">
      <c r="A7266" s="20"/>
    </row>
    <row r="7267" spans="1:1" x14ac:dyDescent="0.3">
      <c r="A7267" s="20"/>
    </row>
    <row r="7268" spans="1:1" x14ac:dyDescent="0.3">
      <c r="A7268" s="20"/>
    </row>
    <row r="7269" spans="1:1" x14ac:dyDescent="0.3">
      <c r="A7269" s="20"/>
    </row>
    <row r="7270" spans="1:1" x14ac:dyDescent="0.3">
      <c r="A7270" s="20"/>
    </row>
    <row r="7271" spans="1:1" x14ac:dyDescent="0.3">
      <c r="A7271" s="20"/>
    </row>
    <row r="7272" spans="1:1" x14ac:dyDescent="0.3">
      <c r="A7272" s="20"/>
    </row>
    <row r="7273" spans="1:1" x14ac:dyDescent="0.3">
      <c r="A7273" s="20"/>
    </row>
    <row r="7274" spans="1:1" x14ac:dyDescent="0.3">
      <c r="A7274" s="20"/>
    </row>
    <row r="7275" spans="1:1" x14ac:dyDescent="0.3">
      <c r="A7275" s="20"/>
    </row>
    <row r="7276" spans="1:1" x14ac:dyDescent="0.3">
      <c r="A7276" s="20"/>
    </row>
    <row r="7277" spans="1:1" x14ac:dyDescent="0.3">
      <c r="A7277" s="20"/>
    </row>
    <row r="7278" spans="1:1" x14ac:dyDescent="0.3">
      <c r="A7278" s="20"/>
    </row>
    <row r="7279" spans="1:1" x14ac:dyDescent="0.3">
      <c r="A7279" s="20"/>
    </row>
    <row r="7280" spans="1:1" x14ac:dyDescent="0.3">
      <c r="A7280" s="20"/>
    </row>
    <row r="7281" spans="1:1" x14ac:dyDescent="0.3">
      <c r="A7281" s="20"/>
    </row>
    <row r="7282" spans="1:1" x14ac:dyDescent="0.3">
      <c r="A7282" s="20"/>
    </row>
    <row r="7283" spans="1:1" x14ac:dyDescent="0.3">
      <c r="A7283" s="20"/>
    </row>
    <row r="7284" spans="1:1" x14ac:dyDescent="0.3">
      <c r="A7284" s="20"/>
    </row>
    <row r="7285" spans="1:1" x14ac:dyDescent="0.3">
      <c r="A7285" s="20"/>
    </row>
    <row r="7286" spans="1:1" x14ac:dyDescent="0.3">
      <c r="A7286" s="20"/>
    </row>
    <row r="7287" spans="1:1" x14ac:dyDescent="0.3">
      <c r="A7287" s="20"/>
    </row>
    <row r="7288" spans="1:1" x14ac:dyDescent="0.3">
      <c r="A7288" s="20"/>
    </row>
    <row r="7289" spans="1:1" x14ac:dyDescent="0.3">
      <c r="A7289" s="20"/>
    </row>
    <row r="7290" spans="1:1" x14ac:dyDescent="0.3">
      <c r="A7290" s="20"/>
    </row>
    <row r="7291" spans="1:1" x14ac:dyDescent="0.3">
      <c r="A7291" s="20"/>
    </row>
    <row r="7292" spans="1:1" x14ac:dyDescent="0.3">
      <c r="A7292" s="20"/>
    </row>
    <row r="7293" spans="1:1" x14ac:dyDescent="0.3">
      <c r="A7293" s="20"/>
    </row>
    <row r="7294" spans="1:1" x14ac:dyDescent="0.3">
      <c r="A7294" s="20"/>
    </row>
    <row r="7295" spans="1:1" x14ac:dyDescent="0.3">
      <c r="A7295" s="20"/>
    </row>
    <row r="7296" spans="1:1" x14ac:dyDescent="0.3">
      <c r="A7296" s="20"/>
    </row>
    <row r="7297" spans="1:1" x14ac:dyDescent="0.3">
      <c r="A7297" s="20"/>
    </row>
    <row r="7298" spans="1:1" x14ac:dyDescent="0.3">
      <c r="A7298" s="20"/>
    </row>
    <row r="7299" spans="1:1" x14ac:dyDescent="0.3">
      <c r="A7299" s="20"/>
    </row>
    <row r="7300" spans="1:1" x14ac:dyDescent="0.3">
      <c r="A7300" s="20"/>
    </row>
    <row r="7301" spans="1:1" x14ac:dyDescent="0.3">
      <c r="A7301" s="20"/>
    </row>
    <row r="7302" spans="1:1" x14ac:dyDescent="0.3">
      <c r="A7302" s="20"/>
    </row>
    <row r="7303" spans="1:1" x14ac:dyDescent="0.3">
      <c r="A7303" s="20"/>
    </row>
    <row r="7304" spans="1:1" x14ac:dyDescent="0.3">
      <c r="A7304" s="20"/>
    </row>
    <row r="7305" spans="1:1" x14ac:dyDescent="0.3">
      <c r="A7305" s="20"/>
    </row>
    <row r="7306" spans="1:1" x14ac:dyDescent="0.3">
      <c r="A7306" s="20"/>
    </row>
    <row r="7307" spans="1:1" x14ac:dyDescent="0.3">
      <c r="A7307" s="20"/>
    </row>
    <row r="7308" spans="1:1" x14ac:dyDescent="0.3">
      <c r="A7308" s="20"/>
    </row>
    <row r="7309" spans="1:1" x14ac:dyDescent="0.3">
      <c r="A7309" s="20"/>
    </row>
    <row r="7310" spans="1:1" x14ac:dyDescent="0.3">
      <c r="A7310" s="20"/>
    </row>
    <row r="7311" spans="1:1" x14ac:dyDescent="0.3">
      <c r="A7311" s="20"/>
    </row>
    <row r="7312" spans="1:1" x14ac:dyDescent="0.3">
      <c r="A7312" s="20"/>
    </row>
    <row r="7313" spans="1:1" x14ac:dyDescent="0.3">
      <c r="A7313" s="20"/>
    </row>
    <row r="7314" spans="1:1" x14ac:dyDescent="0.3">
      <c r="A7314" s="20"/>
    </row>
    <row r="7315" spans="1:1" x14ac:dyDescent="0.3">
      <c r="A7315" s="20"/>
    </row>
    <row r="7316" spans="1:1" x14ac:dyDescent="0.3">
      <c r="A7316" s="20"/>
    </row>
    <row r="7317" spans="1:1" x14ac:dyDescent="0.3">
      <c r="A7317" s="20"/>
    </row>
    <row r="7318" spans="1:1" x14ac:dyDescent="0.3">
      <c r="A7318" s="20"/>
    </row>
    <row r="7319" spans="1:1" x14ac:dyDescent="0.3">
      <c r="A7319" s="20"/>
    </row>
    <row r="7320" spans="1:1" x14ac:dyDescent="0.3">
      <c r="A7320" s="20"/>
    </row>
    <row r="7321" spans="1:1" x14ac:dyDescent="0.3">
      <c r="A7321" s="20"/>
    </row>
    <row r="7322" spans="1:1" x14ac:dyDescent="0.3">
      <c r="A7322" s="20"/>
    </row>
    <row r="7323" spans="1:1" x14ac:dyDescent="0.3">
      <c r="A7323" s="20"/>
    </row>
    <row r="7324" spans="1:1" x14ac:dyDescent="0.3">
      <c r="A7324" s="20"/>
    </row>
    <row r="7325" spans="1:1" x14ac:dyDescent="0.3">
      <c r="A7325" s="20"/>
    </row>
    <row r="7326" spans="1:1" x14ac:dyDescent="0.3">
      <c r="A7326" s="20"/>
    </row>
    <row r="7327" spans="1:1" x14ac:dyDescent="0.3">
      <c r="A7327" s="20"/>
    </row>
    <row r="7328" spans="1:1" x14ac:dyDescent="0.3">
      <c r="A7328" s="20"/>
    </row>
    <row r="7329" spans="1:1" x14ac:dyDescent="0.3">
      <c r="A7329" s="20"/>
    </row>
    <row r="7330" spans="1:1" x14ac:dyDescent="0.3">
      <c r="A7330" s="20"/>
    </row>
    <row r="7331" spans="1:1" x14ac:dyDescent="0.3">
      <c r="A7331" s="20"/>
    </row>
    <row r="7332" spans="1:1" x14ac:dyDescent="0.3">
      <c r="A7332" s="20"/>
    </row>
    <row r="7333" spans="1:1" x14ac:dyDescent="0.3">
      <c r="A7333" s="20"/>
    </row>
    <row r="7334" spans="1:1" x14ac:dyDescent="0.3">
      <c r="A7334" s="20"/>
    </row>
    <row r="7335" spans="1:1" x14ac:dyDescent="0.3">
      <c r="A7335" s="20"/>
    </row>
    <row r="7336" spans="1:1" x14ac:dyDescent="0.3">
      <c r="A7336" s="20"/>
    </row>
    <row r="7337" spans="1:1" x14ac:dyDescent="0.3">
      <c r="A7337" s="20"/>
    </row>
    <row r="7338" spans="1:1" x14ac:dyDescent="0.3">
      <c r="A7338" s="20"/>
    </row>
    <row r="7339" spans="1:1" x14ac:dyDescent="0.3">
      <c r="A7339" s="20"/>
    </row>
    <row r="7340" spans="1:1" x14ac:dyDescent="0.3">
      <c r="A7340" s="20"/>
    </row>
    <row r="7341" spans="1:1" x14ac:dyDescent="0.3">
      <c r="A7341" s="20"/>
    </row>
    <row r="7342" spans="1:1" x14ac:dyDescent="0.3">
      <c r="A7342" s="20"/>
    </row>
    <row r="7343" spans="1:1" x14ac:dyDescent="0.3">
      <c r="A7343" s="20"/>
    </row>
    <row r="7344" spans="1:1" x14ac:dyDescent="0.3">
      <c r="A7344" s="20"/>
    </row>
    <row r="7345" spans="1:1" x14ac:dyDescent="0.3">
      <c r="A7345" s="20"/>
    </row>
    <row r="7346" spans="1:1" x14ac:dyDescent="0.3">
      <c r="A7346" s="20"/>
    </row>
    <row r="7347" spans="1:1" x14ac:dyDescent="0.3">
      <c r="A7347" s="20"/>
    </row>
    <row r="7348" spans="1:1" x14ac:dyDescent="0.3">
      <c r="A7348" s="20"/>
    </row>
    <row r="7349" spans="1:1" x14ac:dyDescent="0.3">
      <c r="A7349" s="20"/>
    </row>
    <row r="7350" spans="1:1" x14ac:dyDescent="0.3">
      <c r="A7350" s="20"/>
    </row>
    <row r="7351" spans="1:1" x14ac:dyDescent="0.3">
      <c r="A7351" s="20"/>
    </row>
    <row r="7352" spans="1:1" x14ac:dyDescent="0.3">
      <c r="A7352" s="20"/>
    </row>
    <row r="7353" spans="1:1" x14ac:dyDescent="0.3">
      <c r="A7353" s="20"/>
    </row>
    <row r="7354" spans="1:1" x14ac:dyDescent="0.3">
      <c r="A7354" s="20"/>
    </row>
    <row r="7355" spans="1:1" x14ac:dyDescent="0.3">
      <c r="A7355" s="20"/>
    </row>
    <row r="7356" spans="1:1" x14ac:dyDescent="0.3">
      <c r="A7356" s="20"/>
    </row>
    <row r="7357" spans="1:1" x14ac:dyDescent="0.3">
      <c r="A7357" s="20"/>
    </row>
    <row r="7358" spans="1:1" x14ac:dyDescent="0.3">
      <c r="A7358" s="20"/>
    </row>
    <row r="7359" spans="1:1" x14ac:dyDescent="0.3">
      <c r="A7359" s="20"/>
    </row>
    <row r="7360" spans="1:1" x14ac:dyDescent="0.3">
      <c r="A7360" s="20"/>
    </row>
    <row r="7361" spans="1:1" x14ac:dyDescent="0.3">
      <c r="A7361" s="20"/>
    </row>
    <row r="7362" spans="1:1" x14ac:dyDescent="0.3">
      <c r="A7362" s="20"/>
    </row>
    <row r="7363" spans="1:1" x14ac:dyDescent="0.3">
      <c r="A7363" s="20"/>
    </row>
    <row r="7364" spans="1:1" x14ac:dyDescent="0.3">
      <c r="A7364" s="20"/>
    </row>
    <row r="7365" spans="1:1" x14ac:dyDescent="0.3">
      <c r="A7365" s="20"/>
    </row>
    <row r="7366" spans="1:1" x14ac:dyDescent="0.3">
      <c r="A7366" s="20"/>
    </row>
    <row r="7367" spans="1:1" x14ac:dyDescent="0.3">
      <c r="A7367" s="20"/>
    </row>
    <row r="7368" spans="1:1" x14ac:dyDescent="0.3">
      <c r="A7368" s="20"/>
    </row>
    <row r="7369" spans="1:1" x14ac:dyDescent="0.3">
      <c r="A7369" s="20"/>
    </row>
    <row r="7370" spans="1:1" x14ac:dyDescent="0.3">
      <c r="A7370" s="20"/>
    </row>
    <row r="7371" spans="1:1" x14ac:dyDescent="0.3">
      <c r="A7371" s="20"/>
    </row>
    <row r="7372" spans="1:1" x14ac:dyDescent="0.3">
      <c r="A7372" s="20"/>
    </row>
    <row r="7373" spans="1:1" x14ac:dyDescent="0.3">
      <c r="A7373" s="20"/>
    </row>
    <row r="7374" spans="1:1" x14ac:dyDescent="0.3">
      <c r="A7374" s="20"/>
    </row>
    <row r="7375" spans="1:1" x14ac:dyDescent="0.3">
      <c r="A7375" s="20"/>
    </row>
    <row r="7376" spans="1:1" x14ac:dyDescent="0.3">
      <c r="A7376" s="20"/>
    </row>
    <row r="7377" spans="1:1" x14ac:dyDescent="0.3">
      <c r="A7377" s="20"/>
    </row>
    <row r="7378" spans="1:1" x14ac:dyDescent="0.3">
      <c r="A7378" s="20"/>
    </row>
    <row r="7379" spans="1:1" x14ac:dyDescent="0.3">
      <c r="A7379" s="20"/>
    </row>
    <row r="7380" spans="1:1" x14ac:dyDescent="0.3">
      <c r="A7380" s="20"/>
    </row>
    <row r="7381" spans="1:1" x14ac:dyDescent="0.3">
      <c r="A7381" s="20"/>
    </row>
    <row r="7382" spans="1:1" x14ac:dyDescent="0.3">
      <c r="A7382" s="20"/>
    </row>
    <row r="7383" spans="1:1" x14ac:dyDescent="0.3">
      <c r="A7383" s="20"/>
    </row>
    <row r="7384" spans="1:1" x14ac:dyDescent="0.3">
      <c r="A7384" s="20"/>
    </row>
    <row r="7385" spans="1:1" x14ac:dyDescent="0.3">
      <c r="A7385" s="20"/>
    </row>
    <row r="7386" spans="1:1" x14ac:dyDescent="0.3">
      <c r="A7386" s="20"/>
    </row>
    <row r="7387" spans="1:1" x14ac:dyDescent="0.3">
      <c r="A7387" s="20"/>
    </row>
    <row r="7388" spans="1:1" x14ac:dyDescent="0.3">
      <c r="A7388" s="20"/>
    </row>
    <row r="7389" spans="1:1" x14ac:dyDescent="0.3">
      <c r="A7389" s="20"/>
    </row>
    <row r="7390" spans="1:1" x14ac:dyDescent="0.3">
      <c r="A7390" s="20"/>
    </row>
    <row r="7391" spans="1:1" x14ac:dyDescent="0.3">
      <c r="A7391" s="20"/>
    </row>
    <row r="7392" spans="1:1" x14ac:dyDescent="0.3">
      <c r="A7392" s="20"/>
    </row>
    <row r="7393" spans="1:1" x14ac:dyDescent="0.3">
      <c r="A7393" s="20"/>
    </row>
    <row r="7394" spans="1:1" x14ac:dyDescent="0.3">
      <c r="A7394" s="20"/>
    </row>
    <row r="7395" spans="1:1" x14ac:dyDescent="0.3">
      <c r="A7395" s="20"/>
    </row>
    <row r="7396" spans="1:1" x14ac:dyDescent="0.3">
      <c r="A7396" s="20"/>
    </row>
    <row r="7397" spans="1:1" x14ac:dyDescent="0.3">
      <c r="A7397" s="20"/>
    </row>
    <row r="7398" spans="1:1" x14ac:dyDescent="0.3">
      <c r="A7398" s="20"/>
    </row>
    <row r="7399" spans="1:1" x14ac:dyDescent="0.3">
      <c r="A7399" s="20"/>
    </row>
    <row r="7400" spans="1:1" x14ac:dyDescent="0.3">
      <c r="A7400" s="20"/>
    </row>
    <row r="7401" spans="1:1" x14ac:dyDescent="0.3">
      <c r="A7401" s="20"/>
    </row>
    <row r="7402" spans="1:1" x14ac:dyDescent="0.3">
      <c r="A7402" s="20"/>
    </row>
    <row r="7403" spans="1:1" x14ac:dyDescent="0.3">
      <c r="A7403" s="20"/>
    </row>
    <row r="7404" spans="1:1" x14ac:dyDescent="0.3">
      <c r="A7404" s="20"/>
    </row>
    <row r="7405" spans="1:1" x14ac:dyDescent="0.3">
      <c r="A7405" s="20"/>
    </row>
    <row r="7406" spans="1:1" x14ac:dyDescent="0.3">
      <c r="A7406" s="20"/>
    </row>
    <row r="7407" spans="1:1" x14ac:dyDescent="0.3">
      <c r="A7407" s="20"/>
    </row>
    <row r="7408" spans="1:1" x14ac:dyDescent="0.3">
      <c r="A7408" s="20"/>
    </row>
    <row r="7409" spans="1:1" x14ac:dyDescent="0.3">
      <c r="A7409" s="20"/>
    </row>
    <row r="7410" spans="1:1" x14ac:dyDescent="0.3">
      <c r="A7410" s="20"/>
    </row>
    <row r="7411" spans="1:1" x14ac:dyDescent="0.3">
      <c r="A7411" s="20"/>
    </row>
    <row r="7412" spans="1:1" x14ac:dyDescent="0.3">
      <c r="A7412" s="20"/>
    </row>
    <row r="7413" spans="1:1" x14ac:dyDescent="0.3">
      <c r="A7413" s="20"/>
    </row>
    <row r="7414" spans="1:1" x14ac:dyDescent="0.3">
      <c r="A7414" s="20"/>
    </row>
    <row r="7415" spans="1:1" x14ac:dyDescent="0.3">
      <c r="A7415" s="20"/>
    </row>
    <row r="7416" spans="1:1" x14ac:dyDescent="0.3">
      <c r="A7416" s="20"/>
    </row>
    <row r="7417" spans="1:1" x14ac:dyDescent="0.3">
      <c r="A7417" s="20"/>
    </row>
    <row r="7418" spans="1:1" x14ac:dyDescent="0.3">
      <c r="A7418" s="20"/>
    </row>
    <row r="7419" spans="1:1" x14ac:dyDescent="0.3">
      <c r="A7419" s="20"/>
    </row>
    <row r="7420" spans="1:1" x14ac:dyDescent="0.3">
      <c r="A7420" s="20"/>
    </row>
    <row r="7421" spans="1:1" x14ac:dyDescent="0.3">
      <c r="A7421" s="20"/>
    </row>
    <row r="7422" spans="1:1" x14ac:dyDescent="0.3">
      <c r="A7422" s="20"/>
    </row>
    <row r="7423" spans="1:1" x14ac:dyDescent="0.3">
      <c r="A7423" s="20"/>
    </row>
    <row r="7424" spans="1:1" x14ac:dyDescent="0.3">
      <c r="A7424" s="20"/>
    </row>
    <row r="7425" spans="1:1" x14ac:dyDescent="0.3">
      <c r="A7425" s="20"/>
    </row>
    <row r="7426" spans="1:1" x14ac:dyDescent="0.3">
      <c r="A7426" s="20"/>
    </row>
    <row r="7427" spans="1:1" x14ac:dyDescent="0.3">
      <c r="A7427" s="20"/>
    </row>
    <row r="7428" spans="1:1" x14ac:dyDescent="0.3">
      <c r="A7428" s="20"/>
    </row>
    <row r="7429" spans="1:1" x14ac:dyDescent="0.3">
      <c r="A7429" s="20"/>
    </row>
    <row r="7430" spans="1:1" x14ac:dyDescent="0.3">
      <c r="A7430" s="20"/>
    </row>
    <row r="7431" spans="1:1" x14ac:dyDescent="0.3">
      <c r="A7431" s="20"/>
    </row>
    <row r="7432" spans="1:1" x14ac:dyDescent="0.3">
      <c r="A7432" s="20"/>
    </row>
    <row r="7433" spans="1:1" x14ac:dyDescent="0.3">
      <c r="A7433" s="20"/>
    </row>
    <row r="7434" spans="1:1" x14ac:dyDescent="0.3">
      <c r="A7434" s="20"/>
    </row>
    <row r="7435" spans="1:1" x14ac:dyDescent="0.3">
      <c r="A7435" s="20"/>
    </row>
    <row r="7436" spans="1:1" x14ac:dyDescent="0.3">
      <c r="A7436" s="20"/>
    </row>
    <row r="7437" spans="1:1" x14ac:dyDescent="0.3">
      <c r="A7437" s="20"/>
    </row>
    <row r="7438" spans="1:1" x14ac:dyDescent="0.3">
      <c r="A7438" s="20"/>
    </row>
    <row r="7439" spans="1:1" x14ac:dyDescent="0.3">
      <c r="A7439" s="20"/>
    </row>
    <row r="7440" spans="1:1" x14ac:dyDescent="0.3">
      <c r="A7440" s="20"/>
    </row>
    <row r="7441" spans="1:1" x14ac:dyDescent="0.3">
      <c r="A7441" s="20"/>
    </row>
    <row r="7442" spans="1:1" x14ac:dyDescent="0.3">
      <c r="A7442" s="20"/>
    </row>
    <row r="7443" spans="1:1" x14ac:dyDescent="0.3">
      <c r="A7443" s="20"/>
    </row>
    <row r="7444" spans="1:1" x14ac:dyDescent="0.3">
      <c r="A7444" s="20"/>
    </row>
    <row r="7445" spans="1:1" x14ac:dyDescent="0.3">
      <c r="A7445" s="20"/>
    </row>
    <row r="7446" spans="1:1" x14ac:dyDescent="0.3">
      <c r="A7446" s="20"/>
    </row>
    <row r="7447" spans="1:1" x14ac:dyDescent="0.3">
      <c r="A7447" s="20"/>
    </row>
    <row r="7448" spans="1:1" x14ac:dyDescent="0.3">
      <c r="A7448" s="20"/>
    </row>
    <row r="7449" spans="1:1" x14ac:dyDescent="0.3">
      <c r="A7449" s="20"/>
    </row>
    <row r="7450" spans="1:1" x14ac:dyDescent="0.3">
      <c r="A7450" s="20"/>
    </row>
    <row r="7451" spans="1:1" x14ac:dyDescent="0.3">
      <c r="A7451" s="20"/>
    </row>
    <row r="7452" spans="1:1" x14ac:dyDescent="0.3">
      <c r="A7452" s="20"/>
    </row>
    <row r="7453" spans="1:1" x14ac:dyDescent="0.3">
      <c r="A7453" s="20"/>
    </row>
    <row r="7454" spans="1:1" x14ac:dyDescent="0.3">
      <c r="A7454" s="20"/>
    </row>
    <row r="7455" spans="1:1" x14ac:dyDescent="0.3">
      <c r="A7455" s="20"/>
    </row>
    <row r="7456" spans="1:1" x14ac:dyDescent="0.3">
      <c r="A7456" s="20"/>
    </row>
    <row r="7457" spans="1:1" x14ac:dyDescent="0.3">
      <c r="A7457" s="20"/>
    </row>
    <row r="7458" spans="1:1" x14ac:dyDescent="0.3">
      <c r="A7458" s="20"/>
    </row>
    <row r="7459" spans="1:1" x14ac:dyDescent="0.3">
      <c r="A7459" s="20"/>
    </row>
    <row r="7460" spans="1:1" x14ac:dyDescent="0.3">
      <c r="A7460" s="20"/>
    </row>
    <row r="7461" spans="1:1" x14ac:dyDescent="0.3">
      <c r="A7461" s="20"/>
    </row>
    <row r="7462" spans="1:1" x14ac:dyDescent="0.3">
      <c r="A7462" s="20"/>
    </row>
    <row r="7463" spans="1:1" x14ac:dyDescent="0.3">
      <c r="A7463" s="20"/>
    </row>
    <row r="7464" spans="1:1" x14ac:dyDescent="0.3">
      <c r="A7464" s="20"/>
    </row>
    <row r="7465" spans="1:1" x14ac:dyDescent="0.3">
      <c r="A7465" s="20"/>
    </row>
    <row r="7466" spans="1:1" x14ac:dyDescent="0.3">
      <c r="A7466" s="20"/>
    </row>
    <row r="7467" spans="1:1" x14ac:dyDescent="0.3">
      <c r="A7467" s="20"/>
    </row>
    <row r="7468" spans="1:1" x14ac:dyDescent="0.3">
      <c r="A7468" s="20"/>
    </row>
    <row r="7469" spans="1:1" x14ac:dyDescent="0.3">
      <c r="A7469" s="20"/>
    </row>
    <row r="7470" spans="1:1" x14ac:dyDescent="0.3">
      <c r="A7470" s="20"/>
    </row>
    <row r="7471" spans="1:1" x14ac:dyDescent="0.3">
      <c r="A7471" s="20"/>
    </row>
    <row r="7472" spans="1:1" x14ac:dyDescent="0.3">
      <c r="A7472" s="20"/>
    </row>
    <row r="7473" spans="1:1" x14ac:dyDescent="0.3">
      <c r="A7473" s="20"/>
    </row>
    <row r="7474" spans="1:1" x14ac:dyDescent="0.3">
      <c r="A7474" s="20"/>
    </row>
    <row r="7475" spans="1:1" x14ac:dyDescent="0.3">
      <c r="A7475" s="20"/>
    </row>
    <row r="7476" spans="1:1" x14ac:dyDescent="0.3">
      <c r="A7476" s="20"/>
    </row>
    <row r="7477" spans="1:1" x14ac:dyDescent="0.3">
      <c r="A7477" s="20"/>
    </row>
    <row r="7478" spans="1:1" x14ac:dyDescent="0.3">
      <c r="A7478" s="20"/>
    </row>
    <row r="7479" spans="1:1" x14ac:dyDescent="0.3">
      <c r="A7479" s="20"/>
    </row>
    <row r="7480" spans="1:1" x14ac:dyDescent="0.3">
      <c r="A7480" s="20"/>
    </row>
    <row r="7481" spans="1:1" x14ac:dyDescent="0.3">
      <c r="A7481" s="20"/>
    </row>
    <row r="7482" spans="1:1" x14ac:dyDescent="0.3">
      <c r="A7482" s="20"/>
    </row>
    <row r="7483" spans="1:1" x14ac:dyDescent="0.3">
      <c r="A7483" s="20"/>
    </row>
    <row r="7484" spans="1:1" x14ac:dyDescent="0.3">
      <c r="A7484" s="20"/>
    </row>
    <row r="7485" spans="1:1" x14ac:dyDescent="0.3">
      <c r="A7485" s="20"/>
    </row>
    <row r="7486" spans="1:1" x14ac:dyDescent="0.3">
      <c r="A7486" s="20"/>
    </row>
    <row r="7487" spans="1:1" x14ac:dyDescent="0.3">
      <c r="A7487" s="20"/>
    </row>
    <row r="7488" spans="1:1" x14ac:dyDescent="0.3">
      <c r="A7488" s="20"/>
    </row>
    <row r="7489" spans="1:1" x14ac:dyDescent="0.3">
      <c r="A7489" s="20"/>
    </row>
    <row r="7490" spans="1:1" x14ac:dyDescent="0.3">
      <c r="A7490" s="20"/>
    </row>
    <row r="7491" spans="1:1" x14ac:dyDescent="0.3">
      <c r="A7491" s="20"/>
    </row>
    <row r="7492" spans="1:1" x14ac:dyDescent="0.3">
      <c r="A7492" s="20"/>
    </row>
    <row r="7493" spans="1:1" x14ac:dyDescent="0.3">
      <c r="A7493" s="20"/>
    </row>
    <row r="7494" spans="1:1" x14ac:dyDescent="0.3">
      <c r="A7494" s="20"/>
    </row>
    <row r="7495" spans="1:1" x14ac:dyDescent="0.3">
      <c r="A7495" s="20"/>
    </row>
    <row r="7496" spans="1:1" x14ac:dyDescent="0.3">
      <c r="A7496" s="20"/>
    </row>
    <row r="7497" spans="1:1" x14ac:dyDescent="0.3">
      <c r="A7497" s="20"/>
    </row>
    <row r="7498" spans="1:1" x14ac:dyDescent="0.3">
      <c r="A7498" s="20"/>
    </row>
    <row r="7499" spans="1:1" x14ac:dyDescent="0.3">
      <c r="A7499" s="20"/>
    </row>
    <row r="7500" spans="1:1" x14ac:dyDescent="0.3">
      <c r="A7500" s="20"/>
    </row>
    <row r="7501" spans="1:1" x14ac:dyDescent="0.3">
      <c r="A7501" s="20"/>
    </row>
    <row r="7502" spans="1:1" x14ac:dyDescent="0.3">
      <c r="A7502" s="20"/>
    </row>
    <row r="7503" spans="1:1" x14ac:dyDescent="0.3">
      <c r="A7503" s="20"/>
    </row>
    <row r="7504" spans="1:1" x14ac:dyDescent="0.3">
      <c r="A7504" s="20"/>
    </row>
    <row r="7505" spans="1:1" x14ac:dyDescent="0.3">
      <c r="A7505" s="20"/>
    </row>
    <row r="7506" spans="1:1" x14ac:dyDescent="0.3">
      <c r="A7506" s="20"/>
    </row>
    <row r="7507" spans="1:1" x14ac:dyDescent="0.3">
      <c r="A7507" s="20"/>
    </row>
    <row r="7508" spans="1:1" x14ac:dyDescent="0.3">
      <c r="A7508" s="20"/>
    </row>
    <row r="7509" spans="1:1" x14ac:dyDescent="0.3">
      <c r="A7509" s="20"/>
    </row>
    <row r="7510" spans="1:1" x14ac:dyDescent="0.3">
      <c r="A7510" s="20"/>
    </row>
    <row r="7511" spans="1:1" x14ac:dyDescent="0.3">
      <c r="A7511" s="20"/>
    </row>
    <row r="7512" spans="1:1" x14ac:dyDescent="0.3">
      <c r="A7512" s="20"/>
    </row>
    <row r="7513" spans="1:1" x14ac:dyDescent="0.3">
      <c r="A7513" s="20"/>
    </row>
    <row r="7514" spans="1:1" x14ac:dyDescent="0.3">
      <c r="A7514" s="20"/>
    </row>
    <row r="7515" spans="1:1" x14ac:dyDescent="0.3">
      <c r="A7515" s="20"/>
    </row>
    <row r="7516" spans="1:1" x14ac:dyDescent="0.3">
      <c r="A7516" s="20"/>
    </row>
    <row r="7517" spans="1:1" x14ac:dyDescent="0.3">
      <c r="A7517" s="20"/>
    </row>
    <row r="7518" spans="1:1" x14ac:dyDescent="0.3">
      <c r="A7518" s="20"/>
    </row>
    <row r="7519" spans="1:1" x14ac:dyDescent="0.3">
      <c r="A7519" s="20"/>
    </row>
    <row r="7520" spans="1:1" x14ac:dyDescent="0.3">
      <c r="A7520" s="20"/>
    </row>
    <row r="7521" spans="1:1" x14ac:dyDescent="0.3">
      <c r="A7521" s="20"/>
    </row>
    <row r="7522" spans="1:1" x14ac:dyDescent="0.3">
      <c r="A7522" s="20"/>
    </row>
    <row r="7523" spans="1:1" x14ac:dyDescent="0.3">
      <c r="A7523" s="20"/>
    </row>
    <row r="7524" spans="1:1" x14ac:dyDescent="0.3">
      <c r="A7524" s="20"/>
    </row>
    <row r="7525" spans="1:1" x14ac:dyDescent="0.3">
      <c r="A7525" s="20"/>
    </row>
    <row r="7526" spans="1:1" x14ac:dyDescent="0.3">
      <c r="A7526" s="20"/>
    </row>
    <row r="7527" spans="1:1" x14ac:dyDescent="0.3">
      <c r="A7527" s="20"/>
    </row>
    <row r="7528" spans="1:1" x14ac:dyDescent="0.3">
      <c r="A7528" s="20"/>
    </row>
    <row r="7529" spans="1:1" x14ac:dyDescent="0.3">
      <c r="A7529" s="20"/>
    </row>
    <row r="7530" spans="1:1" x14ac:dyDescent="0.3">
      <c r="A7530" s="20"/>
    </row>
    <row r="7531" spans="1:1" x14ac:dyDescent="0.3">
      <c r="A7531" s="20"/>
    </row>
    <row r="7532" spans="1:1" x14ac:dyDescent="0.3">
      <c r="A7532" s="20"/>
    </row>
    <row r="7533" spans="1:1" x14ac:dyDescent="0.3">
      <c r="A7533" s="20"/>
    </row>
    <row r="7534" spans="1:1" x14ac:dyDescent="0.3">
      <c r="A7534" s="20"/>
    </row>
    <row r="7535" spans="1:1" x14ac:dyDescent="0.3">
      <c r="A7535" s="20"/>
    </row>
    <row r="7536" spans="1:1" x14ac:dyDescent="0.3">
      <c r="A7536" s="20"/>
    </row>
    <row r="7537" spans="1:1" x14ac:dyDescent="0.3">
      <c r="A7537" s="20"/>
    </row>
    <row r="7538" spans="1:1" x14ac:dyDescent="0.3">
      <c r="A7538" s="20"/>
    </row>
    <row r="7539" spans="1:1" x14ac:dyDescent="0.3">
      <c r="A7539" s="20"/>
    </row>
    <row r="7540" spans="1:1" x14ac:dyDescent="0.3">
      <c r="A7540" s="20"/>
    </row>
    <row r="7541" spans="1:1" x14ac:dyDescent="0.3">
      <c r="A7541" s="20"/>
    </row>
    <row r="7542" spans="1:1" x14ac:dyDescent="0.3">
      <c r="A7542" s="20"/>
    </row>
    <row r="7543" spans="1:1" x14ac:dyDescent="0.3">
      <c r="A7543" s="20"/>
    </row>
    <row r="7544" spans="1:1" x14ac:dyDescent="0.3">
      <c r="A7544" s="20"/>
    </row>
    <row r="7545" spans="1:1" x14ac:dyDescent="0.3">
      <c r="A7545" s="20"/>
    </row>
    <row r="7546" spans="1:1" x14ac:dyDescent="0.3">
      <c r="A7546" s="20"/>
    </row>
    <row r="7547" spans="1:1" x14ac:dyDescent="0.3">
      <c r="A7547" s="20"/>
    </row>
    <row r="7548" spans="1:1" x14ac:dyDescent="0.3">
      <c r="A7548" s="20"/>
    </row>
    <row r="7549" spans="1:1" x14ac:dyDescent="0.3">
      <c r="A7549" s="20"/>
    </row>
    <row r="7550" spans="1:1" x14ac:dyDescent="0.3">
      <c r="A7550" s="20"/>
    </row>
    <row r="7551" spans="1:1" x14ac:dyDescent="0.3">
      <c r="A7551" s="20"/>
    </row>
    <row r="7552" spans="1:1" x14ac:dyDescent="0.3">
      <c r="A7552" s="20"/>
    </row>
    <row r="7553" spans="1:1" x14ac:dyDescent="0.3">
      <c r="A7553" s="20"/>
    </row>
    <row r="7554" spans="1:1" x14ac:dyDescent="0.3">
      <c r="A7554" s="20"/>
    </row>
    <row r="7555" spans="1:1" x14ac:dyDescent="0.3">
      <c r="A7555" s="20"/>
    </row>
    <row r="7556" spans="1:1" x14ac:dyDescent="0.3">
      <c r="A7556" s="20"/>
    </row>
    <row r="7557" spans="1:1" x14ac:dyDescent="0.3">
      <c r="A7557" s="20"/>
    </row>
    <row r="7558" spans="1:1" x14ac:dyDescent="0.3">
      <c r="A7558" s="20"/>
    </row>
    <row r="7559" spans="1:1" x14ac:dyDescent="0.3">
      <c r="A7559" s="20"/>
    </row>
    <row r="7560" spans="1:1" x14ac:dyDescent="0.3">
      <c r="A7560" s="20"/>
    </row>
    <row r="7561" spans="1:1" x14ac:dyDescent="0.3">
      <c r="A7561" s="20"/>
    </row>
    <row r="7562" spans="1:1" x14ac:dyDescent="0.3">
      <c r="A7562" s="20"/>
    </row>
    <row r="7563" spans="1:1" x14ac:dyDescent="0.3">
      <c r="A7563" s="20"/>
    </row>
    <row r="7564" spans="1:1" x14ac:dyDescent="0.3">
      <c r="A7564" s="20"/>
    </row>
    <row r="7565" spans="1:1" x14ac:dyDescent="0.3">
      <c r="A7565" s="20"/>
    </row>
    <row r="7566" spans="1:1" x14ac:dyDescent="0.3">
      <c r="A7566" s="20"/>
    </row>
    <row r="7567" spans="1:1" x14ac:dyDescent="0.3">
      <c r="A7567" s="20"/>
    </row>
    <row r="7568" spans="1:1" x14ac:dyDescent="0.3">
      <c r="A7568" s="20"/>
    </row>
    <row r="7569" spans="1:1" x14ac:dyDescent="0.3">
      <c r="A7569" s="20"/>
    </row>
    <row r="7570" spans="1:1" x14ac:dyDescent="0.3">
      <c r="A7570" s="20"/>
    </row>
    <row r="7571" spans="1:1" x14ac:dyDescent="0.3">
      <c r="A7571" s="20"/>
    </row>
    <row r="7572" spans="1:1" x14ac:dyDescent="0.3">
      <c r="A7572" s="20"/>
    </row>
    <row r="7573" spans="1:1" x14ac:dyDescent="0.3">
      <c r="A7573" s="20"/>
    </row>
    <row r="7574" spans="1:1" x14ac:dyDescent="0.3">
      <c r="A7574" s="20"/>
    </row>
    <row r="7575" spans="1:1" x14ac:dyDescent="0.3">
      <c r="A7575" s="20"/>
    </row>
    <row r="7576" spans="1:1" x14ac:dyDescent="0.3">
      <c r="A7576" s="20"/>
    </row>
    <row r="7577" spans="1:1" x14ac:dyDescent="0.3">
      <c r="A7577" s="20"/>
    </row>
    <row r="7578" spans="1:1" x14ac:dyDescent="0.3">
      <c r="A7578" s="20"/>
    </row>
    <row r="7579" spans="1:1" x14ac:dyDescent="0.3">
      <c r="A7579" s="20"/>
    </row>
    <row r="7580" spans="1:1" x14ac:dyDescent="0.3">
      <c r="A7580" s="20"/>
    </row>
    <row r="7581" spans="1:1" x14ac:dyDescent="0.3">
      <c r="A7581" s="20"/>
    </row>
    <row r="7582" spans="1:1" x14ac:dyDescent="0.3">
      <c r="A7582" s="20"/>
    </row>
    <row r="7583" spans="1:1" x14ac:dyDescent="0.3">
      <c r="A7583" s="20"/>
    </row>
    <row r="7584" spans="1:1" x14ac:dyDescent="0.3">
      <c r="A7584" s="20"/>
    </row>
    <row r="7585" spans="1:1" x14ac:dyDescent="0.3">
      <c r="A7585" s="20"/>
    </row>
    <row r="7586" spans="1:1" x14ac:dyDescent="0.3">
      <c r="A7586" s="20"/>
    </row>
    <row r="7587" spans="1:1" x14ac:dyDescent="0.3">
      <c r="A7587" s="20"/>
    </row>
    <row r="7588" spans="1:1" x14ac:dyDescent="0.3">
      <c r="A7588" s="20"/>
    </row>
    <row r="7589" spans="1:1" x14ac:dyDescent="0.3">
      <c r="A7589" s="20"/>
    </row>
    <row r="7590" spans="1:1" x14ac:dyDescent="0.3">
      <c r="A7590" s="20"/>
    </row>
    <row r="7591" spans="1:1" x14ac:dyDescent="0.3">
      <c r="A7591" s="20"/>
    </row>
    <row r="7592" spans="1:1" x14ac:dyDescent="0.3">
      <c r="A7592" s="20"/>
    </row>
    <row r="7593" spans="1:1" x14ac:dyDescent="0.3">
      <c r="A7593" s="20"/>
    </row>
    <row r="7594" spans="1:1" x14ac:dyDescent="0.3">
      <c r="A7594" s="20"/>
    </row>
    <row r="7595" spans="1:1" x14ac:dyDescent="0.3">
      <c r="A7595" s="20"/>
    </row>
    <row r="7596" spans="1:1" x14ac:dyDescent="0.3">
      <c r="A7596" s="20"/>
    </row>
    <row r="7597" spans="1:1" x14ac:dyDescent="0.3">
      <c r="A7597" s="20"/>
    </row>
    <row r="7598" spans="1:1" x14ac:dyDescent="0.3">
      <c r="A7598" s="20"/>
    </row>
    <row r="7599" spans="1:1" x14ac:dyDescent="0.3">
      <c r="A7599" s="20"/>
    </row>
    <row r="7600" spans="1:1" x14ac:dyDescent="0.3">
      <c r="A7600" s="20"/>
    </row>
    <row r="7601" spans="1:1" x14ac:dyDescent="0.3">
      <c r="A7601" s="20"/>
    </row>
    <row r="7602" spans="1:1" x14ac:dyDescent="0.3">
      <c r="A7602" s="20"/>
    </row>
    <row r="7603" spans="1:1" x14ac:dyDescent="0.3">
      <c r="A7603" s="20"/>
    </row>
    <row r="7604" spans="1:1" x14ac:dyDescent="0.3">
      <c r="A7604" s="20"/>
    </row>
    <row r="7605" spans="1:1" x14ac:dyDescent="0.3">
      <c r="A7605" s="20"/>
    </row>
    <row r="7606" spans="1:1" x14ac:dyDescent="0.3">
      <c r="A7606" s="20"/>
    </row>
    <row r="7607" spans="1:1" x14ac:dyDescent="0.3">
      <c r="A7607" s="20"/>
    </row>
    <row r="7608" spans="1:1" x14ac:dyDescent="0.3">
      <c r="A7608" s="20"/>
    </row>
    <row r="7609" spans="1:1" x14ac:dyDescent="0.3">
      <c r="A7609" s="20"/>
    </row>
    <row r="7610" spans="1:1" x14ac:dyDescent="0.3">
      <c r="A7610" s="20"/>
    </row>
    <row r="7611" spans="1:1" x14ac:dyDescent="0.3">
      <c r="A7611" s="20"/>
    </row>
    <row r="7612" spans="1:1" x14ac:dyDescent="0.3">
      <c r="A7612" s="20"/>
    </row>
    <row r="7613" spans="1:1" x14ac:dyDescent="0.3">
      <c r="A7613" s="20"/>
    </row>
    <row r="7614" spans="1:1" x14ac:dyDescent="0.3">
      <c r="A7614" s="20"/>
    </row>
    <row r="7615" spans="1:1" x14ac:dyDescent="0.3">
      <c r="A7615" s="20"/>
    </row>
    <row r="7616" spans="1:1" x14ac:dyDescent="0.3">
      <c r="A7616" s="20"/>
    </row>
    <row r="7617" spans="1:1" x14ac:dyDescent="0.3">
      <c r="A7617" s="20"/>
    </row>
    <row r="7618" spans="1:1" x14ac:dyDescent="0.3">
      <c r="A7618" s="20"/>
    </row>
    <row r="7619" spans="1:1" x14ac:dyDescent="0.3">
      <c r="A7619" s="20"/>
    </row>
    <row r="7620" spans="1:1" x14ac:dyDescent="0.3">
      <c r="A7620" s="20"/>
    </row>
    <row r="7621" spans="1:1" x14ac:dyDescent="0.3">
      <c r="A7621" s="20"/>
    </row>
    <row r="7622" spans="1:1" x14ac:dyDescent="0.3">
      <c r="A7622" s="20"/>
    </row>
    <row r="7623" spans="1:1" x14ac:dyDescent="0.3">
      <c r="A7623" s="20"/>
    </row>
    <row r="7624" spans="1:1" x14ac:dyDescent="0.3">
      <c r="A7624" s="20"/>
    </row>
    <row r="7625" spans="1:1" x14ac:dyDescent="0.3">
      <c r="A7625" s="20"/>
    </row>
    <row r="7626" spans="1:1" x14ac:dyDescent="0.3">
      <c r="A7626" s="20"/>
    </row>
    <row r="7627" spans="1:1" x14ac:dyDescent="0.3">
      <c r="A7627" s="20"/>
    </row>
    <row r="7628" spans="1:1" x14ac:dyDescent="0.3">
      <c r="A7628" s="20"/>
    </row>
    <row r="7629" spans="1:1" x14ac:dyDescent="0.3">
      <c r="A7629" s="20"/>
    </row>
    <row r="7630" spans="1:1" x14ac:dyDescent="0.3">
      <c r="A7630" s="20"/>
    </row>
    <row r="7631" spans="1:1" x14ac:dyDescent="0.3">
      <c r="A7631" s="20"/>
    </row>
    <row r="7632" spans="1:1" x14ac:dyDescent="0.3">
      <c r="A7632" s="20"/>
    </row>
    <row r="7633" spans="1:1" x14ac:dyDescent="0.3">
      <c r="A7633" s="20"/>
    </row>
    <row r="7634" spans="1:1" x14ac:dyDescent="0.3">
      <c r="A7634" s="20"/>
    </row>
    <row r="7635" spans="1:1" x14ac:dyDescent="0.3">
      <c r="A7635" s="20"/>
    </row>
    <row r="7636" spans="1:1" x14ac:dyDescent="0.3">
      <c r="A7636" s="20"/>
    </row>
    <row r="7637" spans="1:1" x14ac:dyDescent="0.3">
      <c r="A7637" s="20"/>
    </row>
    <row r="7638" spans="1:1" x14ac:dyDescent="0.3">
      <c r="A7638" s="20"/>
    </row>
    <row r="7639" spans="1:1" x14ac:dyDescent="0.3">
      <c r="A7639" s="20"/>
    </row>
    <row r="7640" spans="1:1" x14ac:dyDescent="0.3">
      <c r="A7640" s="20"/>
    </row>
    <row r="7641" spans="1:1" x14ac:dyDescent="0.3">
      <c r="A7641" s="20"/>
    </row>
    <row r="7642" spans="1:1" x14ac:dyDescent="0.3">
      <c r="A7642" s="20"/>
    </row>
    <row r="7643" spans="1:1" x14ac:dyDescent="0.3">
      <c r="A7643" s="20"/>
    </row>
    <row r="7644" spans="1:1" x14ac:dyDescent="0.3">
      <c r="A7644" s="20"/>
    </row>
    <row r="7645" spans="1:1" x14ac:dyDescent="0.3">
      <c r="A7645" s="20"/>
    </row>
    <row r="7646" spans="1:1" x14ac:dyDescent="0.3">
      <c r="A7646" s="20"/>
    </row>
    <row r="7647" spans="1:1" x14ac:dyDescent="0.3">
      <c r="A7647" s="20"/>
    </row>
    <row r="7648" spans="1:1" x14ac:dyDescent="0.3">
      <c r="A7648" s="20"/>
    </row>
    <row r="7649" spans="1:1" x14ac:dyDescent="0.3">
      <c r="A7649" s="20"/>
    </row>
    <row r="7650" spans="1:1" x14ac:dyDescent="0.3">
      <c r="A7650" s="20"/>
    </row>
    <row r="7651" spans="1:1" x14ac:dyDescent="0.3">
      <c r="A7651" s="20"/>
    </row>
    <row r="7652" spans="1:1" x14ac:dyDescent="0.3">
      <c r="A7652" s="20"/>
    </row>
    <row r="7653" spans="1:1" x14ac:dyDescent="0.3">
      <c r="A7653" s="20"/>
    </row>
    <row r="7654" spans="1:1" x14ac:dyDescent="0.3">
      <c r="A7654" s="20"/>
    </row>
    <row r="7655" spans="1:1" x14ac:dyDescent="0.3">
      <c r="A7655" s="20"/>
    </row>
    <row r="7656" spans="1:1" x14ac:dyDescent="0.3">
      <c r="A7656" s="20"/>
    </row>
    <row r="7657" spans="1:1" x14ac:dyDescent="0.3">
      <c r="A7657" s="20"/>
    </row>
    <row r="7658" spans="1:1" x14ac:dyDescent="0.3">
      <c r="A7658" s="20"/>
    </row>
    <row r="7659" spans="1:1" x14ac:dyDescent="0.3">
      <c r="A7659" s="20"/>
    </row>
    <row r="7660" spans="1:1" x14ac:dyDescent="0.3">
      <c r="A7660" s="20"/>
    </row>
    <row r="7661" spans="1:1" x14ac:dyDescent="0.3">
      <c r="A7661" s="20"/>
    </row>
    <row r="7662" spans="1:1" x14ac:dyDescent="0.3">
      <c r="A7662" s="20"/>
    </row>
    <row r="7663" spans="1:1" x14ac:dyDescent="0.3">
      <c r="A7663" s="20"/>
    </row>
    <row r="7664" spans="1:1" x14ac:dyDescent="0.3">
      <c r="A7664" s="20"/>
    </row>
    <row r="7665" spans="1:1" x14ac:dyDescent="0.3">
      <c r="A7665" s="20"/>
    </row>
    <row r="7666" spans="1:1" x14ac:dyDescent="0.3">
      <c r="A7666" s="20"/>
    </row>
    <row r="7667" spans="1:1" x14ac:dyDescent="0.3">
      <c r="A7667" s="20"/>
    </row>
    <row r="7668" spans="1:1" x14ac:dyDescent="0.3">
      <c r="A7668" s="20"/>
    </row>
    <row r="7669" spans="1:1" x14ac:dyDescent="0.3">
      <c r="A7669" s="20"/>
    </row>
    <row r="7670" spans="1:1" x14ac:dyDescent="0.3">
      <c r="A7670" s="20"/>
    </row>
    <row r="7671" spans="1:1" x14ac:dyDescent="0.3">
      <c r="A7671" s="20"/>
    </row>
    <row r="7672" spans="1:1" x14ac:dyDescent="0.3">
      <c r="A7672" s="20"/>
    </row>
    <row r="7673" spans="1:1" x14ac:dyDescent="0.3">
      <c r="A7673" s="20"/>
    </row>
    <row r="7674" spans="1:1" x14ac:dyDescent="0.3">
      <c r="A7674" s="20"/>
    </row>
    <row r="7675" spans="1:1" x14ac:dyDescent="0.3">
      <c r="A7675" s="20"/>
    </row>
    <row r="7676" spans="1:1" x14ac:dyDescent="0.3">
      <c r="A7676" s="20"/>
    </row>
    <row r="7677" spans="1:1" x14ac:dyDescent="0.3">
      <c r="A7677" s="20"/>
    </row>
    <row r="7678" spans="1:1" x14ac:dyDescent="0.3">
      <c r="A7678" s="20"/>
    </row>
    <row r="7679" spans="1:1" x14ac:dyDescent="0.3">
      <c r="A7679" s="20"/>
    </row>
    <row r="7680" spans="1:1" x14ac:dyDescent="0.3">
      <c r="A7680" s="20"/>
    </row>
    <row r="7681" spans="1:1" x14ac:dyDescent="0.3">
      <c r="A7681" s="20"/>
    </row>
    <row r="7682" spans="1:1" x14ac:dyDescent="0.3">
      <c r="A7682" s="20"/>
    </row>
    <row r="7683" spans="1:1" x14ac:dyDescent="0.3">
      <c r="A7683" s="20"/>
    </row>
    <row r="7684" spans="1:1" x14ac:dyDescent="0.3">
      <c r="A7684" s="20"/>
    </row>
    <row r="7685" spans="1:1" x14ac:dyDescent="0.3">
      <c r="A7685" s="20"/>
    </row>
    <row r="7686" spans="1:1" x14ac:dyDescent="0.3">
      <c r="A7686" s="20"/>
    </row>
    <row r="7687" spans="1:1" x14ac:dyDescent="0.3">
      <c r="A7687" s="20"/>
    </row>
    <row r="7688" spans="1:1" x14ac:dyDescent="0.3">
      <c r="A7688" s="20"/>
    </row>
    <row r="7689" spans="1:1" x14ac:dyDescent="0.3">
      <c r="A7689" s="20"/>
    </row>
    <row r="7690" spans="1:1" x14ac:dyDescent="0.3">
      <c r="A7690" s="20"/>
    </row>
    <row r="7691" spans="1:1" x14ac:dyDescent="0.3">
      <c r="A7691" s="20"/>
    </row>
    <row r="7692" spans="1:1" x14ac:dyDescent="0.3">
      <c r="A7692" s="20"/>
    </row>
    <row r="7693" spans="1:1" x14ac:dyDescent="0.3">
      <c r="A7693" s="20"/>
    </row>
    <row r="7694" spans="1:1" x14ac:dyDescent="0.3">
      <c r="A7694" s="20"/>
    </row>
    <row r="7695" spans="1:1" x14ac:dyDescent="0.3">
      <c r="A7695" s="20"/>
    </row>
    <row r="7696" spans="1:1" x14ac:dyDescent="0.3">
      <c r="A7696" s="20"/>
    </row>
    <row r="7697" spans="1:1" x14ac:dyDescent="0.3">
      <c r="A7697" s="20"/>
    </row>
    <row r="7698" spans="1:1" x14ac:dyDescent="0.3">
      <c r="A7698" s="20"/>
    </row>
    <row r="7699" spans="1:1" x14ac:dyDescent="0.3">
      <c r="A7699" s="20"/>
    </row>
    <row r="7700" spans="1:1" x14ac:dyDescent="0.3">
      <c r="A7700" s="20"/>
    </row>
    <row r="7701" spans="1:1" x14ac:dyDescent="0.3">
      <c r="A7701" s="20"/>
    </row>
    <row r="7702" spans="1:1" x14ac:dyDescent="0.3">
      <c r="A7702" s="20"/>
    </row>
    <row r="7703" spans="1:1" x14ac:dyDescent="0.3">
      <c r="A7703" s="20"/>
    </row>
    <row r="7704" spans="1:1" x14ac:dyDescent="0.3">
      <c r="A7704" s="20"/>
    </row>
    <row r="7705" spans="1:1" x14ac:dyDescent="0.3">
      <c r="A7705" s="20"/>
    </row>
    <row r="7706" spans="1:1" x14ac:dyDescent="0.3">
      <c r="A7706" s="20"/>
    </row>
    <row r="7707" spans="1:1" x14ac:dyDescent="0.3">
      <c r="A7707" s="20"/>
    </row>
    <row r="7708" spans="1:1" x14ac:dyDescent="0.3">
      <c r="A7708" s="20"/>
    </row>
    <row r="7709" spans="1:1" x14ac:dyDescent="0.3">
      <c r="A7709" s="20"/>
    </row>
    <row r="7710" spans="1:1" x14ac:dyDescent="0.3">
      <c r="A7710" s="20"/>
    </row>
    <row r="7711" spans="1:1" x14ac:dyDescent="0.3">
      <c r="A7711" s="20"/>
    </row>
    <row r="7712" spans="1:1" x14ac:dyDescent="0.3">
      <c r="A7712" s="20"/>
    </row>
    <row r="7713" spans="1:1" x14ac:dyDescent="0.3">
      <c r="A7713" s="20"/>
    </row>
    <row r="7714" spans="1:1" x14ac:dyDescent="0.3">
      <c r="A7714" s="20"/>
    </row>
    <row r="7715" spans="1:1" x14ac:dyDescent="0.3">
      <c r="A7715" s="20"/>
    </row>
    <row r="7716" spans="1:1" x14ac:dyDescent="0.3">
      <c r="A7716" s="20"/>
    </row>
    <row r="7717" spans="1:1" x14ac:dyDescent="0.3">
      <c r="A7717" s="20"/>
    </row>
    <row r="7718" spans="1:1" x14ac:dyDescent="0.3">
      <c r="A7718" s="20"/>
    </row>
    <row r="7719" spans="1:1" x14ac:dyDescent="0.3">
      <c r="A7719" s="20"/>
    </row>
    <row r="7720" spans="1:1" x14ac:dyDescent="0.3">
      <c r="A7720" s="20"/>
    </row>
    <row r="7721" spans="1:1" x14ac:dyDescent="0.3">
      <c r="A7721" s="20"/>
    </row>
    <row r="7722" spans="1:1" x14ac:dyDescent="0.3">
      <c r="A7722" s="20"/>
    </row>
    <row r="7723" spans="1:1" x14ac:dyDescent="0.3">
      <c r="A7723" s="20"/>
    </row>
    <row r="7724" spans="1:1" x14ac:dyDescent="0.3">
      <c r="A7724" s="20"/>
    </row>
    <row r="7725" spans="1:1" x14ac:dyDescent="0.3">
      <c r="A7725" s="20"/>
    </row>
    <row r="7726" spans="1:1" x14ac:dyDescent="0.3">
      <c r="A7726" s="20"/>
    </row>
    <row r="7727" spans="1:1" x14ac:dyDescent="0.3">
      <c r="A7727" s="20"/>
    </row>
    <row r="7728" spans="1:1" x14ac:dyDescent="0.3">
      <c r="A7728" s="20"/>
    </row>
    <row r="7729" spans="1:1" x14ac:dyDescent="0.3">
      <c r="A7729" s="20"/>
    </row>
    <row r="7730" spans="1:1" x14ac:dyDescent="0.3">
      <c r="A7730" s="20"/>
    </row>
    <row r="7731" spans="1:1" x14ac:dyDescent="0.3">
      <c r="A7731" s="20"/>
    </row>
    <row r="7732" spans="1:1" x14ac:dyDescent="0.3">
      <c r="A7732" s="20"/>
    </row>
    <row r="7733" spans="1:1" x14ac:dyDescent="0.3">
      <c r="A7733" s="20"/>
    </row>
    <row r="7734" spans="1:1" x14ac:dyDescent="0.3">
      <c r="A7734" s="20"/>
    </row>
    <row r="7735" spans="1:1" x14ac:dyDescent="0.3">
      <c r="A7735" s="20"/>
    </row>
    <row r="7736" spans="1:1" x14ac:dyDescent="0.3">
      <c r="A7736" s="20"/>
    </row>
    <row r="7737" spans="1:1" x14ac:dyDescent="0.3">
      <c r="A7737" s="20"/>
    </row>
    <row r="7738" spans="1:1" x14ac:dyDescent="0.3">
      <c r="A7738" s="20"/>
    </row>
    <row r="7739" spans="1:1" x14ac:dyDescent="0.3">
      <c r="A7739" s="20"/>
    </row>
    <row r="7740" spans="1:1" x14ac:dyDescent="0.3">
      <c r="A7740" s="20"/>
    </row>
    <row r="7741" spans="1:1" x14ac:dyDescent="0.3">
      <c r="A7741" s="20"/>
    </row>
    <row r="7742" spans="1:1" x14ac:dyDescent="0.3">
      <c r="A7742" s="20"/>
    </row>
    <row r="7743" spans="1:1" x14ac:dyDescent="0.3">
      <c r="A7743" s="20"/>
    </row>
    <row r="7744" spans="1:1" x14ac:dyDescent="0.3">
      <c r="A7744" s="20"/>
    </row>
    <row r="7745" spans="1:1" x14ac:dyDescent="0.3">
      <c r="A7745" s="20"/>
    </row>
    <row r="7746" spans="1:1" x14ac:dyDescent="0.3">
      <c r="A7746" s="20"/>
    </row>
    <row r="7747" spans="1:1" x14ac:dyDescent="0.3">
      <c r="A7747" s="20"/>
    </row>
    <row r="7748" spans="1:1" x14ac:dyDescent="0.3">
      <c r="A7748" s="20"/>
    </row>
    <row r="7749" spans="1:1" x14ac:dyDescent="0.3">
      <c r="A7749" s="20"/>
    </row>
    <row r="7750" spans="1:1" x14ac:dyDescent="0.3">
      <c r="A7750" s="20"/>
    </row>
    <row r="7751" spans="1:1" x14ac:dyDescent="0.3">
      <c r="A7751" s="20"/>
    </row>
    <row r="7752" spans="1:1" x14ac:dyDescent="0.3">
      <c r="A7752" s="20"/>
    </row>
    <row r="7753" spans="1:1" x14ac:dyDescent="0.3">
      <c r="A7753" s="20"/>
    </row>
    <row r="7754" spans="1:1" x14ac:dyDescent="0.3">
      <c r="A7754" s="20"/>
    </row>
    <row r="7755" spans="1:1" x14ac:dyDescent="0.3">
      <c r="A7755" s="20"/>
    </row>
    <row r="7756" spans="1:1" x14ac:dyDescent="0.3">
      <c r="A7756" s="20"/>
    </row>
    <row r="7757" spans="1:1" x14ac:dyDescent="0.3">
      <c r="A7757" s="20"/>
    </row>
    <row r="7758" spans="1:1" x14ac:dyDescent="0.3">
      <c r="A7758" s="20"/>
    </row>
    <row r="7759" spans="1:1" x14ac:dyDescent="0.3">
      <c r="A7759" s="20"/>
    </row>
    <row r="7760" spans="1:1" x14ac:dyDescent="0.3">
      <c r="A7760" s="20"/>
    </row>
    <row r="7761" spans="1:1" x14ac:dyDescent="0.3">
      <c r="A7761" s="20"/>
    </row>
    <row r="7762" spans="1:1" x14ac:dyDescent="0.3">
      <c r="A7762" s="20"/>
    </row>
    <row r="7763" spans="1:1" x14ac:dyDescent="0.3">
      <c r="A7763" s="20"/>
    </row>
    <row r="7764" spans="1:1" x14ac:dyDescent="0.3">
      <c r="A7764" s="20"/>
    </row>
    <row r="7765" spans="1:1" x14ac:dyDescent="0.3">
      <c r="A7765" s="20"/>
    </row>
    <row r="7766" spans="1:1" x14ac:dyDescent="0.3">
      <c r="A7766" s="20"/>
    </row>
    <row r="7767" spans="1:1" x14ac:dyDescent="0.3">
      <c r="A7767" s="20"/>
    </row>
    <row r="7768" spans="1:1" x14ac:dyDescent="0.3">
      <c r="A7768" s="20"/>
    </row>
    <row r="7769" spans="1:1" x14ac:dyDescent="0.3">
      <c r="A7769" s="20"/>
    </row>
    <row r="7770" spans="1:1" x14ac:dyDescent="0.3">
      <c r="A7770" s="20"/>
    </row>
    <row r="7771" spans="1:1" x14ac:dyDescent="0.3">
      <c r="A7771" s="20"/>
    </row>
    <row r="7772" spans="1:1" x14ac:dyDescent="0.3">
      <c r="A7772" s="20"/>
    </row>
    <row r="7773" spans="1:1" x14ac:dyDescent="0.3">
      <c r="A7773" s="20"/>
    </row>
    <row r="7774" spans="1:1" x14ac:dyDescent="0.3">
      <c r="A7774" s="20"/>
    </row>
    <row r="7775" spans="1:1" x14ac:dyDescent="0.3">
      <c r="A7775" s="20"/>
    </row>
    <row r="7776" spans="1:1" x14ac:dyDescent="0.3">
      <c r="A7776" s="20"/>
    </row>
    <row r="7777" spans="1:1" x14ac:dyDescent="0.3">
      <c r="A7777" s="20"/>
    </row>
    <row r="7778" spans="1:1" x14ac:dyDescent="0.3">
      <c r="A7778" s="20"/>
    </row>
    <row r="7779" spans="1:1" x14ac:dyDescent="0.3">
      <c r="A7779" s="20"/>
    </row>
    <row r="7780" spans="1:1" x14ac:dyDescent="0.3">
      <c r="A7780" s="20"/>
    </row>
    <row r="7781" spans="1:1" x14ac:dyDescent="0.3">
      <c r="A7781" s="20"/>
    </row>
    <row r="7782" spans="1:1" x14ac:dyDescent="0.3">
      <c r="A7782" s="20"/>
    </row>
    <row r="7783" spans="1:1" x14ac:dyDescent="0.3">
      <c r="A7783" s="20"/>
    </row>
    <row r="7784" spans="1:1" x14ac:dyDescent="0.3">
      <c r="A7784" s="20"/>
    </row>
    <row r="7785" spans="1:1" x14ac:dyDescent="0.3">
      <c r="A7785" s="20"/>
    </row>
    <row r="7786" spans="1:1" x14ac:dyDescent="0.3">
      <c r="A7786" s="20"/>
    </row>
    <row r="7787" spans="1:1" x14ac:dyDescent="0.3">
      <c r="A7787" s="20"/>
    </row>
    <row r="7788" spans="1:1" x14ac:dyDescent="0.3">
      <c r="A7788" s="20"/>
    </row>
    <row r="7789" spans="1:1" x14ac:dyDescent="0.3">
      <c r="A7789" s="20"/>
    </row>
    <row r="7790" spans="1:1" x14ac:dyDescent="0.3">
      <c r="A7790" s="20"/>
    </row>
    <row r="7791" spans="1:1" x14ac:dyDescent="0.3">
      <c r="A7791" s="20"/>
    </row>
    <row r="7792" spans="1:1" x14ac:dyDescent="0.3">
      <c r="A7792" s="20"/>
    </row>
    <row r="7793" spans="1:1" x14ac:dyDescent="0.3">
      <c r="A7793" s="20"/>
    </row>
    <row r="7794" spans="1:1" x14ac:dyDescent="0.3">
      <c r="A7794" s="20"/>
    </row>
    <row r="7795" spans="1:1" x14ac:dyDescent="0.3">
      <c r="A7795" s="20"/>
    </row>
    <row r="7796" spans="1:1" x14ac:dyDescent="0.3">
      <c r="A7796" s="20"/>
    </row>
    <row r="7797" spans="1:1" x14ac:dyDescent="0.3">
      <c r="A7797" s="20"/>
    </row>
    <row r="7798" spans="1:1" x14ac:dyDescent="0.3">
      <c r="A7798" s="20"/>
    </row>
    <row r="7799" spans="1:1" x14ac:dyDescent="0.3">
      <c r="A7799" s="20"/>
    </row>
    <row r="7800" spans="1:1" x14ac:dyDescent="0.3">
      <c r="A7800" s="20"/>
    </row>
    <row r="7801" spans="1:1" x14ac:dyDescent="0.3">
      <c r="A7801" s="20"/>
    </row>
    <row r="7802" spans="1:1" x14ac:dyDescent="0.3">
      <c r="A7802" s="20"/>
    </row>
    <row r="7803" spans="1:1" x14ac:dyDescent="0.3">
      <c r="A7803" s="20"/>
    </row>
    <row r="7804" spans="1:1" x14ac:dyDescent="0.3">
      <c r="A7804" s="20"/>
    </row>
    <row r="7805" spans="1:1" x14ac:dyDescent="0.3">
      <c r="A7805" s="20"/>
    </row>
    <row r="7806" spans="1:1" x14ac:dyDescent="0.3">
      <c r="A7806" s="20"/>
    </row>
    <row r="7807" spans="1:1" x14ac:dyDescent="0.3">
      <c r="A7807" s="20"/>
    </row>
    <row r="7808" spans="1:1" x14ac:dyDescent="0.3">
      <c r="A7808" s="20"/>
    </row>
    <row r="7809" spans="1:1" x14ac:dyDescent="0.3">
      <c r="A7809" s="20"/>
    </row>
    <row r="7810" spans="1:1" x14ac:dyDescent="0.3">
      <c r="A7810" s="20"/>
    </row>
    <row r="7811" spans="1:1" x14ac:dyDescent="0.3">
      <c r="A7811" s="20"/>
    </row>
    <row r="7812" spans="1:1" x14ac:dyDescent="0.3">
      <c r="A7812" s="20"/>
    </row>
    <row r="7813" spans="1:1" x14ac:dyDescent="0.3">
      <c r="A7813" s="20"/>
    </row>
    <row r="7814" spans="1:1" x14ac:dyDescent="0.3">
      <c r="A7814" s="20"/>
    </row>
    <row r="7815" spans="1:1" x14ac:dyDescent="0.3">
      <c r="A7815" s="20"/>
    </row>
    <row r="7816" spans="1:1" x14ac:dyDescent="0.3">
      <c r="A7816" s="20"/>
    </row>
    <row r="7817" spans="1:1" x14ac:dyDescent="0.3">
      <c r="A7817" s="20"/>
    </row>
    <row r="7818" spans="1:1" x14ac:dyDescent="0.3">
      <c r="A7818" s="20"/>
    </row>
    <row r="7819" spans="1:1" x14ac:dyDescent="0.3">
      <c r="A7819" s="20"/>
    </row>
    <row r="7820" spans="1:1" x14ac:dyDescent="0.3">
      <c r="A7820" s="20"/>
    </row>
    <row r="7821" spans="1:1" x14ac:dyDescent="0.3">
      <c r="A7821" s="20"/>
    </row>
    <row r="7822" spans="1:1" x14ac:dyDescent="0.3">
      <c r="A7822" s="20"/>
    </row>
    <row r="7823" spans="1:1" x14ac:dyDescent="0.3">
      <c r="A7823" s="20"/>
    </row>
    <row r="7824" spans="1:1" x14ac:dyDescent="0.3">
      <c r="A7824" s="20"/>
    </row>
    <row r="7825" spans="1:1" x14ac:dyDescent="0.3">
      <c r="A7825" s="20"/>
    </row>
    <row r="7826" spans="1:1" x14ac:dyDescent="0.3">
      <c r="A7826" s="20"/>
    </row>
    <row r="7827" spans="1:1" x14ac:dyDescent="0.3">
      <c r="A7827" s="20"/>
    </row>
    <row r="7828" spans="1:1" x14ac:dyDescent="0.3">
      <c r="A7828" s="20"/>
    </row>
    <row r="7829" spans="1:1" x14ac:dyDescent="0.3">
      <c r="A7829" s="20"/>
    </row>
    <row r="7830" spans="1:1" x14ac:dyDescent="0.3">
      <c r="A7830" s="20"/>
    </row>
    <row r="7831" spans="1:1" x14ac:dyDescent="0.3">
      <c r="A7831" s="20"/>
    </row>
    <row r="7832" spans="1:1" x14ac:dyDescent="0.3">
      <c r="A7832" s="20"/>
    </row>
    <row r="7833" spans="1:1" x14ac:dyDescent="0.3">
      <c r="A7833" s="20"/>
    </row>
    <row r="7834" spans="1:1" x14ac:dyDescent="0.3">
      <c r="A7834" s="20"/>
    </row>
    <row r="7835" spans="1:1" x14ac:dyDescent="0.3">
      <c r="A7835" s="20"/>
    </row>
    <row r="7836" spans="1:1" x14ac:dyDescent="0.3">
      <c r="A7836" s="20"/>
    </row>
    <row r="7837" spans="1:1" x14ac:dyDescent="0.3">
      <c r="A7837" s="20"/>
    </row>
    <row r="7838" spans="1:1" x14ac:dyDescent="0.3">
      <c r="A7838" s="20"/>
    </row>
    <row r="7839" spans="1:1" x14ac:dyDescent="0.3">
      <c r="A7839" s="20"/>
    </row>
    <row r="7840" spans="1:1" x14ac:dyDescent="0.3">
      <c r="A7840" s="20"/>
    </row>
    <row r="7841" spans="1:1" x14ac:dyDescent="0.3">
      <c r="A7841" s="20"/>
    </row>
    <row r="7842" spans="1:1" x14ac:dyDescent="0.3">
      <c r="A7842" s="20"/>
    </row>
    <row r="7843" spans="1:1" x14ac:dyDescent="0.3">
      <c r="A7843" s="20"/>
    </row>
    <row r="7844" spans="1:1" x14ac:dyDescent="0.3">
      <c r="A7844" s="20"/>
    </row>
    <row r="7845" spans="1:1" x14ac:dyDescent="0.3">
      <c r="A7845" s="20"/>
    </row>
    <row r="7846" spans="1:1" x14ac:dyDescent="0.3">
      <c r="A7846" s="20"/>
    </row>
    <row r="7847" spans="1:1" x14ac:dyDescent="0.3">
      <c r="A7847" s="20"/>
    </row>
    <row r="7848" spans="1:1" x14ac:dyDescent="0.3">
      <c r="A7848" s="20"/>
    </row>
    <row r="7849" spans="1:1" x14ac:dyDescent="0.3">
      <c r="A7849" s="20"/>
    </row>
    <row r="7850" spans="1:1" x14ac:dyDescent="0.3">
      <c r="A7850" s="20"/>
    </row>
    <row r="7851" spans="1:1" x14ac:dyDescent="0.3">
      <c r="A7851" s="20"/>
    </row>
    <row r="7852" spans="1:1" x14ac:dyDescent="0.3">
      <c r="A7852" s="20"/>
    </row>
    <row r="7853" spans="1:1" x14ac:dyDescent="0.3">
      <c r="A7853" s="20"/>
    </row>
    <row r="7854" spans="1:1" x14ac:dyDescent="0.3">
      <c r="A7854" s="20"/>
    </row>
    <row r="7855" spans="1:1" x14ac:dyDescent="0.3">
      <c r="A7855" s="20"/>
    </row>
    <row r="7856" spans="1:1" x14ac:dyDescent="0.3">
      <c r="A7856" s="20"/>
    </row>
    <row r="7857" spans="1:1" x14ac:dyDescent="0.3">
      <c r="A7857" s="20"/>
    </row>
    <row r="7858" spans="1:1" x14ac:dyDescent="0.3">
      <c r="A7858" s="20"/>
    </row>
    <row r="7859" spans="1:1" x14ac:dyDescent="0.3">
      <c r="A7859" s="20"/>
    </row>
    <row r="7860" spans="1:1" x14ac:dyDescent="0.3">
      <c r="A7860" s="20"/>
    </row>
    <row r="7861" spans="1:1" x14ac:dyDescent="0.3">
      <c r="A7861" s="20"/>
    </row>
    <row r="7862" spans="1:1" x14ac:dyDescent="0.3">
      <c r="A7862" s="20"/>
    </row>
    <row r="7863" spans="1:1" x14ac:dyDescent="0.3">
      <c r="A7863" s="20"/>
    </row>
    <row r="7864" spans="1:1" x14ac:dyDescent="0.3">
      <c r="A7864" s="20"/>
    </row>
    <row r="7865" spans="1:1" x14ac:dyDescent="0.3">
      <c r="A7865" s="20"/>
    </row>
    <row r="7866" spans="1:1" x14ac:dyDescent="0.3">
      <c r="A7866" s="20"/>
    </row>
    <row r="7867" spans="1:1" x14ac:dyDescent="0.3">
      <c r="A7867" s="20"/>
    </row>
    <row r="7868" spans="1:1" x14ac:dyDescent="0.3">
      <c r="A7868" s="20"/>
    </row>
    <row r="7869" spans="1:1" x14ac:dyDescent="0.3">
      <c r="A7869" s="20"/>
    </row>
    <row r="7870" spans="1:1" x14ac:dyDescent="0.3">
      <c r="A7870" s="20"/>
    </row>
    <row r="7871" spans="1:1" x14ac:dyDescent="0.3">
      <c r="A7871" s="20"/>
    </row>
    <row r="7872" spans="1:1" x14ac:dyDescent="0.3">
      <c r="A7872" s="20"/>
    </row>
    <row r="7873" spans="1:1" x14ac:dyDescent="0.3">
      <c r="A7873" s="20"/>
    </row>
    <row r="7874" spans="1:1" x14ac:dyDescent="0.3">
      <c r="A7874" s="20"/>
    </row>
    <row r="7875" spans="1:1" x14ac:dyDescent="0.3">
      <c r="A7875" s="20"/>
    </row>
    <row r="7876" spans="1:1" x14ac:dyDescent="0.3">
      <c r="A7876" s="20"/>
    </row>
    <row r="7877" spans="1:1" x14ac:dyDescent="0.3">
      <c r="A7877" s="20"/>
    </row>
    <row r="7878" spans="1:1" x14ac:dyDescent="0.3">
      <c r="A7878" s="20"/>
    </row>
    <row r="7879" spans="1:1" x14ac:dyDescent="0.3">
      <c r="A7879" s="20"/>
    </row>
    <row r="7880" spans="1:1" x14ac:dyDescent="0.3">
      <c r="A7880" s="20"/>
    </row>
    <row r="7881" spans="1:1" x14ac:dyDescent="0.3">
      <c r="A7881" s="20"/>
    </row>
    <row r="7882" spans="1:1" x14ac:dyDescent="0.3">
      <c r="A7882" s="20"/>
    </row>
    <row r="7883" spans="1:1" x14ac:dyDescent="0.3">
      <c r="A7883" s="20"/>
    </row>
    <row r="7884" spans="1:1" x14ac:dyDescent="0.3">
      <c r="A7884" s="20"/>
    </row>
    <row r="7885" spans="1:1" x14ac:dyDescent="0.3">
      <c r="A7885" s="20"/>
    </row>
    <row r="7886" spans="1:1" x14ac:dyDescent="0.3">
      <c r="A7886" s="20"/>
    </row>
    <row r="7887" spans="1:1" x14ac:dyDescent="0.3">
      <c r="A7887" s="20"/>
    </row>
    <row r="7888" spans="1:1" x14ac:dyDescent="0.3">
      <c r="A7888" s="20"/>
    </row>
    <row r="7889" spans="1:1" x14ac:dyDescent="0.3">
      <c r="A7889" s="20"/>
    </row>
    <row r="7890" spans="1:1" x14ac:dyDescent="0.3">
      <c r="A7890" s="20"/>
    </row>
    <row r="7891" spans="1:1" x14ac:dyDescent="0.3">
      <c r="A7891" s="20"/>
    </row>
    <row r="7892" spans="1:1" x14ac:dyDescent="0.3">
      <c r="A7892" s="20"/>
    </row>
    <row r="7893" spans="1:1" x14ac:dyDescent="0.3">
      <c r="A7893" s="20"/>
    </row>
    <row r="7894" spans="1:1" x14ac:dyDescent="0.3">
      <c r="A7894" s="20"/>
    </row>
    <row r="7895" spans="1:1" x14ac:dyDescent="0.3">
      <c r="A7895" s="20"/>
    </row>
    <row r="7896" spans="1:1" x14ac:dyDescent="0.3">
      <c r="A7896" s="20"/>
    </row>
    <row r="7897" spans="1:1" x14ac:dyDescent="0.3">
      <c r="A7897" s="20"/>
    </row>
    <row r="7898" spans="1:1" x14ac:dyDescent="0.3">
      <c r="A7898" s="20"/>
    </row>
    <row r="7899" spans="1:1" x14ac:dyDescent="0.3">
      <c r="A7899" s="20"/>
    </row>
    <row r="7900" spans="1:1" x14ac:dyDescent="0.3">
      <c r="A7900" s="20"/>
    </row>
    <row r="7901" spans="1:1" x14ac:dyDescent="0.3">
      <c r="A7901" s="20"/>
    </row>
    <row r="7902" spans="1:1" x14ac:dyDescent="0.3">
      <c r="A7902" s="20"/>
    </row>
    <row r="7903" spans="1:1" x14ac:dyDescent="0.3">
      <c r="A7903" s="20"/>
    </row>
    <row r="7904" spans="1:1" x14ac:dyDescent="0.3">
      <c r="A7904" s="20"/>
    </row>
    <row r="7905" spans="1:1" x14ac:dyDescent="0.3">
      <c r="A7905" s="20"/>
    </row>
    <row r="7906" spans="1:1" x14ac:dyDescent="0.3">
      <c r="A7906" s="20"/>
    </row>
    <row r="7907" spans="1:1" x14ac:dyDescent="0.3">
      <c r="A7907" s="20"/>
    </row>
    <row r="7908" spans="1:1" x14ac:dyDescent="0.3">
      <c r="A7908" s="20"/>
    </row>
    <row r="7909" spans="1:1" x14ac:dyDescent="0.3">
      <c r="A7909" s="20"/>
    </row>
    <row r="7910" spans="1:1" x14ac:dyDescent="0.3">
      <c r="A7910" s="20"/>
    </row>
    <row r="7911" spans="1:1" x14ac:dyDescent="0.3">
      <c r="A7911" s="20"/>
    </row>
    <row r="7912" spans="1:1" x14ac:dyDescent="0.3">
      <c r="A7912" s="20"/>
    </row>
    <row r="7913" spans="1:1" x14ac:dyDescent="0.3">
      <c r="A7913" s="20"/>
    </row>
    <row r="7914" spans="1:1" x14ac:dyDescent="0.3">
      <c r="A7914" s="20"/>
    </row>
    <row r="7915" spans="1:1" x14ac:dyDescent="0.3">
      <c r="A7915" s="20"/>
    </row>
    <row r="7916" spans="1:1" x14ac:dyDescent="0.3">
      <c r="A7916" s="20"/>
    </row>
    <row r="7917" spans="1:1" x14ac:dyDescent="0.3">
      <c r="A7917" s="20"/>
    </row>
    <row r="7918" spans="1:1" x14ac:dyDescent="0.3">
      <c r="A7918" s="20"/>
    </row>
    <row r="7919" spans="1:1" x14ac:dyDescent="0.3">
      <c r="A7919" s="20"/>
    </row>
    <row r="7920" spans="1:1" x14ac:dyDescent="0.3">
      <c r="A7920" s="20"/>
    </row>
    <row r="7921" spans="1:1" x14ac:dyDescent="0.3">
      <c r="A7921" s="20"/>
    </row>
    <row r="7922" spans="1:1" x14ac:dyDescent="0.3">
      <c r="A7922" s="20"/>
    </row>
    <row r="7923" spans="1:1" x14ac:dyDescent="0.3">
      <c r="A7923" s="20"/>
    </row>
    <row r="7924" spans="1:1" x14ac:dyDescent="0.3">
      <c r="A7924" s="20"/>
    </row>
    <row r="7925" spans="1:1" x14ac:dyDescent="0.3">
      <c r="A7925" s="20"/>
    </row>
    <row r="7926" spans="1:1" x14ac:dyDescent="0.3">
      <c r="A7926" s="20"/>
    </row>
    <row r="7927" spans="1:1" x14ac:dyDescent="0.3">
      <c r="A7927" s="20"/>
    </row>
    <row r="7928" spans="1:1" x14ac:dyDescent="0.3">
      <c r="A7928" s="20"/>
    </row>
    <row r="7929" spans="1:1" x14ac:dyDescent="0.3">
      <c r="A7929" s="20"/>
    </row>
    <row r="7930" spans="1:1" x14ac:dyDescent="0.3">
      <c r="A7930" s="20"/>
    </row>
    <row r="7931" spans="1:1" x14ac:dyDescent="0.3">
      <c r="A7931" s="20"/>
    </row>
    <row r="7932" spans="1:1" x14ac:dyDescent="0.3">
      <c r="A7932" s="20"/>
    </row>
    <row r="7933" spans="1:1" x14ac:dyDescent="0.3">
      <c r="A7933" s="20"/>
    </row>
    <row r="7934" spans="1:1" x14ac:dyDescent="0.3">
      <c r="A7934" s="20"/>
    </row>
    <row r="7935" spans="1:1" x14ac:dyDescent="0.3">
      <c r="A7935" s="20"/>
    </row>
    <row r="7936" spans="1:1" x14ac:dyDescent="0.3">
      <c r="A7936" s="20"/>
    </row>
    <row r="7937" spans="1:1" x14ac:dyDescent="0.3">
      <c r="A7937" s="20"/>
    </row>
    <row r="7938" spans="1:1" x14ac:dyDescent="0.3">
      <c r="A7938" s="20"/>
    </row>
    <row r="7939" spans="1:1" x14ac:dyDescent="0.3">
      <c r="A7939" s="20"/>
    </row>
    <row r="7940" spans="1:1" x14ac:dyDescent="0.3">
      <c r="A7940" s="20"/>
    </row>
    <row r="7941" spans="1:1" x14ac:dyDescent="0.3">
      <c r="A7941" s="20"/>
    </row>
    <row r="7942" spans="1:1" x14ac:dyDescent="0.3">
      <c r="A7942" s="20"/>
    </row>
    <row r="7943" spans="1:1" x14ac:dyDescent="0.3">
      <c r="A7943" s="20"/>
    </row>
    <row r="7944" spans="1:1" x14ac:dyDescent="0.3">
      <c r="A7944" s="20"/>
    </row>
    <row r="7945" spans="1:1" x14ac:dyDescent="0.3">
      <c r="A7945" s="20"/>
    </row>
    <row r="7946" spans="1:1" x14ac:dyDescent="0.3">
      <c r="A7946" s="20"/>
    </row>
    <row r="7947" spans="1:1" x14ac:dyDescent="0.3">
      <c r="A7947" s="20"/>
    </row>
    <row r="7948" spans="1:1" x14ac:dyDescent="0.3">
      <c r="A7948" s="20"/>
    </row>
    <row r="7949" spans="1:1" x14ac:dyDescent="0.3">
      <c r="A7949" s="20"/>
    </row>
    <row r="7950" spans="1:1" x14ac:dyDescent="0.3">
      <c r="A7950" s="20"/>
    </row>
    <row r="7951" spans="1:1" x14ac:dyDescent="0.3">
      <c r="A7951" s="20"/>
    </row>
    <row r="7952" spans="1:1" x14ac:dyDescent="0.3">
      <c r="A7952" s="20"/>
    </row>
    <row r="7953" spans="1:1" x14ac:dyDescent="0.3">
      <c r="A7953" s="20"/>
    </row>
    <row r="7954" spans="1:1" x14ac:dyDescent="0.3">
      <c r="A7954" s="20"/>
    </row>
    <row r="7955" spans="1:1" x14ac:dyDescent="0.3">
      <c r="A7955" s="20"/>
    </row>
    <row r="7956" spans="1:1" x14ac:dyDescent="0.3">
      <c r="A7956" s="20"/>
    </row>
    <row r="7957" spans="1:1" x14ac:dyDescent="0.3">
      <c r="A7957" s="20"/>
    </row>
    <row r="7958" spans="1:1" x14ac:dyDescent="0.3">
      <c r="A7958" s="20"/>
    </row>
    <row r="7959" spans="1:1" x14ac:dyDescent="0.3">
      <c r="A7959" s="20"/>
    </row>
    <row r="7960" spans="1:1" x14ac:dyDescent="0.3">
      <c r="A7960" s="20"/>
    </row>
    <row r="7961" spans="1:1" x14ac:dyDescent="0.3">
      <c r="A7961" s="20"/>
    </row>
    <row r="7962" spans="1:1" x14ac:dyDescent="0.3">
      <c r="A7962" s="20"/>
    </row>
    <row r="7963" spans="1:1" x14ac:dyDescent="0.3">
      <c r="A7963" s="20"/>
    </row>
    <row r="7964" spans="1:1" x14ac:dyDescent="0.3">
      <c r="A7964" s="20"/>
    </row>
    <row r="7965" spans="1:1" x14ac:dyDescent="0.3">
      <c r="A7965" s="20"/>
    </row>
    <row r="7966" spans="1:1" x14ac:dyDescent="0.3">
      <c r="A7966" s="20"/>
    </row>
    <row r="7967" spans="1:1" x14ac:dyDescent="0.3">
      <c r="A7967" s="20"/>
    </row>
    <row r="7968" spans="1:1" x14ac:dyDescent="0.3">
      <c r="A7968" s="20"/>
    </row>
    <row r="7969" spans="1:1" x14ac:dyDescent="0.3">
      <c r="A7969" s="20"/>
    </row>
    <row r="7970" spans="1:1" x14ac:dyDescent="0.3">
      <c r="A7970" s="20"/>
    </row>
    <row r="7971" spans="1:1" x14ac:dyDescent="0.3">
      <c r="A7971" s="20"/>
    </row>
    <row r="7972" spans="1:1" x14ac:dyDescent="0.3">
      <c r="A7972" s="20"/>
    </row>
    <row r="7973" spans="1:1" x14ac:dyDescent="0.3">
      <c r="A7973" s="20"/>
    </row>
    <row r="7974" spans="1:1" x14ac:dyDescent="0.3">
      <c r="A7974" s="20"/>
    </row>
    <row r="7975" spans="1:1" x14ac:dyDescent="0.3">
      <c r="A7975" s="20"/>
    </row>
    <row r="7976" spans="1:1" x14ac:dyDescent="0.3">
      <c r="A7976" s="20"/>
    </row>
    <row r="7977" spans="1:1" x14ac:dyDescent="0.3">
      <c r="A7977" s="20"/>
    </row>
    <row r="7978" spans="1:1" x14ac:dyDescent="0.3">
      <c r="A7978" s="20"/>
    </row>
    <row r="7979" spans="1:1" x14ac:dyDescent="0.3">
      <c r="A7979" s="20"/>
    </row>
    <row r="7980" spans="1:1" x14ac:dyDescent="0.3">
      <c r="A7980" s="20"/>
    </row>
    <row r="7981" spans="1:1" x14ac:dyDescent="0.3">
      <c r="A7981" s="20"/>
    </row>
    <row r="7982" spans="1:1" x14ac:dyDescent="0.3">
      <c r="A7982" s="20"/>
    </row>
    <row r="7983" spans="1:1" x14ac:dyDescent="0.3">
      <c r="A7983" s="20"/>
    </row>
    <row r="7984" spans="1:1" x14ac:dyDescent="0.3">
      <c r="A7984" s="20"/>
    </row>
    <row r="7985" spans="1:1" x14ac:dyDescent="0.3">
      <c r="A7985" s="20"/>
    </row>
    <row r="7986" spans="1:1" x14ac:dyDescent="0.3">
      <c r="A7986" s="20"/>
    </row>
    <row r="7987" spans="1:1" x14ac:dyDescent="0.3">
      <c r="A7987" s="20"/>
    </row>
    <row r="7988" spans="1:1" x14ac:dyDescent="0.3">
      <c r="A7988" s="20"/>
    </row>
    <row r="7989" spans="1:1" x14ac:dyDescent="0.3">
      <c r="A7989" s="20"/>
    </row>
    <row r="7990" spans="1:1" x14ac:dyDescent="0.3">
      <c r="A7990" s="20"/>
    </row>
    <row r="7991" spans="1:1" x14ac:dyDescent="0.3">
      <c r="A7991" s="20"/>
    </row>
    <row r="7992" spans="1:1" x14ac:dyDescent="0.3">
      <c r="A7992" s="20"/>
    </row>
    <row r="7993" spans="1:1" x14ac:dyDescent="0.3">
      <c r="A7993" s="20"/>
    </row>
    <row r="7994" spans="1:1" x14ac:dyDescent="0.3">
      <c r="A7994" s="20"/>
    </row>
    <row r="7995" spans="1:1" x14ac:dyDescent="0.3">
      <c r="A7995" s="20"/>
    </row>
    <row r="7996" spans="1:1" x14ac:dyDescent="0.3">
      <c r="A7996" s="20"/>
    </row>
    <row r="7997" spans="1:1" x14ac:dyDescent="0.3">
      <c r="A7997" s="20"/>
    </row>
    <row r="7998" spans="1:1" x14ac:dyDescent="0.3">
      <c r="A7998" s="20"/>
    </row>
    <row r="7999" spans="1:1" x14ac:dyDescent="0.3">
      <c r="A7999" s="20"/>
    </row>
    <row r="8000" spans="1:1" x14ac:dyDescent="0.3">
      <c r="A8000" s="20"/>
    </row>
    <row r="8001" spans="1:1" x14ac:dyDescent="0.3">
      <c r="A8001" s="20"/>
    </row>
    <row r="8002" spans="1:1" x14ac:dyDescent="0.3">
      <c r="A8002" s="20"/>
    </row>
    <row r="8003" spans="1:1" x14ac:dyDescent="0.3">
      <c r="A8003" s="20"/>
    </row>
    <row r="8004" spans="1:1" x14ac:dyDescent="0.3">
      <c r="A8004" s="20"/>
    </row>
    <row r="8005" spans="1:1" x14ac:dyDescent="0.3">
      <c r="A8005" s="20"/>
    </row>
    <row r="8006" spans="1:1" x14ac:dyDescent="0.3">
      <c r="A8006" s="20"/>
    </row>
    <row r="8007" spans="1:1" x14ac:dyDescent="0.3">
      <c r="A8007" s="20"/>
    </row>
    <row r="8008" spans="1:1" x14ac:dyDescent="0.3">
      <c r="A8008" s="20"/>
    </row>
    <row r="8009" spans="1:1" x14ac:dyDescent="0.3">
      <c r="A8009" s="20"/>
    </row>
    <row r="8010" spans="1:1" x14ac:dyDescent="0.3">
      <c r="A8010" s="20"/>
    </row>
    <row r="8011" spans="1:1" x14ac:dyDescent="0.3">
      <c r="A8011" s="20"/>
    </row>
    <row r="8012" spans="1:1" x14ac:dyDescent="0.3">
      <c r="A8012" s="20"/>
    </row>
    <row r="8013" spans="1:1" x14ac:dyDescent="0.3">
      <c r="A8013" s="20"/>
    </row>
    <row r="8014" spans="1:1" x14ac:dyDescent="0.3">
      <c r="A8014" s="20"/>
    </row>
    <row r="8015" spans="1:1" x14ac:dyDescent="0.3">
      <c r="A8015" s="20"/>
    </row>
    <row r="8016" spans="1:1" x14ac:dyDescent="0.3">
      <c r="A8016" s="20"/>
    </row>
    <row r="8017" spans="1:1" x14ac:dyDescent="0.3">
      <c r="A8017" s="20"/>
    </row>
    <row r="8018" spans="1:1" x14ac:dyDescent="0.3">
      <c r="A8018" s="20"/>
    </row>
    <row r="8019" spans="1:1" x14ac:dyDescent="0.3">
      <c r="A8019" s="20"/>
    </row>
    <row r="8020" spans="1:1" x14ac:dyDescent="0.3">
      <c r="A8020" s="20"/>
    </row>
    <row r="8021" spans="1:1" x14ac:dyDescent="0.3">
      <c r="A8021" s="20"/>
    </row>
    <row r="8022" spans="1:1" x14ac:dyDescent="0.3">
      <c r="A8022" s="20"/>
    </row>
    <row r="8023" spans="1:1" x14ac:dyDescent="0.3">
      <c r="A8023" s="20"/>
    </row>
    <row r="8024" spans="1:1" x14ac:dyDescent="0.3">
      <c r="A8024" s="20"/>
    </row>
    <row r="8025" spans="1:1" x14ac:dyDescent="0.3">
      <c r="A8025" s="20"/>
    </row>
    <row r="8026" spans="1:1" x14ac:dyDescent="0.3">
      <c r="A8026" s="20"/>
    </row>
    <row r="8027" spans="1:1" x14ac:dyDescent="0.3">
      <c r="A8027" s="20"/>
    </row>
    <row r="8028" spans="1:1" x14ac:dyDescent="0.3">
      <c r="A8028" s="20"/>
    </row>
    <row r="8029" spans="1:1" x14ac:dyDescent="0.3">
      <c r="A8029" s="20"/>
    </row>
    <row r="8030" spans="1:1" x14ac:dyDescent="0.3">
      <c r="A8030" s="20"/>
    </row>
    <row r="8031" spans="1:1" x14ac:dyDescent="0.3">
      <c r="A8031" s="20"/>
    </row>
    <row r="8032" spans="1:1" x14ac:dyDescent="0.3">
      <c r="A8032" s="20"/>
    </row>
    <row r="8033" spans="1:1" x14ac:dyDescent="0.3">
      <c r="A8033" s="20"/>
    </row>
    <row r="8034" spans="1:1" x14ac:dyDescent="0.3">
      <c r="A8034" s="20"/>
    </row>
    <row r="8035" spans="1:1" x14ac:dyDescent="0.3">
      <c r="A8035" s="20"/>
    </row>
    <row r="8036" spans="1:1" x14ac:dyDescent="0.3">
      <c r="A8036" s="20"/>
    </row>
    <row r="8037" spans="1:1" x14ac:dyDescent="0.3">
      <c r="A8037" s="20"/>
    </row>
    <row r="8038" spans="1:1" x14ac:dyDescent="0.3">
      <c r="A8038" s="20"/>
    </row>
    <row r="8039" spans="1:1" x14ac:dyDescent="0.3">
      <c r="A8039" s="20"/>
    </row>
    <row r="8040" spans="1:1" x14ac:dyDescent="0.3">
      <c r="A8040" s="20"/>
    </row>
    <row r="8041" spans="1:1" x14ac:dyDescent="0.3">
      <c r="A8041" s="20"/>
    </row>
    <row r="8042" spans="1:1" x14ac:dyDescent="0.3">
      <c r="A8042" s="20"/>
    </row>
    <row r="8043" spans="1:1" x14ac:dyDescent="0.3">
      <c r="A8043" s="20"/>
    </row>
    <row r="8044" spans="1:1" x14ac:dyDescent="0.3">
      <c r="A8044" s="20"/>
    </row>
    <row r="8045" spans="1:1" x14ac:dyDescent="0.3">
      <c r="A8045" s="20"/>
    </row>
    <row r="8046" spans="1:1" x14ac:dyDescent="0.3">
      <c r="A8046" s="20"/>
    </row>
    <row r="8047" spans="1:1" x14ac:dyDescent="0.3">
      <c r="A8047" s="20"/>
    </row>
    <row r="8048" spans="1:1" x14ac:dyDescent="0.3">
      <c r="A8048" s="20"/>
    </row>
    <row r="8049" spans="1:1" x14ac:dyDescent="0.3">
      <c r="A8049" s="20"/>
    </row>
    <row r="8050" spans="1:1" x14ac:dyDescent="0.3">
      <c r="A8050" s="20"/>
    </row>
    <row r="8051" spans="1:1" x14ac:dyDescent="0.3">
      <c r="A8051" s="20"/>
    </row>
    <row r="8052" spans="1:1" x14ac:dyDescent="0.3">
      <c r="A8052" s="20"/>
    </row>
    <row r="8053" spans="1:1" x14ac:dyDescent="0.3">
      <c r="A8053" s="20"/>
    </row>
    <row r="8054" spans="1:1" x14ac:dyDescent="0.3">
      <c r="A8054" s="20"/>
    </row>
    <row r="8055" spans="1:1" x14ac:dyDescent="0.3">
      <c r="A8055" s="20"/>
    </row>
    <row r="8056" spans="1:1" x14ac:dyDescent="0.3">
      <c r="A8056" s="20"/>
    </row>
    <row r="8057" spans="1:1" x14ac:dyDescent="0.3">
      <c r="A8057" s="20"/>
    </row>
    <row r="8058" spans="1:1" x14ac:dyDescent="0.3">
      <c r="A8058" s="20"/>
    </row>
    <row r="8059" spans="1:1" x14ac:dyDescent="0.3">
      <c r="A8059" s="20"/>
    </row>
    <row r="8060" spans="1:1" x14ac:dyDescent="0.3">
      <c r="A8060" s="20"/>
    </row>
    <row r="8061" spans="1:1" x14ac:dyDescent="0.3">
      <c r="A8061" s="20"/>
    </row>
    <row r="8062" spans="1:1" x14ac:dyDescent="0.3">
      <c r="A8062" s="20"/>
    </row>
    <row r="8063" spans="1:1" x14ac:dyDescent="0.3">
      <c r="A8063" s="20"/>
    </row>
    <row r="8064" spans="1:1" x14ac:dyDescent="0.3">
      <c r="A8064" s="20"/>
    </row>
    <row r="8065" spans="1:1" x14ac:dyDescent="0.3">
      <c r="A8065" s="20"/>
    </row>
    <row r="8066" spans="1:1" x14ac:dyDescent="0.3">
      <c r="A8066" s="20"/>
    </row>
    <row r="8067" spans="1:1" x14ac:dyDescent="0.3">
      <c r="A8067" s="20"/>
    </row>
    <row r="8068" spans="1:1" x14ac:dyDescent="0.3">
      <c r="A8068" s="20"/>
    </row>
    <row r="8069" spans="1:1" x14ac:dyDescent="0.3">
      <c r="A8069" s="20"/>
    </row>
    <row r="8070" spans="1:1" x14ac:dyDescent="0.3">
      <c r="A8070" s="20"/>
    </row>
    <row r="8071" spans="1:1" x14ac:dyDescent="0.3">
      <c r="A8071" s="20"/>
    </row>
    <row r="8072" spans="1:1" x14ac:dyDescent="0.3">
      <c r="A8072" s="20"/>
    </row>
    <row r="8073" spans="1:1" x14ac:dyDescent="0.3">
      <c r="A8073" s="20"/>
    </row>
    <row r="8074" spans="1:1" x14ac:dyDescent="0.3">
      <c r="A8074" s="20"/>
    </row>
    <row r="8075" spans="1:1" x14ac:dyDescent="0.3">
      <c r="A8075" s="20"/>
    </row>
    <row r="8076" spans="1:1" x14ac:dyDescent="0.3">
      <c r="A8076" s="20"/>
    </row>
    <row r="8077" spans="1:1" x14ac:dyDescent="0.3">
      <c r="A8077" s="20"/>
    </row>
    <row r="8078" spans="1:1" x14ac:dyDescent="0.3">
      <c r="A8078" s="20"/>
    </row>
    <row r="8079" spans="1:1" x14ac:dyDescent="0.3">
      <c r="A8079" s="20"/>
    </row>
    <row r="8080" spans="1:1" x14ac:dyDescent="0.3">
      <c r="A8080" s="20"/>
    </row>
    <row r="8081" spans="1:1" x14ac:dyDescent="0.3">
      <c r="A8081" s="20"/>
    </row>
    <row r="8082" spans="1:1" x14ac:dyDescent="0.3">
      <c r="A8082" s="20"/>
    </row>
    <row r="8083" spans="1:1" x14ac:dyDescent="0.3">
      <c r="A8083" s="20"/>
    </row>
    <row r="8084" spans="1:1" x14ac:dyDescent="0.3">
      <c r="A8084" s="20"/>
    </row>
    <row r="8085" spans="1:1" x14ac:dyDescent="0.3">
      <c r="A8085" s="20"/>
    </row>
    <row r="8086" spans="1:1" x14ac:dyDescent="0.3">
      <c r="A8086" s="20"/>
    </row>
    <row r="8087" spans="1:1" x14ac:dyDescent="0.3">
      <c r="A8087" s="20"/>
    </row>
    <row r="8088" spans="1:1" x14ac:dyDescent="0.3">
      <c r="A8088" s="20"/>
    </row>
    <row r="8089" spans="1:1" x14ac:dyDescent="0.3">
      <c r="A8089" s="20"/>
    </row>
    <row r="8090" spans="1:1" x14ac:dyDescent="0.3">
      <c r="A8090" s="20"/>
    </row>
    <row r="8091" spans="1:1" x14ac:dyDescent="0.3">
      <c r="A8091" s="20"/>
    </row>
    <row r="8092" spans="1:1" x14ac:dyDescent="0.3">
      <c r="A8092" s="20"/>
    </row>
    <row r="8093" spans="1:1" x14ac:dyDescent="0.3">
      <c r="A8093" s="20"/>
    </row>
    <row r="8094" spans="1:1" x14ac:dyDescent="0.3">
      <c r="A8094" s="20"/>
    </row>
    <row r="8095" spans="1:1" x14ac:dyDescent="0.3">
      <c r="A8095" s="20"/>
    </row>
    <row r="8096" spans="1:1" x14ac:dyDescent="0.3">
      <c r="A8096" s="20"/>
    </row>
    <row r="8097" spans="1:1" x14ac:dyDescent="0.3">
      <c r="A8097" s="20"/>
    </row>
    <row r="8098" spans="1:1" x14ac:dyDescent="0.3">
      <c r="A8098" s="20"/>
    </row>
    <row r="8099" spans="1:1" x14ac:dyDescent="0.3">
      <c r="A8099" s="20"/>
    </row>
    <row r="8100" spans="1:1" x14ac:dyDescent="0.3">
      <c r="A8100" s="20"/>
    </row>
    <row r="8101" spans="1:1" x14ac:dyDescent="0.3">
      <c r="A8101" s="20"/>
    </row>
    <row r="8102" spans="1:1" x14ac:dyDescent="0.3">
      <c r="A8102" s="20"/>
    </row>
    <row r="8103" spans="1:1" x14ac:dyDescent="0.3">
      <c r="A8103" s="20"/>
    </row>
    <row r="8104" spans="1:1" x14ac:dyDescent="0.3">
      <c r="A8104" s="20"/>
    </row>
    <row r="8105" spans="1:1" x14ac:dyDescent="0.3">
      <c r="A8105" s="20"/>
    </row>
    <row r="8106" spans="1:1" x14ac:dyDescent="0.3">
      <c r="A8106" s="20"/>
    </row>
    <row r="8107" spans="1:1" x14ac:dyDescent="0.3">
      <c r="A8107" s="20"/>
    </row>
    <row r="8108" spans="1:1" x14ac:dyDescent="0.3">
      <c r="A8108" s="20"/>
    </row>
    <row r="8109" spans="1:1" x14ac:dyDescent="0.3">
      <c r="A8109" s="20"/>
    </row>
    <row r="8110" spans="1:1" x14ac:dyDescent="0.3">
      <c r="A8110" s="20"/>
    </row>
    <row r="8111" spans="1:1" x14ac:dyDescent="0.3">
      <c r="A8111" s="20"/>
    </row>
    <row r="8112" spans="1:1" x14ac:dyDescent="0.3">
      <c r="A8112" s="20"/>
    </row>
    <row r="8113" spans="1:1" x14ac:dyDescent="0.3">
      <c r="A8113" s="20"/>
    </row>
    <row r="8114" spans="1:1" x14ac:dyDescent="0.3">
      <c r="A8114" s="20"/>
    </row>
    <row r="8115" spans="1:1" x14ac:dyDescent="0.3">
      <c r="A8115" s="20"/>
    </row>
    <row r="8116" spans="1:1" x14ac:dyDescent="0.3">
      <c r="A8116" s="20"/>
    </row>
    <row r="8117" spans="1:1" x14ac:dyDescent="0.3">
      <c r="A8117" s="20"/>
    </row>
    <row r="8118" spans="1:1" x14ac:dyDescent="0.3">
      <c r="A8118" s="20"/>
    </row>
    <row r="8119" spans="1:1" x14ac:dyDescent="0.3">
      <c r="A8119" s="20"/>
    </row>
    <row r="8120" spans="1:1" x14ac:dyDescent="0.3">
      <c r="A8120" s="20"/>
    </row>
    <row r="8121" spans="1:1" x14ac:dyDescent="0.3">
      <c r="A8121" s="20"/>
    </row>
    <row r="8122" spans="1:1" x14ac:dyDescent="0.3">
      <c r="A8122" s="20"/>
    </row>
    <row r="8123" spans="1:1" x14ac:dyDescent="0.3">
      <c r="A8123" s="20"/>
    </row>
    <row r="8124" spans="1:1" x14ac:dyDescent="0.3">
      <c r="A8124" s="20"/>
    </row>
    <row r="8125" spans="1:1" x14ac:dyDescent="0.3">
      <c r="A8125" s="20"/>
    </row>
    <row r="8126" spans="1:1" x14ac:dyDescent="0.3">
      <c r="A8126" s="20"/>
    </row>
    <row r="8127" spans="1:1" x14ac:dyDescent="0.3">
      <c r="A8127" s="20"/>
    </row>
    <row r="8128" spans="1:1" x14ac:dyDescent="0.3">
      <c r="A8128" s="20"/>
    </row>
    <row r="8129" spans="1:1" x14ac:dyDescent="0.3">
      <c r="A8129" s="20"/>
    </row>
    <row r="8130" spans="1:1" x14ac:dyDescent="0.3">
      <c r="A8130" s="20"/>
    </row>
    <row r="8131" spans="1:1" x14ac:dyDescent="0.3">
      <c r="A8131" s="20"/>
    </row>
    <row r="8132" spans="1:1" x14ac:dyDescent="0.3">
      <c r="A8132" s="20"/>
    </row>
    <row r="8133" spans="1:1" x14ac:dyDescent="0.3">
      <c r="A8133" s="20"/>
    </row>
    <row r="8134" spans="1:1" x14ac:dyDescent="0.3">
      <c r="A8134" s="20"/>
    </row>
    <row r="8135" spans="1:1" x14ac:dyDescent="0.3">
      <c r="A8135" s="20"/>
    </row>
    <row r="8136" spans="1:1" x14ac:dyDescent="0.3">
      <c r="A8136" s="20"/>
    </row>
    <row r="8137" spans="1:1" x14ac:dyDescent="0.3">
      <c r="A8137" s="20"/>
    </row>
    <row r="8138" spans="1:1" x14ac:dyDescent="0.3">
      <c r="A8138" s="20"/>
    </row>
    <row r="8139" spans="1:1" x14ac:dyDescent="0.3">
      <c r="A8139" s="20"/>
    </row>
    <row r="8140" spans="1:1" x14ac:dyDescent="0.3">
      <c r="A8140" s="20"/>
    </row>
    <row r="8141" spans="1:1" x14ac:dyDescent="0.3">
      <c r="A8141" s="20"/>
    </row>
    <row r="8142" spans="1:1" x14ac:dyDescent="0.3">
      <c r="A8142" s="20"/>
    </row>
    <row r="8143" spans="1:1" x14ac:dyDescent="0.3">
      <c r="A8143" s="20"/>
    </row>
    <row r="8144" spans="1:1" x14ac:dyDescent="0.3">
      <c r="A8144" s="20"/>
    </row>
    <row r="8145" spans="1:1" x14ac:dyDescent="0.3">
      <c r="A8145" s="20"/>
    </row>
    <row r="8146" spans="1:1" x14ac:dyDescent="0.3">
      <c r="A8146" s="20"/>
    </row>
    <row r="8147" spans="1:1" x14ac:dyDescent="0.3">
      <c r="A8147" s="20"/>
    </row>
    <row r="8148" spans="1:1" x14ac:dyDescent="0.3">
      <c r="A8148" s="20"/>
    </row>
    <row r="8149" spans="1:1" x14ac:dyDescent="0.3">
      <c r="A8149" s="20"/>
    </row>
    <row r="8150" spans="1:1" x14ac:dyDescent="0.3">
      <c r="A8150" s="20"/>
    </row>
    <row r="8151" spans="1:1" x14ac:dyDescent="0.3">
      <c r="A8151" s="20"/>
    </row>
    <row r="8152" spans="1:1" x14ac:dyDescent="0.3">
      <c r="A8152" s="20"/>
    </row>
    <row r="8153" spans="1:1" x14ac:dyDescent="0.3">
      <c r="A8153" s="20"/>
    </row>
    <row r="8154" spans="1:1" x14ac:dyDescent="0.3">
      <c r="A8154" s="20"/>
    </row>
    <row r="8155" spans="1:1" x14ac:dyDescent="0.3">
      <c r="A8155" s="20"/>
    </row>
    <row r="8156" spans="1:1" x14ac:dyDescent="0.3">
      <c r="A8156" s="20"/>
    </row>
    <row r="8157" spans="1:1" x14ac:dyDescent="0.3">
      <c r="A8157" s="20"/>
    </row>
    <row r="8158" spans="1:1" x14ac:dyDescent="0.3">
      <c r="A8158" s="20"/>
    </row>
    <row r="8159" spans="1:1" x14ac:dyDescent="0.3">
      <c r="A8159" s="20"/>
    </row>
    <row r="8160" spans="1:1" x14ac:dyDescent="0.3">
      <c r="A8160" s="20"/>
    </row>
    <row r="8161" spans="1:1" x14ac:dyDescent="0.3">
      <c r="A8161" s="20"/>
    </row>
    <row r="8162" spans="1:1" x14ac:dyDescent="0.3">
      <c r="A8162" s="20"/>
    </row>
    <row r="8163" spans="1:1" x14ac:dyDescent="0.3">
      <c r="A8163" s="20"/>
    </row>
    <row r="8164" spans="1:1" x14ac:dyDescent="0.3">
      <c r="A8164" s="20"/>
    </row>
    <row r="8165" spans="1:1" x14ac:dyDescent="0.3">
      <c r="A8165" s="20"/>
    </row>
    <row r="8166" spans="1:1" x14ac:dyDescent="0.3">
      <c r="A8166" s="20"/>
    </row>
    <row r="8167" spans="1:1" x14ac:dyDescent="0.3">
      <c r="A8167" s="20"/>
    </row>
    <row r="8168" spans="1:1" x14ac:dyDescent="0.3">
      <c r="A8168" s="20"/>
    </row>
    <row r="8169" spans="1:1" x14ac:dyDescent="0.3">
      <c r="A8169" s="20"/>
    </row>
    <row r="8170" spans="1:1" x14ac:dyDescent="0.3">
      <c r="A8170" s="20"/>
    </row>
    <row r="8171" spans="1:1" x14ac:dyDescent="0.3">
      <c r="A8171" s="20"/>
    </row>
    <row r="8172" spans="1:1" x14ac:dyDescent="0.3">
      <c r="A8172" s="20"/>
    </row>
    <row r="8173" spans="1:1" x14ac:dyDescent="0.3">
      <c r="A8173" s="20"/>
    </row>
    <row r="8174" spans="1:1" x14ac:dyDescent="0.3">
      <c r="A8174" s="20"/>
    </row>
    <row r="8175" spans="1:1" x14ac:dyDescent="0.3">
      <c r="A8175" s="20"/>
    </row>
    <row r="8176" spans="1:1" x14ac:dyDescent="0.3">
      <c r="A8176" s="20"/>
    </row>
    <row r="8177" spans="1:1" x14ac:dyDescent="0.3">
      <c r="A8177" s="20"/>
    </row>
    <row r="8178" spans="1:1" x14ac:dyDescent="0.3">
      <c r="A8178" s="20"/>
    </row>
    <row r="8179" spans="1:1" x14ac:dyDescent="0.3">
      <c r="A8179" s="20"/>
    </row>
    <row r="8180" spans="1:1" x14ac:dyDescent="0.3">
      <c r="A8180" s="20"/>
    </row>
    <row r="8181" spans="1:1" x14ac:dyDescent="0.3">
      <c r="A8181" s="20"/>
    </row>
    <row r="8182" spans="1:1" x14ac:dyDescent="0.3">
      <c r="A8182" s="20"/>
    </row>
    <row r="8183" spans="1:1" x14ac:dyDescent="0.3">
      <c r="A8183" s="20"/>
    </row>
    <row r="8184" spans="1:1" x14ac:dyDescent="0.3">
      <c r="A8184" s="20"/>
    </row>
    <row r="8185" spans="1:1" x14ac:dyDescent="0.3">
      <c r="A8185" s="20"/>
    </row>
    <row r="8186" spans="1:1" x14ac:dyDescent="0.3">
      <c r="A8186" s="20"/>
    </row>
    <row r="8187" spans="1:1" x14ac:dyDescent="0.3">
      <c r="A8187" s="20"/>
    </row>
    <row r="8188" spans="1:1" x14ac:dyDescent="0.3">
      <c r="A8188" s="20"/>
    </row>
    <row r="8189" spans="1:1" x14ac:dyDescent="0.3">
      <c r="A8189" s="20"/>
    </row>
    <row r="8190" spans="1:1" x14ac:dyDescent="0.3">
      <c r="A8190" s="20"/>
    </row>
    <row r="8191" spans="1:1" x14ac:dyDescent="0.3">
      <c r="A8191" s="20"/>
    </row>
    <row r="8192" spans="1:1" x14ac:dyDescent="0.3">
      <c r="A8192" s="20"/>
    </row>
    <row r="8193" spans="1:1" x14ac:dyDescent="0.3">
      <c r="A8193" s="20"/>
    </row>
    <row r="8194" spans="1:1" x14ac:dyDescent="0.3">
      <c r="A8194" s="20"/>
    </row>
    <row r="8195" spans="1:1" x14ac:dyDescent="0.3">
      <c r="A8195" s="20"/>
    </row>
    <row r="8196" spans="1:1" x14ac:dyDescent="0.3">
      <c r="A8196" s="20"/>
    </row>
    <row r="8197" spans="1:1" x14ac:dyDescent="0.3">
      <c r="A8197" s="20"/>
    </row>
    <row r="8198" spans="1:1" x14ac:dyDescent="0.3">
      <c r="A8198" s="20"/>
    </row>
    <row r="8199" spans="1:1" x14ac:dyDescent="0.3">
      <c r="A8199" s="20"/>
    </row>
    <row r="8200" spans="1:1" x14ac:dyDescent="0.3">
      <c r="A8200" s="20"/>
    </row>
    <row r="8201" spans="1:1" x14ac:dyDescent="0.3">
      <c r="A8201" s="20"/>
    </row>
    <row r="8202" spans="1:1" x14ac:dyDescent="0.3">
      <c r="A8202" s="20"/>
    </row>
    <row r="8203" spans="1:1" x14ac:dyDescent="0.3">
      <c r="A8203" s="20"/>
    </row>
    <row r="8204" spans="1:1" x14ac:dyDescent="0.3">
      <c r="A8204" s="20"/>
    </row>
    <row r="8205" spans="1:1" x14ac:dyDescent="0.3">
      <c r="A8205" s="20"/>
    </row>
    <row r="8206" spans="1:1" x14ac:dyDescent="0.3">
      <c r="A8206" s="20"/>
    </row>
    <row r="8207" spans="1:1" x14ac:dyDescent="0.3">
      <c r="A8207" s="20"/>
    </row>
    <row r="8208" spans="1:1" x14ac:dyDescent="0.3">
      <c r="A8208" s="20"/>
    </row>
    <row r="8209" spans="1:1" x14ac:dyDescent="0.3">
      <c r="A8209" s="20"/>
    </row>
    <row r="8210" spans="1:1" x14ac:dyDescent="0.3">
      <c r="A8210" s="20"/>
    </row>
    <row r="8211" spans="1:1" x14ac:dyDescent="0.3">
      <c r="A8211" s="20"/>
    </row>
    <row r="8212" spans="1:1" x14ac:dyDescent="0.3">
      <c r="A8212" s="20"/>
    </row>
    <row r="8213" spans="1:1" x14ac:dyDescent="0.3">
      <c r="A8213" s="20"/>
    </row>
    <row r="8214" spans="1:1" x14ac:dyDescent="0.3">
      <c r="A8214" s="20"/>
    </row>
    <row r="8215" spans="1:1" x14ac:dyDescent="0.3">
      <c r="A8215" s="20"/>
    </row>
    <row r="8216" spans="1:1" x14ac:dyDescent="0.3">
      <c r="A8216" s="20"/>
    </row>
    <row r="8217" spans="1:1" x14ac:dyDescent="0.3">
      <c r="A8217" s="20"/>
    </row>
    <row r="8218" spans="1:1" x14ac:dyDescent="0.3">
      <c r="A8218" s="20"/>
    </row>
    <row r="8219" spans="1:1" x14ac:dyDescent="0.3">
      <c r="A8219" s="20"/>
    </row>
    <row r="8220" spans="1:1" x14ac:dyDescent="0.3">
      <c r="A8220" s="20"/>
    </row>
    <row r="8221" spans="1:1" x14ac:dyDescent="0.3">
      <c r="A8221" s="20"/>
    </row>
    <row r="8222" spans="1:1" x14ac:dyDescent="0.3">
      <c r="A8222" s="20"/>
    </row>
    <row r="8223" spans="1:1" x14ac:dyDescent="0.3">
      <c r="A8223" s="20"/>
    </row>
    <row r="8224" spans="1:1" x14ac:dyDescent="0.3">
      <c r="A8224" s="20"/>
    </row>
    <row r="8225" spans="1:1" x14ac:dyDescent="0.3">
      <c r="A8225" s="20"/>
    </row>
    <row r="8226" spans="1:1" x14ac:dyDescent="0.3">
      <c r="A8226" s="20"/>
    </row>
    <row r="8227" spans="1:1" x14ac:dyDescent="0.3">
      <c r="A8227" s="20"/>
    </row>
    <row r="8228" spans="1:1" x14ac:dyDescent="0.3">
      <c r="A8228" s="20"/>
    </row>
    <row r="8229" spans="1:1" x14ac:dyDescent="0.3">
      <c r="A8229" s="20"/>
    </row>
    <row r="8230" spans="1:1" x14ac:dyDescent="0.3">
      <c r="A8230" s="20"/>
    </row>
    <row r="8231" spans="1:1" x14ac:dyDescent="0.3">
      <c r="A8231" s="20"/>
    </row>
    <row r="8232" spans="1:1" x14ac:dyDescent="0.3">
      <c r="A8232" s="20"/>
    </row>
    <row r="8233" spans="1:1" x14ac:dyDescent="0.3">
      <c r="A8233" s="20"/>
    </row>
    <row r="8234" spans="1:1" x14ac:dyDescent="0.3">
      <c r="A8234" s="20"/>
    </row>
    <row r="8235" spans="1:1" x14ac:dyDescent="0.3">
      <c r="A8235" s="20"/>
    </row>
    <row r="8236" spans="1:1" x14ac:dyDescent="0.3">
      <c r="A8236" s="20"/>
    </row>
    <row r="8237" spans="1:1" x14ac:dyDescent="0.3">
      <c r="A8237" s="20"/>
    </row>
    <row r="8238" spans="1:1" x14ac:dyDescent="0.3">
      <c r="A8238" s="20"/>
    </row>
    <row r="8239" spans="1:1" x14ac:dyDescent="0.3">
      <c r="A8239" s="20"/>
    </row>
    <row r="8240" spans="1:1" x14ac:dyDescent="0.3">
      <c r="A8240" s="20"/>
    </row>
    <row r="8241" spans="1:1" x14ac:dyDescent="0.3">
      <c r="A8241" s="20"/>
    </row>
    <row r="8242" spans="1:1" x14ac:dyDescent="0.3">
      <c r="A8242" s="20"/>
    </row>
    <row r="8243" spans="1:1" x14ac:dyDescent="0.3">
      <c r="A8243" s="20"/>
    </row>
    <row r="8244" spans="1:1" x14ac:dyDescent="0.3">
      <c r="A8244" s="20"/>
    </row>
    <row r="8245" spans="1:1" x14ac:dyDescent="0.3">
      <c r="A8245" s="20"/>
    </row>
    <row r="8246" spans="1:1" x14ac:dyDescent="0.3">
      <c r="A8246" s="20"/>
    </row>
    <row r="8247" spans="1:1" x14ac:dyDescent="0.3">
      <c r="A8247" s="20"/>
    </row>
    <row r="8248" spans="1:1" x14ac:dyDescent="0.3">
      <c r="A8248" s="20"/>
    </row>
    <row r="8249" spans="1:1" x14ac:dyDescent="0.3">
      <c r="A8249" s="20"/>
    </row>
    <row r="8250" spans="1:1" x14ac:dyDescent="0.3">
      <c r="A8250" s="20"/>
    </row>
    <row r="8251" spans="1:1" x14ac:dyDescent="0.3">
      <c r="A8251" s="20"/>
    </row>
    <row r="8252" spans="1:1" x14ac:dyDescent="0.3">
      <c r="A8252" s="20"/>
    </row>
    <row r="8253" spans="1:1" x14ac:dyDescent="0.3">
      <c r="A8253" s="20"/>
    </row>
    <row r="8254" spans="1:1" x14ac:dyDescent="0.3">
      <c r="A8254" s="20"/>
    </row>
    <row r="8255" spans="1:1" x14ac:dyDescent="0.3">
      <c r="A8255" s="20"/>
    </row>
    <row r="8256" spans="1:1" x14ac:dyDescent="0.3">
      <c r="A8256" s="20"/>
    </row>
    <row r="8257" spans="1:1" x14ac:dyDescent="0.3">
      <c r="A8257" s="20"/>
    </row>
    <row r="8258" spans="1:1" x14ac:dyDescent="0.3">
      <c r="A8258" s="20"/>
    </row>
    <row r="8259" spans="1:1" x14ac:dyDescent="0.3">
      <c r="A8259" s="20"/>
    </row>
    <row r="8260" spans="1:1" x14ac:dyDescent="0.3">
      <c r="A8260" s="20"/>
    </row>
    <row r="8261" spans="1:1" x14ac:dyDescent="0.3">
      <c r="A8261" s="20"/>
    </row>
    <row r="8262" spans="1:1" x14ac:dyDescent="0.3">
      <c r="A8262" s="20"/>
    </row>
    <row r="8263" spans="1:1" x14ac:dyDescent="0.3">
      <c r="A8263" s="20"/>
    </row>
    <row r="8264" spans="1:1" x14ac:dyDescent="0.3">
      <c r="A8264" s="20"/>
    </row>
    <row r="8265" spans="1:1" x14ac:dyDescent="0.3">
      <c r="A8265" s="20"/>
    </row>
    <row r="8266" spans="1:1" x14ac:dyDescent="0.3">
      <c r="A8266" s="20"/>
    </row>
    <row r="8267" spans="1:1" x14ac:dyDescent="0.3">
      <c r="A8267" s="20"/>
    </row>
    <row r="8268" spans="1:1" x14ac:dyDescent="0.3">
      <c r="A8268" s="20"/>
    </row>
    <row r="8269" spans="1:1" x14ac:dyDescent="0.3">
      <c r="A8269" s="20"/>
    </row>
    <row r="8270" spans="1:1" x14ac:dyDescent="0.3">
      <c r="A8270" s="20"/>
    </row>
    <row r="8271" spans="1:1" x14ac:dyDescent="0.3">
      <c r="A8271" s="20"/>
    </row>
    <row r="8272" spans="1:1" x14ac:dyDescent="0.3">
      <c r="A8272" s="20"/>
    </row>
    <row r="8273" spans="1:1" x14ac:dyDescent="0.3">
      <c r="A8273" s="20"/>
    </row>
    <row r="8274" spans="1:1" x14ac:dyDescent="0.3">
      <c r="A8274" s="20"/>
    </row>
    <row r="8275" spans="1:1" x14ac:dyDescent="0.3">
      <c r="A8275" s="20"/>
    </row>
    <row r="8276" spans="1:1" x14ac:dyDescent="0.3">
      <c r="A8276" s="20"/>
    </row>
    <row r="8277" spans="1:1" x14ac:dyDescent="0.3">
      <c r="A8277" s="20"/>
    </row>
    <row r="8278" spans="1:1" x14ac:dyDescent="0.3">
      <c r="A8278" s="20"/>
    </row>
    <row r="8279" spans="1:1" x14ac:dyDescent="0.3">
      <c r="A8279" s="20"/>
    </row>
    <row r="8280" spans="1:1" x14ac:dyDescent="0.3">
      <c r="A8280" s="20"/>
    </row>
    <row r="8281" spans="1:1" x14ac:dyDescent="0.3">
      <c r="A8281" s="20"/>
    </row>
    <row r="8282" spans="1:1" x14ac:dyDescent="0.3">
      <c r="A8282" s="20"/>
    </row>
    <row r="8283" spans="1:1" x14ac:dyDescent="0.3">
      <c r="A8283" s="20"/>
    </row>
    <row r="8284" spans="1:1" x14ac:dyDescent="0.3">
      <c r="A8284" s="20"/>
    </row>
    <row r="8285" spans="1:1" x14ac:dyDescent="0.3">
      <c r="A8285" s="20"/>
    </row>
    <row r="8286" spans="1:1" x14ac:dyDescent="0.3">
      <c r="A8286" s="20"/>
    </row>
    <row r="8287" spans="1:1" x14ac:dyDescent="0.3">
      <c r="A8287" s="20"/>
    </row>
    <row r="8288" spans="1:1" x14ac:dyDescent="0.3">
      <c r="A8288" s="20"/>
    </row>
    <row r="8289" spans="1:1" x14ac:dyDescent="0.3">
      <c r="A8289" s="20"/>
    </row>
    <row r="8290" spans="1:1" x14ac:dyDescent="0.3">
      <c r="A8290" s="20"/>
    </row>
    <row r="8291" spans="1:1" x14ac:dyDescent="0.3">
      <c r="A8291" s="20"/>
    </row>
    <row r="8292" spans="1:1" x14ac:dyDescent="0.3">
      <c r="A8292" s="20"/>
    </row>
    <row r="8293" spans="1:1" x14ac:dyDescent="0.3">
      <c r="A8293" s="20"/>
    </row>
    <row r="8294" spans="1:1" x14ac:dyDescent="0.3">
      <c r="A8294" s="20"/>
    </row>
    <row r="8295" spans="1:1" x14ac:dyDescent="0.3">
      <c r="A8295" s="20"/>
    </row>
    <row r="8296" spans="1:1" x14ac:dyDescent="0.3">
      <c r="A8296" s="20"/>
    </row>
    <row r="8297" spans="1:1" x14ac:dyDescent="0.3">
      <c r="A8297" s="20"/>
    </row>
    <row r="8298" spans="1:1" x14ac:dyDescent="0.3">
      <c r="A8298" s="20"/>
    </row>
    <row r="8299" spans="1:1" x14ac:dyDescent="0.3">
      <c r="A8299" s="20"/>
    </row>
    <row r="8300" spans="1:1" x14ac:dyDescent="0.3">
      <c r="A8300" s="20"/>
    </row>
    <row r="8301" spans="1:1" x14ac:dyDescent="0.3">
      <c r="A8301" s="20"/>
    </row>
    <row r="8302" spans="1:1" x14ac:dyDescent="0.3">
      <c r="A8302" s="20"/>
    </row>
    <row r="8303" spans="1:1" x14ac:dyDescent="0.3">
      <c r="A8303" s="20"/>
    </row>
    <row r="8304" spans="1:1" x14ac:dyDescent="0.3">
      <c r="A8304" s="20"/>
    </row>
    <row r="8305" spans="1:1" x14ac:dyDescent="0.3">
      <c r="A8305" s="20"/>
    </row>
    <row r="8306" spans="1:1" x14ac:dyDescent="0.3">
      <c r="A8306" s="20"/>
    </row>
    <row r="8307" spans="1:1" x14ac:dyDescent="0.3">
      <c r="A8307" s="20"/>
    </row>
    <row r="8308" spans="1:1" x14ac:dyDescent="0.3">
      <c r="A8308" s="20"/>
    </row>
    <row r="8309" spans="1:1" x14ac:dyDescent="0.3">
      <c r="A8309" s="20"/>
    </row>
    <row r="8310" spans="1:1" x14ac:dyDescent="0.3">
      <c r="A8310" s="20"/>
    </row>
    <row r="8311" spans="1:1" x14ac:dyDescent="0.3">
      <c r="A8311" s="20"/>
    </row>
    <row r="8312" spans="1:1" x14ac:dyDescent="0.3">
      <c r="A8312" s="20"/>
    </row>
    <row r="8313" spans="1:1" x14ac:dyDescent="0.3">
      <c r="A8313" s="20"/>
    </row>
    <row r="8314" spans="1:1" x14ac:dyDescent="0.3">
      <c r="A8314" s="20"/>
    </row>
    <row r="8315" spans="1:1" x14ac:dyDescent="0.3">
      <c r="A8315" s="20"/>
    </row>
    <row r="8316" spans="1:1" x14ac:dyDescent="0.3">
      <c r="A8316" s="20"/>
    </row>
    <row r="8317" spans="1:1" x14ac:dyDescent="0.3">
      <c r="A8317" s="20"/>
    </row>
    <row r="8318" spans="1:1" x14ac:dyDescent="0.3">
      <c r="A8318" s="20"/>
    </row>
    <row r="8319" spans="1:1" x14ac:dyDescent="0.3">
      <c r="A8319" s="20"/>
    </row>
    <row r="8320" spans="1:1" x14ac:dyDescent="0.3">
      <c r="A8320" s="20"/>
    </row>
    <row r="8321" spans="1:1" x14ac:dyDescent="0.3">
      <c r="A8321" s="20"/>
    </row>
    <row r="8322" spans="1:1" x14ac:dyDescent="0.3">
      <c r="A8322" s="20"/>
    </row>
    <row r="8323" spans="1:1" x14ac:dyDescent="0.3">
      <c r="A8323" s="20"/>
    </row>
    <row r="8324" spans="1:1" x14ac:dyDescent="0.3">
      <c r="A8324" s="20"/>
    </row>
    <row r="8325" spans="1:1" x14ac:dyDescent="0.3">
      <c r="A8325" s="20"/>
    </row>
    <row r="8326" spans="1:1" x14ac:dyDescent="0.3">
      <c r="A8326" s="20"/>
    </row>
    <row r="8327" spans="1:1" x14ac:dyDescent="0.3">
      <c r="A8327" s="20"/>
    </row>
    <row r="8328" spans="1:1" x14ac:dyDescent="0.3">
      <c r="A8328" s="20"/>
    </row>
    <row r="8329" spans="1:1" x14ac:dyDescent="0.3">
      <c r="A8329" s="20"/>
    </row>
    <row r="8330" spans="1:1" x14ac:dyDescent="0.3">
      <c r="A8330" s="20"/>
    </row>
    <row r="8331" spans="1:1" x14ac:dyDescent="0.3">
      <c r="A8331" s="20"/>
    </row>
    <row r="8332" spans="1:1" x14ac:dyDescent="0.3">
      <c r="A8332" s="20"/>
    </row>
    <row r="8333" spans="1:1" x14ac:dyDescent="0.3">
      <c r="A8333" s="20"/>
    </row>
    <row r="8334" spans="1:1" x14ac:dyDescent="0.3">
      <c r="A8334" s="20"/>
    </row>
    <row r="8335" spans="1:1" x14ac:dyDescent="0.3">
      <c r="A8335" s="20"/>
    </row>
    <row r="8336" spans="1:1" x14ac:dyDescent="0.3">
      <c r="A8336" s="20"/>
    </row>
    <row r="8337" spans="1:1" x14ac:dyDescent="0.3">
      <c r="A8337" s="20"/>
    </row>
    <row r="8338" spans="1:1" x14ac:dyDescent="0.3">
      <c r="A8338" s="20"/>
    </row>
    <row r="8339" spans="1:1" x14ac:dyDescent="0.3">
      <c r="A8339" s="20"/>
    </row>
    <row r="8340" spans="1:1" x14ac:dyDescent="0.3">
      <c r="A8340" s="20"/>
    </row>
    <row r="8341" spans="1:1" x14ac:dyDescent="0.3">
      <c r="A8341" s="20"/>
    </row>
    <row r="8342" spans="1:1" x14ac:dyDescent="0.3">
      <c r="A8342" s="20"/>
    </row>
    <row r="8343" spans="1:1" x14ac:dyDescent="0.3">
      <c r="A8343" s="20"/>
    </row>
    <row r="8344" spans="1:1" x14ac:dyDescent="0.3">
      <c r="A8344" s="20"/>
    </row>
    <row r="8345" spans="1:1" x14ac:dyDescent="0.3">
      <c r="A8345" s="20"/>
    </row>
    <row r="8346" spans="1:1" x14ac:dyDescent="0.3">
      <c r="A8346" s="20"/>
    </row>
    <row r="8347" spans="1:1" x14ac:dyDescent="0.3">
      <c r="A8347" s="20"/>
    </row>
    <row r="8348" spans="1:1" x14ac:dyDescent="0.3">
      <c r="A8348" s="20"/>
    </row>
    <row r="8349" spans="1:1" x14ac:dyDescent="0.3">
      <c r="A8349" s="20"/>
    </row>
    <row r="8350" spans="1:1" x14ac:dyDescent="0.3">
      <c r="A8350" s="20"/>
    </row>
    <row r="8351" spans="1:1" x14ac:dyDescent="0.3">
      <c r="A8351" s="20"/>
    </row>
    <row r="8352" spans="1:1" x14ac:dyDescent="0.3">
      <c r="A8352" s="20"/>
    </row>
    <row r="8353" spans="1:1" x14ac:dyDescent="0.3">
      <c r="A8353" s="20"/>
    </row>
    <row r="8354" spans="1:1" x14ac:dyDescent="0.3">
      <c r="A8354" s="20"/>
    </row>
    <row r="8355" spans="1:1" x14ac:dyDescent="0.3">
      <c r="A8355" s="20"/>
    </row>
    <row r="8356" spans="1:1" x14ac:dyDescent="0.3">
      <c r="A8356" s="20"/>
    </row>
    <row r="8357" spans="1:1" x14ac:dyDescent="0.3">
      <c r="A8357" s="20"/>
    </row>
    <row r="8358" spans="1:1" x14ac:dyDescent="0.3">
      <c r="A8358" s="20"/>
    </row>
    <row r="8359" spans="1:1" x14ac:dyDescent="0.3">
      <c r="A8359" s="20"/>
    </row>
    <row r="8360" spans="1:1" x14ac:dyDescent="0.3">
      <c r="A8360" s="20"/>
    </row>
    <row r="8361" spans="1:1" x14ac:dyDescent="0.3">
      <c r="A8361" s="20"/>
    </row>
    <row r="8362" spans="1:1" x14ac:dyDescent="0.3">
      <c r="A8362" s="20"/>
    </row>
    <row r="8363" spans="1:1" x14ac:dyDescent="0.3">
      <c r="A8363" s="20"/>
    </row>
    <row r="8364" spans="1:1" x14ac:dyDescent="0.3">
      <c r="A8364" s="20"/>
    </row>
    <row r="8365" spans="1:1" x14ac:dyDescent="0.3">
      <c r="A8365" s="20"/>
    </row>
    <row r="8366" spans="1:1" x14ac:dyDescent="0.3">
      <c r="A8366" s="20"/>
    </row>
    <row r="8367" spans="1:1" x14ac:dyDescent="0.3">
      <c r="A8367" s="20"/>
    </row>
    <row r="8368" spans="1:1" x14ac:dyDescent="0.3">
      <c r="A8368" s="20"/>
    </row>
    <row r="8369" spans="1:1" x14ac:dyDescent="0.3">
      <c r="A8369" s="20"/>
    </row>
    <row r="8370" spans="1:1" x14ac:dyDescent="0.3">
      <c r="A8370" s="20"/>
    </row>
    <row r="8371" spans="1:1" x14ac:dyDescent="0.3">
      <c r="A8371" s="20"/>
    </row>
    <row r="8372" spans="1:1" x14ac:dyDescent="0.3">
      <c r="A8372" s="20"/>
    </row>
    <row r="8373" spans="1:1" x14ac:dyDescent="0.3">
      <c r="A8373" s="20"/>
    </row>
    <row r="8374" spans="1:1" x14ac:dyDescent="0.3">
      <c r="A8374" s="20"/>
    </row>
    <row r="8375" spans="1:1" x14ac:dyDescent="0.3">
      <c r="A8375" s="20"/>
    </row>
    <row r="8376" spans="1:1" x14ac:dyDescent="0.3">
      <c r="A8376" s="20"/>
    </row>
    <row r="8377" spans="1:1" x14ac:dyDescent="0.3">
      <c r="A8377" s="20"/>
    </row>
    <row r="8378" spans="1:1" x14ac:dyDescent="0.3">
      <c r="A8378" s="20"/>
    </row>
    <row r="8379" spans="1:1" x14ac:dyDescent="0.3">
      <c r="A8379" s="20"/>
    </row>
    <row r="8380" spans="1:1" x14ac:dyDescent="0.3">
      <c r="A8380" s="20"/>
    </row>
    <row r="8381" spans="1:1" x14ac:dyDescent="0.3">
      <c r="A8381" s="20"/>
    </row>
    <row r="8382" spans="1:1" x14ac:dyDescent="0.3">
      <c r="A8382" s="20"/>
    </row>
    <row r="8383" spans="1:1" x14ac:dyDescent="0.3">
      <c r="A8383" s="20"/>
    </row>
    <row r="8384" spans="1:1" x14ac:dyDescent="0.3">
      <c r="A8384" s="20"/>
    </row>
    <row r="8385" spans="1:1" x14ac:dyDescent="0.3">
      <c r="A8385" s="20"/>
    </row>
    <row r="8386" spans="1:1" x14ac:dyDescent="0.3">
      <c r="A8386" s="20"/>
    </row>
    <row r="8387" spans="1:1" x14ac:dyDescent="0.3">
      <c r="A8387" s="20"/>
    </row>
    <row r="8388" spans="1:1" x14ac:dyDescent="0.3">
      <c r="A8388" s="20"/>
    </row>
    <row r="8389" spans="1:1" x14ac:dyDescent="0.3">
      <c r="A8389" s="20"/>
    </row>
    <row r="8390" spans="1:1" x14ac:dyDescent="0.3">
      <c r="A8390" s="20"/>
    </row>
    <row r="8391" spans="1:1" x14ac:dyDescent="0.3">
      <c r="A8391" s="20"/>
    </row>
    <row r="8392" spans="1:1" x14ac:dyDescent="0.3">
      <c r="A8392" s="20"/>
    </row>
    <row r="8393" spans="1:1" x14ac:dyDescent="0.3">
      <c r="A8393" s="20"/>
    </row>
    <row r="8394" spans="1:1" x14ac:dyDescent="0.3">
      <c r="A8394" s="20"/>
    </row>
    <row r="8395" spans="1:1" x14ac:dyDescent="0.3">
      <c r="A8395" s="20"/>
    </row>
    <row r="8396" spans="1:1" x14ac:dyDescent="0.3">
      <c r="A8396" s="20"/>
    </row>
    <row r="8397" spans="1:1" x14ac:dyDescent="0.3">
      <c r="A8397" s="20"/>
    </row>
    <row r="8398" spans="1:1" x14ac:dyDescent="0.3">
      <c r="A8398" s="20"/>
    </row>
    <row r="8399" spans="1:1" x14ac:dyDescent="0.3">
      <c r="A8399" s="20"/>
    </row>
    <row r="8400" spans="1:1" x14ac:dyDescent="0.3">
      <c r="A8400" s="20"/>
    </row>
    <row r="8401" spans="1:1" x14ac:dyDescent="0.3">
      <c r="A8401" s="20"/>
    </row>
    <row r="8402" spans="1:1" x14ac:dyDescent="0.3">
      <c r="A8402" s="20"/>
    </row>
    <row r="8403" spans="1:1" x14ac:dyDescent="0.3">
      <c r="A8403" s="20"/>
    </row>
    <row r="8404" spans="1:1" x14ac:dyDescent="0.3">
      <c r="A8404" s="20"/>
    </row>
    <row r="8405" spans="1:1" x14ac:dyDescent="0.3">
      <c r="A8405" s="20"/>
    </row>
    <row r="8406" spans="1:1" x14ac:dyDescent="0.3">
      <c r="A8406" s="20"/>
    </row>
    <row r="8407" spans="1:1" x14ac:dyDescent="0.3">
      <c r="A8407" s="20"/>
    </row>
    <row r="8408" spans="1:1" x14ac:dyDescent="0.3">
      <c r="A8408" s="20"/>
    </row>
    <row r="8409" spans="1:1" x14ac:dyDescent="0.3">
      <c r="A8409" s="20"/>
    </row>
    <row r="8410" spans="1:1" x14ac:dyDescent="0.3">
      <c r="A8410" s="20"/>
    </row>
    <row r="8411" spans="1:1" x14ac:dyDescent="0.3">
      <c r="A8411" s="20"/>
    </row>
    <row r="8412" spans="1:1" x14ac:dyDescent="0.3">
      <c r="A8412" s="20"/>
    </row>
    <row r="8413" spans="1:1" x14ac:dyDescent="0.3">
      <c r="A8413" s="20"/>
    </row>
    <row r="8414" spans="1:1" x14ac:dyDescent="0.3">
      <c r="A8414" s="20"/>
    </row>
    <row r="8415" spans="1:1" x14ac:dyDescent="0.3">
      <c r="A8415" s="20"/>
    </row>
    <row r="8416" spans="1:1" x14ac:dyDescent="0.3">
      <c r="A8416" s="20"/>
    </row>
    <row r="8417" spans="1:1" x14ac:dyDescent="0.3">
      <c r="A8417" s="20"/>
    </row>
    <row r="8418" spans="1:1" x14ac:dyDescent="0.3">
      <c r="A8418" s="20"/>
    </row>
    <row r="8419" spans="1:1" x14ac:dyDescent="0.3">
      <c r="A8419" s="20"/>
    </row>
    <row r="8420" spans="1:1" x14ac:dyDescent="0.3">
      <c r="A8420" s="20"/>
    </row>
    <row r="8421" spans="1:1" x14ac:dyDescent="0.3">
      <c r="A8421" s="20"/>
    </row>
    <row r="8422" spans="1:1" x14ac:dyDescent="0.3">
      <c r="A8422" s="20"/>
    </row>
    <row r="8423" spans="1:1" x14ac:dyDescent="0.3">
      <c r="A8423" s="20"/>
    </row>
    <row r="8424" spans="1:1" x14ac:dyDescent="0.3">
      <c r="A8424" s="20"/>
    </row>
    <row r="8425" spans="1:1" x14ac:dyDescent="0.3">
      <c r="A8425" s="20"/>
    </row>
    <row r="8426" spans="1:1" x14ac:dyDescent="0.3">
      <c r="A8426" s="20"/>
    </row>
    <row r="8427" spans="1:1" x14ac:dyDescent="0.3">
      <c r="A8427" s="20"/>
    </row>
    <row r="8428" spans="1:1" x14ac:dyDescent="0.3">
      <c r="A8428" s="20"/>
    </row>
    <row r="8429" spans="1:1" x14ac:dyDescent="0.3">
      <c r="A8429" s="20"/>
    </row>
    <row r="8430" spans="1:1" x14ac:dyDescent="0.3">
      <c r="A8430" s="20"/>
    </row>
    <row r="8431" spans="1:1" x14ac:dyDescent="0.3">
      <c r="A8431" s="20"/>
    </row>
    <row r="8432" spans="1:1" x14ac:dyDescent="0.3">
      <c r="A8432" s="20"/>
    </row>
    <row r="8433" spans="1:1" x14ac:dyDescent="0.3">
      <c r="A8433" s="20"/>
    </row>
    <row r="8434" spans="1:1" x14ac:dyDescent="0.3">
      <c r="A8434" s="20"/>
    </row>
    <row r="8435" spans="1:1" x14ac:dyDescent="0.3">
      <c r="A8435" s="20"/>
    </row>
    <row r="8436" spans="1:1" x14ac:dyDescent="0.3">
      <c r="A8436" s="20"/>
    </row>
    <row r="8437" spans="1:1" x14ac:dyDescent="0.3">
      <c r="A8437" s="20"/>
    </row>
    <row r="8438" spans="1:1" x14ac:dyDescent="0.3">
      <c r="A8438" s="20"/>
    </row>
    <row r="8439" spans="1:1" x14ac:dyDescent="0.3">
      <c r="A8439" s="20"/>
    </row>
    <row r="8440" spans="1:1" x14ac:dyDescent="0.3">
      <c r="A8440" s="20"/>
    </row>
    <row r="8441" spans="1:1" x14ac:dyDescent="0.3">
      <c r="A8441" s="20"/>
    </row>
    <row r="8442" spans="1:1" x14ac:dyDescent="0.3">
      <c r="A8442" s="20"/>
    </row>
    <row r="8443" spans="1:1" x14ac:dyDescent="0.3">
      <c r="A8443" s="20"/>
    </row>
    <row r="8444" spans="1:1" x14ac:dyDescent="0.3">
      <c r="A8444" s="20"/>
    </row>
    <row r="8445" spans="1:1" x14ac:dyDescent="0.3">
      <c r="A8445" s="20"/>
    </row>
    <row r="8446" spans="1:1" x14ac:dyDescent="0.3">
      <c r="A8446" s="20"/>
    </row>
    <row r="8447" spans="1:1" x14ac:dyDescent="0.3">
      <c r="A8447" s="20"/>
    </row>
    <row r="8448" spans="1:1" x14ac:dyDescent="0.3">
      <c r="A8448" s="20"/>
    </row>
    <row r="8449" spans="1:1" x14ac:dyDescent="0.3">
      <c r="A8449" s="20"/>
    </row>
    <row r="8450" spans="1:1" x14ac:dyDescent="0.3">
      <c r="A8450" s="20"/>
    </row>
    <row r="8451" spans="1:1" x14ac:dyDescent="0.3">
      <c r="A8451" s="20"/>
    </row>
    <row r="8452" spans="1:1" x14ac:dyDescent="0.3">
      <c r="A8452" s="20"/>
    </row>
    <row r="8453" spans="1:1" x14ac:dyDescent="0.3">
      <c r="A8453" s="20"/>
    </row>
    <row r="8454" spans="1:1" x14ac:dyDescent="0.3">
      <c r="A8454" s="20"/>
    </row>
    <row r="8455" spans="1:1" x14ac:dyDescent="0.3">
      <c r="A8455" s="20"/>
    </row>
    <row r="8456" spans="1:1" x14ac:dyDescent="0.3">
      <c r="A8456" s="20"/>
    </row>
    <row r="8457" spans="1:1" x14ac:dyDescent="0.3">
      <c r="A8457" s="20"/>
    </row>
    <row r="8458" spans="1:1" x14ac:dyDescent="0.3">
      <c r="A8458" s="20"/>
    </row>
    <row r="8459" spans="1:1" x14ac:dyDescent="0.3">
      <c r="A8459" s="20"/>
    </row>
    <row r="8460" spans="1:1" x14ac:dyDescent="0.3">
      <c r="A8460" s="20"/>
    </row>
    <row r="8461" spans="1:1" x14ac:dyDescent="0.3">
      <c r="A8461" s="20"/>
    </row>
    <row r="8462" spans="1:1" x14ac:dyDescent="0.3">
      <c r="A8462" s="20"/>
    </row>
    <row r="8463" spans="1:1" x14ac:dyDescent="0.3">
      <c r="A8463" s="20"/>
    </row>
    <row r="8464" spans="1:1" x14ac:dyDescent="0.3">
      <c r="A8464" s="20"/>
    </row>
    <row r="8465" spans="1:1" x14ac:dyDescent="0.3">
      <c r="A8465" s="20"/>
    </row>
    <row r="8466" spans="1:1" x14ac:dyDescent="0.3">
      <c r="A8466" s="20"/>
    </row>
    <row r="8467" spans="1:1" x14ac:dyDescent="0.3">
      <c r="A8467" s="20"/>
    </row>
    <row r="8468" spans="1:1" x14ac:dyDescent="0.3">
      <c r="A8468" s="20"/>
    </row>
    <row r="8469" spans="1:1" x14ac:dyDescent="0.3">
      <c r="A8469" s="20"/>
    </row>
    <row r="8470" spans="1:1" x14ac:dyDescent="0.3">
      <c r="A8470" s="20"/>
    </row>
    <row r="8471" spans="1:1" x14ac:dyDescent="0.3">
      <c r="A8471" s="20"/>
    </row>
    <row r="8472" spans="1:1" x14ac:dyDescent="0.3">
      <c r="A8472" s="20"/>
    </row>
    <row r="8473" spans="1:1" x14ac:dyDescent="0.3">
      <c r="A8473" s="20"/>
    </row>
    <row r="8474" spans="1:1" x14ac:dyDescent="0.3">
      <c r="A8474" s="20"/>
    </row>
    <row r="8475" spans="1:1" x14ac:dyDescent="0.3">
      <c r="A8475" s="20"/>
    </row>
    <row r="8476" spans="1:1" x14ac:dyDescent="0.3">
      <c r="A8476" s="20"/>
    </row>
    <row r="8477" spans="1:1" x14ac:dyDescent="0.3">
      <c r="A8477" s="20"/>
    </row>
    <row r="8478" spans="1:1" x14ac:dyDescent="0.3">
      <c r="A8478" s="20"/>
    </row>
    <row r="8479" spans="1:1" x14ac:dyDescent="0.3">
      <c r="A8479" s="20"/>
    </row>
    <row r="8480" spans="1:1" x14ac:dyDescent="0.3">
      <c r="A8480" s="20"/>
    </row>
    <row r="8481" spans="1:1" x14ac:dyDescent="0.3">
      <c r="A8481" s="20"/>
    </row>
    <row r="8482" spans="1:1" x14ac:dyDescent="0.3">
      <c r="A8482" s="20"/>
    </row>
    <row r="8483" spans="1:1" x14ac:dyDescent="0.3">
      <c r="A8483" s="20"/>
    </row>
    <row r="8484" spans="1:1" x14ac:dyDescent="0.3">
      <c r="A8484" s="20"/>
    </row>
    <row r="8485" spans="1:1" x14ac:dyDescent="0.3">
      <c r="A8485" s="20"/>
    </row>
    <row r="8486" spans="1:1" x14ac:dyDescent="0.3">
      <c r="A8486" s="20"/>
    </row>
    <row r="8487" spans="1:1" x14ac:dyDescent="0.3">
      <c r="A8487" s="20"/>
    </row>
    <row r="8488" spans="1:1" x14ac:dyDescent="0.3">
      <c r="A8488" s="20"/>
    </row>
    <row r="8489" spans="1:1" x14ac:dyDescent="0.3">
      <c r="A8489" s="20"/>
    </row>
    <row r="8490" spans="1:1" x14ac:dyDescent="0.3">
      <c r="A8490" s="20"/>
    </row>
    <row r="8491" spans="1:1" x14ac:dyDescent="0.3">
      <c r="A8491" s="20"/>
    </row>
    <row r="8492" spans="1:1" x14ac:dyDescent="0.3">
      <c r="A8492" s="20"/>
    </row>
    <row r="8493" spans="1:1" x14ac:dyDescent="0.3">
      <c r="A8493" s="20"/>
    </row>
    <row r="8494" spans="1:1" x14ac:dyDescent="0.3">
      <c r="A8494" s="20"/>
    </row>
    <row r="8495" spans="1:1" x14ac:dyDescent="0.3">
      <c r="A8495" s="20"/>
    </row>
    <row r="8496" spans="1:1" x14ac:dyDescent="0.3">
      <c r="A8496" s="20"/>
    </row>
    <row r="8497" spans="1:1" x14ac:dyDescent="0.3">
      <c r="A8497" s="20"/>
    </row>
    <row r="8498" spans="1:1" x14ac:dyDescent="0.3">
      <c r="A8498" s="20"/>
    </row>
    <row r="8499" spans="1:1" x14ac:dyDescent="0.3">
      <c r="A8499" s="20"/>
    </row>
    <row r="8500" spans="1:1" x14ac:dyDescent="0.3">
      <c r="A8500" s="20"/>
    </row>
    <row r="8501" spans="1:1" x14ac:dyDescent="0.3">
      <c r="A8501" s="20"/>
    </row>
    <row r="8502" spans="1:1" x14ac:dyDescent="0.3">
      <c r="A8502" s="20"/>
    </row>
    <row r="8503" spans="1:1" x14ac:dyDescent="0.3">
      <c r="A8503" s="20"/>
    </row>
    <row r="8504" spans="1:1" x14ac:dyDescent="0.3">
      <c r="A8504" s="20"/>
    </row>
    <row r="8505" spans="1:1" x14ac:dyDescent="0.3">
      <c r="A8505" s="20"/>
    </row>
    <row r="8506" spans="1:1" x14ac:dyDescent="0.3">
      <c r="A8506" s="20"/>
    </row>
    <row r="8507" spans="1:1" x14ac:dyDescent="0.3">
      <c r="A8507" s="20"/>
    </row>
    <row r="8508" spans="1:1" x14ac:dyDescent="0.3">
      <c r="A8508" s="20"/>
    </row>
    <row r="8509" spans="1:1" x14ac:dyDescent="0.3">
      <c r="A8509" s="20"/>
    </row>
    <row r="8510" spans="1:1" x14ac:dyDescent="0.3">
      <c r="A8510" s="20"/>
    </row>
    <row r="8511" spans="1:1" x14ac:dyDescent="0.3">
      <c r="A8511" s="20"/>
    </row>
    <row r="8512" spans="1:1" x14ac:dyDescent="0.3">
      <c r="A8512" s="20"/>
    </row>
    <row r="8513" spans="1:1" x14ac:dyDescent="0.3">
      <c r="A8513" s="20"/>
    </row>
    <row r="8514" spans="1:1" x14ac:dyDescent="0.3">
      <c r="A8514" s="20"/>
    </row>
    <row r="8515" spans="1:1" x14ac:dyDescent="0.3">
      <c r="A8515" s="20"/>
    </row>
    <row r="8516" spans="1:1" x14ac:dyDescent="0.3">
      <c r="A8516" s="20"/>
    </row>
    <row r="8517" spans="1:1" x14ac:dyDescent="0.3">
      <c r="A8517" s="20"/>
    </row>
    <row r="8518" spans="1:1" x14ac:dyDescent="0.3">
      <c r="A8518" s="20"/>
    </row>
    <row r="8519" spans="1:1" x14ac:dyDescent="0.3">
      <c r="A8519" s="20"/>
    </row>
    <row r="8520" spans="1:1" x14ac:dyDescent="0.3">
      <c r="A8520" s="20"/>
    </row>
    <row r="8521" spans="1:1" x14ac:dyDescent="0.3">
      <c r="A8521" s="20"/>
    </row>
    <row r="8522" spans="1:1" x14ac:dyDescent="0.3">
      <c r="A8522" s="20"/>
    </row>
    <row r="8523" spans="1:1" x14ac:dyDescent="0.3">
      <c r="A8523" s="20"/>
    </row>
    <row r="8524" spans="1:1" x14ac:dyDescent="0.3">
      <c r="A8524" s="20"/>
    </row>
    <row r="8525" spans="1:1" x14ac:dyDescent="0.3">
      <c r="A8525" s="20"/>
    </row>
    <row r="8526" spans="1:1" x14ac:dyDescent="0.3">
      <c r="A8526" s="20"/>
    </row>
    <row r="8527" spans="1:1" x14ac:dyDescent="0.3">
      <c r="A8527" s="20"/>
    </row>
    <row r="8528" spans="1:1" x14ac:dyDescent="0.3">
      <c r="A8528" s="20"/>
    </row>
    <row r="8529" spans="1:1" x14ac:dyDescent="0.3">
      <c r="A8529" s="20"/>
    </row>
    <row r="8530" spans="1:1" x14ac:dyDescent="0.3">
      <c r="A8530" s="20"/>
    </row>
    <row r="8531" spans="1:1" x14ac:dyDescent="0.3">
      <c r="A8531" s="20"/>
    </row>
    <row r="8532" spans="1:1" x14ac:dyDescent="0.3">
      <c r="A8532" s="20"/>
    </row>
    <row r="8533" spans="1:1" x14ac:dyDescent="0.3">
      <c r="A8533" s="20"/>
    </row>
    <row r="8534" spans="1:1" x14ac:dyDescent="0.3">
      <c r="A8534" s="20"/>
    </row>
    <row r="8535" spans="1:1" x14ac:dyDescent="0.3">
      <c r="A8535" s="20"/>
    </row>
    <row r="8536" spans="1:1" x14ac:dyDescent="0.3">
      <c r="A8536" s="20"/>
    </row>
    <row r="8537" spans="1:1" x14ac:dyDescent="0.3">
      <c r="A8537" s="20"/>
    </row>
    <row r="8538" spans="1:1" x14ac:dyDescent="0.3">
      <c r="A8538" s="20"/>
    </row>
    <row r="8539" spans="1:1" x14ac:dyDescent="0.3">
      <c r="A8539" s="20"/>
    </row>
    <row r="8540" spans="1:1" x14ac:dyDescent="0.3">
      <c r="A8540" s="20"/>
    </row>
    <row r="8541" spans="1:1" x14ac:dyDescent="0.3">
      <c r="A8541" s="20"/>
    </row>
    <row r="8542" spans="1:1" x14ac:dyDescent="0.3">
      <c r="A8542" s="20"/>
    </row>
    <row r="8543" spans="1:1" x14ac:dyDescent="0.3">
      <c r="A8543" s="20"/>
    </row>
    <row r="8544" spans="1:1" x14ac:dyDescent="0.3">
      <c r="A8544" s="20"/>
    </row>
    <row r="8545" spans="1:1" x14ac:dyDescent="0.3">
      <c r="A8545" s="20"/>
    </row>
    <row r="8546" spans="1:1" x14ac:dyDescent="0.3">
      <c r="A8546" s="20"/>
    </row>
    <row r="8547" spans="1:1" x14ac:dyDescent="0.3">
      <c r="A8547" s="20"/>
    </row>
    <row r="8548" spans="1:1" x14ac:dyDescent="0.3">
      <c r="A8548" s="20"/>
    </row>
    <row r="8549" spans="1:1" x14ac:dyDescent="0.3">
      <c r="A8549" s="20"/>
    </row>
    <row r="8550" spans="1:1" x14ac:dyDescent="0.3">
      <c r="A8550" s="20"/>
    </row>
    <row r="8551" spans="1:1" x14ac:dyDescent="0.3">
      <c r="A8551" s="20"/>
    </row>
    <row r="8552" spans="1:1" x14ac:dyDescent="0.3">
      <c r="A8552" s="20"/>
    </row>
    <row r="8553" spans="1:1" x14ac:dyDescent="0.3">
      <c r="A8553" s="20"/>
    </row>
    <row r="8554" spans="1:1" x14ac:dyDescent="0.3">
      <c r="A8554" s="20"/>
    </row>
    <row r="8555" spans="1:1" x14ac:dyDescent="0.3">
      <c r="A8555" s="20"/>
    </row>
    <row r="8556" spans="1:1" x14ac:dyDescent="0.3">
      <c r="A8556" s="20"/>
    </row>
    <row r="8557" spans="1:1" x14ac:dyDescent="0.3">
      <c r="A8557" s="20"/>
    </row>
    <row r="8558" spans="1:1" x14ac:dyDescent="0.3">
      <c r="A8558" s="20"/>
    </row>
    <row r="8559" spans="1:1" x14ac:dyDescent="0.3">
      <c r="A8559" s="20"/>
    </row>
    <row r="8560" spans="1:1" x14ac:dyDescent="0.3">
      <c r="A8560" s="20"/>
    </row>
    <row r="8561" spans="1:1" x14ac:dyDescent="0.3">
      <c r="A8561" s="20"/>
    </row>
    <row r="8562" spans="1:1" x14ac:dyDescent="0.3">
      <c r="A8562" s="20"/>
    </row>
    <row r="8563" spans="1:1" x14ac:dyDescent="0.3">
      <c r="A8563" s="20"/>
    </row>
    <row r="8564" spans="1:1" x14ac:dyDescent="0.3">
      <c r="A8564" s="20"/>
    </row>
    <row r="8565" spans="1:1" x14ac:dyDescent="0.3">
      <c r="A8565" s="20"/>
    </row>
    <row r="8566" spans="1:1" x14ac:dyDescent="0.3">
      <c r="A8566" s="20"/>
    </row>
    <row r="8567" spans="1:1" x14ac:dyDescent="0.3">
      <c r="A8567" s="20"/>
    </row>
    <row r="8568" spans="1:1" x14ac:dyDescent="0.3">
      <c r="A8568" s="20"/>
    </row>
    <row r="8569" spans="1:1" x14ac:dyDescent="0.3">
      <c r="A8569" s="20"/>
    </row>
    <row r="8570" spans="1:1" x14ac:dyDescent="0.3">
      <c r="A8570" s="20"/>
    </row>
    <row r="8571" spans="1:1" x14ac:dyDescent="0.3">
      <c r="A8571" s="20"/>
    </row>
    <row r="8572" spans="1:1" x14ac:dyDescent="0.3">
      <c r="A8572" s="20"/>
    </row>
    <row r="8573" spans="1:1" x14ac:dyDescent="0.3">
      <c r="A8573" s="20"/>
    </row>
    <row r="8574" spans="1:1" x14ac:dyDescent="0.3">
      <c r="A8574" s="20"/>
    </row>
    <row r="8575" spans="1:1" x14ac:dyDescent="0.3">
      <c r="A8575" s="20"/>
    </row>
    <row r="8576" spans="1:1" x14ac:dyDescent="0.3">
      <c r="A8576" s="20"/>
    </row>
    <row r="8577" spans="1:1" x14ac:dyDescent="0.3">
      <c r="A8577" s="20"/>
    </row>
    <row r="8578" spans="1:1" x14ac:dyDescent="0.3">
      <c r="A8578" s="20"/>
    </row>
    <row r="8579" spans="1:1" x14ac:dyDescent="0.3">
      <c r="A8579" s="20"/>
    </row>
    <row r="8580" spans="1:1" x14ac:dyDescent="0.3">
      <c r="A8580" s="20"/>
    </row>
    <row r="8581" spans="1:1" x14ac:dyDescent="0.3">
      <c r="A8581" s="20"/>
    </row>
    <row r="8582" spans="1:1" x14ac:dyDescent="0.3">
      <c r="A8582" s="20"/>
    </row>
    <row r="8583" spans="1:1" x14ac:dyDescent="0.3">
      <c r="A8583" s="20"/>
    </row>
    <row r="8584" spans="1:1" x14ac:dyDescent="0.3">
      <c r="A8584" s="20"/>
    </row>
    <row r="8585" spans="1:1" x14ac:dyDescent="0.3">
      <c r="A8585" s="20"/>
    </row>
    <row r="8586" spans="1:1" x14ac:dyDescent="0.3">
      <c r="A8586" s="20"/>
    </row>
    <row r="8587" spans="1:1" x14ac:dyDescent="0.3">
      <c r="A8587" s="20"/>
    </row>
    <row r="8588" spans="1:1" x14ac:dyDescent="0.3">
      <c r="A8588" s="20"/>
    </row>
    <row r="8589" spans="1:1" x14ac:dyDescent="0.3">
      <c r="A8589" s="20"/>
    </row>
    <row r="8590" spans="1:1" x14ac:dyDescent="0.3">
      <c r="A8590" s="20"/>
    </row>
    <row r="8591" spans="1:1" x14ac:dyDescent="0.3">
      <c r="A8591" s="20"/>
    </row>
    <row r="8592" spans="1:1" x14ac:dyDescent="0.3">
      <c r="A8592" s="20"/>
    </row>
    <row r="8593" spans="1:1" x14ac:dyDescent="0.3">
      <c r="A8593" s="20"/>
    </row>
    <row r="8594" spans="1:1" x14ac:dyDescent="0.3">
      <c r="A8594" s="20"/>
    </row>
    <row r="8595" spans="1:1" x14ac:dyDescent="0.3">
      <c r="A8595" s="20"/>
    </row>
    <row r="8596" spans="1:1" x14ac:dyDescent="0.3">
      <c r="A8596" s="20"/>
    </row>
    <row r="8597" spans="1:1" x14ac:dyDescent="0.3">
      <c r="A8597" s="20"/>
    </row>
    <row r="8598" spans="1:1" x14ac:dyDescent="0.3">
      <c r="A8598" s="20"/>
    </row>
    <row r="8599" spans="1:1" x14ac:dyDescent="0.3">
      <c r="A8599" s="20"/>
    </row>
    <row r="8600" spans="1:1" x14ac:dyDescent="0.3">
      <c r="A8600" s="20"/>
    </row>
    <row r="8601" spans="1:1" x14ac:dyDescent="0.3">
      <c r="A8601" s="20"/>
    </row>
    <row r="8602" spans="1:1" x14ac:dyDescent="0.3">
      <c r="A8602" s="20"/>
    </row>
    <row r="8603" spans="1:1" x14ac:dyDescent="0.3">
      <c r="A8603" s="20"/>
    </row>
    <row r="8604" spans="1:1" x14ac:dyDescent="0.3">
      <c r="A8604" s="20"/>
    </row>
    <row r="8605" spans="1:1" x14ac:dyDescent="0.3">
      <c r="A8605" s="20"/>
    </row>
    <row r="8606" spans="1:1" x14ac:dyDescent="0.3">
      <c r="A8606" s="20"/>
    </row>
    <row r="8607" spans="1:1" x14ac:dyDescent="0.3">
      <c r="A8607" s="20"/>
    </row>
    <row r="8608" spans="1:1" x14ac:dyDescent="0.3">
      <c r="A8608" s="20"/>
    </row>
    <row r="8609" spans="1:1" x14ac:dyDescent="0.3">
      <c r="A8609" s="20"/>
    </row>
    <row r="8610" spans="1:1" x14ac:dyDescent="0.3">
      <c r="A8610" s="20"/>
    </row>
    <row r="8611" spans="1:1" x14ac:dyDescent="0.3">
      <c r="A8611" s="20"/>
    </row>
    <row r="8612" spans="1:1" x14ac:dyDescent="0.3">
      <c r="A8612" s="20"/>
    </row>
    <row r="8613" spans="1:1" x14ac:dyDescent="0.3">
      <c r="A8613" s="20"/>
    </row>
    <row r="8614" spans="1:1" x14ac:dyDescent="0.3">
      <c r="A8614" s="20"/>
    </row>
    <row r="8615" spans="1:1" x14ac:dyDescent="0.3">
      <c r="A8615" s="20"/>
    </row>
    <row r="8616" spans="1:1" x14ac:dyDescent="0.3">
      <c r="A8616" s="20"/>
    </row>
    <row r="8617" spans="1:1" x14ac:dyDescent="0.3">
      <c r="A8617" s="20"/>
    </row>
    <row r="8618" spans="1:1" x14ac:dyDescent="0.3">
      <c r="A8618" s="20"/>
    </row>
    <row r="8619" spans="1:1" x14ac:dyDescent="0.3">
      <c r="A8619" s="20"/>
    </row>
    <row r="8620" spans="1:1" x14ac:dyDescent="0.3">
      <c r="A8620" s="20"/>
    </row>
    <row r="8621" spans="1:1" x14ac:dyDescent="0.3">
      <c r="A8621" s="20"/>
    </row>
    <row r="8622" spans="1:1" x14ac:dyDescent="0.3">
      <c r="A8622" s="20"/>
    </row>
    <row r="8623" spans="1:1" x14ac:dyDescent="0.3">
      <c r="A8623" s="20"/>
    </row>
    <row r="8624" spans="1:1" x14ac:dyDescent="0.3">
      <c r="A8624" s="20"/>
    </row>
    <row r="8625" spans="1:1" x14ac:dyDescent="0.3">
      <c r="A8625" s="20"/>
    </row>
    <row r="8626" spans="1:1" x14ac:dyDescent="0.3">
      <c r="A8626" s="20"/>
    </row>
    <row r="8627" spans="1:1" x14ac:dyDescent="0.3">
      <c r="A8627" s="20"/>
    </row>
    <row r="8628" spans="1:1" x14ac:dyDescent="0.3">
      <c r="A8628" s="20"/>
    </row>
    <row r="8629" spans="1:1" x14ac:dyDescent="0.3">
      <c r="A8629" s="20"/>
    </row>
    <row r="8630" spans="1:1" x14ac:dyDescent="0.3">
      <c r="A8630" s="20"/>
    </row>
    <row r="8631" spans="1:1" x14ac:dyDescent="0.3">
      <c r="A8631" s="20"/>
    </row>
    <row r="8632" spans="1:1" x14ac:dyDescent="0.3">
      <c r="A8632" s="20"/>
    </row>
    <row r="8633" spans="1:1" x14ac:dyDescent="0.3">
      <c r="A8633" s="20"/>
    </row>
    <row r="8634" spans="1:1" x14ac:dyDescent="0.3">
      <c r="A8634" s="20"/>
    </row>
    <row r="8635" spans="1:1" x14ac:dyDescent="0.3">
      <c r="A8635" s="20"/>
    </row>
    <row r="8636" spans="1:1" x14ac:dyDescent="0.3">
      <c r="A8636" s="20"/>
    </row>
    <row r="8637" spans="1:1" x14ac:dyDescent="0.3">
      <c r="A8637" s="20"/>
    </row>
    <row r="8638" spans="1:1" x14ac:dyDescent="0.3">
      <c r="A8638" s="20"/>
    </row>
    <row r="8639" spans="1:1" x14ac:dyDescent="0.3">
      <c r="A8639" s="20"/>
    </row>
    <row r="8640" spans="1:1" x14ac:dyDescent="0.3">
      <c r="A8640" s="20"/>
    </row>
    <row r="8641" spans="1:1" x14ac:dyDescent="0.3">
      <c r="A8641" s="20"/>
    </row>
    <row r="8642" spans="1:1" x14ac:dyDescent="0.3">
      <c r="A8642" s="20"/>
    </row>
    <row r="8643" spans="1:1" x14ac:dyDescent="0.3">
      <c r="A8643" s="20"/>
    </row>
    <row r="8644" spans="1:1" x14ac:dyDescent="0.3">
      <c r="A8644" s="20"/>
    </row>
    <row r="8645" spans="1:1" x14ac:dyDescent="0.3">
      <c r="A8645" s="20"/>
    </row>
    <row r="8646" spans="1:1" x14ac:dyDescent="0.3">
      <c r="A8646" s="20"/>
    </row>
    <row r="8647" spans="1:1" x14ac:dyDescent="0.3">
      <c r="A8647" s="20"/>
    </row>
    <row r="8648" spans="1:1" x14ac:dyDescent="0.3">
      <c r="A8648" s="20"/>
    </row>
    <row r="8649" spans="1:1" x14ac:dyDescent="0.3">
      <c r="A8649" s="20"/>
    </row>
    <row r="8650" spans="1:1" x14ac:dyDescent="0.3">
      <c r="A8650" s="20"/>
    </row>
    <row r="8651" spans="1:1" x14ac:dyDescent="0.3">
      <c r="A8651" s="20"/>
    </row>
    <row r="8652" spans="1:1" x14ac:dyDescent="0.3">
      <c r="A8652" s="20"/>
    </row>
    <row r="8653" spans="1:1" x14ac:dyDescent="0.3">
      <c r="A8653" s="20"/>
    </row>
    <row r="8654" spans="1:1" x14ac:dyDescent="0.3">
      <c r="A8654" s="20"/>
    </row>
    <row r="8655" spans="1:1" x14ac:dyDescent="0.3">
      <c r="A8655" s="20"/>
    </row>
    <row r="8656" spans="1:1" x14ac:dyDescent="0.3">
      <c r="A8656" s="20"/>
    </row>
    <row r="8657" spans="1:1" x14ac:dyDescent="0.3">
      <c r="A8657" s="20"/>
    </row>
    <row r="8658" spans="1:1" x14ac:dyDescent="0.3">
      <c r="A8658" s="20"/>
    </row>
    <row r="8659" spans="1:1" x14ac:dyDescent="0.3">
      <c r="A8659" s="20"/>
    </row>
    <row r="8660" spans="1:1" x14ac:dyDescent="0.3">
      <c r="A8660" s="20"/>
    </row>
    <row r="8661" spans="1:1" x14ac:dyDescent="0.3">
      <c r="A8661" s="20"/>
    </row>
    <row r="8662" spans="1:1" x14ac:dyDescent="0.3">
      <c r="A8662" s="20"/>
    </row>
    <row r="8663" spans="1:1" x14ac:dyDescent="0.3">
      <c r="A8663" s="20"/>
    </row>
    <row r="8664" spans="1:1" x14ac:dyDescent="0.3">
      <c r="A8664" s="20"/>
    </row>
    <row r="8665" spans="1:1" x14ac:dyDescent="0.3">
      <c r="A8665" s="20"/>
    </row>
    <row r="8666" spans="1:1" x14ac:dyDescent="0.3">
      <c r="A8666" s="20"/>
    </row>
    <row r="8667" spans="1:1" x14ac:dyDescent="0.3">
      <c r="A8667" s="20"/>
    </row>
    <row r="8668" spans="1:1" x14ac:dyDescent="0.3">
      <c r="A8668" s="20"/>
    </row>
    <row r="8669" spans="1:1" x14ac:dyDescent="0.3">
      <c r="A8669" s="20"/>
    </row>
    <row r="8670" spans="1:1" x14ac:dyDescent="0.3">
      <c r="A8670" s="20"/>
    </row>
    <row r="8671" spans="1:1" x14ac:dyDescent="0.3">
      <c r="A8671" s="20"/>
    </row>
    <row r="8672" spans="1:1" x14ac:dyDescent="0.3">
      <c r="A8672" s="20"/>
    </row>
    <row r="8673" spans="1:1" x14ac:dyDescent="0.3">
      <c r="A8673" s="20"/>
    </row>
    <row r="8674" spans="1:1" x14ac:dyDescent="0.3">
      <c r="A8674" s="20"/>
    </row>
    <row r="8675" spans="1:1" x14ac:dyDescent="0.3">
      <c r="A8675" s="20"/>
    </row>
    <row r="8676" spans="1:1" x14ac:dyDescent="0.3">
      <c r="A8676" s="20"/>
    </row>
    <row r="8677" spans="1:1" x14ac:dyDescent="0.3">
      <c r="A8677" s="20"/>
    </row>
    <row r="8678" spans="1:1" x14ac:dyDescent="0.3">
      <c r="A8678" s="20"/>
    </row>
    <row r="8679" spans="1:1" x14ac:dyDescent="0.3">
      <c r="A8679" s="20"/>
    </row>
    <row r="8680" spans="1:1" x14ac:dyDescent="0.3">
      <c r="A8680" s="20"/>
    </row>
    <row r="8681" spans="1:1" x14ac:dyDescent="0.3">
      <c r="A8681" s="20"/>
    </row>
    <row r="8682" spans="1:1" x14ac:dyDescent="0.3">
      <c r="A8682" s="20"/>
    </row>
    <row r="8683" spans="1:1" x14ac:dyDescent="0.3">
      <c r="A8683" s="20"/>
    </row>
    <row r="8684" spans="1:1" x14ac:dyDescent="0.3">
      <c r="A8684" s="20"/>
    </row>
    <row r="8685" spans="1:1" x14ac:dyDescent="0.3">
      <c r="A8685" s="20"/>
    </row>
    <row r="8686" spans="1:1" x14ac:dyDescent="0.3">
      <c r="A8686" s="20"/>
    </row>
    <row r="8687" spans="1:1" x14ac:dyDescent="0.3">
      <c r="A8687" s="20"/>
    </row>
    <row r="8688" spans="1:1" x14ac:dyDescent="0.3">
      <c r="A8688" s="20"/>
    </row>
    <row r="8689" spans="1:1" x14ac:dyDescent="0.3">
      <c r="A8689" s="20"/>
    </row>
    <row r="8690" spans="1:1" x14ac:dyDescent="0.3">
      <c r="A8690" s="20"/>
    </row>
    <row r="8691" spans="1:1" x14ac:dyDescent="0.3">
      <c r="A8691" s="20"/>
    </row>
    <row r="8692" spans="1:1" x14ac:dyDescent="0.3">
      <c r="A8692" s="20"/>
    </row>
    <row r="8693" spans="1:1" x14ac:dyDescent="0.3">
      <c r="A8693" s="20"/>
    </row>
    <row r="8694" spans="1:1" x14ac:dyDescent="0.3">
      <c r="A8694" s="20"/>
    </row>
    <row r="8695" spans="1:1" x14ac:dyDescent="0.3">
      <c r="A8695" s="20"/>
    </row>
    <row r="8696" spans="1:1" x14ac:dyDescent="0.3">
      <c r="A8696" s="20"/>
    </row>
    <row r="8697" spans="1:1" x14ac:dyDescent="0.3">
      <c r="A8697" s="20"/>
    </row>
    <row r="8698" spans="1:1" x14ac:dyDescent="0.3">
      <c r="A8698" s="20"/>
    </row>
    <row r="8699" spans="1:1" x14ac:dyDescent="0.3">
      <c r="A8699" s="20"/>
    </row>
    <row r="8700" spans="1:1" x14ac:dyDescent="0.3">
      <c r="A8700" s="20"/>
    </row>
    <row r="8701" spans="1:1" x14ac:dyDescent="0.3">
      <c r="A8701" s="20"/>
    </row>
    <row r="8702" spans="1:1" x14ac:dyDescent="0.3">
      <c r="A8702" s="20"/>
    </row>
    <row r="8703" spans="1:1" x14ac:dyDescent="0.3">
      <c r="A8703" s="20"/>
    </row>
    <row r="8704" spans="1:1" x14ac:dyDescent="0.3">
      <c r="A8704" s="20"/>
    </row>
    <row r="8705" spans="1:1" x14ac:dyDescent="0.3">
      <c r="A8705" s="20"/>
    </row>
    <row r="8706" spans="1:1" x14ac:dyDescent="0.3">
      <c r="A8706" s="20"/>
    </row>
    <row r="8707" spans="1:1" x14ac:dyDescent="0.3">
      <c r="A8707" s="20"/>
    </row>
    <row r="8708" spans="1:1" x14ac:dyDescent="0.3">
      <c r="A8708" s="20"/>
    </row>
    <row r="8709" spans="1:1" x14ac:dyDescent="0.3">
      <c r="A8709" s="20"/>
    </row>
    <row r="8710" spans="1:1" x14ac:dyDescent="0.3">
      <c r="A8710" s="20"/>
    </row>
    <row r="8711" spans="1:1" x14ac:dyDescent="0.3">
      <c r="A8711" s="20"/>
    </row>
    <row r="8712" spans="1:1" x14ac:dyDescent="0.3">
      <c r="A8712" s="20"/>
    </row>
    <row r="8713" spans="1:1" x14ac:dyDescent="0.3">
      <c r="A8713" s="20"/>
    </row>
    <row r="8714" spans="1:1" x14ac:dyDescent="0.3">
      <c r="A8714" s="20"/>
    </row>
    <row r="8715" spans="1:1" x14ac:dyDescent="0.3">
      <c r="A8715" s="20"/>
    </row>
    <row r="8716" spans="1:1" x14ac:dyDescent="0.3">
      <c r="A8716" s="20"/>
    </row>
    <row r="8717" spans="1:1" x14ac:dyDescent="0.3">
      <c r="A8717" s="20"/>
    </row>
    <row r="8718" spans="1:1" x14ac:dyDescent="0.3">
      <c r="A8718" s="20"/>
    </row>
    <row r="8719" spans="1:1" x14ac:dyDescent="0.3">
      <c r="A8719" s="20"/>
    </row>
    <row r="8720" spans="1:1" x14ac:dyDescent="0.3">
      <c r="A8720" s="20"/>
    </row>
    <row r="8721" spans="1:1" x14ac:dyDescent="0.3">
      <c r="A8721" s="20"/>
    </row>
    <row r="8722" spans="1:1" x14ac:dyDescent="0.3">
      <c r="A8722" s="20"/>
    </row>
    <row r="8723" spans="1:1" x14ac:dyDescent="0.3">
      <c r="A8723" s="20"/>
    </row>
    <row r="8724" spans="1:1" x14ac:dyDescent="0.3">
      <c r="A8724" s="20"/>
    </row>
    <row r="8725" spans="1:1" x14ac:dyDescent="0.3">
      <c r="A8725" s="20"/>
    </row>
    <row r="8726" spans="1:1" x14ac:dyDescent="0.3">
      <c r="A8726" s="20"/>
    </row>
    <row r="8727" spans="1:1" x14ac:dyDescent="0.3">
      <c r="A8727" s="20"/>
    </row>
    <row r="8728" spans="1:1" x14ac:dyDescent="0.3">
      <c r="A8728" s="20"/>
    </row>
    <row r="8729" spans="1:1" x14ac:dyDescent="0.3">
      <c r="A8729" s="20"/>
    </row>
    <row r="8730" spans="1:1" x14ac:dyDescent="0.3">
      <c r="A8730" s="20"/>
    </row>
    <row r="8731" spans="1:1" x14ac:dyDescent="0.3">
      <c r="A8731" s="20"/>
    </row>
    <row r="8732" spans="1:1" x14ac:dyDescent="0.3">
      <c r="A8732" s="20"/>
    </row>
    <row r="8733" spans="1:1" x14ac:dyDescent="0.3">
      <c r="A8733" s="20"/>
    </row>
    <row r="8734" spans="1:1" x14ac:dyDescent="0.3">
      <c r="A8734" s="20"/>
    </row>
    <row r="8735" spans="1:1" x14ac:dyDescent="0.3">
      <c r="A8735" s="20"/>
    </row>
    <row r="8736" spans="1:1" x14ac:dyDescent="0.3">
      <c r="A8736" s="20"/>
    </row>
    <row r="8737" spans="1:1" x14ac:dyDescent="0.3">
      <c r="A8737" s="20"/>
    </row>
    <row r="8738" spans="1:1" x14ac:dyDescent="0.3">
      <c r="A8738" s="20"/>
    </row>
    <row r="8739" spans="1:1" x14ac:dyDescent="0.3">
      <c r="A8739" s="20"/>
    </row>
    <row r="8740" spans="1:1" x14ac:dyDescent="0.3">
      <c r="A8740" s="20"/>
    </row>
    <row r="8741" spans="1:1" x14ac:dyDescent="0.3">
      <c r="A8741" s="20"/>
    </row>
    <row r="8742" spans="1:1" x14ac:dyDescent="0.3">
      <c r="A8742" s="20"/>
    </row>
    <row r="8743" spans="1:1" x14ac:dyDescent="0.3">
      <c r="A8743" s="20"/>
    </row>
    <row r="8744" spans="1:1" x14ac:dyDescent="0.3">
      <c r="A8744" s="20"/>
    </row>
    <row r="8745" spans="1:1" x14ac:dyDescent="0.3">
      <c r="A8745" s="20"/>
    </row>
    <row r="8746" spans="1:1" x14ac:dyDescent="0.3">
      <c r="A8746" s="20"/>
    </row>
    <row r="8747" spans="1:1" x14ac:dyDescent="0.3">
      <c r="A8747" s="20"/>
    </row>
    <row r="8748" spans="1:1" x14ac:dyDescent="0.3">
      <c r="A8748" s="20"/>
    </row>
    <row r="8749" spans="1:1" x14ac:dyDescent="0.3">
      <c r="A8749" s="20"/>
    </row>
    <row r="8750" spans="1:1" x14ac:dyDescent="0.3">
      <c r="A8750" s="20"/>
    </row>
    <row r="8751" spans="1:1" x14ac:dyDescent="0.3">
      <c r="A8751" s="20"/>
    </row>
    <row r="8752" spans="1:1" x14ac:dyDescent="0.3">
      <c r="A8752" s="20"/>
    </row>
    <row r="8753" spans="1:1" x14ac:dyDescent="0.3">
      <c r="A8753" s="20"/>
    </row>
    <row r="8754" spans="1:1" x14ac:dyDescent="0.3">
      <c r="A8754" s="20"/>
    </row>
    <row r="8755" spans="1:1" x14ac:dyDescent="0.3">
      <c r="A8755" s="20"/>
    </row>
    <row r="8756" spans="1:1" x14ac:dyDescent="0.3">
      <c r="A8756" s="20"/>
    </row>
    <row r="8757" spans="1:1" x14ac:dyDescent="0.3">
      <c r="A8757" s="20"/>
    </row>
    <row r="8758" spans="1:1" x14ac:dyDescent="0.3">
      <c r="A8758" s="20"/>
    </row>
    <row r="8759" spans="1:1" x14ac:dyDescent="0.3">
      <c r="A8759" s="20"/>
    </row>
    <row r="8760" spans="1:1" x14ac:dyDescent="0.3">
      <c r="A8760" s="20"/>
    </row>
    <row r="8761" spans="1:1" x14ac:dyDescent="0.3">
      <c r="A8761" s="20"/>
    </row>
    <row r="8762" spans="1:1" x14ac:dyDescent="0.3">
      <c r="A8762" s="20"/>
    </row>
    <row r="8763" spans="1:1" x14ac:dyDescent="0.3">
      <c r="A8763" s="20"/>
    </row>
    <row r="8764" spans="1:1" x14ac:dyDescent="0.3">
      <c r="A8764" s="20"/>
    </row>
    <row r="8765" spans="1:1" x14ac:dyDescent="0.3">
      <c r="A8765" s="20"/>
    </row>
    <row r="8766" spans="1:1" x14ac:dyDescent="0.3">
      <c r="A8766" s="20"/>
    </row>
    <row r="8767" spans="1:1" x14ac:dyDescent="0.3">
      <c r="A8767" s="20"/>
    </row>
    <row r="8768" spans="1:1" x14ac:dyDescent="0.3">
      <c r="A8768" s="20"/>
    </row>
    <row r="8769" spans="1:1" x14ac:dyDescent="0.3">
      <c r="A8769" s="20"/>
    </row>
    <row r="8770" spans="1:1" x14ac:dyDescent="0.3">
      <c r="A8770" s="20"/>
    </row>
    <row r="8771" spans="1:1" x14ac:dyDescent="0.3">
      <c r="A8771" s="20"/>
    </row>
    <row r="8772" spans="1:1" x14ac:dyDescent="0.3">
      <c r="A8772" s="20"/>
    </row>
    <row r="8773" spans="1:1" x14ac:dyDescent="0.3">
      <c r="A8773" s="20"/>
    </row>
    <row r="8774" spans="1:1" x14ac:dyDescent="0.3">
      <c r="A8774" s="20"/>
    </row>
    <row r="8775" spans="1:1" x14ac:dyDescent="0.3">
      <c r="A8775" s="20"/>
    </row>
    <row r="8776" spans="1:1" x14ac:dyDescent="0.3">
      <c r="A8776" s="20"/>
    </row>
    <row r="8777" spans="1:1" x14ac:dyDescent="0.3">
      <c r="A8777" s="20"/>
    </row>
    <row r="8778" spans="1:1" x14ac:dyDescent="0.3">
      <c r="A8778" s="20"/>
    </row>
    <row r="8779" spans="1:1" x14ac:dyDescent="0.3">
      <c r="A8779" s="20"/>
    </row>
    <row r="8780" spans="1:1" x14ac:dyDescent="0.3">
      <c r="A8780" s="20"/>
    </row>
    <row r="8781" spans="1:1" x14ac:dyDescent="0.3">
      <c r="A8781" s="20"/>
    </row>
    <row r="8782" spans="1:1" x14ac:dyDescent="0.3">
      <c r="A8782" s="20"/>
    </row>
    <row r="8783" spans="1:1" x14ac:dyDescent="0.3">
      <c r="A8783" s="20"/>
    </row>
    <row r="8784" spans="1:1" x14ac:dyDescent="0.3">
      <c r="A8784" s="20"/>
    </row>
    <row r="8785" spans="1:1" x14ac:dyDescent="0.3">
      <c r="A8785" s="20"/>
    </row>
    <row r="8786" spans="1:1" x14ac:dyDescent="0.3">
      <c r="A8786" s="20"/>
    </row>
    <row r="8787" spans="1:1" x14ac:dyDescent="0.3">
      <c r="A8787" s="20"/>
    </row>
    <row r="8788" spans="1:1" x14ac:dyDescent="0.3">
      <c r="A8788" s="20"/>
    </row>
    <row r="8789" spans="1:1" x14ac:dyDescent="0.3">
      <c r="A8789" s="20"/>
    </row>
    <row r="8790" spans="1:1" x14ac:dyDescent="0.3">
      <c r="A8790" s="20"/>
    </row>
    <row r="8791" spans="1:1" x14ac:dyDescent="0.3">
      <c r="A8791" s="20"/>
    </row>
    <row r="8792" spans="1:1" x14ac:dyDescent="0.3">
      <c r="A8792" s="20"/>
    </row>
    <row r="8793" spans="1:1" x14ac:dyDescent="0.3">
      <c r="A8793" s="20"/>
    </row>
    <row r="8794" spans="1:1" x14ac:dyDescent="0.3">
      <c r="A8794" s="20"/>
    </row>
    <row r="8795" spans="1:1" x14ac:dyDescent="0.3">
      <c r="A8795" s="20"/>
    </row>
    <row r="8796" spans="1:1" x14ac:dyDescent="0.3">
      <c r="A8796" s="20"/>
    </row>
    <row r="8797" spans="1:1" x14ac:dyDescent="0.3">
      <c r="A8797" s="20"/>
    </row>
    <row r="8798" spans="1:1" x14ac:dyDescent="0.3">
      <c r="A8798" s="20"/>
    </row>
    <row r="8799" spans="1:1" x14ac:dyDescent="0.3">
      <c r="A8799" s="20"/>
    </row>
    <row r="8800" spans="1:1" x14ac:dyDescent="0.3">
      <c r="A8800" s="20"/>
    </row>
    <row r="8801" spans="1:1" x14ac:dyDescent="0.3">
      <c r="A8801" s="20"/>
    </row>
    <row r="8802" spans="1:1" x14ac:dyDescent="0.3">
      <c r="A8802" s="20"/>
    </row>
    <row r="8803" spans="1:1" x14ac:dyDescent="0.3">
      <c r="A8803" s="20"/>
    </row>
    <row r="8804" spans="1:1" x14ac:dyDescent="0.3">
      <c r="A8804" s="20"/>
    </row>
    <row r="8805" spans="1:1" x14ac:dyDescent="0.3">
      <c r="A8805" s="20"/>
    </row>
    <row r="8806" spans="1:1" x14ac:dyDescent="0.3">
      <c r="A8806" s="20"/>
    </row>
    <row r="8807" spans="1:1" x14ac:dyDescent="0.3">
      <c r="A8807" s="20"/>
    </row>
    <row r="8808" spans="1:1" x14ac:dyDescent="0.3">
      <c r="A8808" s="20"/>
    </row>
    <row r="8809" spans="1:1" x14ac:dyDescent="0.3">
      <c r="A8809" s="20"/>
    </row>
    <row r="8810" spans="1:1" x14ac:dyDescent="0.3">
      <c r="A8810" s="20"/>
    </row>
    <row r="8811" spans="1:1" x14ac:dyDescent="0.3">
      <c r="A8811" s="20"/>
    </row>
    <row r="8812" spans="1:1" x14ac:dyDescent="0.3">
      <c r="A8812" s="20"/>
    </row>
    <row r="8813" spans="1:1" x14ac:dyDescent="0.3">
      <c r="A8813" s="20"/>
    </row>
    <row r="8814" spans="1:1" x14ac:dyDescent="0.3">
      <c r="A8814" s="20"/>
    </row>
    <row r="8815" spans="1:1" x14ac:dyDescent="0.3">
      <c r="A8815" s="20"/>
    </row>
    <row r="8816" spans="1:1" x14ac:dyDescent="0.3">
      <c r="A8816" s="20"/>
    </row>
    <row r="8817" spans="1:1" x14ac:dyDescent="0.3">
      <c r="A8817" s="20"/>
    </row>
    <row r="8818" spans="1:1" x14ac:dyDescent="0.3">
      <c r="A8818" s="20"/>
    </row>
    <row r="8819" spans="1:1" x14ac:dyDescent="0.3">
      <c r="A8819" s="20"/>
    </row>
    <row r="8820" spans="1:1" x14ac:dyDescent="0.3">
      <c r="A8820" s="20"/>
    </row>
    <row r="8821" spans="1:1" x14ac:dyDescent="0.3">
      <c r="A8821" s="20"/>
    </row>
    <row r="8822" spans="1:1" x14ac:dyDescent="0.3">
      <c r="A8822" s="20"/>
    </row>
    <row r="8823" spans="1:1" x14ac:dyDescent="0.3">
      <c r="A8823" s="20"/>
    </row>
    <row r="8824" spans="1:1" x14ac:dyDescent="0.3">
      <c r="A8824" s="20"/>
    </row>
    <row r="8825" spans="1:1" x14ac:dyDescent="0.3">
      <c r="A8825" s="20"/>
    </row>
    <row r="8826" spans="1:1" x14ac:dyDescent="0.3">
      <c r="A8826" s="20"/>
    </row>
    <row r="8827" spans="1:1" x14ac:dyDescent="0.3">
      <c r="A8827" s="20"/>
    </row>
    <row r="8828" spans="1:1" x14ac:dyDescent="0.3">
      <c r="A8828" s="20"/>
    </row>
    <row r="8829" spans="1:1" x14ac:dyDescent="0.3">
      <c r="A8829" s="20"/>
    </row>
    <row r="8830" spans="1:1" x14ac:dyDescent="0.3">
      <c r="A8830" s="20"/>
    </row>
    <row r="8831" spans="1:1" x14ac:dyDescent="0.3">
      <c r="A8831" s="20"/>
    </row>
    <row r="8832" spans="1:1" x14ac:dyDescent="0.3">
      <c r="A8832" s="20"/>
    </row>
    <row r="8833" spans="1:1" x14ac:dyDescent="0.3">
      <c r="A8833" s="20"/>
    </row>
    <row r="8834" spans="1:1" x14ac:dyDescent="0.3">
      <c r="A8834" s="20"/>
    </row>
    <row r="8835" spans="1:1" x14ac:dyDescent="0.3">
      <c r="A8835" s="20"/>
    </row>
    <row r="8836" spans="1:1" x14ac:dyDescent="0.3">
      <c r="A8836" s="20"/>
    </row>
    <row r="8837" spans="1:1" x14ac:dyDescent="0.3">
      <c r="A8837" s="20"/>
    </row>
    <row r="8838" spans="1:1" x14ac:dyDescent="0.3">
      <c r="A8838" s="20"/>
    </row>
    <row r="8839" spans="1:1" x14ac:dyDescent="0.3">
      <c r="A8839" s="20"/>
    </row>
    <row r="8840" spans="1:1" x14ac:dyDescent="0.3">
      <c r="A8840" s="20"/>
    </row>
    <row r="8841" spans="1:1" x14ac:dyDescent="0.3">
      <c r="A8841" s="20"/>
    </row>
    <row r="8842" spans="1:1" x14ac:dyDescent="0.3">
      <c r="A8842" s="20"/>
    </row>
    <row r="8843" spans="1:1" x14ac:dyDescent="0.3">
      <c r="A8843" s="20"/>
    </row>
    <row r="8844" spans="1:1" x14ac:dyDescent="0.3">
      <c r="A8844" s="20"/>
    </row>
    <row r="8845" spans="1:1" x14ac:dyDescent="0.3">
      <c r="A8845" s="20"/>
    </row>
    <row r="8846" spans="1:1" x14ac:dyDescent="0.3">
      <c r="A8846" s="20"/>
    </row>
    <row r="8847" spans="1:1" x14ac:dyDescent="0.3">
      <c r="A8847" s="20"/>
    </row>
    <row r="8848" spans="1:1" x14ac:dyDescent="0.3">
      <c r="A8848" s="20"/>
    </row>
    <row r="8849" spans="1:1" x14ac:dyDescent="0.3">
      <c r="A8849" s="20"/>
    </row>
    <row r="8850" spans="1:1" x14ac:dyDescent="0.3">
      <c r="A8850" s="20"/>
    </row>
    <row r="8851" spans="1:1" x14ac:dyDescent="0.3">
      <c r="A8851" s="20"/>
    </row>
    <row r="8852" spans="1:1" x14ac:dyDescent="0.3">
      <c r="A8852" s="20"/>
    </row>
    <row r="8853" spans="1:1" x14ac:dyDescent="0.3">
      <c r="A8853" s="20"/>
    </row>
    <row r="8854" spans="1:1" x14ac:dyDescent="0.3">
      <c r="A8854" s="20"/>
    </row>
    <row r="8855" spans="1:1" x14ac:dyDescent="0.3">
      <c r="A8855" s="20"/>
    </row>
    <row r="8856" spans="1:1" x14ac:dyDescent="0.3">
      <c r="A8856" s="20"/>
    </row>
    <row r="8857" spans="1:1" x14ac:dyDescent="0.3">
      <c r="A8857" s="20"/>
    </row>
    <row r="8858" spans="1:1" x14ac:dyDescent="0.3">
      <c r="A8858" s="20"/>
    </row>
    <row r="8859" spans="1:1" x14ac:dyDescent="0.3">
      <c r="A8859" s="20"/>
    </row>
    <row r="8860" spans="1:1" x14ac:dyDescent="0.3">
      <c r="A8860" s="20"/>
    </row>
    <row r="8861" spans="1:1" x14ac:dyDescent="0.3">
      <c r="A8861" s="20"/>
    </row>
    <row r="8862" spans="1:1" x14ac:dyDescent="0.3">
      <c r="A8862" s="20"/>
    </row>
    <row r="8863" spans="1:1" x14ac:dyDescent="0.3">
      <c r="A8863" s="20"/>
    </row>
    <row r="8864" spans="1:1" x14ac:dyDescent="0.3">
      <c r="A8864" s="20"/>
    </row>
    <row r="8865" spans="1:1" x14ac:dyDescent="0.3">
      <c r="A8865" s="20"/>
    </row>
    <row r="8866" spans="1:1" x14ac:dyDescent="0.3">
      <c r="A8866" s="20"/>
    </row>
    <row r="8867" spans="1:1" x14ac:dyDescent="0.3">
      <c r="A8867" s="20"/>
    </row>
    <row r="8868" spans="1:1" x14ac:dyDescent="0.3">
      <c r="A8868" s="20"/>
    </row>
    <row r="8869" spans="1:1" x14ac:dyDescent="0.3">
      <c r="A8869" s="20"/>
    </row>
    <row r="8870" spans="1:1" x14ac:dyDescent="0.3">
      <c r="A8870" s="20"/>
    </row>
    <row r="8871" spans="1:1" x14ac:dyDescent="0.3">
      <c r="A8871" s="20"/>
    </row>
    <row r="8872" spans="1:1" x14ac:dyDescent="0.3">
      <c r="A8872" s="20"/>
    </row>
    <row r="8873" spans="1:1" x14ac:dyDescent="0.3">
      <c r="A8873" s="20"/>
    </row>
    <row r="8874" spans="1:1" x14ac:dyDescent="0.3">
      <c r="A8874" s="20"/>
    </row>
    <row r="8875" spans="1:1" x14ac:dyDescent="0.3">
      <c r="A8875" s="20"/>
    </row>
    <row r="8876" spans="1:1" x14ac:dyDescent="0.3">
      <c r="A8876" s="20"/>
    </row>
    <row r="8877" spans="1:1" x14ac:dyDescent="0.3">
      <c r="A8877" s="20"/>
    </row>
    <row r="8878" spans="1:1" x14ac:dyDescent="0.3">
      <c r="A8878" s="20"/>
    </row>
    <row r="8879" spans="1:1" x14ac:dyDescent="0.3">
      <c r="A8879" s="20"/>
    </row>
    <row r="8880" spans="1:1" x14ac:dyDescent="0.3">
      <c r="A8880" s="20"/>
    </row>
    <row r="8881" spans="1:1" x14ac:dyDescent="0.3">
      <c r="A8881" s="20"/>
    </row>
    <row r="8882" spans="1:1" x14ac:dyDescent="0.3">
      <c r="A8882" s="20"/>
    </row>
    <row r="8883" spans="1:1" x14ac:dyDescent="0.3">
      <c r="A8883" s="20"/>
    </row>
    <row r="8884" spans="1:1" x14ac:dyDescent="0.3">
      <c r="A8884" s="20"/>
    </row>
    <row r="8885" spans="1:1" x14ac:dyDescent="0.3">
      <c r="A8885" s="20"/>
    </row>
    <row r="8886" spans="1:1" x14ac:dyDescent="0.3">
      <c r="A8886" s="20"/>
    </row>
    <row r="8887" spans="1:1" x14ac:dyDescent="0.3">
      <c r="A8887" s="20"/>
    </row>
    <row r="8888" spans="1:1" x14ac:dyDescent="0.3">
      <c r="A8888" s="20"/>
    </row>
    <row r="8889" spans="1:1" x14ac:dyDescent="0.3">
      <c r="A8889" s="20"/>
    </row>
    <row r="8890" spans="1:1" x14ac:dyDescent="0.3">
      <c r="A8890" s="20"/>
    </row>
    <row r="8891" spans="1:1" x14ac:dyDescent="0.3">
      <c r="A8891" s="20"/>
    </row>
    <row r="8892" spans="1:1" x14ac:dyDescent="0.3">
      <c r="A8892" s="20"/>
    </row>
    <row r="8893" spans="1:1" x14ac:dyDescent="0.3">
      <c r="A8893" s="20"/>
    </row>
    <row r="8894" spans="1:1" x14ac:dyDescent="0.3">
      <c r="A8894" s="20"/>
    </row>
    <row r="8895" spans="1:1" x14ac:dyDescent="0.3">
      <c r="A8895" s="20"/>
    </row>
    <row r="8896" spans="1:1" x14ac:dyDescent="0.3">
      <c r="A8896" s="20"/>
    </row>
    <row r="8897" spans="1:1" x14ac:dyDescent="0.3">
      <c r="A8897" s="20"/>
    </row>
    <row r="8898" spans="1:1" x14ac:dyDescent="0.3">
      <c r="A8898" s="20"/>
    </row>
    <row r="8899" spans="1:1" x14ac:dyDescent="0.3">
      <c r="A8899" s="20"/>
    </row>
    <row r="8900" spans="1:1" x14ac:dyDescent="0.3">
      <c r="A8900" s="20"/>
    </row>
    <row r="8901" spans="1:1" x14ac:dyDescent="0.3">
      <c r="A8901" s="20"/>
    </row>
    <row r="8902" spans="1:1" x14ac:dyDescent="0.3">
      <c r="A8902" s="20"/>
    </row>
    <row r="8903" spans="1:1" x14ac:dyDescent="0.3">
      <c r="A8903" s="20"/>
    </row>
    <row r="8904" spans="1:1" x14ac:dyDescent="0.3">
      <c r="A8904" s="20"/>
    </row>
    <row r="8905" spans="1:1" x14ac:dyDescent="0.3">
      <c r="A8905" s="20"/>
    </row>
    <row r="8906" spans="1:1" x14ac:dyDescent="0.3">
      <c r="A8906" s="20"/>
    </row>
    <row r="8907" spans="1:1" x14ac:dyDescent="0.3">
      <c r="A8907" s="20"/>
    </row>
    <row r="8908" spans="1:1" x14ac:dyDescent="0.3">
      <c r="A8908" s="20"/>
    </row>
    <row r="8909" spans="1:1" x14ac:dyDescent="0.3">
      <c r="A8909" s="20"/>
    </row>
    <row r="8910" spans="1:1" x14ac:dyDescent="0.3">
      <c r="A8910" s="20"/>
    </row>
    <row r="8911" spans="1:1" x14ac:dyDescent="0.3">
      <c r="A8911" s="20"/>
    </row>
    <row r="8912" spans="1:1" x14ac:dyDescent="0.3">
      <c r="A8912" s="20"/>
    </row>
    <row r="8913" spans="1:1" x14ac:dyDescent="0.3">
      <c r="A8913" s="20"/>
    </row>
    <row r="8914" spans="1:1" x14ac:dyDescent="0.3">
      <c r="A8914" s="20"/>
    </row>
    <row r="8915" spans="1:1" x14ac:dyDescent="0.3">
      <c r="A8915" s="20"/>
    </row>
    <row r="8916" spans="1:1" x14ac:dyDescent="0.3">
      <c r="A8916" s="20"/>
    </row>
    <row r="8917" spans="1:1" x14ac:dyDescent="0.3">
      <c r="A8917" s="20"/>
    </row>
    <row r="8918" spans="1:1" x14ac:dyDescent="0.3">
      <c r="A8918" s="20"/>
    </row>
    <row r="8919" spans="1:1" x14ac:dyDescent="0.3">
      <c r="A8919" s="20"/>
    </row>
    <row r="8920" spans="1:1" x14ac:dyDescent="0.3">
      <c r="A8920" s="20"/>
    </row>
    <row r="8921" spans="1:1" x14ac:dyDescent="0.3">
      <c r="A8921" s="20"/>
    </row>
    <row r="8922" spans="1:1" x14ac:dyDescent="0.3">
      <c r="A8922" s="20"/>
    </row>
    <row r="8923" spans="1:1" x14ac:dyDescent="0.3">
      <c r="A8923" s="20"/>
    </row>
    <row r="8924" spans="1:1" x14ac:dyDescent="0.3">
      <c r="A8924" s="20"/>
    </row>
    <row r="8925" spans="1:1" x14ac:dyDescent="0.3">
      <c r="A8925" s="20"/>
    </row>
    <row r="8926" spans="1:1" x14ac:dyDescent="0.3">
      <c r="A8926" s="20"/>
    </row>
    <row r="8927" spans="1:1" x14ac:dyDescent="0.3">
      <c r="A8927" s="20"/>
    </row>
    <row r="8928" spans="1:1" x14ac:dyDescent="0.3">
      <c r="A8928" s="20"/>
    </row>
    <row r="8929" spans="1:1" x14ac:dyDescent="0.3">
      <c r="A8929" s="20"/>
    </row>
    <row r="8930" spans="1:1" x14ac:dyDescent="0.3">
      <c r="A8930" s="20"/>
    </row>
    <row r="8931" spans="1:1" x14ac:dyDescent="0.3">
      <c r="A8931" s="20"/>
    </row>
    <row r="8932" spans="1:1" x14ac:dyDescent="0.3">
      <c r="A8932" s="20"/>
    </row>
    <row r="8933" spans="1:1" x14ac:dyDescent="0.3">
      <c r="A8933" s="20"/>
    </row>
    <row r="8934" spans="1:1" x14ac:dyDescent="0.3">
      <c r="A8934" s="20"/>
    </row>
    <row r="8935" spans="1:1" x14ac:dyDescent="0.3">
      <c r="A8935" s="20"/>
    </row>
    <row r="8936" spans="1:1" x14ac:dyDescent="0.3">
      <c r="A8936" s="20"/>
    </row>
    <row r="8937" spans="1:1" x14ac:dyDescent="0.3">
      <c r="A8937" s="20"/>
    </row>
    <row r="8938" spans="1:1" x14ac:dyDescent="0.3">
      <c r="A8938" s="20"/>
    </row>
    <row r="8939" spans="1:1" x14ac:dyDescent="0.3">
      <c r="A8939" s="20"/>
    </row>
    <row r="8940" spans="1:1" x14ac:dyDescent="0.3">
      <c r="A8940" s="20"/>
    </row>
    <row r="8941" spans="1:1" x14ac:dyDescent="0.3">
      <c r="A8941" s="20"/>
    </row>
    <row r="8942" spans="1:1" x14ac:dyDescent="0.3">
      <c r="A8942" s="20"/>
    </row>
    <row r="8943" spans="1:1" x14ac:dyDescent="0.3">
      <c r="A8943" s="20"/>
    </row>
    <row r="8944" spans="1:1" x14ac:dyDescent="0.3">
      <c r="A8944" s="20"/>
    </row>
    <row r="8945" spans="1:1" x14ac:dyDescent="0.3">
      <c r="A8945" s="20"/>
    </row>
    <row r="8946" spans="1:1" x14ac:dyDescent="0.3">
      <c r="A8946" s="20"/>
    </row>
    <row r="8947" spans="1:1" x14ac:dyDescent="0.3">
      <c r="A8947" s="20"/>
    </row>
    <row r="8948" spans="1:1" x14ac:dyDescent="0.3">
      <c r="A8948" s="20"/>
    </row>
    <row r="8949" spans="1:1" x14ac:dyDescent="0.3">
      <c r="A8949" s="20"/>
    </row>
    <row r="8950" spans="1:1" x14ac:dyDescent="0.3">
      <c r="A8950" s="20"/>
    </row>
    <row r="8951" spans="1:1" x14ac:dyDescent="0.3">
      <c r="A8951" s="20"/>
    </row>
    <row r="8952" spans="1:1" x14ac:dyDescent="0.3">
      <c r="A8952" s="20"/>
    </row>
    <row r="8953" spans="1:1" x14ac:dyDescent="0.3">
      <c r="A8953" s="20"/>
    </row>
    <row r="8954" spans="1:1" x14ac:dyDescent="0.3">
      <c r="A8954" s="20"/>
    </row>
    <row r="8955" spans="1:1" x14ac:dyDescent="0.3">
      <c r="A8955" s="20"/>
    </row>
    <row r="8956" spans="1:1" x14ac:dyDescent="0.3">
      <c r="A8956" s="20"/>
    </row>
    <row r="8957" spans="1:1" x14ac:dyDescent="0.3">
      <c r="A8957" s="20"/>
    </row>
    <row r="8958" spans="1:1" x14ac:dyDescent="0.3">
      <c r="A8958" s="20"/>
    </row>
    <row r="8959" spans="1:1" x14ac:dyDescent="0.3">
      <c r="A8959" s="20"/>
    </row>
    <row r="8960" spans="1:1" x14ac:dyDescent="0.3">
      <c r="A8960" s="20"/>
    </row>
    <row r="8961" spans="1:1" x14ac:dyDescent="0.3">
      <c r="A8961" s="20"/>
    </row>
    <row r="8962" spans="1:1" x14ac:dyDescent="0.3">
      <c r="A8962" s="20"/>
    </row>
    <row r="8963" spans="1:1" x14ac:dyDescent="0.3">
      <c r="A8963" s="20"/>
    </row>
    <row r="8964" spans="1:1" x14ac:dyDescent="0.3">
      <c r="A8964" s="20"/>
    </row>
    <row r="8965" spans="1:1" x14ac:dyDescent="0.3">
      <c r="A8965" s="20"/>
    </row>
    <row r="8966" spans="1:1" x14ac:dyDescent="0.3">
      <c r="A8966" s="20"/>
    </row>
    <row r="8967" spans="1:1" x14ac:dyDescent="0.3">
      <c r="A8967" s="20"/>
    </row>
    <row r="8968" spans="1:1" x14ac:dyDescent="0.3">
      <c r="A8968" s="20"/>
    </row>
    <row r="8969" spans="1:1" x14ac:dyDescent="0.3">
      <c r="A8969" s="20"/>
    </row>
    <row r="8970" spans="1:1" x14ac:dyDescent="0.3">
      <c r="A8970" s="20"/>
    </row>
    <row r="8971" spans="1:1" x14ac:dyDescent="0.3">
      <c r="A8971" s="20"/>
    </row>
    <row r="8972" spans="1:1" x14ac:dyDescent="0.3">
      <c r="A8972" s="20"/>
    </row>
    <row r="8973" spans="1:1" x14ac:dyDescent="0.3">
      <c r="A8973" s="20"/>
    </row>
    <row r="8974" spans="1:1" x14ac:dyDescent="0.3">
      <c r="A8974" s="20"/>
    </row>
    <row r="8975" spans="1:1" x14ac:dyDescent="0.3">
      <c r="A8975" s="20"/>
    </row>
    <row r="8976" spans="1:1" x14ac:dyDescent="0.3">
      <c r="A8976" s="20"/>
    </row>
    <row r="8977" spans="1:1" x14ac:dyDescent="0.3">
      <c r="A8977" s="20"/>
    </row>
    <row r="8978" spans="1:1" x14ac:dyDescent="0.3">
      <c r="A8978" s="20"/>
    </row>
    <row r="8979" spans="1:1" x14ac:dyDescent="0.3">
      <c r="A8979" s="20"/>
    </row>
    <row r="8980" spans="1:1" x14ac:dyDescent="0.3">
      <c r="A8980" s="20"/>
    </row>
    <row r="8981" spans="1:1" x14ac:dyDescent="0.3">
      <c r="A8981" s="20"/>
    </row>
    <row r="8982" spans="1:1" x14ac:dyDescent="0.3">
      <c r="A8982" s="20"/>
    </row>
    <row r="8983" spans="1:1" x14ac:dyDescent="0.3">
      <c r="A8983" s="20"/>
    </row>
    <row r="8984" spans="1:1" x14ac:dyDescent="0.3">
      <c r="A8984" s="20"/>
    </row>
    <row r="8985" spans="1:1" x14ac:dyDescent="0.3">
      <c r="A8985" s="20"/>
    </row>
    <row r="8986" spans="1:1" x14ac:dyDescent="0.3">
      <c r="A8986" s="20"/>
    </row>
    <row r="8987" spans="1:1" x14ac:dyDescent="0.3">
      <c r="A8987" s="20"/>
    </row>
    <row r="8988" spans="1:1" x14ac:dyDescent="0.3">
      <c r="A8988" s="20"/>
    </row>
    <row r="8989" spans="1:1" x14ac:dyDescent="0.3">
      <c r="A8989" s="20"/>
    </row>
    <row r="8990" spans="1:1" x14ac:dyDescent="0.3">
      <c r="A8990" s="20"/>
    </row>
    <row r="8991" spans="1:1" x14ac:dyDescent="0.3">
      <c r="A8991" s="20"/>
    </row>
    <row r="8992" spans="1:1" x14ac:dyDescent="0.3">
      <c r="A8992" s="20"/>
    </row>
    <row r="8993" spans="1:1" x14ac:dyDescent="0.3">
      <c r="A8993" s="20"/>
    </row>
    <row r="8994" spans="1:1" x14ac:dyDescent="0.3">
      <c r="A8994" s="20"/>
    </row>
    <row r="8995" spans="1:1" x14ac:dyDescent="0.3">
      <c r="A8995" s="20"/>
    </row>
    <row r="8996" spans="1:1" x14ac:dyDescent="0.3">
      <c r="A8996" s="20"/>
    </row>
    <row r="8997" spans="1:1" x14ac:dyDescent="0.3">
      <c r="A8997" s="20"/>
    </row>
    <row r="8998" spans="1:1" x14ac:dyDescent="0.3">
      <c r="A8998" s="20"/>
    </row>
    <row r="8999" spans="1:1" x14ac:dyDescent="0.3">
      <c r="A8999" s="20"/>
    </row>
    <row r="9000" spans="1:1" x14ac:dyDescent="0.3">
      <c r="A9000" s="20"/>
    </row>
    <row r="9001" spans="1:1" x14ac:dyDescent="0.3">
      <c r="A9001" s="20"/>
    </row>
    <row r="9002" spans="1:1" x14ac:dyDescent="0.3">
      <c r="A9002" s="20"/>
    </row>
    <row r="9003" spans="1:1" x14ac:dyDescent="0.3">
      <c r="A9003" s="20"/>
    </row>
    <row r="9004" spans="1:1" x14ac:dyDescent="0.3">
      <c r="A9004" s="20"/>
    </row>
    <row r="9005" spans="1:1" x14ac:dyDescent="0.3">
      <c r="A9005" s="20"/>
    </row>
    <row r="9006" spans="1:1" x14ac:dyDescent="0.3">
      <c r="A9006" s="20"/>
    </row>
    <row r="9007" spans="1:1" x14ac:dyDescent="0.3">
      <c r="A9007" s="20"/>
    </row>
    <row r="9008" spans="1:1" x14ac:dyDescent="0.3">
      <c r="A9008" s="20"/>
    </row>
    <row r="9009" spans="1:1" x14ac:dyDescent="0.3">
      <c r="A9009" s="20"/>
    </row>
    <row r="9010" spans="1:1" x14ac:dyDescent="0.3">
      <c r="A9010" s="20"/>
    </row>
    <row r="9011" spans="1:1" x14ac:dyDescent="0.3">
      <c r="A9011" s="20"/>
    </row>
    <row r="9012" spans="1:1" x14ac:dyDescent="0.3">
      <c r="A9012" s="20"/>
    </row>
    <row r="9013" spans="1:1" x14ac:dyDescent="0.3">
      <c r="A9013" s="20"/>
    </row>
    <row r="9014" spans="1:1" x14ac:dyDescent="0.3">
      <c r="A9014" s="20"/>
    </row>
    <row r="9015" spans="1:1" x14ac:dyDescent="0.3">
      <c r="A9015" s="20"/>
    </row>
    <row r="9016" spans="1:1" x14ac:dyDescent="0.3">
      <c r="A9016" s="20"/>
    </row>
    <row r="9017" spans="1:1" x14ac:dyDescent="0.3">
      <c r="A9017" s="20"/>
    </row>
    <row r="9018" spans="1:1" x14ac:dyDescent="0.3">
      <c r="A9018" s="20"/>
    </row>
    <row r="9019" spans="1:1" x14ac:dyDescent="0.3">
      <c r="A9019" s="20"/>
    </row>
    <row r="9020" spans="1:1" x14ac:dyDescent="0.3">
      <c r="A9020" s="20"/>
    </row>
    <row r="9021" spans="1:1" x14ac:dyDescent="0.3">
      <c r="A9021" s="20"/>
    </row>
    <row r="9022" spans="1:1" x14ac:dyDescent="0.3">
      <c r="A9022" s="20"/>
    </row>
    <row r="9023" spans="1:1" x14ac:dyDescent="0.3">
      <c r="A9023" s="20"/>
    </row>
    <row r="9024" spans="1:1" x14ac:dyDescent="0.3">
      <c r="A9024" s="20"/>
    </row>
    <row r="9025" spans="1:1" x14ac:dyDescent="0.3">
      <c r="A9025" s="20"/>
    </row>
    <row r="9026" spans="1:1" x14ac:dyDescent="0.3">
      <c r="A9026" s="20"/>
    </row>
    <row r="9027" spans="1:1" x14ac:dyDescent="0.3">
      <c r="A9027" s="20"/>
    </row>
    <row r="9028" spans="1:1" x14ac:dyDescent="0.3">
      <c r="A9028" s="20"/>
    </row>
    <row r="9029" spans="1:1" x14ac:dyDescent="0.3">
      <c r="A9029" s="20"/>
    </row>
    <row r="9030" spans="1:1" x14ac:dyDescent="0.3">
      <c r="A9030" s="20"/>
    </row>
    <row r="9031" spans="1:1" x14ac:dyDescent="0.3">
      <c r="A9031" s="20"/>
    </row>
    <row r="9032" spans="1:1" x14ac:dyDescent="0.3">
      <c r="A9032" s="20"/>
    </row>
    <row r="9033" spans="1:1" x14ac:dyDescent="0.3">
      <c r="A9033" s="20"/>
    </row>
    <row r="9034" spans="1:1" x14ac:dyDescent="0.3">
      <c r="A9034" s="20"/>
    </row>
    <row r="9035" spans="1:1" x14ac:dyDescent="0.3">
      <c r="A9035" s="20"/>
    </row>
    <row r="9036" spans="1:1" x14ac:dyDescent="0.3">
      <c r="A9036" s="20"/>
    </row>
    <row r="9037" spans="1:1" x14ac:dyDescent="0.3">
      <c r="A9037" s="20"/>
    </row>
    <row r="9038" spans="1:1" x14ac:dyDescent="0.3">
      <c r="A9038" s="20"/>
    </row>
    <row r="9039" spans="1:1" x14ac:dyDescent="0.3">
      <c r="A9039" s="20"/>
    </row>
    <row r="9040" spans="1:1" x14ac:dyDescent="0.3">
      <c r="A9040" s="20"/>
    </row>
    <row r="9041" spans="1:1" x14ac:dyDescent="0.3">
      <c r="A9041" s="20"/>
    </row>
    <row r="9042" spans="1:1" x14ac:dyDescent="0.3">
      <c r="A9042" s="20"/>
    </row>
    <row r="9043" spans="1:1" x14ac:dyDescent="0.3">
      <c r="A9043" s="20"/>
    </row>
    <row r="9044" spans="1:1" x14ac:dyDescent="0.3">
      <c r="A9044" s="20"/>
    </row>
    <row r="9045" spans="1:1" x14ac:dyDescent="0.3">
      <c r="A9045" s="20"/>
    </row>
    <row r="9046" spans="1:1" x14ac:dyDescent="0.3">
      <c r="A9046" s="20"/>
    </row>
    <row r="9047" spans="1:1" x14ac:dyDescent="0.3">
      <c r="A9047" s="20"/>
    </row>
    <row r="9048" spans="1:1" x14ac:dyDescent="0.3">
      <c r="A9048" s="20"/>
    </row>
    <row r="9049" spans="1:1" x14ac:dyDescent="0.3">
      <c r="A9049" s="20"/>
    </row>
    <row r="9050" spans="1:1" x14ac:dyDescent="0.3">
      <c r="A9050" s="20"/>
    </row>
    <row r="9051" spans="1:1" x14ac:dyDescent="0.3">
      <c r="A9051" s="20"/>
    </row>
    <row r="9052" spans="1:1" x14ac:dyDescent="0.3">
      <c r="A9052" s="20"/>
    </row>
    <row r="9053" spans="1:1" x14ac:dyDescent="0.3">
      <c r="A9053" s="20"/>
    </row>
    <row r="9054" spans="1:1" x14ac:dyDescent="0.3">
      <c r="A9054" s="20"/>
    </row>
    <row r="9055" spans="1:1" x14ac:dyDescent="0.3">
      <c r="A9055" s="20"/>
    </row>
    <row r="9056" spans="1:1" x14ac:dyDescent="0.3">
      <c r="A9056" s="20"/>
    </row>
    <row r="9057" spans="1:1" x14ac:dyDescent="0.3">
      <c r="A9057" s="20"/>
    </row>
    <row r="9058" spans="1:1" x14ac:dyDescent="0.3">
      <c r="A9058" s="20"/>
    </row>
    <row r="9059" spans="1:1" x14ac:dyDescent="0.3">
      <c r="A9059" s="20"/>
    </row>
    <row r="9060" spans="1:1" x14ac:dyDescent="0.3">
      <c r="A9060" s="20"/>
    </row>
    <row r="9061" spans="1:1" x14ac:dyDescent="0.3">
      <c r="A9061" s="20"/>
    </row>
    <row r="9062" spans="1:1" x14ac:dyDescent="0.3">
      <c r="A9062" s="20"/>
    </row>
    <row r="9063" spans="1:1" x14ac:dyDescent="0.3">
      <c r="A9063" s="20"/>
    </row>
    <row r="9064" spans="1:1" x14ac:dyDescent="0.3">
      <c r="A9064" s="20"/>
    </row>
    <row r="9065" spans="1:1" x14ac:dyDescent="0.3">
      <c r="A9065" s="20"/>
    </row>
    <row r="9066" spans="1:1" x14ac:dyDescent="0.3">
      <c r="A9066" s="20"/>
    </row>
    <row r="9067" spans="1:1" x14ac:dyDescent="0.3">
      <c r="A9067" s="20"/>
    </row>
    <row r="9068" spans="1:1" x14ac:dyDescent="0.3">
      <c r="A9068" s="20"/>
    </row>
    <row r="9069" spans="1:1" x14ac:dyDescent="0.3">
      <c r="A9069" s="20"/>
    </row>
    <row r="9070" spans="1:1" x14ac:dyDescent="0.3">
      <c r="A9070" s="20"/>
    </row>
    <row r="9071" spans="1:1" x14ac:dyDescent="0.3">
      <c r="A9071" s="20"/>
    </row>
    <row r="9072" spans="1:1" x14ac:dyDescent="0.3">
      <c r="A9072" s="20"/>
    </row>
    <row r="9073" spans="1:1" x14ac:dyDescent="0.3">
      <c r="A9073" s="20"/>
    </row>
    <row r="9074" spans="1:1" x14ac:dyDescent="0.3">
      <c r="A9074" s="20"/>
    </row>
    <row r="9075" spans="1:1" x14ac:dyDescent="0.3">
      <c r="A9075" s="20"/>
    </row>
    <row r="9076" spans="1:1" x14ac:dyDescent="0.3">
      <c r="A9076" s="20"/>
    </row>
    <row r="9077" spans="1:1" x14ac:dyDescent="0.3">
      <c r="A9077" s="20"/>
    </row>
    <row r="9078" spans="1:1" x14ac:dyDescent="0.3">
      <c r="A9078" s="20"/>
    </row>
    <row r="9079" spans="1:1" x14ac:dyDescent="0.3">
      <c r="A9079" s="20"/>
    </row>
    <row r="9080" spans="1:1" x14ac:dyDescent="0.3">
      <c r="A9080" s="20"/>
    </row>
    <row r="9081" spans="1:1" x14ac:dyDescent="0.3">
      <c r="A9081" s="20"/>
    </row>
    <row r="9082" spans="1:1" x14ac:dyDescent="0.3">
      <c r="A9082" s="20"/>
    </row>
    <row r="9083" spans="1:1" x14ac:dyDescent="0.3">
      <c r="A9083" s="20"/>
    </row>
    <row r="9084" spans="1:1" x14ac:dyDescent="0.3">
      <c r="A9084" s="20"/>
    </row>
    <row r="9085" spans="1:1" x14ac:dyDescent="0.3">
      <c r="A9085" s="20"/>
    </row>
    <row r="9086" spans="1:1" x14ac:dyDescent="0.3">
      <c r="A9086" s="20"/>
    </row>
    <row r="9087" spans="1:1" x14ac:dyDescent="0.3">
      <c r="A9087" s="20"/>
    </row>
    <row r="9088" spans="1:1" x14ac:dyDescent="0.3">
      <c r="A9088" s="20"/>
    </row>
    <row r="9089" spans="1:1" x14ac:dyDescent="0.3">
      <c r="A9089" s="20"/>
    </row>
    <row r="9090" spans="1:1" x14ac:dyDescent="0.3">
      <c r="A9090" s="20"/>
    </row>
    <row r="9091" spans="1:1" x14ac:dyDescent="0.3">
      <c r="A9091" s="20"/>
    </row>
    <row r="9092" spans="1:1" x14ac:dyDescent="0.3">
      <c r="A9092" s="20"/>
    </row>
    <row r="9093" spans="1:1" x14ac:dyDescent="0.3">
      <c r="A9093" s="20"/>
    </row>
    <row r="9094" spans="1:1" x14ac:dyDescent="0.3">
      <c r="A9094" s="20"/>
    </row>
    <row r="9095" spans="1:1" x14ac:dyDescent="0.3">
      <c r="A9095" s="20"/>
    </row>
    <row r="9096" spans="1:1" x14ac:dyDescent="0.3">
      <c r="A9096" s="20"/>
    </row>
    <row r="9097" spans="1:1" x14ac:dyDescent="0.3">
      <c r="A9097" s="20"/>
    </row>
    <row r="9098" spans="1:1" x14ac:dyDescent="0.3">
      <c r="A9098" s="20"/>
    </row>
    <row r="9099" spans="1:1" x14ac:dyDescent="0.3">
      <c r="A9099" s="20"/>
    </row>
    <row r="9100" spans="1:1" x14ac:dyDescent="0.3">
      <c r="A9100" s="20"/>
    </row>
    <row r="9101" spans="1:1" x14ac:dyDescent="0.3">
      <c r="A9101" s="20"/>
    </row>
    <row r="9102" spans="1:1" x14ac:dyDescent="0.3">
      <c r="A9102" s="20"/>
    </row>
    <row r="9103" spans="1:1" x14ac:dyDescent="0.3">
      <c r="A9103" s="20"/>
    </row>
    <row r="9104" spans="1:1" x14ac:dyDescent="0.3">
      <c r="A9104" s="20"/>
    </row>
    <row r="9105" spans="1:1" x14ac:dyDescent="0.3">
      <c r="A9105" s="20"/>
    </row>
    <row r="9106" spans="1:1" x14ac:dyDescent="0.3">
      <c r="A9106" s="20"/>
    </row>
    <row r="9107" spans="1:1" x14ac:dyDescent="0.3">
      <c r="A9107" s="20"/>
    </row>
    <row r="9108" spans="1:1" x14ac:dyDescent="0.3">
      <c r="A9108" s="20"/>
    </row>
    <row r="9109" spans="1:1" x14ac:dyDescent="0.3">
      <c r="A9109" s="20"/>
    </row>
    <row r="9110" spans="1:1" x14ac:dyDescent="0.3">
      <c r="A9110" s="20"/>
    </row>
    <row r="9111" spans="1:1" x14ac:dyDescent="0.3">
      <c r="A9111" s="20"/>
    </row>
    <row r="9112" spans="1:1" x14ac:dyDescent="0.3">
      <c r="A9112" s="20"/>
    </row>
    <row r="9113" spans="1:1" x14ac:dyDescent="0.3">
      <c r="A9113" s="20"/>
    </row>
    <row r="9114" spans="1:1" x14ac:dyDescent="0.3">
      <c r="A9114" s="20"/>
    </row>
    <row r="9115" spans="1:1" x14ac:dyDescent="0.3">
      <c r="A9115" s="20"/>
    </row>
    <row r="9116" spans="1:1" x14ac:dyDescent="0.3">
      <c r="A9116" s="20"/>
    </row>
    <row r="9117" spans="1:1" x14ac:dyDescent="0.3">
      <c r="A9117" s="20"/>
    </row>
    <row r="9118" spans="1:1" x14ac:dyDescent="0.3">
      <c r="A9118" s="20"/>
    </row>
    <row r="9119" spans="1:1" x14ac:dyDescent="0.3">
      <c r="A9119" s="20"/>
    </row>
    <row r="9120" spans="1:1" x14ac:dyDescent="0.3">
      <c r="A9120" s="20"/>
    </row>
    <row r="9121" spans="1:1" x14ac:dyDescent="0.3">
      <c r="A9121" s="20"/>
    </row>
    <row r="9122" spans="1:1" x14ac:dyDescent="0.3">
      <c r="A9122" s="20"/>
    </row>
    <row r="9123" spans="1:1" x14ac:dyDescent="0.3">
      <c r="A9123" s="20"/>
    </row>
    <row r="9124" spans="1:1" x14ac:dyDescent="0.3">
      <c r="A9124" s="20"/>
    </row>
    <row r="9125" spans="1:1" x14ac:dyDescent="0.3">
      <c r="A9125" s="20"/>
    </row>
    <row r="9126" spans="1:1" x14ac:dyDescent="0.3">
      <c r="A9126" s="20"/>
    </row>
    <row r="9127" spans="1:1" x14ac:dyDescent="0.3">
      <c r="A9127" s="20"/>
    </row>
    <row r="9128" spans="1:1" x14ac:dyDescent="0.3">
      <c r="A9128" s="20"/>
    </row>
    <row r="9129" spans="1:1" x14ac:dyDescent="0.3">
      <c r="A9129" s="20"/>
    </row>
    <row r="9130" spans="1:1" x14ac:dyDescent="0.3">
      <c r="A9130" s="20"/>
    </row>
    <row r="9131" spans="1:1" x14ac:dyDescent="0.3">
      <c r="A9131" s="20"/>
    </row>
    <row r="9132" spans="1:1" x14ac:dyDescent="0.3">
      <c r="A9132" s="20"/>
    </row>
    <row r="9133" spans="1:1" x14ac:dyDescent="0.3">
      <c r="A9133" s="20"/>
    </row>
    <row r="9134" spans="1:1" x14ac:dyDescent="0.3">
      <c r="A9134" s="20"/>
    </row>
    <row r="9135" spans="1:1" x14ac:dyDescent="0.3">
      <c r="A9135" s="20"/>
    </row>
    <row r="9136" spans="1:1" x14ac:dyDescent="0.3">
      <c r="A9136" s="20"/>
    </row>
    <row r="9137" spans="1:1" x14ac:dyDescent="0.3">
      <c r="A9137" s="20"/>
    </row>
    <row r="9138" spans="1:1" x14ac:dyDescent="0.3">
      <c r="A9138" s="20"/>
    </row>
    <row r="9139" spans="1:1" x14ac:dyDescent="0.3">
      <c r="A9139" s="20"/>
    </row>
    <row r="9140" spans="1:1" x14ac:dyDescent="0.3">
      <c r="A9140" s="20"/>
    </row>
    <row r="9141" spans="1:1" x14ac:dyDescent="0.3">
      <c r="A9141" s="20"/>
    </row>
    <row r="9142" spans="1:1" x14ac:dyDescent="0.3">
      <c r="A9142" s="20"/>
    </row>
    <row r="9143" spans="1:1" x14ac:dyDescent="0.3">
      <c r="A9143" s="20"/>
    </row>
    <row r="9144" spans="1:1" x14ac:dyDescent="0.3">
      <c r="A9144" s="20"/>
    </row>
    <row r="9145" spans="1:1" x14ac:dyDescent="0.3">
      <c r="A9145" s="20"/>
    </row>
    <row r="9146" spans="1:1" x14ac:dyDescent="0.3">
      <c r="A9146" s="20"/>
    </row>
    <row r="9147" spans="1:1" x14ac:dyDescent="0.3">
      <c r="A9147" s="20"/>
    </row>
    <row r="9148" spans="1:1" x14ac:dyDescent="0.3">
      <c r="A9148" s="20"/>
    </row>
    <row r="9149" spans="1:1" x14ac:dyDescent="0.3">
      <c r="A9149" s="20"/>
    </row>
    <row r="9150" spans="1:1" x14ac:dyDescent="0.3">
      <c r="A9150" s="20"/>
    </row>
    <row r="9151" spans="1:1" x14ac:dyDescent="0.3">
      <c r="A9151" s="20"/>
    </row>
    <row r="9152" spans="1:1" x14ac:dyDescent="0.3">
      <c r="A9152" s="20"/>
    </row>
    <row r="9153" spans="1:1" x14ac:dyDescent="0.3">
      <c r="A9153" s="20"/>
    </row>
    <row r="9154" spans="1:1" x14ac:dyDescent="0.3">
      <c r="A9154" s="20"/>
    </row>
    <row r="9155" spans="1:1" x14ac:dyDescent="0.3">
      <c r="A9155" s="20"/>
    </row>
    <row r="9156" spans="1:1" x14ac:dyDescent="0.3">
      <c r="A9156" s="20"/>
    </row>
    <row r="9157" spans="1:1" x14ac:dyDescent="0.3">
      <c r="A9157" s="20"/>
    </row>
    <row r="9158" spans="1:1" x14ac:dyDescent="0.3">
      <c r="A9158" s="20"/>
    </row>
    <row r="9159" spans="1:1" x14ac:dyDescent="0.3">
      <c r="A9159" s="20"/>
    </row>
    <row r="9160" spans="1:1" x14ac:dyDescent="0.3">
      <c r="A9160" s="20"/>
    </row>
    <row r="9161" spans="1:1" x14ac:dyDescent="0.3">
      <c r="A9161" s="20"/>
    </row>
    <row r="9162" spans="1:1" x14ac:dyDescent="0.3">
      <c r="A9162" s="20"/>
    </row>
    <row r="9163" spans="1:1" x14ac:dyDescent="0.3">
      <c r="A9163" s="20"/>
    </row>
    <row r="9164" spans="1:1" x14ac:dyDescent="0.3">
      <c r="A9164" s="20"/>
    </row>
    <row r="9165" spans="1:1" x14ac:dyDescent="0.3">
      <c r="A9165" s="20"/>
    </row>
    <row r="9166" spans="1:1" x14ac:dyDescent="0.3">
      <c r="A9166" s="20"/>
    </row>
    <row r="9167" spans="1:1" x14ac:dyDescent="0.3">
      <c r="A9167" s="20"/>
    </row>
    <row r="9168" spans="1:1" x14ac:dyDescent="0.3">
      <c r="A9168" s="20"/>
    </row>
    <row r="9169" spans="1:1" x14ac:dyDescent="0.3">
      <c r="A9169" s="20"/>
    </row>
    <row r="9170" spans="1:1" x14ac:dyDescent="0.3">
      <c r="A9170" s="20"/>
    </row>
    <row r="9171" spans="1:1" x14ac:dyDescent="0.3">
      <c r="A9171" s="20"/>
    </row>
    <row r="9172" spans="1:1" x14ac:dyDescent="0.3">
      <c r="A9172" s="20"/>
    </row>
    <row r="9173" spans="1:1" x14ac:dyDescent="0.3">
      <c r="A9173" s="20"/>
    </row>
    <row r="9174" spans="1:1" x14ac:dyDescent="0.3">
      <c r="A9174" s="20"/>
    </row>
    <row r="9175" spans="1:1" x14ac:dyDescent="0.3">
      <c r="A9175" s="20"/>
    </row>
    <row r="9176" spans="1:1" x14ac:dyDescent="0.3">
      <c r="A9176" s="20"/>
    </row>
    <row r="9177" spans="1:1" x14ac:dyDescent="0.3">
      <c r="A9177" s="20"/>
    </row>
    <row r="9178" spans="1:1" x14ac:dyDescent="0.3">
      <c r="A9178" s="20"/>
    </row>
    <row r="9179" spans="1:1" x14ac:dyDescent="0.3">
      <c r="A9179" s="20"/>
    </row>
    <row r="9180" spans="1:1" x14ac:dyDescent="0.3">
      <c r="A9180" s="20"/>
    </row>
    <row r="9181" spans="1:1" x14ac:dyDescent="0.3">
      <c r="A9181" s="20"/>
    </row>
    <row r="9182" spans="1:1" x14ac:dyDescent="0.3">
      <c r="A9182" s="20"/>
    </row>
    <row r="9183" spans="1:1" x14ac:dyDescent="0.3">
      <c r="A9183" s="20"/>
    </row>
    <row r="9184" spans="1:1" x14ac:dyDescent="0.3">
      <c r="A9184" s="20"/>
    </row>
    <row r="9185" spans="1:1" x14ac:dyDescent="0.3">
      <c r="A9185" s="20"/>
    </row>
    <row r="9186" spans="1:1" x14ac:dyDescent="0.3">
      <c r="A9186" s="20"/>
    </row>
    <row r="9187" spans="1:1" x14ac:dyDescent="0.3">
      <c r="A9187" s="20"/>
    </row>
    <row r="9188" spans="1:1" x14ac:dyDescent="0.3">
      <c r="A9188" s="20"/>
    </row>
    <row r="9189" spans="1:1" x14ac:dyDescent="0.3">
      <c r="A9189" s="20"/>
    </row>
    <row r="9190" spans="1:1" x14ac:dyDescent="0.3">
      <c r="A9190" s="20"/>
    </row>
    <row r="9191" spans="1:1" x14ac:dyDescent="0.3">
      <c r="A9191" s="20"/>
    </row>
    <row r="9192" spans="1:1" x14ac:dyDescent="0.3">
      <c r="A9192" s="20"/>
    </row>
    <row r="9193" spans="1:1" x14ac:dyDescent="0.3">
      <c r="A9193" s="20"/>
    </row>
    <row r="9194" spans="1:1" x14ac:dyDescent="0.3">
      <c r="A9194" s="20"/>
    </row>
    <row r="9195" spans="1:1" x14ac:dyDescent="0.3">
      <c r="A9195" s="20"/>
    </row>
    <row r="9196" spans="1:1" x14ac:dyDescent="0.3">
      <c r="A9196" s="20"/>
    </row>
    <row r="9197" spans="1:1" x14ac:dyDescent="0.3">
      <c r="A9197" s="20"/>
    </row>
    <row r="9198" spans="1:1" x14ac:dyDescent="0.3">
      <c r="A9198" s="20"/>
    </row>
    <row r="9199" spans="1:1" x14ac:dyDescent="0.3">
      <c r="A9199" s="20"/>
    </row>
    <row r="9200" spans="1:1" x14ac:dyDescent="0.3">
      <c r="A9200" s="20"/>
    </row>
    <row r="9201" spans="1:1" x14ac:dyDescent="0.3">
      <c r="A9201" s="20"/>
    </row>
    <row r="9202" spans="1:1" x14ac:dyDescent="0.3">
      <c r="A9202" s="20"/>
    </row>
    <row r="9203" spans="1:1" x14ac:dyDescent="0.3">
      <c r="A9203" s="20"/>
    </row>
    <row r="9204" spans="1:1" x14ac:dyDescent="0.3">
      <c r="A9204" s="20"/>
    </row>
    <row r="9205" spans="1:1" x14ac:dyDescent="0.3">
      <c r="A9205" s="20"/>
    </row>
    <row r="9206" spans="1:1" x14ac:dyDescent="0.3">
      <c r="A9206" s="20"/>
    </row>
    <row r="9207" spans="1:1" x14ac:dyDescent="0.3">
      <c r="A9207" s="20"/>
    </row>
    <row r="9208" spans="1:1" x14ac:dyDescent="0.3">
      <c r="A9208" s="20"/>
    </row>
    <row r="9209" spans="1:1" x14ac:dyDescent="0.3">
      <c r="A9209" s="20"/>
    </row>
    <row r="9210" spans="1:1" x14ac:dyDescent="0.3">
      <c r="A9210" s="20"/>
    </row>
    <row r="9211" spans="1:1" x14ac:dyDescent="0.3">
      <c r="A9211" s="20"/>
    </row>
    <row r="9212" spans="1:1" x14ac:dyDescent="0.3">
      <c r="A9212" s="20"/>
    </row>
    <row r="9213" spans="1:1" x14ac:dyDescent="0.3">
      <c r="A9213" s="20"/>
    </row>
    <row r="9214" spans="1:1" x14ac:dyDescent="0.3">
      <c r="A9214" s="20"/>
    </row>
    <row r="9215" spans="1:1" x14ac:dyDescent="0.3">
      <c r="A9215" s="20"/>
    </row>
    <row r="9216" spans="1:1" x14ac:dyDescent="0.3">
      <c r="A9216" s="20"/>
    </row>
    <row r="9217" spans="1:1" x14ac:dyDescent="0.3">
      <c r="A9217" s="20"/>
    </row>
    <row r="9218" spans="1:1" x14ac:dyDescent="0.3">
      <c r="A9218" s="20"/>
    </row>
    <row r="9219" spans="1:1" x14ac:dyDescent="0.3">
      <c r="A9219" s="20"/>
    </row>
    <row r="9220" spans="1:1" x14ac:dyDescent="0.3">
      <c r="A9220" s="20"/>
    </row>
    <row r="9221" spans="1:1" x14ac:dyDescent="0.3">
      <c r="A9221" s="20"/>
    </row>
    <row r="9222" spans="1:1" x14ac:dyDescent="0.3">
      <c r="A9222" s="20"/>
    </row>
    <row r="9223" spans="1:1" x14ac:dyDescent="0.3">
      <c r="A9223" s="20"/>
    </row>
    <row r="9224" spans="1:1" x14ac:dyDescent="0.3">
      <c r="A9224" s="20"/>
    </row>
    <row r="9225" spans="1:1" x14ac:dyDescent="0.3">
      <c r="A9225" s="20"/>
    </row>
    <row r="9226" spans="1:1" x14ac:dyDescent="0.3">
      <c r="A9226" s="20"/>
    </row>
    <row r="9227" spans="1:1" x14ac:dyDescent="0.3">
      <c r="A9227" s="20"/>
    </row>
    <row r="9228" spans="1:1" x14ac:dyDescent="0.3">
      <c r="A9228" s="20"/>
    </row>
    <row r="9229" spans="1:1" x14ac:dyDescent="0.3">
      <c r="A9229" s="20"/>
    </row>
    <row r="9230" spans="1:1" x14ac:dyDescent="0.3">
      <c r="A9230" s="20"/>
    </row>
    <row r="9231" spans="1:1" x14ac:dyDescent="0.3">
      <c r="A9231" s="20"/>
    </row>
    <row r="9232" spans="1:1" x14ac:dyDescent="0.3">
      <c r="A9232" s="20"/>
    </row>
    <row r="9233" spans="1:1" x14ac:dyDescent="0.3">
      <c r="A9233" s="20"/>
    </row>
    <row r="9234" spans="1:1" x14ac:dyDescent="0.3">
      <c r="A9234" s="20"/>
    </row>
    <row r="9235" spans="1:1" x14ac:dyDescent="0.3">
      <c r="A9235" s="20"/>
    </row>
    <row r="9236" spans="1:1" x14ac:dyDescent="0.3">
      <c r="A9236" s="20"/>
    </row>
    <row r="9237" spans="1:1" x14ac:dyDescent="0.3">
      <c r="A9237" s="20"/>
    </row>
    <row r="9238" spans="1:1" x14ac:dyDescent="0.3">
      <c r="A9238" s="20"/>
    </row>
    <row r="9239" spans="1:1" x14ac:dyDescent="0.3">
      <c r="A9239" s="20"/>
    </row>
    <row r="9240" spans="1:1" x14ac:dyDescent="0.3">
      <c r="A9240" s="20"/>
    </row>
    <row r="9241" spans="1:1" x14ac:dyDescent="0.3">
      <c r="A9241" s="20"/>
    </row>
    <row r="9242" spans="1:1" x14ac:dyDescent="0.3">
      <c r="A9242" s="20"/>
    </row>
    <row r="9243" spans="1:1" x14ac:dyDescent="0.3">
      <c r="A9243" s="20"/>
    </row>
    <row r="9244" spans="1:1" x14ac:dyDescent="0.3">
      <c r="A9244" s="20"/>
    </row>
    <row r="9245" spans="1:1" x14ac:dyDescent="0.3">
      <c r="A9245" s="20"/>
    </row>
    <row r="9246" spans="1:1" x14ac:dyDescent="0.3">
      <c r="A9246" s="20"/>
    </row>
    <row r="9247" spans="1:1" x14ac:dyDescent="0.3">
      <c r="A9247" s="20"/>
    </row>
    <row r="9248" spans="1:1" x14ac:dyDescent="0.3">
      <c r="A9248" s="20"/>
    </row>
    <row r="9249" spans="1:1" x14ac:dyDescent="0.3">
      <c r="A9249" s="20"/>
    </row>
    <row r="9250" spans="1:1" x14ac:dyDescent="0.3">
      <c r="A9250" s="20"/>
    </row>
    <row r="9251" spans="1:1" x14ac:dyDescent="0.3">
      <c r="A9251" s="20"/>
    </row>
    <row r="9252" spans="1:1" x14ac:dyDescent="0.3">
      <c r="A9252" s="20"/>
    </row>
    <row r="9253" spans="1:1" x14ac:dyDescent="0.3">
      <c r="A9253" s="20"/>
    </row>
    <row r="9254" spans="1:1" x14ac:dyDescent="0.3">
      <c r="A9254" s="20"/>
    </row>
    <row r="9255" spans="1:1" x14ac:dyDescent="0.3">
      <c r="A9255" s="20"/>
    </row>
    <row r="9256" spans="1:1" x14ac:dyDescent="0.3">
      <c r="A9256" s="20"/>
    </row>
    <row r="9257" spans="1:1" x14ac:dyDescent="0.3">
      <c r="A9257" s="20"/>
    </row>
    <row r="9258" spans="1:1" x14ac:dyDescent="0.3">
      <c r="A9258" s="20"/>
    </row>
    <row r="9259" spans="1:1" x14ac:dyDescent="0.3">
      <c r="A9259" s="20"/>
    </row>
    <row r="9260" spans="1:1" x14ac:dyDescent="0.3">
      <c r="A9260" s="20"/>
    </row>
    <row r="9261" spans="1:1" x14ac:dyDescent="0.3">
      <c r="A9261" s="20"/>
    </row>
    <row r="9262" spans="1:1" x14ac:dyDescent="0.3">
      <c r="A9262" s="20"/>
    </row>
    <row r="9263" spans="1:1" x14ac:dyDescent="0.3">
      <c r="A9263" s="20"/>
    </row>
    <row r="9264" spans="1:1" x14ac:dyDescent="0.3">
      <c r="A9264" s="20"/>
    </row>
    <row r="9265" spans="1:1" x14ac:dyDescent="0.3">
      <c r="A9265" s="20"/>
    </row>
    <row r="9266" spans="1:1" x14ac:dyDescent="0.3">
      <c r="A9266" s="20"/>
    </row>
    <row r="9267" spans="1:1" x14ac:dyDescent="0.3">
      <c r="A9267" s="20"/>
    </row>
    <row r="9268" spans="1:1" x14ac:dyDescent="0.3">
      <c r="A9268" s="20"/>
    </row>
    <row r="9269" spans="1:1" x14ac:dyDescent="0.3">
      <c r="A9269" s="20"/>
    </row>
    <row r="9270" spans="1:1" x14ac:dyDescent="0.3">
      <c r="A9270" s="20"/>
    </row>
    <row r="9271" spans="1:1" x14ac:dyDescent="0.3">
      <c r="A9271" s="20"/>
    </row>
    <row r="9272" spans="1:1" x14ac:dyDescent="0.3">
      <c r="A9272" s="20"/>
    </row>
    <row r="9273" spans="1:1" x14ac:dyDescent="0.3">
      <c r="A9273" s="20"/>
    </row>
    <row r="9274" spans="1:1" x14ac:dyDescent="0.3">
      <c r="A9274" s="20"/>
    </row>
    <row r="9275" spans="1:1" x14ac:dyDescent="0.3">
      <c r="A9275" s="20"/>
    </row>
    <row r="9276" spans="1:1" x14ac:dyDescent="0.3">
      <c r="A9276" s="20"/>
    </row>
    <row r="9277" spans="1:1" x14ac:dyDescent="0.3">
      <c r="A9277" s="20"/>
    </row>
    <row r="9278" spans="1:1" x14ac:dyDescent="0.3">
      <c r="A9278" s="20"/>
    </row>
    <row r="9279" spans="1:1" x14ac:dyDescent="0.3">
      <c r="A9279" s="20"/>
    </row>
    <row r="9280" spans="1:1" x14ac:dyDescent="0.3">
      <c r="A9280" s="20"/>
    </row>
    <row r="9281" spans="1:1" x14ac:dyDescent="0.3">
      <c r="A9281" s="20"/>
    </row>
    <row r="9282" spans="1:1" x14ac:dyDescent="0.3">
      <c r="A9282" s="20"/>
    </row>
    <row r="9283" spans="1:1" x14ac:dyDescent="0.3">
      <c r="A9283" s="20"/>
    </row>
    <row r="9284" spans="1:1" x14ac:dyDescent="0.3">
      <c r="A9284" s="20"/>
    </row>
    <row r="9285" spans="1:1" x14ac:dyDescent="0.3">
      <c r="A9285" s="20"/>
    </row>
    <row r="9286" spans="1:1" x14ac:dyDescent="0.3">
      <c r="A9286" s="20"/>
    </row>
    <row r="9287" spans="1:1" x14ac:dyDescent="0.3">
      <c r="A9287" s="20"/>
    </row>
    <row r="9288" spans="1:1" x14ac:dyDescent="0.3">
      <c r="A9288" s="20"/>
    </row>
    <row r="9289" spans="1:1" x14ac:dyDescent="0.3">
      <c r="A9289" s="20"/>
    </row>
    <row r="9290" spans="1:1" x14ac:dyDescent="0.3">
      <c r="A9290" s="20"/>
    </row>
    <row r="9291" spans="1:1" x14ac:dyDescent="0.3">
      <c r="A9291" s="20"/>
    </row>
    <row r="9292" spans="1:1" x14ac:dyDescent="0.3">
      <c r="A9292" s="20"/>
    </row>
    <row r="9293" spans="1:1" x14ac:dyDescent="0.3">
      <c r="A9293" s="20"/>
    </row>
    <row r="9294" spans="1:1" x14ac:dyDescent="0.3">
      <c r="A9294" s="20"/>
    </row>
    <row r="9295" spans="1:1" x14ac:dyDescent="0.3">
      <c r="A9295" s="20"/>
    </row>
    <row r="9296" spans="1:1" x14ac:dyDescent="0.3">
      <c r="A9296" s="20"/>
    </row>
    <row r="9297" spans="1:1" x14ac:dyDescent="0.3">
      <c r="A9297" s="20"/>
    </row>
    <row r="9298" spans="1:1" x14ac:dyDescent="0.3">
      <c r="A9298" s="20"/>
    </row>
    <row r="9299" spans="1:1" x14ac:dyDescent="0.3">
      <c r="A9299" s="20"/>
    </row>
    <row r="9300" spans="1:1" x14ac:dyDescent="0.3">
      <c r="A9300" s="20"/>
    </row>
    <row r="9301" spans="1:1" x14ac:dyDescent="0.3">
      <c r="A9301" s="20"/>
    </row>
    <row r="9302" spans="1:1" x14ac:dyDescent="0.3">
      <c r="A9302" s="20"/>
    </row>
    <row r="9303" spans="1:1" x14ac:dyDescent="0.3">
      <c r="A9303" s="20"/>
    </row>
    <row r="9304" spans="1:1" x14ac:dyDescent="0.3">
      <c r="A9304" s="20"/>
    </row>
    <row r="9305" spans="1:1" x14ac:dyDescent="0.3">
      <c r="A9305" s="20"/>
    </row>
    <row r="9306" spans="1:1" x14ac:dyDescent="0.3">
      <c r="A9306" s="20"/>
    </row>
    <row r="9307" spans="1:1" x14ac:dyDescent="0.3">
      <c r="A9307" s="20"/>
    </row>
    <row r="9308" spans="1:1" x14ac:dyDescent="0.3">
      <c r="A9308" s="20"/>
    </row>
    <row r="9309" spans="1:1" x14ac:dyDescent="0.3">
      <c r="A9309" s="20"/>
    </row>
    <row r="9310" spans="1:1" x14ac:dyDescent="0.3">
      <c r="A9310" s="20"/>
    </row>
    <row r="9311" spans="1:1" x14ac:dyDescent="0.3">
      <c r="A9311" s="20"/>
    </row>
    <row r="9312" spans="1:1" x14ac:dyDescent="0.3">
      <c r="A9312" s="20"/>
    </row>
    <row r="9313" spans="1:1" x14ac:dyDescent="0.3">
      <c r="A9313" s="20"/>
    </row>
    <row r="9314" spans="1:1" x14ac:dyDescent="0.3">
      <c r="A9314" s="20"/>
    </row>
    <row r="9315" spans="1:1" x14ac:dyDescent="0.3">
      <c r="A9315" s="20"/>
    </row>
    <row r="9316" spans="1:1" x14ac:dyDescent="0.3">
      <c r="A9316" s="20"/>
    </row>
    <row r="9317" spans="1:1" x14ac:dyDescent="0.3">
      <c r="A9317" s="20"/>
    </row>
    <row r="9318" spans="1:1" x14ac:dyDescent="0.3">
      <c r="A9318" s="20"/>
    </row>
    <row r="9319" spans="1:1" x14ac:dyDescent="0.3">
      <c r="A9319" s="20"/>
    </row>
    <row r="9320" spans="1:1" x14ac:dyDescent="0.3">
      <c r="A9320" s="20"/>
    </row>
    <row r="9321" spans="1:1" x14ac:dyDescent="0.3">
      <c r="A9321" s="20"/>
    </row>
    <row r="9322" spans="1:1" x14ac:dyDescent="0.3">
      <c r="A9322" s="20"/>
    </row>
    <row r="9323" spans="1:1" x14ac:dyDescent="0.3">
      <c r="A9323" s="20"/>
    </row>
    <row r="9324" spans="1:1" x14ac:dyDescent="0.3">
      <c r="A9324" s="20"/>
    </row>
    <row r="9325" spans="1:1" x14ac:dyDescent="0.3">
      <c r="A9325" s="20"/>
    </row>
    <row r="9326" spans="1:1" x14ac:dyDescent="0.3">
      <c r="A9326" s="20"/>
    </row>
    <row r="9327" spans="1:1" x14ac:dyDescent="0.3">
      <c r="A9327" s="20"/>
    </row>
    <row r="9328" spans="1:1" x14ac:dyDescent="0.3">
      <c r="A9328" s="20"/>
    </row>
    <row r="9329" spans="1:1" x14ac:dyDescent="0.3">
      <c r="A9329" s="20"/>
    </row>
    <row r="9330" spans="1:1" x14ac:dyDescent="0.3">
      <c r="A9330" s="20"/>
    </row>
    <row r="9331" spans="1:1" x14ac:dyDescent="0.3">
      <c r="A9331" s="20"/>
    </row>
    <row r="9332" spans="1:1" x14ac:dyDescent="0.3">
      <c r="A9332" s="20"/>
    </row>
    <row r="9333" spans="1:1" x14ac:dyDescent="0.3">
      <c r="A9333" s="20"/>
    </row>
    <row r="9334" spans="1:1" x14ac:dyDescent="0.3">
      <c r="A9334" s="20"/>
    </row>
    <row r="9335" spans="1:1" x14ac:dyDescent="0.3">
      <c r="A9335" s="20"/>
    </row>
    <row r="9336" spans="1:1" x14ac:dyDescent="0.3">
      <c r="A9336" s="20"/>
    </row>
    <row r="9337" spans="1:1" x14ac:dyDescent="0.3">
      <c r="A9337" s="20"/>
    </row>
    <row r="9338" spans="1:1" x14ac:dyDescent="0.3">
      <c r="A9338" s="20"/>
    </row>
    <row r="9339" spans="1:1" x14ac:dyDescent="0.3">
      <c r="A9339" s="20"/>
    </row>
    <row r="9340" spans="1:1" x14ac:dyDescent="0.3">
      <c r="A9340" s="20"/>
    </row>
    <row r="9341" spans="1:1" x14ac:dyDescent="0.3">
      <c r="A9341" s="20"/>
    </row>
    <row r="9342" spans="1:1" x14ac:dyDescent="0.3">
      <c r="A9342" s="20"/>
    </row>
    <row r="9343" spans="1:1" x14ac:dyDescent="0.3">
      <c r="A9343" s="20"/>
    </row>
    <row r="9344" spans="1:1" x14ac:dyDescent="0.3">
      <c r="A9344" s="20"/>
    </row>
    <row r="9345" spans="1:1" x14ac:dyDescent="0.3">
      <c r="A9345" s="20"/>
    </row>
    <row r="9346" spans="1:1" x14ac:dyDescent="0.3">
      <c r="A9346" s="20"/>
    </row>
    <row r="9347" spans="1:1" x14ac:dyDescent="0.3">
      <c r="A9347" s="20"/>
    </row>
    <row r="9348" spans="1:1" x14ac:dyDescent="0.3">
      <c r="A9348" s="20"/>
    </row>
    <row r="9349" spans="1:1" x14ac:dyDescent="0.3">
      <c r="A9349" s="20"/>
    </row>
    <row r="9350" spans="1:1" x14ac:dyDescent="0.3">
      <c r="A9350" s="20"/>
    </row>
    <row r="9351" spans="1:1" x14ac:dyDescent="0.3">
      <c r="A9351" s="20"/>
    </row>
    <row r="9352" spans="1:1" x14ac:dyDescent="0.3">
      <c r="A9352" s="20"/>
    </row>
    <row r="9353" spans="1:1" x14ac:dyDescent="0.3">
      <c r="A9353" s="20"/>
    </row>
    <row r="9354" spans="1:1" x14ac:dyDescent="0.3">
      <c r="A9354" s="20"/>
    </row>
    <row r="9355" spans="1:1" x14ac:dyDescent="0.3">
      <c r="A9355" s="20"/>
    </row>
    <row r="9356" spans="1:1" x14ac:dyDescent="0.3">
      <c r="A9356" s="20"/>
    </row>
    <row r="9357" spans="1:1" x14ac:dyDescent="0.3">
      <c r="A9357" s="20"/>
    </row>
    <row r="9358" spans="1:1" x14ac:dyDescent="0.3">
      <c r="A9358" s="20"/>
    </row>
    <row r="9359" spans="1:1" x14ac:dyDescent="0.3">
      <c r="A9359" s="20"/>
    </row>
    <row r="9360" spans="1:1" x14ac:dyDescent="0.3">
      <c r="A9360" s="20"/>
    </row>
    <row r="9361" spans="1:1" x14ac:dyDescent="0.3">
      <c r="A9361" s="20"/>
    </row>
    <row r="9362" spans="1:1" x14ac:dyDescent="0.3">
      <c r="A9362" s="20"/>
    </row>
    <row r="9363" spans="1:1" x14ac:dyDescent="0.3">
      <c r="A9363" s="20"/>
    </row>
    <row r="9364" spans="1:1" x14ac:dyDescent="0.3">
      <c r="A9364" s="20"/>
    </row>
    <row r="9365" spans="1:1" x14ac:dyDescent="0.3">
      <c r="A9365" s="20"/>
    </row>
    <row r="9366" spans="1:1" x14ac:dyDescent="0.3">
      <c r="A9366" s="20"/>
    </row>
    <row r="9367" spans="1:1" x14ac:dyDescent="0.3">
      <c r="A9367" s="20"/>
    </row>
    <row r="9368" spans="1:1" x14ac:dyDescent="0.3">
      <c r="A9368" s="20"/>
    </row>
    <row r="9369" spans="1:1" x14ac:dyDescent="0.3">
      <c r="A9369" s="20"/>
    </row>
    <row r="9370" spans="1:1" x14ac:dyDescent="0.3">
      <c r="A9370" s="20"/>
    </row>
    <row r="9371" spans="1:1" x14ac:dyDescent="0.3">
      <c r="A9371" s="20"/>
    </row>
    <row r="9372" spans="1:1" x14ac:dyDescent="0.3">
      <c r="A9372" s="20"/>
    </row>
    <row r="9373" spans="1:1" x14ac:dyDescent="0.3">
      <c r="A9373" s="20"/>
    </row>
    <row r="9374" spans="1:1" x14ac:dyDescent="0.3">
      <c r="A9374" s="20"/>
    </row>
    <row r="9375" spans="1:1" x14ac:dyDescent="0.3">
      <c r="A9375" s="20"/>
    </row>
    <row r="9376" spans="1:1" x14ac:dyDescent="0.3">
      <c r="A9376" s="20"/>
    </row>
    <row r="9377" spans="1:1" x14ac:dyDescent="0.3">
      <c r="A9377" s="20"/>
    </row>
    <row r="9378" spans="1:1" x14ac:dyDescent="0.3">
      <c r="A9378" s="20"/>
    </row>
    <row r="9379" spans="1:1" x14ac:dyDescent="0.3">
      <c r="A9379" s="20"/>
    </row>
    <row r="9380" spans="1:1" x14ac:dyDescent="0.3">
      <c r="A9380" s="20"/>
    </row>
    <row r="9381" spans="1:1" x14ac:dyDescent="0.3">
      <c r="A9381" s="20"/>
    </row>
    <row r="9382" spans="1:1" x14ac:dyDescent="0.3">
      <c r="A9382" s="20"/>
    </row>
    <row r="9383" spans="1:1" x14ac:dyDescent="0.3">
      <c r="A9383" s="20"/>
    </row>
    <row r="9384" spans="1:1" x14ac:dyDescent="0.3">
      <c r="A9384" s="20"/>
    </row>
    <row r="9385" spans="1:1" x14ac:dyDescent="0.3">
      <c r="A9385" s="20"/>
    </row>
    <row r="9386" spans="1:1" x14ac:dyDescent="0.3">
      <c r="A9386" s="20"/>
    </row>
    <row r="9387" spans="1:1" x14ac:dyDescent="0.3">
      <c r="A9387" s="20"/>
    </row>
    <row r="9388" spans="1:1" x14ac:dyDescent="0.3">
      <c r="A9388" s="20"/>
    </row>
    <row r="9389" spans="1:1" x14ac:dyDescent="0.3">
      <c r="A9389" s="20"/>
    </row>
    <row r="9390" spans="1:1" x14ac:dyDescent="0.3">
      <c r="A9390" s="20"/>
    </row>
    <row r="9391" spans="1:1" x14ac:dyDescent="0.3">
      <c r="A9391" s="20"/>
    </row>
    <row r="9392" spans="1:1" x14ac:dyDescent="0.3">
      <c r="A9392" s="20"/>
    </row>
    <row r="9393" spans="1:1" x14ac:dyDescent="0.3">
      <c r="A9393" s="20"/>
    </row>
    <row r="9394" spans="1:1" x14ac:dyDescent="0.3">
      <c r="A9394" s="20"/>
    </row>
    <row r="9395" spans="1:1" x14ac:dyDescent="0.3">
      <c r="A9395" s="20"/>
    </row>
    <row r="9396" spans="1:1" x14ac:dyDescent="0.3">
      <c r="A9396" s="20"/>
    </row>
    <row r="9397" spans="1:1" x14ac:dyDescent="0.3">
      <c r="A9397" s="20"/>
    </row>
    <row r="9398" spans="1:1" x14ac:dyDescent="0.3">
      <c r="A9398" s="20"/>
    </row>
    <row r="9399" spans="1:1" x14ac:dyDescent="0.3">
      <c r="A9399" s="20"/>
    </row>
    <row r="9400" spans="1:1" x14ac:dyDescent="0.3">
      <c r="A9400" s="20"/>
    </row>
    <row r="9401" spans="1:1" x14ac:dyDescent="0.3">
      <c r="A9401" s="20"/>
    </row>
    <row r="9402" spans="1:1" x14ac:dyDescent="0.3">
      <c r="A9402" s="20"/>
    </row>
    <row r="9403" spans="1:1" x14ac:dyDescent="0.3">
      <c r="A9403" s="20"/>
    </row>
    <row r="9404" spans="1:1" x14ac:dyDescent="0.3">
      <c r="A9404" s="20"/>
    </row>
    <row r="9405" spans="1:1" x14ac:dyDescent="0.3">
      <c r="A9405" s="20"/>
    </row>
    <row r="9406" spans="1:1" x14ac:dyDescent="0.3">
      <c r="A9406" s="20"/>
    </row>
    <row r="9407" spans="1:1" x14ac:dyDescent="0.3">
      <c r="A9407" s="20"/>
    </row>
    <row r="9408" spans="1:1" x14ac:dyDescent="0.3">
      <c r="A9408" s="20"/>
    </row>
    <row r="9409" spans="1:1" x14ac:dyDescent="0.3">
      <c r="A9409" s="20"/>
    </row>
    <row r="9410" spans="1:1" x14ac:dyDescent="0.3">
      <c r="A9410" s="20"/>
    </row>
    <row r="9411" spans="1:1" x14ac:dyDescent="0.3">
      <c r="A9411" s="20"/>
    </row>
    <row r="9412" spans="1:1" x14ac:dyDescent="0.3">
      <c r="A9412" s="20"/>
    </row>
    <row r="9413" spans="1:1" x14ac:dyDescent="0.3">
      <c r="A9413" s="20"/>
    </row>
    <row r="9414" spans="1:1" x14ac:dyDescent="0.3">
      <c r="A9414" s="20"/>
    </row>
    <row r="9415" spans="1:1" x14ac:dyDescent="0.3">
      <c r="A9415" s="20"/>
    </row>
    <row r="9416" spans="1:1" x14ac:dyDescent="0.3">
      <c r="A9416" s="20"/>
    </row>
    <row r="9417" spans="1:1" x14ac:dyDescent="0.3">
      <c r="A9417" s="20"/>
    </row>
    <row r="9418" spans="1:1" x14ac:dyDescent="0.3">
      <c r="A9418" s="20"/>
    </row>
    <row r="9419" spans="1:1" x14ac:dyDescent="0.3">
      <c r="A9419" s="20"/>
    </row>
    <row r="9420" spans="1:1" x14ac:dyDescent="0.3">
      <c r="A9420" s="20"/>
    </row>
    <row r="9421" spans="1:1" x14ac:dyDescent="0.3">
      <c r="A9421" s="20"/>
    </row>
    <row r="9422" spans="1:1" x14ac:dyDescent="0.3">
      <c r="A9422" s="20"/>
    </row>
    <row r="9423" spans="1:1" x14ac:dyDescent="0.3">
      <c r="A9423" s="20"/>
    </row>
    <row r="9424" spans="1:1" x14ac:dyDescent="0.3">
      <c r="A9424" s="20"/>
    </row>
    <row r="9425" spans="1:1" x14ac:dyDescent="0.3">
      <c r="A9425" s="20"/>
    </row>
    <row r="9426" spans="1:1" x14ac:dyDescent="0.3">
      <c r="A9426" s="20"/>
    </row>
    <row r="9427" spans="1:1" x14ac:dyDescent="0.3">
      <c r="A9427" s="20"/>
    </row>
    <row r="9428" spans="1:1" x14ac:dyDescent="0.3">
      <c r="A9428" s="20"/>
    </row>
    <row r="9429" spans="1:1" x14ac:dyDescent="0.3">
      <c r="A9429" s="20"/>
    </row>
    <row r="9430" spans="1:1" x14ac:dyDescent="0.3">
      <c r="A9430" s="20"/>
    </row>
    <row r="9431" spans="1:1" x14ac:dyDescent="0.3">
      <c r="A9431" s="20"/>
    </row>
    <row r="9432" spans="1:1" x14ac:dyDescent="0.3">
      <c r="A9432" s="20"/>
    </row>
    <row r="9433" spans="1:1" x14ac:dyDescent="0.3">
      <c r="A9433" s="20"/>
    </row>
    <row r="9434" spans="1:1" x14ac:dyDescent="0.3">
      <c r="A9434" s="20"/>
    </row>
    <row r="9435" spans="1:1" x14ac:dyDescent="0.3">
      <c r="A9435" s="20"/>
    </row>
    <row r="9436" spans="1:1" x14ac:dyDescent="0.3">
      <c r="A9436" s="20"/>
    </row>
    <row r="9437" spans="1:1" x14ac:dyDescent="0.3">
      <c r="A9437" s="20"/>
    </row>
    <row r="9438" spans="1:1" x14ac:dyDescent="0.3">
      <c r="A9438" s="20"/>
    </row>
    <row r="9439" spans="1:1" x14ac:dyDescent="0.3">
      <c r="A9439" s="20"/>
    </row>
    <row r="9440" spans="1:1" x14ac:dyDescent="0.3">
      <c r="A9440" s="20"/>
    </row>
    <row r="9441" spans="1:1" x14ac:dyDescent="0.3">
      <c r="A9441" s="20"/>
    </row>
    <row r="9442" spans="1:1" x14ac:dyDescent="0.3">
      <c r="A9442" s="20"/>
    </row>
    <row r="9443" spans="1:1" x14ac:dyDescent="0.3">
      <c r="A9443" s="20"/>
    </row>
    <row r="9444" spans="1:1" x14ac:dyDescent="0.3">
      <c r="A9444" s="20"/>
    </row>
    <row r="9445" spans="1:1" x14ac:dyDescent="0.3">
      <c r="A9445" s="20"/>
    </row>
    <row r="9446" spans="1:1" x14ac:dyDescent="0.3">
      <c r="A9446" s="20"/>
    </row>
    <row r="9447" spans="1:1" x14ac:dyDescent="0.3">
      <c r="A9447" s="20"/>
    </row>
    <row r="9448" spans="1:1" x14ac:dyDescent="0.3">
      <c r="A9448" s="20"/>
    </row>
    <row r="9449" spans="1:1" x14ac:dyDescent="0.3">
      <c r="A9449" s="20"/>
    </row>
    <row r="9450" spans="1:1" x14ac:dyDescent="0.3">
      <c r="A9450" s="20"/>
    </row>
    <row r="9451" spans="1:1" x14ac:dyDescent="0.3">
      <c r="A9451" s="20"/>
    </row>
    <row r="9452" spans="1:1" x14ac:dyDescent="0.3">
      <c r="A9452" s="20"/>
    </row>
    <row r="9453" spans="1:1" x14ac:dyDescent="0.3">
      <c r="A9453" s="20"/>
    </row>
    <row r="9454" spans="1:1" x14ac:dyDescent="0.3">
      <c r="A9454" s="20"/>
    </row>
    <row r="9455" spans="1:1" x14ac:dyDescent="0.3">
      <c r="A9455" s="20"/>
    </row>
    <row r="9456" spans="1:1" x14ac:dyDescent="0.3">
      <c r="A9456" s="20"/>
    </row>
    <row r="9457" spans="1:1" x14ac:dyDescent="0.3">
      <c r="A9457" s="20"/>
    </row>
    <row r="9458" spans="1:1" x14ac:dyDescent="0.3">
      <c r="A9458" s="20"/>
    </row>
    <row r="9459" spans="1:1" x14ac:dyDescent="0.3">
      <c r="A9459" s="20"/>
    </row>
    <row r="9460" spans="1:1" x14ac:dyDescent="0.3">
      <c r="A9460" s="20"/>
    </row>
    <row r="9461" spans="1:1" x14ac:dyDescent="0.3">
      <c r="A9461" s="20"/>
    </row>
    <row r="9462" spans="1:1" x14ac:dyDescent="0.3">
      <c r="A9462" s="20"/>
    </row>
    <row r="9463" spans="1:1" x14ac:dyDescent="0.3">
      <c r="A9463" s="20"/>
    </row>
    <row r="9464" spans="1:1" x14ac:dyDescent="0.3">
      <c r="A9464" s="20"/>
    </row>
    <row r="9465" spans="1:1" x14ac:dyDescent="0.3">
      <c r="A9465" s="20"/>
    </row>
    <row r="9466" spans="1:1" x14ac:dyDescent="0.3">
      <c r="A9466" s="20"/>
    </row>
    <row r="9467" spans="1:1" x14ac:dyDescent="0.3">
      <c r="A9467" s="20"/>
    </row>
    <row r="9468" spans="1:1" x14ac:dyDescent="0.3">
      <c r="A9468" s="20"/>
    </row>
    <row r="9469" spans="1:1" x14ac:dyDescent="0.3">
      <c r="A9469" s="20"/>
    </row>
    <row r="9470" spans="1:1" x14ac:dyDescent="0.3">
      <c r="A9470" s="20"/>
    </row>
    <row r="9471" spans="1:1" x14ac:dyDescent="0.3">
      <c r="A9471" s="20"/>
    </row>
    <row r="9472" spans="1:1" x14ac:dyDescent="0.3">
      <c r="A9472" s="20"/>
    </row>
    <row r="9473" spans="1:1" x14ac:dyDescent="0.3">
      <c r="A9473" s="20"/>
    </row>
    <row r="9474" spans="1:1" x14ac:dyDescent="0.3">
      <c r="A9474" s="20"/>
    </row>
    <row r="9475" spans="1:1" x14ac:dyDescent="0.3">
      <c r="A9475" s="20"/>
    </row>
    <row r="9476" spans="1:1" x14ac:dyDescent="0.3">
      <c r="A9476" s="20"/>
    </row>
    <row r="9477" spans="1:1" x14ac:dyDescent="0.3">
      <c r="A9477" s="20"/>
    </row>
    <row r="9478" spans="1:1" x14ac:dyDescent="0.3">
      <c r="A9478" s="20"/>
    </row>
    <row r="9479" spans="1:1" x14ac:dyDescent="0.3">
      <c r="A9479" s="20"/>
    </row>
    <row r="9480" spans="1:1" x14ac:dyDescent="0.3">
      <c r="A9480" s="20"/>
    </row>
    <row r="9481" spans="1:1" x14ac:dyDescent="0.3">
      <c r="A9481" s="20"/>
    </row>
    <row r="9482" spans="1:1" x14ac:dyDescent="0.3">
      <c r="A9482" s="20"/>
    </row>
    <row r="9483" spans="1:1" x14ac:dyDescent="0.3">
      <c r="A9483" s="20"/>
    </row>
    <row r="9484" spans="1:1" x14ac:dyDescent="0.3">
      <c r="A9484" s="20"/>
    </row>
    <row r="9485" spans="1:1" x14ac:dyDescent="0.3">
      <c r="A9485" s="20"/>
    </row>
    <row r="9486" spans="1:1" x14ac:dyDescent="0.3">
      <c r="A9486" s="20"/>
    </row>
    <row r="9487" spans="1:1" x14ac:dyDescent="0.3">
      <c r="A9487" s="20"/>
    </row>
    <row r="9488" spans="1:1" x14ac:dyDescent="0.3">
      <c r="A9488" s="20"/>
    </row>
    <row r="9489" spans="1:1" x14ac:dyDescent="0.3">
      <c r="A9489" s="20"/>
    </row>
    <row r="9490" spans="1:1" x14ac:dyDescent="0.3">
      <c r="A9490" s="20"/>
    </row>
    <row r="9491" spans="1:1" x14ac:dyDescent="0.3">
      <c r="A9491" s="20"/>
    </row>
    <row r="9492" spans="1:1" x14ac:dyDescent="0.3">
      <c r="A9492" s="20"/>
    </row>
    <row r="9493" spans="1:1" x14ac:dyDescent="0.3">
      <c r="A9493" s="20"/>
    </row>
    <row r="9494" spans="1:1" x14ac:dyDescent="0.3">
      <c r="A9494" s="20"/>
    </row>
    <row r="9495" spans="1:1" x14ac:dyDescent="0.3">
      <c r="A9495" s="20"/>
    </row>
    <row r="9496" spans="1:1" x14ac:dyDescent="0.3">
      <c r="A9496" s="20"/>
    </row>
    <row r="9497" spans="1:1" x14ac:dyDescent="0.3">
      <c r="A9497" s="20"/>
    </row>
    <row r="9498" spans="1:1" x14ac:dyDescent="0.3">
      <c r="A9498" s="20"/>
    </row>
    <row r="9499" spans="1:1" x14ac:dyDescent="0.3">
      <c r="A9499" s="20"/>
    </row>
    <row r="9500" spans="1:1" x14ac:dyDescent="0.3">
      <c r="A9500" s="20"/>
    </row>
    <row r="9501" spans="1:1" x14ac:dyDescent="0.3">
      <c r="A9501" s="20"/>
    </row>
    <row r="9502" spans="1:1" x14ac:dyDescent="0.3">
      <c r="A9502" s="20"/>
    </row>
    <row r="9503" spans="1:1" x14ac:dyDescent="0.3">
      <c r="A9503" s="20"/>
    </row>
    <row r="9504" spans="1:1" x14ac:dyDescent="0.3">
      <c r="A9504" s="20"/>
    </row>
    <row r="9505" spans="1:1" x14ac:dyDescent="0.3">
      <c r="A9505" s="20"/>
    </row>
    <row r="9506" spans="1:1" x14ac:dyDescent="0.3">
      <c r="A9506" s="20"/>
    </row>
    <row r="9507" spans="1:1" x14ac:dyDescent="0.3">
      <c r="A9507" s="20"/>
    </row>
    <row r="9508" spans="1:1" x14ac:dyDescent="0.3">
      <c r="A9508" s="20"/>
    </row>
    <row r="9509" spans="1:1" x14ac:dyDescent="0.3">
      <c r="A9509" s="20"/>
    </row>
    <row r="9510" spans="1:1" x14ac:dyDescent="0.3">
      <c r="A9510" s="20"/>
    </row>
    <row r="9511" spans="1:1" x14ac:dyDescent="0.3">
      <c r="A9511" s="20"/>
    </row>
    <row r="9512" spans="1:1" x14ac:dyDescent="0.3">
      <c r="A9512" s="20"/>
    </row>
    <row r="9513" spans="1:1" x14ac:dyDescent="0.3">
      <c r="A9513" s="20"/>
    </row>
    <row r="9514" spans="1:1" x14ac:dyDescent="0.3">
      <c r="A9514" s="20"/>
    </row>
    <row r="9515" spans="1:1" x14ac:dyDescent="0.3">
      <c r="A9515" s="20"/>
    </row>
    <row r="9516" spans="1:1" x14ac:dyDescent="0.3">
      <c r="A9516" s="20"/>
    </row>
    <row r="9517" spans="1:1" x14ac:dyDescent="0.3">
      <c r="A9517" s="20"/>
    </row>
    <row r="9518" spans="1:1" x14ac:dyDescent="0.3">
      <c r="A9518" s="20"/>
    </row>
    <row r="9519" spans="1:1" x14ac:dyDescent="0.3">
      <c r="A9519" s="20"/>
    </row>
    <row r="9520" spans="1:1" x14ac:dyDescent="0.3">
      <c r="A9520" s="20"/>
    </row>
    <row r="9521" spans="1:1" x14ac:dyDescent="0.3">
      <c r="A9521" s="20"/>
    </row>
    <row r="9522" spans="1:1" x14ac:dyDescent="0.3">
      <c r="A9522" s="20"/>
    </row>
    <row r="9523" spans="1:1" x14ac:dyDescent="0.3">
      <c r="A9523" s="20"/>
    </row>
    <row r="9524" spans="1:1" x14ac:dyDescent="0.3">
      <c r="A9524" s="20"/>
    </row>
    <row r="9525" spans="1:1" x14ac:dyDescent="0.3">
      <c r="A9525" s="20"/>
    </row>
    <row r="9526" spans="1:1" x14ac:dyDescent="0.3">
      <c r="A9526" s="20"/>
    </row>
    <row r="9527" spans="1:1" x14ac:dyDescent="0.3">
      <c r="A9527" s="20"/>
    </row>
    <row r="9528" spans="1:1" x14ac:dyDescent="0.3">
      <c r="A9528" s="20"/>
    </row>
    <row r="9529" spans="1:1" x14ac:dyDescent="0.3">
      <c r="A9529" s="20"/>
    </row>
    <row r="9530" spans="1:1" x14ac:dyDescent="0.3">
      <c r="A9530" s="20"/>
    </row>
    <row r="9531" spans="1:1" x14ac:dyDescent="0.3">
      <c r="A9531" s="20"/>
    </row>
    <row r="9532" spans="1:1" x14ac:dyDescent="0.3">
      <c r="A9532" s="20"/>
    </row>
    <row r="9533" spans="1:1" x14ac:dyDescent="0.3">
      <c r="A9533" s="20"/>
    </row>
    <row r="9534" spans="1:1" x14ac:dyDescent="0.3">
      <c r="A9534" s="20"/>
    </row>
    <row r="9535" spans="1:1" x14ac:dyDescent="0.3">
      <c r="A9535" s="20"/>
    </row>
    <row r="9536" spans="1:1" x14ac:dyDescent="0.3">
      <c r="A9536" s="20"/>
    </row>
    <row r="9537" spans="1:1" x14ac:dyDescent="0.3">
      <c r="A9537" s="20"/>
    </row>
    <row r="9538" spans="1:1" x14ac:dyDescent="0.3">
      <c r="A9538" s="20"/>
    </row>
    <row r="9539" spans="1:1" x14ac:dyDescent="0.3">
      <c r="A9539" s="20"/>
    </row>
    <row r="9540" spans="1:1" x14ac:dyDescent="0.3">
      <c r="A9540" s="20"/>
    </row>
    <row r="9541" spans="1:1" x14ac:dyDescent="0.3">
      <c r="A9541" s="20"/>
    </row>
    <row r="9542" spans="1:1" x14ac:dyDescent="0.3">
      <c r="A9542" s="20"/>
    </row>
    <row r="9543" spans="1:1" x14ac:dyDescent="0.3">
      <c r="A9543" s="20"/>
    </row>
    <row r="9544" spans="1:1" x14ac:dyDescent="0.3">
      <c r="A9544" s="20"/>
    </row>
    <row r="9545" spans="1:1" x14ac:dyDescent="0.3">
      <c r="A9545" s="20"/>
    </row>
    <row r="9546" spans="1:1" x14ac:dyDescent="0.3">
      <c r="A9546" s="20"/>
    </row>
    <row r="9547" spans="1:1" x14ac:dyDescent="0.3">
      <c r="A9547" s="20"/>
    </row>
    <row r="9548" spans="1:1" x14ac:dyDescent="0.3">
      <c r="A9548" s="20"/>
    </row>
    <row r="9549" spans="1:1" x14ac:dyDescent="0.3">
      <c r="A9549" s="20"/>
    </row>
    <row r="9550" spans="1:1" x14ac:dyDescent="0.3">
      <c r="A9550" s="20"/>
    </row>
    <row r="9551" spans="1:1" x14ac:dyDescent="0.3">
      <c r="A9551" s="20"/>
    </row>
    <row r="9552" spans="1:1" x14ac:dyDescent="0.3">
      <c r="A9552" s="20"/>
    </row>
    <row r="9553" spans="1:1" x14ac:dyDescent="0.3">
      <c r="A9553" s="20"/>
    </row>
    <row r="9554" spans="1:1" x14ac:dyDescent="0.3">
      <c r="A9554" s="20"/>
    </row>
    <row r="9555" spans="1:1" x14ac:dyDescent="0.3">
      <c r="A9555" s="20"/>
    </row>
    <row r="9556" spans="1:1" x14ac:dyDescent="0.3">
      <c r="A9556" s="20"/>
    </row>
    <row r="9557" spans="1:1" x14ac:dyDescent="0.3">
      <c r="A9557" s="20"/>
    </row>
    <row r="9558" spans="1:1" x14ac:dyDescent="0.3">
      <c r="A9558" s="20"/>
    </row>
    <row r="9559" spans="1:1" x14ac:dyDescent="0.3">
      <c r="A9559" s="20"/>
    </row>
    <row r="9560" spans="1:1" x14ac:dyDescent="0.3">
      <c r="A9560" s="20"/>
    </row>
    <row r="9561" spans="1:1" x14ac:dyDescent="0.3">
      <c r="A9561" s="20"/>
    </row>
    <row r="9562" spans="1:1" x14ac:dyDescent="0.3">
      <c r="A9562" s="20"/>
    </row>
    <row r="9563" spans="1:1" x14ac:dyDescent="0.3">
      <c r="A9563" s="20"/>
    </row>
    <row r="9564" spans="1:1" x14ac:dyDescent="0.3">
      <c r="A9564" s="20"/>
    </row>
    <row r="9565" spans="1:1" x14ac:dyDescent="0.3">
      <c r="A9565" s="20"/>
    </row>
    <row r="9566" spans="1:1" x14ac:dyDescent="0.3">
      <c r="A9566" s="20"/>
    </row>
    <row r="9567" spans="1:1" x14ac:dyDescent="0.3">
      <c r="A9567" s="20"/>
    </row>
    <row r="9568" spans="1:1" x14ac:dyDescent="0.3">
      <c r="A9568" s="20"/>
    </row>
    <row r="9569" spans="1:1" x14ac:dyDescent="0.3">
      <c r="A9569" s="20"/>
    </row>
    <row r="9570" spans="1:1" x14ac:dyDescent="0.3">
      <c r="A9570" s="20"/>
    </row>
    <row r="9571" spans="1:1" x14ac:dyDescent="0.3">
      <c r="A9571" s="20"/>
    </row>
    <row r="9572" spans="1:1" x14ac:dyDescent="0.3">
      <c r="A9572" s="20"/>
    </row>
    <row r="9573" spans="1:1" x14ac:dyDescent="0.3">
      <c r="A9573" s="20"/>
    </row>
    <row r="9574" spans="1:1" x14ac:dyDescent="0.3">
      <c r="A9574" s="20"/>
    </row>
    <row r="9575" spans="1:1" x14ac:dyDescent="0.3">
      <c r="A9575" s="20"/>
    </row>
    <row r="9576" spans="1:1" x14ac:dyDescent="0.3">
      <c r="A9576" s="20"/>
    </row>
    <row r="9577" spans="1:1" x14ac:dyDescent="0.3">
      <c r="A9577" s="20"/>
    </row>
    <row r="9578" spans="1:1" x14ac:dyDescent="0.3">
      <c r="A9578" s="20"/>
    </row>
    <row r="9579" spans="1:1" x14ac:dyDescent="0.3">
      <c r="A9579" s="20"/>
    </row>
    <row r="9580" spans="1:1" x14ac:dyDescent="0.3">
      <c r="A9580" s="20"/>
    </row>
    <row r="9581" spans="1:1" x14ac:dyDescent="0.3">
      <c r="A9581" s="20"/>
    </row>
    <row r="9582" spans="1:1" x14ac:dyDescent="0.3">
      <c r="A9582" s="20"/>
    </row>
    <row r="9583" spans="1:1" x14ac:dyDescent="0.3">
      <c r="A9583" s="20"/>
    </row>
    <row r="9584" spans="1:1" x14ac:dyDescent="0.3">
      <c r="A9584" s="20"/>
    </row>
    <row r="9585" spans="1:1" x14ac:dyDescent="0.3">
      <c r="A9585" s="20"/>
    </row>
    <row r="9586" spans="1:1" x14ac:dyDescent="0.3">
      <c r="A9586" s="20"/>
    </row>
    <row r="9587" spans="1:1" x14ac:dyDescent="0.3">
      <c r="A9587" s="20"/>
    </row>
    <row r="9588" spans="1:1" x14ac:dyDescent="0.3">
      <c r="A9588" s="20"/>
    </row>
    <row r="9589" spans="1:1" x14ac:dyDescent="0.3">
      <c r="A9589" s="20"/>
    </row>
    <row r="9590" spans="1:1" x14ac:dyDescent="0.3">
      <c r="A9590" s="20"/>
    </row>
    <row r="9591" spans="1:1" x14ac:dyDescent="0.3">
      <c r="A9591" s="20"/>
    </row>
    <row r="9592" spans="1:1" x14ac:dyDescent="0.3">
      <c r="A9592" s="20"/>
    </row>
    <row r="9593" spans="1:1" x14ac:dyDescent="0.3">
      <c r="A9593" s="20"/>
    </row>
    <row r="9594" spans="1:1" x14ac:dyDescent="0.3">
      <c r="A9594" s="20"/>
    </row>
    <row r="9595" spans="1:1" x14ac:dyDescent="0.3">
      <c r="A9595" s="20"/>
    </row>
    <row r="9596" spans="1:1" x14ac:dyDescent="0.3">
      <c r="A9596" s="20"/>
    </row>
    <row r="9597" spans="1:1" x14ac:dyDescent="0.3">
      <c r="A9597" s="20"/>
    </row>
    <row r="9598" spans="1:1" x14ac:dyDescent="0.3">
      <c r="A9598" s="20"/>
    </row>
    <row r="9599" spans="1:1" x14ac:dyDescent="0.3">
      <c r="A9599" s="20"/>
    </row>
    <row r="9600" spans="1:1" x14ac:dyDescent="0.3">
      <c r="A9600" s="20"/>
    </row>
    <row r="9601" spans="1:1" x14ac:dyDescent="0.3">
      <c r="A9601" s="20"/>
    </row>
    <row r="9602" spans="1:1" x14ac:dyDescent="0.3">
      <c r="A9602" s="20"/>
    </row>
    <row r="9603" spans="1:1" x14ac:dyDescent="0.3">
      <c r="A9603" s="20"/>
    </row>
    <row r="9604" spans="1:1" x14ac:dyDescent="0.3">
      <c r="A9604" s="20"/>
    </row>
    <row r="9605" spans="1:1" x14ac:dyDescent="0.3">
      <c r="A9605" s="20"/>
    </row>
    <row r="9606" spans="1:1" x14ac:dyDescent="0.3">
      <c r="A9606" s="20"/>
    </row>
    <row r="9607" spans="1:1" x14ac:dyDescent="0.3">
      <c r="A9607" s="20"/>
    </row>
    <row r="9608" spans="1:1" x14ac:dyDescent="0.3">
      <c r="A9608" s="20"/>
    </row>
    <row r="9609" spans="1:1" x14ac:dyDescent="0.3">
      <c r="A9609" s="20"/>
    </row>
    <row r="9610" spans="1:1" x14ac:dyDescent="0.3">
      <c r="A9610" s="20"/>
    </row>
    <row r="9611" spans="1:1" x14ac:dyDescent="0.3">
      <c r="A9611" s="20"/>
    </row>
    <row r="9612" spans="1:1" x14ac:dyDescent="0.3">
      <c r="A9612" s="20"/>
    </row>
    <row r="9613" spans="1:1" x14ac:dyDescent="0.3">
      <c r="A9613" s="20"/>
    </row>
    <row r="9614" spans="1:1" x14ac:dyDescent="0.3">
      <c r="A9614" s="20"/>
    </row>
    <row r="9615" spans="1:1" x14ac:dyDescent="0.3">
      <c r="A9615" s="20"/>
    </row>
    <row r="9616" spans="1:1" x14ac:dyDescent="0.3">
      <c r="A9616" s="20"/>
    </row>
    <row r="9617" spans="1:1" x14ac:dyDescent="0.3">
      <c r="A9617" s="20"/>
    </row>
    <row r="9618" spans="1:1" x14ac:dyDescent="0.3">
      <c r="A9618" s="20"/>
    </row>
    <row r="9619" spans="1:1" x14ac:dyDescent="0.3">
      <c r="A9619" s="20"/>
    </row>
    <row r="9620" spans="1:1" x14ac:dyDescent="0.3">
      <c r="A9620" s="20"/>
    </row>
    <row r="9621" spans="1:1" x14ac:dyDescent="0.3">
      <c r="A9621" s="20"/>
    </row>
    <row r="9622" spans="1:1" x14ac:dyDescent="0.3">
      <c r="A9622" s="20"/>
    </row>
    <row r="9623" spans="1:1" x14ac:dyDescent="0.3">
      <c r="A9623" s="20"/>
    </row>
    <row r="9624" spans="1:1" x14ac:dyDescent="0.3">
      <c r="A9624" s="20"/>
    </row>
    <row r="9625" spans="1:1" x14ac:dyDescent="0.3">
      <c r="A9625" s="20"/>
    </row>
    <row r="9626" spans="1:1" x14ac:dyDescent="0.3">
      <c r="A9626" s="20"/>
    </row>
    <row r="9627" spans="1:1" x14ac:dyDescent="0.3">
      <c r="A9627" s="20"/>
    </row>
    <row r="9628" spans="1:1" x14ac:dyDescent="0.3">
      <c r="A9628" s="20"/>
    </row>
    <row r="9629" spans="1:1" x14ac:dyDescent="0.3">
      <c r="A9629" s="20"/>
    </row>
    <row r="9630" spans="1:1" x14ac:dyDescent="0.3">
      <c r="A9630" s="20"/>
    </row>
    <row r="9631" spans="1:1" x14ac:dyDescent="0.3">
      <c r="A9631" s="20"/>
    </row>
    <row r="9632" spans="1:1" x14ac:dyDescent="0.3">
      <c r="A9632" s="20"/>
    </row>
    <row r="9633" spans="1:1" x14ac:dyDescent="0.3">
      <c r="A9633" s="20"/>
    </row>
    <row r="9634" spans="1:1" x14ac:dyDescent="0.3">
      <c r="A9634" s="20"/>
    </row>
    <row r="9635" spans="1:1" x14ac:dyDescent="0.3">
      <c r="A9635" s="20"/>
    </row>
    <row r="9636" spans="1:1" x14ac:dyDescent="0.3">
      <c r="A9636" s="20"/>
    </row>
    <row r="9637" spans="1:1" x14ac:dyDescent="0.3">
      <c r="A9637" s="20"/>
    </row>
    <row r="9638" spans="1:1" x14ac:dyDescent="0.3">
      <c r="A9638" s="20"/>
    </row>
    <row r="9639" spans="1:1" x14ac:dyDescent="0.3">
      <c r="A9639" s="20"/>
    </row>
    <row r="9640" spans="1:1" x14ac:dyDescent="0.3">
      <c r="A9640" s="20"/>
    </row>
    <row r="9641" spans="1:1" x14ac:dyDescent="0.3">
      <c r="A9641" s="20"/>
    </row>
    <row r="9642" spans="1:1" x14ac:dyDescent="0.3">
      <c r="A9642" s="20"/>
    </row>
    <row r="9643" spans="1:1" x14ac:dyDescent="0.3">
      <c r="A9643" s="20"/>
    </row>
    <row r="9644" spans="1:1" x14ac:dyDescent="0.3">
      <c r="A9644" s="20"/>
    </row>
    <row r="9645" spans="1:1" x14ac:dyDescent="0.3">
      <c r="A9645" s="20"/>
    </row>
    <row r="9646" spans="1:1" x14ac:dyDescent="0.3">
      <c r="A9646" s="20"/>
    </row>
    <row r="9647" spans="1:1" x14ac:dyDescent="0.3">
      <c r="A9647" s="20"/>
    </row>
    <row r="9648" spans="1:1" x14ac:dyDescent="0.3">
      <c r="A9648" s="20"/>
    </row>
    <row r="9649" spans="1:1" x14ac:dyDescent="0.3">
      <c r="A9649" s="20"/>
    </row>
    <row r="9650" spans="1:1" x14ac:dyDescent="0.3">
      <c r="A9650" s="20"/>
    </row>
    <row r="9651" spans="1:1" x14ac:dyDescent="0.3">
      <c r="A9651" s="20"/>
    </row>
    <row r="9652" spans="1:1" x14ac:dyDescent="0.3">
      <c r="A9652" s="20"/>
    </row>
    <row r="9653" spans="1:1" x14ac:dyDescent="0.3">
      <c r="A9653" s="20"/>
    </row>
    <row r="9654" spans="1:1" x14ac:dyDescent="0.3">
      <c r="A9654" s="20"/>
    </row>
    <row r="9655" spans="1:1" x14ac:dyDescent="0.3">
      <c r="A9655" s="20"/>
    </row>
    <row r="9656" spans="1:1" x14ac:dyDescent="0.3">
      <c r="A9656" s="20"/>
    </row>
    <row r="9657" spans="1:1" x14ac:dyDescent="0.3">
      <c r="A9657" s="20"/>
    </row>
    <row r="9658" spans="1:1" x14ac:dyDescent="0.3">
      <c r="A9658" s="20"/>
    </row>
    <row r="9659" spans="1:1" x14ac:dyDescent="0.3">
      <c r="A9659" s="20"/>
    </row>
    <row r="9660" spans="1:1" x14ac:dyDescent="0.3">
      <c r="A9660" s="20"/>
    </row>
    <row r="9661" spans="1:1" x14ac:dyDescent="0.3">
      <c r="A9661" s="20"/>
    </row>
    <row r="9662" spans="1:1" x14ac:dyDescent="0.3">
      <c r="A9662" s="20"/>
    </row>
    <row r="9663" spans="1:1" x14ac:dyDescent="0.3">
      <c r="A9663" s="20"/>
    </row>
    <row r="9664" spans="1:1" x14ac:dyDescent="0.3">
      <c r="A9664" s="20"/>
    </row>
    <row r="9665" spans="1:1" x14ac:dyDescent="0.3">
      <c r="A9665" s="20"/>
    </row>
    <row r="9666" spans="1:1" x14ac:dyDescent="0.3">
      <c r="A9666" s="20"/>
    </row>
    <row r="9667" spans="1:1" x14ac:dyDescent="0.3">
      <c r="A9667" s="20"/>
    </row>
    <row r="9668" spans="1:1" x14ac:dyDescent="0.3">
      <c r="A9668" s="20"/>
    </row>
    <row r="9669" spans="1:1" x14ac:dyDescent="0.3">
      <c r="A9669" s="20"/>
    </row>
    <row r="9670" spans="1:1" x14ac:dyDescent="0.3">
      <c r="A9670" s="20"/>
    </row>
    <row r="9671" spans="1:1" x14ac:dyDescent="0.3">
      <c r="A9671" s="20"/>
    </row>
    <row r="9672" spans="1:1" x14ac:dyDescent="0.3">
      <c r="A9672" s="20"/>
    </row>
    <row r="9673" spans="1:1" x14ac:dyDescent="0.3">
      <c r="A9673" s="20"/>
    </row>
    <row r="9674" spans="1:1" x14ac:dyDescent="0.3">
      <c r="A9674" s="20"/>
    </row>
    <row r="9675" spans="1:1" x14ac:dyDescent="0.3">
      <c r="A9675" s="20"/>
    </row>
    <row r="9676" spans="1:1" x14ac:dyDescent="0.3">
      <c r="A9676" s="20"/>
    </row>
    <row r="9677" spans="1:1" x14ac:dyDescent="0.3">
      <c r="A9677" s="20"/>
    </row>
    <row r="9678" spans="1:1" x14ac:dyDescent="0.3">
      <c r="A9678" s="20"/>
    </row>
    <row r="9679" spans="1:1" x14ac:dyDescent="0.3">
      <c r="A9679" s="20"/>
    </row>
    <row r="9680" spans="1:1" x14ac:dyDescent="0.3">
      <c r="A9680" s="20"/>
    </row>
    <row r="9681" spans="1:1" x14ac:dyDescent="0.3">
      <c r="A9681" s="20"/>
    </row>
    <row r="9682" spans="1:1" x14ac:dyDescent="0.3">
      <c r="A9682" s="20"/>
    </row>
    <row r="9683" spans="1:1" x14ac:dyDescent="0.3">
      <c r="A9683" s="20"/>
    </row>
    <row r="9684" spans="1:1" x14ac:dyDescent="0.3">
      <c r="A9684" s="20"/>
    </row>
    <row r="9685" spans="1:1" x14ac:dyDescent="0.3">
      <c r="A9685" s="20"/>
    </row>
    <row r="9686" spans="1:1" x14ac:dyDescent="0.3">
      <c r="A9686" s="20"/>
    </row>
    <row r="9687" spans="1:1" x14ac:dyDescent="0.3">
      <c r="A9687" s="20"/>
    </row>
    <row r="9688" spans="1:1" x14ac:dyDescent="0.3">
      <c r="A9688" s="20"/>
    </row>
    <row r="9689" spans="1:1" x14ac:dyDescent="0.3">
      <c r="A9689" s="20"/>
    </row>
    <row r="9690" spans="1:1" x14ac:dyDescent="0.3">
      <c r="A9690" s="20"/>
    </row>
    <row r="9691" spans="1:1" x14ac:dyDescent="0.3">
      <c r="A9691" s="20"/>
    </row>
    <row r="9692" spans="1:1" x14ac:dyDescent="0.3">
      <c r="A9692" s="20"/>
    </row>
    <row r="9693" spans="1:1" x14ac:dyDescent="0.3">
      <c r="A9693" s="20"/>
    </row>
    <row r="9694" spans="1:1" x14ac:dyDescent="0.3">
      <c r="A9694" s="20"/>
    </row>
    <row r="9695" spans="1:1" x14ac:dyDescent="0.3">
      <c r="A9695" s="20"/>
    </row>
    <row r="9696" spans="1:1" x14ac:dyDescent="0.3">
      <c r="A9696" s="20"/>
    </row>
    <row r="9697" spans="1:1" x14ac:dyDescent="0.3">
      <c r="A9697" s="20"/>
    </row>
    <row r="9698" spans="1:1" x14ac:dyDescent="0.3">
      <c r="A9698" s="20"/>
    </row>
    <row r="9699" spans="1:1" x14ac:dyDescent="0.3">
      <c r="A9699" s="20"/>
    </row>
    <row r="9700" spans="1:1" x14ac:dyDescent="0.3">
      <c r="A9700" s="20"/>
    </row>
    <row r="9701" spans="1:1" x14ac:dyDescent="0.3">
      <c r="A9701" s="20"/>
    </row>
    <row r="9702" spans="1:1" x14ac:dyDescent="0.3">
      <c r="A9702" s="20"/>
    </row>
    <row r="9703" spans="1:1" x14ac:dyDescent="0.3">
      <c r="A9703" s="20"/>
    </row>
    <row r="9704" spans="1:1" x14ac:dyDescent="0.3">
      <c r="A9704" s="20"/>
    </row>
    <row r="9705" spans="1:1" x14ac:dyDescent="0.3">
      <c r="A9705" s="20"/>
    </row>
    <row r="9706" spans="1:1" x14ac:dyDescent="0.3">
      <c r="A9706" s="20"/>
    </row>
    <row r="9707" spans="1:1" x14ac:dyDescent="0.3">
      <c r="A9707" s="20"/>
    </row>
    <row r="9708" spans="1:1" x14ac:dyDescent="0.3">
      <c r="A9708" s="20"/>
    </row>
    <row r="9709" spans="1:1" x14ac:dyDescent="0.3">
      <c r="A9709" s="20"/>
    </row>
    <row r="9710" spans="1:1" x14ac:dyDescent="0.3">
      <c r="A9710" s="20"/>
    </row>
    <row r="9711" spans="1:1" x14ac:dyDescent="0.3">
      <c r="A9711" s="20"/>
    </row>
    <row r="9712" spans="1:1" x14ac:dyDescent="0.3">
      <c r="A9712" s="20"/>
    </row>
    <row r="9713" spans="1:1" x14ac:dyDescent="0.3">
      <c r="A9713" s="20"/>
    </row>
    <row r="9714" spans="1:1" x14ac:dyDescent="0.3">
      <c r="A9714" s="20"/>
    </row>
    <row r="9715" spans="1:1" x14ac:dyDescent="0.3">
      <c r="A9715" s="20"/>
    </row>
    <row r="9716" spans="1:1" x14ac:dyDescent="0.3">
      <c r="A9716" s="20"/>
    </row>
    <row r="9717" spans="1:1" x14ac:dyDescent="0.3">
      <c r="A9717" s="20"/>
    </row>
    <row r="9718" spans="1:1" x14ac:dyDescent="0.3">
      <c r="A9718" s="20"/>
    </row>
    <row r="9719" spans="1:1" x14ac:dyDescent="0.3">
      <c r="A9719" s="20"/>
    </row>
    <row r="9720" spans="1:1" x14ac:dyDescent="0.3">
      <c r="A9720" s="20"/>
    </row>
    <row r="9721" spans="1:1" x14ac:dyDescent="0.3">
      <c r="A9721" s="20"/>
    </row>
    <row r="9722" spans="1:1" x14ac:dyDescent="0.3">
      <c r="A9722" s="20"/>
    </row>
    <row r="9723" spans="1:1" x14ac:dyDescent="0.3">
      <c r="A9723" s="20"/>
    </row>
    <row r="9724" spans="1:1" x14ac:dyDescent="0.3">
      <c r="A9724" s="20"/>
    </row>
    <row r="9725" spans="1:1" x14ac:dyDescent="0.3">
      <c r="A9725" s="20"/>
    </row>
    <row r="9726" spans="1:1" x14ac:dyDescent="0.3">
      <c r="A9726" s="20"/>
    </row>
    <row r="9727" spans="1:1" x14ac:dyDescent="0.3">
      <c r="A9727" s="20"/>
    </row>
    <row r="9728" spans="1:1" x14ac:dyDescent="0.3">
      <c r="A9728" s="20"/>
    </row>
    <row r="9729" spans="1:1" x14ac:dyDescent="0.3">
      <c r="A9729" s="20"/>
    </row>
    <row r="9730" spans="1:1" x14ac:dyDescent="0.3">
      <c r="A9730" s="20"/>
    </row>
    <row r="9731" spans="1:1" x14ac:dyDescent="0.3">
      <c r="A9731" s="20"/>
    </row>
    <row r="9732" spans="1:1" x14ac:dyDescent="0.3">
      <c r="A9732" s="20"/>
    </row>
    <row r="9733" spans="1:1" x14ac:dyDescent="0.3">
      <c r="A9733" s="20"/>
    </row>
    <row r="9734" spans="1:1" x14ac:dyDescent="0.3">
      <c r="A9734" s="20"/>
    </row>
    <row r="9735" spans="1:1" x14ac:dyDescent="0.3">
      <c r="A9735" s="20"/>
    </row>
    <row r="9736" spans="1:1" x14ac:dyDescent="0.3">
      <c r="A9736" s="20"/>
    </row>
    <row r="9737" spans="1:1" x14ac:dyDescent="0.3">
      <c r="A9737" s="20"/>
    </row>
    <row r="9738" spans="1:1" x14ac:dyDescent="0.3">
      <c r="A9738" s="20"/>
    </row>
    <row r="9739" spans="1:1" x14ac:dyDescent="0.3">
      <c r="A9739" s="20"/>
    </row>
    <row r="9740" spans="1:1" x14ac:dyDescent="0.3">
      <c r="A9740" s="20"/>
    </row>
    <row r="9741" spans="1:1" x14ac:dyDescent="0.3">
      <c r="A9741" s="20"/>
    </row>
    <row r="9742" spans="1:1" x14ac:dyDescent="0.3">
      <c r="A9742" s="20"/>
    </row>
    <row r="9743" spans="1:1" x14ac:dyDescent="0.3">
      <c r="A9743" s="20"/>
    </row>
    <row r="9744" spans="1:1" x14ac:dyDescent="0.3">
      <c r="A9744" s="20"/>
    </row>
    <row r="9745" spans="1:1" x14ac:dyDescent="0.3">
      <c r="A9745" s="20"/>
    </row>
    <row r="9746" spans="1:1" x14ac:dyDescent="0.3">
      <c r="A9746" s="20"/>
    </row>
    <row r="9747" spans="1:1" x14ac:dyDescent="0.3">
      <c r="A9747" s="20"/>
    </row>
    <row r="9748" spans="1:1" x14ac:dyDescent="0.3">
      <c r="A9748" s="20"/>
    </row>
    <row r="9749" spans="1:1" x14ac:dyDescent="0.3">
      <c r="A9749" s="20"/>
    </row>
    <row r="9750" spans="1:1" x14ac:dyDescent="0.3">
      <c r="A9750" s="20"/>
    </row>
    <row r="9751" spans="1:1" x14ac:dyDescent="0.3">
      <c r="A9751" s="20"/>
    </row>
    <row r="9752" spans="1:1" x14ac:dyDescent="0.3">
      <c r="A9752" s="20"/>
    </row>
    <row r="9753" spans="1:1" x14ac:dyDescent="0.3">
      <c r="A9753" s="20"/>
    </row>
    <row r="9754" spans="1:1" x14ac:dyDescent="0.3">
      <c r="A9754" s="20"/>
    </row>
    <row r="9755" spans="1:1" x14ac:dyDescent="0.3">
      <c r="A9755" s="20"/>
    </row>
    <row r="9756" spans="1:1" x14ac:dyDescent="0.3">
      <c r="A9756" s="20"/>
    </row>
    <row r="9757" spans="1:1" x14ac:dyDescent="0.3">
      <c r="A9757" s="20"/>
    </row>
    <row r="9758" spans="1:1" x14ac:dyDescent="0.3">
      <c r="A9758" s="20"/>
    </row>
    <row r="9759" spans="1:1" x14ac:dyDescent="0.3">
      <c r="A9759" s="20"/>
    </row>
    <row r="9760" spans="1:1" x14ac:dyDescent="0.3">
      <c r="A9760" s="20"/>
    </row>
    <row r="9761" spans="1:1" x14ac:dyDescent="0.3">
      <c r="A9761" s="20"/>
    </row>
    <row r="9762" spans="1:1" x14ac:dyDescent="0.3">
      <c r="A9762" s="20"/>
    </row>
    <row r="9763" spans="1:1" x14ac:dyDescent="0.3">
      <c r="A9763" s="20"/>
    </row>
    <row r="9764" spans="1:1" x14ac:dyDescent="0.3">
      <c r="A9764" s="20"/>
    </row>
    <row r="9765" spans="1:1" x14ac:dyDescent="0.3">
      <c r="A9765" s="20"/>
    </row>
    <row r="9766" spans="1:1" x14ac:dyDescent="0.3">
      <c r="A9766" s="20"/>
    </row>
    <row r="9767" spans="1:1" x14ac:dyDescent="0.3">
      <c r="A9767" s="20"/>
    </row>
    <row r="9768" spans="1:1" x14ac:dyDescent="0.3">
      <c r="A9768" s="20"/>
    </row>
    <row r="9769" spans="1:1" x14ac:dyDescent="0.3">
      <c r="A9769" s="20"/>
    </row>
    <row r="9770" spans="1:1" x14ac:dyDescent="0.3">
      <c r="A9770" s="20"/>
    </row>
    <row r="9771" spans="1:1" x14ac:dyDescent="0.3">
      <c r="A9771" s="20"/>
    </row>
    <row r="9772" spans="1:1" x14ac:dyDescent="0.3">
      <c r="A9772" s="20"/>
    </row>
    <row r="9773" spans="1:1" x14ac:dyDescent="0.3">
      <c r="A9773" s="20"/>
    </row>
    <row r="9774" spans="1:1" x14ac:dyDescent="0.3">
      <c r="A9774" s="20"/>
    </row>
    <row r="9775" spans="1:1" x14ac:dyDescent="0.3">
      <c r="A9775" s="20"/>
    </row>
    <row r="9776" spans="1:1" x14ac:dyDescent="0.3">
      <c r="A9776" s="20"/>
    </row>
    <row r="9777" spans="1:1" x14ac:dyDescent="0.3">
      <c r="A9777" s="20"/>
    </row>
    <row r="9778" spans="1:1" x14ac:dyDescent="0.3">
      <c r="A9778" s="20"/>
    </row>
    <row r="9779" spans="1:1" x14ac:dyDescent="0.3">
      <c r="A9779" s="20"/>
    </row>
    <row r="9780" spans="1:1" x14ac:dyDescent="0.3">
      <c r="A9780" s="20"/>
    </row>
    <row r="9781" spans="1:1" x14ac:dyDescent="0.3">
      <c r="A9781" s="20"/>
    </row>
    <row r="9782" spans="1:1" x14ac:dyDescent="0.3">
      <c r="A9782" s="20"/>
    </row>
    <row r="9783" spans="1:1" x14ac:dyDescent="0.3">
      <c r="A9783" s="20"/>
    </row>
    <row r="9784" spans="1:1" x14ac:dyDescent="0.3">
      <c r="A9784" s="20"/>
    </row>
    <row r="9785" spans="1:1" x14ac:dyDescent="0.3">
      <c r="A9785" s="20"/>
    </row>
    <row r="9786" spans="1:1" x14ac:dyDescent="0.3">
      <c r="A9786" s="20"/>
    </row>
    <row r="9787" spans="1:1" x14ac:dyDescent="0.3">
      <c r="A9787" s="20"/>
    </row>
    <row r="9788" spans="1:1" x14ac:dyDescent="0.3">
      <c r="A9788" s="20"/>
    </row>
    <row r="9789" spans="1:1" x14ac:dyDescent="0.3">
      <c r="A9789" s="20"/>
    </row>
    <row r="9790" spans="1:1" x14ac:dyDescent="0.3">
      <c r="A9790" s="20"/>
    </row>
    <row r="9791" spans="1:1" x14ac:dyDescent="0.3">
      <c r="A9791" s="20"/>
    </row>
    <row r="9792" spans="1:1" x14ac:dyDescent="0.3">
      <c r="A9792" s="20"/>
    </row>
    <row r="9793" spans="1:1" x14ac:dyDescent="0.3">
      <c r="A9793" s="20"/>
    </row>
    <row r="9794" spans="1:1" x14ac:dyDescent="0.3">
      <c r="A9794" s="20"/>
    </row>
    <row r="9795" spans="1:1" x14ac:dyDescent="0.3">
      <c r="A9795" s="20"/>
    </row>
    <row r="9796" spans="1:1" x14ac:dyDescent="0.3">
      <c r="A9796" s="20"/>
    </row>
    <row r="9797" spans="1:1" x14ac:dyDescent="0.3">
      <c r="A9797" s="20"/>
    </row>
    <row r="9798" spans="1:1" x14ac:dyDescent="0.3">
      <c r="A9798" s="20"/>
    </row>
    <row r="9799" spans="1:1" x14ac:dyDescent="0.3">
      <c r="A9799" s="20"/>
    </row>
    <row r="9800" spans="1:1" x14ac:dyDescent="0.3">
      <c r="A9800" s="20"/>
    </row>
    <row r="9801" spans="1:1" x14ac:dyDescent="0.3">
      <c r="A9801" s="20"/>
    </row>
    <row r="9802" spans="1:1" x14ac:dyDescent="0.3">
      <c r="A9802" s="20"/>
    </row>
    <row r="9803" spans="1:1" x14ac:dyDescent="0.3">
      <c r="A9803" s="20"/>
    </row>
    <row r="9804" spans="1:1" x14ac:dyDescent="0.3">
      <c r="A9804" s="20"/>
    </row>
    <row r="9805" spans="1:1" x14ac:dyDescent="0.3">
      <c r="A9805" s="20"/>
    </row>
    <row r="9806" spans="1:1" x14ac:dyDescent="0.3">
      <c r="A9806" s="20"/>
    </row>
    <row r="9807" spans="1:1" x14ac:dyDescent="0.3">
      <c r="A9807" s="20"/>
    </row>
    <row r="9808" spans="1:1" x14ac:dyDescent="0.3">
      <c r="A9808" s="20"/>
    </row>
    <row r="9809" spans="1:1" x14ac:dyDescent="0.3">
      <c r="A9809" s="20"/>
    </row>
    <row r="9810" spans="1:1" x14ac:dyDescent="0.3">
      <c r="A9810" s="20"/>
    </row>
    <row r="9811" spans="1:1" x14ac:dyDescent="0.3">
      <c r="A9811" s="20"/>
    </row>
    <row r="9812" spans="1:1" x14ac:dyDescent="0.3">
      <c r="A9812" s="20"/>
    </row>
    <row r="9813" spans="1:1" x14ac:dyDescent="0.3">
      <c r="A9813" s="20"/>
    </row>
    <row r="9814" spans="1:1" x14ac:dyDescent="0.3">
      <c r="A9814" s="20"/>
    </row>
    <row r="9815" spans="1:1" x14ac:dyDescent="0.3">
      <c r="A9815" s="20"/>
    </row>
    <row r="9816" spans="1:1" x14ac:dyDescent="0.3">
      <c r="A9816" s="20"/>
    </row>
    <row r="9817" spans="1:1" x14ac:dyDescent="0.3">
      <c r="A9817" s="20"/>
    </row>
    <row r="9818" spans="1:1" x14ac:dyDescent="0.3">
      <c r="A9818" s="20"/>
    </row>
    <row r="9819" spans="1:1" x14ac:dyDescent="0.3">
      <c r="A9819" s="20"/>
    </row>
    <row r="9820" spans="1:1" x14ac:dyDescent="0.3">
      <c r="A9820" s="20"/>
    </row>
    <row r="9821" spans="1:1" x14ac:dyDescent="0.3">
      <c r="A9821" s="20"/>
    </row>
    <row r="9822" spans="1:1" x14ac:dyDescent="0.3">
      <c r="A9822" s="20"/>
    </row>
    <row r="9823" spans="1:1" x14ac:dyDescent="0.3">
      <c r="A9823" s="20"/>
    </row>
    <row r="9824" spans="1:1" x14ac:dyDescent="0.3">
      <c r="A9824" s="20"/>
    </row>
    <row r="9825" spans="1:1" x14ac:dyDescent="0.3">
      <c r="A9825" s="20"/>
    </row>
    <row r="9826" spans="1:1" x14ac:dyDescent="0.3">
      <c r="A9826" s="20"/>
    </row>
    <row r="9827" spans="1:1" x14ac:dyDescent="0.3">
      <c r="A9827" s="20"/>
    </row>
    <row r="9828" spans="1:1" x14ac:dyDescent="0.3">
      <c r="A9828" s="20"/>
    </row>
    <row r="9829" spans="1:1" x14ac:dyDescent="0.3">
      <c r="A9829" s="20"/>
    </row>
    <row r="9830" spans="1:1" x14ac:dyDescent="0.3">
      <c r="A9830" s="20"/>
    </row>
    <row r="9831" spans="1:1" x14ac:dyDescent="0.3">
      <c r="A9831" s="20"/>
    </row>
    <row r="9832" spans="1:1" x14ac:dyDescent="0.3">
      <c r="A9832" s="20"/>
    </row>
    <row r="9833" spans="1:1" x14ac:dyDescent="0.3">
      <c r="A9833" s="20"/>
    </row>
    <row r="9834" spans="1:1" x14ac:dyDescent="0.3">
      <c r="A9834" s="20"/>
    </row>
    <row r="9835" spans="1:1" x14ac:dyDescent="0.3">
      <c r="A9835" s="20"/>
    </row>
    <row r="9836" spans="1:1" x14ac:dyDescent="0.3">
      <c r="A9836" s="20"/>
    </row>
    <row r="9837" spans="1:1" x14ac:dyDescent="0.3">
      <c r="A9837" s="20"/>
    </row>
    <row r="9838" spans="1:1" x14ac:dyDescent="0.3">
      <c r="A9838" s="20"/>
    </row>
    <row r="9839" spans="1:1" x14ac:dyDescent="0.3">
      <c r="A9839" s="20"/>
    </row>
    <row r="9840" spans="1:1" x14ac:dyDescent="0.3">
      <c r="A9840" s="20"/>
    </row>
    <row r="9841" spans="1:1" x14ac:dyDescent="0.3">
      <c r="A9841" s="20"/>
    </row>
    <row r="9842" spans="1:1" x14ac:dyDescent="0.3">
      <c r="A9842" s="20"/>
    </row>
    <row r="9843" spans="1:1" x14ac:dyDescent="0.3">
      <c r="A9843" s="20"/>
    </row>
    <row r="9844" spans="1:1" x14ac:dyDescent="0.3">
      <c r="A9844" s="20"/>
    </row>
    <row r="9845" spans="1:1" x14ac:dyDescent="0.3">
      <c r="A9845" s="20"/>
    </row>
    <row r="9846" spans="1:1" x14ac:dyDescent="0.3">
      <c r="A9846" s="20"/>
    </row>
    <row r="9847" spans="1:1" x14ac:dyDescent="0.3">
      <c r="A9847" s="20"/>
    </row>
    <row r="9848" spans="1:1" x14ac:dyDescent="0.3">
      <c r="A9848" s="20"/>
    </row>
    <row r="9849" spans="1:1" x14ac:dyDescent="0.3">
      <c r="A9849" s="20"/>
    </row>
    <row r="9850" spans="1:1" x14ac:dyDescent="0.3">
      <c r="A9850" s="20"/>
    </row>
    <row r="9851" spans="1:1" x14ac:dyDescent="0.3">
      <c r="A9851" s="20"/>
    </row>
    <row r="9852" spans="1:1" x14ac:dyDescent="0.3">
      <c r="A9852" s="20"/>
    </row>
    <row r="9853" spans="1:1" x14ac:dyDescent="0.3">
      <c r="A9853" s="20"/>
    </row>
    <row r="9854" spans="1:1" x14ac:dyDescent="0.3">
      <c r="A9854" s="20"/>
    </row>
    <row r="9855" spans="1:1" x14ac:dyDescent="0.3">
      <c r="A9855" s="20"/>
    </row>
    <row r="9856" spans="1:1" x14ac:dyDescent="0.3">
      <c r="A9856" s="20"/>
    </row>
    <row r="9857" spans="1:1" x14ac:dyDescent="0.3">
      <c r="A9857" s="20"/>
    </row>
    <row r="9858" spans="1:1" x14ac:dyDescent="0.3">
      <c r="A9858" s="20"/>
    </row>
    <row r="9859" spans="1:1" x14ac:dyDescent="0.3">
      <c r="A9859" s="20"/>
    </row>
    <row r="9860" spans="1:1" x14ac:dyDescent="0.3">
      <c r="A9860" s="20"/>
    </row>
    <row r="9861" spans="1:1" x14ac:dyDescent="0.3">
      <c r="A9861" s="20"/>
    </row>
    <row r="9862" spans="1:1" x14ac:dyDescent="0.3">
      <c r="A9862" s="20"/>
    </row>
    <row r="9863" spans="1:1" x14ac:dyDescent="0.3">
      <c r="A9863" s="20"/>
    </row>
    <row r="9864" spans="1:1" x14ac:dyDescent="0.3">
      <c r="A9864" s="20"/>
    </row>
    <row r="9865" spans="1:1" x14ac:dyDescent="0.3">
      <c r="A9865" s="20"/>
    </row>
    <row r="9866" spans="1:1" x14ac:dyDescent="0.3">
      <c r="A9866" s="20"/>
    </row>
    <row r="9867" spans="1:1" x14ac:dyDescent="0.3">
      <c r="A9867" s="20"/>
    </row>
    <row r="9868" spans="1:1" x14ac:dyDescent="0.3">
      <c r="A9868" s="20"/>
    </row>
    <row r="9869" spans="1:1" x14ac:dyDescent="0.3">
      <c r="A9869" s="20"/>
    </row>
    <row r="9870" spans="1:1" x14ac:dyDescent="0.3">
      <c r="A9870" s="20"/>
    </row>
    <row r="9871" spans="1:1" x14ac:dyDescent="0.3">
      <c r="A9871" s="20"/>
    </row>
    <row r="9872" spans="1:1" x14ac:dyDescent="0.3">
      <c r="A9872" s="20"/>
    </row>
    <row r="9873" spans="1:1" x14ac:dyDescent="0.3">
      <c r="A9873" s="20"/>
    </row>
    <row r="9874" spans="1:1" x14ac:dyDescent="0.3">
      <c r="A9874" s="20"/>
    </row>
    <row r="9875" spans="1:1" x14ac:dyDescent="0.3">
      <c r="A9875" s="20"/>
    </row>
    <row r="9876" spans="1:1" x14ac:dyDescent="0.3">
      <c r="A9876" s="20"/>
    </row>
    <row r="9877" spans="1:1" x14ac:dyDescent="0.3">
      <c r="A9877" s="20"/>
    </row>
    <row r="9878" spans="1:1" x14ac:dyDescent="0.3">
      <c r="A9878" s="20"/>
    </row>
    <row r="9879" spans="1:1" x14ac:dyDescent="0.3">
      <c r="A9879" s="20"/>
    </row>
    <row r="9880" spans="1:1" x14ac:dyDescent="0.3">
      <c r="A9880" s="20"/>
    </row>
    <row r="9881" spans="1:1" x14ac:dyDescent="0.3">
      <c r="A9881" s="20"/>
    </row>
    <row r="9882" spans="1:1" x14ac:dyDescent="0.3">
      <c r="A9882" s="20"/>
    </row>
    <row r="9883" spans="1:1" x14ac:dyDescent="0.3">
      <c r="A9883" s="20"/>
    </row>
    <row r="9884" spans="1:1" x14ac:dyDescent="0.3">
      <c r="A9884" s="20"/>
    </row>
    <row r="9885" spans="1:1" x14ac:dyDescent="0.3">
      <c r="A9885" s="20"/>
    </row>
    <row r="9886" spans="1:1" x14ac:dyDescent="0.3">
      <c r="A9886" s="20"/>
    </row>
    <row r="9887" spans="1:1" x14ac:dyDescent="0.3">
      <c r="A9887" s="20"/>
    </row>
    <row r="9888" spans="1:1" x14ac:dyDescent="0.3">
      <c r="A9888" s="20"/>
    </row>
    <row r="9889" spans="1:1" x14ac:dyDescent="0.3">
      <c r="A9889" s="20"/>
    </row>
    <row r="9890" spans="1:1" x14ac:dyDescent="0.3">
      <c r="A9890" s="20"/>
    </row>
    <row r="9891" spans="1:1" x14ac:dyDescent="0.3">
      <c r="A9891" s="20"/>
    </row>
    <row r="9892" spans="1:1" x14ac:dyDescent="0.3">
      <c r="A9892" s="20"/>
    </row>
    <row r="9893" spans="1:1" x14ac:dyDescent="0.3">
      <c r="A9893" s="20"/>
    </row>
    <row r="9894" spans="1:1" x14ac:dyDescent="0.3">
      <c r="A9894" s="20"/>
    </row>
    <row r="9895" spans="1:1" x14ac:dyDescent="0.3">
      <c r="A9895" s="20"/>
    </row>
    <row r="9896" spans="1:1" x14ac:dyDescent="0.3">
      <c r="A9896" s="20"/>
    </row>
    <row r="9897" spans="1:1" x14ac:dyDescent="0.3">
      <c r="A9897" s="20"/>
    </row>
    <row r="9898" spans="1:1" x14ac:dyDescent="0.3">
      <c r="A9898" s="20"/>
    </row>
    <row r="9899" spans="1:1" x14ac:dyDescent="0.3">
      <c r="A9899" s="20"/>
    </row>
    <row r="9900" spans="1:1" x14ac:dyDescent="0.3">
      <c r="A9900" s="20"/>
    </row>
    <row r="9901" spans="1:1" x14ac:dyDescent="0.3">
      <c r="A9901" s="20"/>
    </row>
    <row r="9902" spans="1:1" x14ac:dyDescent="0.3">
      <c r="A9902" s="20"/>
    </row>
    <row r="9903" spans="1:1" x14ac:dyDescent="0.3">
      <c r="A9903" s="20"/>
    </row>
    <row r="9904" spans="1:1" x14ac:dyDescent="0.3">
      <c r="A9904" s="20"/>
    </row>
    <row r="9905" spans="1:1" x14ac:dyDescent="0.3">
      <c r="A9905" s="20"/>
    </row>
    <row r="9906" spans="1:1" x14ac:dyDescent="0.3">
      <c r="A9906" s="20"/>
    </row>
    <row r="9907" spans="1:1" x14ac:dyDescent="0.3">
      <c r="A9907" s="20"/>
    </row>
    <row r="9908" spans="1:1" x14ac:dyDescent="0.3">
      <c r="A9908" s="20"/>
    </row>
    <row r="9909" spans="1:1" x14ac:dyDescent="0.3">
      <c r="A9909" s="20"/>
    </row>
    <row r="9910" spans="1:1" x14ac:dyDescent="0.3">
      <c r="A9910" s="20"/>
    </row>
    <row r="9911" spans="1:1" x14ac:dyDescent="0.3">
      <c r="A9911" s="20"/>
    </row>
    <row r="9912" spans="1:1" x14ac:dyDescent="0.3">
      <c r="A9912" s="20"/>
    </row>
    <row r="9913" spans="1:1" x14ac:dyDescent="0.3">
      <c r="A9913" s="20"/>
    </row>
    <row r="9914" spans="1:1" x14ac:dyDescent="0.3">
      <c r="A9914" s="20"/>
    </row>
    <row r="9915" spans="1:1" x14ac:dyDescent="0.3">
      <c r="A9915" s="20"/>
    </row>
    <row r="9916" spans="1:1" x14ac:dyDescent="0.3">
      <c r="A9916" s="20"/>
    </row>
    <row r="9917" spans="1:1" x14ac:dyDescent="0.3">
      <c r="A9917" s="20"/>
    </row>
    <row r="9918" spans="1:1" x14ac:dyDescent="0.3">
      <c r="A9918" s="20"/>
    </row>
    <row r="9919" spans="1:1" x14ac:dyDescent="0.3">
      <c r="A9919" s="20"/>
    </row>
    <row r="9920" spans="1:1" x14ac:dyDescent="0.3">
      <c r="A9920" s="20"/>
    </row>
    <row r="9921" spans="1:1" x14ac:dyDescent="0.3">
      <c r="A9921" s="20"/>
    </row>
    <row r="9922" spans="1:1" x14ac:dyDescent="0.3">
      <c r="A9922" s="20"/>
    </row>
    <row r="9923" spans="1:1" x14ac:dyDescent="0.3">
      <c r="A9923" s="20"/>
    </row>
    <row r="9924" spans="1:1" x14ac:dyDescent="0.3">
      <c r="A9924" s="20"/>
    </row>
    <row r="9925" spans="1:1" x14ac:dyDescent="0.3">
      <c r="A9925" s="20"/>
    </row>
    <row r="9926" spans="1:1" x14ac:dyDescent="0.3">
      <c r="A9926" s="20"/>
    </row>
    <row r="9927" spans="1:1" x14ac:dyDescent="0.3">
      <c r="A9927" s="20"/>
    </row>
    <row r="9928" spans="1:1" x14ac:dyDescent="0.3">
      <c r="A9928" s="20"/>
    </row>
    <row r="9929" spans="1:1" x14ac:dyDescent="0.3">
      <c r="A9929" s="20"/>
    </row>
    <row r="9930" spans="1:1" x14ac:dyDescent="0.3">
      <c r="A9930" s="20"/>
    </row>
    <row r="9931" spans="1:1" x14ac:dyDescent="0.3">
      <c r="A9931" s="20"/>
    </row>
    <row r="9932" spans="1:1" x14ac:dyDescent="0.3">
      <c r="A9932" s="20"/>
    </row>
    <row r="9933" spans="1:1" x14ac:dyDescent="0.3">
      <c r="A9933" s="20"/>
    </row>
    <row r="9934" spans="1:1" x14ac:dyDescent="0.3">
      <c r="A9934" s="20"/>
    </row>
    <row r="9935" spans="1:1" x14ac:dyDescent="0.3">
      <c r="A9935" s="20"/>
    </row>
    <row r="9936" spans="1:1" x14ac:dyDescent="0.3">
      <c r="A9936" s="20"/>
    </row>
    <row r="9937" spans="1:1" x14ac:dyDescent="0.3">
      <c r="A9937" s="20"/>
    </row>
    <row r="9938" spans="1:1" x14ac:dyDescent="0.3">
      <c r="A9938" s="20"/>
    </row>
    <row r="9939" spans="1:1" x14ac:dyDescent="0.3">
      <c r="A9939" s="20"/>
    </row>
    <row r="9940" spans="1:1" x14ac:dyDescent="0.3">
      <c r="A9940" s="20"/>
    </row>
    <row r="9941" spans="1:1" x14ac:dyDescent="0.3">
      <c r="A9941" s="20"/>
    </row>
    <row r="9942" spans="1:1" x14ac:dyDescent="0.3">
      <c r="A9942" s="20"/>
    </row>
    <row r="9943" spans="1:1" x14ac:dyDescent="0.3">
      <c r="A9943" s="20"/>
    </row>
    <row r="9944" spans="1:1" x14ac:dyDescent="0.3">
      <c r="A9944" s="20"/>
    </row>
    <row r="9945" spans="1:1" x14ac:dyDescent="0.3">
      <c r="A9945" s="20"/>
    </row>
    <row r="9946" spans="1:1" x14ac:dyDescent="0.3">
      <c r="A9946" s="20"/>
    </row>
    <row r="9947" spans="1:1" x14ac:dyDescent="0.3">
      <c r="A9947" s="20"/>
    </row>
    <row r="9948" spans="1:1" x14ac:dyDescent="0.3">
      <c r="A9948" s="20"/>
    </row>
    <row r="9949" spans="1:1" x14ac:dyDescent="0.3">
      <c r="A9949" s="20"/>
    </row>
    <row r="9950" spans="1:1" x14ac:dyDescent="0.3">
      <c r="A9950" s="20"/>
    </row>
    <row r="9951" spans="1:1" x14ac:dyDescent="0.3">
      <c r="A9951" s="20"/>
    </row>
    <row r="9952" spans="1:1" x14ac:dyDescent="0.3">
      <c r="A9952" s="20"/>
    </row>
    <row r="9953" spans="1:1" x14ac:dyDescent="0.3">
      <c r="A9953" s="20"/>
    </row>
    <row r="9954" spans="1:1" x14ac:dyDescent="0.3">
      <c r="A9954" s="20"/>
    </row>
    <row r="9955" spans="1:1" x14ac:dyDescent="0.3">
      <c r="A9955" s="20"/>
    </row>
    <row r="9956" spans="1:1" x14ac:dyDescent="0.3">
      <c r="A9956" s="20"/>
    </row>
    <row r="9957" spans="1:1" x14ac:dyDescent="0.3">
      <c r="A9957" s="20"/>
    </row>
    <row r="9958" spans="1:1" x14ac:dyDescent="0.3">
      <c r="A9958" s="20"/>
    </row>
    <row r="9959" spans="1:1" x14ac:dyDescent="0.3">
      <c r="A9959" s="20"/>
    </row>
    <row r="9960" spans="1:1" x14ac:dyDescent="0.3">
      <c r="A9960" s="20"/>
    </row>
    <row r="9961" spans="1:1" x14ac:dyDescent="0.3">
      <c r="A9961" s="20"/>
    </row>
    <row r="9962" spans="1:1" x14ac:dyDescent="0.3">
      <c r="A9962" s="20"/>
    </row>
    <row r="9963" spans="1:1" x14ac:dyDescent="0.3">
      <c r="A9963" s="20"/>
    </row>
    <row r="9964" spans="1:1" x14ac:dyDescent="0.3">
      <c r="A9964" s="20"/>
    </row>
    <row r="9965" spans="1:1" x14ac:dyDescent="0.3">
      <c r="A9965" s="20"/>
    </row>
    <row r="9966" spans="1:1" x14ac:dyDescent="0.3">
      <c r="A9966" s="20"/>
    </row>
    <row r="9967" spans="1:1" x14ac:dyDescent="0.3">
      <c r="A9967" s="20"/>
    </row>
    <row r="9968" spans="1:1" x14ac:dyDescent="0.3">
      <c r="A9968" s="20"/>
    </row>
    <row r="9969" spans="1:1" x14ac:dyDescent="0.3">
      <c r="A9969" s="20"/>
    </row>
    <row r="9970" spans="1:1" x14ac:dyDescent="0.3">
      <c r="A9970" s="20"/>
    </row>
    <row r="9971" spans="1:1" x14ac:dyDescent="0.3">
      <c r="A9971" s="20"/>
    </row>
    <row r="9972" spans="1:1" x14ac:dyDescent="0.3">
      <c r="A9972" s="20"/>
    </row>
    <row r="9973" spans="1:1" x14ac:dyDescent="0.3">
      <c r="A9973" s="20"/>
    </row>
    <row r="9974" spans="1:1" x14ac:dyDescent="0.3">
      <c r="A9974" s="20"/>
    </row>
    <row r="9975" spans="1:1" x14ac:dyDescent="0.3">
      <c r="A9975" s="20"/>
    </row>
    <row r="9976" spans="1:1" x14ac:dyDescent="0.3">
      <c r="A9976" s="20"/>
    </row>
    <row r="9977" spans="1:1" x14ac:dyDescent="0.3">
      <c r="A9977" s="20"/>
    </row>
    <row r="9978" spans="1:1" x14ac:dyDescent="0.3">
      <c r="A9978" s="20"/>
    </row>
    <row r="9979" spans="1:1" x14ac:dyDescent="0.3">
      <c r="A9979" s="20"/>
    </row>
    <row r="9980" spans="1:1" x14ac:dyDescent="0.3">
      <c r="A9980" s="20"/>
    </row>
    <row r="9981" spans="1:1" x14ac:dyDescent="0.3">
      <c r="A9981" s="20"/>
    </row>
    <row r="9982" spans="1:1" x14ac:dyDescent="0.3">
      <c r="A9982" s="20"/>
    </row>
    <row r="9983" spans="1:1" x14ac:dyDescent="0.3">
      <c r="A9983" s="20"/>
    </row>
    <row r="9984" spans="1:1" x14ac:dyDescent="0.3">
      <c r="A9984" s="20"/>
    </row>
    <row r="9985" spans="1:1" x14ac:dyDescent="0.3">
      <c r="A9985" s="20"/>
    </row>
    <row r="9986" spans="1:1" x14ac:dyDescent="0.3">
      <c r="A9986" s="20"/>
    </row>
    <row r="9987" spans="1:1" x14ac:dyDescent="0.3">
      <c r="A9987" s="20"/>
    </row>
    <row r="9988" spans="1:1" x14ac:dyDescent="0.3">
      <c r="A9988" s="20"/>
    </row>
    <row r="9989" spans="1:1" x14ac:dyDescent="0.3">
      <c r="A9989" s="20"/>
    </row>
    <row r="9990" spans="1:1" x14ac:dyDescent="0.3">
      <c r="A9990" s="20"/>
    </row>
    <row r="9991" spans="1:1" x14ac:dyDescent="0.3">
      <c r="A9991" s="20"/>
    </row>
    <row r="9992" spans="1:1" x14ac:dyDescent="0.3">
      <c r="A9992" s="20"/>
    </row>
    <row r="9993" spans="1:1" x14ac:dyDescent="0.3">
      <c r="A9993" s="20"/>
    </row>
    <row r="9994" spans="1:1" x14ac:dyDescent="0.3">
      <c r="A9994" s="20"/>
    </row>
    <row r="9995" spans="1:1" x14ac:dyDescent="0.3">
      <c r="A9995" s="20"/>
    </row>
    <row r="9996" spans="1:1" x14ac:dyDescent="0.3">
      <c r="A9996" s="20"/>
    </row>
    <row r="9997" spans="1:1" x14ac:dyDescent="0.3">
      <c r="A9997" s="20"/>
    </row>
    <row r="9998" spans="1:1" x14ac:dyDescent="0.3">
      <c r="A9998" s="20"/>
    </row>
    <row r="9999" spans="1:1" x14ac:dyDescent="0.3">
      <c r="A9999" s="20"/>
    </row>
    <row r="10000" spans="1:1" x14ac:dyDescent="0.3">
      <c r="A10000" s="20"/>
    </row>
    <row r="10001" spans="1:1" x14ac:dyDescent="0.3">
      <c r="A10001" s="20"/>
    </row>
    <row r="10002" spans="1:1" x14ac:dyDescent="0.3">
      <c r="A10002" s="20"/>
    </row>
    <row r="10003" spans="1:1" x14ac:dyDescent="0.3">
      <c r="A10003" s="20"/>
    </row>
    <row r="10004" spans="1:1" x14ac:dyDescent="0.3">
      <c r="A10004" s="20"/>
    </row>
    <row r="10005" spans="1:1" x14ac:dyDescent="0.3">
      <c r="A10005" s="20"/>
    </row>
    <row r="10006" spans="1:1" x14ac:dyDescent="0.3">
      <c r="A10006" s="20"/>
    </row>
    <row r="10007" spans="1:1" x14ac:dyDescent="0.3">
      <c r="A10007" s="20"/>
    </row>
    <row r="10008" spans="1:1" x14ac:dyDescent="0.3">
      <c r="A10008" s="20"/>
    </row>
    <row r="10009" spans="1:1" x14ac:dyDescent="0.3">
      <c r="A10009" s="20"/>
    </row>
    <row r="10010" spans="1:1" x14ac:dyDescent="0.3">
      <c r="A10010" s="20"/>
    </row>
    <row r="10011" spans="1:1" x14ac:dyDescent="0.3">
      <c r="A10011" s="20"/>
    </row>
    <row r="10012" spans="1:1" x14ac:dyDescent="0.3">
      <c r="A10012" s="20"/>
    </row>
    <row r="10013" spans="1:1" x14ac:dyDescent="0.3">
      <c r="A10013" s="20"/>
    </row>
    <row r="10014" spans="1:1" x14ac:dyDescent="0.3">
      <c r="A10014" s="20"/>
    </row>
    <row r="10015" spans="1:1" x14ac:dyDescent="0.3">
      <c r="A10015" s="20"/>
    </row>
    <row r="10016" spans="1:1" x14ac:dyDescent="0.3">
      <c r="A10016" s="20"/>
    </row>
    <row r="10017" spans="1:1" x14ac:dyDescent="0.3">
      <c r="A10017" s="20"/>
    </row>
    <row r="10018" spans="1:1" x14ac:dyDescent="0.3">
      <c r="A10018" s="20"/>
    </row>
    <row r="10019" spans="1:1" x14ac:dyDescent="0.3">
      <c r="A10019" s="20"/>
    </row>
    <row r="10020" spans="1:1" x14ac:dyDescent="0.3">
      <c r="A10020" s="20"/>
    </row>
    <row r="10021" spans="1:1" x14ac:dyDescent="0.3">
      <c r="A10021" s="20"/>
    </row>
    <row r="10022" spans="1:1" x14ac:dyDescent="0.3">
      <c r="A10022" s="20"/>
    </row>
    <row r="10023" spans="1:1" x14ac:dyDescent="0.3">
      <c r="A10023" s="20"/>
    </row>
    <row r="10024" spans="1:1" x14ac:dyDescent="0.3">
      <c r="A10024" s="20"/>
    </row>
    <row r="10025" spans="1:1" x14ac:dyDescent="0.3">
      <c r="A10025" s="20"/>
    </row>
    <row r="10026" spans="1:1" x14ac:dyDescent="0.3">
      <c r="A10026" s="20"/>
    </row>
    <row r="10027" spans="1:1" x14ac:dyDescent="0.3">
      <c r="A10027" s="20"/>
    </row>
    <row r="10028" spans="1:1" x14ac:dyDescent="0.3">
      <c r="A10028" s="20"/>
    </row>
    <row r="10029" spans="1:1" x14ac:dyDescent="0.3">
      <c r="A10029" s="20"/>
    </row>
    <row r="10030" spans="1:1" x14ac:dyDescent="0.3">
      <c r="A10030" s="20"/>
    </row>
    <row r="10031" spans="1:1" x14ac:dyDescent="0.3">
      <c r="A10031" s="20"/>
    </row>
    <row r="10032" spans="1:1" x14ac:dyDescent="0.3">
      <c r="A10032" s="20"/>
    </row>
    <row r="10033" spans="1:1" x14ac:dyDescent="0.3">
      <c r="A10033" s="20"/>
    </row>
    <row r="10034" spans="1:1" x14ac:dyDescent="0.3">
      <c r="A10034" s="20"/>
    </row>
    <row r="10035" spans="1:1" x14ac:dyDescent="0.3">
      <c r="A10035" s="20"/>
    </row>
    <row r="10036" spans="1:1" x14ac:dyDescent="0.3">
      <c r="A10036" s="20"/>
    </row>
    <row r="10037" spans="1:1" x14ac:dyDescent="0.3">
      <c r="A10037" s="20"/>
    </row>
    <row r="10038" spans="1:1" x14ac:dyDescent="0.3">
      <c r="A10038" s="20"/>
    </row>
    <row r="10039" spans="1:1" x14ac:dyDescent="0.3">
      <c r="A10039" s="20"/>
    </row>
    <row r="10040" spans="1:1" x14ac:dyDescent="0.3">
      <c r="A10040" s="20"/>
    </row>
    <row r="10041" spans="1:1" x14ac:dyDescent="0.3">
      <c r="A10041" s="20"/>
    </row>
    <row r="10042" spans="1:1" x14ac:dyDescent="0.3">
      <c r="A10042" s="20"/>
    </row>
    <row r="10043" spans="1:1" x14ac:dyDescent="0.3">
      <c r="A10043" s="20"/>
    </row>
    <row r="10044" spans="1:1" x14ac:dyDescent="0.3">
      <c r="A10044" s="20"/>
    </row>
    <row r="10045" spans="1:1" x14ac:dyDescent="0.3">
      <c r="A10045" s="20"/>
    </row>
    <row r="10046" spans="1:1" x14ac:dyDescent="0.3">
      <c r="A10046" s="20"/>
    </row>
    <row r="10047" spans="1:1" x14ac:dyDescent="0.3">
      <c r="A10047" s="20"/>
    </row>
    <row r="10048" spans="1:1" x14ac:dyDescent="0.3">
      <c r="A10048" s="20"/>
    </row>
    <row r="10049" spans="1:1" x14ac:dyDescent="0.3">
      <c r="A10049" s="20"/>
    </row>
    <row r="10050" spans="1:1" x14ac:dyDescent="0.3">
      <c r="A10050" s="20"/>
    </row>
    <row r="10051" spans="1:1" x14ac:dyDescent="0.3">
      <c r="A10051" s="20"/>
    </row>
    <row r="10052" spans="1:1" x14ac:dyDescent="0.3">
      <c r="A10052" s="20"/>
    </row>
    <row r="10053" spans="1:1" x14ac:dyDescent="0.3">
      <c r="A10053" s="20"/>
    </row>
    <row r="10054" spans="1:1" x14ac:dyDescent="0.3">
      <c r="A10054" s="20"/>
    </row>
    <row r="10055" spans="1:1" x14ac:dyDescent="0.3">
      <c r="A10055" s="20"/>
    </row>
    <row r="10056" spans="1:1" x14ac:dyDescent="0.3">
      <c r="A10056" s="20"/>
    </row>
    <row r="10057" spans="1:1" x14ac:dyDescent="0.3">
      <c r="A10057" s="20"/>
    </row>
    <row r="10058" spans="1:1" x14ac:dyDescent="0.3">
      <c r="A10058" s="20"/>
    </row>
    <row r="10059" spans="1:1" x14ac:dyDescent="0.3">
      <c r="A10059" s="20"/>
    </row>
    <row r="10060" spans="1:1" x14ac:dyDescent="0.3">
      <c r="A10060" s="20"/>
    </row>
    <row r="10061" spans="1:1" x14ac:dyDescent="0.3">
      <c r="A10061" s="20"/>
    </row>
    <row r="10062" spans="1:1" x14ac:dyDescent="0.3">
      <c r="A10062" s="20"/>
    </row>
    <row r="10063" spans="1:1" x14ac:dyDescent="0.3">
      <c r="A10063" s="20"/>
    </row>
    <row r="10064" spans="1:1" x14ac:dyDescent="0.3">
      <c r="A10064" s="20"/>
    </row>
    <row r="10065" spans="1:1" x14ac:dyDescent="0.3">
      <c r="A10065" s="20"/>
    </row>
    <row r="10066" spans="1:1" x14ac:dyDescent="0.3">
      <c r="A10066" s="20"/>
    </row>
    <row r="10067" spans="1:1" x14ac:dyDescent="0.3">
      <c r="A10067" s="20"/>
    </row>
    <row r="10068" spans="1:1" x14ac:dyDescent="0.3">
      <c r="A10068" s="20"/>
    </row>
    <row r="10069" spans="1:1" x14ac:dyDescent="0.3">
      <c r="A10069" s="20"/>
    </row>
    <row r="10070" spans="1:1" x14ac:dyDescent="0.3">
      <c r="A10070" s="20"/>
    </row>
    <row r="10071" spans="1:1" x14ac:dyDescent="0.3">
      <c r="A10071" s="20"/>
    </row>
    <row r="10072" spans="1:1" x14ac:dyDescent="0.3">
      <c r="A10072" s="20"/>
    </row>
    <row r="10073" spans="1:1" x14ac:dyDescent="0.3">
      <c r="A10073" s="20"/>
    </row>
    <row r="10074" spans="1:1" x14ac:dyDescent="0.3">
      <c r="A10074" s="20"/>
    </row>
    <row r="10075" spans="1:1" x14ac:dyDescent="0.3">
      <c r="A10075" s="20"/>
    </row>
    <row r="10076" spans="1:1" x14ac:dyDescent="0.3">
      <c r="A10076" s="20"/>
    </row>
    <row r="10077" spans="1:1" x14ac:dyDescent="0.3">
      <c r="A10077" s="20"/>
    </row>
    <row r="10078" spans="1:1" x14ac:dyDescent="0.3">
      <c r="A10078" s="20"/>
    </row>
    <row r="10079" spans="1:1" x14ac:dyDescent="0.3">
      <c r="A10079" s="20"/>
    </row>
    <row r="10080" spans="1:1" x14ac:dyDescent="0.3">
      <c r="A10080" s="20"/>
    </row>
    <row r="10081" spans="1:1" x14ac:dyDescent="0.3">
      <c r="A10081" s="20"/>
    </row>
    <row r="10082" spans="1:1" x14ac:dyDescent="0.3">
      <c r="A10082" s="20"/>
    </row>
    <row r="10083" spans="1:1" x14ac:dyDescent="0.3">
      <c r="A10083" s="20"/>
    </row>
    <row r="10084" spans="1:1" x14ac:dyDescent="0.3">
      <c r="A10084" s="20"/>
    </row>
    <row r="10085" spans="1:1" x14ac:dyDescent="0.3">
      <c r="A10085" s="20"/>
    </row>
    <row r="10086" spans="1:1" x14ac:dyDescent="0.3">
      <c r="A10086" s="20"/>
    </row>
    <row r="10087" spans="1:1" x14ac:dyDescent="0.3">
      <c r="A10087" s="20"/>
    </row>
    <row r="10088" spans="1:1" x14ac:dyDescent="0.3">
      <c r="A10088" s="20"/>
    </row>
    <row r="10089" spans="1:1" x14ac:dyDescent="0.3">
      <c r="A10089" s="20"/>
    </row>
    <row r="10090" spans="1:1" x14ac:dyDescent="0.3">
      <c r="A10090" s="20"/>
    </row>
    <row r="10091" spans="1:1" x14ac:dyDescent="0.3">
      <c r="A10091" s="20"/>
    </row>
    <row r="10092" spans="1:1" x14ac:dyDescent="0.3">
      <c r="A10092" s="20"/>
    </row>
    <row r="10093" spans="1:1" x14ac:dyDescent="0.3">
      <c r="A10093" s="20"/>
    </row>
    <row r="10094" spans="1:1" x14ac:dyDescent="0.3">
      <c r="A10094" s="20"/>
    </row>
    <row r="10095" spans="1:1" x14ac:dyDescent="0.3">
      <c r="A10095" s="20"/>
    </row>
    <row r="10096" spans="1:1" x14ac:dyDescent="0.3">
      <c r="A10096" s="20"/>
    </row>
    <row r="10097" spans="1:1" x14ac:dyDescent="0.3">
      <c r="A10097" s="20"/>
    </row>
    <row r="10098" spans="1:1" x14ac:dyDescent="0.3">
      <c r="A10098" s="20"/>
    </row>
    <row r="10099" spans="1:1" x14ac:dyDescent="0.3">
      <c r="A10099" s="20"/>
    </row>
    <row r="10100" spans="1:1" x14ac:dyDescent="0.3">
      <c r="A10100" s="20"/>
    </row>
    <row r="10101" spans="1:1" x14ac:dyDescent="0.3">
      <c r="A10101" s="20"/>
    </row>
    <row r="10102" spans="1:1" x14ac:dyDescent="0.3">
      <c r="A10102" s="20"/>
    </row>
    <row r="10103" spans="1:1" x14ac:dyDescent="0.3">
      <c r="A10103" s="20"/>
    </row>
    <row r="10104" spans="1:1" x14ac:dyDescent="0.3">
      <c r="A10104" s="20"/>
    </row>
    <row r="10105" spans="1:1" x14ac:dyDescent="0.3">
      <c r="A10105" s="20"/>
    </row>
    <row r="10106" spans="1:1" x14ac:dyDescent="0.3">
      <c r="A10106" s="20"/>
    </row>
    <row r="10107" spans="1:1" x14ac:dyDescent="0.3">
      <c r="A10107" s="20"/>
    </row>
    <row r="10108" spans="1:1" x14ac:dyDescent="0.3">
      <c r="A10108" s="20"/>
    </row>
    <row r="10109" spans="1:1" x14ac:dyDescent="0.3">
      <c r="A10109" s="20"/>
    </row>
    <row r="10110" spans="1:1" x14ac:dyDescent="0.3">
      <c r="A10110" s="20"/>
    </row>
    <row r="10111" spans="1:1" x14ac:dyDescent="0.3">
      <c r="A10111" s="20"/>
    </row>
    <row r="10112" spans="1:1" x14ac:dyDescent="0.3">
      <c r="A10112" s="20"/>
    </row>
    <row r="10113" spans="1:1" x14ac:dyDescent="0.3">
      <c r="A10113" s="20"/>
    </row>
    <row r="10114" spans="1:1" x14ac:dyDescent="0.3">
      <c r="A10114" s="20"/>
    </row>
    <row r="10115" spans="1:1" x14ac:dyDescent="0.3">
      <c r="A10115" s="20"/>
    </row>
    <row r="10116" spans="1:1" x14ac:dyDescent="0.3">
      <c r="A10116" s="20"/>
    </row>
    <row r="10117" spans="1:1" x14ac:dyDescent="0.3">
      <c r="A10117" s="20"/>
    </row>
    <row r="10118" spans="1:1" x14ac:dyDescent="0.3">
      <c r="A10118" s="20"/>
    </row>
    <row r="10119" spans="1:1" x14ac:dyDescent="0.3">
      <c r="A10119" s="20"/>
    </row>
    <row r="10120" spans="1:1" x14ac:dyDescent="0.3">
      <c r="A10120" s="20"/>
    </row>
    <row r="10121" spans="1:1" x14ac:dyDescent="0.3">
      <c r="A10121" s="20"/>
    </row>
    <row r="10122" spans="1:1" x14ac:dyDescent="0.3">
      <c r="A10122" s="20"/>
    </row>
    <row r="10123" spans="1:1" x14ac:dyDescent="0.3">
      <c r="A10123" s="20"/>
    </row>
    <row r="10124" spans="1:1" x14ac:dyDescent="0.3">
      <c r="A10124" s="20"/>
    </row>
    <row r="10125" spans="1:1" x14ac:dyDescent="0.3">
      <c r="A10125" s="20"/>
    </row>
    <row r="10126" spans="1:1" x14ac:dyDescent="0.3">
      <c r="A10126" s="20"/>
    </row>
    <row r="10127" spans="1:1" x14ac:dyDescent="0.3">
      <c r="A10127" s="20"/>
    </row>
    <row r="10128" spans="1:1" x14ac:dyDescent="0.3">
      <c r="A10128" s="20"/>
    </row>
    <row r="10129" spans="1:1" x14ac:dyDescent="0.3">
      <c r="A10129" s="20"/>
    </row>
    <row r="10130" spans="1:1" x14ac:dyDescent="0.3">
      <c r="A10130" s="20"/>
    </row>
    <row r="10131" spans="1:1" x14ac:dyDescent="0.3">
      <c r="A10131" s="20"/>
    </row>
    <row r="10132" spans="1:1" x14ac:dyDescent="0.3">
      <c r="A10132" s="20"/>
    </row>
    <row r="10133" spans="1:1" x14ac:dyDescent="0.3">
      <c r="A10133" s="20"/>
    </row>
    <row r="10134" spans="1:1" x14ac:dyDescent="0.3">
      <c r="A10134" s="20"/>
    </row>
    <row r="10135" spans="1:1" x14ac:dyDescent="0.3">
      <c r="A10135" s="20"/>
    </row>
    <row r="10136" spans="1:1" x14ac:dyDescent="0.3">
      <c r="A10136" s="20"/>
    </row>
    <row r="10137" spans="1:1" x14ac:dyDescent="0.3">
      <c r="A10137" s="20"/>
    </row>
    <row r="10138" spans="1:1" x14ac:dyDescent="0.3">
      <c r="A10138" s="20"/>
    </row>
    <row r="10139" spans="1:1" x14ac:dyDescent="0.3">
      <c r="A10139" s="20"/>
    </row>
    <row r="10140" spans="1:1" x14ac:dyDescent="0.3">
      <c r="A10140" s="20"/>
    </row>
    <row r="10141" spans="1:1" x14ac:dyDescent="0.3">
      <c r="A10141" s="20"/>
    </row>
    <row r="10142" spans="1:1" x14ac:dyDescent="0.3">
      <c r="A10142" s="20"/>
    </row>
    <row r="10143" spans="1:1" x14ac:dyDescent="0.3">
      <c r="A10143" s="20"/>
    </row>
    <row r="10144" spans="1:1" x14ac:dyDescent="0.3">
      <c r="A10144" s="20"/>
    </row>
    <row r="10145" spans="1:1" x14ac:dyDescent="0.3">
      <c r="A10145" s="20"/>
    </row>
    <row r="10146" spans="1:1" x14ac:dyDescent="0.3">
      <c r="A10146" s="20"/>
    </row>
    <row r="10147" spans="1:1" x14ac:dyDescent="0.3">
      <c r="A10147" s="20"/>
    </row>
    <row r="10148" spans="1:1" x14ac:dyDescent="0.3">
      <c r="A10148" s="20"/>
    </row>
    <row r="10149" spans="1:1" x14ac:dyDescent="0.3">
      <c r="A10149" s="20"/>
    </row>
    <row r="10150" spans="1:1" x14ac:dyDescent="0.3">
      <c r="A10150" s="20"/>
    </row>
    <row r="10151" spans="1:1" x14ac:dyDescent="0.3">
      <c r="A10151" s="20"/>
    </row>
    <row r="10152" spans="1:1" x14ac:dyDescent="0.3">
      <c r="A10152" s="20"/>
    </row>
    <row r="10153" spans="1:1" x14ac:dyDescent="0.3">
      <c r="A10153" s="20"/>
    </row>
    <row r="10154" spans="1:1" x14ac:dyDescent="0.3">
      <c r="A10154" s="20"/>
    </row>
    <row r="10155" spans="1:1" x14ac:dyDescent="0.3">
      <c r="A10155" s="20"/>
    </row>
    <row r="10156" spans="1:1" x14ac:dyDescent="0.3">
      <c r="A10156" s="20"/>
    </row>
    <row r="10157" spans="1:1" x14ac:dyDescent="0.3">
      <c r="A10157" s="20"/>
    </row>
    <row r="10158" spans="1:1" x14ac:dyDescent="0.3">
      <c r="A10158" s="20"/>
    </row>
    <row r="10159" spans="1:1" x14ac:dyDescent="0.3">
      <c r="A10159" s="20"/>
    </row>
    <row r="10160" spans="1:1" x14ac:dyDescent="0.3">
      <c r="A10160" s="20"/>
    </row>
    <row r="10161" spans="1:1" x14ac:dyDescent="0.3">
      <c r="A10161" s="20"/>
    </row>
    <row r="10162" spans="1:1" x14ac:dyDescent="0.3">
      <c r="A10162" s="20"/>
    </row>
    <row r="10163" spans="1:1" x14ac:dyDescent="0.3">
      <c r="A10163" s="20"/>
    </row>
    <row r="10164" spans="1:1" x14ac:dyDescent="0.3">
      <c r="A10164" s="20"/>
    </row>
    <row r="10165" spans="1:1" x14ac:dyDescent="0.3">
      <c r="A10165" s="20"/>
    </row>
    <row r="10166" spans="1:1" x14ac:dyDescent="0.3">
      <c r="A10166" s="20"/>
    </row>
    <row r="10167" spans="1:1" x14ac:dyDescent="0.3">
      <c r="A10167" s="20"/>
    </row>
    <row r="10168" spans="1:1" x14ac:dyDescent="0.3">
      <c r="A10168" s="20"/>
    </row>
    <row r="10169" spans="1:1" x14ac:dyDescent="0.3">
      <c r="A10169" s="20"/>
    </row>
    <row r="10170" spans="1:1" x14ac:dyDescent="0.3">
      <c r="A10170" s="20"/>
    </row>
    <row r="10171" spans="1:1" x14ac:dyDescent="0.3">
      <c r="A10171" s="20"/>
    </row>
    <row r="10172" spans="1:1" x14ac:dyDescent="0.3">
      <c r="A10172" s="20"/>
    </row>
    <row r="10173" spans="1:1" x14ac:dyDescent="0.3">
      <c r="A10173" s="20"/>
    </row>
    <row r="10174" spans="1:1" x14ac:dyDescent="0.3">
      <c r="A10174" s="20"/>
    </row>
    <row r="10175" spans="1:1" x14ac:dyDescent="0.3">
      <c r="A10175" s="20"/>
    </row>
    <row r="10176" spans="1:1" x14ac:dyDescent="0.3">
      <c r="A10176" s="20"/>
    </row>
    <row r="10177" spans="1:1" x14ac:dyDescent="0.3">
      <c r="A10177" s="20"/>
    </row>
    <row r="10178" spans="1:1" x14ac:dyDescent="0.3">
      <c r="A10178" s="20"/>
    </row>
    <row r="10179" spans="1:1" x14ac:dyDescent="0.3">
      <c r="A10179" s="20"/>
    </row>
    <row r="10180" spans="1:1" x14ac:dyDescent="0.3">
      <c r="A10180" s="20"/>
    </row>
    <row r="10181" spans="1:1" x14ac:dyDescent="0.3">
      <c r="A10181" s="20"/>
    </row>
    <row r="10182" spans="1:1" x14ac:dyDescent="0.3">
      <c r="A10182" s="20"/>
    </row>
    <row r="10183" spans="1:1" x14ac:dyDescent="0.3">
      <c r="A10183" s="20"/>
    </row>
    <row r="10184" spans="1:1" x14ac:dyDescent="0.3">
      <c r="A10184" s="20"/>
    </row>
    <row r="10185" spans="1:1" x14ac:dyDescent="0.3">
      <c r="A10185" s="20"/>
    </row>
    <row r="10186" spans="1:1" x14ac:dyDescent="0.3">
      <c r="A10186" s="20"/>
    </row>
    <row r="10187" spans="1:1" x14ac:dyDescent="0.3">
      <c r="A10187" s="20"/>
    </row>
    <row r="10188" spans="1:1" x14ac:dyDescent="0.3">
      <c r="A10188" s="20"/>
    </row>
    <row r="10189" spans="1:1" x14ac:dyDescent="0.3">
      <c r="A10189" s="20"/>
    </row>
    <row r="10190" spans="1:1" x14ac:dyDescent="0.3">
      <c r="A10190" s="20"/>
    </row>
    <row r="10191" spans="1:1" x14ac:dyDescent="0.3">
      <c r="A10191" s="20"/>
    </row>
    <row r="10192" spans="1:1" x14ac:dyDescent="0.3">
      <c r="A10192" s="20"/>
    </row>
    <row r="10193" spans="1:1" x14ac:dyDescent="0.3">
      <c r="A10193" s="20"/>
    </row>
    <row r="10194" spans="1:1" x14ac:dyDescent="0.3">
      <c r="A10194" s="20"/>
    </row>
    <row r="10195" spans="1:1" x14ac:dyDescent="0.3">
      <c r="A10195" s="20"/>
    </row>
    <row r="10196" spans="1:1" x14ac:dyDescent="0.3">
      <c r="A10196" s="20"/>
    </row>
    <row r="10197" spans="1:1" x14ac:dyDescent="0.3">
      <c r="A10197" s="20"/>
    </row>
    <row r="10198" spans="1:1" x14ac:dyDescent="0.3">
      <c r="A10198" s="20"/>
    </row>
    <row r="10199" spans="1:1" x14ac:dyDescent="0.3">
      <c r="A10199" s="20"/>
    </row>
    <row r="10200" spans="1:1" x14ac:dyDescent="0.3">
      <c r="A10200" s="20"/>
    </row>
    <row r="10201" spans="1:1" x14ac:dyDescent="0.3">
      <c r="A10201" s="20"/>
    </row>
    <row r="10202" spans="1:1" x14ac:dyDescent="0.3">
      <c r="A10202" s="20"/>
    </row>
    <row r="10203" spans="1:1" x14ac:dyDescent="0.3">
      <c r="A10203" s="20"/>
    </row>
    <row r="10204" spans="1:1" x14ac:dyDescent="0.3">
      <c r="A10204" s="20"/>
    </row>
    <row r="10205" spans="1:1" x14ac:dyDescent="0.3">
      <c r="A10205" s="20"/>
    </row>
    <row r="10206" spans="1:1" x14ac:dyDescent="0.3">
      <c r="A10206" s="20"/>
    </row>
    <row r="10207" spans="1:1" x14ac:dyDescent="0.3">
      <c r="A10207" s="20"/>
    </row>
    <row r="10208" spans="1:1" x14ac:dyDescent="0.3">
      <c r="A10208" s="20"/>
    </row>
    <row r="10209" spans="1:1" x14ac:dyDescent="0.3">
      <c r="A10209" s="20"/>
    </row>
    <row r="10210" spans="1:1" x14ac:dyDescent="0.3">
      <c r="A10210" s="20"/>
    </row>
    <row r="10211" spans="1:1" x14ac:dyDescent="0.3">
      <c r="A10211" s="20"/>
    </row>
    <row r="10212" spans="1:1" x14ac:dyDescent="0.3">
      <c r="A10212" s="20"/>
    </row>
    <row r="10213" spans="1:1" x14ac:dyDescent="0.3">
      <c r="A10213" s="20"/>
    </row>
    <row r="10214" spans="1:1" x14ac:dyDescent="0.3">
      <c r="A10214" s="20"/>
    </row>
    <row r="10215" spans="1:1" x14ac:dyDescent="0.3">
      <c r="A10215" s="20"/>
    </row>
    <row r="10216" spans="1:1" x14ac:dyDescent="0.3">
      <c r="A10216" s="20"/>
    </row>
    <row r="10217" spans="1:1" x14ac:dyDescent="0.3">
      <c r="A10217" s="20"/>
    </row>
    <row r="10218" spans="1:1" x14ac:dyDescent="0.3">
      <c r="A10218" s="20"/>
    </row>
    <row r="10219" spans="1:1" x14ac:dyDescent="0.3">
      <c r="A10219" s="20"/>
    </row>
    <row r="10220" spans="1:1" x14ac:dyDescent="0.3">
      <c r="A10220" s="20"/>
    </row>
    <row r="10221" spans="1:1" x14ac:dyDescent="0.3">
      <c r="A10221" s="20"/>
    </row>
    <row r="10222" spans="1:1" x14ac:dyDescent="0.3">
      <c r="A10222" s="20"/>
    </row>
    <row r="10223" spans="1:1" x14ac:dyDescent="0.3">
      <c r="A10223" s="20"/>
    </row>
    <row r="10224" spans="1:1" x14ac:dyDescent="0.3">
      <c r="A10224" s="20"/>
    </row>
    <row r="10225" spans="1:1" x14ac:dyDescent="0.3">
      <c r="A10225" s="20"/>
    </row>
    <row r="10226" spans="1:1" x14ac:dyDescent="0.3">
      <c r="A10226" s="20"/>
    </row>
    <row r="10227" spans="1:1" x14ac:dyDescent="0.3">
      <c r="A10227" s="20"/>
    </row>
    <row r="10228" spans="1:1" x14ac:dyDescent="0.3">
      <c r="A10228" s="20"/>
    </row>
    <row r="10229" spans="1:1" x14ac:dyDescent="0.3">
      <c r="A10229" s="20"/>
    </row>
    <row r="10230" spans="1:1" x14ac:dyDescent="0.3">
      <c r="A10230" s="20"/>
    </row>
    <row r="10231" spans="1:1" x14ac:dyDescent="0.3">
      <c r="A10231" s="20"/>
    </row>
    <row r="10232" spans="1:1" x14ac:dyDescent="0.3">
      <c r="A10232" s="20"/>
    </row>
    <row r="10233" spans="1:1" x14ac:dyDescent="0.3">
      <c r="A10233" s="20"/>
    </row>
    <row r="10234" spans="1:1" x14ac:dyDescent="0.3">
      <c r="A10234" s="20"/>
    </row>
    <row r="10235" spans="1:1" x14ac:dyDescent="0.3">
      <c r="A10235" s="20"/>
    </row>
    <row r="10236" spans="1:1" x14ac:dyDescent="0.3">
      <c r="A10236" s="20"/>
    </row>
    <row r="10237" spans="1:1" x14ac:dyDescent="0.3">
      <c r="A10237" s="20"/>
    </row>
    <row r="10238" spans="1:1" x14ac:dyDescent="0.3">
      <c r="A10238" s="20"/>
    </row>
    <row r="10239" spans="1:1" x14ac:dyDescent="0.3">
      <c r="A10239" s="20"/>
    </row>
    <row r="10240" spans="1:1" x14ac:dyDescent="0.3">
      <c r="A10240" s="20"/>
    </row>
    <row r="10241" spans="1:1" x14ac:dyDescent="0.3">
      <c r="A10241" s="20"/>
    </row>
    <row r="10242" spans="1:1" x14ac:dyDescent="0.3">
      <c r="A10242" s="20"/>
    </row>
    <row r="10243" spans="1:1" x14ac:dyDescent="0.3">
      <c r="A10243" s="20"/>
    </row>
    <row r="10244" spans="1:1" x14ac:dyDescent="0.3">
      <c r="A10244" s="20"/>
    </row>
    <row r="10245" spans="1:1" x14ac:dyDescent="0.3">
      <c r="A10245" s="20"/>
    </row>
    <row r="10246" spans="1:1" x14ac:dyDescent="0.3">
      <c r="A10246" s="20"/>
    </row>
    <row r="10247" spans="1:1" x14ac:dyDescent="0.3">
      <c r="A10247" s="20"/>
    </row>
    <row r="10248" spans="1:1" x14ac:dyDescent="0.3">
      <c r="A10248" s="20"/>
    </row>
    <row r="10249" spans="1:1" x14ac:dyDescent="0.3">
      <c r="A10249" s="20"/>
    </row>
    <row r="10250" spans="1:1" x14ac:dyDescent="0.3">
      <c r="A10250" s="20"/>
    </row>
    <row r="10251" spans="1:1" x14ac:dyDescent="0.3">
      <c r="A10251" s="20"/>
    </row>
    <row r="10252" spans="1:1" x14ac:dyDescent="0.3">
      <c r="A10252" s="20"/>
    </row>
    <row r="10253" spans="1:1" x14ac:dyDescent="0.3">
      <c r="A10253" s="20"/>
    </row>
    <row r="10254" spans="1:1" x14ac:dyDescent="0.3">
      <c r="A10254" s="20"/>
    </row>
    <row r="10255" spans="1:1" x14ac:dyDescent="0.3">
      <c r="A10255" s="20"/>
    </row>
    <row r="10256" spans="1:1" x14ac:dyDescent="0.3">
      <c r="A10256" s="20"/>
    </row>
    <row r="10257" spans="1:1" x14ac:dyDescent="0.3">
      <c r="A10257" s="20"/>
    </row>
    <row r="10258" spans="1:1" x14ac:dyDescent="0.3">
      <c r="A10258" s="20"/>
    </row>
    <row r="10259" spans="1:1" x14ac:dyDescent="0.3">
      <c r="A10259" s="20"/>
    </row>
    <row r="10260" spans="1:1" x14ac:dyDescent="0.3">
      <c r="A10260" s="20"/>
    </row>
    <row r="10261" spans="1:1" x14ac:dyDescent="0.3">
      <c r="A10261" s="20"/>
    </row>
    <row r="10262" spans="1:1" x14ac:dyDescent="0.3">
      <c r="A10262" s="20"/>
    </row>
    <row r="10263" spans="1:1" x14ac:dyDescent="0.3">
      <c r="A10263" s="20"/>
    </row>
    <row r="10264" spans="1:1" x14ac:dyDescent="0.3">
      <c r="A10264" s="20"/>
    </row>
    <row r="10265" spans="1:1" x14ac:dyDescent="0.3">
      <c r="A10265" s="20"/>
    </row>
    <row r="10266" spans="1:1" x14ac:dyDescent="0.3">
      <c r="A10266" s="20"/>
    </row>
    <row r="10267" spans="1:1" x14ac:dyDescent="0.3">
      <c r="A10267" s="20"/>
    </row>
    <row r="10268" spans="1:1" x14ac:dyDescent="0.3">
      <c r="A10268" s="20"/>
    </row>
    <row r="10269" spans="1:1" x14ac:dyDescent="0.3">
      <c r="A10269" s="20"/>
    </row>
    <row r="10270" spans="1:1" x14ac:dyDescent="0.3">
      <c r="A10270" s="20"/>
    </row>
    <row r="10271" spans="1:1" x14ac:dyDescent="0.3">
      <c r="A10271" s="20"/>
    </row>
    <row r="10272" spans="1:1" x14ac:dyDescent="0.3">
      <c r="A10272" s="20"/>
    </row>
    <row r="10273" spans="1:1" x14ac:dyDescent="0.3">
      <c r="A10273" s="20"/>
    </row>
    <row r="10274" spans="1:1" x14ac:dyDescent="0.3">
      <c r="A10274" s="20"/>
    </row>
    <row r="10275" spans="1:1" x14ac:dyDescent="0.3">
      <c r="A10275" s="20"/>
    </row>
    <row r="10276" spans="1:1" x14ac:dyDescent="0.3">
      <c r="A10276" s="20"/>
    </row>
    <row r="10277" spans="1:1" x14ac:dyDescent="0.3">
      <c r="A10277" s="20"/>
    </row>
    <row r="10278" spans="1:1" x14ac:dyDescent="0.3">
      <c r="A10278" s="20"/>
    </row>
    <row r="10279" spans="1:1" x14ac:dyDescent="0.3">
      <c r="A10279" s="20"/>
    </row>
    <row r="10280" spans="1:1" x14ac:dyDescent="0.3">
      <c r="A10280" s="20"/>
    </row>
    <row r="10281" spans="1:1" x14ac:dyDescent="0.3">
      <c r="A10281" s="20"/>
    </row>
    <row r="10282" spans="1:1" x14ac:dyDescent="0.3">
      <c r="A10282" s="20"/>
    </row>
    <row r="10283" spans="1:1" x14ac:dyDescent="0.3">
      <c r="A10283" s="20"/>
    </row>
    <row r="10284" spans="1:1" x14ac:dyDescent="0.3">
      <c r="A10284" s="20"/>
    </row>
    <row r="10285" spans="1:1" x14ac:dyDescent="0.3">
      <c r="A10285" s="20"/>
    </row>
    <row r="10286" spans="1:1" x14ac:dyDescent="0.3">
      <c r="A10286" s="20"/>
    </row>
    <row r="10287" spans="1:1" x14ac:dyDescent="0.3">
      <c r="A10287" s="20"/>
    </row>
    <row r="10288" spans="1:1" x14ac:dyDescent="0.3">
      <c r="A10288" s="20"/>
    </row>
    <row r="10289" spans="1:1" x14ac:dyDescent="0.3">
      <c r="A10289" s="20"/>
    </row>
    <row r="10290" spans="1:1" x14ac:dyDescent="0.3">
      <c r="A10290" s="20"/>
    </row>
    <row r="10291" spans="1:1" x14ac:dyDescent="0.3">
      <c r="A10291" s="20"/>
    </row>
    <row r="10292" spans="1:1" x14ac:dyDescent="0.3">
      <c r="A10292" s="20"/>
    </row>
    <row r="10293" spans="1:1" x14ac:dyDescent="0.3">
      <c r="A10293" s="20"/>
    </row>
    <row r="10294" spans="1:1" x14ac:dyDescent="0.3">
      <c r="A10294" s="20"/>
    </row>
    <row r="10295" spans="1:1" x14ac:dyDescent="0.3">
      <c r="A10295" s="20"/>
    </row>
    <row r="10296" spans="1:1" x14ac:dyDescent="0.3">
      <c r="A10296" s="20"/>
    </row>
    <row r="10297" spans="1:1" x14ac:dyDescent="0.3">
      <c r="A10297" s="20"/>
    </row>
    <row r="10298" spans="1:1" x14ac:dyDescent="0.3">
      <c r="A10298" s="20"/>
    </row>
    <row r="10299" spans="1:1" x14ac:dyDescent="0.3">
      <c r="A10299" s="20"/>
    </row>
    <row r="10300" spans="1:1" x14ac:dyDescent="0.3">
      <c r="A10300" s="20"/>
    </row>
    <row r="10301" spans="1:1" x14ac:dyDescent="0.3">
      <c r="A10301" s="20"/>
    </row>
    <row r="10302" spans="1:1" x14ac:dyDescent="0.3">
      <c r="A10302" s="20"/>
    </row>
    <row r="10303" spans="1:1" x14ac:dyDescent="0.3">
      <c r="A10303" s="20"/>
    </row>
    <row r="10304" spans="1:1" x14ac:dyDescent="0.3">
      <c r="A10304" s="20"/>
    </row>
    <row r="10305" spans="1:1" x14ac:dyDescent="0.3">
      <c r="A10305" s="20"/>
    </row>
    <row r="10306" spans="1:1" x14ac:dyDescent="0.3">
      <c r="A10306" s="20"/>
    </row>
    <row r="10307" spans="1:1" x14ac:dyDescent="0.3">
      <c r="A10307" s="20"/>
    </row>
    <row r="10308" spans="1:1" x14ac:dyDescent="0.3">
      <c r="A10308" s="20"/>
    </row>
    <row r="10309" spans="1:1" x14ac:dyDescent="0.3">
      <c r="A10309" s="20"/>
    </row>
    <row r="10310" spans="1:1" x14ac:dyDescent="0.3">
      <c r="A10310" s="20"/>
    </row>
    <row r="10311" spans="1:1" x14ac:dyDescent="0.3">
      <c r="A10311" s="20"/>
    </row>
    <row r="10312" spans="1:1" x14ac:dyDescent="0.3">
      <c r="A10312" s="20"/>
    </row>
    <row r="10313" spans="1:1" x14ac:dyDescent="0.3">
      <c r="A10313" s="20"/>
    </row>
    <row r="10314" spans="1:1" x14ac:dyDescent="0.3">
      <c r="A10314" s="20"/>
    </row>
    <row r="10315" spans="1:1" x14ac:dyDescent="0.3">
      <c r="A10315" s="20"/>
    </row>
    <row r="10316" spans="1:1" x14ac:dyDescent="0.3">
      <c r="A10316" s="20"/>
    </row>
    <row r="10317" spans="1:1" x14ac:dyDescent="0.3">
      <c r="A10317" s="20"/>
    </row>
    <row r="10318" spans="1:1" x14ac:dyDescent="0.3">
      <c r="A10318" s="20"/>
    </row>
    <row r="10319" spans="1:1" x14ac:dyDescent="0.3">
      <c r="A10319" s="20"/>
    </row>
    <row r="10320" spans="1:1" x14ac:dyDescent="0.3">
      <c r="A10320" s="20"/>
    </row>
    <row r="10321" spans="1:1" x14ac:dyDescent="0.3">
      <c r="A10321" s="20"/>
    </row>
    <row r="10322" spans="1:1" x14ac:dyDescent="0.3">
      <c r="A10322" s="20"/>
    </row>
    <row r="10323" spans="1:1" x14ac:dyDescent="0.3">
      <c r="A10323" s="20"/>
    </row>
    <row r="10324" spans="1:1" x14ac:dyDescent="0.3">
      <c r="A10324" s="20"/>
    </row>
    <row r="10325" spans="1:1" x14ac:dyDescent="0.3">
      <c r="A10325" s="20"/>
    </row>
    <row r="10326" spans="1:1" x14ac:dyDescent="0.3">
      <c r="A10326" s="20"/>
    </row>
    <row r="10327" spans="1:1" x14ac:dyDescent="0.3">
      <c r="A10327" s="20"/>
    </row>
    <row r="10328" spans="1:1" x14ac:dyDescent="0.3">
      <c r="A10328" s="20"/>
    </row>
    <row r="10329" spans="1:1" x14ac:dyDescent="0.3">
      <c r="A10329" s="20"/>
    </row>
    <row r="10330" spans="1:1" x14ac:dyDescent="0.3">
      <c r="A10330" s="20"/>
    </row>
    <row r="10331" spans="1:1" x14ac:dyDescent="0.3">
      <c r="A10331" s="20"/>
    </row>
    <row r="10332" spans="1:1" x14ac:dyDescent="0.3">
      <c r="A10332" s="20"/>
    </row>
    <row r="10333" spans="1:1" x14ac:dyDescent="0.3">
      <c r="A10333" s="20"/>
    </row>
    <row r="10334" spans="1:1" x14ac:dyDescent="0.3">
      <c r="A10334" s="20"/>
    </row>
    <row r="10335" spans="1:1" x14ac:dyDescent="0.3">
      <c r="A10335" s="20"/>
    </row>
    <row r="10336" spans="1:1" x14ac:dyDescent="0.3">
      <c r="A10336" s="20"/>
    </row>
    <row r="10337" spans="1:1" x14ac:dyDescent="0.3">
      <c r="A10337" s="20"/>
    </row>
    <row r="10338" spans="1:1" x14ac:dyDescent="0.3">
      <c r="A10338" s="20"/>
    </row>
    <row r="10339" spans="1:1" x14ac:dyDescent="0.3">
      <c r="A10339" s="20"/>
    </row>
    <row r="10340" spans="1:1" x14ac:dyDescent="0.3">
      <c r="A10340" s="20"/>
    </row>
    <row r="10341" spans="1:1" x14ac:dyDescent="0.3">
      <c r="A10341" s="20"/>
    </row>
    <row r="10342" spans="1:1" x14ac:dyDescent="0.3">
      <c r="A10342" s="20"/>
    </row>
    <row r="10343" spans="1:1" x14ac:dyDescent="0.3">
      <c r="A10343" s="20"/>
    </row>
    <row r="10344" spans="1:1" x14ac:dyDescent="0.3">
      <c r="A10344" s="20"/>
    </row>
    <row r="10345" spans="1:1" x14ac:dyDescent="0.3">
      <c r="A10345" s="20"/>
    </row>
    <row r="10346" spans="1:1" x14ac:dyDescent="0.3">
      <c r="A10346" s="20"/>
    </row>
    <row r="10347" spans="1:1" x14ac:dyDescent="0.3">
      <c r="A10347" s="20"/>
    </row>
    <row r="10348" spans="1:1" x14ac:dyDescent="0.3">
      <c r="A10348" s="20"/>
    </row>
    <row r="10349" spans="1:1" x14ac:dyDescent="0.3">
      <c r="A10349" s="20"/>
    </row>
    <row r="10350" spans="1:1" x14ac:dyDescent="0.3">
      <c r="A10350" s="20"/>
    </row>
    <row r="10351" spans="1:1" x14ac:dyDescent="0.3">
      <c r="A10351" s="20"/>
    </row>
    <row r="10352" spans="1:1" x14ac:dyDescent="0.3">
      <c r="A10352" s="20"/>
    </row>
    <row r="10353" spans="1:1" x14ac:dyDescent="0.3">
      <c r="A10353" s="20"/>
    </row>
    <row r="10354" spans="1:1" x14ac:dyDescent="0.3">
      <c r="A10354" s="20"/>
    </row>
    <row r="10355" spans="1:1" x14ac:dyDescent="0.3">
      <c r="A10355" s="20"/>
    </row>
    <row r="10356" spans="1:1" x14ac:dyDescent="0.3">
      <c r="A10356" s="20"/>
    </row>
    <row r="10357" spans="1:1" x14ac:dyDescent="0.3">
      <c r="A10357" s="20"/>
    </row>
    <row r="10358" spans="1:1" x14ac:dyDescent="0.3">
      <c r="A10358" s="20"/>
    </row>
    <row r="10359" spans="1:1" x14ac:dyDescent="0.3">
      <c r="A10359" s="20"/>
    </row>
    <row r="10360" spans="1:1" x14ac:dyDescent="0.3">
      <c r="A10360" s="20"/>
    </row>
    <row r="10361" spans="1:1" x14ac:dyDescent="0.3">
      <c r="A10361" s="20"/>
    </row>
    <row r="10362" spans="1:1" x14ac:dyDescent="0.3">
      <c r="A10362" s="20"/>
    </row>
    <row r="10363" spans="1:1" x14ac:dyDescent="0.3">
      <c r="A10363" s="20"/>
    </row>
    <row r="10364" spans="1:1" x14ac:dyDescent="0.3">
      <c r="A10364" s="20"/>
    </row>
    <row r="10365" spans="1:1" x14ac:dyDescent="0.3">
      <c r="A10365" s="20"/>
    </row>
    <row r="10366" spans="1:1" x14ac:dyDescent="0.3">
      <c r="A10366" s="20"/>
    </row>
    <row r="10367" spans="1:1" x14ac:dyDescent="0.3">
      <c r="A10367" s="20"/>
    </row>
    <row r="10368" spans="1:1" x14ac:dyDescent="0.3">
      <c r="A10368" s="20"/>
    </row>
    <row r="10369" spans="1:1" x14ac:dyDescent="0.3">
      <c r="A10369" s="20"/>
    </row>
    <row r="10370" spans="1:1" x14ac:dyDescent="0.3">
      <c r="A10370" s="20"/>
    </row>
    <row r="10371" spans="1:1" x14ac:dyDescent="0.3">
      <c r="A10371" s="20"/>
    </row>
    <row r="10372" spans="1:1" x14ac:dyDescent="0.3">
      <c r="A10372" s="20"/>
    </row>
    <row r="10373" spans="1:1" x14ac:dyDescent="0.3">
      <c r="A10373" s="20"/>
    </row>
    <row r="10374" spans="1:1" x14ac:dyDescent="0.3">
      <c r="A10374" s="20"/>
    </row>
    <row r="10375" spans="1:1" x14ac:dyDescent="0.3">
      <c r="A10375" s="20"/>
    </row>
    <row r="10376" spans="1:1" x14ac:dyDescent="0.3">
      <c r="A10376" s="20"/>
    </row>
    <row r="10377" spans="1:1" x14ac:dyDescent="0.3">
      <c r="A10377" s="20"/>
    </row>
    <row r="10378" spans="1:1" x14ac:dyDescent="0.3">
      <c r="A10378" s="20"/>
    </row>
    <row r="10379" spans="1:1" x14ac:dyDescent="0.3">
      <c r="A10379" s="20"/>
    </row>
    <row r="10380" spans="1:1" x14ac:dyDescent="0.3">
      <c r="A10380" s="20"/>
    </row>
    <row r="10381" spans="1:1" x14ac:dyDescent="0.3">
      <c r="A10381" s="20"/>
    </row>
    <row r="10382" spans="1:1" x14ac:dyDescent="0.3">
      <c r="A10382" s="20"/>
    </row>
    <row r="10383" spans="1:1" x14ac:dyDescent="0.3">
      <c r="A10383" s="20"/>
    </row>
    <row r="10384" spans="1:1" x14ac:dyDescent="0.3">
      <c r="A10384" s="20"/>
    </row>
    <row r="10385" spans="1:1" x14ac:dyDescent="0.3">
      <c r="A10385" s="20"/>
    </row>
    <row r="10386" spans="1:1" x14ac:dyDescent="0.3">
      <c r="A10386" s="20"/>
    </row>
    <row r="10387" spans="1:1" x14ac:dyDescent="0.3">
      <c r="A10387" s="20"/>
    </row>
    <row r="10388" spans="1:1" x14ac:dyDescent="0.3">
      <c r="A10388" s="20"/>
    </row>
    <row r="10389" spans="1:1" x14ac:dyDescent="0.3">
      <c r="A10389" s="20"/>
    </row>
    <row r="10390" spans="1:1" x14ac:dyDescent="0.3">
      <c r="A10390" s="20"/>
    </row>
    <row r="10391" spans="1:1" x14ac:dyDescent="0.3">
      <c r="A10391" s="20"/>
    </row>
    <row r="10392" spans="1:1" x14ac:dyDescent="0.3">
      <c r="A10392" s="20"/>
    </row>
    <row r="10393" spans="1:1" x14ac:dyDescent="0.3">
      <c r="A10393" s="20"/>
    </row>
    <row r="10394" spans="1:1" x14ac:dyDescent="0.3">
      <c r="A10394" s="20"/>
    </row>
    <row r="10395" spans="1:1" x14ac:dyDescent="0.3">
      <c r="A10395" s="20"/>
    </row>
    <row r="10396" spans="1:1" x14ac:dyDescent="0.3">
      <c r="A10396" s="20"/>
    </row>
    <row r="10397" spans="1:1" x14ac:dyDescent="0.3">
      <c r="A10397" s="20"/>
    </row>
    <row r="10398" spans="1:1" x14ac:dyDescent="0.3">
      <c r="A10398" s="20"/>
    </row>
    <row r="10399" spans="1:1" x14ac:dyDescent="0.3">
      <c r="A10399" s="20"/>
    </row>
    <row r="10400" spans="1:1" x14ac:dyDescent="0.3">
      <c r="A10400" s="20"/>
    </row>
    <row r="10401" spans="1:1" x14ac:dyDescent="0.3">
      <c r="A10401" s="20"/>
    </row>
    <row r="10402" spans="1:1" x14ac:dyDescent="0.3">
      <c r="A10402" s="20"/>
    </row>
    <row r="10403" spans="1:1" x14ac:dyDescent="0.3">
      <c r="A10403" s="20"/>
    </row>
    <row r="10404" spans="1:1" x14ac:dyDescent="0.3">
      <c r="A10404" s="20"/>
    </row>
    <row r="10405" spans="1:1" x14ac:dyDescent="0.3">
      <c r="A10405" s="20"/>
    </row>
    <row r="10406" spans="1:1" x14ac:dyDescent="0.3">
      <c r="A10406" s="20"/>
    </row>
    <row r="10407" spans="1:1" x14ac:dyDescent="0.3">
      <c r="A10407" s="20"/>
    </row>
    <row r="10408" spans="1:1" x14ac:dyDescent="0.3">
      <c r="A10408" s="20"/>
    </row>
    <row r="10409" spans="1:1" x14ac:dyDescent="0.3">
      <c r="A10409" s="20"/>
    </row>
    <row r="10410" spans="1:1" x14ac:dyDescent="0.3">
      <c r="A10410" s="20"/>
    </row>
    <row r="10411" spans="1:1" x14ac:dyDescent="0.3">
      <c r="A10411" s="20"/>
    </row>
    <row r="10412" spans="1:1" x14ac:dyDescent="0.3">
      <c r="A10412" s="20"/>
    </row>
    <row r="10413" spans="1:1" x14ac:dyDescent="0.3">
      <c r="A10413" s="20"/>
    </row>
    <row r="10414" spans="1:1" x14ac:dyDescent="0.3">
      <c r="A10414" s="20"/>
    </row>
    <row r="10415" spans="1:1" x14ac:dyDescent="0.3">
      <c r="A10415" s="20"/>
    </row>
    <row r="10416" spans="1:1" x14ac:dyDescent="0.3">
      <c r="A10416" s="20"/>
    </row>
    <row r="10417" spans="1:1" x14ac:dyDescent="0.3">
      <c r="A10417" s="20"/>
    </row>
    <row r="10418" spans="1:1" x14ac:dyDescent="0.3">
      <c r="A10418" s="20"/>
    </row>
    <row r="10419" spans="1:1" x14ac:dyDescent="0.3">
      <c r="A10419" s="20"/>
    </row>
    <row r="10420" spans="1:1" x14ac:dyDescent="0.3">
      <c r="A10420" s="20"/>
    </row>
    <row r="10421" spans="1:1" x14ac:dyDescent="0.3">
      <c r="A10421" s="20"/>
    </row>
    <row r="10422" spans="1:1" x14ac:dyDescent="0.3">
      <c r="A10422" s="20"/>
    </row>
    <row r="10423" spans="1:1" x14ac:dyDescent="0.3">
      <c r="A10423" s="20"/>
    </row>
    <row r="10424" spans="1:1" x14ac:dyDescent="0.3">
      <c r="A10424" s="20"/>
    </row>
    <row r="10425" spans="1:1" x14ac:dyDescent="0.3">
      <c r="A10425" s="20"/>
    </row>
    <row r="10426" spans="1:1" x14ac:dyDescent="0.3">
      <c r="A10426" s="20"/>
    </row>
    <row r="10427" spans="1:1" x14ac:dyDescent="0.3">
      <c r="A10427" s="20"/>
    </row>
    <row r="10428" spans="1:1" x14ac:dyDescent="0.3">
      <c r="A10428" s="20"/>
    </row>
    <row r="10429" spans="1:1" x14ac:dyDescent="0.3">
      <c r="A10429" s="20"/>
    </row>
    <row r="10430" spans="1:1" x14ac:dyDescent="0.3">
      <c r="A10430" s="20"/>
    </row>
    <row r="10431" spans="1:1" x14ac:dyDescent="0.3">
      <c r="A10431" s="20"/>
    </row>
    <row r="10432" spans="1:1" x14ac:dyDescent="0.3">
      <c r="A10432" s="20"/>
    </row>
    <row r="10433" spans="1:1" x14ac:dyDescent="0.3">
      <c r="A10433" s="20"/>
    </row>
    <row r="10434" spans="1:1" x14ac:dyDescent="0.3">
      <c r="A10434" s="20"/>
    </row>
    <row r="10435" spans="1:1" x14ac:dyDescent="0.3">
      <c r="A10435" s="20"/>
    </row>
    <row r="10436" spans="1:1" x14ac:dyDescent="0.3">
      <c r="A10436" s="20"/>
    </row>
    <row r="10437" spans="1:1" x14ac:dyDescent="0.3">
      <c r="A10437" s="20"/>
    </row>
    <row r="10438" spans="1:1" x14ac:dyDescent="0.3">
      <c r="A10438" s="20"/>
    </row>
    <row r="10439" spans="1:1" x14ac:dyDescent="0.3">
      <c r="A10439" s="20"/>
    </row>
    <row r="10440" spans="1:1" x14ac:dyDescent="0.3">
      <c r="A10440" s="20"/>
    </row>
    <row r="10441" spans="1:1" x14ac:dyDescent="0.3">
      <c r="A10441" s="20"/>
    </row>
    <row r="10442" spans="1:1" x14ac:dyDescent="0.3">
      <c r="A10442" s="20"/>
    </row>
    <row r="10443" spans="1:1" x14ac:dyDescent="0.3">
      <c r="A10443" s="20"/>
    </row>
    <row r="10444" spans="1:1" x14ac:dyDescent="0.3">
      <c r="A10444" s="20"/>
    </row>
    <row r="10445" spans="1:1" x14ac:dyDescent="0.3">
      <c r="A10445" s="20"/>
    </row>
    <row r="10446" spans="1:1" x14ac:dyDescent="0.3">
      <c r="A10446" s="20"/>
    </row>
    <row r="10447" spans="1:1" x14ac:dyDescent="0.3">
      <c r="A10447" s="20"/>
    </row>
    <row r="10448" spans="1:1" x14ac:dyDescent="0.3">
      <c r="A10448" s="20"/>
    </row>
    <row r="10449" spans="1:1" x14ac:dyDescent="0.3">
      <c r="A10449" s="20"/>
    </row>
    <row r="10450" spans="1:1" x14ac:dyDescent="0.3">
      <c r="A10450" s="20"/>
    </row>
    <row r="10451" spans="1:1" x14ac:dyDescent="0.3">
      <c r="A10451" s="20"/>
    </row>
    <row r="10452" spans="1:1" x14ac:dyDescent="0.3">
      <c r="A10452" s="20"/>
    </row>
    <row r="10453" spans="1:1" x14ac:dyDescent="0.3">
      <c r="A10453" s="20"/>
    </row>
    <row r="10454" spans="1:1" x14ac:dyDescent="0.3">
      <c r="A10454" s="20"/>
    </row>
    <row r="10455" spans="1:1" x14ac:dyDescent="0.3">
      <c r="A10455" s="20"/>
    </row>
    <row r="10456" spans="1:1" x14ac:dyDescent="0.3">
      <c r="A10456" s="20"/>
    </row>
    <row r="10457" spans="1:1" x14ac:dyDescent="0.3">
      <c r="A10457" s="20"/>
    </row>
    <row r="10458" spans="1:1" x14ac:dyDescent="0.3">
      <c r="A10458" s="20"/>
    </row>
    <row r="10459" spans="1:1" x14ac:dyDescent="0.3">
      <c r="A10459" s="20"/>
    </row>
    <row r="10460" spans="1:1" x14ac:dyDescent="0.3">
      <c r="A10460" s="20"/>
    </row>
    <row r="10461" spans="1:1" x14ac:dyDescent="0.3">
      <c r="A10461" s="20"/>
    </row>
    <row r="10462" spans="1:1" x14ac:dyDescent="0.3">
      <c r="A10462" s="20"/>
    </row>
    <row r="10463" spans="1:1" x14ac:dyDescent="0.3">
      <c r="A10463" s="20"/>
    </row>
    <row r="10464" spans="1:1" x14ac:dyDescent="0.3">
      <c r="A10464" s="20"/>
    </row>
    <row r="10465" spans="1:1" x14ac:dyDescent="0.3">
      <c r="A10465" s="20"/>
    </row>
    <row r="10466" spans="1:1" x14ac:dyDescent="0.3">
      <c r="A10466" s="20"/>
    </row>
    <row r="10467" spans="1:1" x14ac:dyDescent="0.3">
      <c r="A10467" s="20"/>
    </row>
    <row r="10468" spans="1:1" x14ac:dyDescent="0.3">
      <c r="A10468" s="20"/>
    </row>
    <row r="10469" spans="1:1" x14ac:dyDescent="0.3">
      <c r="A10469" s="20"/>
    </row>
    <row r="10470" spans="1:1" x14ac:dyDescent="0.3">
      <c r="A10470" s="20"/>
    </row>
    <row r="10471" spans="1:1" x14ac:dyDescent="0.3">
      <c r="A10471" s="20"/>
    </row>
    <row r="10472" spans="1:1" x14ac:dyDescent="0.3">
      <c r="A10472" s="20"/>
    </row>
    <row r="10473" spans="1:1" x14ac:dyDescent="0.3">
      <c r="A10473" s="20"/>
    </row>
    <row r="10474" spans="1:1" x14ac:dyDescent="0.3">
      <c r="A10474" s="20"/>
    </row>
    <row r="10475" spans="1:1" x14ac:dyDescent="0.3">
      <c r="A10475" s="20"/>
    </row>
    <row r="10476" spans="1:1" x14ac:dyDescent="0.3">
      <c r="A10476" s="20"/>
    </row>
    <row r="10477" spans="1:1" x14ac:dyDescent="0.3">
      <c r="A10477" s="20"/>
    </row>
    <row r="10478" spans="1:1" x14ac:dyDescent="0.3">
      <c r="A10478" s="20"/>
    </row>
    <row r="10479" spans="1:1" x14ac:dyDescent="0.3">
      <c r="A10479" s="20"/>
    </row>
    <row r="10480" spans="1:1" x14ac:dyDescent="0.3">
      <c r="A10480" s="20"/>
    </row>
    <row r="10481" spans="1:1" x14ac:dyDescent="0.3">
      <c r="A10481" s="20"/>
    </row>
    <row r="10482" spans="1:1" x14ac:dyDescent="0.3">
      <c r="A10482" s="20"/>
    </row>
    <row r="10483" spans="1:1" x14ac:dyDescent="0.3">
      <c r="A10483" s="20"/>
    </row>
    <row r="10484" spans="1:1" x14ac:dyDescent="0.3">
      <c r="A10484" s="20"/>
    </row>
    <row r="10485" spans="1:1" x14ac:dyDescent="0.3">
      <c r="A10485" s="20"/>
    </row>
    <row r="10486" spans="1:1" x14ac:dyDescent="0.3">
      <c r="A10486" s="20"/>
    </row>
    <row r="10487" spans="1:1" x14ac:dyDescent="0.3">
      <c r="A10487" s="20"/>
    </row>
    <row r="10488" spans="1:1" x14ac:dyDescent="0.3">
      <c r="A10488" s="20"/>
    </row>
    <row r="10489" spans="1:1" x14ac:dyDescent="0.3">
      <c r="A10489" s="20"/>
    </row>
    <row r="10490" spans="1:1" x14ac:dyDescent="0.3">
      <c r="A10490" s="20"/>
    </row>
    <row r="10491" spans="1:1" x14ac:dyDescent="0.3">
      <c r="A10491" s="20"/>
    </row>
    <row r="10492" spans="1:1" x14ac:dyDescent="0.3">
      <c r="A10492" s="20"/>
    </row>
    <row r="10493" spans="1:1" x14ac:dyDescent="0.3">
      <c r="A10493" s="20"/>
    </row>
    <row r="10494" spans="1:1" x14ac:dyDescent="0.3">
      <c r="A10494" s="20"/>
    </row>
    <row r="10495" spans="1:1" x14ac:dyDescent="0.3">
      <c r="A10495" s="20"/>
    </row>
    <row r="10496" spans="1:1" x14ac:dyDescent="0.3">
      <c r="A10496" s="20"/>
    </row>
    <row r="10497" spans="1:1" x14ac:dyDescent="0.3">
      <c r="A10497" s="20"/>
    </row>
    <row r="10498" spans="1:1" x14ac:dyDescent="0.3">
      <c r="A10498" s="20"/>
    </row>
    <row r="10499" spans="1:1" x14ac:dyDescent="0.3">
      <c r="A10499" s="20"/>
    </row>
    <row r="10500" spans="1:1" x14ac:dyDescent="0.3">
      <c r="A10500" s="20"/>
    </row>
    <row r="10501" spans="1:1" x14ac:dyDescent="0.3">
      <c r="A10501" s="20"/>
    </row>
    <row r="10502" spans="1:1" x14ac:dyDescent="0.3">
      <c r="A10502" s="20"/>
    </row>
    <row r="10503" spans="1:1" x14ac:dyDescent="0.3">
      <c r="A10503" s="20"/>
    </row>
    <row r="10504" spans="1:1" x14ac:dyDescent="0.3">
      <c r="A10504" s="20"/>
    </row>
    <row r="10505" spans="1:1" x14ac:dyDescent="0.3">
      <c r="A10505" s="20"/>
    </row>
    <row r="10506" spans="1:1" x14ac:dyDescent="0.3">
      <c r="A10506" s="20"/>
    </row>
    <row r="10507" spans="1:1" x14ac:dyDescent="0.3">
      <c r="A10507" s="20"/>
    </row>
    <row r="10508" spans="1:1" x14ac:dyDescent="0.3">
      <c r="A10508" s="20"/>
    </row>
    <row r="10509" spans="1:1" x14ac:dyDescent="0.3">
      <c r="A10509" s="20"/>
    </row>
    <row r="10510" spans="1:1" x14ac:dyDescent="0.3">
      <c r="A10510" s="20"/>
    </row>
    <row r="10511" spans="1:1" x14ac:dyDescent="0.3">
      <c r="A10511" s="20"/>
    </row>
    <row r="10512" spans="1:1" x14ac:dyDescent="0.3">
      <c r="A10512" s="20"/>
    </row>
    <row r="10513" spans="1:1" x14ac:dyDescent="0.3">
      <c r="A10513" s="20"/>
    </row>
    <row r="10514" spans="1:1" x14ac:dyDescent="0.3">
      <c r="A10514" s="20"/>
    </row>
    <row r="10515" spans="1:1" x14ac:dyDescent="0.3">
      <c r="A10515" s="20"/>
    </row>
    <row r="10516" spans="1:1" x14ac:dyDescent="0.3">
      <c r="A10516" s="20"/>
    </row>
    <row r="10517" spans="1:1" x14ac:dyDescent="0.3">
      <c r="A10517" s="20"/>
    </row>
    <row r="10518" spans="1:1" x14ac:dyDescent="0.3">
      <c r="A10518" s="20"/>
    </row>
    <row r="10519" spans="1:1" x14ac:dyDescent="0.3">
      <c r="A10519" s="20"/>
    </row>
    <row r="10520" spans="1:1" x14ac:dyDescent="0.3">
      <c r="A10520" s="20"/>
    </row>
    <row r="10521" spans="1:1" x14ac:dyDescent="0.3">
      <c r="A10521" s="20"/>
    </row>
    <row r="10522" spans="1:1" x14ac:dyDescent="0.3">
      <c r="A10522" s="20"/>
    </row>
    <row r="10523" spans="1:1" x14ac:dyDescent="0.3">
      <c r="A10523" s="20"/>
    </row>
    <row r="10524" spans="1:1" x14ac:dyDescent="0.3">
      <c r="A10524" s="20"/>
    </row>
    <row r="10525" spans="1:1" x14ac:dyDescent="0.3">
      <c r="A10525" s="20"/>
    </row>
    <row r="10526" spans="1:1" x14ac:dyDescent="0.3">
      <c r="A10526" s="20"/>
    </row>
    <row r="10527" spans="1:1" x14ac:dyDescent="0.3">
      <c r="A10527" s="20"/>
    </row>
    <row r="10528" spans="1:1" x14ac:dyDescent="0.3">
      <c r="A10528" s="20"/>
    </row>
    <row r="10529" spans="1:1" x14ac:dyDescent="0.3">
      <c r="A10529" s="20"/>
    </row>
    <row r="10530" spans="1:1" x14ac:dyDescent="0.3">
      <c r="A10530" s="20"/>
    </row>
    <row r="10531" spans="1:1" x14ac:dyDescent="0.3">
      <c r="A10531" s="20"/>
    </row>
    <row r="10532" spans="1:1" x14ac:dyDescent="0.3">
      <c r="A10532" s="20"/>
    </row>
    <row r="10533" spans="1:1" x14ac:dyDescent="0.3">
      <c r="A10533" s="20"/>
    </row>
    <row r="10534" spans="1:1" x14ac:dyDescent="0.3">
      <c r="A10534" s="20"/>
    </row>
    <row r="10535" spans="1:1" x14ac:dyDescent="0.3">
      <c r="A10535" s="20"/>
    </row>
    <row r="10536" spans="1:1" x14ac:dyDescent="0.3">
      <c r="A10536" s="20"/>
    </row>
    <row r="10537" spans="1:1" x14ac:dyDescent="0.3">
      <c r="A10537" s="20"/>
    </row>
    <row r="10538" spans="1:1" x14ac:dyDescent="0.3">
      <c r="A10538" s="20"/>
    </row>
    <row r="10539" spans="1:1" x14ac:dyDescent="0.3">
      <c r="A10539" s="20"/>
    </row>
    <row r="10540" spans="1:1" x14ac:dyDescent="0.3">
      <c r="A10540" s="20"/>
    </row>
    <row r="10541" spans="1:1" x14ac:dyDescent="0.3">
      <c r="A10541" s="20"/>
    </row>
    <row r="10542" spans="1:1" x14ac:dyDescent="0.3">
      <c r="A10542" s="20"/>
    </row>
    <row r="10543" spans="1:1" x14ac:dyDescent="0.3">
      <c r="A10543" s="20"/>
    </row>
    <row r="10544" spans="1:1" x14ac:dyDescent="0.3">
      <c r="A10544" s="20"/>
    </row>
    <row r="10545" spans="1:1" x14ac:dyDescent="0.3">
      <c r="A10545" s="20"/>
    </row>
    <row r="10546" spans="1:1" x14ac:dyDescent="0.3">
      <c r="A10546" s="20"/>
    </row>
    <row r="10547" spans="1:1" x14ac:dyDescent="0.3">
      <c r="A10547" s="20"/>
    </row>
    <row r="10548" spans="1:1" x14ac:dyDescent="0.3">
      <c r="A10548" s="20"/>
    </row>
    <row r="10549" spans="1:1" x14ac:dyDescent="0.3">
      <c r="A10549" s="20"/>
    </row>
    <row r="10550" spans="1:1" x14ac:dyDescent="0.3">
      <c r="A10550" s="20"/>
    </row>
    <row r="10551" spans="1:1" x14ac:dyDescent="0.3">
      <c r="A10551" s="20"/>
    </row>
    <row r="10552" spans="1:1" x14ac:dyDescent="0.3">
      <c r="A10552" s="20"/>
    </row>
    <row r="10553" spans="1:1" x14ac:dyDescent="0.3">
      <c r="A10553" s="20"/>
    </row>
    <row r="10554" spans="1:1" x14ac:dyDescent="0.3">
      <c r="A10554" s="20"/>
    </row>
    <row r="10555" spans="1:1" x14ac:dyDescent="0.3">
      <c r="A10555" s="20"/>
    </row>
    <row r="10556" spans="1:1" x14ac:dyDescent="0.3">
      <c r="A10556" s="20"/>
    </row>
    <row r="10557" spans="1:1" x14ac:dyDescent="0.3">
      <c r="A10557" s="20"/>
    </row>
    <row r="10558" spans="1:1" x14ac:dyDescent="0.3">
      <c r="A10558" s="20"/>
    </row>
    <row r="10559" spans="1:1" x14ac:dyDescent="0.3">
      <c r="A10559" s="20"/>
    </row>
    <row r="10560" spans="1:1" x14ac:dyDescent="0.3">
      <c r="A10560" s="20"/>
    </row>
    <row r="10561" spans="1:1" x14ac:dyDescent="0.3">
      <c r="A10561" s="20"/>
    </row>
    <row r="10562" spans="1:1" x14ac:dyDescent="0.3">
      <c r="A10562" s="20"/>
    </row>
    <row r="10563" spans="1:1" x14ac:dyDescent="0.3">
      <c r="A10563" s="20"/>
    </row>
    <row r="10564" spans="1:1" x14ac:dyDescent="0.3">
      <c r="A10564" s="20"/>
    </row>
    <row r="10565" spans="1:1" x14ac:dyDescent="0.3">
      <c r="A10565" s="20"/>
    </row>
    <row r="10566" spans="1:1" x14ac:dyDescent="0.3">
      <c r="A10566" s="20"/>
    </row>
    <row r="10567" spans="1:1" x14ac:dyDescent="0.3">
      <c r="A10567" s="20"/>
    </row>
    <row r="10568" spans="1:1" x14ac:dyDescent="0.3">
      <c r="A10568" s="20"/>
    </row>
    <row r="10569" spans="1:1" x14ac:dyDescent="0.3">
      <c r="A10569" s="20"/>
    </row>
    <row r="10570" spans="1:1" x14ac:dyDescent="0.3">
      <c r="A10570" s="20"/>
    </row>
    <row r="10571" spans="1:1" x14ac:dyDescent="0.3">
      <c r="A10571" s="20"/>
    </row>
    <row r="10572" spans="1:1" x14ac:dyDescent="0.3">
      <c r="A10572" s="20"/>
    </row>
    <row r="10573" spans="1:1" x14ac:dyDescent="0.3">
      <c r="A10573" s="20"/>
    </row>
    <row r="10574" spans="1:1" x14ac:dyDescent="0.3">
      <c r="A10574" s="20"/>
    </row>
    <row r="10575" spans="1:1" x14ac:dyDescent="0.3">
      <c r="A10575" s="20"/>
    </row>
    <row r="10576" spans="1:1" x14ac:dyDescent="0.3">
      <c r="A10576" s="20"/>
    </row>
    <row r="10577" spans="1:1" x14ac:dyDescent="0.3">
      <c r="A10577" s="20"/>
    </row>
    <row r="10578" spans="1:1" x14ac:dyDescent="0.3">
      <c r="A10578" s="20"/>
    </row>
    <row r="10579" spans="1:1" x14ac:dyDescent="0.3">
      <c r="A10579" s="20"/>
    </row>
    <row r="10580" spans="1:1" x14ac:dyDescent="0.3">
      <c r="A10580" s="20"/>
    </row>
    <row r="10581" spans="1:1" x14ac:dyDescent="0.3">
      <c r="A10581" s="20"/>
    </row>
    <row r="10582" spans="1:1" x14ac:dyDescent="0.3">
      <c r="A10582" s="20"/>
    </row>
    <row r="10583" spans="1:1" x14ac:dyDescent="0.3">
      <c r="A10583" s="20"/>
    </row>
    <row r="10584" spans="1:1" x14ac:dyDescent="0.3">
      <c r="A10584" s="20"/>
    </row>
    <row r="10585" spans="1:1" x14ac:dyDescent="0.3">
      <c r="A10585" s="20"/>
    </row>
    <row r="10586" spans="1:1" x14ac:dyDescent="0.3">
      <c r="A10586" s="20"/>
    </row>
    <row r="10587" spans="1:1" x14ac:dyDescent="0.3">
      <c r="A10587" s="20"/>
    </row>
    <row r="10588" spans="1:1" x14ac:dyDescent="0.3">
      <c r="A10588" s="20"/>
    </row>
    <row r="10589" spans="1:1" x14ac:dyDescent="0.3">
      <c r="A10589" s="20"/>
    </row>
    <row r="10590" spans="1:1" x14ac:dyDescent="0.3">
      <c r="A10590" s="20"/>
    </row>
    <row r="10591" spans="1:1" x14ac:dyDescent="0.3">
      <c r="A10591" s="20"/>
    </row>
    <row r="10592" spans="1:1" x14ac:dyDescent="0.3">
      <c r="A10592" s="20"/>
    </row>
    <row r="10593" spans="1:1" x14ac:dyDescent="0.3">
      <c r="A10593" s="20"/>
    </row>
    <row r="10594" spans="1:1" x14ac:dyDescent="0.3">
      <c r="A10594" s="20"/>
    </row>
    <row r="10595" spans="1:1" x14ac:dyDescent="0.3">
      <c r="A10595" s="20"/>
    </row>
    <row r="10596" spans="1:1" x14ac:dyDescent="0.3">
      <c r="A10596" s="20"/>
    </row>
    <row r="10597" spans="1:1" x14ac:dyDescent="0.3">
      <c r="A10597" s="20"/>
    </row>
    <row r="10598" spans="1:1" x14ac:dyDescent="0.3">
      <c r="A10598" s="20"/>
    </row>
    <row r="10599" spans="1:1" x14ac:dyDescent="0.3">
      <c r="A10599" s="20"/>
    </row>
    <row r="10600" spans="1:1" x14ac:dyDescent="0.3">
      <c r="A10600" s="20"/>
    </row>
    <row r="10601" spans="1:1" x14ac:dyDescent="0.3">
      <c r="A10601" s="20"/>
    </row>
    <row r="10602" spans="1:1" x14ac:dyDescent="0.3">
      <c r="A10602" s="20"/>
    </row>
    <row r="10603" spans="1:1" x14ac:dyDescent="0.3">
      <c r="A10603" s="20"/>
    </row>
    <row r="10604" spans="1:1" x14ac:dyDescent="0.3">
      <c r="A10604" s="20"/>
    </row>
    <row r="10605" spans="1:1" x14ac:dyDescent="0.3">
      <c r="A10605" s="20"/>
    </row>
    <row r="10606" spans="1:1" x14ac:dyDescent="0.3">
      <c r="A10606" s="20"/>
    </row>
    <row r="10607" spans="1:1" x14ac:dyDescent="0.3">
      <c r="A10607" s="20"/>
    </row>
    <row r="10608" spans="1:1" x14ac:dyDescent="0.3">
      <c r="A10608" s="20"/>
    </row>
    <row r="10609" spans="1:1" x14ac:dyDescent="0.3">
      <c r="A10609" s="20"/>
    </row>
    <row r="10610" spans="1:1" x14ac:dyDescent="0.3">
      <c r="A10610" s="20"/>
    </row>
    <row r="10611" spans="1:1" x14ac:dyDescent="0.3">
      <c r="A10611" s="20"/>
    </row>
    <row r="10612" spans="1:1" x14ac:dyDescent="0.3">
      <c r="A10612" s="20"/>
    </row>
    <row r="10613" spans="1:1" x14ac:dyDescent="0.3">
      <c r="A10613" s="20"/>
    </row>
    <row r="10614" spans="1:1" x14ac:dyDescent="0.3">
      <c r="A10614" s="20"/>
    </row>
    <row r="10615" spans="1:1" x14ac:dyDescent="0.3">
      <c r="A10615" s="20"/>
    </row>
    <row r="10616" spans="1:1" x14ac:dyDescent="0.3">
      <c r="A10616" s="20"/>
    </row>
    <row r="10617" spans="1:1" x14ac:dyDescent="0.3">
      <c r="A10617" s="20"/>
    </row>
    <row r="10618" spans="1:1" x14ac:dyDescent="0.3">
      <c r="A10618" s="20"/>
    </row>
    <row r="10619" spans="1:1" x14ac:dyDescent="0.3">
      <c r="A10619" s="20"/>
    </row>
    <row r="10620" spans="1:1" x14ac:dyDescent="0.3">
      <c r="A10620" s="20"/>
    </row>
    <row r="10621" spans="1:1" x14ac:dyDescent="0.3">
      <c r="A10621" s="20"/>
    </row>
    <row r="10622" spans="1:1" x14ac:dyDescent="0.3">
      <c r="A10622" s="20"/>
    </row>
    <row r="10623" spans="1:1" x14ac:dyDescent="0.3">
      <c r="A10623" s="20"/>
    </row>
    <row r="10624" spans="1:1" x14ac:dyDescent="0.3">
      <c r="A10624" s="20"/>
    </row>
    <row r="10625" spans="1:1" x14ac:dyDescent="0.3">
      <c r="A10625" s="20"/>
    </row>
    <row r="10626" spans="1:1" x14ac:dyDescent="0.3">
      <c r="A10626" s="20"/>
    </row>
    <row r="10627" spans="1:1" x14ac:dyDescent="0.3">
      <c r="A10627" s="20"/>
    </row>
    <row r="10628" spans="1:1" x14ac:dyDescent="0.3">
      <c r="A10628" s="20"/>
    </row>
    <row r="10629" spans="1:1" x14ac:dyDescent="0.3">
      <c r="A10629" s="20"/>
    </row>
    <row r="10630" spans="1:1" x14ac:dyDescent="0.3">
      <c r="A10630" s="20"/>
    </row>
    <row r="10631" spans="1:1" x14ac:dyDescent="0.3">
      <c r="A10631" s="20"/>
    </row>
    <row r="10632" spans="1:1" x14ac:dyDescent="0.3">
      <c r="A10632" s="20"/>
    </row>
    <row r="10633" spans="1:1" x14ac:dyDescent="0.3">
      <c r="A10633" s="20"/>
    </row>
    <row r="10634" spans="1:1" x14ac:dyDescent="0.3">
      <c r="A10634" s="20"/>
    </row>
    <row r="10635" spans="1:1" x14ac:dyDescent="0.3">
      <c r="A10635" s="20"/>
    </row>
    <row r="10636" spans="1:1" x14ac:dyDescent="0.3">
      <c r="A10636" s="20"/>
    </row>
    <row r="10637" spans="1:1" x14ac:dyDescent="0.3">
      <c r="A10637" s="20"/>
    </row>
    <row r="10638" spans="1:1" x14ac:dyDescent="0.3">
      <c r="A10638" s="20"/>
    </row>
    <row r="10639" spans="1:1" x14ac:dyDescent="0.3">
      <c r="A10639" s="20"/>
    </row>
    <row r="10640" spans="1:1" x14ac:dyDescent="0.3">
      <c r="A10640" s="20"/>
    </row>
    <row r="10641" spans="1:1" x14ac:dyDescent="0.3">
      <c r="A10641" s="20"/>
    </row>
    <row r="10642" spans="1:1" x14ac:dyDescent="0.3">
      <c r="A10642" s="20"/>
    </row>
    <row r="10643" spans="1:1" x14ac:dyDescent="0.3">
      <c r="A10643" s="20"/>
    </row>
    <row r="10644" spans="1:1" x14ac:dyDescent="0.3">
      <c r="A10644" s="20"/>
    </row>
    <row r="10645" spans="1:1" x14ac:dyDescent="0.3">
      <c r="A10645" s="20"/>
    </row>
    <row r="10646" spans="1:1" x14ac:dyDescent="0.3">
      <c r="A10646" s="20"/>
    </row>
    <row r="10647" spans="1:1" x14ac:dyDescent="0.3">
      <c r="A10647" s="20"/>
    </row>
    <row r="10648" spans="1:1" x14ac:dyDescent="0.3">
      <c r="A10648" s="20"/>
    </row>
    <row r="10649" spans="1:1" x14ac:dyDescent="0.3">
      <c r="A10649" s="20"/>
    </row>
    <row r="10650" spans="1:1" x14ac:dyDescent="0.3">
      <c r="A10650" s="20"/>
    </row>
    <row r="10651" spans="1:1" x14ac:dyDescent="0.3">
      <c r="A10651" s="20"/>
    </row>
    <row r="10652" spans="1:1" x14ac:dyDescent="0.3">
      <c r="A10652" s="20"/>
    </row>
    <row r="10653" spans="1:1" x14ac:dyDescent="0.3">
      <c r="A10653" s="20"/>
    </row>
    <row r="10654" spans="1:1" x14ac:dyDescent="0.3">
      <c r="A10654" s="20"/>
    </row>
    <row r="10655" spans="1:1" x14ac:dyDescent="0.3">
      <c r="A10655" s="20"/>
    </row>
    <row r="10656" spans="1:1" x14ac:dyDescent="0.3">
      <c r="A10656" s="20"/>
    </row>
    <row r="10657" spans="1:1" x14ac:dyDescent="0.3">
      <c r="A10657" s="20"/>
    </row>
    <row r="10658" spans="1:1" x14ac:dyDescent="0.3">
      <c r="A10658" s="20"/>
    </row>
    <row r="10659" spans="1:1" x14ac:dyDescent="0.3">
      <c r="A10659" s="20"/>
    </row>
    <row r="10660" spans="1:1" x14ac:dyDescent="0.3">
      <c r="A10660" s="20"/>
    </row>
    <row r="10661" spans="1:1" x14ac:dyDescent="0.3">
      <c r="A10661" s="20"/>
    </row>
    <row r="10662" spans="1:1" x14ac:dyDescent="0.3">
      <c r="A10662" s="20"/>
    </row>
    <row r="10663" spans="1:1" x14ac:dyDescent="0.3">
      <c r="A10663" s="20"/>
    </row>
    <row r="10664" spans="1:1" x14ac:dyDescent="0.3">
      <c r="A10664" s="20"/>
    </row>
    <row r="10665" spans="1:1" x14ac:dyDescent="0.3">
      <c r="A10665" s="20"/>
    </row>
    <row r="10666" spans="1:1" x14ac:dyDescent="0.3">
      <c r="A10666" s="20"/>
    </row>
    <row r="10667" spans="1:1" x14ac:dyDescent="0.3">
      <c r="A10667" s="20"/>
    </row>
    <row r="10668" spans="1:1" x14ac:dyDescent="0.3">
      <c r="A10668" s="20"/>
    </row>
    <row r="10669" spans="1:1" x14ac:dyDescent="0.3">
      <c r="A10669" s="20"/>
    </row>
    <row r="10670" spans="1:1" x14ac:dyDescent="0.3">
      <c r="A10670" s="20"/>
    </row>
    <row r="10671" spans="1:1" x14ac:dyDescent="0.3">
      <c r="A10671" s="20"/>
    </row>
    <row r="10672" spans="1:1" x14ac:dyDescent="0.3">
      <c r="A10672" s="20"/>
    </row>
    <row r="10673" spans="1:1" x14ac:dyDescent="0.3">
      <c r="A10673" s="20"/>
    </row>
    <row r="10674" spans="1:1" x14ac:dyDescent="0.3">
      <c r="A10674" s="20"/>
    </row>
    <row r="10675" spans="1:1" x14ac:dyDescent="0.3">
      <c r="A10675" s="20"/>
    </row>
    <row r="10676" spans="1:1" x14ac:dyDescent="0.3">
      <c r="A10676" s="20"/>
    </row>
    <row r="10677" spans="1:1" x14ac:dyDescent="0.3">
      <c r="A10677" s="20"/>
    </row>
    <row r="10678" spans="1:1" x14ac:dyDescent="0.3">
      <c r="A10678" s="20"/>
    </row>
    <row r="10679" spans="1:1" x14ac:dyDescent="0.3">
      <c r="A10679" s="20"/>
    </row>
    <row r="10680" spans="1:1" x14ac:dyDescent="0.3">
      <c r="A10680" s="20"/>
    </row>
    <row r="10681" spans="1:1" x14ac:dyDescent="0.3">
      <c r="A10681" s="20"/>
    </row>
    <row r="10682" spans="1:1" x14ac:dyDescent="0.3">
      <c r="A10682" s="20"/>
    </row>
    <row r="10683" spans="1:1" x14ac:dyDescent="0.3">
      <c r="A10683" s="20"/>
    </row>
    <row r="10684" spans="1:1" x14ac:dyDescent="0.3">
      <c r="A10684" s="20"/>
    </row>
    <row r="10685" spans="1:1" x14ac:dyDescent="0.3">
      <c r="A10685" s="20"/>
    </row>
    <row r="10686" spans="1:1" x14ac:dyDescent="0.3">
      <c r="A10686" s="20"/>
    </row>
    <row r="10687" spans="1:1" x14ac:dyDescent="0.3">
      <c r="A10687" s="20"/>
    </row>
    <row r="10688" spans="1:1" x14ac:dyDescent="0.3">
      <c r="A10688" s="20"/>
    </row>
    <row r="10689" spans="1:1" x14ac:dyDescent="0.3">
      <c r="A10689" s="20"/>
    </row>
    <row r="10690" spans="1:1" x14ac:dyDescent="0.3">
      <c r="A10690" s="20"/>
    </row>
    <row r="10691" spans="1:1" x14ac:dyDescent="0.3">
      <c r="A10691" s="20"/>
    </row>
    <row r="10692" spans="1:1" x14ac:dyDescent="0.3">
      <c r="A10692" s="20"/>
    </row>
    <row r="10693" spans="1:1" x14ac:dyDescent="0.3">
      <c r="A10693" s="20"/>
    </row>
    <row r="10694" spans="1:1" x14ac:dyDescent="0.3">
      <c r="A10694" s="20"/>
    </row>
    <row r="10695" spans="1:1" x14ac:dyDescent="0.3">
      <c r="A10695" s="20"/>
    </row>
    <row r="10696" spans="1:1" x14ac:dyDescent="0.3">
      <c r="A10696" s="20"/>
    </row>
    <row r="10697" spans="1:1" x14ac:dyDescent="0.3">
      <c r="A10697" s="20"/>
    </row>
    <row r="10698" spans="1:1" x14ac:dyDescent="0.3">
      <c r="A10698" s="20"/>
    </row>
    <row r="10699" spans="1:1" x14ac:dyDescent="0.3">
      <c r="A10699" s="20"/>
    </row>
    <row r="10700" spans="1:1" x14ac:dyDescent="0.3">
      <c r="A10700" s="20"/>
    </row>
    <row r="10701" spans="1:1" x14ac:dyDescent="0.3">
      <c r="A10701" s="20"/>
    </row>
    <row r="10702" spans="1:1" x14ac:dyDescent="0.3">
      <c r="A10702" s="20"/>
    </row>
    <row r="10703" spans="1:1" x14ac:dyDescent="0.3">
      <c r="A10703" s="20"/>
    </row>
    <row r="10704" spans="1:1" x14ac:dyDescent="0.3">
      <c r="A10704" s="20"/>
    </row>
    <row r="10705" spans="1:1" x14ac:dyDescent="0.3">
      <c r="A10705" s="20"/>
    </row>
    <row r="10706" spans="1:1" x14ac:dyDescent="0.3">
      <c r="A10706" s="20"/>
    </row>
    <row r="10707" spans="1:1" x14ac:dyDescent="0.3">
      <c r="A10707" s="20"/>
    </row>
    <row r="10708" spans="1:1" x14ac:dyDescent="0.3">
      <c r="A10708" s="20"/>
    </row>
    <row r="10709" spans="1:1" x14ac:dyDescent="0.3">
      <c r="A10709" s="20"/>
    </row>
    <row r="10710" spans="1:1" x14ac:dyDescent="0.3">
      <c r="A10710" s="20"/>
    </row>
    <row r="10711" spans="1:1" x14ac:dyDescent="0.3">
      <c r="A10711" s="20"/>
    </row>
    <row r="10712" spans="1:1" x14ac:dyDescent="0.3">
      <c r="A10712" s="20"/>
    </row>
    <row r="10713" spans="1:1" x14ac:dyDescent="0.3">
      <c r="A10713" s="20"/>
    </row>
    <row r="10714" spans="1:1" x14ac:dyDescent="0.3">
      <c r="A10714" s="20"/>
    </row>
    <row r="10715" spans="1:1" x14ac:dyDescent="0.3">
      <c r="A10715" s="20"/>
    </row>
    <row r="10716" spans="1:1" x14ac:dyDescent="0.3">
      <c r="A10716" s="20"/>
    </row>
    <row r="10717" spans="1:1" x14ac:dyDescent="0.3">
      <c r="A10717" s="20"/>
    </row>
    <row r="10718" spans="1:1" x14ac:dyDescent="0.3">
      <c r="A10718" s="20"/>
    </row>
    <row r="10719" spans="1:1" x14ac:dyDescent="0.3">
      <c r="A10719" s="20"/>
    </row>
    <row r="10720" spans="1:1" x14ac:dyDescent="0.3">
      <c r="A10720" s="20"/>
    </row>
    <row r="10721" spans="1:1" x14ac:dyDescent="0.3">
      <c r="A10721" s="20"/>
    </row>
    <row r="10722" spans="1:1" x14ac:dyDescent="0.3">
      <c r="A10722" s="20"/>
    </row>
    <row r="10723" spans="1:1" x14ac:dyDescent="0.3">
      <c r="A10723" s="20"/>
    </row>
    <row r="10724" spans="1:1" x14ac:dyDescent="0.3">
      <c r="A10724" s="20"/>
    </row>
    <row r="10725" spans="1:1" x14ac:dyDescent="0.3">
      <c r="A10725" s="20"/>
    </row>
    <row r="10726" spans="1:1" x14ac:dyDescent="0.3">
      <c r="A10726" s="20"/>
    </row>
    <row r="10727" spans="1:1" x14ac:dyDescent="0.3">
      <c r="A10727" s="20"/>
    </row>
    <row r="10728" spans="1:1" x14ac:dyDescent="0.3">
      <c r="A10728" s="20"/>
    </row>
    <row r="10729" spans="1:1" x14ac:dyDescent="0.3">
      <c r="A10729" s="20"/>
    </row>
    <row r="10730" spans="1:1" x14ac:dyDescent="0.3">
      <c r="A10730" s="20"/>
    </row>
    <row r="10731" spans="1:1" x14ac:dyDescent="0.3">
      <c r="A10731" s="20"/>
    </row>
    <row r="10732" spans="1:1" x14ac:dyDescent="0.3">
      <c r="A10732" s="20"/>
    </row>
    <row r="10733" spans="1:1" x14ac:dyDescent="0.3">
      <c r="A10733" s="20"/>
    </row>
    <row r="10734" spans="1:1" x14ac:dyDescent="0.3">
      <c r="A10734" s="20"/>
    </row>
    <row r="10735" spans="1:1" x14ac:dyDescent="0.3">
      <c r="A10735" s="20"/>
    </row>
    <row r="10736" spans="1:1" x14ac:dyDescent="0.3">
      <c r="A10736" s="20"/>
    </row>
    <row r="10737" spans="1:1" x14ac:dyDescent="0.3">
      <c r="A10737" s="20"/>
    </row>
    <row r="10738" spans="1:1" x14ac:dyDescent="0.3">
      <c r="A10738" s="20"/>
    </row>
    <row r="10739" spans="1:1" x14ac:dyDescent="0.3">
      <c r="A10739" s="20"/>
    </row>
    <row r="10740" spans="1:1" x14ac:dyDescent="0.3">
      <c r="A10740" s="20"/>
    </row>
    <row r="10741" spans="1:1" x14ac:dyDescent="0.3">
      <c r="A10741" s="20"/>
    </row>
    <row r="10742" spans="1:1" x14ac:dyDescent="0.3">
      <c r="A10742" s="20"/>
    </row>
    <row r="10743" spans="1:1" x14ac:dyDescent="0.3">
      <c r="A10743" s="20"/>
    </row>
    <row r="10744" spans="1:1" x14ac:dyDescent="0.3">
      <c r="A10744" s="20"/>
    </row>
    <row r="10745" spans="1:1" x14ac:dyDescent="0.3">
      <c r="A10745" s="20"/>
    </row>
    <row r="10746" spans="1:1" x14ac:dyDescent="0.3">
      <c r="A10746" s="20"/>
    </row>
    <row r="10747" spans="1:1" x14ac:dyDescent="0.3">
      <c r="A10747" s="20"/>
    </row>
    <row r="10748" spans="1:1" x14ac:dyDescent="0.3">
      <c r="A10748" s="20"/>
    </row>
    <row r="10749" spans="1:1" x14ac:dyDescent="0.3">
      <c r="A10749" s="20"/>
    </row>
    <row r="10750" spans="1:1" x14ac:dyDescent="0.3">
      <c r="A10750" s="20"/>
    </row>
    <row r="10751" spans="1:1" x14ac:dyDescent="0.3">
      <c r="A10751" s="20"/>
    </row>
    <row r="10752" spans="1:1" x14ac:dyDescent="0.3">
      <c r="A10752" s="20"/>
    </row>
    <row r="10753" spans="1:1" x14ac:dyDescent="0.3">
      <c r="A10753" s="20"/>
    </row>
    <row r="10754" spans="1:1" x14ac:dyDescent="0.3">
      <c r="A10754" s="20"/>
    </row>
    <row r="10755" spans="1:1" x14ac:dyDescent="0.3">
      <c r="A10755" s="20"/>
    </row>
    <row r="10756" spans="1:1" x14ac:dyDescent="0.3">
      <c r="A10756" s="20"/>
    </row>
    <row r="10757" spans="1:1" x14ac:dyDescent="0.3">
      <c r="A10757" s="20"/>
    </row>
    <row r="10758" spans="1:1" x14ac:dyDescent="0.3">
      <c r="A10758" s="20"/>
    </row>
    <row r="10759" spans="1:1" x14ac:dyDescent="0.3">
      <c r="A10759" s="20"/>
    </row>
    <row r="10760" spans="1:1" x14ac:dyDescent="0.3">
      <c r="A10760" s="20"/>
    </row>
    <row r="10761" spans="1:1" x14ac:dyDescent="0.3">
      <c r="A10761" s="20"/>
    </row>
    <row r="10762" spans="1:1" x14ac:dyDescent="0.3">
      <c r="A10762" s="20"/>
    </row>
    <row r="10763" spans="1:1" x14ac:dyDescent="0.3">
      <c r="A10763" s="20"/>
    </row>
    <row r="10764" spans="1:1" x14ac:dyDescent="0.3">
      <c r="A10764" s="20"/>
    </row>
    <row r="10765" spans="1:1" x14ac:dyDescent="0.3">
      <c r="A10765" s="20"/>
    </row>
    <row r="10766" spans="1:1" x14ac:dyDescent="0.3">
      <c r="A10766" s="20"/>
    </row>
    <row r="10767" spans="1:1" x14ac:dyDescent="0.3">
      <c r="A10767" s="20"/>
    </row>
    <row r="10768" spans="1:1" x14ac:dyDescent="0.3">
      <c r="A10768" s="20"/>
    </row>
    <row r="10769" spans="1:1" x14ac:dyDescent="0.3">
      <c r="A10769" s="20"/>
    </row>
    <row r="10770" spans="1:1" x14ac:dyDescent="0.3">
      <c r="A10770" s="20"/>
    </row>
    <row r="10771" spans="1:1" x14ac:dyDescent="0.3">
      <c r="A10771" s="20"/>
    </row>
    <row r="10772" spans="1:1" x14ac:dyDescent="0.3">
      <c r="A10772" s="20"/>
    </row>
    <row r="10773" spans="1:1" x14ac:dyDescent="0.3">
      <c r="A10773" s="20"/>
    </row>
    <row r="10774" spans="1:1" x14ac:dyDescent="0.3">
      <c r="A10774" s="20"/>
    </row>
    <row r="10775" spans="1:1" x14ac:dyDescent="0.3">
      <c r="A10775" s="20"/>
    </row>
    <row r="10776" spans="1:1" x14ac:dyDescent="0.3">
      <c r="A10776" s="20"/>
    </row>
    <row r="10777" spans="1:1" x14ac:dyDescent="0.3">
      <c r="A10777" s="20"/>
    </row>
    <row r="10778" spans="1:1" x14ac:dyDescent="0.3">
      <c r="A10778" s="20"/>
    </row>
    <row r="10779" spans="1:1" x14ac:dyDescent="0.3">
      <c r="A10779" s="20"/>
    </row>
    <row r="10780" spans="1:1" x14ac:dyDescent="0.3">
      <c r="A10780" s="20"/>
    </row>
    <row r="10781" spans="1:1" x14ac:dyDescent="0.3">
      <c r="A10781" s="20"/>
    </row>
    <row r="10782" spans="1:1" x14ac:dyDescent="0.3">
      <c r="A10782" s="20"/>
    </row>
    <row r="10783" spans="1:1" x14ac:dyDescent="0.3">
      <c r="A10783" s="20"/>
    </row>
    <row r="10784" spans="1:1" x14ac:dyDescent="0.3">
      <c r="A10784" s="20"/>
    </row>
    <row r="10785" spans="1:1" x14ac:dyDescent="0.3">
      <c r="A10785" s="20"/>
    </row>
    <row r="10786" spans="1:1" x14ac:dyDescent="0.3">
      <c r="A10786" s="20"/>
    </row>
    <row r="10787" spans="1:1" x14ac:dyDescent="0.3">
      <c r="A10787" s="20"/>
    </row>
    <row r="10788" spans="1:1" x14ac:dyDescent="0.3">
      <c r="A10788" s="20"/>
    </row>
    <row r="10789" spans="1:1" x14ac:dyDescent="0.3">
      <c r="A10789" s="20"/>
    </row>
    <row r="10790" spans="1:1" x14ac:dyDescent="0.3">
      <c r="A10790" s="20"/>
    </row>
    <row r="10791" spans="1:1" x14ac:dyDescent="0.3">
      <c r="A10791" s="20"/>
    </row>
    <row r="10792" spans="1:1" x14ac:dyDescent="0.3">
      <c r="A10792" s="20"/>
    </row>
    <row r="10793" spans="1:1" x14ac:dyDescent="0.3">
      <c r="A10793" s="20"/>
    </row>
    <row r="10794" spans="1:1" x14ac:dyDescent="0.3">
      <c r="A10794" s="20"/>
    </row>
    <row r="10795" spans="1:1" x14ac:dyDescent="0.3">
      <c r="A10795" s="20"/>
    </row>
    <row r="10796" spans="1:1" x14ac:dyDescent="0.3">
      <c r="A10796" s="20"/>
    </row>
    <row r="10797" spans="1:1" x14ac:dyDescent="0.3">
      <c r="A10797" s="20"/>
    </row>
    <row r="10798" spans="1:1" x14ac:dyDescent="0.3">
      <c r="A10798" s="20"/>
    </row>
    <row r="10799" spans="1:1" x14ac:dyDescent="0.3">
      <c r="A10799" s="20"/>
    </row>
    <row r="10800" spans="1:1" x14ac:dyDescent="0.3">
      <c r="A10800" s="20"/>
    </row>
    <row r="10801" spans="1:1" x14ac:dyDescent="0.3">
      <c r="A10801" s="20"/>
    </row>
    <row r="10802" spans="1:1" x14ac:dyDescent="0.3">
      <c r="A10802" s="20"/>
    </row>
    <row r="10803" spans="1:1" x14ac:dyDescent="0.3">
      <c r="A10803" s="20"/>
    </row>
    <row r="10804" spans="1:1" x14ac:dyDescent="0.3">
      <c r="A10804" s="20"/>
    </row>
    <row r="10805" spans="1:1" x14ac:dyDescent="0.3">
      <c r="A10805" s="20"/>
    </row>
    <row r="10806" spans="1:1" x14ac:dyDescent="0.3">
      <c r="A10806" s="20"/>
    </row>
    <row r="10807" spans="1:1" x14ac:dyDescent="0.3">
      <c r="A10807" s="20"/>
    </row>
    <row r="10808" spans="1:1" x14ac:dyDescent="0.3">
      <c r="A10808" s="20"/>
    </row>
    <row r="10809" spans="1:1" x14ac:dyDescent="0.3">
      <c r="A10809" s="20"/>
    </row>
    <row r="10810" spans="1:1" x14ac:dyDescent="0.3">
      <c r="A10810" s="20"/>
    </row>
    <row r="10811" spans="1:1" x14ac:dyDescent="0.3">
      <c r="A10811" s="20"/>
    </row>
    <row r="10812" spans="1:1" x14ac:dyDescent="0.3">
      <c r="A10812" s="20"/>
    </row>
    <row r="10813" spans="1:1" x14ac:dyDescent="0.3">
      <c r="A10813" s="20"/>
    </row>
    <row r="10814" spans="1:1" x14ac:dyDescent="0.3">
      <c r="A10814" s="20"/>
    </row>
    <row r="10815" spans="1:1" x14ac:dyDescent="0.3">
      <c r="A10815" s="20"/>
    </row>
    <row r="10816" spans="1:1" x14ac:dyDescent="0.3">
      <c r="A10816" s="20"/>
    </row>
    <row r="10817" spans="1:1" x14ac:dyDescent="0.3">
      <c r="A10817" s="20"/>
    </row>
    <row r="10818" spans="1:1" x14ac:dyDescent="0.3">
      <c r="A10818" s="20"/>
    </row>
    <row r="10819" spans="1:1" x14ac:dyDescent="0.3">
      <c r="A10819" s="20"/>
    </row>
    <row r="10820" spans="1:1" x14ac:dyDescent="0.3">
      <c r="A10820" s="20"/>
    </row>
    <row r="10821" spans="1:1" x14ac:dyDescent="0.3">
      <c r="A10821" s="20"/>
    </row>
    <row r="10822" spans="1:1" x14ac:dyDescent="0.3">
      <c r="A10822" s="20"/>
    </row>
    <row r="10823" spans="1:1" x14ac:dyDescent="0.3">
      <c r="A10823" s="20"/>
    </row>
    <row r="10824" spans="1:1" x14ac:dyDescent="0.3">
      <c r="A10824" s="20"/>
    </row>
    <row r="10825" spans="1:1" x14ac:dyDescent="0.3">
      <c r="A10825" s="20"/>
    </row>
    <row r="10826" spans="1:1" x14ac:dyDescent="0.3">
      <c r="A10826" s="20"/>
    </row>
    <row r="10827" spans="1:1" x14ac:dyDescent="0.3">
      <c r="A10827" s="20"/>
    </row>
    <row r="10828" spans="1:1" x14ac:dyDescent="0.3">
      <c r="A10828" s="20"/>
    </row>
    <row r="10829" spans="1:1" x14ac:dyDescent="0.3">
      <c r="A10829" s="20"/>
    </row>
    <row r="10830" spans="1:1" x14ac:dyDescent="0.3">
      <c r="A10830" s="20"/>
    </row>
    <row r="10831" spans="1:1" x14ac:dyDescent="0.3">
      <c r="A10831" s="20"/>
    </row>
    <row r="10832" spans="1:1" x14ac:dyDescent="0.3">
      <c r="A10832" s="20"/>
    </row>
    <row r="10833" spans="1:1" x14ac:dyDescent="0.3">
      <c r="A10833" s="20"/>
    </row>
    <row r="10834" spans="1:1" x14ac:dyDescent="0.3">
      <c r="A10834" s="20"/>
    </row>
    <row r="10835" spans="1:1" x14ac:dyDescent="0.3">
      <c r="A10835" s="20"/>
    </row>
    <row r="10836" spans="1:1" x14ac:dyDescent="0.3">
      <c r="A10836" s="20"/>
    </row>
    <row r="10837" spans="1:1" x14ac:dyDescent="0.3">
      <c r="A10837" s="20"/>
    </row>
    <row r="10838" spans="1:1" x14ac:dyDescent="0.3">
      <c r="A10838" s="20"/>
    </row>
    <row r="10839" spans="1:1" x14ac:dyDescent="0.3">
      <c r="A10839" s="20"/>
    </row>
    <row r="10840" spans="1:1" x14ac:dyDescent="0.3">
      <c r="A10840" s="20"/>
    </row>
    <row r="10841" spans="1:1" x14ac:dyDescent="0.3">
      <c r="A10841" s="20"/>
    </row>
    <row r="10842" spans="1:1" x14ac:dyDescent="0.3">
      <c r="A10842" s="20"/>
    </row>
    <row r="10843" spans="1:1" x14ac:dyDescent="0.3">
      <c r="A10843" s="20"/>
    </row>
    <row r="10844" spans="1:1" x14ac:dyDescent="0.3">
      <c r="A10844" s="20"/>
    </row>
    <row r="10845" spans="1:1" x14ac:dyDescent="0.3">
      <c r="A10845" s="20"/>
    </row>
    <row r="10846" spans="1:1" x14ac:dyDescent="0.3">
      <c r="A10846" s="20"/>
    </row>
    <row r="10847" spans="1:1" x14ac:dyDescent="0.3">
      <c r="A10847" s="20"/>
    </row>
    <row r="10848" spans="1:1" x14ac:dyDescent="0.3">
      <c r="A10848" s="20"/>
    </row>
    <row r="10849" spans="1:1" x14ac:dyDescent="0.3">
      <c r="A10849" s="20"/>
    </row>
    <row r="10850" spans="1:1" x14ac:dyDescent="0.3">
      <c r="A10850" s="20"/>
    </row>
    <row r="10851" spans="1:1" x14ac:dyDescent="0.3">
      <c r="A10851" s="20"/>
    </row>
    <row r="10852" spans="1:1" x14ac:dyDescent="0.3">
      <c r="A10852" s="20"/>
    </row>
    <row r="10853" spans="1:1" x14ac:dyDescent="0.3">
      <c r="A10853" s="20"/>
    </row>
    <row r="10854" spans="1:1" x14ac:dyDescent="0.3">
      <c r="A10854" s="20"/>
    </row>
    <row r="10855" spans="1:1" x14ac:dyDescent="0.3">
      <c r="A10855" s="20"/>
    </row>
    <row r="10856" spans="1:1" x14ac:dyDescent="0.3">
      <c r="A10856" s="20"/>
    </row>
    <row r="10857" spans="1:1" x14ac:dyDescent="0.3">
      <c r="A10857" s="20"/>
    </row>
    <row r="10858" spans="1:1" x14ac:dyDescent="0.3">
      <c r="A10858" s="20"/>
    </row>
    <row r="10859" spans="1:1" x14ac:dyDescent="0.3">
      <c r="A10859" s="20"/>
    </row>
    <row r="10860" spans="1:1" x14ac:dyDescent="0.3">
      <c r="A10860" s="20"/>
    </row>
    <row r="10861" spans="1:1" x14ac:dyDescent="0.3">
      <c r="A10861" s="20"/>
    </row>
    <row r="10862" spans="1:1" x14ac:dyDescent="0.3">
      <c r="A10862" s="20"/>
    </row>
    <row r="10863" spans="1:1" x14ac:dyDescent="0.3">
      <c r="A10863" s="20"/>
    </row>
    <row r="10864" spans="1:1" x14ac:dyDescent="0.3">
      <c r="A10864" s="20"/>
    </row>
    <row r="10865" spans="1:1" x14ac:dyDescent="0.3">
      <c r="A10865" s="20"/>
    </row>
    <row r="10866" spans="1:1" x14ac:dyDescent="0.3">
      <c r="A10866" s="20"/>
    </row>
    <row r="10867" spans="1:1" x14ac:dyDescent="0.3">
      <c r="A10867" s="20"/>
    </row>
    <row r="10868" spans="1:1" x14ac:dyDescent="0.3">
      <c r="A10868" s="20"/>
    </row>
    <row r="10869" spans="1:1" x14ac:dyDescent="0.3">
      <c r="A10869" s="20"/>
    </row>
    <row r="10870" spans="1:1" x14ac:dyDescent="0.3">
      <c r="A10870" s="20"/>
    </row>
    <row r="10871" spans="1:1" x14ac:dyDescent="0.3">
      <c r="A10871" s="20"/>
    </row>
    <row r="10872" spans="1:1" x14ac:dyDescent="0.3">
      <c r="A10872" s="20"/>
    </row>
    <row r="10873" spans="1:1" x14ac:dyDescent="0.3">
      <c r="A10873" s="20"/>
    </row>
    <row r="10874" spans="1:1" x14ac:dyDescent="0.3">
      <c r="A10874" s="20"/>
    </row>
    <row r="10875" spans="1:1" x14ac:dyDescent="0.3">
      <c r="A10875" s="20"/>
    </row>
    <row r="10876" spans="1:1" x14ac:dyDescent="0.3">
      <c r="A10876" s="20"/>
    </row>
    <row r="10877" spans="1:1" x14ac:dyDescent="0.3">
      <c r="A10877" s="20"/>
    </row>
    <row r="10878" spans="1:1" x14ac:dyDescent="0.3">
      <c r="A10878" s="20"/>
    </row>
    <row r="10879" spans="1:1" x14ac:dyDescent="0.3">
      <c r="A10879" s="20"/>
    </row>
    <row r="10880" spans="1:1" x14ac:dyDescent="0.3">
      <c r="A10880" s="20"/>
    </row>
    <row r="10881" spans="1:1" x14ac:dyDescent="0.3">
      <c r="A10881" s="20"/>
    </row>
    <row r="10882" spans="1:1" x14ac:dyDescent="0.3">
      <c r="A10882" s="20"/>
    </row>
    <row r="10883" spans="1:1" x14ac:dyDescent="0.3">
      <c r="A10883" s="20"/>
    </row>
    <row r="10884" spans="1:1" x14ac:dyDescent="0.3">
      <c r="A10884" s="20"/>
    </row>
    <row r="10885" spans="1:1" x14ac:dyDescent="0.3">
      <c r="A10885" s="20"/>
    </row>
    <row r="10886" spans="1:1" x14ac:dyDescent="0.3">
      <c r="A10886" s="20"/>
    </row>
    <row r="10887" spans="1:1" x14ac:dyDescent="0.3">
      <c r="A10887" s="20"/>
    </row>
    <row r="10888" spans="1:1" x14ac:dyDescent="0.3">
      <c r="A10888" s="20"/>
    </row>
    <row r="10889" spans="1:1" x14ac:dyDescent="0.3">
      <c r="A10889" s="20"/>
    </row>
    <row r="10890" spans="1:1" x14ac:dyDescent="0.3">
      <c r="A10890" s="20"/>
    </row>
    <row r="10891" spans="1:1" x14ac:dyDescent="0.3">
      <c r="A10891" s="20"/>
    </row>
    <row r="10892" spans="1:1" x14ac:dyDescent="0.3">
      <c r="A10892" s="20"/>
    </row>
    <row r="10893" spans="1:1" x14ac:dyDescent="0.3">
      <c r="A10893" s="20"/>
    </row>
    <row r="10894" spans="1:1" x14ac:dyDescent="0.3">
      <c r="A10894" s="20"/>
    </row>
    <row r="10895" spans="1:1" x14ac:dyDescent="0.3">
      <c r="A10895" s="20"/>
    </row>
    <row r="10896" spans="1:1" x14ac:dyDescent="0.3">
      <c r="A10896" s="20"/>
    </row>
    <row r="10897" spans="1:1" x14ac:dyDescent="0.3">
      <c r="A10897" s="20"/>
    </row>
    <row r="10898" spans="1:1" x14ac:dyDescent="0.3">
      <c r="A10898" s="20"/>
    </row>
    <row r="10899" spans="1:1" x14ac:dyDescent="0.3">
      <c r="A10899" s="20"/>
    </row>
    <row r="10900" spans="1:1" x14ac:dyDescent="0.3">
      <c r="A10900" s="20"/>
    </row>
    <row r="10901" spans="1:1" x14ac:dyDescent="0.3">
      <c r="A10901" s="20"/>
    </row>
    <row r="10902" spans="1:1" x14ac:dyDescent="0.3">
      <c r="A10902" s="20"/>
    </row>
    <row r="10903" spans="1:1" x14ac:dyDescent="0.3">
      <c r="A10903" s="20"/>
    </row>
    <row r="10904" spans="1:1" x14ac:dyDescent="0.3">
      <c r="A10904" s="20"/>
    </row>
    <row r="10905" spans="1:1" x14ac:dyDescent="0.3">
      <c r="A10905" s="20"/>
    </row>
    <row r="10906" spans="1:1" x14ac:dyDescent="0.3">
      <c r="A10906" s="20"/>
    </row>
    <row r="10907" spans="1:1" x14ac:dyDescent="0.3">
      <c r="A10907" s="20"/>
    </row>
    <row r="10908" spans="1:1" x14ac:dyDescent="0.3">
      <c r="A10908" s="20"/>
    </row>
    <row r="10909" spans="1:1" x14ac:dyDescent="0.3">
      <c r="A10909" s="20"/>
    </row>
    <row r="10910" spans="1:1" x14ac:dyDescent="0.3">
      <c r="A10910" s="20"/>
    </row>
    <row r="10911" spans="1:1" x14ac:dyDescent="0.3">
      <c r="A10911" s="20"/>
    </row>
    <row r="10912" spans="1:1" x14ac:dyDescent="0.3">
      <c r="A10912" s="20"/>
    </row>
    <row r="10913" spans="1:1" x14ac:dyDescent="0.3">
      <c r="A10913" s="20"/>
    </row>
    <row r="10914" spans="1:1" x14ac:dyDescent="0.3">
      <c r="A10914" s="20"/>
    </row>
    <row r="10915" spans="1:1" x14ac:dyDescent="0.3">
      <c r="A10915" s="20"/>
    </row>
    <row r="10916" spans="1:1" x14ac:dyDescent="0.3">
      <c r="A10916" s="20"/>
    </row>
    <row r="10917" spans="1:1" x14ac:dyDescent="0.3">
      <c r="A10917" s="20"/>
    </row>
    <row r="10918" spans="1:1" x14ac:dyDescent="0.3">
      <c r="A10918" s="20"/>
    </row>
    <row r="10919" spans="1:1" x14ac:dyDescent="0.3">
      <c r="A10919" s="20"/>
    </row>
    <row r="10920" spans="1:1" x14ac:dyDescent="0.3">
      <c r="A10920" s="20"/>
    </row>
    <row r="10921" spans="1:1" x14ac:dyDescent="0.3">
      <c r="A10921" s="20"/>
    </row>
    <row r="10922" spans="1:1" x14ac:dyDescent="0.3">
      <c r="A10922" s="20"/>
    </row>
    <row r="10923" spans="1:1" x14ac:dyDescent="0.3">
      <c r="A10923" s="20"/>
    </row>
    <row r="10924" spans="1:1" x14ac:dyDescent="0.3">
      <c r="A10924" s="20"/>
    </row>
    <row r="10925" spans="1:1" x14ac:dyDescent="0.3">
      <c r="A10925" s="20"/>
    </row>
    <row r="10926" spans="1:1" x14ac:dyDescent="0.3">
      <c r="A10926" s="20"/>
    </row>
    <row r="10927" spans="1:1" x14ac:dyDescent="0.3">
      <c r="A10927" s="20"/>
    </row>
    <row r="10928" spans="1:1" x14ac:dyDescent="0.3">
      <c r="A10928" s="20"/>
    </row>
    <row r="10929" spans="1:1" x14ac:dyDescent="0.3">
      <c r="A10929" s="20"/>
    </row>
    <row r="10930" spans="1:1" x14ac:dyDescent="0.3">
      <c r="A10930" s="20"/>
    </row>
    <row r="10931" spans="1:1" x14ac:dyDescent="0.3">
      <c r="A10931" s="20"/>
    </row>
    <row r="10932" spans="1:1" x14ac:dyDescent="0.3">
      <c r="A10932" s="20"/>
    </row>
    <row r="10933" spans="1:1" x14ac:dyDescent="0.3">
      <c r="A10933" s="20"/>
    </row>
    <row r="10934" spans="1:1" x14ac:dyDescent="0.3">
      <c r="A10934" s="20"/>
    </row>
    <row r="10935" spans="1:1" x14ac:dyDescent="0.3">
      <c r="A10935" s="20"/>
    </row>
    <row r="10936" spans="1:1" x14ac:dyDescent="0.3">
      <c r="A10936" s="20"/>
    </row>
    <row r="10937" spans="1:1" x14ac:dyDescent="0.3">
      <c r="A10937" s="20"/>
    </row>
    <row r="10938" spans="1:1" x14ac:dyDescent="0.3">
      <c r="A10938" s="20"/>
    </row>
    <row r="10939" spans="1:1" x14ac:dyDescent="0.3">
      <c r="A10939" s="20"/>
    </row>
    <row r="10940" spans="1:1" x14ac:dyDescent="0.3">
      <c r="A10940" s="20"/>
    </row>
    <row r="10941" spans="1:1" x14ac:dyDescent="0.3">
      <c r="A10941" s="20"/>
    </row>
    <row r="10942" spans="1:1" x14ac:dyDescent="0.3">
      <c r="A10942" s="20"/>
    </row>
    <row r="10943" spans="1:1" x14ac:dyDescent="0.3">
      <c r="A10943" s="20"/>
    </row>
    <row r="10944" spans="1:1" x14ac:dyDescent="0.3">
      <c r="A10944" s="20"/>
    </row>
    <row r="10945" spans="1:1" x14ac:dyDescent="0.3">
      <c r="A10945" s="20"/>
    </row>
    <row r="10946" spans="1:1" x14ac:dyDescent="0.3">
      <c r="A10946" s="20"/>
    </row>
    <row r="10947" spans="1:1" x14ac:dyDescent="0.3">
      <c r="A10947" s="20"/>
    </row>
    <row r="10948" spans="1:1" x14ac:dyDescent="0.3">
      <c r="A10948" s="20"/>
    </row>
    <row r="10949" spans="1:1" x14ac:dyDescent="0.3">
      <c r="A10949" s="20"/>
    </row>
    <row r="10950" spans="1:1" x14ac:dyDescent="0.3">
      <c r="A10950" s="20"/>
    </row>
    <row r="10951" spans="1:1" x14ac:dyDescent="0.3">
      <c r="A10951" s="20"/>
    </row>
    <row r="10952" spans="1:1" x14ac:dyDescent="0.3">
      <c r="A10952" s="20"/>
    </row>
    <row r="10953" spans="1:1" x14ac:dyDescent="0.3">
      <c r="A10953" s="20"/>
    </row>
    <row r="10954" spans="1:1" x14ac:dyDescent="0.3">
      <c r="A10954" s="20"/>
    </row>
    <row r="10955" spans="1:1" x14ac:dyDescent="0.3">
      <c r="A10955" s="20"/>
    </row>
    <row r="10956" spans="1:1" x14ac:dyDescent="0.3">
      <c r="A10956" s="20"/>
    </row>
    <row r="10957" spans="1:1" x14ac:dyDescent="0.3">
      <c r="A10957" s="20"/>
    </row>
    <row r="10958" spans="1:1" x14ac:dyDescent="0.3">
      <c r="A10958" s="20"/>
    </row>
    <row r="10959" spans="1:1" x14ac:dyDescent="0.3">
      <c r="A10959" s="20"/>
    </row>
    <row r="10960" spans="1:1" x14ac:dyDescent="0.3">
      <c r="A10960" s="20"/>
    </row>
    <row r="10961" spans="1:1" x14ac:dyDescent="0.3">
      <c r="A10961" s="20"/>
    </row>
    <row r="10962" spans="1:1" x14ac:dyDescent="0.3">
      <c r="A10962" s="20"/>
    </row>
    <row r="10963" spans="1:1" x14ac:dyDescent="0.3">
      <c r="A10963" s="20"/>
    </row>
    <row r="10964" spans="1:1" x14ac:dyDescent="0.3">
      <c r="A10964" s="20"/>
    </row>
    <row r="10965" spans="1:1" x14ac:dyDescent="0.3">
      <c r="A10965" s="20"/>
    </row>
    <row r="10966" spans="1:1" x14ac:dyDescent="0.3">
      <c r="A10966" s="20"/>
    </row>
    <row r="10967" spans="1:1" x14ac:dyDescent="0.3">
      <c r="A10967" s="20"/>
    </row>
    <row r="10968" spans="1:1" x14ac:dyDescent="0.3">
      <c r="A10968" s="20"/>
    </row>
    <row r="10969" spans="1:1" x14ac:dyDescent="0.3">
      <c r="A10969" s="20"/>
    </row>
    <row r="10970" spans="1:1" x14ac:dyDescent="0.3">
      <c r="A10970" s="20"/>
    </row>
    <row r="10971" spans="1:1" x14ac:dyDescent="0.3">
      <c r="A10971" s="20"/>
    </row>
    <row r="10972" spans="1:1" x14ac:dyDescent="0.3">
      <c r="A10972" s="20"/>
    </row>
    <row r="10973" spans="1:1" x14ac:dyDescent="0.3">
      <c r="A10973" s="20"/>
    </row>
    <row r="10974" spans="1:1" x14ac:dyDescent="0.3">
      <c r="A10974" s="20"/>
    </row>
    <row r="10975" spans="1:1" x14ac:dyDescent="0.3">
      <c r="A10975" s="20"/>
    </row>
    <row r="10976" spans="1:1" x14ac:dyDescent="0.3">
      <c r="A10976" s="20"/>
    </row>
    <row r="10977" spans="1:1" x14ac:dyDescent="0.3">
      <c r="A10977" s="20"/>
    </row>
    <row r="10978" spans="1:1" x14ac:dyDescent="0.3">
      <c r="A10978" s="20"/>
    </row>
    <row r="10979" spans="1:1" x14ac:dyDescent="0.3">
      <c r="A10979" s="20"/>
    </row>
    <row r="10980" spans="1:1" x14ac:dyDescent="0.3">
      <c r="A10980" s="20"/>
    </row>
    <row r="10981" spans="1:1" x14ac:dyDescent="0.3">
      <c r="A10981" s="20"/>
    </row>
    <row r="10982" spans="1:1" x14ac:dyDescent="0.3">
      <c r="A10982" s="20"/>
    </row>
    <row r="10983" spans="1:1" x14ac:dyDescent="0.3">
      <c r="A10983" s="20"/>
    </row>
    <row r="10984" spans="1:1" x14ac:dyDescent="0.3">
      <c r="A10984" s="20"/>
    </row>
    <row r="10985" spans="1:1" x14ac:dyDescent="0.3">
      <c r="A10985" s="20"/>
    </row>
    <row r="10986" spans="1:1" x14ac:dyDescent="0.3">
      <c r="A10986" s="20"/>
    </row>
    <row r="10987" spans="1:1" x14ac:dyDescent="0.3">
      <c r="A10987" s="20"/>
    </row>
    <row r="10988" spans="1:1" x14ac:dyDescent="0.3">
      <c r="A10988" s="20"/>
    </row>
    <row r="10989" spans="1:1" x14ac:dyDescent="0.3">
      <c r="A10989" s="20"/>
    </row>
    <row r="10990" spans="1:1" x14ac:dyDescent="0.3">
      <c r="A10990" s="20"/>
    </row>
    <row r="10991" spans="1:1" x14ac:dyDescent="0.3">
      <c r="A10991" s="20"/>
    </row>
    <row r="10992" spans="1:1" x14ac:dyDescent="0.3">
      <c r="A10992" s="20"/>
    </row>
    <row r="10993" spans="1:1" x14ac:dyDescent="0.3">
      <c r="A10993" s="20"/>
    </row>
    <row r="10994" spans="1:1" x14ac:dyDescent="0.3">
      <c r="A10994" s="20"/>
    </row>
    <row r="10995" spans="1:1" x14ac:dyDescent="0.3">
      <c r="A10995" s="20"/>
    </row>
    <row r="10996" spans="1:1" x14ac:dyDescent="0.3">
      <c r="A10996" s="20"/>
    </row>
    <row r="10997" spans="1:1" x14ac:dyDescent="0.3">
      <c r="A10997" s="20"/>
    </row>
    <row r="10998" spans="1:1" x14ac:dyDescent="0.3">
      <c r="A10998" s="20"/>
    </row>
    <row r="10999" spans="1:1" x14ac:dyDescent="0.3">
      <c r="A10999" s="20"/>
    </row>
    <row r="11000" spans="1:1" x14ac:dyDescent="0.3">
      <c r="A11000" s="20"/>
    </row>
    <row r="11001" spans="1:1" x14ac:dyDescent="0.3">
      <c r="A11001" s="20"/>
    </row>
    <row r="11002" spans="1:1" x14ac:dyDescent="0.3">
      <c r="A11002" s="20"/>
    </row>
    <row r="11003" spans="1:1" x14ac:dyDescent="0.3">
      <c r="A11003" s="20"/>
    </row>
    <row r="11004" spans="1:1" x14ac:dyDescent="0.3">
      <c r="A11004" s="20"/>
    </row>
    <row r="11005" spans="1:1" x14ac:dyDescent="0.3">
      <c r="A11005" s="20"/>
    </row>
    <row r="11006" spans="1:1" x14ac:dyDescent="0.3">
      <c r="A11006" s="20"/>
    </row>
    <row r="11007" spans="1:1" x14ac:dyDescent="0.3">
      <c r="A11007" s="20"/>
    </row>
    <row r="11008" spans="1:1" x14ac:dyDescent="0.3">
      <c r="A11008" s="20"/>
    </row>
    <row r="11009" spans="1:1" x14ac:dyDescent="0.3">
      <c r="A11009" s="20"/>
    </row>
    <row r="11010" spans="1:1" x14ac:dyDescent="0.3">
      <c r="A11010" s="20"/>
    </row>
    <row r="11011" spans="1:1" x14ac:dyDescent="0.3">
      <c r="A11011" s="20"/>
    </row>
    <row r="11012" spans="1:1" x14ac:dyDescent="0.3">
      <c r="A11012" s="20"/>
    </row>
    <row r="11013" spans="1:1" x14ac:dyDescent="0.3">
      <c r="A11013" s="20"/>
    </row>
    <row r="11014" spans="1:1" x14ac:dyDescent="0.3">
      <c r="A11014" s="20"/>
    </row>
    <row r="11015" spans="1:1" x14ac:dyDescent="0.3">
      <c r="A11015" s="20"/>
    </row>
    <row r="11016" spans="1:1" x14ac:dyDescent="0.3">
      <c r="A11016" s="20"/>
    </row>
    <row r="11017" spans="1:1" x14ac:dyDescent="0.3">
      <c r="A11017" s="20"/>
    </row>
    <row r="11018" spans="1:1" x14ac:dyDescent="0.3">
      <c r="A11018" s="20"/>
    </row>
    <row r="11019" spans="1:1" x14ac:dyDescent="0.3">
      <c r="A11019" s="20"/>
    </row>
    <row r="11020" spans="1:1" x14ac:dyDescent="0.3">
      <c r="A11020" s="20"/>
    </row>
    <row r="11021" spans="1:1" x14ac:dyDescent="0.3">
      <c r="A11021" s="20"/>
    </row>
    <row r="11022" spans="1:1" x14ac:dyDescent="0.3">
      <c r="A11022" s="20"/>
    </row>
    <row r="11023" spans="1:1" x14ac:dyDescent="0.3">
      <c r="A11023" s="20"/>
    </row>
    <row r="11024" spans="1:1" x14ac:dyDescent="0.3">
      <c r="A11024" s="20"/>
    </row>
    <row r="11025" spans="1:1" x14ac:dyDescent="0.3">
      <c r="A11025" s="20"/>
    </row>
    <row r="11026" spans="1:1" x14ac:dyDescent="0.3">
      <c r="A11026" s="20"/>
    </row>
    <row r="11027" spans="1:1" x14ac:dyDescent="0.3">
      <c r="A11027" s="20"/>
    </row>
    <row r="11028" spans="1:1" x14ac:dyDescent="0.3">
      <c r="A11028" s="20"/>
    </row>
    <row r="11029" spans="1:1" x14ac:dyDescent="0.3">
      <c r="A11029" s="20"/>
    </row>
    <row r="11030" spans="1:1" x14ac:dyDescent="0.3">
      <c r="A11030" s="20"/>
    </row>
    <row r="11031" spans="1:1" x14ac:dyDescent="0.3">
      <c r="A11031" s="20"/>
    </row>
    <row r="11032" spans="1:1" x14ac:dyDescent="0.3">
      <c r="A11032" s="20"/>
    </row>
    <row r="11033" spans="1:1" x14ac:dyDescent="0.3">
      <c r="A11033" s="20"/>
    </row>
    <row r="11034" spans="1:1" x14ac:dyDescent="0.3">
      <c r="A11034" s="20"/>
    </row>
    <row r="11035" spans="1:1" x14ac:dyDescent="0.3">
      <c r="A11035" s="20"/>
    </row>
    <row r="11036" spans="1:1" x14ac:dyDescent="0.3">
      <c r="A11036" s="20"/>
    </row>
    <row r="11037" spans="1:1" x14ac:dyDescent="0.3">
      <c r="A11037" s="20"/>
    </row>
    <row r="11038" spans="1:1" x14ac:dyDescent="0.3">
      <c r="A11038" s="20"/>
    </row>
    <row r="11039" spans="1:1" x14ac:dyDescent="0.3">
      <c r="A11039" s="20"/>
    </row>
    <row r="11040" spans="1:1" x14ac:dyDescent="0.3">
      <c r="A11040" s="20"/>
    </row>
    <row r="11041" spans="1:1" x14ac:dyDescent="0.3">
      <c r="A11041" s="20"/>
    </row>
    <row r="11042" spans="1:1" x14ac:dyDescent="0.3">
      <c r="A11042" s="20"/>
    </row>
    <row r="11043" spans="1:1" x14ac:dyDescent="0.3">
      <c r="A11043" s="20"/>
    </row>
    <row r="11044" spans="1:1" x14ac:dyDescent="0.3">
      <c r="A11044" s="20"/>
    </row>
    <row r="11045" spans="1:1" x14ac:dyDescent="0.3">
      <c r="A11045" s="20"/>
    </row>
    <row r="11046" spans="1:1" x14ac:dyDescent="0.3">
      <c r="A11046" s="20"/>
    </row>
    <row r="11047" spans="1:1" x14ac:dyDescent="0.3">
      <c r="A11047" s="20"/>
    </row>
    <row r="11048" spans="1:1" x14ac:dyDescent="0.3">
      <c r="A11048" s="20"/>
    </row>
    <row r="11049" spans="1:1" x14ac:dyDescent="0.3">
      <c r="A11049" s="20"/>
    </row>
    <row r="11050" spans="1:1" x14ac:dyDescent="0.3">
      <c r="A11050" s="20"/>
    </row>
    <row r="11051" spans="1:1" x14ac:dyDescent="0.3">
      <c r="A11051" s="20"/>
    </row>
    <row r="11052" spans="1:1" x14ac:dyDescent="0.3">
      <c r="A11052" s="20"/>
    </row>
    <row r="11053" spans="1:1" x14ac:dyDescent="0.3">
      <c r="A11053" s="20"/>
    </row>
    <row r="11054" spans="1:1" x14ac:dyDescent="0.3">
      <c r="A11054" s="20"/>
    </row>
    <row r="11055" spans="1:1" x14ac:dyDescent="0.3">
      <c r="A11055" s="20"/>
    </row>
    <row r="11056" spans="1:1" x14ac:dyDescent="0.3">
      <c r="A11056" s="20"/>
    </row>
    <row r="11057" spans="1:1" x14ac:dyDescent="0.3">
      <c r="A11057" s="20"/>
    </row>
    <row r="11058" spans="1:1" x14ac:dyDescent="0.3">
      <c r="A11058" s="20"/>
    </row>
    <row r="11059" spans="1:1" x14ac:dyDescent="0.3">
      <c r="A11059" s="20"/>
    </row>
    <row r="11060" spans="1:1" x14ac:dyDescent="0.3">
      <c r="A11060" s="20"/>
    </row>
    <row r="11061" spans="1:1" x14ac:dyDescent="0.3">
      <c r="A11061" s="20"/>
    </row>
    <row r="11062" spans="1:1" x14ac:dyDescent="0.3">
      <c r="A11062" s="20"/>
    </row>
    <row r="11063" spans="1:1" x14ac:dyDescent="0.3">
      <c r="A11063" s="20"/>
    </row>
    <row r="11064" spans="1:1" x14ac:dyDescent="0.3">
      <c r="A11064" s="20"/>
    </row>
    <row r="11065" spans="1:1" x14ac:dyDescent="0.3">
      <c r="A11065" s="20"/>
    </row>
    <row r="11066" spans="1:1" x14ac:dyDescent="0.3">
      <c r="A11066" s="20"/>
    </row>
    <row r="11067" spans="1:1" x14ac:dyDescent="0.3">
      <c r="A11067" s="20"/>
    </row>
    <row r="11068" spans="1:1" x14ac:dyDescent="0.3">
      <c r="A11068" s="20"/>
    </row>
    <row r="11069" spans="1:1" x14ac:dyDescent="0.3">
      <c r="A11069" s="20"/>
    </row>
    <row r="11070" spans="1:1" x14ac:dyDescent="0.3">
      <c r="A11070" s="20"/>
    </row>
    <row r="11071" spans="1:1" x14ac:dyDescent="0.3">
      <c r="A11071" s="20"/>
    </row>
    <row r="11072" spans="1:1" x14ac:dyDescent="0.3">
      <c r="A11072" s="20"/>
    </row>
    <row r="11073" spans="1:1" x14ac:dyDescent="0.3">
      <c r="A11073" s="20"/>
    </row>
    <row r="11074" spans="1:1" x14ac:dyDescent="0.3">
      <c r="A11074" s="20"/>
    </row>
    <row r="11075" spans="1:1" x14ac:dyDescent="0.3">
      <c r="A11075" s="20"/>
    </row>
    <row r="11076" spans="1:1" x14ac:dyDescent="0.3">
      <c r="A11076" s="20"/>
    </row>
    <row r="11077" spans="1:1" x14ac:dyDescent="0.3">
      <c r="A11077" s="20"/>
    </row>
    <row r="11078" spans="1:1" x14ac:dyDescent="0.3">
      <c r="A11078" s="20"/>
    </row>
    <row r="11079" spans="1:1" x14ac:dyDescent="0.3">
      <c r="A11079" s="20"/>
    </row>
    <row r="11080" spans="1:1" x14ac:dyDescent="0.3">
      <c r="A11080" s="20"/>
    </row>
    <row r="11081" spans="1:1" x14ac:dyDescent="0.3">
      <c r="A11081" s="20"/>
    </row>
    <row r="11082" spans="1:1" x14ac:dyDescent="0.3">
      <c r="A11082" s="20"/>
    </row>
    <row r="11083" spans="1:1" x14ac:dyDescent="0.3">
      <c r="A11083" s="20"/>
    </row>
    <row r="11084" spans="1:1" x14ac:dyDescent="0.3">
      <c r="A11084" s="20"/>
    </row>
    <row r="11085" spans="1:1" x14ac:dyDescent="0.3">
      <c r="A11085" s="20"/>
    </row>
    <row r="11086" spans="1:1" x14ac:dyDescent="0.3">
      <c r="A11086" s="20"/>
    </row>
    <row r="11087" spans="1:1" x14ac:dyDescent="0.3">
      <c r="A11087" s="20"/>
    </row>
    <row r="11088" spans="1:1" x14ac:dyDescent="0.3">
      <c r="A11088" s="20"/>
    </row>
    <row r="11089" spans="1:1" x14ac:dyDescent="0.3">
      <c r="A11089" s="20"/>
    </row>
    <row r="11090" spans="1:1" x14ac:dyDescent="0.3">
      <c r="A11090" s="20"/>
    </row>
    <row r="11091" spans="1:1" x14ac:dyDescent="0.3">
      <c r="A11091" s="20"/>
    </row>
    <row r="11092" spans="1:1" x14ac:dyDescent="0.3">
      <c r="A11092" s="20"/>
    </row>
    <row r="11093" spans="1:1" x14ac:dyDescent="0.3">
      <c r="A11093" s="20"/>
    </row>
    <row r="11094" spans="1:1" x14ac:dyDescent="0.3">
      <c r="A11094" s="20"/>
    </row>
    <row r="11095" spans="1:1" x14ac:dyDescent="0.3">
      <c r="A11095" s="20"/>
    </row>
    <row r="11096" spans="1:1" x14ac:dyDescent="0.3">
      <c r="A11096" s="20"/>
    </row>
    <row r="11097" spans="1:1" x14ac:dyDescent="0.3">
      <c r="A11097" s="20"/>
    </row>
    <row r="11098" spans="1:1" x14ac:dyDescent="0.3">
      <c r="A11098" s="20"/>
    </row>
    <row r="11099" spans="1:1" x14ac:dyDescent="0.3">
      <c r="A11099" s="20"/>
    </row>
    <row r="11100" spans="1:1" x14ac:dyDescent="0.3">
      <c r="A11100" s="20"/>
    </row>
    <row r="11101" spans="1:1" x14ac:dyDescent="0.3">
      <c r="A11101" s="20"/>
    </row>
    <row r="11102" spans="1:1" x14ac:dyDescent="0.3">
      <c r="A11102" s="20"/>
    </row>
    <row r="11103" spans="1:1" x14ac:dyDescent="0.3">
      <c r="A11103" s="20"/>
    </row>
    <row r="11104" spans="1:1" x14ac:dyDescent="0.3">
      <c r="A11104" s="20"/>
    </row>
    <row r="11105" spans="1:1" x14ac:dyDescent="0.3">
      <c r="A11105" s="20"/>
    </row>
    <row r="11106" spans="1:1" x14ac:dyDescent="0.3">
      <c r="A11106" s="20"/>
    </row>
    <row r="11107" spans="1:1" x14ac:dyDescent="0.3">
      <c r="A11107" s="20"/>
    </row>
    <row r="11108" spans="1:1" x14ac:dyDescent="0.3">
      <c r="A11108" s="20"/>
    </row>
    <row r="11109" spans="1:1" x14ac:dyDescent="0.3">
      <c r="A11109" s="20"/>
    </row>
    <row r="11110" spans="1:1" x14ac:dyDescent="0.3">
      <c r="A11110" s="20"/>
    </row>
    <row r="11111" spans="1:1" x14ac:dyDescent="0.3">
      <c r="A11111" s="20"/>
    </row>
    <row r="11112" spans="1:1" x14ac:dyDescent="0.3">
      <c r="A11112" s="20"/>
    </row>
    <row r="11113" spans="1:1" x14ac:dyDescent="0.3">
      <c r="A11113" s="20"/>
    </row>
    <row r="11114" spans="1:1" x14ac:dyDescent="0.3">
      <c r="A11114" s="20"/>
    </row>
    <row r="11115" spans="1:1" x14ac:dyDescent="0.3">
      <c r="A11115" s="20"/>
    </row>
    <row r="11116" spans="1:1" x14ac:dyDescent="0.3">
      <c r="A11116" s="20"/>
    </row>
    <row r="11117" spans="1:1" x14ac:dyDescent="0.3">
      <c r="A11117" s="20"/>
    </row>
    <row r="11118" spans="1:1" x14ac:dyDescent="0.3">
      <c r="A11118" s="20"/>
    </row>
    <row r="11119" spans="1:1" x14ac:dyDescent="0.3">
      <c r="A11119" s="20"/>
    </row>
    <row r="11120" spans="1:1" x14ac:dyDescent="0.3">
      <c r="A11120" s="20"/>
    </row>
    <row r="11121" spans="1:1" x14ac:dyDescent="0.3">
      <c r="A11121" s="20"/>
    </row>
    <row r="11122" spans="1:1" x14ac:dyDescent="0.3">
      <c r="A11122" s="20"/>
    </row>
    <row r="11123" spans="1:1" x14ac:dyDescent="0.3">
      <c r="A11123" s="20"/>
    </row>
    <row r="11124" spans="1:1" x14ac:dyDescent="0.3">
      <c r="A11124" s="20"/>
    </row>
    <row r="11125" spans="1:1" x14ac:dyDescent="0.3">
      <c r="A11125" s="20"/>
    </row>
    <row r="11126" spans="1:1" x14ac:dyDescent="0.3">
      <c r="A11126" s="20"/>
    </row>
    <row r="11127" spans="1:1" x14ac:dyDescent="0.3">
      <c r="A11127" s="20"/>
    </row>
    <row r="11128" spans="1:1" x14ac:dyDescent="0.3">
      <c r="A11128" s="20"/>
    </row>
    <row r="11129" spans="1:1" x14ac:dyDescent="0.3">
      <c r="A11129" s="20"/>
    </row>
    <row r="11130" spans="1:1" x14ac:dyDescent="0.3">
      <c r="A11130" s="20"/>
    </row>
    <row r="11131" spans="1:1" x14ac:dyDescent="0.3">
      <c r="A11131" s="20"/>
    </row>
    <row r="11132" spans="1:1" x14ac:dyDescent="0.3">
      <c r="A11132" s="20"/>
    </row>
    <row r="11133" spans="1:1" x14ac:dyDescent="0.3">
      <c r="A11133" s="20"/>
    </row>
    <row r="11134" spans="1:1" x14ac:dyDescent="0.3">
      <c r="A11134" s="20"/>
    </row>
    <row r="11135" spans="1:1" x14ac:dyDescent="0.3">
      <c r="A11135" s="20"/>
    </row>
    <row r="11136" spans="1:1" x14ac:dyDescent="0.3">
      <c r="A11136" s="20"/>
    </row>
    <row r="11137" spans="1:1" x14ac:dyDescent="0.3">
      <c r="A11137" s="20"/>
    </row>
    <row r="11138" spans="1:1" x14ac:dyDescent="0.3">
      <c r="A11138" s="20"/>
    </row>
    <row r="11139" spans="1:1" x14ac:dyDescent="0.3">
      <c r="A11139" s="20"/>
    </row>
    <row r="11140" spans="1:1" x14ac:dyDescent="0.3">
      <c r="A11140" s="20"/>
    </row>
    <row r="11141" spans="1:1" x14ac:dyDescent="0.3">
      <c r="A11141" s="20"/>
    </row>
    <row r="11142" spans="1:1" x14ac:dyDescent="0.3">
      <c r="A11142" s="20"/>
    </row>
    <row r="11143" spans="1:1" x14ac:dyDescent="0.3">
      <c r="A11143" s="20"/>
    </row>
    <row r="11144" spans="1:1" x14ac:dyDescent="0.3">
      <c r="A11144" s="20"/>
    </row>
    <row r="11145" spans="1:1" x14ac:dyDescent="0.3">
      <c r="A11145" s="20"/>
    </row>
    <row r="11146" spans="1:1" x14ac:dyDescent="0.3">
      <c r="A11146" s="20"/>
    </row>
    <row r="11147" spans="1:1" x14ac:dyDescent="0.3">
      <c r="A11147" s="20"/>
    </row>
    <row r="11148" spans="1:1" x14ac:dyDescent="0.3">
      <c r="A11148" s="20"/>
    </row>
    <row r="11149" spans="1:1" x14ac:dyDescent="0.3">
      <c r="A11149" s="20"/>
    </row>
    <row r="11150" spans="1:1" x14ac:dyDescent="0.3">
      <c r="A11150" s="20"/>
    </row>
    <row r="11151" spans="1:1" x14ac:dyDescent="0.3">
      <c r="A11151" s="20"/>
    </row>
    <row r="11152" spans="1:1" x14ac:dyDescent="0.3">
      <c r="A11152" s="20"/>
    </row>
    <row r="11153" spans="1:1" x14ac:dyDescent="0.3">
      <c r="A11153" s="20"/>
    </row>
    <row r="11154" spans="1:1" x14ac:dyDescent="0.3">
      <c r="A11154" s="20"/>
    </row>
    <row r="11155" spans="1:1" x14ac:dyDescent="0.3">
      <c r="A11155" s="20"/>
    </row>
    <row r="11156" spans="1:1" x14ac:dyDescent="0.3">
      <c r="A11156" s="20"/>
    </row>
    <row r="11157" spans="1:1" x14ac:dyDescent="0.3">
      <c r="A11157" s="20"/>
    </row>
    <row r="11158" spans="1:1" x14ac:dyDescent="0.3">
      <c r="A11158" s="20"/>
    </row>
    <row r="11159" spans="1:1" x14ac:dyDescent="0.3">
      <c r="A11159" s="20"/>
    </row>
    <row r="11160" spans="1:1" x14ac:dyDescent="0.3">
      <c r="A11160" s="20"/>
    </row>
    <row r="11161" spans="1:1" x14ac:dyDescent="0.3">
      <c r="A11161" s="20"/>
    </row>
    <row r="11162" spans="1:1" x14ac:dyDescent="0.3">
      <c r="A11162" s="20"/>
    </row>
    <row r="11163" spans="1:1" x14ac:dyDescent="0.3">
      <c r="A11163" s="20"/>
    </row>
    <row r="11164" spans="1:1" x14ac:dyDescent="0.3">
      <c r="A11164" s="20"/>
    </row>
    <row r="11165" spans="1:1" x14ac:dyDescent="0.3">
      <c r="A11165" s="20"/>
    </row>
    <row r="11166" spans="1:1" x14ac:dyDescent="0.3">
      <c r="A11166" s="20"/>
    </row>
    <row r="11167" spans="1:1" x14ac:dyDescent="0.3">
      <c r="A11167" s="20"/>
    </row>
    <row r="11168" spans="1:1" x14ac:dyDescent="0.3">
      <c r="A11168" s="20"/>
    </row>
    <row r="11169" spans="1:1" x14ac:dyDescent="0.3">
      <c r="A11169" s="20"/>
    </row>
    <row r="11170" spans="1:1" x14ac:dyDescent="0.3">
      <c r="A11170" s="20"/>
    </row>
    <row r="11171" spans="1:1" x14ac:dyDescent="0.3">
      <c r="A11171" s="20"/>
    </row>
    <row r="11172" spans="1:1" x14ac:dyDescent="0.3">
      <c r="A11172" s="20"/>
    </row>
    <row r="11173" spans="1:1" x14ac:dyDescent="0.3">
      <c r="A11173" s="20"/>
    </row>
    <row r="11174" spans="1:1" x14ac:dyDescent="0.3">
      <c r="A11174" s="20"/>
    </row>
    <row r="11175" spans="1:1" x14ac:dyDescent="0.3">
      <c r="A11175" s="20"/>
    </row>
    <row r="11176" spans="1:1" x14ac:dyDescent="0.3">
      <c r="A11176" s="20"/>
    </row>
    <row r="11177" spans="1:1" x14ac:dyDescent="0.3">
      <c r="A11177" s="20"/>
    </row>
    <row r="11178" spans="1:1" x14ac:dyDescent="0.3">
      <c r="A11178" s="20"/>
    </row>
    <row r="11179" spans="1:1" x14ac:dyDescent="0.3">
      <c r="A11179" s="20"/>
    </row>
    <row r="11180" spans="1:1" x14ac:dyDescent="0.3">
      <c r="A11180" s="20"/>
    </row>
    <row r="11181" spans="1:1" x14ac:dyDescent="0.3">
      <c r="A11181" s="20"/>
    </row>
    <row r="11182" spans="1:1" x14ac:dyDescent="0.3">
      <c r="A11182" s="20"/>
    </row>
    <row r="11183" spans="1:1" x14ac:dyDescent="0.3">
      <c r="A11183" s="20"/>
    </row>
    <row r="11184" spans="1:1" x14ac:dyDescent="0.3">
      <c r="A11184" s="20"/>
    </row>
    <row r="11185" spans="1:1" x14ac:dyDescent="0.3">
      <c r="A11185" s="20"/>
    </row>
    <row r="11186" spans="1:1" x14ac:dyDescent="0.3">
      <c r="A11186" s="20"/>
    </row>
    <row r="11187" spans="1:1" x14ac:dyDescent="0.3">
      <c r="A11187" s="20"/>
    </row>
    <row r="11188" spans="1:1" x14ac:dyDescent="0.3">
      <c r="A11188" s="20"/>
    </row>
    <row r="11189" spans="1:1" x14ac:dyDescent="0.3">
      <c r="A11189" s="20"/>
    </row>
    <row r="11190" spans="1:1" x14ac:dyDescent="0.3">
      <c r="A11190" s="20"/>
    </row>
    <row r="11191" spans="1:1" x14ac:dyDescent="0.3">
      <c r="A11191" s="20"/>
    </row>
    <row r="11192" spans="1:1" x14ac:dyDescent="0.3">
      <c r="A11192" s="20"/>
    </row>
    <row r="11193" spans="1:1" x14ac:dyDescent="0.3">
      <c r="A11193" s="20"/>
    </row>
    <row r="11194" spans="1:1" x14ac:dyDescent="0.3">
      <c r="A11194" s="20"/>
    </row>
    <row r="11195" spans="1:1" x14ac:dyDescent="0.3">
      <c r="A11195" s="20"/>
    </row>
    <row r="11196" spans="1:1" x14ac:dyDescent="0.3">
      <c r="A11196" s="20"/>
    </row>
    <row r="11197" spans="1:1" x14ac:dyDescent="0.3">
      <c r="A11197" s="20"/>
    </row>
    <row r="11198" spans="1:1" x14ac:dyDescent="0.3">
      <c r="A11198" s="20"/>
    </row>
    <row r="11199" spans="1:1" x14ac:dyDescent="0.3">
      <c r="A11199" s="20"/>
    </row>
    <row r="11200" spans="1:1" x14ac:dyDescent="0.3">
      <c r="A11200" s="20"/>
    </row>
    <row r="11201" spans="1:1" x14ac:dyDescent="0.3">
      <c r="A11201" s="20"/>
    </row>
    <row r="11202" spans="1:1" x14ac:dyDescent="0.3">
      <c r="A11202" s="20"/>
    </row>
    <row r="11203" spans="1:1" x14ac:dyDescent="0.3">
      <c r="A11203" s="20"/>
    </row>
    <row r="11204" spans="1:1" x14ac:dyDescent="0.3">
      <c r="A11204" s="20"/>
    </row>
    <row r="11205" spans="1:1" x14ac:dyDescent="0.3">
      <c r="A11205" s="20"/>
    </row>
    <row r="11206" spans="1:1" x14ac:dyDescent="0.3">
      <c r="A11206" s="20"/>
    </row>
    <row r="11207" spans="1:1" x14ac:dyDescent="0.3">
      <c r="A11207" s="20"/>
    </row>
    <row r="11208" spans="1:1" x14ac:dyDescent="0.3">
      <c r="A11208" s="20"/>
    </row>
    <row r="11209" spans="1:1" x14ac:dyDescent="0.3">
      <c r="A11209" s="20"/>
    </row>
    <row r="11210" spans="1:1" x14ac:dyDescent="0.3">
      <c r="A11210" s="20"/>
    </row>
    <row r="11211" spans="1:1" x14ac:dyDescent="0.3">
      <c r="A11211" s="20"/>
    </row>
    <row r="11212" spans="1:1" x14ac:dyDescent="0.3">
      <c r="A11212" s="20"/>
    </row>
    <row r="11213" spans="1:1" x14ac:dyDescent="0.3">
      <c r="A11213" s="20"/>
    </row>
    <row r="11214" spans="1:1" x14ac:dyDescent="0.3">
      <c r="A11214" s="20"/>
    </row>
    <row r="11215" spans="1:1" x14ac:dyDescent="0.3">
      <c r="A11215" s="20"/>
    </row>
    <row r="11216" spans="1:1" x14ac:dyDescent="0.3">
      <c r="A11216" s="20"/>
    </row>
    <row r="11217" spans="1:1" x14ac:dyDescent="0.3">
      <c r="A11217" s="20"/>
    </row>
    <row r="11218" spans="1:1" x14ac:dyDescent="0.3">
      <c r="A11218" s="20"/>
    </row>
    <row r="11219" spans="1:1" x14ac:dyDescent="0.3">
      <c r="A11219" s="20"/>
    </row>
    <row r="11220" spans="1:1" x14ac:dyDescent="0.3">
      <c r="A11220" s="20"/>
    </row>
    <row r="11221" spans="1:1" x14ac:dyDescent="0.3">
      <c r="A11221" s="20"/>
    </row>
    <row r="11222" spans="1:1" x14ac:dyDescent="0.3">
      <c r="A11222" s="20"/>
    </row>
    <row r="11223" spans="1:1" x14ac:dyDescent="0.3">
      <c r="A11223" s="20"/>
    </row>
    <row r="11224" spans="1:1" x14ac:dyDescent="0.3">
      <c r="A11224" s="20"/>
    </row>
    <row r="11225" spans="1:1" x14ac:dyDescent="0.3">
      <c r="A11225" s="20"/>
    </row>
    <row r="11226" spans="1:1" x14ac:dyDescent="0.3">
      <c r="A11226" s="20"/>
    </row>
    <row r="11227" spans="1:1" x14ac:dyDescent="0.3">
      <c r="A11227" s="20"/>
    </row>
    <row r="11228" spans="1:1" x14ac:dyDescent="0.3">
      <c r="A11228" s="20"/>
    </row>
    <row r="11229" spans="1:1" x14ac:dyDescent="0.3">
      <c r="A11229" s="20"/>
    </row>
    <row r="11230" spans="1:1" x14ac:dyDescent="0.3">
      <c r="A11230" s="20"/>
    </row>
    <row r="11231" spans="1:1" x14ac:dyDescent="0.3">
      <c r="A11231" s="20"/>
    </row>
    <row r="11232" spans="1:1" x14ac:dyDescent="0.3">
      <c r="A11232" s="20"/>
    </row>
    <row r="11233" spans="1:1" x14ac:dyDescent="0.3">
      <c r="A11233" s="20"/>
    </row>
    <row r="11234" spans="1:1" x14ac:dyDescent="0.3">
      <c r="A11234" s="20"/>
    </row>
    <row r="11235" spans="1:1" x14ac:dyDescent="0.3">
      <c r="A11235" s="20"/>
    </row>
    <row r="11236" spans="1:1" x14ac:dyDescent="0.3">
      <c r="A11236" s="20"/>
    </row>
    <row r="11237" spans="1:1" x14ac:dyDescent="0.3">
      <c r="A11237" s="20"/>
    </row>
    <row r="11238" spans="1:1" x14ac:dyDescent="0.3">
      <c r="A11238" s="20"/>
    </row>
    <row r="11239" spans="1:1" x14ac:dyDescent="0.3">
      <c r="A11239" s="20"/>
    </row>
    <row r="11240" spans="1:1" x14ac:dyDescent="0.3">
      <c r="A11240" s="20"/>
    </row>
    <row r="11241" spans="1:1" x14ac:dyDescent="0.3">
      <c r="A11241" s="20"/>
    </row>
    <row r="11242" spans="1:1" x14ac:dyDescent="0.3">
      <c r="A11242" s="20"/>
    </row>
    <row r="11243" spans="1:1" x14ac:dyDescent="0.3">
      <c r="A11243" s="20"/>
    </row>
    <row r="11244" spans="1:1" x14ac:dyDescent="0.3">
      <c r="A11244" s="20"/>
    </row>
    <row r="11245" spans="1:1" x14ac:dyDescent="0.3">
      <c r="A11245" s="20"/>
    </row>
    <row r="11246" spans="1:1" x14ac:dyDescent="0.3">
      <c r="A11246" s="20"/>
    </row>
    <row r="11247" spans="1:1" x14ac:dyDescent="0.3">
      <c r="A11247" s="20"/>
    </row>
    <row r="11248" spans="1:1" x14ac:dyDescent="0.3">
      <c r="A11248" s="20"/>
    </row>
    <row r="11249" spans="1:1" x14ac:dyDescent="0.3">
      <c r="A11249" s="20"/>
    </row>
    <row r="11250" spans="1:1" x14ac:dyDescent="0.3">
      <c r="A11250" s="20"/>
    </row>
    <row r="11251" spans="1:1" x14ac:dyDescent="0.3">
      <c r="A11251" s="20"/>
    </row>
    <row r="11252" spans="1:1" x14ac:dyDescent="0.3">
      <c r="A11252" s="20"/>
    </row>
    <row r="11253" spans="1:1" x14ac:dyDescent="0.3">
      <c r="A11253" s="20"/>
    </row>
    <row r="11254" spans="1:1" x14ac:dyDescent="0.3">
      <c r="A11254" s="20"/>
    </row>
    <row r="11255" spans="1:1" x14ac:dyDescent="0.3">
      <c r="A11255" s="20"/>
    </row>
    <row r="11256" spans="1:1" x14ac:dyDescent="0.3">
      <c r="A11256" s="20"/>
    </row>
    <row r="11257" spans="1:1" x14ac:dyDescent="0.3">
      <c r="A11257" s="20"/>
    </row>
    <row r="11258" spans="1:1" x14ac:dyDescent="0.3">
      <c r="A11258" s="20"/>
    </row>
    <row r="11259" spans="1:1" x14ac:dyDescent="0.3">
      <c r="A11259" s="20"/>
    </row>
    <row r="11260" spans="1:1" x14ac:dyDescent="0.3">
      <c r="A11260" s="20"/>
    </row>
    <row r="11261" spans="1:1" x14ac:dyDescent="0.3">
      <c r="A11261" s="20"/>
    </row>
    <row r="11262" spans="1:1" x14ac:dyDescent="0.3">
      <c r="A11262" s="20"/>
    </row>
    <row r="11263" spans="1:1" x14ac:dyDescent="0.3">
      <c r="A11263" s="20"/>
    </row>
    <row r="11264" spans="1:1" x14ac:dyDescent="0.3">
      <c r="A11264" s="20"/>
    </row>
    <row r="11265" spans="1:1" x14ac:dyDescent="0.3">
      <c r="A11265" s="20"/>
    </row>
    <row r="11266" spans="1:1" x14ac:dyDescent="0.3">
      <c r="A11266" s="20"/>
    </row>
    <row r="11267" spans="1:1" x14ac:dyDescent="0.3">
      <c r="A11267" s="20"/>
    </row>
    <row r="11268" spans="1:1" x14ac:dyDescent="0.3">
      <c r="A11268" s="20"/>
    </row>
    <row r="11269" spans="1:1" x14ac:dyDescent="0.3">
      <c r="A11269" s="20"/>
    </row>
    <row r="11270" spans="1:1" x14ac:dyDescent="0.3">
      <c r="A11270" s="20"/>
    </row>
    <row r="11271" spans="1:1" x14ac:dyDescent="0.3">
      <c r="A11271" s="20"/>
    </row>
    <row r="11272" spans="1:1" x14ac:dyDescent="0.3">
      <c r="A11272" s="20"/>
    </row>
    <row r="11273" spans="1:1" x14ac:dyDescent="0.3">
      <c r="A11273" s="20"/>
    </row>
    <row r="11274" spans="1:1" x14ac:dyDescent="0.3">
      <c r="A11274" s="20"/>
    </row>
    <row r="11275" spans="1:1" x14ac:dyDescent="0.3">
      <c r="A11275" s="20"/>
    </row>
    <row r="11276" spans="1:1" x14ac:dyDescent="0.3">
      <c r="A11276" s="20"/>
    </row>
    <row r="11277" spans="1:1" x14ac:dyDescent="0.3">
      <c r="A11277" s="20"/>
    </row>
    <row r="11278" spans="1:1" x14ac:dyDescent="0.3">
      <c r="A11278" s="20"/>
    </row>
    <row r="11279" spans="1:1" x14ac:dyDescent="0.3">
      <c r="A11279" s="20"/>
    </row>
    <row r="11280" spans="1:1" x14ac:dyDescent="0.3">
      <c r="A11280" s="20"/>
    </row>
    <row r="11281" spans="1:1" x14ac:dyDescent="0.3">
      <c r="A11281" s="20"/>
    </row>
    <row r="11282" spans="1:1" x14ac:dyDescent="0.3">
      <c r="A11282" s="20"/>
    </row>
    <row r="11283" spans="1:1" x14ac:dyDescent="0.3">
      <c r="A11283" s="20"/>
    </row>
    <row r="11284" spans="1:1" x14ac:dyDescent="0.3">
      <c r="A11284" s="20"/>
    </row>
    <row r="11285" spans="1:1" x14ac:dyDescent="0.3">
      <c r="A11285" s="20"/>
    </row>
    <row r="11286" spans="1:1" x14ac:dyDescent="0.3">
      <c r="A11286" s="20"/>
    </row>
    <row r="11287" spans="1:1" x14ac:dyDescent="0.3">
      <c r="A11287" s="20"/>
    </row>
    <row r="11288" spans="1:1" x14ac:dyDescent="0.3">
      <c r="A11288" s="20"/>
    </row>
    <row r="11289" spans="1:1" x14ac:dyDescent="0.3">
      <c r="A11289" s="20"/>
    </row>
    <row r="11290" spans="1:1" x14ac:dyDescent="0.3">
      <c r="A11290" s="20"/>
    </row>
    <row r="11291" spans="1:1" x14ac:dyDescent="0.3">
      <c r="A11291" s="20"/>
    </row>
    <row r="11292" spans="1:1" x14ac:dyDescent="0.3">
      <c r="A11292" s="20"/>
    </row>
    <row r="11293" spans="1:1" x14ac:dyDescent="0.3">
      <c r="A11293" s="20"/>
    </row>
    <row r="11294" spans="1:1" x14ac:dyDescent="0.3">
      <c r="A11294" s="20"/>
    </row>
    <row r="11295" spans="1:1" x14ac:dyDescent="0.3">
      <c r="A11295" s="20"/>
    </row>
    <row r="11296" spans="1:1" x14ac:dyDescent="0.3">
      <c r="A11296" s="20"/>
    </row>
    <row r="11297" spans="1:1" x14ac:dyDescent="0.3">
      <c r="A11297" s="20"/>
    </row>
    <row r="11298" spans="1:1" x14ac:dyDescent="0.3">
      <c r="A11298" s="20"/>
    </row>
    <row r="11299" spans="1:1" x14ac:dyDescent="0.3">
      <c r="A11299" s="20"/>
    </row>
    <row r="11300" spans="1:1" x14ac:dyDescent="0.3">
      <c r="A11300" s="20"/>
    </row>
    <row r="11301" spans="1:1" x14ac:dyDescent="0.3">
      <c r="A11301" s="20"/>
    </row>
    <row r="11302" spans="1:1" x14ac:dyDescent="0.3">
      <c r="A11302" s="20"/>
    </row>
    <row r="11303" spans="1:1" x14ac:dyDescent="0.3">
      <c r="A11303" s="20"/>
    </row>
    <row r="11304" spans="1:1" x14ac:dyDescent="0.3">
      <c r="A11304" s="20"/>
    </row>
    <row r="11305" spans="1:1" x14ac:dyDescent="0.3">
      <c r="A11305" s="20"/>
    </row>
    <row r="11306" spans="1:1" x14ac:dyDescent="0.3">
      <c r="A11306" s="20"/>
    </row>
    <row r="11307" spans="1:1" x14ac:dyDescent="0.3">
      <c r="A11307" s="20"/>
    </row>
    <row r="11308" spans="1:1" x14ac:dyDescent="0.3">
      <c r="A11308" s="20"/>
    </row>
    <row r="11309" spans="1:1" x14ac:dyDescent="0.3">
      <c r="A11309" s="20"/>
    </row>
    <row r="11310" spans="1:1" x14ac:dyDescent="0.3">
      <c r="A11310" s="20"/>
    </row>
    <row r="11311" spans="1:1" x14ac:dyDescent="0.3">
      <c r="A11311" s="20"/>
    </row>
    <row r="11312" spans="1:1" x14ac:dyDescent="0.3">
      <c r="A11312" s="20"/>
    </row>
    <row r="11313" spans="1:1" x14ac:dyDescent="0.3">
      <c r="A11313" s="20"/>
    </row>
    <row r="11314" spans="1:1" x14ac:dyDescent="0.3">
      <c r="A11314" s="20"/>
    </row>
    <row r="11315" spans="1:1" x14ac:dyDescent="0.3">
      <c r="A11315" s="20"/>
    </row>
    <row r="11316" spans="1:1" x14ac:dyDescent="0.3">
      <c r="A11316" s="20"/>
    </row>
    <row r="11317" spans="1:1" x14ac:dyDescent="0.3">
      <c r="A11317" s="20"/>
    </row>
    <row r="11318" spans="1:1" x14ac:dyDescent="0.3">
      <c r="A11318" s="20"/>
    </row>
    <row r="11319" spans="1:1" x14ac:dyDescent="0.3">
      <c r="A11319" s="20"/>
    </row>
    <row r="11320" spans="1:1" x14ac:dyDescent="0.3">
      <c r="A11320" s="20"/>
    </row>
    <row r="11321" spans="1:1" x14ac:dyDescent="0.3">
      <c r="A11321" s="20"/>
    </row>
    <row r="11322" spans="1:1" x14ac:dyDescent="0.3">
      <c r="A11322" s="20"/>
    </row>
    <row r="11323" spans="1:1" x14ac:dyDescent="0.3">
      <c r="A11323" s="20"/>
    </row>
    <row r="11324" spans="1:1" x14ac:dyDescent="0.3">
      <c r="A11324" s="20"/>
    </row>
    <row r="11325" spans="1:1" x14ac:dyDescent="0.3">
      <c r="A11325" s="20"/>
    </row>
    <row r="11326" spans="1:1" x14ac:dyDescent="0.3">
      <c r="A11326" s="20"/>
    </row>
    <row r="11327" spans="1:1" x14ac:dyDescent="0.3">
      <c r="A11327" s="20"/>
    </row>
    <row r="11328" spans="1:1" x14ac:dyDescent="0.3">
      <c r="A11328" s="20"/>
    </row>
    <row r="11329" spans="1:1" x14ac:dyDescent="0.3">
      <c r="A11329" s="20"/>
    </row>
    <row r="11330" spans="1:1" x14ac:dyDescent="0.3">
      <c r="A11330" s="20"/>
    </row>
    <row r="11331" spans="1:1" x14ac:dyDescent="0.3">
      <c r="A11331" s="20"/>
    </row>
    <row r="11332" spans="1:1" x14ac:dyDescent="0.3">
      <c r="A11332" s="20"/>
    </row>
    <row r="11333" spans="1:1" x14ac:dyDescent="0.3">
      <c r="A11333" s="20"/>
    </row>
    <row r="11334" spans="1:1" x14ac:dyDescent="0.3">
      <c r="A11334" s="20"/>
    </row>
    <row r="11335" spans="1:1" x14ac:dyDescent="0.3">
      <c r="A11335" s="20"/>
    </row>
    <row r="11336" spans="1:1" x14ac:dyDescent="0.3">
      <c r="A11336" s="20"/>
    </row>
    <row r="11337" spans="1:1" x14ac:dyDescent="0.3">
      <c r="A11337" s="20"/>
    </row>
    <row r="11338" spans="1:1" x14ac:dyDescent="0.3">
      <c r="A11338" s="20"/>
    </row>
    <row r="11339" spans="1:1" x14ac:dyDescent="0.3">
      <c r="A11339" s="20"/>
    </row>
    <row r="11340" spans="1:1" x14ac:dyDescent="0.3">
      <c r="A11340" s="20"/>
    </row>
    <row r="11341" spans="1:1" x14ac:dyDescent="0.3">
      <c r="A11341" s="20"/>
    </row>
    <row r="11342" spans="1:1" x14ac:dyDescent="0.3">
      <c r="A11342" s="20"/>
    </row>
    <row r="11343" spans="1:1" x14ac:dyDescent="0.3">
      <c r="A11343" s="20"/>
    </row>
    <row r="11344" spans="1:1" x14ac:dyDescent="0.3">
      <c r="A11344" s="20"/>
    </row>
    <row r="11345" spans="1:1" x14ac:dyDescent="0.3">
      <c r="A11345" s="20"/>
    </row>
    <row r="11346" spans="1:1" x14ac:dyDescent="0.3">
      <c r="A11346" s="20"/>
    </row>
    <row r="11347" spans="1:1" x14ac:dyDescent="0.3">
      <c r="A11347" s="20"/>
    </row>
    <row r="11348" spans="1:1" x14ac:dyDescent="0.3">
      <c r="A11348" s="20"/>
    </row>
    <row r="11349" spans="1:1" x14ac:dyDescent="0.3">
      <c r="A11349" s="20"/>
    </row>
    <row r="11350" spans="1:1" x14ac:dyDescent="0.3">
      <c r="A11350" s="20"/>
    </row>
    <row r="11351" spans="1:1" x14ac:dyDescent="0.3">
      <c r="A11351" s="20"/>
    </row>
    <row r="11352" spans="1:1" x14ac:dyDescent="0.3">
      <c r="A11352" s="20"/>
    </row>
    <row r="11353" spans="1:1" x14ac:dyDescent="0.3">
      <c r="A11353" s="20"/>
    </row>
    <row r="11354" spans="1:1" x14ac:dyDescent="0.3">
      <c r="A11354" s="20"/>
    </row>
    <row r="11355" spans="1:1" x14ac:dyDescent="0.3">
      <c r="A11355" s="20"/>
    </row>
    <row r="11356" spans="1:1" x14ac:dyDescent="0.3">
      <c r="A11356" s="20"/>
    </row>
    <row r="11357" spans="1:1" x14ac:dyDescent="0.3">
      <c r="A11357" s="20"/>
    </row>
    <row r="11358" spans="1:1" x14ac:dyDescent="0.3">
      <c r="A11358" s="20"/>
    </row>
    <row r="11359" spans="1:1" x14ac:dyDescent="0.3">
      <c r="A11359" s="20"/>
    </row>
    <row r="11360" spans="1:1" x14ac:dyDescent="0.3">
      <c r="A11360" s="20"/>
    </row>
    <row r="11361" spans="1:1" x14ac:dyDescent="0.3">
      <c r="A11361" s="20"/>
    </row>
    <row r="11362" spans="1:1" x14ac:dyDescent="0.3">
      <c r="A11362" s="20"/>
    </row>
    <row r="11363" spans="1:1" x14ac:dyDescent="0.3">
      <c r="A11363" s="20"/>
    </row>
    <row r="11364" spans="1:1" x14ac:dyDescent="0.3">
      <c r="A11364" s="20"/>
    </row>
    <row r="11365" spans="1:1" x14ac:dyDescent="0.3">
      <c r="A11365" s="20"/>
    </row>
    <row r="11366" spans="1:1" x14ac:dyDescent="0.3">
      <c r="A11366" s="20"/>
    </row>
    <row r="11367" spans="1:1" x14ac:dyDescent="0.3">
      <c r="A11367" s="20"/>
    </row>
    <row r="11368" spans="1:1" x14ac:dyDescent="0.3">
      <c r="A11368" s="20"/>
    </row>
    <row r="11369" spans="1:1" x14ac:dyDescent="0.3">
      <c r="A11369" s="20"/>
    </row>
    <row r="11370" spans="1:1" x14ac:dyDescent="0.3">
      <c r="A11370" s="20"/>
    </row>
    <row r="11371" spans="1:1" x14ac:dyDescent="0.3">
      <c r="A11371" s="20"/>
    </row>
    <row r="11372" spans="1:1" x14ac:dyDescent="0.3">
      <c r="A11372" s="20"/>
    </row>
    <row r="11373" spans="1:1" x14ac:dyDescent="0.3">
      <c r="A11373" s="20"/>
    </row>
    <row r="11374" spans="1:1" x14ac:dyDescent="0.3">
      <c r="A11374" s="20"/>
    </row>
    <row r="11375" spans="1:1" x14ac:dyDescent="0.3">
      <c r="A11375" s="20"/>
    </row>
    <row r="11376" spans="1:1" x14ac:dyDescent="0.3">
      <c r="A11376" s="20"/>
    </row>
    <row r="11377" spans="1:1" x14ac:dyDescent="0.3">
      <c r="A11377" s="20"/>
    </row>
    <row r="11378" spans="1:1" x14ac:dyDescent="0.3">
      <c r="A11378" s="20"/>
    </row>
    <row r="11379" spans="1:1" x14ac:dyDescent="0.3">
      <c r="A11379" s="20"/>
    </row>
    <row r="11380" spans="1:1" x14ac:dyDescent="0.3">
      <c r="A11380" s="20"/>
    </row>
    <row r="11381" spans="1:1" x14ac:dyDescent="0.3">
      <c r="A11381" s="20"/>
    </row>
    <row r="11382" spans="1:1" x14ac:dyDescent="0.3">
      <c r="A11382" s="20"/>
    </row>
    <row r="11383" spans="1:1" x14ac:dyDescent="0.3">
      <c r="A11383" s="20"/>
    </row>
    <row r="11384" spans="1:1" x14ac:dyDescent="0.3">
      <c r="A11384" s="20"/>
    </row>
    <row r="11385" spans="1:1" x14ac:dyDescent="0.3">
      <c r="A11385" s="20"/>
    </row>
    <row r="11386" spans="1:1" x14ac:dyDescent="0.3">
      <c r="A11386" s="20"/>
    </row>
    <row r="11387" spans="1:1" x14ac:dyDescent="0.3">
      <c r="A11387" s="20"/>
    </row>
    <row r="11388" spans="1:1" x14ac:dyDescent="0.3">
      <c r="A11388" s="20"/>
    </row>
    <row r="11389" spans="1:1" x14ac:dyDescent="0.3">
      <c r="A11389" s="20"/>
    </row>
    <row r="11390" spans="1:1" x14ac:dyDescent="0.3">
      <c r="A11390" s="20"/>
    </row>
    <row r="11391" spans="1:1" x14ac:dyDescent="0.3">
      <c r="A11391" s="20"/>
    </row>
    <row r="11392" spans="1:1" x14ac:dyDescent="0.3">
      <c r="A11392" s="20"/>
    </row>
    <row r="11393" spans="1:1" x14ac:dyDescent="0.3">
      <c r="A11393" s="20"/>
    </row>
    <row r="11394" spans="1:1" x14ac:dyDescent="0.3">
      <c r="A11394" s="20"/>
    </row>
    <row r="11395" spans="1:1" x14ac:dyDescent="0.3">
      <c r="A11395" s="20"/>
    </row>
    <row r="11396" spans="1:1" x14ac:dyDescent="0.3">
      <c r="A11396" s="20"/>
    </row>
    <row r="11397" spans="1:1" x14ac:dyDescent="0.3">
      <c r="A11397" s="20"/>
    </row>
    <row r="11398" spans="1:1" x14ac:dyDescent="0.3">
      <c r="A11398" s="20"/>
    </row>
    <row r="11399" spans="1:1" x14ac:dyDescent="0.3">
      <c r="A11399" s="20"/>
    </row>
    <row r="11400" spans="1:1" x14ac:dyDescent="0.3">
      <c r="A11400" s="20"/>
    </row>
    <row r="11401" spans="1:1" x14ac:dyDescent="0.3">
      <c r="A11401" s="20"/>
    </row>
    <row r="11402" spans="1:1" x14ac:dyDescent="0.3">
      <c r="A11402" s="20"/>
    </row>
    <row r="11403" spans="1:1" x14ac:dyDescent="0.3">
      <c r="A11403" s="20"/>
    </row>
    <row r="11404" spans="1:1" x14ac:dyDescent="0.3">
      <c r="A11404" s="20"/>
    </row>
    <row r="11405" spans="1:1" x14ac:dyDescent="0.3">
      <c r="A11405" s="20"/>
    </row>
    <row r="11406" spans="1:1" x14ac:dyDescent="0.3">
      <c r="A11406" s="20"/>
    </row>
    <row r="11407" spans="1:1" x14ac:dyDescent="0.3">
      <c r="A11407" s="20"/>
    </row>
    <row r="11408" spans="1:1" x14ac:dyDescent="0.3">
      <c r="A11408" s="20"/>
    </row>
    <row r="11409" spans="1:1" x14ac:dyDescent="0.3">
      <c r="A11409" s="20"/>
    </row>
    <row r="11410" spans="1:1" x14ac:dyDescent="0.3">
      <c r="A11410" s="20"/>
    </row>
    <row r="11411" spans="1:1" x14ac:dyDescent="0.3">
      <c r="A11411" s="20"/>
    </row>
    <row r="11412" spans="1:1" x14ac:dyDescent="0.3">
      <c r="A11412" s="20"/>
    </row>
    <row r="11413" spans="1:1" x14ac:dyDescent="0.3">
      <c r="A11413" s="20"/>
    </row>
    <row r="11414" spans="1:1" x14ac:dyDescent="0.3">
      <c r="A11414" s="20"/>
    </row>
    <row r="11415" spans="1:1" x14ac:dyDescent="0.3">
      <c r="A11415" s="20"/>
    </row>
    <row r="11416" spans="1:1" x14ac:dyDescent="0.3">
      <c r="A11416" s="20"/>
    </row>
    <row r="11417" spans="1:1" x14ac:dyDescent="0.3">
      <c r="A11417" s="20"/>
    </row>
    <row r="11418" spans="1:1" x14ac:dyDescent="0.3">
      <c r="A11418" s="20"/>
    </row>
    <row r="11419" spans="1:1" x14ac:dyDescent="0.3">
      <c r="A11419" s="20"/>
    </row>
    <row r="11420" spans="1:1" x14ac:dyDescent="0.3">
      <c r="A11420" s="20"/>
    </row>
    <row r="11421" spans="1:1" x14ac:dyDescent="0.3">
      <c r="A11421" s="20"/>
    </row>
    <row r="11422" spans="1:1" x14ac:dyDescent="0.3">
      <c r="A11422" s="20"/>
    </row>
    <row r="11423" spans="1:1" x14ac:dyDescent="0.3">
      <c r="A11423" s="20"/>
    </row>
    <row r="11424" spans="1:1" x14ac:dyDescent="0.3">
      <c r="A11424" s="20"/>
    </row>
    <row r="11425" spans="1:1" x14ac:dyDescent="0.3">
      <c r="A11425" s="20"/>
    </row>
    <row r="11426" spans="1:1" x14ac:dyDescent="0.3">
      <c r="A11426" s="20"/>
    </row>
    <row r="11427" spans="1:1" x14ac:dyDescent="0.3">
      <c r="A11427" s="20"/>
    </row>
    <row r="11428" spans="1:1" x14ac:dyDescent="0.3">
      <c r="A11428" s="20"/>
    </row>
    <row r="11429" spans="1:1" x14ac:dyDescent="0.3">
      <c r="A11429" s="20"/>
    </row>
    <row r="11430" spans="1:1" x14ac:dyDescent="0.3">
      <c r="A11430" s="20"/>
    </row>
    <row r="11431" spans="1:1" x14ac:dyDescent="0.3">
      <c r="A11431" s="20"/>
    </row>
    <row r="11432" spans="1:1" x14ac:dyDescent="0.3">
      <c r="A11432" s="20"/>
    </row>
    <row r="11433" spans="1:1" x14ac:dyDescent="0.3">
      <c r="A11433" s="20"/>
    </row>
    <row r="11434" spans="1:1" x14ac:dyDescent="0.3">
      <c r="A11434" s="20"/>
    </row>
    <row r="11435" spans="1:1" x14ac:dyDescent="0.3">
      <c r="A11435" s="20"/>
    </row>
    <row r="11436" spans="1:1" x14ac:dyDescent="0.3">
      <c r="A11436" s="20"/>
    </row>
    <row r="11437" spans="1:1" x14ac:dyDescent="0.3">
      <c r="A11437" s="20"/>
    </row>
    <row r="11438" spans="1:1" x14ac:dyDescent="0.3">
      <c r="A11438" s="20"/>
    </row>
    <row r="11439" spans="1:1" x14ac:dyDescent="0.3">
      <c r="A11439" s="20"/>
    </row>
    <row r="11440" spans="1:1" x14ac:dyDescent="0.3">
      <c r="A11440" s="20"/>
    </row>
    <row r="11441" spans="1:1" x14ac:dyDescent="0.3">
      <c r="A11441" s="20"/>
    </row>
    <row r="11442" spans="1:1" x14ac:dyDescent="0.3">
      <c r="A11442" s="20"/>
    </row>
    <row r="11443" spans="1:1" x14ac:dyDescent="0.3">
      <c r="A11443" s="20"/>
    </row>
    <row r="11444" spans="1:1" x14ac:dyDescent="0.3">
      <c r="A11444" s="20"/>
    </row>
    <row r="11445" spans="1:1" x14ac:dyDescent="0.3">
      <c r="A11445" s="20"/>
    </row>
    <row r="11446" spans="1:1" x14ac:dyDescent="0.3">
      <c r="A11446" s="20"/>
    </row>
    <row r="11447" spans="1:1" x14ac:dyDescent="0.3">
      <c r="A11447" s="20"/>
    </row>
    <row r="11448" spans="1:1" x14ac:dyDescent="0.3">
      <c r="A11448" s="20"/>
    </row>
    <row r="11449" spans="1:1" x14ac:dyDescent="0.3">
      <c r="A11449" s="20"/>
    </row>
    <row r="11450" spans="1:1" x14ac:dyDescent="0.3">
      <c r="A11450" s="20"/>
    </row>
    <row r="11451" spans="1:1" x14ac:dyDescent="0.3">
      <c r="A11451" s="20"/>
    </row>
    <row r="11452" spans="1:1" x14ac:dyDescent="0.3">
      <c r="A11452" s="20"/>
    </row>
    <row r="11453" spans="1:1" x14ac:dyDescent="0.3">
      <c r="A11453" s="20"/>
    </row>
    <row r="11454" spans="1:1" x14ac:dyDescent="0.3">
      <c r="A11454" s="20"/>
    </row>
    <row r="11455" spans="1:1" x14ac:dyDescent="0.3">
      <c r="A11455" s="20"/>
    </row>
    <row r="11456" spans="1:1" x14ac:dyDescent="0.3">
      <c r="A11456" s="20"/>
    </row>
    <row r="11457" spans="1:1" x14ac:dyDescent="0.3">
      <c r="A11457" s="20"/>
    </row>
    <row r="11458" spans="1:1" x14ac:dyDescent="0.3">
      <c r="A11458" s="20"/>
    </row>
    <row r="11459" spans="1:1" x14ac:dyDescent="0.3">
      <c r="A11459" s="20"/>
    </row>
    <row r="11460" spans="1:1" x14ac:dyDescent="0.3">
      <c r="A11460" s="20"/>
    </row>
    <row r="11461" spans="1:1" x14ac:dyDescent="0.3">
      <c r="A11461" s="20"/>
    </row>
    <row r="11462" spans="1:1" x14ac:dyDescent="0.3">
      <c r="A11462" s="20"/>
    </row>
    <row r="11463" spans="1:1" x14ac:dyDescent="0.3">
      <c r="A11463" s="20"/>
    </row>
    <row r="11464" spans="1:1" x14ac:dyDescent="0.3">
      <c r="A11464" s="20"/>
    </row>
    <row r="11465" spans="1:1" x14ac:dyDescent="0.3">
      <c r="A11465" s="20"/>
    </row>
    <row r="11466" spans="1:1" x14ac:dyDescent="0.3">
      <c r="A11466" s="20"/>
    </row>
    <row r="11467" spans="1:1" x14ac:dyDescent="0.3">
      <c r="A11467" s="20"/>
    </row>
    <row r="11468" spans="1:1" x14ac:dyDescent="0.3">
      <c r="A11468" s="20"/>
    </row>
    <row r="11469" spans="1:1" x14ac:dyDescent="0.3">
      <c r="A11469" s="20"/>
    </row>
    <row r="11470" spans="1:1" x14ac:dyDescent="0.3">
      <c r="A11470" s="20"/>
    </row>
    <row r="11471" spans="1:1" x14ac:dyDescent="0.3">
      <c r="A11471" s="20"/>
    </row>
    <row r="11472" spans="1:1" x14ac:dyDescent="0.3">
      <c r="A11472" s="20"/>
    </row>
    <row r="11473" spans="1:1" x14ac:dyDescent="0.3">
      <c r="A11473" s="20"/>
    </row>
    <row r="11474" spans="1:1" x14ac:dyDescent="0.3">
      <c r="A11474" s="20"/>
    </row>
    <row r="11475" spans="1:1" x14ac:dyDescent="0.3">
      <c r="A11475" s="20"/>
    </row>
    <row r="11476" spans="1:1" x14ac:dyDescent="0.3">
      <c r="A11476" s="20"/>
    </row>
    <row r="11477" spans="1:1" x14ac:dyDescent="0.3">
      <c r="A11477" s="20"/>
    </row>
    <row r="11478" spans="1:1" x14ac:dyDescent="0.3">
      <c r="A11478" s="20"/>
    </row>
    <row r="11479" spans="1:1" x14ac:dyDescent="0.3">
      <c r="A11479" s="20"/>
    </row>
    <row r="11480" spans="1:1" x14ac:dyDescent="0.3">
      <c r="A11480" s="20"/>
    </row>
    <row r="11481" spans="1:1" x14ac:dyDescent="0.3">
      <c r="A11481" s="20"/>
    </row>
    <row r="11482" spans="1:1" x14ac:dyDescent="0.3">
      <c r="A11482" s="20"/>
    </row>
    <row r="11483" spans="1:1" x14ac:dyDescent="0.3">
      <c r="A11483" s="20"/>
    </row>
    <row r="11484" spans="1:1" x14ac:dyDescent="0.3">
      <c r="A11484" s="20"/>
    </row>
    <row r="11485" spans="1:1" x14ac:dyDescent="0.3">
      <c r="A11485" s="20"/>
    </row>
    <row r="11486" spans="1:1" x14ac:dyDescent="0.3">
      <c r="A11486" s="20"/>
    </row>
    <row r="11487" spans="1:1" x14ac:dyDescent="0.3">
      <c r="A11487" s="20"/>
    </row>
    <row r="11488" spans="1:1" x14ac:dyDescent="0.3">
      <c r="A11488" s="20"/>
    </row>
    <row r="11489" spans="1:1" x14ac:dyDescent="0.3">
      <c r="A11489" s="20"/>
    </row>
    <row r="11490" spans="1:1" x14ac:dyDescent="0.3">
      <c r="A11490" s="20"/>
    </row>
    <row r="11491" spans="1:1" x14ac:dyDescent="0.3">
      <c r="A11491" s="20"/>
    </row>
    <row r="11492" spans="1:1" x14ac:dyDescent="0.3">
      <c r="A11492" s="20"/>
    </row>
    <row r="11493" spans="1:1" x14ac:dyDescent="0.3">
      <c r="A11493" s="20"/>
    </row>
    <row r="11494" spans="1:1" x14ac:dyDescent="0.3">
      <c r="A11494" s="20"/>
    </row>
    <row r="11495" spans="1:1" x14ac:dyDescent="0.3">
      <c r="A11495" s="20"/>
    </row>
    <row r="11496" spans="1:1" x14ac:dyDescent="0.3">
      <c r="A11496" s="20"/>
    </row>
    <row r="11497" spans="1:1" x14ac:dyDescent="0.3">
      <c r="A11497" s="20"/>
    </row>
    <row r="11498" spans="1:1" x14ac:dyDescent="0.3">
      <c r="A11498" s="20"/>
    </row>
    <row r="11499" spans="1:1" x14ac:dyDescent="0.3">
      <c r="A11499" s="20"/>
    </row>
    <row r="11500" spans="1:1" x14ac:dyDescent="0.3">
      <c r="A11500" s="20"/>
    </row>
    <row r="11501" spans="1:1" x14ac:dyDescent="0.3">
      <c r="A11501" s="20"/>
    </row>
    <row r="11502" spans="1:1" x14ac:dyDescent="0.3">
      <c r="A11502" s="20"/>
    </row>
    <row r="11503" spans="1:1" x14ac:dyDescent="0.3">
      <c r="A11503" s="20"/>
    </row>
    <row r="11504" spans="1:1" x14ac:dyDescent="0.3">
      <c r="A11504" s="20"/>
    </row>
    <row r="11505" spans="1:1" x14ac:dyDescent="0.3">
      <c r="A11505" s="20"/>
    </row>
    <row r="11506" spans="1:1" x14ac:dyDescent="0.3">
      <c r="A11506" s="20"/>
    </row>
    <row r="11507" spans="1:1" x14ac:dyDescent="0.3">
      <c r="A11507" s="20"/>
    </row>
    <row r="11508" spans="1:1" x14ac:dyDescent="0.3">
      <c r="A11508" s="20"/>
    </row>
    <row r="11509" spans="1:1" x14ac:dyDescent="0.3">
      <c r="A11509" s="20"/>
    </row>
    <row r="11510" spans="1:1" x14ac:dyDescent="0.3">
      <c r="A11510" s="20"/>
    </row>
    <row r="11511" spans="1:1" x14ac:dyDescent="0.3">
      <c r="A11511" s="20"/>
    </row>
    <row r="11512" spans="1:1" x14ac:dyDescent="0.3">
      <c r="A11512" s="20"/>
    </row>
    <row r="11513" spans="1:1" x14ac:dyDescent="0.3">
      <c r="A11513" s="20"/>
    </row>
    <row r="11514" spans="1:1" x14ac:dyDescent="0.3">
      <c r="A11514" s="20"/>
    </row>
    <row r="11515" spans="1:1" x14ac:dyDescent="0.3">
      <c r="A11515" s="20"/>
    </row>
    <row r="11516" spans="1:1" x14ac:dyDescent="0.3">
      <c r="A11516" s="20"/>
    </row>
    <row r="11517" spans="1:1" x14ac:dyDescent="0.3">
      <c r="A11517" s="20"/>
    </row>
    <row r="11518" spans="1:1" x14ac:dyDescent="0.3">
      <c r="A11518" s="20"/>
    </row>
    <row r="11519" spans="1:1" x14ac:dyDescent="0.3">
      <c r="A11519" s="20"/>
    </row>
    <row r="11520" spans="1:1" x14ac:dyDescent="0.3">
      <c r="A11520" s="20"/>
    </row>
    <row r="11521" spans="1:1" x14ac:dyDescent="0.3">
      <c r="A11521" s="20"/>
    </row>
    <row r="11522" spans="1:1" x14ac:dyDescent="0.3">
      <c r="A11522" s="20"/>
    </row>
    <row r="11523" spans="1:1" x14ac:dyDescent="0.3">
      <c r="A11523" s="20"/>
    </row>
    <row r="11524" spans="1:1" x14ac:dyDescent="0.3">
      <c r="A11524" s="20"/>
    </row>
    <row r="11525" spans="1:1" x14ac:dyDescent="0.3">
      <c r="A11525" s="20"/>
    </row>
    <row r="11526" spans="1:1" x14ac:dyDescent="0.3">
      <c r="A11526" s="20"/>
    </row>
    <row r="11527" spans="1:1" x14ac:dyDescent="0.3">
      <c r="A11527" s="20"/>
    </row>
    <row r="11528" spans="1:1" x14ac:dyDescent="0.3">
      <c r="A11528" s="20"/>
    </row>
    <row r="11529" spans="1:1" x14ac:dyDescent="0.3">
      <c r="A11529" s="20"/>
    </row>
    <row r="11530" spans="1:1" x14ac:dyDescent="0.3">
      <c r="A11530" s="20"/>
    </row>
    <row r="11531" spans="1:1" x14ac:dyDescent="0.3">
      <c r="A11531" s="20"/>
    </row>
    <row r="11532" spans="1:1" x14ac:dyDescent="0.3">
      <c r="A11532" s="20"/>
    </row>
    <row r="11533" spans="1:1" x14ac:dyDescent="0.3">
      <c r="A11533" s="20"/>
    </row>
    <row r="11534" spans="1:1" x14ac:dyDescent="0.3">
      <c r="A11534" s="20"/>
    </row>
    <row r="11535" spans="1:1" x14ac:dyDescent="0.3">
      <c r="A11535" s="20"/>
    </row>
    <row r="11536" spans="1:1" x14ac:dyDescent="0.3">
      <c r="A11536" s="20"/>
    </row>
    <row r="11537" spans="1:1" x14ac:dyDescent="0.3">
      <c r="A11537" s="20"/>
    </row>
    <row r="11538" spans="1:1" x14ac:dyDescent="0.3">
      <c r="A11538" s="20"/>
    </row>
    <row r="11539" spans="1:1" x14ac:dyDescent="0.3">
      <c r="A11539" s="20"/>
    </row>
    <row r="11540" spans="1:1" x14ac:dyDescent="0.3">
      <c r="A11540" s="20"/>
    </row>
    <row r="11541" spans="1:1" x14ac:dyDescent="0.3">
      <c r="A11541" s="20"/>
    </row>
    <row r="11542" spans="1:1" x14ac:dyDescent="0.3">
      <c r="A11542" s="20"/>
    </row>
    <row r="11543" spans="1:1" x14ac:dyDescent="0.3">
      <c r="A11543" s="20"/>
    </row>
    <row r="11544" spans="1:1" x14ac:dyDescent="0.3">
      <c r="A11544" s="20"/>
    </row>
    <row r="11545" spans="1:1" x14ac:dyDescent="0.3">
      <c r="A11545" s="20"/>
    </row>
    <row r="11546" spans="1:1" x14ac:dyDescent="0.3">
      <c r="A11546" s="20"/>
    </row>
    <row r="11547" spans="1:1" x14ac:dyDescent="0.3">
      <c r="A11547" s="20"/>
    </row>
    <row r="11548" spans="1:1" x14ac:dyDescent="0.3">
      <c r="A11548" s="20"/>
    </row>
    <row r="11549" spans="1:1" x14ac:dyDescent="0.3">
      <c r="A11549" s="20"/>
    </row>
    <row r="11550" spans="1:1" x14ac:dyDescent="0.3">
      <c r="A11550" s="20"/>
    </row>
    <row r="11551" spans="1:1" x14ac:dyDescent="0.3">
      <c r="A11551" s="20"/>
    </row>
    <row r="11552" spans="1:1" x14ac:dyDescent="0.3">
      <c r="A11552" s="20"/>
    </row>
    <row r="11553" spans="1:1" x14ac:dyDescent="0.3">
      <c r="A11553" s="20"/>
    </row>
    <row r="11554" spans="1:1" x14ac:dyDescent="0.3">
      <c r="A11554" s="20"/>
    </row>
    <row r="11555" spans="1:1" x14ac:dyDescent="0.3">
      <c r="A11555" s="20"/>
    </row>
    <row r="11556" spans="1:1" x14ac:dyDescent="0.3">
      <c r="A11556" s="20"/>
    </row>
    <row r="11557" spans="1:1" x14ac:dyDescent="0.3">
      <c r="A11557" s="20"/>
    </row>
    <row r="11558" spans="1:1" x14ac:dyDescent="0.3">
      <c r="A11558" s="20"/>
    </row>
    <row r="11559" spans="1:1" x14ac:dyDescent="0.3">
      <c r="A11559" s="20"/>
    </row>
    <row r="11560" spans="1:1" x14ac:dyDescent="0.3">
      <c r="A11560" s="20"/>
    </row>
    <row r="11561" spans="1:1" x14ac:dyDescent="0.3">
      <c r="A11561" s="20"/>
    </row>
    <row r="11562" spans="1:1" x14ac:dyDescent="0.3">
      <c r="A11562" s="20"/>
    </row>
    <row r="11563" spans="1:1" x14ac:dyDescent="0.3">
      <c r="A11563" s="20"/>
    </row>
    <row r="11564" spans="1:1" x14ac:dyDescent="0.3">
      <c r="A11564" s="20"/>
    </row>
    <row r="11565" spans="1:1" x14ac:dyDescent="0.3">
      <c r="A11565" s="20"/>
    </row>
    <row r="11566" spans="1:1" x14ac:dyDescent="0.3">
      <c r="A11566" s="20"/>
    </row>
    <row r="11567" spans="1:1" x14ac:dyDescent="0.3">
      <c r="A11567" s="20"/>
    </row>
    <row r="11568" spans="1:1" x14ac:dyDescent="0.3">
      <c r="A11568" s="20"/>
    </row>
    <row r="11569" spans="1:1" x14ac:dyDescent="0.3">
      <c r="A11569" s="20"/>
    </row>
    <row r="11570" spans="1:1" x14ac:dyDescent="0.3">
      <c r="A11570" s="20"/>
    </row>
    <row r="11571" spans="1:1" x14ac:dyDescent="0.3">
      <c r="A11571" s="20"/>
    </row>
    <row r="11572" spans="1:1" x14ac:dyDescent="0.3">
      <c r="A11572" s="20"/>
    </row>
    <row r="11573" spans="1:1" x14ac:dyDescent="0.3">
      <c r="A11573" s="20"/>
    </row>
    <row r="11574" spans="1:1" x14ac:dyDescent="0.3">
      <c r="A11574" s="20"/>
    </row>
    <row r="11575" spans="1:1" x14ac:dyDescent="0.3">
      <c r="A11575" s="20"/>
    </row>
    <row r="11576" spans="1:1" x14ac:dyDescent="0.3">
      <c r="A11576" s="20"/>
    </row>
    <row r="11577" spans="1:1" x14ac:dyDescent="0.3">
      <c r="A11577" s="20"/>
    </row>
    <row r="11578" spans="1:1" x14ac:dyDescent="0.3">
      <c r="A11578" s="20"/>
    </row>
    <row r="11579" spans="1:1" x14ac:dyDescent="0.3">
      <c r="A11579" s="20"/>
    </row>
    <row r="11580" spans="1:1" x14ac:dyDescent="0.3">
      <c r="A11580" s="20"/>
    </row>
    <row r="11581" spans="1:1" x14ac:dyDescent="0.3">
      <c r="A11581" s="20"/>
    </row>
    <row r="11582" spans="1:1" x14ac:dyDescent="0.3">
      <c r="A11582" s="20"/>
    </row>
    <row r="11583" spans="1:1" x14ac:dyDescent="0.3">
      <c r="A11583" s="20"/>
    </row>
    <row r="11584" spans="1:1" x14ac:dyDescent="0.3">
      <c r="A11584" s="20"/>
    </row>
    <row r="11585" spans="1:1" x14ac:dyDescent="0.3">
      <c r="A11585" s="20"/>
    </row>
    <row r="11586" spans="1:1" x14ac:dyDescent="0.3">
      <c r="A11586" s="20"/>
    </row>
    <row r="11587" spans="1:1" x14ac:dyDescent="0.3">
      <c r="A11587" s="20"/>
    </row>
    <row r="11588" spans="1:1" x14ac:dyDescent="0.3">
      <c r="A11588" s="20"/>
    </row>
    <row r="11589" spans="1:1" x14ac:dyDescent="0.3">
      <c r="A11589" s="20"/>
    </row>
    <row r="11590" spans="1:1" x14ac:dyDescent="0.3">
      <c r="A11590" s="20"/>
    </row>
    <row r="11591" spans="1:1" x14ac:dyDescent="0.3">
      <c r="A11591" s="20"/>
    </row>
    <row r="11592" spans="1:1" x14ac:dyDescent="0.3">
      <c r="A11592" s="20"/>
    </row>
    <row r="11593" spans="1:1" x14ac:dyDescent="0.3">
      <c r="A11593" s="20"/>
    </row>
    <row r="11594" spans="1:1" x14ac:dyDescent="0.3">
      <c r="A11594" s="20"/>
    </row>
    <row r="11595" spans="1:1" x14ac:dyDescent="0.3">
      <c r="A11595" s="20"/>
    </row>
    <row r="11596" spans="1:1" x14ac:dyDescent="0.3">
      <c r="A11596" s="20"/>
    </row>
    <row r="11597" spans="1:1" x14ac:dyDescent="0.3">
      <c r="A11597" s="20"/>
    </row>
    <row r="11598" spans="1:1" x14ac:dyDescent="0.3">
      <c r="A11598" s="20"/>
    </row>
    <row r="11599" spans="1:1" x14ac:dyDescent="0.3">
      <c r="A11599" s="20"/>
    </row>
    <row r="11600" spans="1:1" x14ac:dyDescent="0.3">
      <c r="A11600" s="20"/>
    </row>
    <row r="11601" spans="1:1" x14ac:dyDescent="0.3">
      <c r="A11601" s="20"/>
    </row>
    <row r="11602" spans="1:1" x14ac:dyDescent="0.3">
      <c r="A11602" s="20"/>
    </row>
    <row r="11603" spans="1:1" x14ac:dyDescent="0.3">
      <c r="A11603" s="20"/>
    </row>
    <row r="11604" spans="1:1" x14ac:dyDescent="0.3">
      <c r="A11604" s="20"/>
    </row>
    <row r="11605" spans="1:1" x14ac:dyDescent="0.3">
      <c r="A11605" s="20"/>
    </row>
    <row r="11606" spans="1:1" x14ac:dyDescent="0.3">
      <c r="A11606" s="20"/>
    </row>
    <row r="11607" spans="1:1" x14ac:dyDescent="0.3">
      <c r="A11607" s="20"/>
    </row>
    <row r="11608" spans="1:1" x14ac:dyDescent="0.3">
      <c r="A11608" s="20"/>
    </row>
    <row r="11609" spans="1:1" x14ac:dyDescent="0.3">
      <c r="A11609" s="20"/>
    </row>
    <row r="11610" spans="1:1" x14ac:dyDescent="0.3">
      <c r="A11610" s="20"/>
    </row>
    <row r="11611" spans="1:1" x14ac:dyDescent="0.3">
      <c r="A11611" s="20"/>
    </row>
    <row r="11612" spans="1:1" x14ac:dyDescent="0.3">
      <c r="A11612" s="20"/>
    </row>
    <row r="11613" spans="1:1" x14ac:dyDescent="0.3">
      <c r="A11613" s="20"/>
    </row>
    <row r="11614" spans="1:1" x14ac:dyDescent="0.3">
      <c r="A11614" s="20"/>
    </row>
    <row r="11615" spans="1:1" x14ac:dyDescent="0.3">
      <c r="A11615" s="20"/>
    </row>
    <row r="11616" spans="1:1" x14ac:dyDescent="0.3">
      <c r="A11616" s="20"/>
    </row>
    <row r="11617" spans="1:1" x14ac:dyDescent="0.3">
      <c r="A11617" s="20"/>
    </row>
    <row r="11618" spans="1:1" x14ac:dyDescent="0.3">
      <c r="A11618" s="20"/>
    </row>
    <row r="11619" spans="1:1" x14ac:dyDescent="0.3">
      <c r="A11619" s="20"/>
    </row>
    <row r="11620" spans="1:1" x14ac:dyDescent="0.3">
      <c r="A11620" s="20"/>
    </row>
    <row r="11621" spans="1:1" x14ac:dyDescent="0.3">
      <c r="A11621" s="20"/>
    </row>
    <row r="11622" spans="1:1" x14ac:dyDescent="0.3">
      <c r="A11622" s="20"/>
    </row>
    <row r="11623" spans="1:1" x14ac:dyDescent="0.3">
      <c r="A11623" s="20"/>
    </row>
    <row r="11624" spans="1:1" x14ac:dyDescent="0.3">
      <c r="A11624" s="20"/>
    </row>
    <row r="11625" spans="1:1" x14ac:dyDescent="0.3">
      <c r="A11625" s="20"/>
    </row>
    <row r="11626" spans="1:1" x14ac:dyDescent="0.3">
      <c r="A11626" s="20"/>
    </row>
    <row r="11627" spans="1:1" x14ac:dyDescent="0.3">
      <c r="A11627" s="20"/>
    </row>
    <row r="11628" spans="1:1" x14ac:dyDescent="0.3">
      <c r="A11628" s="20"/>
    </row>
    <row r="11629" spans="1:1" x14ac:dyDescent="0.3">
      <c r="A11629" s="20"/>
    </row>
    <row r="11630" spans="1:1" x14ac:dyDescent="0.3">
      <c r="A11630" s="20"/>
    </row>
    <row r="11631" spans="1:1" x14ac:dyDescent="0.3">
      <c r="A11631" s="20"/>
    </row>
    <row r="11632" spans="1:1" x14ac:dyDescent="0.3">
      <c r="A11632" s="20"/>
    </row>
    <row r="11633" spans="1:1" x14ac:dyDescent="0.3">
      <c r="A11633" s="20"/>
    </row>
    <row r="11634" spans="1:1" x14ac:dyDescent="0.3">
      <c r="A11634" s="20"/>
    </row>
    <row r="11635" spans="1:1" x14ac:dyDescent="0.3">
      <c r="A11635" s="20"/>
    </row>
    <row r="11636" spans="1:1" x14ac:dyDescent="0.3">
      <c r="A11636" s="20"/>
    </row>
    <row r="11637" spans="1:1" x14ac:dyDescent="0.3">
      <c r="A11637" s="20"/>
    </row>
    <row r="11638" spans="1:1" x14ac:dyDescent="0.3">
      <c r="A11638" s="20"/>
    </row>
    <row r="11639" spans="1:1" x14ac:dyDescent="0.3">
      <c r="A11639" s="20"/>
    </row>
    <row r="11640" spans="1:1" x14ac:dyDescent="0.3">
      <c r="A11640" s="20"/>
    </row>
    <row r="11641" spans="1:1" x14ac:dyDescent="0.3">
      <c r="A11641" s="20"/>
    </row>
    <row r="11642" spans="1:1" x14ac:dyDescent="0.3">
      <c r="A11642" s="20"/>
    </row>
    <row r="11643" spans="1:1" x14ac:dyDescent="0.3">
      <c r="A11643" s="20"/>
    </row>
    <row r="11644" spans="1:1" x14ac:dyDescent="0.3">
      <c r="A11644" s="20"/>
    </row>
    <row r="11645" spans="1:1" x14ac:dyDescent="0.3">
      <c r="A11645" s="20"/>
    </row>
    <row r="11646" spans="1:1" x14ac:dyDescent="0.3">
      <c r="A11646" s="20"/>
    </row>
    <row r="11647" spans="1:1" x14ac:dyDescent="0.3">
      <c r="A11647" s="20"/>
    </row>
    <row r="11648" spans="1:1" x14ac:dyDescent="0.3">
      <c r="A11648" s="20"/>
    </row>
    <row r="11649" spans="1:1" x14ac:dyDescent="0.3">
      <c r="A11649" s="20"/>
    </row>
    <row r="11650" spans="1:1" x14ac:dyDescent="0.3">
      <c r="A11650" s="20"/>
    </row>
    <row r="11651" spans="1:1" x14ac:dyDescent="0.3">
      <c r="A11651" s="20"/>
    </row>
    <row r="11652" spans="1:1" x14ac:dyDescent="0.3">
      <c r="A11652" s="20"/>
    </row>
    <row r="11653" spans="1:1" x14ac:dyDescent="0.3">
      <c r="A11653" s="20"/>
    </row>
    <row r="11654" spans="1:1" x14ac:dyDescent="0.3">
      <c r="A11654" s="20"/>
    </row>
    <row r="11655" spans="1:1" x14ac:dyDescent="0.3">
      <c r="A11655" s="20"/>
    </row>
    <row r="11656" spans="1:1" x14ac:dyDescent="0.3">
      <c r="A11656" s="20"/>
    </row>
    <row r="11657" spans="1:1" x14ac:dyDescent="0.3">
      <c r="A11657" s="20"/>
    </row>
    <row r="11658" spans="1:1" x14ac:dyDescent="0.3">
      <c r="A11658" s="20"/>
    </row>
    <row r="11659" spans="1:1" x14ac:dyDescent="0.3">
      <c r="A11659" s="20"/>
    </row>
    <row r="11660" spans="1:1" x14ac:dyDescent="0.3">
      <c r="A11660" s="20"/>
    </row>
    <row r="11661" spans="1:1" x14ac:dyDescent="0.3">
      <c r="A11661" s="20"/>
    </row>
    <row r="11662" spans="1:1" x14ac:dyDescent="0.3">
      <c r="A11662" s="20"/>
    </row>
    <row r="11663" spans="1:1" x14ac:dyDescent="0.3">
      <c r="A11663" s="20"/>
    </row>
    <row r="11664" spans="1:1" x14ac:dyDescent="0.3">
      <c r="A11664" s="20"/>
    </row>
    <row r="11665" spans="1:1" x14ac:dyDescent="0.3">
      <c r="A11665" s="20"/>
    </row>
    <row r="11666" spans="1:1" x14ac:dyDescent="0.3">
      <c r="A11666" s="20"/>
    </row>
    <row r="11667" spans="1:1" x14ac:dyDescent="0.3">
      <c r="A11667" s="20"/>
    </row>
    <row r="11668" spans="1:1" x14ac:dyDescent="0.3">
      <c r="A11668" s="20"/>
    </row>
    <row r="11669" spans="1:1" x14ac:dyDescent="0.3">
      <c r="A11669" s="20"/>
    </row>
    <row r="11670" spans="1:1" x14ac:dyDescent="0.3">
      <c r="A11670" s="20"/>
    </row>
    <row r="11671" spans="1:1" x14ac:dyDescent="0.3">
      <c r="A11671" s="20"/>
    </row>
    <row r="11672" spans="1:1" x14ac:dyDescent="0.3">
      <c r="A11672" s="20"/>
    </row>
    <row r="11673" spans="1:1" x14ac:dyDescent="0.3">
      <c r="A11673" s="20"/>
    </row>
    <row r="11674" spans="1:1" x14ac:dyDescent="0.3">
      <c r="A11674" s="20"/>
    </row>
    <row r="11675" spans="1:1" x14ac:dyDescent="0.3">
      <c r="A11675" s="20"/>
    </row>
    <row r="11676" spans="1:1" x14ac:dyDescent="0.3">
      <c r="A11676" s="20"/>
    </row>
    <row r="11677" spans="1:1" x14ac:dyDescent="0.3">
      <c r="A11677" s="20"/>
    </row>
    <row r="11678" spans="1:1" x14ac:dyDescent="0.3">
      <c r="A11678" s="20"/>
    </row>
    <row r="11679" spans="1:1" x14ac:dyDescent="0.3">
      <c r="A11679" s="20"/>
    </row>
    <row r="11680" spans="1:1" x14ac:dyDescent="0.3">
      <c r="A11680" s="20"/>
    </row>
    <row r="11681" spans="1:1" x14ac:dyDescent="0.3">
      <c r="A11681" s="20"/>
    </row>
    <row r="11682" spans="1:1" x14ac:dyDescent="0.3">
      <c r="A11682" s="20"/>
    </row>
    <row r="11683" spans="1:1" x14ac:dyDescent="0.3">
      <c r="A11683" s="20"/>
    </row>
    <row r="11684" spans="1:1" x14ac:dyDescent="0.3">
      <c r="A11684" s="20"/>
    </row>
    <row r="11685" spans="1:1" x14ac:dyDescent="0.3">
      <c r="A11685" s="20"/>
    </row>
    <row r="11686" spans="1:1" x14ac:dyDescent="0.3">
      <c r="A11686" s="20"/>
    </row>
    <row r="11687" spans="1:1" x14ac:dyDescent="0.3">
      <c r="A11687" s="20"/>
    </row>
    <row r="11688" spans="1:1" x14ac:dyDescent="0.3">
      <c r="A11688" s="20"/>
    </row>
    <row r="11689" spans="1:1" x14ac:dyDescent="0.3">
      <c r="A11689" s="20"/>
    </row>
    <row r="11690" spans="1:1" x14ac:dyDescent="0.3">
      <c r="A11690" s="20"/>
    </row>
    <row r="11691" spans="1:1" x14ac:dyDescent="0.3">
      <c r="A11691" s="20"/>
    </row>
    <row r="11692" spans="1:1" x14ac:dyDescent="0.3">
      <c r="A11692" s="20"/>
    </row>
    <row r="11693" spans="1:1" x14ac:dyDescent="0.3">
      <c r="A11693" s="20"/>
    </row>
    <row r="11694" spans="1:1" x14ac:dyDescent="0.3">
      <c r="A11694" s="20"/>
    </row>
    <row r="11695" spans="1:1" x14ac:dyDescent="0.3">
      <c r="A11695" s="20"/>
    </row>
    <row r="11696" spans="1:1" x14ac:dyDescent="0.3">
      <c r="A11696" s="20"/>
    </row>
    <row r="11697" spans="1:1" x14ac:dyDescent="0.3">
      <c r="A11697" s="20"/>
    </row>
    <row r="11698" spans="1:1" x14ac:dyDescent="0.3">
      <c r="A11698" s="20"/>
    </row>
    <row r="11699" spans="1:1" x14ac:dyDescent="0.3">
      <c r="A11699" s="20"/>
    </row>
    <row r="11700" spans="1:1" x14ac:dyDescent="0.3">
      <c r="A11700" s="20"/>
    </row>
    <row r="11701" spans="1:1" x14ac:dyDescent="0.3">
      <c r="A11701" s="20"/>
    </row>
    <row r="11702" spans="1:1" x14ac:dyDescent="0.3">
      <c r="A11702" s="20"/>
    </row>
    <row r="11703" spans="1:1" x14ac:dyDescent="0.3">
      <c r="A11703" s="20"/>
    </row>
    <row r="11704" spans="1:1" x14ac:dyDescent="0.3">
      <c r="A11704" s="20"/>
    </row>
    <row r="11705" spans="1:1" x14ac:dyDescent="0.3">
      <c r="A11705" s="20"/>
    </row>
    <row r="11706" spans="1:1" x14ac:dyDescent="0.3">
      <c r="A11706" s="20"/>
    </row>
    <row r="11707" spans="1:1" x14ac:dyDescent="0.3">
      <c r="A11707" s="20"/>
    </row>
    <row r="11708" spans="1:1" x14ac:dyDescent="0.3">
      <c r="A11708" s="20"/>
    </row>
    <row r="11709" spans="1:1" x14ac:dyDescent="0.3">
      <c r="A11709" s="20"/>
    </row>
    <row r="11710" spans="1:1" x14ac:dyDescent="0.3">
      <c r="A11710" s="20"/>
    </row>
    <row r="11711" spans="1:1" x14ac:dyDescent="0.3">
      <c r="A11711" s="20"/>
    </row>
    <row r="11712" spans="1:1" x14ac:dyDescent="0.3">
      <c r="A11712" s="20"/>
    </row>
    <row r="11713" spans="1:1" x14ac:dyDescent="0.3">
      <c r="A11713" s="20"/>
    </row>
    <row r="11714" spans="1:1" x14ac:dyDescent="0.3">
      <c r="A11714" s="20"/>
    </row>
    <row r="11715" spans="1:1" x14ac:dyDescent="0.3">
      <c r="A11715" s="20"/>
    </row>
    <row r="11716" spans="1:1" x14ac:dyDescent="0.3">
      <c r="A11716" s="20"/>
    </row>
    <row r="11717" spans="1:1" x14ac:dyDescent="0.3">
      <c r="A11717" s="20"/>
    </row>
    <row r="11718" spans="1:1" x14ac:dyDescent="0.3">
      <c r="A11718" s="20"/>
    </row>
    <row r="11719" spans="1:1" x14ac:dyDescent="0.3">
      <c r="A11719" s="20"/>
    </row>
    <row r="11720" spans="1:1" x14ac:dyDescent="0.3">
      <c r="A11720" s="20"/>
    </row>
    <row r="11721" spans="1:1" x14ac:dyDescent="0.3">
      <c r="A11721" s="20"/>
    </row>
    <row r="11722" spans="1:1" x14ac:dyDescent="0.3">
      <c r="A11722" s="20"/>
    </row>
    <row r="11723" spans="1:1" x14ac:dyDescent="0.3">
      <c r="A11723" s="20"/>
    </row>
    <row r="11724" spans="1:1" x14ac:dyDescent="0.3">
      <c r="A11724" s="20"/>
    </row>
    <row r="11725" spans="1:1" x14ac:dyDescent="0.3">
      <c r="A11725" s="20"/>
    </row>
    <row r="11726" spans="1:1" x14ac:dyDescent="0.3">
      <c r="A11726" s="20"/>
    </row>
    <row r="11727" spans="1:1" x14ac:dyDescent="0.3">
      <c r="A11727" s="20"/>
    </row>
    <row r="11728" spans="1:1" x14ac:dyDescent="0.3">
      <c r="A11728" s="20"/>
    </row>
    <row r="11729" spans="1:1" x14ac:dyDescent="0.3">
      <c r="A11729" s="20"/>
    </row>
    <row r="11730" spans="1:1" x14ac:dyDescent="0.3">
      <c r="A11730" s="20"/>
    </row>
    <row r="11731" spans="1:1" x14ac:dyDescent="0.3">
      <c r="A11731" s="20"/>
    </row>
    <row r="11732" spans="1:1" x14ac:dyDescent="0.3">
      <c r="A11732" s="20"/>
    </row>
    <row r="11733" spans="1:1" x14ac:dyDescent="0.3">
      <c r="A11733" s="20"/>
    </row>
    <row r="11734" spans="1:1" x14ac:dyDescent="0.3">
      <c r="A11734" s="20"/>
    </row>
    <row r="11735" spans="1:1" x14ac:dyDescent="0.3">
      <c r="A11735" s="20"/>
    </row>
    <row r="11736" spans="1:1" x14ac:dyDescent="0.3">
      <c r="A11736" s="20"/>
    </row>
    <row r="11737" spans="1:1" x14ac:dyDescent="0.3">
      <c r="A11737" s="20"/>
    </row>
    <row r="11738" spans="1:1" x14ac:dyDescent="0.3">
      <c r="A11738" s="20"/>
    </row>
    <row r="11739" spans="1:1" x14ac:dyDescent="0.3">
      <c r="A11739" s="20"/>
    </row>
    <row r="11740" spans="1:1" x14ac:dyDescent="0.3">
      <c r="A11740" s="20"/>
    </row>
    <row r="11741" spans="1:1" x14ac:dyDescent="0.3">
      <c r="A11741" s="20"/>
    </row>
    <row r="11742" spans="1:1" x14ac:dyDescent="0.3">
      <c r="A11742" s="20"/>
    </row>
    <row r="11743" spans="1:1" x14ac:dyDescent="0.3">
      <c r="A11743" s="20"/>
    </row>
    <row r="11744" spans="1:1" x14ac:dyDescent="0.3">
      <c r="A11744" s="20"/>
    </row>
    <row r="11745" spans="1:1" x14ac:dyDescent="0.3">
      <c r="A11745" s="20"/>
    </row>
    <row r="11746" spans="1:1" x14ac:dyDescent="0.3">
      <c r="A11746" s="20"/>
    </row>
    <row r="11747" spans="1:1" x14ac:dyDescent="0.3">
      <c r="A11747" s="20"/>
    </row>
    <row r="11748" spans="1:1" x14ac:dyDescent="0.3">
      <c r="A11748" s="20"/>
    </row>
    <row r="11749" spans="1:1" x14ac:dyDescent="0.3">
      <c r="A11749" s="20"/>
    </row>
    <row r="11750" spans="1:1" x14ac:dyDescent="0.3">
      <c r="A11750" s="20"/>
    </row>
    <row r="11751" spans="1:1" x14ac:dyDescent="0.3">
      <c r="A11751" s="20"/>
    </row>
    <row r="11752" spans="1:1" x14ac:dyDescent="0.3">
      <c r="A11752" s="20"/>
    </row>
    <row r="11753" spans="1:1" x14ac:dyDescent="0.3">
      <c r="A11753" s="20"/>
    </row>
    <row r="11754" spans="1:1" x14ac:dyDescent="0.3">
      <c r="A11754" s="20"/>
    </row>
    <row r="11755" spans="1:1" x14ac:dyDescent="0.3">
      <c r="A11755" s="20"/>
    </row>
    <row r="11756" spans="1:1" x14ac:dyDescent="0.3">
      <c r="A11756" s="20"/>
    </row>
    <row r="11757" spans="1:1" x14ac:dyDescent="0.3">
      <c r="A11757" s="20"/>
    </row>
    <row r="11758" spans="1:1" x14ac:dyDescent="0.3">
      <c r="A11758" s="20"/>
    </row>
    <row r="11759" spans="1:1" x14ac:dyDescent="0.3">
      <c r="A11759" s="20"/>
    </row>
    <row r="11760" spans="1:1" x14ac:dyDescent="0.3">
      <c r="A11760" s="20"/>
    </row>
    <row r="11761" spans="1:1" x14ac:dyDescent="0.3">
      <c r="A11761" s="20"/>
    </row>
    <row r="11762" spans="1:1" x14ac:dyDescent="0.3">
      <c r="A11762" s="20"/>
    </row>
    <row r="11763" spans="1:1" x14ac:dyDescent="0.3">
      <c r="A11763" s="20"/>
    </row>
    <row r="11764" spans="1:1" x14ac:dyDescent="0.3">
      <c r="A11764" s="20"/>
    </row>
    <row r="11765" spans="1:1" x14ac:dyDescent="0.3">
      <c r="A11765" s="20"/>
    </row>
    <row r="11766" spans="1:1" x14ac:dyDescent="0.3">
      <c r="A11766" s="20"/>
    </row>
    <row r="11767" spans="1:1" x14ac:dyDescent="0.3">
      <c r="A11767" s="20"/>
    </row>
    <row r="11768" spans="1:1" x14ac:dyDescent="0.3">
      <c r="A11768" s="20"/>
    </row>
    <row r="11769" spans="1:1" x14ac:dyDescent="0.3">
      <c r="A11769" s="20"/>
    </row>
    <row r="11770" spans="1:1" x14ac:dyDescent="0.3">
      <c r="A11770" s="20"/>
    </row>
    <row r="11771" spans="1:1" x14ac:dyDescent="0.3">
      <c r="A11771" s="20"/>
    </row>
    <row r="11772" spans="1:1" x14ac:dyDescent="0.3">
      <c r="A11772" s="20"/>
    </row>
    <row r="11773" spans="1:1" x14ac:dyDescent="0.3">
      <c r="A11773" s="20"/>
    </row>
    <row r="11774" spans="1:1" x14ac:dyDescent="0.3">
      <c r="A11774" s="20"/>
    </row>
    <row r="11775" spans="1:1" x14ac:dyDescent="0.3">
      <c r="A11775" s="20"/>
    </row>
    <row r="11776" spans="1:1" x14ac:dyDescent="0.3">
      <c r="A11776" s="20"/>
    </row>
    <row r="11777" spans="1:1" x14ac:dyDescent="0.3">
      <c r="A11777" s="20"/>
    </row>
    <row r="11778" spans="1:1" x14ac:dyDescent="0.3">
      <c r="A11778" s="20"/>
    </row>
    <row r="11779" spans="1:1" x14ac:dyDescent="0.3">
      <c r="A11779" s="20"/>
    </row>
    <row r="11780" spans="1:1" x14ac:dyDescent="0.3">
      <c r="A11780" s="20"/>
    </row>
    <row r="11781" spans="1:1" x14ac:dyDescent="0.3">
      <c r="A11781" s="20"/>
    </row>
    <row r="11782" spans="1:1" x14ac:dyDescent="0.3">
      <c r="A11782" s="20"/>
    </row>
    <row r="11783" spans="1:1" x14ac:dyDescent="0.3">
      <c r="A11783" s="20"/>
    </row>
    <row r="11784" spans="1:1" x14ac:dyDescent="0.3">
      <c r="A11784" s="20"/>
    </row>
    <row r="11785" spans="1:1" x14ac:dyDescent="0.3">
      <c r="A11785" s="20"/>
    </row>
    <row r="11786" spans="1:1" x14ac:dyDescent="0.3">
      <c r="A11786" s="20"/>
    </row>
    <row r="11787" spans="1:1" x14ac:dyDescent="0.3">
      <c r="A11787" s="20"/>
    </row>
    <row r="11788" spans="1:1" x14ac:dyDescent="0.3">
      <c r="A11788" s="20"/>
    </row>
    <row r="11789" spans="1:1" x14ac:dyDescent="0.3">
      <c r="A11789" s="20"/>
    </row>
    <row r="11790" spans="1:1" x14ac:dyDescent="0.3">
      <c r="A11790" s="20"/>
    </row>
    <row r="11791" spans="1:1" x14ac:dyDescent="0.3">
      <c r="A11791" s="20"/>
    </row>
    <row r="11792" spans="1:1" x14ac:dyDescent="0.3">
      <c r="A11792" s="20"/>
    </row>
    <row r="11793" spans="1:1" x14ac:dyDescent="0.3">
      <c r="A11793" s="20"/>
    </row>
    <row r="11794" spans="1:1" x14ac:dyDescent="0.3">
      <c r="A11794" s="20"/>
    </row>
    <row r="11795" spans="1:1" x14ac:dyDescent="0.3">
      <c r="A11795" s="20"/>
    </row>
    <row r="11796" spans="1:1" x14ac:dyDescent="0.3">
      <c r="A11796" s="20"/>
    </row>
    <row r="11797" spans="1:1" x14ac:dyDescent="0.3">
      <c r="A11797" s="20"/>
    </row>
    <row r="11798" spans="1:1" x14ac:dyDescent="0.3">
      <c r="A11798" s="20"/>
    </row>
    <row r="11799" spans="1:1" x14ac:dyDescent="0.3">
      <c r="A11799" s="20"/>
    </row>
    <row r="11800" spans="1:1" x14ac:dyDescent="0.3">
      <c r="A11800" s="20"/>
    </row>
    <row r="11801" spans="1:1" x14ac:dyDescent="0.3">
      <c r="A11801" s="20"/>
    </row>
    <row r="11802" spans="1:1" x14ac:dyDescent="0.3">
      <c r="A11802" s="20"/>
    </row>
    <row r="11803" spans="1:1" x14ac:dyDescent="0.3">
      <c r="A11803" s="20"/>
    </row>
    <row r="11804" spans="1:1" x14ac:dyDescent="0.3">
      <c r="A11804" s="20"/>
    </row>
    <row r="11805" spans="1:1" x14ac:dyDescent="0.3">
      <c r="A11805" s="20"/>
    </row>
    <row r="11806" spans="1:1" x14ac:dyDescent="0.3">
      <c r="A11806" s="20"/>
    </row>
    <row r="11807" spans="1:1" x14ac:dyDescent="0.3">
      <c r="A11807" s="20"/>
    </row>
    <row r="11808" spans="1:1" x14ac:dyDescent="0.3">
      <c r="A11808" s="20"/>
    </row>
    <row r="11809" spans="1:1" x14ac:dyDescent="0.3">
      <c r="A11809" s="20"/>
    </row>
    <row r="11810" spans="1:1" x14ac:dyDescent="0.3">
      <c r="A11810" s="20"/>
    </row>
    <row r="11811" spans="1:1" x14ac:dyDescent="0.3">
      <c r="A11811" s="20"/>
    </row>
    <row r="11812" spans="1:1" x14ac:dyDescent="0.3">
      <c r="A11812" s="20"/>
    </row>
    <row r="11813" spans="1:1" x14ac:dyDescent="0.3">
      <c r="A11813" s="20"/>
    </row>
    <row r="11814" spans="1:1" x14ac:dyDescent="0.3">
      <c r="A11814" s="20"/>
    </row>
    <row r="11815" spans="1:1" x14ac:dyDescent="0.3">
      <c r="A11815" s="20"/>
    </row>
    <row r="11816" spans="1:1" x14ac:dyDescent="0.3">
      <c r="A11816" s="20"/>
    </row>
    <row r="11817" spans="1:1" x14ac:dyDescent="0.3">
      <c r="A11817" s="20"/>
    </row>
    <row r="11818" spans="1:1" x14ac:dyDescent="0.3">
      <c r="A11818" s="20"/>
    </row>
    <row r="11819" spans="1:1" x14ac:dyDescent="0.3">
      <c r="A11819" s="20"/>
    </row>
    <row r="11820" spans="1:1" x14ac:dyDescent="0.3">
      <c r="A11820" s="20"/>
    </row>
    <row r="11821" spans="1:1" x14ac:dyDescent="0.3">
      <c r="A11821" s="20"/>
    </row>
    <row r="11822" spans="1:1" x14ac:dyDescent="0.3">
      <c r="A11822" s="20"/>
    </row>
    <row r="11823" spans="1:1" x14ac:dyDescent="0.3">
      <c r="A11823" s="20"/>
    </row>
    <row r="11824" spans="1:1" x14ac:dyDescent="0.3">
      <c r="A11824" s="20"/>
    </row>
    <row r="11825" spans="1:1" x14ac:dyDescent="0.3">
      <c r="A11825" s="20"/>
    </row>
    <row r="11826" spans="1:1" x14ac:dyDescent="0.3">
      <c r="A11826" s="20"/>
    </row>
    <row r="11827" spans="1:1" x14ac:dyDescent="0.3">
      <c r="A11827" s="20"/>
    </row>
    <row r="11828" spans="1:1" x14ac:dyDescent="0.3">
      <c r="A11828" s="20"/>
    </row>
    <row r="11829" spans="1:1" x14ac:dyDescent="0.3">
      <c r="A11829" s="20"/>
    </row>
    <row r="11830" spans="1:1" x14ac:dyDescent="0.3">
      <c r="A11830" s="20"/>
    </row>
    <row r="11831" spans="1:1" x14ac:dyDescent="0.3">
      <c r="A11831" s="20"/>
    </row>
    <row r="11832" spans="1:1" x14ac:dyDescent="0.3">
      <c r="A11832" s="20"/>
    </row>
    <row r="11833" spans="1:1" x14ac:dyDescent="0.3">
      <c r="A11833" s="20"/>
    </row>
    <row r="11834" spans="1:1" x14ac:dyDescent="0.3">
      <c r="A11834" s="20"/>
    </row>
    <row r="11835" spans="1:1" x14ac:dyDescent="0.3">
      <c r="A11835" s="20"/>
    </row>
    <row r="11836" spans="1:1" x14ac:dyDescent="0.3">
      <c r="A11836" s="20"/>
    </row>
    <row r="11837" spans="1:1" x14ac:dyDescent="0.3">
      <c r="A11837" s="20"/>
    </row>
    <row r="11838" spans="1:1" x14ac:dyDescent="0.3">
      <c r="A11838" s="20"/>
    </row>
    <row r="11839" spans="1:1" x14ac:dyDescent="0.3">
      <c r="A11839" s="20"/>
    </row>
    <row r="11840" spans="1:1" x14ac:dyDescent="0.3">
      <c r="A11840" s="20"/>
    </row>
    <row r="11841" spans="1:1" x14ac:dyDescent="0.3">
      <c r="A11841" s="20"/>
    </row>
    <row r="11842" spans="1:1" x14ac:dyDescent="0.3">
      <c r="A11842" s="20"/>
    </row>
    <row r="11843" spans="1:1" x14ac:dyDescent="0.3">
      <c r="A11843" s="20"/>
    </row>
    <row r="11844" spans="1:1" x14ac:dyDescent="0.3">
      <c r="A11844" s="20"/>
    </row>
    <row r="11845" spans="1:1" x14ac:dyDescent="0.3">
      <c r="A11845" s="20"/>
    </row>
    <row r="11846" spans="1:1" x14ac:dyDescent="0.3">
      <c r="A11846" s="20"/>
    </row>
    <row r="11847" spans="1:1" x14ac:dyDescent="0.3">
      <c r="A11847" s="20"/>
    </row>
    <row r="11848" spans="1:1" x14ac:dyDescent="0.3">
      <c r="A11848" s="20"/>
    </row>
    <row r="11849" spans="1:1" x14ac:dyDescent="0.3">
      <c r="A11849" s="20"/>
    </row>
    <row r="11850" spans="1:1" x14ac:dyDescent="0.3">
      <c r="A11850" s="20"/>
    </row>
    <row r="11851" spans="1:1" x14ac:dyDescent="0.3">
      <c r="A11851" s="20"/>
    </row>
    <row r="11852" spans="1:1" x14ac:dyDescent="0.3">
      <c r="A11852" s="20"/>
    </row>
    <row r="11853" spans="1:1" x14ac:dyDescent="0.3">
      <c r="A11853" s="20"/>
    </row>
    <row r="11854" spans="1:1" x14ac:dyDescent="0.3">
      <c r="A11854" s="20"/>
    </row>
    <row r="11855" spans="1:1" x14ac:dyDescent="0.3">
      <c r="A11855" s="20"/>
    </row>
    <row r="11856" spans="1:1" x14ac:dyDescent="0.3">
      <c r="A11856" s="20"/>
    </row>
    <row r="11857" spans="1:1" x14ac:dyDescent="0.3">
      <c r="A11857" s="20"/>
    </row>
    <row r="11858" spans="1:1" x14ac:dyDescent="0.3">
      <c r="A11858" s="20"/>
    </row>
    <row r="11859" spans="1:1" x14ac:dyDescent="0.3">
      <c r="A11859" s="20"/>
    </row>
    <row r="11860" spans="1:1" x14ac:dyDescent="0.3">
      <c r="A11860" s="20"/>
    </row>
    <row r="11861" spans="1:1" x14ac:dyDescent="0.3">
      <c r="A11861" s="20"/>
    </row>
    <row r="11862" spans="1:1" x14ac:dyDescent="0.3">
      <c r="A11862" s="20"/>
    </row>
    <row r="11863" spans="1:1" x14ac:dyDescent="0.3">
      <c r="A11863" s="20"/>
    </row>
    <row r="11864" spans="1:1" x14ac:dyDescent="0.3">
      <c r="A11864" s="20"/>
    </row>
    <row r="11865" spans="1:1" x14ac:dyDescent="0.3">
      <c r="A11865" s="20"/>
    </row>
    <row r="11866" spans="1:1" x14ac:dyDescent="0.3">
      <c r="A11866" s="20"/>
    </row>
    <row r="11867" spans="1:1" x14ac:dyDescent="0.3">
      <c r="A11867" s="20"/>
    </row>
    <row r="11868" spans="1:1" x14ac:dyDescent="0.3">
      <c r="A11868" s="20"/>
    </row>
    <row r="11869" spans="1:1" x14ac:dyDescent="0.3">
      <c r="A11869" s="20"/>
    </row>
    <row r="11870" spans="1:1" x14ac:dyDescent="0.3">
      <c r="A11870" s="20"/>
    </row>
    <row r="11871" spans="1:1" x14ac:dyDescent="0.3">
      <c r="A11871" s="20"/>
    </row>
    <row r="11872" spans="1:1" x14ac:dyDescent="0.3">
      <c r="A11872" s="20"/>
    </row>
    <row r="11873" spans="1:1" x14ac:dyDescent="0.3">
      <c r="A11873" s="20"/>
    </row>
    <row r="11874" spans="1:1" x14ac:dyDescent="0.3">
      <c r="A11874" s="20"/>
    </row>
    <row r="11875" spans="1:1" x14ac:dyDescent="0.3">
      <c r="A11875" s="20"/>
    </row>
    <row r="11876" spans="1:1" x14ac:dyDescent="0.3">
      <c r="A11876" s="20"/>
    </row>
    <row r="11877" spans="1:1" x14ac:dyDescent="0.3">
      <c r="A11877" s="20"/>
    </row>
    <row r="11878" spans="1:1" x14ac:dyDescent="0.3">
      <c r="A11878" s="20"/>
    </row>
    <row r="11879" spans="1:1" x14ac:dyDescent="0.3">
      <c r="A11879" s="20"/>
    </row>
    <row r="11880" spans="1:1" x14ac:dyDescent="0.3">
      <c r="A11880" s="20"/>
    </row>
    <row r="11881" spans="1:1" x14ac:dyDescent="0.3">
      <c r="A11881" s="20"/>
    </row>
    <row r="11882" spans="1:1" x14ac:dyDescent="0.3">
      <c r="A11882" s="20"/>
    </row>
    <row r="11883" spans="1:1" x14ac:dyDescent="0.3">
      <c r="A11883" s="20"/>
    </row>
    <row r="11884" spans="1:1" x14ac:dyDescent="0.3">
      <c r="A11884" s="20"/>
    </row>
    <row r="11885" spans="1:1" x14ac:dyDescent="0.3">
      <c r="A11885" s="20"/>
    </row>
    <row r="11886" spans="1:1" x14ac:dyDescent="0.3">
      <c r="A11886" s="20"/>
    </row>
    <row r="11887" spans="1:1" x14ac:dyDescent="0.3">
      <c r="A11887" s="20"/>
    </row>
    <row r="11888" spans="1:1" x14ac:dyDescent="0.3">
      <c r="A11888" s="20"/>
    </row>
    <row r="11889" spans="1:1" x14ac:dyDescent="0.3">
      <c r="A11889" s="20"/>
    </row>
    <row r="11890" spans="1:1" x14ac:dyDescent="0.3">
      <c r="A11890" s="20"/>
    </row>
    <row r="11891" spans="1:1" x14ac:dyDescent="0.3">
      <c r="A11891" s="20"/>
    </row>
    <row r="11892" spans="1:1" x14ac:dyDescent="0.3">
      <c r="A11892" s="20"/>
    </row>
    <row r="11893" spans="1:1" x14ac:dyDescent="0.3">
      <c r="A11893" s="20"/>
    </row>
    <row r="11894" spans="1:1" x14ac:dyDescent="0.3">
      <c r="A11894" s="20"/>
    </row>
    <row r="11895" spans="1:1" x14ac:dyDescent="0.3">
      <c r="A11895" s="20"/>
    </row>
    <row r="11896" spans="1:1" x14ac:dyDescent="0.3">
      <c r="A11896" s="20"/>
    </row>
    <row r="11897" spans="1:1" x14ac:dyDescent="0.3">
      <c r="A11897" s="20"/>
    </row>
    <row r="11898" spans="1:1" x14ac:dyDescent="0.3">
      <c r="A11898" s="20"/>
    </row>
    <row r="11899" spans="1:1" x14ac:dyDescent="0.3">
      <c r="A11899" s="20"/>
    </row>
    <row r="11900" spans="1:1" x14ac:dyDescent="0.3">
      <c r="A11900" s="20"/>
    </row>
    <row r="11901" spans="1:1" x14ac:dyDescent="0.3">
      <c r="A11901" s="20"/>
    </row>
    <row r="11902" spans="1:1" x14ac:dyDescent="0.3">
      <c r="A11902" s="20"/>
    </row>
    <row r="11903" spans="1:1" x14ac:dyDescent="0.3">
      <c r="A11903" s="20"/>
    </row>
    <row r="11904" spans="1:1" x14ac:dyDescent="0.3">
      <c r="A11904" s="20"/>
    </row>
    <row r="11905" spans="1:1" x14ac:dyDescent="0.3">
      <c r="A11905" s="20"/>
    </row>
    <row r="11906" spans="1:1" x14ac:dyDescent="0.3">
      <c r="A11906" s="20"/>
    </row>
    <row r="11907" spans="1:1" x14ac:dyDescent="0.3">
      <c r="A11907" s="20"/>
    </row>
    <row r="11908" spans="1:1" x14ac:dyDescent="0.3">
      <c r="A11908" s="20"/>
    </row>
    <row r="11909" spans="1:1" x14ac:dyDescent="0.3">
      <c r="A11909" s="20"/>
    </row>
    <row r="11910" spans="1:1" x14ac:dyDescent="0.3">
      <c r="A11910" s="20"/>
    </row>
    <row r="11911" spans="1:1" x14ac:dyDescent="0.3">
      <c r="A11911" s="20"/>
    </row>
    <row r="11912" spans="1:1" x14ac:dyDescent="0.3">
      <c r="A11912" s="20"/>
    </row>
    <row r="11913" spans="1:1" x14ac:dyDescent="0.3">
      <c r="A11913" s="20"/>
    </row>
    <row r="11914" spans="1:1" x14ac:dyDescent="0.3">
      <c r="A11914" s="20"/>
    </row>
    <row r="11915" spans="1:1" x14ac:dyDescent="0.3">
      <c r="A11915" s="20"/>
    </row>
    <row r="11916" spans="1:1" x14ac:dyDescent="0.3">
      <c r="A11916" s="20"/>
    </row>
    <row r="11917" spans="1:1" x14ac:dyDescent="0.3">
      <c r="A11917" s="20"/>
    </row>
    <row r="11918" spans="1:1" x14ac:dyDescent="0.3">
      <c r="A11918" s="20"/>
    </row>
    <row r="11919" spans="1:1" x14ac:dyDescent="0.3">
      <c r="A11919" s="20"/>
    </row>
    <row r="11920" spans="1:1" x14ac:dyDescent="0.3">
      <c r="A11920" s="20"/>
    </row>
    <row r="11921" spans="1:1" x14ac:dyDescent="0.3">
      <c r="A11921" s="20"/>
    </row>
    <row r="11922" spans="1:1" x14ac:dyDescent="0.3">
      <c r="A11922" s="20"/>
    </row>
    <row r="11923" spans="1:1" x14ac:dyDescent="0.3">
      <c r="A11923" s="20"/>
    </row>
    <row r="11924" spans="1:1" x14ac:dyDescent="0.3">
      <c r="A11924" s="20"/>
    </row>
    <row r="11925" spans="1:1" x14ac:dyDescent="0.3">
      <c r="A11925" s="20"/>
    </row>
    <row r="11926" spans="1:1" x14ac:dyDescent="0.3">
      <c r="A11926" s="20"/>
    </row>
    <row r="11927" spans="1:1" x14ac:dyDescent="0.3">
      <c r="A11927" s="20"/>
    </row>
    <row r="11928" spans="1:1" x14ac:dyDescent="0.3">
      <c r="A11928" s="20"/>
    </row>
    <row r="11929" spans="1:1" x14ac:dyDescent="0.3">
      <c r="A11929" s="20"/>
    </row>
    <row r="11930" spans="1:1" x14ac:dyDescent="0.3">
      <c r="A11930" s="20"/>
    </row>
    <row r="11931" spans="1:1" x14ac:dyDescent="0.3">
      <c r="A11931" s="20"/>
    </row>
    <row r="11932" spans="1:1" x14ac:dyDescent="0.3">
      <c r="A11932" s="20"/>
    </row>
    <row r="11933" spans="1:1" x14ac:dyDescent="0.3">
      <c r="A11933" s="20"/>
    </row>
    <row r="11934" spans="1:1" x14ac:dyDescent="0.3">
      <c r="A11934" s="20"/>
    </row>
    <row r="11935" spans="1:1" x14ac:dyDescent="0.3">
      <c r="A11935" s="20"/>
    </row>
    <row r="11936" spans="1:1" x14ac:dyDescent="0.3">
      <c r="A11936" s="20"/>
    </row>
    <row r="11937" spans="1:1" x14ac:dyDescent="0.3">
      <c r="A11937" s="20"/>
    </row>
    <row r="11938" spans="1:1" x14ac:dyDescent="0.3">
      <c r="A11938" s="20"/>
    </row>
    <row r="11939" spans="1:1" x14ac:dyDescent="0.3">
      <c r="A11939" s="20"/>
    </row>
    <row r="11940" spans="1:1" x14ac:dyDescent="0.3">
      <c r="A11940" s="20"/>
    </row>
    <row r="11941" spans="1:1" x14ac:dyDescent="0.3">
      <c r="A11941" s="20"/>
    </row>
    <row r="11942" spans="1:1" x14ac:dyDescent="0.3">
      <c r="A11942" s="20"/>
    </row>
    <row r="11943" spans="1:1" x14ac:dyDescent="0.3">
      <c r="A11943" s="20"/>
    </row>
    <row r="11944" spans="1:1" x14ac:dyDescent="0.3">
      <c r="A11944" s="20"/>
    </row>
    <row r="11945" spans="1:1" x14ac:dyDescent="0.3">
      <c r="A11945" s="20"/>
    </row>
    <row r="11946" spans="1:1" x14ac:dyDescent="0.3">
      <c r="A11946" s="20"/>
    </row>
    <row r="11947" spans="1:1" x14ac:dyDescent="0.3">
      <c r="A11947" s="20"/>
    </row>
    <row r="11948" spans="1:1" x14ac:dyDescent="0.3">
      <c r="A11948" s="20"/>
    </row>
    <row r="11949" spans="1:1" x14ac:dyDescent="0.3">
      <c r="A11949" s="20"/>
    </row>
    <row r="11950" spans="1:1" x14ac:dyDescent="0.3">
      <c r="A11950" s="20"/>
    </row>
    <row r="11951" spans="1:1" x14ac:dyDescent="0.3">
      <c r="A11951" s="20"/>
    </row>
    <row r="11952" spans="1:1" x14ac:dyDescent="0.3">
      <c r="A11952" s="20"/>
    </row>
    <row r="11953" spans="1:1" x14ac:dyDescent="0.3">
      <c r="A11953" s="20"/>
    </row>
    <row r="11954" spans="1:1" x14ac:dyDescent="0.3">
      <c r="A11954" s="20"/>
    </row>
    <row r="11955" spans="1:1" x14ac:dyDescent="0.3">
      <c r="A11955" s="20"/>
    </row>
    <row r="11956" spans="1:1" x14ac:dyDescent="0.3">
      <c r="A11956" s="20"/>
    </row>
    <row r="11957" spans="1:1" x14ac:dyDescent="0.3">
      <c r="A11957" s="20"/>
    </row>
    <row r="11958" spans="1:1" x14ac:dyDescent="0.3">
      <c r="A11958" s="20"/>
    </row>
    <row r="11959" spans="1:1" x14ac:dyDescent="0.3">
      <c r="A11959" s="20"/>
    </row>
    <row r="11960" spans="1:1" x14ac:dyDescent="0.3">
      <c r="A11960" s="20"/>
    </row>
    <row r="11961" spans="1:1" x14ac:dyDescent="0.3">
      <c r="A11961" s="20"/>
    </row>
    <row r="11962" spans="1:1" x14ac:dyDescent="0.3">
      <c r="A11962" s="20"/>
    </row>
    <row r="11963" spans="1:1" x14ac:dyDescent="0.3">
      <c r="A11963" s="20"/>
    </row>
    <row r="11964" spans="1:1" x14ac:dyDescent="0.3">
      <c r="A11964" s="20"/>
    </row>
    <row r="11965" spans="1:1" x14ac:dyDescent="0.3">
      <c r="A11965" s="20"/>
    </row>
    <row r="11966" spans="1:1" x14ac:dyDescent="0.3">
      <c r="A11966" s="20"/>
    </row>
    <row r="11967" spans="1:1" x14ac:dyDescent="0.3">
      <c r="A11967" s="20"/>
    </row>
    <row r="11968" spans="1:1" x14ac:dyDescent="0.3">
      <c r="A11968" s="20"/>
    </row>
    <row r="11969" spans="1:1" x14ac:dyDescent="0.3">
      <c r="A11969" s="20"/>
    </row>
    <row r="11970" spans="1:1" x14ac:dyDescent="0.3">
      <c r="A11970" s="20"/>
    </row>
    <row r="11971" spans="1:1" x14ac:dyDescent="0.3">
      <c r="A11971" s="20"/>
    </row>
    <row r="11972" spans="1:1" x14ac:dyDescent="0.3">
      <c r="A11972" s="20"/>
    </row>
    <row r="11973" spans="1:1" x14ac:dyDescent="0.3">
      <c r="A11973" s="20"/>
    </row>
    <row r="11974" spans="1:1" x14ac:dyDescent="0.3">
      <c r="A11974" s="20"/>
    </row>
    <row r="11975" spans="1:1" x14ac:dyDescent="0.3">
      <c r="A11975" s="20"/>
    </row>
    <row r="11976" spans="1:1" x14ac:dyDescent="0.3">
      <c r="A11976" s="20"/>
    </row>
    <row r="11977" spans="1:1" x14ac:dyDescent="0.3">
      <c r="A11977" s="20"/>
    </row>
    <row r="11978" spans="1:1" x14ac:dyDescent="0.3">
      <c r="A11978" s="20"/>
    </row>
    <row r="11979" spans="1:1" x14ac:dyDescent="0.3">
      <c r="A11979" s="20"/>
    </row>
    <row r="11980" spans="1:1" x14ac:dyDescent="0.3">
      <c r="A11980" s="20"/>
    </row>
    <row r="11981" spans="1:1" x14ac:dyDescent="0.3">
      <c r="A11981" s="20"/>
    </row>
    <row r="11982" spans="1:1" x14ac:dyDescent="0.3">
      <c r="A11982" s="20"/>
    </row>
    <row r="11983" spans="1:1" x14ac:dyDescent="0.3">
      <c r="A11983" s="20"/>
    </row>
    <row r="11984" spans="1:1" x14ac:dyDescent="0.3">
      <c r="A11984" s="20"/>
    </row>
    <row r="11985" spans="1:1" x14ac:dyDescent="0.3">
      <c r="A11985" s="20"/>
    </row>
    <row r="11986" spans="1:1" x14ac:dyDescent="0.3">
      <c r="A11986" s="20"/>
    </row>
    <row r="11987" spans="1:1" x14ac:dyDescent="0.3">
      <c r="A11987" s="20"/>
    </row>
    <row r="11988" spans="1:1" x14ac:dyDescent="0.3">
      <c r="A11988" s="20"/>
    </row>
    <row r="11989" spans="1:1" x14ac:dyDescent="0.3">
      <c r="A11989" s="20"/>
    </row>
    <row r="11990" spans="1:1" x14ac:dyDescent="0.3">
      <c r="A11990" s="20"/>
    </row>
    <row r="11991" spans="1:1" x14ac:dyDescent="0.3">
      <c r="A11991" s="20"/>
    </row>
    <row r="11992" spans="1:1" x14ac:dyDescent="0.3">
      <c r="A11992" s="20"/>
    </row>
    <row r="11993" spans="1:1" x14ac:dyDescent="0.3">
      <c r="A11993" s="20"/>
    </row>
    <row r="11994" spans="1:1" x14ac:dyDescent="0.3">
      <c r="A11994" s="20"/>
    </row>
    <row r="11995" spans="1:1" x14ac:dyDescent="0.3">
      <c r="A11995" s="20"/>
    </row>
    <row r="11996" spans="1:1" x14ac:dyDescent="0.3">
      <c r="A11996" s="20"/>
    </row>
    <row r="11997" spans="1:1" x14ac:dyDescent="0.3">
      <c r="A11997" s="20"/>
    </row>
    <row r="11998" spans="1:1" x14ac:dyDescent="0.3">
      <c r="A11998" s="20"/>
    </row>
    <row r="11999" spans="1:1" x14ac:dyDescent="0.3">
      <c r="A11999" s="20"/>
    </row>
    <row r="12000" spans="1:1" x14ac:dyDescent="0.3">
      <c r="A12000" s="20"/>
    </row>
    <row r="12001" spans="1:1" x14ac:dyDescent="0.3">
      <c r="A12001" s="20"/>
    </row>
    <row r="12002" spans="1:1" x14ac:dyDescent="0.3">
      <c r="A12002" s="20"/>
    </row>
    <row r="12003" spans="1:1" x14ac:dyDescent="0.3">
      <c r="A12003" s="20"/>
    </row>
    <row r="12004" spans="1:1" x14ac:dyDescent="0.3">
      <c r="A12004" s="20"/>
    </row>
    <row r="12005" spans="1:1" x14ac:dyDescent="0.3">
      <c r="A12005" s="20"/>
    </row>
    <row r="12006" spans="1:1" x14ac:dyDescent="0.3">
      <c r="A12006" s="20"/>
    </row>
    <row r="12007" spans="1:1" x14ac:dyDescent="0.3">
      <c r="A12007" s="20"/>
    </row>
    <row r="12008" spans="1:1" x14ac:dyDescent="0.3">
      <c r="A12008" s="20"/>
    </row>
    <row r="12009" spans="1:1" x14ac:dyDescent="0.3">
      <c r="A12009" s="20"/>
    </row>
    <row r="12010" spans="1:1" x14ac:dyDescent="0.3">
      <c r="A12010" s="20"/>
    </row>
    <row r="12011" spans="1:1" x14ac:dyDescent="0.3">
      <c r="A12011" s="20"/>
    </row>
    <row r="12012" spans="1:1" x14ac:dyDescent="0.3">
      <c r="A12012" s="20"/>
    </row>
    <row r="12013" spans="1:1" x14ac:dyDescent="0.3">
      <c r="A12013" s="20"/>
    </row>
    <row r="12014" spans="1:1" x14ac:dyDescent="0.3">
      <c r="A12014" s="20"/>
    </row>
    <row r="12015" spans="1:1" x14ac:dyDescent="0.3">
      <c r="A12015" s="20"/>
    </row>
    <row r="12016" spans="1:1" x14ac:dyDescent="0.3">
      <c r="A12016" s="20"/>
    </row>
    <row r="12017" spans="1:1" x14ac:dyDescent="0.3">
      <c r="A12017" s="20"/>
    </row>
    <row r="12018" spans="1:1" x14ac:dyDescent="0.3">
      <c r="A12018" s="20"/>
    </row>
    <row r="12019" spans="1:1" x14ac:dyDescent="0.3">
      <c r="A12019" s="20"/>
    </row>
    <row r="12020" spans="1:1" x14ac:dyDescent="0.3">
      <c r="A12020" s="20"/>
    </row>
    <row r="12021" spans="1:1" x14ac:dyDescent="0.3">
      <c r="A12021" s="20"/>
    </row>
    <row r="12022" spans="1:1" x14ac:dyDescent="0.3">
      <c r="A12022" s="20"/>
    </row>
    <row r="12023" spans="1:1" x14ac:dyDescent="0.3">
      <c r="A12023" s="20"/>
    </row>
    <row r="12024" spans="1:1" x14ac:dyDescent="0.3">
      <c r="A12024" s="20"/>
    </row>
    <row r="12025" spans="1:1" x14ac:dyDescent="0.3">
      <c r="A12025" s="20"/>
    </row>
    <row r="12026" spans="1:1" x14ac:dyDescent="0.3">
      <c r="A12026" s="20"/>
    </row>
    <row r="12027" spans="1:1" x14ac:dyDescent="0.3">
      <c r="A12027" s="20"/>
    </row>
    <row r="12028" spans="1:1" x14ac:dyDescent="0.3">
      <c r="A12028" s="20"/>
    </row>
    <row r="12029" spans="1:1" x14ac:dyDescent="0.3">
      <c r="A12029" s="20"/>
    </row>
    <row r="12030" spans="1:1" x14ac:dyDescent="0.3">
      <c r="A12030" s="20"/>
    </row>
    <row r="12031" spans="1:1" x14ac:dyDescent="0.3">
      <c r="A12031" s="20"/>
    </row>
    <row r="12032" spans="1:1" x14ac:dyDescent="0.3">
      <c r="A12032" s="20"/>
    </row>
    <row r="12033" spans="1:1" x14ac:dyDescent="0.3">
      <c r="A12033" s="20"/>
    </row>
    <row r="12034" spans="1:1" x14ac:dyDescent="0.3">
      <c r="A12034" s="20"/>
    </row>
    <row r="12035" spans="1:1" x14ac:dyDescent="0.3">
      <c r="A12035" s="20"/>
    </row>
    <row r="12036" spans="1:1" x14ac:dyDescent="0.3">
      <c r="A12036" s="20"/>
    </row>
    <row r="12037" spans="1:1" x14ac:dyDescent="0.3">
      <c r="A12037" s="20"/>
    </row>
    <row r="12038" spans="1:1" x14ac:dyDescent="0.3">
      <c r="A12038" s="20"/>
    </row>
    <row r="12039" spans="1:1" x14ac:dyDescent="0.3">
      <c r="A12039" s="20"/>
    </row>
    <row r="12040" spans="1:1" x14ac:dyDescent="0.3">
      <c r="A12040" s="20"/>
    </row>
    <row r="12041" spans="1:1" x14ac:dyDescent="0.3">
      <c r="A12041" s="20"/>
    </row>
    <row r="12042" spans="1:1" x14ac:dyDescent="0.3">
      <c r="A12042" s="20"/>
    </row>
    <row r="12043" spans="1:1" x14ac:dyDescent="0.3">
      <c r="A12043" s="20"/>
    </row>
    <row r="12044" spans="1:1" x14ac:dyDescent="0.3">
      <c r="A12044" s="20"/>
    </row>
    <row r="12045" spans="1:1" x14ac:dyDescent="0.3">
      <c r="A12045" s="20"/>
    </row>
    <row r="12046" spans="1:1" x14ac:dyDescent="0.3">
      <c r="A12046" s="20"/>
    </row>
    <row r="12047" spans="1:1" x14ac:dyDescent="0.3">
      <c r="A12047" s="20"/>
    </row>
    <row r="12048" spans="1:1" x14ac:dyDescent="0.3">
      <c r="A12048" s="20"/>
    </row>
    <row r="12049" spans="1:1" x14ac:dyDescent="0.3">
      <c r="A12049" s="20"/>
    </row>
    <row r="12050" spans="1:1" x14ac:dyDescent="0.3">
      <c r="A12050" s="20"/>
    </row>
    <row r="12051" spans="1:1" x14ac:dyDescent="0.3">
      <c r="A12051" s="20"/>
    </row>
    <row r="12052" spans="1:1" x14ac:dyDescent="0.3">
      <c r="A12052" s="20"/>
    </row>
    <row r="12053" spans="1:1" x14ac:dyDescent="0.3">
      <c r="A12053" s="20"/>
    </row>
    <row r="12054" spans="1:1" x14ac:dyDescent="0.3">
      <c r="A12054" s="20"/>
    </row>
    <row r="12055" spans="1:1" x14ac:dyDescent="0.3">
      <c r="A12055" s="20"/>
    </row>
    <row r="12056" spans="1:1" x14ac:dyDescent="0.3">
      <c r="A12056" s="20"/>
    </row>
    <row r="12057" spans="1:1" x14ac:dyDescent="0.3">
      <c r="A12057" s="20"/>
    </row>
    <row r="12058" spans="1:1" x14ac:dyDescent="0.3">
      <c r="A12058" s="20"/>
    </row>
    <row r="12059" spans="1:1" x14ac:dyDescent="0.3">
      <c r="A12059" s="20"/>
    </row>
    <row r="12060" spans="1:1" x14ac:dyDescent="0.3">
      <c r="A12060" s="20"/>
    </row>
    <row r="12061" spans="1:1" x14ac:dyDescent="0.3">
      <c r="A12061" s="20"/>
    </row>
    <row r="12062" spans="1:1" x14ac:dyDescent="0.3">
      <c r="A12062" s="20"/>
    </row>
    <row r="12063" spans="1:1" x14ac:dyDescent="0.3">
      <c r="A12063" s="20"/>
    </row>
    <row r="12064" spans="1:1" x14ac:dyDescent="0.3">
      <c r="A12064" s="20"/>
    </row>
    <row r="12065" spans="1:1" x14ac:dyDescent="0.3">
      <c r="A12065" s="20"/>
    </row>
    <row r="12066" spans="1:1" x14ac:dyDescent="0.3">
      <c r="A12066" s="20"/>
    </row>
    <row r="12067" spans="1:1" x14ac:dyDescent="0.3">
      <c r="A12067" s="20"/>
    </row>
    <row r="12068" spans="1:1" x14ac:dyDescent="0.3">
      <c r="A12068" s="20"/>
    </row>
    <row r="12069" spans="1:1" x14ac:dyDescent="0.3">
      <c r="A12069" s="20"/>
    </row>
    <row r="12070" spans="1:1" x14ac:dyDescent="0.3">
      <c r="A12070" s="20"/>
    </row>
    <row r="12071" spans="1:1" x14ac:dyDescent="0.3">
      <c r="A12071" s="20"/>
    </row>
    <row r="12072" spans="1:1" x14ac:dyDescent="0.3">
      <c r="A12072" s="20"/>
    </row>
    <row r="12073" spans="1:1" x14ac:dyDescent="0.3">
      <c r="A12073" s="20"/>
    </row>
    <row r="12074" spans="1:1" x14ac:dyDescent="0.3">
      <c r="A12074" s="20"/>
    </row>
    <row r="12075" spans="1:1" x14ac:dyDescent="0.3">
      <c r="A12075" s="20"/>
    </row>
    <row r="12076" spans="1:1" x14ac:dyDescent="0.3">
      <c r="A12076" s="20"/>
    </row>
    <row r="12077" spans="1:1" x14ac:dyDescent="0.3">
      <c r="A12077" s="20"/>
    </row>
    <row r="12078" spans="1:1" x14ac:dyDescent="0.3">
      <c r="A12078" s="20"/>
    </row>
    <row r="12079" spans="1:1" x14ac:dyDescent="0.3">
      <c r="A12079" s="20"/>
    </row>
    <row r="12080" spans="1:1" x14ac:dyDescent="0.3">
      <c r="A12080" s="20"/>
    </row>
    <row r="12081" spans="1:1" x14ac:dyDescent="0.3">
      <c r="A12081" s="20"/>
    </row>
    <row r="12082" spans="1:1" x14ac:dyDescent="0.3">
      <c r="A12082" s="20"/>
    </row>
    <row r="12083" spans="1:1" x14ac:dyDescent="0.3">
      <c r="A12083" s="20"/>
    </row>
    <row r="12084" spans="1:1" x14ac:dyDescent="0.3">
      <c r="A12084" s="20"/>
    </row>
    <row r="12085" spans="1:1" x14ac:dyDescent="0.3">
      <c r="A12085" s="20"/>
    </row>
    <row r="12086" spans="1:1" x14ac:dyDescent="0.3">
      <c r="A12086" s="20"/>
    </row>
    <row r="12087" spans="1:1" x14ac:dyDescent="0.3">
      <c r="A12087" s="20"/>
    </row>
    <row r="12088" spans="1:1" x14ac:dyDescent="0.3">
      <c r="A12088" s="20"/>
    </row>
    <row r="12089" spans="1:1" x14ac:dyDescent="0.3">
      <c r="A12089" s="20"/>
    </row>
    <row r="12090" spans="1:1" x14ac:dyDescent="0.3">
      <c r="A12090" s="20"/>
    </row>
    <row r="12091" spans="1:1" x14ac:dyDescent="0.3">
      <c r="A12091" s="20"/>
    </row>
    <row r="12092" spans="1:1" x14ac:dyDescent="0.3">
      <c r="A12092" s="20"/>
    </row>
    <row r="12093" spans="1:1" x14ac:dyDescent="0.3">
      <c r="A12093" s="20"/>
    </row>
    <row r="12094" spans="1:1" x14ac:dyDescent="0.3">
      <c r="A12094" s="20"/>
    </row>
    <row r="12095" spans="1:1" x14ac:dyDescent="0.3">
      <c r="A12095" s="20"/>
    </row>
    <row r="12096" spans="1:1" x14ac:dyDescent="0.3">
      <c r="A12096" s="20"/>
    </row>
    <row r="12097" spans="1:1" x14ac:dyDescent="0.3">
      <c r="A12097" s="20"/>
    </row>
    <row r="12098" spans="1:1" x14ac:dyDescent="0.3">
      <c r="A12098" s="20"/>
    </row>
    <row r="12099" spans="1:1" x14ac:dyDescent="0.3">
      <c r="A12099" s="20"/>
    </row>
    <row r="12100" spans="1:1" x14ac:dyDescent="0.3">
      <c r="A12100" s="20"/>
    </row>
    <row r="12101" spans="1:1" x14ac:dyDescent="0.3">
      <c r="A12101" s="20"/>
    </row>
    <row r="12102" spans="1:1" x14ac:dyDescent="0.3">
      <c r="A12102" s="20"/>
    </row>
    <row r="12103" spans="1:1" x14ac:dyDescent="0.3">
      <c r="A12103" s="20"/>
    </row>
    <row r="12104" spans="1:1" x14ac:dyDescent="0.3">
      <c r="A12104" s="20"/>
    </row>
    <row r="12105" spans="1:1" x14ac:dyDescent="0.3">
      <c r="A12105" s="20"/>
    </row>
    <row r="12106" spans="1:1" x14ac:dyDescent="0.3">
      <c r="A12106" s="20"/>
    </row>
    <row r="12107" spans="1:1" x14ac:dyDescent="0.3">
      <c r="A12107" s="20"/>
    </row>
    <row r="12108" spans="1:1" x14ac:dyDescent="0.3">
      <c r="A12108" s="20"/>
    </row>
    <row r="12109" spans="1:1" x14ac:dyDescent="0.3">
      <c r="A12109" s="20"/>
    </row>
    <row r="12110" spans="1:1" x14ac:dyDescent="0.3">
      <c r="A12110" s="20"/>
    </row>
    <row r="12111" spans="1:1" x14ac:dyDescent="0.3">
      <c r="A12111" s="20"/>
    </row>
    <row r="12112" spans="1:1" x14ac:dyDescent="0.3">
      <c r="A12112" s="20"/>
    </row>
    <row r="12113" spans="1:1" x14ac:dyDescent="0.3">
      <c r="A12113" s="20"/>
    </row>
    <row r="12114" spans="1:1" x14ac:dyDescent="0.3">
      <c r="A12114" s="20"/>
    </row>
    <row r="12115" spans="1:1" x14ac:dyDescent="0.3">
      <c r="A12115" s="20"/>
    </row>
    <row r="12116" spans="1:1" x14ac:dyDescent="0.3">
      <c r="A12116" s="20"/>
    </row>
    <row r="12117" spans="1:1" x14ac:dyDescent="0.3">
      <c r="A12117" s="20"/>
    </row>
    <row r="12118" spans="1:1" x14ac:dyDescent="0.3">
      <c r="A12118" s="20"/>
    </row>
    <row r="12119" spans="1:1" x14ac:dyDescent="0.3">
      <c r="A12119" s="20"/>
    </row>
    <row r="12120" spans="1:1" x14ac:dyDescent="0.3">
      <c r="A12120" s="20"/>
    </row>
    <row r="12121" spans="1:1" x14ac:dyDescent="0.3">
      <c r="A12121" s="20"/>
    </row>
    <row r="12122" spans="1:1" x14ac:dyDescent="0.3">
      <c r="A12122" s="20"/>
    </row>
    <row r="12123" spans="1:1" x14ac:dyDescent="0.3">
      <c r="A12123" s="20"/>
    </row>
    <row r="12124" spans="1:1" x14ac:dyDescent="0.3">
      <c r="A12124" s="20"/>
    </row>
    <row r="12125" spans="1:1" x14ac:dyDescent="0.3">
      <c r="A12125" s="20"/>
    </row>
    <row r="12126" spans="1:1" x14ac:dyDescent="0.3">
      <c r="A12126" s="20"/>
    </row>
    <row r="12127" spans="1:1" x14ac:dyDescent="0.3">
      <c r="A12127" s="20"/>
    </row>
    <row r="12128" spans="1:1" x14ac:dyDescent="0.3">
      <c r="A12128" s="20"/>
    </row>
    <row r="12129" spans="1:1" x14ac:dyDescent="0.3">
      <c r="A12129" s="20"/>
    </row>
    <row r="12130" spans="1:1" x14ac:dyDescent="0.3">
      <c r="A12130" s="20"/>
    </row>
    <row r="12131" spans="1:1" x14ac:dyDescent="0.3">
      <c r="A12131" s="20"/>
    </row>
    <row r="12132" spans="1:1" x14ac:dyDescent="0.3">
      <c r="A12132" s="20"/>
    </row>
    <row r="12133" spans="1:1" x14ac:dyDescent="0.3">
      <c r="A12133" s="20"/>
    </row>
    <row r="12134" spans="1:1" x14ac:dyDescent="0.3">
      <c r="A12134" s="20"/>
    </row>
    <row r="12135" spans="1:1" x14ac:dyDescent="0.3">
      <c r="A12135" s="20"/>
    </row>
    <row r="12136" spans="1:1" x14ac:dyDescent="0.3">
      <c r="A12136" s="20"/>
    </row>
    <row r="12137" spans="1:1" x14ac:dyDescent="0.3">
      <c r="A12137" s="20"/>
    </row>
    <row r="12138" spans="1:1" x14ac:dyDescent="0.3">
      <c r="A12138" s="20"/>
    </row>
    <row r="12139" spans="1:1" x14ac:dyDescent="0.3">
      <c r="A12139" s="20"/>
    </row>
    <row r="12140" spans="1:1" x14ac:dyDescent="0.3">
      <c r="A12140" s="20"/>
    </row>
    <row r="12141" spans="1:1" x14ac:dyDescent="0.3">
      <c r="A12141" s="20"/>
    </row>
    <row r="12142" spans="1:1" x14ac:dyDescent="0.3">
      <c r="A12142" s="20"/>
    </row>
    <row r="12143" spans="1:1" x14ac:dyDescent="0.3">
      <c r="A12143" s="20"/>
    </row>
    <row r="12144" spans="1:1" x14ac:dyDescent="0.3">
      <c r="A12144" s="20"/>
    </row>
    <row r="12145" spans="1:1" x14ac:dyDescent="0.3">
      <c r="A12145" s="20"/>
    </row>
    <row r="12146" spans="1:1" x14ac:dyDescent="0.3">
      <c r="A12146" s="20"/>
    </row>
    <row r="12147" spans="1:1" x14ac:dyDescent="0.3">
      <c r="A12147" s="20"/>
    </row>
    <row r="12148" spans="1:1" x14ac:dyDescent="0.3">
      <c r="A12148" s="20"/>
    </row>
    <row r="12149" spans="1:1" x14ac:dyDescent="0.3">
      <c r="A12149" s="20"/>
    </row>
    <row r="12150" spans="1:1" x14ac:dyDescent="0.3">
      <c r="A12150" s="20"/>
    </row>
    <row r="12151" spans="1:1" x14ac:dyDescent="0.3">
      <c r="A12151" s="20"/>
    </row>
    <row r="12152" spans="1:1" x14ac:dyDescent="0.3">
      <c r="A12152" s="20"/>
    </row>
    <row r="12153" spans="1:1" x14ac:dyDescent="0.3">
      <c r="A12153" s="20"/>
    </row>
    <row r="12154" spans="1:1" x14ac:dyDescent="0.3">
      <c r="A12154" s="20"/>
    </row>
    <row r="12155" spans="1:1" x14ac:dyDescent="0.3">
      <c r="A12155" s="20"/>
    </row>
    <row r="12156" spans="1:1" x14ac:dyDescent="0.3">
      <c r="A12156" s="20"/>
    </row>
    <row r="12157" spans="1:1" x14ac:dyDescent="0.3">
      <c r="A12157" s="20"/>
    </row>
    <row r="12158" spans="1:1" x14ac:dyDescent="0.3">
      <c r="A12158" s="20"/>
    </row>
    <row r="12159" spans="1:1" x14ac:dyDescent="0.3">
      <c r="A12159" s="20"/>
    </row>
    <row r="12160" spans="1:1" x14ac:dyDescent="0.3">
      <c r="A12160" s="20"/>
    </row>
    <row r="12161" spans="1:1" x14ac:dyDescent="0.3">
      <c r="A12161" s="20"/>
    </row>
    <row r="12162" spans="1:1" x14ac:dyDescent="0.3">
      <c r="A12162" s="20"/>
    </row>
    <row r="12163" spans="1:1" x14ac:dyDescent="0.3">
      <c r="A12163" s="20"/>
    </row>
    <row r="12164" spans="1:1" x14ac:dyDescent="0.3">
      <c r="A12164" s="20"/>
    </row>
    <row r="12165" spans="1:1" x14ac:dyDescent="0.3">
      <c r="A12165" s="20"/>
    </row>
    <row r="12166" spans="1:1" x14ac:dyDescent="0.3">
      <c r="A12166" s="20"/>
    </row>
    <row r="12167" spans="1:1" x14ac:dyDescent="0.3">
      <c r="A12167" s="20"/>
    </row>
    <row r="12168" spans="1:1" x14ac:dyDescent="0.3">
      <c r="A12168" s="20"/>
    </row>
    <row r="12169" spans="1:1" x14ac:dyDescent="0.3">
      <c r="A12169" s="20"/>
    </row>
    <row r="12170" spans="1:1" x14ac:dyDescent="0.3">
      <c r="A12170" s="20"/>
    </row>
    <row r="12171" spans="1:1" x14ac:dyDescent="0.3">
      <c r="A12171" s="20"/>
    </row>
    <row r="12172" spans="1:1" x14ac:dyDescent="0.3">
      <c r="A12172" s="20"/>
    </row>
    <row r="12173" spans="1:1" x14ac:dyDescent="0.3">
      <c r="A12173" s="20"/>
    </row>
    <row r="12174" spans="1:1" x14ac:dyDescent="0.3">
      <c r="A12174" s="20"/>
    </row>
    <row r="12175" spans="1:1" x14ac:dyDescent="0.3">
      <c r="A12175" s="20"/>
    </row>
    <row r="12176" spans="1:1" x14ac:dyDescent="0.3">
      <c r="A12176" s="20"/>
    </row>
    <row r="12177" spans="1:1" x14ac:dyDescent="0.3">
      <c r="A12177" s="20"/>
    </row>
    <row r="12178" spans="1:1" x14ac:dyDescent="0.3">
      <c r="A12178" s="20"/>
    </row>
    <row r="12179" spans="1:1" x14ac:dyDescent="0.3">
      <c r="A12179" s="20"/>
    </row>
    <row r="12180" spans="1:1" x14ac:dyDescent="0.3">
      <c r="A12180" s="20"/>
    </row>
    <row r="12181" spans="1:1" x14ac:dyDescent="0.3">
      <c r="A12181" s="20"/>
    </row>
    <row r="12182" spans="1:1" x14ac:dyDescent="0.3">
      <c r="A12182" s="20"/>
    </row>
    <row r="12183" spans="1:1" x14ac:dyDescent="0.3">
      <c r="A12183" s="20"/>
    </row>
    <row r="12184" spans="1:1" x14ac:dyDescent="0.3">
      <c r="A12184" s="20"/>
    </row>
    <row r="12185" spans="1:1" x14ac:dyDescent="0.3">
      <c r="A12185" s="20"/>
    </row>
    <row r="12186" spans="1:1" x14ac:dyDescent="0.3">
      <c r="A12186" s="20"/>
    </row>
    <row r="12187" spans="1:1" x14ac:dyDescent="0.3">
      <c r="A12187" s="20"/>
    </row>
    <row r="12188" spans="1:1" x14ac:dyDescent="0.3">
      <c r="A12188" s="20"/>
    </row>
    <row r="12189" spans="1:1" x14ac:dyDescent="0.3">
      <c r="A12189" s="20"/>
    </row>
    <row r="12190" spans="1:1" x14ac:dyDescent="0.3">
      <c r="A12190" s="20"/>
    </row>
    <row r="12191" spans="1:1" x14ac:dyDescent="0.3">
      <c r="A12191" s="20"/>
    </row>
    <row r="12192" spans="1:1" x14ac:dyDescent="0.3">
      <c r="A12192" s="20"/>
    </row>
    <row r="12193" spans="1:1" x14ac:dyDescent="0.3">
      <c r="A12193" s="20"/>
    </row>
    <row r="12194" spans="1:1" x14ac:dyDescent="0.3">
      <c r="A12194" s="20"/>
    </row>
    <row r="12195" spans="1:1" x14ac:dyDescent="0.3">
      <c r="A12195" s="20"/>
    </row>
    <row r="12196" spans="1:1" x14ac:dyDescent="0.3">
      <c r="A12196" s="20"/>
    </row>
    <row r="12197" spans="1:1" x14ac:dyDescent="0.3">
      <c r="A12197" s="20"/>
    </row>
    <row r="12198" spans="1:1" x14ac:dyDescent="0.3">
      <c r="A12198" s="20"/>
    </row>
    <row r="12199" spans="1:1" x14ac:dyDescent="0.3">
      <c r="A12199" s="20"/>
    </row>
    <row r="12200" spans="1:1" x14ac:dyDescent="0.3">
      <c r="A12200" s="20"/>
    </row>
    <row r="12201" spans="1:1" x14ac:dyDescent="0.3">
      <c r="A12201" s="20"/>
    </row>
    <row r="12202" spans="1:1" x14ac:dyDescent="0.3">
      <c r="A12202" s="20"/>
    </row>
    <row r="12203" spans="1:1" x14ac:dyDescent="0.3">
      <c r="A12203" s="20"/>
    </row>
    <row r="12204" spans="1:1" x14ac:dyDescent="0.3">
      <c r="A12204" s="20"/>
    </row>
    <row r="12205" spans="1:1" x14ac:dyDescent="0.3">
      <c r="A12205" s="20"/>
    </row>
    <row r="12206" spans="1:1" x14ac:dyDescent="0.3">
      <c r="A12206" s="20"/>
    </row>
    <row r="12207" spans="1:1" x14ac:dyDescent="0.3">
      <c r="A12207" s="20"/>
    </row>
    <row r="12208" spans="1:1" x14ac:dyDescent="0.3">
      <c r="A12208" s="20"/>
    </row>
    <row r="12209" spans="1:1" x14ac:dyDescent="0.3">
      <c r="A12209" s="20"/>
    </row>
    <row r="12210" spans="1:1" x14ac:dyDescent="0.3">
      <c r="A12210" s="20"/>
    </row>
    <row r="12211" spans="1:1" x14ac:dyDescent="0.3">
      <c r="A12211" s="20"/>
    </row>
    <row r="12212" spans="1:1" x14ac:dyDescent="0.3">
      <c r="A12212" s="20"/>
    </row>
    <row r="12213" spans="1:1" x14ac:dyDescent="0.3">
      <c r="A12213" s="20"/>
    </row>
    <row r="12214" spans="1:1" x14ac:dyDescent="0.3">
      <c r="A12214" s="20"/>
    </row>
    <row r="12215" spans="1:1" x14ac:dyDescent="0.3">
      <c r="A12215" s="20"/>
    </row>
    <row r="12216" spans="1:1" x14ac:dyDescent="0.3">
      <c r="A12216" s="20"/>
    </row>
    <row r="12217" spans="1:1" x14ac:dyDescent="0.3">
      <c r="A12217" s="20"/>
    </row>
    <row r="12218" spans="1:1" x14ac:dyDescent="0.3">
      <c r="A12218" s="20"/>
    </row>
    <row r="12219" spans="1:1" x14ac:dyDescent="0.3">
      <c r="A12219" s="20"/>
    </row>
    <row r="12220" spans="1:1" x14ac:dyDescent="0.3">
      <c r="A12220" s="20"/>
    </row>
    <row r="12221" spans="1:1" x14ac:dyDescent="0.3">
      <c r="A12221" s="20"/>
    </row>
    <row r="12222" spans="1:1" x14ac:dyDescent="0.3">
      <c r="A12222" s="20"/>
    </row>
    <row r="12223" spans="1:1" x14ac:dyDescent="0.3">
      <c r="A12223" s="20"/>
    </row>
    <row r="12224" spans="1:1" x14ac:dyDescent="0.3">
      <c r="A12224" s="20"/>
    </row>
    <row r="12225" spans="1:1" x14ac:dyDescent="0.3">
      <c r="A12225" s="20"/>
    </row>
    <row r="12226" spans="1:1" x14ac:dyDescent="0.3">
      <c r="A12226" s="20"/>
    </row>
    <row r="12227" spans="1:1" x14ac:dyDescent="0.3">
      <c r="A12227" s="20"/>
    </row>
    <row r="12228" spans="1:1" x14ac:dyDescent="0.3">
      <c r="A12228" s="20"/>
    </row>
    <row r="12229" spans="1:1" x14ac:dyDescent="0.3">
      <c r="A12229" s="20"/>
    </row>
    <row r="12230" spans="1:1" x14ac:dyDescent="0.3">
      <c r="A12230" s="20"/>
    </row>
    <row r="12231" spans="1:1" x14ac:dyDescent="0.3">
      <c r="A12231" s="20"/>
    </row>
    <row r="12232" spans="1:1" x14ac:dyDescent="0.3">
      <c r="A12232" s="20"/>
    </row>
    <row r="12233" spans="1:1" x14ac:dyDescent="0.3">
      <c r="A12233" s="20"/>
    </row>
    <row r="12234" spans="1:1" x14ac:dyDescent="0.3">
      <c r="A12234" s="20"/>
    </row>
    <row r="12235" spans="1:1" x14ac:dyDescent="0.3">
      <c r="A12235" s="20"/>
    </row>
    <row r="12236" spans="1:1" x14ac:dyDescent="0.3">
      <c r="A12236" s="20"/>
    </row>
    <row r="12237" spans="1:1" x14ac:dyDescent="0.3">
      <c r="A12237" s="20"/>
    </row>
    <row r="12238" spans="1:1" x14ac:dyDescent="0.3">
      <c r="A12238" s="20"/>
    </row>
    <row r="12239" spans="1:1" x14ac:dyDescent="0.3">
      <c r="A12239" s="20"/>
    </row>
    <row r="12240" spans="1:1" x14ac:dyDescent="0.3">
      <c r="A12240" s="20"/>
    </row>
    <row r="12241" spans="1:1" x14ac:dyDescent="0.3">
      <c r="A12241" s="20"/>
    </row>
    <row r="12242" spans="1:1" x14ac:dyDescent="0.3">
      <c r="A12242" s="20"/>
    </row>
    <row r="12243" spans="1:1" x14ac:dyDescent="0.3">
      <c r="A12243" s="20"/>
    </row>
    <row r="12244" spans="1:1" x14ac:dyDescent="0.3">
      <c r="A12244" s="20"/>
    </row>
    <row r="12245" spans="1:1" x14ac:dyDescent="0.3">
      <c r="A12245" s="20"/>
    </row>
    <row r="12246" spans="1:1" x14ac:dyDescent="0.3">
      <c r="A12246" s="20"/>
    </row>
    <row r="12247" spans="1:1" x14ac:dyDescent="0.3">
      <c r="A12247" s="20"/>
    </row>
    <row r="12248" spans="1:1" x14ac:dyDescent="0.3">
      <c r="A12248" s="20"/>
    </row>
    <row r="12249" spans="1:1" x14ac:dyDescent="0.3">
      <c r="A12249" s="20"/>
    </row>
    <row r="12250" spans="1:1" x14ac:dyDescent="0.3">
      <c r="A12250" s="20"/>
    </row>
    <row r="12251" spans="1:1" x14ac:dyDescent="0.3">
      <c r="A12251" s="20"/>
    </row>
    <row r="12252" spans="1:1" x14ac:dyDescent="0.3">
      <c r="A12252" s="20"/>
    </row>
    <row r="12253" spans="1:1" x14ac:dyDescent="0.3">
      <c r="A12253" s="20"/>
    </row>
    <row r="12254" spans="1:1" x14ac:dyDescent="0.3">
      <c r="A12254" s="20"/>
    </row>
    <row r="12255" spans="1:1" x14ac:dyDescent="0.3">
      <c r="A12255" s="20"/>
    </row>
    <row r="12256" spans="1:1" x14ac:dyDescent="0.3">
      <c r="A12256" s="20"/>
    </row>
    <row r="12257" spans="1:1" x14ac:dyDescent="0.3">
      <c r="A12257" s="20"/>
    </row>
    <row r="12258" spans="1:1" x14ac:dyDescent="0.3">
      <c r="A12258" s="20"/>
    </row>
    <row r="12259" spans="1:1" x14ac:dyDescent="0.3">
      <c r="A12259" s="20"/>
    </row>
    <row r="12260" spans="1:1" x14ac:dyDescent="0.3">
      <c r="A12260" s="20"/>
    </row>
    <row r="12261" spans="1:1" x14ac:dyDescent="0.3">
      <c r="A12261" s="20"/>
    </row>
    <row r="12262" spans="1:1" x14ac:dyDescent="0.3">
      <c r="A12262" s="20"/>
    </row>
    <row r="12263" spans="1:1" x14ac:dyDescent="0.3">
      <c r="A12263" s="20"/>
    </row>
    <row r="12264" spans="1:1" x14ac:dyDescent="0.3">
      <c r="A12264" s="20"/>
    </row>
    <row r="12265" spans="1:1" x14ac:dyDescent="0.3">
      <c r="A12265" s="20"/>
    </row>
    <row r="12266" spans="1:1" x14ac:dyDescent="0.3">
      <c r="A12266" s="20"/>
    </row>
    <row r="12267" spans="1:1" x14ac:dyDescent="0.3">
      <c r="A12267" s="20"/>
    </row>
    <row r="12268" spans="1:1" x14ac:dyDescent="0.3">
      <c r="A12268" s="20"/>
    </row>
    <row r="12269" spans="1:1" x14ac:dyDescent="0.3">
      <c r="A12269" s="20"/>
    </row>
    <row r="12270" spans="1:1" x14ac:dyDescent="0.3">
      <c r="A12270" s="20"/>
    </row>
    <row r="12271" spans="1:1" x14ac:dyDescent="0.3">
      <c r="A12271" s="20"/>
    </row>
    <row r="12272" spans="1:1" x14ac:dyDescent="0.3">
      <c r="A12272" s="20"/>
    </row>
    <row r="12273" spans="1:1" x14ac:dyDescent="0.3">
      <c r="A12273" s="20"/>
    </row>
    <row r="12274" spans="1:1" x14ac:dyDescent="0.3">
      <c r="A12274" s="20"/>
    </row>
    <row r="12275" spans="1:1" x14ac:dyDescent="0.3">
      <c r="A12275" s="20"/>
    </row>
    <row r="12276" spans="1:1" x14ac:dyDescent="0.3">
      <c r="A12276" s="20"/>
    </row>
    <row r="12277" spans="1:1" x14ac:dyDescent="0.3">
      <c r="A12277" s="20"/>
    </row>
    <row r="12278" spans="1:1" x14ac:dyDescent="0.3">
      <c r="A12278" s="20"/>
    </row>
    <row r="12279" spans="1:1" x14ac:dyDescent="0.3">
      <c r="A12279" s="20"/>
    </row>
    <row r="12280" spans="1:1" x14ac:dyDescent="0.3">
      <c r="A12280" s="20"/>
    </row>
    <row r="12281" spans="1:1" x14ac:dyDescent="0.3">
      <c r="A12281" s="20"/>
    </row>
    <row r="12282" spans="1:1" x14ac:dyDescent="0.3">
      <c r="A12282" s="20"/>
    </row>
    <row r="12283" spans="1:1" x14ac:dyDescent="0.3">
      <c r="A12283" s="20"/>
    </row>
    <row r="12284" spans="1:1" x14ac:dyDescent="0.3">
      <c r="A12284" s="20"/>
    </row>
    <row r="12285" spans="1:1" x14ac:dyDescent="0.3">
      <c r="A12285" s="20"/>
    </row>
    <row r="12286" spans="1:1" x14ac:dyDescent="0.3">
      <c r="A12286" s="20"/>
    </row>
    <row r="12287" spans="1:1" x14ac:dyDescent="0.3">
      <c r="A12287" s="20"/>
    </row>
    <row r="12288" spans="1:1" x14ac:dyDescent="0.3">
      <c r="A12288" s="20"/>
    </row>
    <row r="12289" spans="1:1" x14ac:dyDescent="0.3">
      <c r="A12289" s="20"/>
    </row>
    <row r="12290" spans="1:1" x14ac:dyDescent="0.3">
      <c r="A12290" s="20"/>
    </row>
    <row r="12291" spans="1:1" x14ac:dyDescent="0.3">
      <c r="A12291" s="20"/>
    </row>
    <row r="12292" spans="1:1" x14ac:dyDescent="0.3">
      <c r="A12292" s="20"/>
    </row>
    <row r="12293" spans="1:1" x14ac:dyDescent="0.3">
      <c r="A12293" s="20"/>
    </row>
    <row r="12294" spans="1:1" x14ac:dyDescent="0.3">
      <c r="A12294" s="20"/>
    </row>
    <row r="12295" spans="1:1" x14ac:dyDescent="0.3">
      <c r="A12295" s="20"/>
    </row>
    <row r="12296" spans="1:1" x14ac:dyDescent="0.3">
      <c r="A12296" s="20"/>
    </row>
    <row r="12297" spans="1:1" x14ac:dyDescent="0.3">
      <c r="A12297" s="20"/>
    </row>
    <row r="12298" spans="1:1" x14ac:dyDescent="0.3">
      <c r="A12298" s="20"/>
    </row>
    <row r="12299" spans="1:1" x14ac:dyDescent="0.3">
      <c r="A12299" s="20"/>
    </row>
    <row r="12300" spans="1:1" x14ac:dyDescent="0.3">
      <c r="A12300" s="20"/>
    </row>
    <row r="12301" spans="1:1" x14ac:dyDescent="0.3">
      <c r="A12301" s="20"/>
    </row>
    <row r="12302" spans="1:1" x14ac:dyDescent="0.3">
      <c r="A12302" s="20"/>
    </row>
    <row r="12303" spans="1:1" x14ac:dyDescent="0.3">
      <c r="A12303" s="20"/>
    </row>
    <row r="12304" spans="1:1" x14ac:dyDescent="0.3">
      <c r="A12304" s="20"/>
    </row>
    <row r="12305" spans="1:1" x14ac:dyDescent="0.3">
      <c r="A12305" s="20"/>
    </row>
    <row r="12306" spans="1:1" x14ac:dyDescent="0.3">
      <c r="A12306" s="20"/>
    </row>
    <row r="12307" spans="1:1" x14ac:dyDescent="0.3">
      <c r="A12307" s="20"/>
    </row>
    <row r="12308" spans="1:1" x14ac:dyDescent="0.3">
      <c r="A12308" s="20"/>
    </row>
    <row r="12309" spans="1:1" x14ac:dyDescent="0.3">
      <c r="A12309" s="20"/>
    </row>
    <row r="12310" spans="1:1" x14ac:dyDescent="0.3">
      <c r="A12310" s="20"/>
    </row>
    <row r="12311" spans="1:1" x14ac:dyDescent="0.3">
      <c r="A12311" s="20"/>
    </row>
    <row r="12312" spans="1:1" x14ac:dyDescent="0.3">
      <c r="A12312" s="20"/>
    </row>
    <row r="12313" spans="1:1" x14ac:dyDescent="0.3">
      <c r="A12313" s="20"/>
    </row>
    <row r="12314" spans="1:1" x14ac:dyDescent="0.3">
      <c r="A12314" s="20"/>
    </row>
    <row r="12315" spans="1:1" x14ac:dyDescent="0.3">
      <c r="A12315" s="20"/>
    </row>
    <row r="12316" spans="1:1" x14ac:dyDescent="0.3">
      <c r="A12316" s="20"/>
    </row>
    <row r="12317" spans="1:1" x14ac:dyDescent="0.3">
      <c r="A12317" s="20"/>
    </row>
    <row r="12318" spans="1:1" x14ac:dyDescent="0.3">
      <c r="A12318" s="20"/>
    </row>
    <row r="12319" spans="1:1" x14ac:dyDescent="0.3">
      <c r="A12319" s="20"/>
    </row>
    <row r="12320" spans="1:1" x14ac:dyDescent="0.3">
      <c r="A12320" s="20"/>
    </row>
    <row r="12321" spans="1:1" x14ac:dyDescent="0.3">
      <c r="A12321" s="20"/>
    </row>
    <row r="12322" spans="1:1" x14ac:dyDescent="0.3">
      <c r="A12322" s="20"/>
    </row>
    <row r="12323" spans="1:1" x14ac:dyDescent="0.3">
      <c r="A12323" s="20"/>
    </row>
    <row r="12324" spans="1:1" x14ac:dyDescent="0.3">
      <c r="A12324" s="20"/>
    </row>
    <row r="12325" spans="1:1" x14ac:dyDescent="0.3">
      <c r="A12325" s="20"/>
    </row>
    <row r="12326" spans="1:1" x14ac:dyDescent="0.3">
      <c r="A12326" s="20"/>
    </row>
    <row r="12327" spans="1:1" x14ac:dyDescent="0.3">
      <c r="A12327" s="20"/>
    </row>
    <row r="12328" spans="1:1" x14ac:dyDescent="0.3">
      <c r="A12328" s="20"/>
    </row>
    <row r="12329" spans="1:1" x14ac:dyDescent="0.3">
      <c r="A12329" s="20"/>
    </row>
    <row r="12330" spans="1:1" x14ac:dyDescent="0.3">
      <c r="A12330" s="20"/>
    </row>
    <row r="12331" spans="1:1" x14ac:dyDescent="0.3">
      <c r="A12331" s="20"/>
    </row>
    <row r="12332" spans="1:1" x14ac:dyDescent="0.3">
      <c r="A12332" s="20"/>
    </row>
    <row r="12333" spans="1:1" x14ac:dyDescent="0.3">
      <c r="A12333" s="20"/>
    </row>
    <row r="12334" spans="1:1" x14ac:dyDescent="0.3">
      <c r="A12334" s="20"/>
    </row>
    <row r="12335" spans="1:1" x14ac:dyDescent="0.3">
      <c r="A12335" s="20"/>
    </row>
    <row r="12336" spans="1:1" x14ac:dyDescent="0.3">
      <c r="A12336" s="20"/>
    </row>
    <row r="12337" spans="1:1" x14ac:dyDescent="0.3">
      <c r="A12337" s="20"/>
    </row>
    <row r="12338" spans="1:1" x14ac:dyDescent="0.3">
      <c r="A12338" s="20"/>
    </row>
    <row r="12339" spans="1:1" x14ac:dyDescent="0.3">
      <c r="A12339" s="20"/>
    </row>
    <row r="12340" spans="1:1" x14ac:dyDescent="0.3">
      <c r="A12340" s="20"/>
    </row>
    <row r="12341" spans="1:1" x14ac:dyDescent="0.3">
      <c r="A12341" s="20"/>
    </row>
    <row r="12342" spans="1:1" x14ac:dyDescent="0.3">
      <c r="A12342" s="20"/>
    </row>
    <row r="12343" spans="1:1" x14ac:dyDescent="0.3">
      <c r="A12343" s="20"/>
    </row>
    <row r="12344" spans="1:1" x14ac:dyDescent="0.3">
      <c r="A12344" s="20"/>
    </row>
    <row r="12345" spans="1:1" x14ac:dyDescent="0.3">
      <c r="A12345" s="20"/>
    </row>
    <row r="12346" spans="1:1" x14ac:dyDescent="0.3">
      <c r="A12346" s="20"/>
    </row>
    <row r="12347" spans="1:1" x14ac:dyDescent="0.3">
      <c r="A12347" s="20"/>
    </row>
    <row r="12348" spans="1:1" x14ac:dyDescent="0.3">
      <c r="A12348" s="20"/>
    </row>
    <row r="12349" spans="1:1" x14ac:dyDescent="0.3">
      <c r="A12349" s="20"/>
    </row>
    <row r="12350" spans="1:1" x14ac:dyDescent="0.3">
      <c r="A12350" s="20"/>
    </row>
    <row r="12351" spans="1:1" x14ac:dyDescent="0.3">
      <c r="A12351" s="20"/>
    </row>
    <row r="12352" spans="1:1" x14ac:dyDescent="0.3">
      <c r="A12352" s="20"/>
    </row>
    <row r="12353" spans="1:1" x14ac:dyDescent="0.3">
      <c r="A12353" s="20"/>
    </row>
    <row r="12354" spans="1:1" x14ac:dyDescent="0.3">
      <c r="A12354" s="20"/>
    </row>
    <row r="12355" spans="1:1" x14ac:dyDescent="0.3">
      <c r="A12355" s="20"/>
    </row>
    <row r="12356" spans="1:1" x14ac:dyDescent="0.3">
      <c r="A12356" s="20"/>
    </row>
    <row r="12357" spans="1:1" x14ac:dyDescent="0.3">
      <c r="A12357" s="20"/>
    </row>
    <row r="12358" spans="1:1" x14ac:dyDescent="0.3">
      <c r="A12358" s="20"/>
    </row>
    <row r="12359" spans="1:1" x14ac:dyDescent="0.3">
      <c r="A12359" s="20"/>
    </row>
    <row r="12360" spans="1:1" x14ac:dyDescent="0.3">
      <c r="A12360" s="20"/>
    </row>
    <row r="12361" spans="1:1" x14ac:dyDescent="0.3">
      <c r="A12361" s="20"/>
    </row>
    <row r="12362" spans="1:1" x14ac:dyDescent="0.3">
      <c r="A12362" s="20"/>
    </row>
    <row r="12363" spans="1:1" x14ac:dyDescent="0.3">
      <c r="A12363" s="20"/>
    </row>
    <row r="12364" spans="1:1" x14ac:dyDescent="0.3">
      <c r="A12364" s="20"/>
    </row>
    <row r="12365" spans="1:1" x14ac:dyDescent="0.3">
      <c r="A12365" s="20"/>
    </row>
    <row r="12366" spans="1:1" x14ac:dyDescent="0.3">
      <c r="A12366" s="20"/>
    </row>
    <row r="12367" spans="1:1" x14ac:dyDescent="0.3">
      <c r="A12367" s="20"/>
    </row>
    <row r="12368" spans="1:1" x14ac:dyDescent="0.3">
      <c r="A12368" s="20"/>
    </row>
    <row r="12369" spans="1:1" x14ac:dyDescent="0.3">
      <c r="A12369" s="20"/>
    </row>
    <row r="12370" spans="1:1" x14ac:dyDescent="0.3">
      <c r="A12370" s="20"/>
    </row>
    <row r="12371" spans="1:1" x14ac:dyDescent="0.3">
      <c r="A12371" s="20"/>
    </row>
    <row r="12372" spans="1:1" x14ac:dyDescent="0.3">
      <c r="A12372" s="20"/>
    </row>
    <row r="12373" spans="1:1" x14ac:dyDescent="0.3">
      <c r="A12373" s="20"/>
    </row>
    <row r="12374" spans="1:1" x14ac:dyDescent="0.3">
      <c r="A12374" s="20"/>
    </row>
    <row r="12375" spans="1:1" x14ac:dyDescent="0.3">
      <c r="A12375" s="20"/>
    </row>
    <row r="12376" spans="1:1" x14ac:dyDescent="0.3">
      <c r="A12376" s="20"/>
    </row>
    <row r="12377" spans="1:1" x14ac:dyDescent="0.3">
      <c r="A12377" s="20"/>
    </row>
    <row r="12378" spans="1:1" x14ac:dyDescent="0.3">
      <c r="A12378" s="20"/>
    </row>
    <row r="12379" spans="1:1" x14ac:dyDescent="0.3">
      <c r="A12379" s="20"/>
    </row>
    <row r="12380" spans="1:1" x14ac:dyDescent="0.3">
      <c r="A12380" s="20"/>
    </row>
    <row r="12381" spans="1:1" x14ac:dyDescent="0.3">
      <c r="A12381" s="20"/>
    </row>
    <row r="12382" spans="1:1" x14ac:dyDescent="0.3">
      <c r="A12382" s="20"/>
    </row>
    <row r="12383" spans="1:1" x14ac:dyDescent="0.3">
      <c r="A12383" s="20"/>
    </row>
    <row r="12384" spans="1:1" x14ac:dyDescent="0.3">
      <c r="A12384" s="20"/>
    </row>
    <row r="12385" spans="1:1" x14ac:dyDescent="0.3">
      <c r="A12385" s="20"/>
    </row>
    <row r="12386" spans="1:1" x14ac:dyDescent="0.3">
      <c r="A12386" s="20"/>
    </row>
    <row r="12387" spans="1:1" x14ac:dyDescent="0.3">
      <c r="A12387" s="20"/>
    </row>
    <row r="12388" spans="1:1" x14ac:dyDescent="0.3">
      <c r="A12388" s="20"/>
    </row>
    <row r="12389" spans="1:1" x14ac:dyDescent="0.3">
      <c r="A12389" s="20"/>
    </row>
    <row r="12390" spans="1:1" x14ac:dyDescent="0.3">
      <c r="A12390" s="20"/>
    </row>
    <row r="12391" spans="1:1" x14ac:dyDescent="0.3">
      <c r="A12391" s="20"/>
    </row>
    <row r="12392" spans="1:1" x14ac:dyDescent="0.3">
      <c r="A12392" s="20"/>
    </row>
    <row r="12393" spans="1:1" x14ac:dyDescent="0.3">
      <c r="A12393" s="20"/>
    </row>
    <row r="12394" spans="1:1" x14ac:dyDescent="0.3">
      <c r="A12394" s="20"/>
    </row>
    <row r="12395" spans="1:1" x14ac:dyDescent="0.3">
      <c r="A12395" s="20"/>
    </row>
    <row r="12396" spans="1:1" x14ac:dyDescent="0.3">
      <c r="A12396" s="20"/>
    </row>
    <row r="12397" spans="1:1" x14ac:dyDescent="0.3">
      <c r="A12397" s="20"/>
    </row>
    <row r="12398" spans="1:1" x14ac:dyDescent="0.3">
      <c r="A12398" s="20"/>
    </row>
    <row r="12399" spans="1:1" x14ac:dyDescent="0.3">
      <c r="A12399" s="20"/>
    </row>
    <row r="12400" spans="1:1" x14ac:dyDescent="0.3">
      <c r="A12400" s="20"/>
    </row>
    <row r="12401" spans="1:1" x14ac:dyDescent="0.3">
      <c r="A12401" s="20"/>
    </row>
    <row r="12402" spans="1:1" x14ac:dyDescent="0.3">
      <c r="A12402" s="20"/>
    </row>
    <row r="12403" spans="1:1" x14ac:dyDescent="0.3">
      <c r="A12403" s="20"/>
    </row>
    <row r="12404" spans="1:1" x14ac:dyDescent="0.3">
      <c r="A12404" s="20"/>
    </row>
    <row r="12405" spans="1:1" x14ac:dyDescent="0.3">
      <c r="A12405" s="20"/>
    </row>
    <row r="12406" spans="1:1" x14ac:dyDescent="0.3">
      <c r="A12406" s="20"/>
    </row>
    <row r="12407" spans="1:1" x14ac:dyDescent="0.3">
      <c r="A12407" s="20"/>
    </row>
    <row r="12408" spans="1:1" x14ac:dyDescent="0.3">
      <c r="A12408" s="20"/>
    </row>
    <row r="12409" spans="1:1" x14ac:dyDescent="0.3">
      <c r="A12409" s="20"/>
    </row>
    <row r="12410" spans="1:1" x14ac:dyDescent="0.3">
      <c r="A12410" s="20"/>
    </row>
    <row r="12411" spans="1:1" x14ac:dyDescent="0.3">
      <c r="A12411" s="20"/>
    </row>
    <row r="12412" spans="1:1" x14ac:dyDescent="0.3">
      <c r="A12412" s="20"/>
    </row>
    <row r="12413" spans="1:1" x14ac:dyDescent="0.3">
      <c r="A12413" s="20"/>
    </row>
    <row r="12414" spans="1:1" x14ac:dyDescent="0.3">
      <c r="A12414" s="20"/>
    </row>
    <row r="12415" spans="1:1" x14ac:dyDescent="0.3">
      <c r="A12415" s="20"/>
    </row>
    <row r="12416" spans="1:1" x14ac:dyDescent="0.3">
      <c r="A12416" s="20"/>
    </row>
    <row r="12417" spans="1:1" x14ac:dyDescent="0.3">
      <c r="A12417" s="20"/>
    </row>
    <row r="12418" spans="1:1" x14ac:dyDescent="0.3">
      <c r="A12418" s="20"/>
    </row>
    <row r="12419" spans="1:1" x14ac:dyDescent="0.3">
      <c r="A12419" s="20"/>
    </row>
    <row r="12420" spans="1:1" x14ac:dyDescent="0.3">
      <c r="A12420" s="20"/>
    </row>
    <row r="12421" spans="1:1" x14ac:dyDescent="0.3">
      <c r="A12421" s="20"/>
    </row>
    <row r="12422" spans="1:1" x14ac:dyDescent="0.3">
      <c r="A12422" s="20"/>
    </row>
    <row r="12423" spans="1:1" x14ac:dyDescent="0.3">
      <c r="A12423" s="20"/>
    </row>
    <row r="12424" spans="1:1" x14ac:dyDescent="0.3">
      <c r="A12424" s="20"/>
    </row>
    <row r="12425" spans="1:1" x14ac:dyDescent="0.3">
      <c r="A12425" s="20"/>
    </row>
    <row r="12426" spans="1:1" x14ac:dyDescent="0.3">
      <c r="A12426" s="20"/>
    </row>
    <row r="12427" spans="1:1" x14ac:dyDescent="0.3">
      <c r="A12427" s="20"/>
    </row>
    <row r="12428" spans="1:1" x14ac:dyDescent="0.3">
      <c r="A12428" s="20"/>
    </row>
    <row r="12429" spans="1:1" x14ac:dyDescent="0.3">
      <c r="A12429" s="20"/>
    </row>
    <row r="12430" spans="1:1" x14ac:dyDescent="0.3">
      <c r="A12430" s="20"/>
    </row>
    <row r="12431" spans="1:1" x14ac:dyDescent="0.3">
      <c r="A12431" s="20"/>
    </row>
    <row r="12432" spans="1:1" x14ac:dyDescent="0.3">
      <c r="A12432" s="20"/>
    </row>
    <row r="12433" spans="1:1" x14ac:dyDescent="0.3">
      <c r="A12433" s="20"/>
    </row>
    <row r="12434" spans="1:1" x14ac:dyDescent="0.3">
      <c r="A12434" s="20"/>
    </row>
    <row r="12435" spans="1:1" x14ac:dyDescent="0.3">
      <c r="A12435" s="20"/>
    </row>
    <row r="12436" spans="1:1" x14ac:dyDescent="0.3">
      <c r="A12436" s="20"/>
    </row>
    <row r="12437" spans="1:1" x14ac:dyDescent="0.3">
      <c r="A12437" s="20"/>
    </row>
    <row r="12438" spans="1:1" x14ac:dyDescent="0.3">
      <c r="A12438" s="20"/>
    </row>
    <row r="12439" spans="1:1" x14ac:dyDescent="0.3">
      <c r="A12439" s="20"/>
    </row>
    <row r="12440" spans="1:1" x14ac:dyDescent="0.3">
      <c r="A12440" s="20"/>
    </row>
    <row r="12441" spans="1:1" x14ac:dyDescent="0.3">
      <c r="A12441" s="20"/>
    </row>
    <row r="12442" spans="1:1" x14ac:dyDescent="0.3">
      <c r="A12442" s="20"/>
    </row>
    <row r="12443" spans="1:1" x14ac:dyDescent="0.3">
      <c r="A12443" s="20"/>
    </row>
    <row r="12444" spans="1:1" x14ac:dyDescent="0.3">
      <c r="A12444" s="20"/>
    </row>
    <row r="12445" spans="1:1" x14ac:dyDescent="0.3">
      <c r="A12445" s="20"/>
    </row>
    <row r="12446" spans="1:1" x14ac:dyDescent="0.3">
      <c r="A12446" s="20"/>
    </row>
    <row r="12447" spans="1:1" x14ac:dyDescent="0.3">
      <c r="A12447" s="20"/>
    </row>
    <row r="12448" spans="1:1" x14ac:dyDescent="0.3">
      <c r="A12448" s="20"/>
    </row>
    <row r="12449" spans="1:1" x14ac:dyDescent="0.3">
      <c r="A12449" s="20"/>
    </row>
    <row r="12450" spans="1:1" x14ac:dyDescent="0.3">
      <c r="A12450" s="20"/>
    </row>
    <row r="12451" spans="1:1" x14ac:dyDescent="0.3">
      <c r="A12451" s="20"/>
    </row>
    <row r="12452" spans="1:1" x14ac:dyDescent="0.3">
      <c r="A12452" s="20"/>
    </row>
    <row r="12453" spans="1:1" x14ac:dyDescent="0.3">
      <c r="A12453" s="20"/>
    </row>
    <row r="12454" spans="1:1" x14ac:dyDescent="0.3">
      <c r="A12454" s="20"/>
    </row>
    <row r="12455" spans="1:1" x14ac:dyDescent="0.3">
      <c r="A12455" s="20"/>
    </row>
    <row r="12456" spans="1:1" x14ac:dyDescent="0.3">
      <c r="A12456" s="20"/>
    </row>
    <row r="12457" spans="1:1" x14ac:dyDescent="0.3">
      <c r="A12457" s="20"/>
    </row>
    <row r="12458" spans="1:1" x14ac:dyDescent="0.3">
      <c r="A12458" s="20"/>
    </row>
    <row r="12459" spans="1:1" x14ac:dyDescent="0.3">
      <c r="A12459" s="20"/>
    </row>
    <row r="12460" spans="1:1" x14ac:dyDescent="0.3">
      <c r="A12460" s="20"/>
    </row>
    <row r="12461" spans="1:1" x14ac:dyDescent="0.3">
      <c r="A12461" s="20"/>
    </row>
    <row r="12462" spans="1:1" x14ac:dyDescent="0.3">
      <c r="A12462" s="20"/>
    </row>
    <row r="12463" spans="1:1" x14ac:dyDescent="0.3">
      <c r="A12463" s="20"/>
    </row>
    <row r="12464" spans="1:1" x14ac:dyDescent="0.3">
      <c r="A12464" s="20"/>
    </row>
    <row r="12465" spans="1:1" x14ac:dyDescent="0.3">
      <c r="A12465" s="20"/>
    </row>
    <row r="12466" spans="1:1" x14ac:dyDescent="0.3">
      <c r="A12466" s="20"/>
    </row>
    <row r="12467" spans="1:1" x14ac:dyDescent="0.3">
      <c r="A12467" s="20"/>
    </row>
    <row r="12468" spans="1:1" x14ac:dyDescent="0.3">
      <c r="A12468" s="20"/>
    </row>
    <row r="12469" spans="1:1" x14ac:dyDescent="0.3">
      <c r="A12469" s="20"/>
    </row>
    <row r="12470" spans="1:1" x14ac:dyDescent="0.3">
      <c r="A12470" s="20"/>
    </row>
    <row r="12471" spans="1:1" x14ac:dyDescent="0.3">
      <c r="A12471" s="20"/>
    </row>
    <row r="12472" spans="1:1" x14ac:dyDescent="0.3">
      <c r="A12472" s="20"/>
    </row>
    <row r="12473" spans="1:1" x14ac:dyDescent="0.3">
      <c r="A12473" s="20"/>
    </row>
    <row r="12474" spans="1:1" x14ac:dyDescent="0.3">
      <c r="A12474" s="20"/>
    </row>
    <row r="12475" spans="1:1" x14ac:dyDescent="0.3">
      <c r="A12475" s="20"/>
    </row>
    <row r="12476" spans="1:1" x14ac:dyDescent="0.3">
      <c r="A12476" s="20"/>
    </row>
    <row r="12477" spans="1:1" x14ac:dyDescent="0.3">
      <c r="A12477" s="20"/>
    </row>
    <row r="12478" spans="1:1" x14ac:dyDescent="0.3">
      <c r="A12478" s="20"/>
    </row>
    <row r="12479" spans="1:1" x14ac:dyDescent="0.3">
      <c r="A12479" s="20"/>
    </row>
    <row r="12480" spans="1:1" x14ac:dyDescent="0.3">
      <c r="A12480" s="20"/>
    </row>
    <row r="12481" spans="1:1" x14ac:dyDescent="0.3">
      <c r="A12481" s="20"/>
    </row>
    <row r="12482" spans="1:1" x14ac:dyDescent="0.3">
      <c r="A12482" s="20"/>
    </row>
    <row r="12483" spans="1:1" x14ac:dyDescent="0.3">
      <c r="A12483" s="20"/>
    </row>
    <row r="12484" spans="1:1" x14ac:dyDescent="0.3">
      <c r="A12484" s="20"/>
    </row>
    <row r="12485" spans="1:1" x14ac:dyDescent="0.3">
      <c r="A12485" s="20"/>
    </row>
    <row r="12486" spans="1:1" x14ac:dyDescent="0.3">
      <c r="A12486" s="20"/>
    </row>
    <row r="12487" spans="1:1" x14ac:dyDescent="0.3">
      <c r="A12487" s="20"/>
    </row>
    <row r="12488" spans="1:1" x14ac:dyDescent="0.3">
      <c r="A12488" s="20"/>
    </row>
    <row r="12489" spans="1:1" x14ac:dyDescent="0.3">
      <c r="A12489" s="20"/>
    </row>
    <row r="12490" spans="1:1" x14ac:dyDescent="0.3">
      <c r="A12490" s="20"/>
    </row>
    <row r="12491" spans="1:1" x14ac:dyDescent="0.3">
      <c r="A12491" s="20"/>
    </row>
    <row r="12492" spans="1:1" x14ac:dyDescent="0.3">
      <c r="A12492" s="20"/>
    </row>
    <row r="12493" spans="1:1" x14ac:dyDescent="0.3">
      <c r="A12493" s="20"/>
    </row>
    <row r="12494" spans="1:1" x14ac:dyDescent="0.3">
      <c r="A12494" s="20"/>
    </row>
    <row r="12495" spans="1:1" x14ac:dyDescent="0.3">
      <c r="A12495" s="20"/>
    </row>
    <row r="12496" spans="1:1" x14ac:dyDescent="0.3">
      <c r="A12496" s="20"/>
    </row>
    <row r="12497" spans="1:1" x14ac:dyDescent="0.3">
      <c r="A12497" s="20"/>
    </row>
    <row r="12498" spans="1:1" x14ac:dyDescent="0.3">
      <c r="A12498" s="20"/>
    </row>
    <row r="12499" spans="1:1" x14ac:dyDescent="0.3">
      <c r="A12499" s="20"/>
    </row>
    <row r="12500" spans="1:1" x14ac:dyDescent="0.3">
      <c r="A12500" s="20"/>
    </row>
    <row r="12501" spans="1:1" x14ac:dyDescent="0.3">
      <c r="A12501" s="20"/>
    </row>
    <row r="12502" spans="1:1" x14ac:dyDescent="0.3">
      <c r="A12502" s="20"/>
    </row>
    <row r="12503" spans="1:1" x14ac:dyDescent="0.3">
      <c r="A12503" s="20"/>
    </row>
    <row r="12504" spans="1:1" x14ac:dyDescent="0.3">
      <c r="A12504" s="20"/>
    </row>
    <row r="12505" spans="1:1" x14ac:dyDescent="0.3">
      <c r="A12505" s="20"/>
    </row>
    <row r="12506" spans="1:1" x14ac:dyDescent="0.3">
      <c r="A12506" s="20"/>
    </row>
    <row r="12507" spans="1:1" x14ac:dyDescent="0.3">
      <c r="A12507" s="20"/>
    </row>
    <row r="12508" spans="1:1" x14ac:dyDescent="0.3">
      <c r="A12508" s="20"/>
    </row>
    <row r="12509" spans="1:1" x14ac:dyDescent="0.3">
      <c r="A12509" s="20"/>
    </row>
    <row r="12510" spans="1:1" x14ac:dyDescent="0.3">
      <c r="A12510" s="20"/>
    </row>
    <row r="12511" spans="1:1" x14ac:dyDescent="0.3">
      <c r="A12511" s="20"/>
    </row>
    <row r="12512" spans="1:1" x14ac:dyDescent="0.3">
      <c r="A12512" s="20"/>
    </row>
    <row r="12513" spans="1:1" x14ac:dyDescent="0.3">
      <c r="A12513" s="20"/>
    </row>
    <row r="12514" spans="1:1" x14ac:dyDescent="0.3">
      <c r="A12514" s="20"/>
    </row>
    <row r="12515" spans="1:1" x14ac:dyDescent="0.3">
      <c r="A12515" s="20"/>
    </row>
    <row r="12516" spans="1:1" x14ac:dyDescent="0.3">
      <c r="A12516" s="20"/>
    </row>
    <row r="12517" spans="1:1" x14ac:dyDescent="0.3">
      <c r="A12517" s="20"/>
    </row>
    <row r="12518" spans="1:1" x14ac:dyDescent="0.3">
      <c r="A12518" s="20"/>
    </row>
    <row r="12519" spans="1:1" x14ac:dyDescent="0.3">
      <c r="A12519" s="20"/>
    </row>
    <row r="12520" spans="1:1" x14ac:dyDescent="0.3">
      <c r="A12520" s="20"/>
    </row>
    <row r="12521" spans="1:1" x14ac:dyDescent="0.3">
      <c r="A12521" s="20"/>
    </row>
    <row r="12522" spans="1:1" x14ac:dyDescent="0.3">
      <c r="A12522" s="20"/>
    </row>
    <row r="12523" spans="1:1" x14ac:dyDescent="0.3">
      <c r="A12523" s="20"/>
    </row>
    <row r="12524" spans="1:1" x14ac:dyDescent="0.3">
      <c r="A12524" s="20"/>
    </row>
    <row r="12525" spans="1:1" x14ac:dyDescent="0.3">
      <c r="A12525" s="20"/>
    </row>
    <row r="12526" spans="1:1" x14ac:dyDescent="0.3">
      <c r="A12526" s="20"/>
    </row>
    <row r="12527" spans="1:1" x14ac:dyDescent="0.3">
      <c r="A12527" s="20"/>
    </row>
    <row r="12528" spans="1:1" x14ac:dyDescent="0.3">
      <c r="A12528" s="20"/>
    </row>
    <row r="12529" spans="1:1" x14ac:dyDescent="0.3">
      <c r="A12529" s="20"/>
    </row>
    <row r="12530" spans="1:1" x14ac:dyDescent="0.3">
      <c r="A12530" s="20"/>
    </row>
    <row r="12531" spans="1:1" x14ac:dyDescent="0.3">
      <c r="A12531" s="20"/>
    </row>
    <row r="12532" spans="1:1" x14ac:dyDescent="0.3">
      <c r="A12532" s="20"/>
    </row>
    <row r="12533" spans="1:1" x14ac:dyDescent="0.3">
      <c r="A12533" s="20"/>
    </row>
    <row r="12534" spans="1:1" x14ac:dyDescent="0.3">
      <c r="A12534" s="20"/>
    </row>
    <row r="12535" spans="1:1" x14ac:dyDescent="0.3">
      <c r="A12535" s="20"/>
    </row>
    <row r="12536" spans="1:1" x14ac:dyDescent="0.3">
      <c r="A12536" s="20"/>
    </row>
    <row r="12537" spans="1:1" x14ac:dyDescent="0.3">
      <c r="A12537" s="20"/>
    </row>
    <row r="12538" spans="1:1" x14ac:dyDescent="0.3">
      <c r="A12538" s="20"/>
    </row>
    <row r="12539" spans="1:1" x14ac:dyDescent="0.3">
      <c r="A12539" s="20"/>
    </row>
    <row r="12540" spans="1:1" x14ac:dyDescent="0.3">
      <c r="A12540" s="20"/>
    </row>
    <row r="12541" spans="1:1" x14ac:dyDescent="0.3">
      <c r="A12541" s="20"/>
    </row>
    <row r="12542" spans="1:1" x14ac:dyDescent="0.3">
      <c r="A12542" s="20"/>
    </row>
    <row r="12543" spans="1:1" x14ac:dyDescent="0.3">
      <c r="A12543" s="20"/>
    </row>
    <row r="12544" spans="1:1" x14ac:dyDescent="0.3">
      <c r="A12544" s="20"/>
    </row>
    <row r="12545" spans="1:1" x14ac:dyDescent="0.3">
      <c r="A12545" s="20"/>
    </row>
    <row r="12546" spans="1:1" x14ac:dyDescent="0.3">
      <c r="A12546" s="20"/>
    </row>
    <row r="12547" spans="1:1" x14ac:dyDescent="0.3">
      <c r="A12547" s="20"/>
    </row>
    <row r="12548" spans="1:1" x14ac:dyDescent="0.3">
      <c r="A12548" s="20"/>
    </row>
    <row r="12549" spans="1:1" x14ac:dyDescent="0.3">
      <c r="A12549" s="20"/>
    </row>
    <row r="12550" spans="1:1" x14ac:dyDescent="0.3">
      <c r="A12550" s="20"/>
    </row>
    <row r="12551" spans="1:1" x14ac:dyDescent="0.3">
      <c r="A12551" s="20"/>
    </row>
    <row r="12552" spans="1:1" x14ac:dyDescent="0.3">
      <c r="A12552" s="20"/>
    </row>
    <row r="12553" spans="1:1" x14ac:dyDescent="0.3">
      <c r="A12553" s="20"/>
    </row>
    <row r="12554" spans="1:1" x14ac:dyDescent="0.3">
      <c r="A12554" s="20"/>
    </row>
    <row r="12555" spans="1:1" x14ac:dyDescent="0.3">
      <c r="A12555" s="20"/>
    </row>
    <row r="12556" spans="1:1" x14ac:dyDescent="0.3">
      <c r="A12556" s="20"/>
    </row>
    <row r="12557" spans="1:1" x14ac:dyDescent="0.3">
      <c r="A12557" s="20"/>
    </row>
    <row r="12558" spans="1:1" x14ac:dyDescent="0.3">
      <c r="A12558" s="20"/>
    </row>
    <row r="12559" spans="1:1" x14ac:dyDescent="0.3">
      <c r="A12559" s="20"/>
    </row>
    <row r="12560" spans="1:1" x14ac:dyDescent="0.3">
      <c r="A12560" s="20"/>
    </row>
    <row r="12561" spans="1:1" x14ac:dyDescent="0.3">
      <c r="A12561" s="20"/>
    </row>
    <row r="12562" spans="1:1" x14ac:dyDescent="0.3">
      <c r="A12562" s="20"/>
    </row>
    <row r="12563" spans="1:1" x14ac:dyDescent="0.3">
      <c r="A12563" s="20"/>
    </row>
    <row r="12564" spans="1:1" x14ac:dyDescent="0.3">
      <c r="A12564" s="20"/>
    </row>
    <row r="12565" spans="1:1" x14ac:dyDescent="0.3">
      <c r="A12565" s="20"/>
    </row>
    <row r="12566" spans="1:1" x14ac:dyDescent="0.3">
      <c r="A12566" s="20"/>
    </row>
    <row r="12567" spans="1:1" x14ac:dyDescent="0.3">
      <c r="A12567" s="20"/>
    </row>
    <row r="12568" spans="1:1" x14ac:dyDescent="0.3">
      <c r="A12568" s="20"/>
    </row>
    <row r="12569" spans="1:1" x14ac:dyDescent="0.3">
      <c r="A12569" s="20"/>
    </row>
    <row r="12570" spans="1:1" x14ac:dyDescent="0.3">
      <c r="A12570" s="20"/>
    </row>
    <row r="12571" spans="1:1" x14ac:dyDescent="0.3">
      <c r="A12571" s="20"/>
    </row>
    <row r="12572" spans="1:1" x14ac:dyDescent="0.3">
      <c r="A12572" s="20"/>
    </row>
    <row r="12573" spans="1:1" x14ac:dyDescent="0.3">
      <c r="A12573" s="20"/>
    </row>
    <row r="12574" spans="1:1" x14ac:dyDescent="0.3">
      <c r="A12574" s="20"/>
    </row>
    <row r="12575" spans="1:1" x14ac:dyDescent="0.3">
      <c r="A12575" s="20"/>
    </row>
    <row r="12576" spans="1:1" x14ac:dyDescent="0.3">
      <c r="A12576" s="20"/>
    </row>
    <row r="12577" spans="1:1" x14ac:dyDescent="0.3">
      <c r="A12577" s="20"/>
    </row>
    <row r="12578" spans="1:1" x14ac:dyDescent="0.3">
      <c r="A12578" s="20"/>
    </row>
    <row r="12579" spans="1:1" x14ac:dyDescent="0.3">
      <c r="A12579" s="20"/>
    </row>
    <row r="12580" spans="1:1" x14ac:dyDescent="0.3">
      <c r="A12580" s="20"/>
    </row>
    <row r="12581" spans="1:1" x14ac:dyDescent="0.3">
      <c r="A12581" s="20"/>
    </row>
    <row r="12582" spans="1:1" x14ac:dyDescent="0.3">
      <c r="A12582" s="20"/>
    </row>
    <row r="12583" spans="1:1" x14ac:dyDescent="0.3">
      <c r="A12583" s="20"/>
    </row>
    <row r="12584" spans="1:1" x14ac:dyDescent="0.3">
      <c r="A12584" s="20"/>
    </row>
    <row r="12585" spans="1:1" x14ac:dyDescent="0.3">
      <c r="A12585" s="20"/>
    </row>
    <row r="12586" spans="1:1" x14ac:dyDescent="0.3">
      <c r="A12586" s="20"/>
    </row>
    <row r="12587" spans="1:1" x14ac:dyDescent="0.3">
      <c r="A12587" s="20"/>
    </row>
    <row r="12588" spans="1:1" x14ac:dyDescent="0.3">
      <c r="A12588" s="20"/>
    </row>
    <row r="12589" spans="1:1" x14ac:dyDescent="0.3">
      <c r="A12589" s="20"/>
    </row>
    <row r="12590" spans="1:1" x14ac:dyDescent="0.3">
      <c r="A12590" s="20"/>
    </row>
    <row r="12591" spans="1:1" x14ac:dyDescent="0.3">
      <c r="A12591" s="20"/>
    </row>
    <row r="12592" spans="1:1" x14ac:dyDescent="0.3">
      <c r="A12592" s="20"/>
    </row>
    <row r="12593" spans="1:1" x14ac:dyDescent="0.3">
      <c r="A12593" s="20"/>
    </row>
    <row r="12594" spans="1:1" x14ac:dyDescent="0.3">
      <c r="A12594" s="20"/>
    </row>
    <row r="12595" spans="1:1" x14ac:dyDescent="0.3">
      <c r="A12595" s="20"/>
    </row>
    <row r="12596" spans="1:1" x14ac:dyDescent="0.3">
      <c r="A12596" s="20"/>
    </row>
    <row r="12597" spans="1:1" x14ac:dyDescent="0.3">
      <c r="A12597" s="20"/>
    </row>
    <row r="12598" spans="1:1" x14ac:dyDescent="0.3">
      <c r="A12598" s="20"/>
    </row>
    <row r="12599" spans="1:1" x14ac:dyDescent="0.3">
      <c r="A12599" s="20"/>
    </row>
    <row r="12600" spans="1:1" x14ac:dyDescent="0.3">
      <c r="A12600" s="20"/>
    </row>
    <row r="12601" spans="1:1" x14ac:dyDescent="0.3">
      <c r="A12601" s="20"/>
    </row>
    <row r="12602" spans="1:1" x14ac:dyDescent="0.3">
      <c r="A12602" s="20"/>
    </row>
    <row r="12603" spans="1:1" x14ac:dyDescent="0.3">
      <c r="A12603" s="20"/>
    </row>
    <row r="12604" spans="1:1" x14ac:dyDescent="0.3">
      <c r="A12604" s="20"/>
    </row>
    <row r="12605" spans="1:1" x14ac:dyDescent="0.3">
      <c r="A12605" s="20"/>
    </row>
    <row r="12606" spans="1:1" x14ac:dyDescent="0.3">
      <c r="A12606" s="20"/>
    </row>
    <row r="12607" spans="1:1" x14ac:dyDescent="0.3">
      <c r="A12607" s="20"/>
    </row>
    <row r="12608" spans="1:1" x14ac:dyDescent="0.3">
      <c r="A12608" s="20"/>
    </row>
    <row r="12609" spans="1:1" x14ac:dyDescent="0.3">
      <c r="A12609" s="20"/>
    </row>
    <row r="12610" spans="1:1" x14ac:dyDescent="0.3">
      <c r="A12610" s="20"/>
    </row>
    <row r="12611" spans="1:1" x14ac:dyDescent="0.3">
      <c r="A12611" s="20"/>
    </row>
    <row r="12612" spans="1:1" x14ac:dyDescent="0.3">
      <c r="A12612" s="20"/>
    </row>
    <row r="12613" spans="1:1" x14ac:dyDescent="0.3">
      <c r="A12613" s="20"/>
    </row>
    <row r="12614" spans="1:1" x14ac:dyDescent="0.3">
      <c r="A12614" s="20"/>
    </row>
    <row r="12615" spans="1:1" x14ac:dyDescent="0.3">
      <c r="A12615" s="20"/>
    </row>
    <row r="12616" spans="1:1" x14ac:dyDescent="0.3">
      <c r="A12616" s="20"/>
    </row>
    <row r="12617" spans="1:1" x14ac:dyDescent="0.3">
      <c r="A12617" s="20"/>
    </row>
    <row r="12618" spans="1:1" x14ac:dyDescent="0.3">
      <c r="A12618" s="20"/>
    </row>
    <row r="12619" spans="1:1" x14ac:dyDescent="0.3">
      <c r="A12619" s="20"/>
    </row>
    <row r="12620" spans="1:1" x14ac:dyDescent="0.3">
      <c r="A12620" s="20"/>
    </row>
    <row r="12621" spans="1:1" x14ac:dyDescent="0.3">
      <c r="A12621" s="20"/>
    </row>
    <row r="12622" spans="1:1" x14ac:dyDescent="0.3">
      <c r="A12622" s="20"/>
    </row>
    <row r="12623" spans="1:1" x14ac:dyDescent="0.3">
      <c r="A12623" s="20"/>
    </row>
    <row r="12624" spans="1:1" x14ac:dyDescent="0.3">
      <c r="A12624" s="20"/>
    </row>
    <row r="12625" spans="1:1" x14ac:dyDescent="0.3">
      <c r="A12625" s="20"/>
    </row>
    <row r="12626" spans="1:1" x14ac:dyDescent="0.3">
      <c r="A12626" s="20"/>
    </row>
    <row r="12627" spans="1:1" x14ac:dyDescent="0.3">
      <c r="A12627" s="20"/>
    </row>
    <row r="12628" spans="1:1" x14ac:dyDescent="0.3">
      <c r="A12628" s="20"/>
    </row>
    <row r="12629" spans="1:1" x14ac:dyDescent="0.3">
      <c r="A12629" s="20"/>
    </row>
    <row r="12630" spans="1:1" x14ac:dyDescent="0.3">
      <c r="A12630" s="20"/>
    </row>
    <row r="12631" spans="1:1" x14ac:dyDescent="0.3">
      <c r="A12631" s="20"/>
    </row>
    <row r="12632" spans="1:1" x14ac:dyDescent="0.3">
      <c r="A12632" s="20"/>
    </row>
    <row r="12633" spans="1:1" x14ac:dyDescent="0.3">
      <c r="A12633" s="20"/>
    </row>
    <row r="12634" spans="1:1" x14ac:dyDescent="0.3">
      <c r="A12634" s="20"/>
    </row>
    <row r="12635" spans="1:1" x14ac:dyDescent="0.3">
      <c r="A12635" s="20"/>
    </row>
    <row r="12636" spans="1:1" x14ac:dyDescent="0.3">
      <c r="A12636" s="20"/>
    </row>
    <row r="12637" spans="1:1" x14ac:dyDescent="0.3">
      <c r="A12637" s="20"/>
    </row>
    <row r="12638" spans="1:1" x14ac:dyDescent="0.3">
      <c r="A12638" s="20"/>
    </row>
    <row r="12639" spans="1:1" x14ac:dyDescent="0.3">
      <c r="A12639" s="20"/>
    </row>
    <row r="12640" spans="1:1" x14ac:dyDescent="0.3">
      <c r="A12640" s="20"/>
    </row>
    <row r="12641" spans="1:1" x14ac:dyDescent="0.3">
      <c r="A12641" s="20"/>
    </row>
    <row r="12642" spans="1:1" x14ac:dyDescent="0.3">
      <c r="A12642" s="20"/>
    </row>
    <row r="12643" spans="1:1" x14ac:dyDescent="0.3">
      <c r="A12643" s="20"/>
    </row>
    <row r="12644" spans="1:1" x14ac:dyDescent="0.3">
      <c r="A12644" s="20"/>
    </row>
    <row r="12645" spans="1:1" x14ac:dyDescent="0.3">
      <c r="A12645" s="20"/>
    </row>
    <row r="12646" spans="1:1" x14ac:dyDescent="0.3">
      <c r="A12646" s="20"/>
    </row>
    <row r="12647" spans="1:1" x14ac:dyDescent="0.3">
      <c r="A12647" s="20"/>
    </row>
    <row r="12648" spans="1:1" x14ac:dyDescent="0.3">
      <c r="A12648" s="20"/>
    </row>
    <row r="12649" spans="1:1" x14ac:dyDescent="0.3">
      <c r="A12649" s="20"/>
    </row>
    <row r="12650" spans="1:1" x14ac:dyDescent="0.3">
      <c r="A12650" s="20"/>
    </row>
    <row r="12651" spans="1:1" x14ac:dyDescent="0.3">
      <c r="A12651" s="20"/>
    </row>
    <row r="12652" spans="1:1" x14ac:dyDescent="0.3">
      <c r="A12652" s="20"/>
    </row>
    <row r="12653" spans="1:1" x14ac:dyDescent="0.3">
      <c r="A12653" s="20"/>
    </row>
    <row r="12654" spans="1:1" x14ac:dyDescent="0.3">
      <c r="A12654" s="20"/>
    </row>
    <row r="12655" spans="1:1" x14ac:dyDescent="0.3">
      <c r="A12655" s="20"/>
    </row>
    <row r="12656" spans="1:1" x14ac:dyDescent="0.3">
      <c r="A12656" s="20"/>
    </row>
    <row r="12657" spans="1:1" x14ac:dyDescent="0.3">
      <c r="A12657" s="20"/>
    </row>
    <row r="12658" spans="1:1" x14ac:dyDescent="0.3">
      <c r="A12658" s="20"/>
    </row>
    <row r="12659" spans="1:1" x14ac:dyDescent="0.3">
      <c r="A12659" s="20"/>
    </row>
    <row r="12660" spans="1:1" x14ac:dyDescent="0.3">
      <c r="A12660" s="20"/>
    </row>
    <row r="12661" spans="1:1" x14ac:dyDescent="0.3">
      <c r="A12661" s="20"/>
    </row>
    <row r="12662" spans="1:1" x14ac:dyDescent="0.3">
      <c r="A12662" s="20"/>
    </row>
    <row r="12663" spans="1:1" x14ac:dyDescent="0.3">
      <c r="A12663" s="20"/>
    </row>
    <row r="12664" spans="1:1" x14ac:dyDescent="0.3">
      <c r="A12664" s="20"/>
    </row>
    <row r="12665" spans="1:1" x14ac:dyDescent="0.3">
      <c r="A12665" s="20"/>
    </row>
    <row r="12666" spans="1:1" x14ac:dyDescent="0.3">
      <c r="A12666" s="20"/>
    </row>
    <row r="12667" spans="1:1" x14ac:dyDescent="0.3">
      <c r="A12667" s="20"/>
    </row>
    <row r="12668" spans="1:1" x14ac:dyDescent="0.3">
      <c r="A12668" s="20"/>
    </row>
    <row r="12669" spans="1:1" x14ac:dyDescent="0.3">
      <c r="A12669" s="20"/>
    </row>
    <row r="12670" spans="1:1" x14ac:dyDescent="0.3">
      <c r="A12670" s="20"/>
    </row>
    <row r="12671" spans="1:1" x14ac:dyDescent="0.3">
      <c r="A12671" s="20"/>
    </row>
    <row r="12672" spans="1:1" x14ac:dyDescent="0.3">
      <c r="A12672" s="20"/>
    </row>
    <row r="12673" spans="1:1" x14ac:dyDescent="0.3">
      <c r="A12673" s="20"/>
    </row>
    <row r="12674" spans="1:1" x14ac:dyDescent="0.3">
      <c r="A12674" s="20"/>
    </row>
    <row r="12675" spans="1:1" x14ac:dyDescent="0.3">
      <c r="A12675" s="20"/>
    </row>
    <row r="12676" spans="1:1" x14ac:dyDescent="0.3">
      <c r="A12676" s="20"/>
    </row>
    <row r="12677" spans="1:1" x14ac:dyDescent="0.3">
      <c r="A12677" s="20"/>
    </row>
    <row r="12678" spans="1:1" x14ac:dyDescent="0.3">
      <c r="A12678" s="20"/>
    </row>
    <row r="12679" spans="1:1" x14ac:dyDescent="0.3">
      <c r="A12679" s="20"/>
    </row>
    <row r="12680" spans="1:1" x14ac:dyDescent="0.3">
      <c r="A12680" s="20"/>
    </row>
    <row r="12681" spans="1:1" x14ac:dyDescent="0.3">
      <c r="A12681" s="20"/>
    </row>
    <row r="12682" spans="1:1" x14ac:dyDescent="0.3">
      <c r="A12682" s="20"/>
    </row>
    <row r="12683" spans="1:1" x14ac:dyDescent="0.3">
      <c r="A12683" s="20"/>
    </row>
    <row r="12684" spans="1:1" x14ac:dyDescent="0.3">
      <c r="A12684" s="20"/>
    </row>
    <row r="12685" spans="1:1" x14ac:dyDescent="0.3">
      <c r="A12685" s="20"/>
    </row>
    <row r="12686" spans="1:1" x14ac:dyDescent="0.3">
      <c r="A12686" s="20"/>
    </row>
    <row r="12687" spans="1:1" x14ac:dyDescent="0.3">
      <c r="A12687" s="20"/>
    </row>
    <row r="12688" spans="1:1" x14ac:dyDescent="0.3">
      <c r="A12688" s="20"/>
    </row>
    <row r="12689" spans="1:1" x14ac:dyDescent="0.3">
      <c r="A12689" s="20"/>
    </row>
    <row r="12690" spans="1:1" x14ac:dyDescent="0.3">
      <c r="A12690" s="20"/>
    </row>
    <row r="12691" spans="1:1" x14ac:dyDescent="0.3">
      <c r="A12691" s="20"/>
    </row>
    <row r="12692" spans="1:1" x14ac:dyDescent="0.3">
      <c r="A12692" s="20"/>
    </row>
    <row r="12693" spans="1:1" x14ac:dyDescent="0.3">
      <c r="A12693" s="20"/>
    </row>
    <row r="12694" spans="1:1" x14ac:dyDescent="0.3">
      <c r="A12694" s="20"/>
    </row>
    <row r="12695" spans="1:1" x14ac:dyDescent="0.3">
      <c r="A12695" s="20"/>
    </row>
    <row r="12696" spans="1:1" x14ac:dyDescent="0.3">
      <c r="A12696" s="20"/>
    </row>
    <row r="12697" spans="1:1" x14ac:dyDescent="0.3">
      <c r="A12697" s="20"/>
    </row>
    <row r="12698" spans="1:1" x14ac:dyDescent="0.3">
      <c r="A12698" s="20"/>
    </row>
    <row r="12699" spans="1:1" x14ac:dyDescent="0.3">
      <c r="A12699" s="20"/>
    </row>
    <row r="12700" spans="1:1" x14ac:dyDescent="0.3">
      <c r="A12700" s="20"/>
    </row>
    <row r="12701" spans="1:1" x14ac:dyDescent="0.3">
      <c r="A12701" s="20"/>
    </row>
    <row r="12702" spans="1:1" x14ac:dyDescent="0.3">
      <c r="A12702" s="20"/>
    </row>
    <row r="12703" spans="1:1" x14ac:dyDescent="0.3">
      <c r="A12703" s="20"/>
    </row>
    <row r="12704" spans="1:1" x14ac:dyDescent="0.3">
      <c r="A12704" s="20"/>
    </row>
    <row r="12705" spans="1:1" x14ac:dyDescent="0.3">
      <c r="A12705" s="20"/>
    </row>
    <row r="12706" spans="1:1" x14ac:dyDescent="0.3">
      <c r="A12706" s="20"/>
    </row>
    <row r="12707" spans="1:1" x14ac:dyDescent="0.3">
      <c r="A12707" s="20"/>
    </row>
    <row r="12708" spans="1:1" x14ac:dyDescent="0.3">
      <c r="A12708" s="20"/>
    </row>
    <row r="12709" spans="1:1" x14ac:dyDescent="0.3">
      <c r="A12709" s="20"/>
    </row>
    <row r="12710" spans="1:1" x14ac:dyDescent="0.3">
      <c r="A12710" s="20"/>
    </row>
    <row r="12711" spans="1:1" x14ac:dyDescent="0.3">
      <c r="A12711" s="20"/>
    </row>
    <row r="12712" spans="1:1" x14ac:dyDescent="0.3">
      <c r="A12712" s="20"/>
    </row>
    <row r="12713" spans="1:1" x14ac:dyDescent="0.3">
      <c r="A12713" s="20"/>
    </row>
    <row r="12714" spans="1:1" x14ac:dyDescent="0.3">
      <c r="A12714" s="20"/>
    </row>
    <row r="12715" spans="1:1" x14ac:dyDescent="0.3">
      <c r="A12715" s="20"/>
    </row>
    <row r="12716" spans="1:1" x14ac:dyDescent="0.3">
      <c r="A12716" s="20"/>
    </row>
    <row r="12717" spans="1:1" x14ac:dyDescent="0.3">
      <c r="A12717" s="20"/>
    </row>
    <row r="12718" spans="1:1" x14ac:dyDescent="0.3">
      <c r="A12718" s="20"/>
    </row>
    <row r="12719" spans="1:1" x14ac:dyDescent="0.3">
      <c r="A12719" s="20"/>
    </row>
    <row r="12720" spans="1:1" x14ac:dyDescent="0.3">
      <c r="A12720" s="20"/>
    </row>
    <row r="12721" spans="1:1" x14ac:dyDescent="0.3">
      <c r="A12721" s="20"/>
    </row>
    <row r="12722" spans="1:1" x14ac:dyDescent="0.3">
      <c r="A12722" s="20"/>
    </row>
    <row r="12723" spans="1:1" x14ac:dyDescent="0.3">
      <c r="A12723" s="20"/>
    </row>
    <row r="12724" spans="1:1" x14ac:dyDescent="0.3">
      <c r="A12724" s="20"/>
    </row>
    <row r="12725" spans="1:1" x14ac:dyDescent="0.3">
      <c r="A12725" s="20"/>
    </row>
    <row r="12726" spans="1:1" x14ac:dyDescent="0.3">
      <c r="A12726" s="20"/>
    </row>
    <row r="12727" spans="1:1" x14ac:dyDescent="0.3">
      <c r="A12727" s="20"/>
    </row>
    <row r="12728" spans="1:1" x14ac:dyDescent="0.3">
      <c r="A12728" s="20"/>
    </row>
    <row r="12729" spans="1:1" x14ac:dyDescent="0.3">
      <c r="A12729" s="20"/>
    </row>
    <row r="12730" spans="1:1" x14ac:dyDescent="0.3">
      <c r="A12730" s="20"/>
    </row>
    <row r="12731" spans="1:1" x14ac:dyDescent="0.3">
      <c r="A12731" s="20"/>
    </row>
    <row r="12732" spans="1:1" x14ac:dyDescent="0.3">
      <c r="A12732" s="20"/>
    </row>
    <row r="12733" spans="1:1" x14ac:dyDescent="0.3">
      <c r="A12733" s="20"/>
    </row>
    <row r="12734" spans="1:1" x14ac:dyDescent="0.3">
      <c r="A12734" s="20"/>
    </row>
    <row r="12735" spans="1:1" x14ac:dyDescent="0.3">
      <c r="A12735" s="20"/>
    </row>
    <row r="12736" spans="1:1" x14ac:dyDescent="0.3">
      <c r="A12736" s="20"/>
    </row>
    <row r="12737" spans="1:1" x14ac:dyDescent="0.3">
      <c r="A12737" s="20"/>
    </row>
    <row r="12738" spans="1:1" x14ac:dyDescent="0.3">
      <c r="A12738" s="20"/>
    </row>
    <row r="12739" spans="1:1" x14ac:dyDescent="0.3">
      <c r="A12739" s="20"/>
    </row>
    <row r="12740" spans="1:1" x14ac:dyDescent="0.3">
      <c r="A12740" s="20"/>
    </row>
    <row r="12741" spans="1:1" x14ac:dyDescent="0.3">
      <c r="A12741" s="20"/>
    </row>
    <row r="12742" spans="1:1" x14ac:dyDescent="0.3">
      <c r="A12742" s="20"/>
    </row>
    <row r="12743" spans="1:1" x14ac:dyDescent="0.3">
      <c r="A12743" s="20"/>
    </row>
    <row r="12744" spans="1:1" x14ac:dyDescent="0.3">
      <c r="A12744" s="20"/>
    </row>
    <row r="12745" spans="1:1" x14ac:dyDescent="0.3">
      <c r="A12745" s="20"/>
    </row>
    <row r="12746" spans="1:1" x14ac:dyDescent="0.3">
      <c r="A12746" s="20"/>
    </row>
    <row r="12747" spans="1:1" x14ac:dyDescent="0.3">
      <c r="A12747" s="20"/>
    </row>
    <row r="12748" spans="1:1" x14ac:dyDescent="0.3">
      <c r="A12748" s="20"/>
    </row>
    <row r="12749" spans="1:1" x14ac:dyDescent="0.3">
      <c r="A12749" s="20"/>
    </row>
    <row r="12750" spans="1:1" x14ac:dyDescent="0.3">
      <c r="A12750" s="20"/>
    </row>
    <row r="12751" spans="1:1" x14ac:dyDescent="0.3">
      <c r="A12751" s="20"/>
    </row>
    <row r="12752" spans="1:1" x14ac:dyDescent="0.3">
      <c r="A12752" s="20"/>
    </row>
    <row r="12753" spans="1:1" x14ac:dyDescent="0.3">
      <c r="A12753" s="20"/>
    </row>
    <row r="12754" spans="1:1" x14ac:dyDescent="0.3">
      <c r="A12754" s="20"/>
    </row>
    <row r="12755" spans="1:1" x14ac:dyDescent="0.3">
      <c r="A12755" s="20"/>
    </row>
    <row r="12756" spans="1:1" x14ac:dyDescent="0.3">
      <c r="A12756" s="20"/>
    </row>
    <row r="12757" spans="1:1" x14ac:dyDescent="0.3">
      <c r="A12757" s="20"/>
    </row>
    <row r="12758" spans="1:1" x14ac:dyDescent="0.3">
      <c r="A12758" s="20"/>
    </row>
    <row r="12759" spans="1:1" x14ac:dyDescent="0.3">
      <c r="A12759" s="20"/>
    </row>
    <row r="12760" spans="1:1" x14ac:dyDescent="0.3">
      <c r="A12760" s="20"/>
    </row>
    <row r="12761" spans="1:1" x14ac:dyDescent="0.3">
      <c r="A12761" s="20"/>
    </row>
    <row r="12762" spans="1:1" x14ac:dyDescent="0.3">
      <c r="A12762" s="20"/>
    </row>
    <row r="12763" spans="1:1" x14ac:dyDescent="0.3">
      <c r="A12763" s="20"/>
    </row>
    <row r="12764" spans="1:1" x14ac:dyDescent="0.3">
      <c r="A12764" s="20"/>
    </row>
    <row r="12765" spans="1:1" x14ac:dyDescent="0.3">
      <c r="A12765" s="20"/>
    </row>
    <row r="12766" spans="1:1" x14ac:dyDescent="0.3">
      <c r="A12766" s="20"/>
    </row>
    <row r="12767" spans="1:1" x14ac:dyDescent="0.3">
      <c r="A12767" s="20"/>
    </row>
    <row r="12768" spans="1:1" x14ac:dyDescent="0.3">
      <c r="A12768" s="20"/>
    </row>
    <row r="12769" spans="1:1" x14ac:dyDescent="0.3">
      <c r="A12769" s="20"/>
    </row>
    <row r="12770" spans="1:1" x14ac:dyDescent="0.3">
      <c r="A12770" s="20"/>
    </row>
    <row r="12771" spans="1:1" x14ac:dyDescent="0.3">
      <c r="A12771" s="20"/>
    </row>
    <row r="12772" spans="1:1" x14ac:dyDescent="0.3">
      <c r="A12772" s="20"/>
    </row>
    <row r="12773" spans="1:1" x14ac:dyDescent="0.3">
      <c r="A12773" s="20"/>
    </row>
    <row r="12774" spans="1:1" x14ac:dyDescent="0.3">
      <c r="A12774" s="20"/>
    </row>
    <row r="12775" spans="1:1" x14ac:dyDescent="0.3">
      <c r="A12775" s="20"/>
    </row>
    <row r="12776" spans="1:1" x14ac:dyDescent="0.3">
      <c r="A12776" s="20"/>
    </row>
    <row r="12777" spans="1:1" x14ac:dyDescent="0.3">
      <c r="A12777" s="20"/>
    </row>
    <row r="12778" spans="1:1" x14ac:dyDescent="0.3">
      <c r="A12778" s="20"/>
    </row>
    <row r="12779" spans="1:1" x14ac:dyDescent="0.3">
      <c r="A12779" s="20"/>
    </row>
    <row r="12780" spans="1:1" x14ac:dyDescent="0.3">
      <c r="A12780" s="20"/>
    </row>
    <row r="12781" spans="1:1" x14ac:dyDescent="0.3">
      <c r="A12781" s="20"/>
    </row>
    <row r="12782" spans="1:1" x14ac:dyDescent="0.3">
      <c r="A12782" s="20"/>
    </row>
    <row r="12783" spans="1:1" x14ac:dyDescent="0.3">
      <c r="A12783" s="20"/>
    </row>
    <row r="12784" spans="1:1" x14ac:dyDescent="0.3">
      <c r="A12784" s="20"/>
    </row>
    <row r="12785" spans="1:1" x14ac:dyDescent="0.3">
      <c r="A12785" s="20"/>
    </row>
    <row r="12786" spans="1:1" x14ac:dyDescent="0.3">
      <c r="A12786" s="20"/>
    </row>
    <row r="12787" spans="1:1" x14ac:dyDescent="0.3">
      <c r="A12787" s="20"/>
    </row>
    <row r="12788" spans="1:1" x14ac:dyDescent="0.3">
      <c r="A12788" s="20"/>
    </row>
    <row r="12789" spans="1:1" x14ac:dyDescent="0.3">
      <c r="A12789" s="20"/>
    </row>
    <row r="12790" spans="1:1" x14ac:dyDescent="0.3">
      <c r="A12790" s="20"/>
    </row>
    <row r="12791" spans="1:1" x14ac:dyDescent="0.3">
      <c r="A12791" s="20"/>
    </row>
    <row r="12792" spans="1:1" x14ac:dyDescent="0.3">
      <c r="A12792" s="20"/>
    </row>
    <row r="12793" spans="1:1" x14ac:dyDescent="0.3">
      <c r="A12793" s="20"/>
    </row>
    <row r="12794" spans="1:1" x14ac:dyDescent="0.3">
      <c r="A12794" s="20"/>
    </row>
    <row r="12795" spans="1:1" x14ac:dyDescent="0.3">
      <c r="A12795" s="20"/>
    </row>
    <row r="12796" spans="1:1" x14ac:dyDescent="0.3">
      <c r="A12796" s="20"/>
    </row>
    <row r="12797" spans="1:1" x14ac:dyDescent="0.3">
      <c r="A12797" s="20"/>
    </row>
    <row r="12798" spans="1:1" x14ac:dyDescent="0.3">
      <c r="A12798" s="20"/>
    </row>
    <row r="12799" spans="1:1" x14ac:dyDescent="0.3">
      <c r="A12799" s="20"/>
    </row>
    <row r="12800" spans="1:1" x14ac:dyDescent="0.3">
      <c r="A12800" s="20"/>
    </row>
    <row r="12801" spans="1:1" x14ac:dyDescent="0.3">
      <c r="A12801" s="20"/>
    </row>
    <row r="12802" spans="1:1" x14ac:dyDescent="0.3">
      <c r="A12802" s="20"/>
    </row>
    <row r="12803" spans="1:1" x14ac:dyDescent="0.3">
      <c r="A12803" s="20"/>
    </row>
    <row r="12804" spans="1:1" x14ac:dyDescent="0.3">
      <c r="A12804" s="20"/>
    </row>
    <row r="12805" spans="1:1" x14ac:dyDescent="0.3">
      <c r="A12805" s="20"/>
    </row>
    <row r="12806" spans="1:1" x14ac:dyDescent="0.3">
      <c r="A12806" s="20"/>
    </row>
    <row r="12807" spans="1:1" x14ac:dyDescent="0.3">
      <c r="A12807" s="20"/>
    </row>
    <row r="12808" spans="1:1" x14ac:dyDescent="0.3">
      <c r="A12808" s="20"/>
    </row>
    <row r="12809" spans="1:1" x14ac:dyDescent="0.3">
      <c r="A12809" s="20"/>
    </row>
    <row r="12810" spans="1:1" x14ac:dyDescent="0.3">
      <c r="A12810" s="20"/>
    </row>
    <row r="12811" spans="1:1" x14ac:dyDescent="0.3">
      <c r="A12811" s="20"/>
    </row>
    <row r="12812" spans="1:1" x14ac:dyDescent="0.3">
      <c r="A12812" s="20"/>
    </row>
    <row r="12813" spans="1:1" x14ac:dyDescent="0.3">
      <c r="A12813" s="20"/>
    </row>
    <row r="12814" spans="1:1" x14ac:dyDescent="0.3">
      <c r="A12814" s="20"/>
    </row>
    <row r="12815" spans="1:1" x14ac:dyDescent="0.3">
      <c r="A12815" s="20"/>
    </row>
    <row r="12816" spans="1:1" x14ac:dyDescent="0.3">
      <c r="A12816" s="20"/>
    </row>
    <row r="12817" spans="1:1" x14ac:dyDescent="0.3">
      <c r="A12817" s="20"/>
    </row>
    <row r="12818" spans="1:1" x14ac:dyDescent="0.3">
      <c r="A12818" s="20"/>
    </row>
    <row r="12819" spans="1:1" x14ac:dyDescent="0.3">
      <c r="A12819" s="20"/>
    </row>
    <row r="12820" spans="1:1" x14ac:dyDescent="0.3">
      <c r="A12820" s="20"/>
    </row>
    <row r="12821" spans="1:1" x14ac:dyDescent="0.3">
      <c r="A12821" s="20"/>
    </row>
    <row r="12822" spans="1:1" x14ac:dyDescent="0.3">
      <c r="A12822" s="20"/>
    </row>
    <row r="12823" spans="1:1" x14ac:dyDescent="0.3">
      <c r="A12823" s="20"/>
    </row>
    <row r="12824" spans="1:1" x14ac:dyDescent="0.3">
      <c r="A12824" s="20"/>
    </row>
    <row r="12825" spans="1:1" x14ac:dyDescent="0.3">
      <c r="A12825" s="20"/>
    </row>
    <row r="12826" spans="1:1" x14ac:dyDescent="0.3">
      <c r="A12826" s="20"/>
    </row>
    <row r="12827" spans="1:1" x14ac:dyDescent="0.3">
      <c r="A12827" s="20"/>
    </row>
    <row r="12828" spans="1:1" x14ac:dyDescent="0.3">
      <c r="A12828" s="20"/>
    </row>
    <row r="12829" spans="1:1" x14ac:dyDescent="0.3">
      <c r="A12829" s="20"/>
    </row>
    <row r="12830" spans="1:1" x14ac:dyDescent="0.3">
      <c r="A12830" s="20"/>
    </row>
    <row r="12831" spans="1:1" x14ac:dyDescent="0.3">
      <c r="A12831" s="20"/>
    </row>
    <row r="12832" spans="1:1" x14ac:dyDescent="0.3">
      <c r="A12832" s="20"/>
    </row>
    <row r="12833" spans="1:1" x14ac:dyDescent="0.3">
      <c r="A12833" s="20"/>
    </row>
    <row r="12834" spans="1:1" x14ac:dyDescent="0.3">
      <c r="A12834" s="20"/>
    </row>
    <row r="12835" spans="1:1" x14ac:dyDescent="0.3">
      <c r="A12835" s="20"/>
    </row>
    <row r="12836" spans="1:1" x14ac:dyDescent="0.3">
      <c r="A12836" s="20"/>
    </row>
    <row r="12837" spans="1:1" x14ac:dyDescent="0.3">
      <c r="A12837" s="20"/>
    </row>
    <row r="12838" spans="1:1" x14ac:dyDescent="0.3">
      <c r="A12838" s="20"/>
    </row>
    <row r="12839" spans="1:1" x14ac:dyDescent="0.3">
      <c r="A12839" s="20"/>
    </row>
    <row r="12840" spans="1:1" x14ac:dyDescent="0.3">
      <c r="A12840" s="20"/>
    </row>
    <row r="12841" spans="1:1" x14ac:dyDescent="0.3">
      <c r="A12841" s="20"/>
    </row>
    <row r="12842" spans="1:1" x14ac:dyDescent="0.3">
      <c r="A12842" s="20"/>
    </row>
    <row r="12843" spans="1:1" x14ac:dyDescent="0.3">
      <c r="A12843" s="20"/>
    </row>
    <row r="12844" spans="1:1" x14ac:dyDescent="0.3">
      <c r="A12844" s="20"/>
    </row>
    <row r="12845" spans="1:1" x14ac:dyDescent="0.3">
      <c r="A12845" s="20"/>
    </row>
    <row r="12846" spans="1:1" x14ac:dyDescent="0.3">
      <c r="A12846" s="20"/>
    </row>
    <row r="12847" spans="1:1" x14ac:dyDescent="0.3">
      <c r="A12847" s="20"/>
    </row>
    <row r="12848" spans="1:1" x14ac:dyDescent="0.3">
      <c r="A12848" s="20"/>
    </row>
    <row r="12849" spans="1:1" x14ac:dyDescent="0.3">
      <c r="A12849" s="20"/>
    </row>
    <row r="12850" spans="1:1" x14ac:dyDescent="0.3">
      <c r="A12850" s="20"/>
    </row>
    <row r="12851" spans="1:1" x14ac:dyDescent="0.3">
      <c r="A12851" s="20"/>
    </row>
    <row r="12852" spans="1:1" x14ac:dyDescent="0.3">
      <c r="A12852" s="20"/>
    </row>
    <row r="12853" spans="1:1" x14ac:dyDescent="0.3">
      <c r="A12853" s="20"/>
    </row>
    <row r="12854" spans="1:1" x14ac:dyDescent="0.3">
      <c r="A12854" s="20"/>
    </row>
    <row r="12855" spans="1:1" x14ac:dyDescent="0.3">
      <c r="A12855" s="20"/>
    </row>
    <row r="12856" spans="1:1" x14ac:dyDescent="0.3">
      <c r="A12856" s="20"/>
    </row>
    <row r="12857" spans="1:1" x14ac:dyDescent="0.3">
      <c r="A12857" s="20"/>
    </row>
    <row r="12858" spans="1:1" x14ac:dyDescent="0.3">
      <c r="A12858" s="20"/>
    </row>
    <row r="12859" spans="1:1" x14ac:dyDescent="0.3">
      <c r="A12859" s="20"/>
    </row>
    <row r="12860" spans="1:1" x14ac:dyDescent="0.3">
      <c r="A12860" s="20"/>
    </row>
    <row r="12861" spans="1:1" x14ac:dyDescent="0.3">
      <c r="A12861" s="20"/>
    </row>
    <row r="12862" spans="1:1" x14ac:dyDescent="0.3">
      <c r="A12862" s="20"/>
    </row>
    <row r="12863" spans="1:1" x14ac:dyDescent="0.3">
      <c r="A12863" s="20"/>
    </row>
    <row r="12864" spans="1:1" x14ac:dyDescent="0.3">
      <c r="A12864" s="20"/>
    </row>
    <row r="12865" spans="1:1" x14ac:dyDescent="0.3">
      <c r="A12865" s="20"/>
    </row>
    <row r="12866" spans="1:1" x14ac:dyDescent="0.3">
      <c r="A12866" s="20"/>
    </row>
    <row r="12867" spans="1:1" x14ac:dyDescent="0.3">
      <c r="A12867" s="20"/>
    </row>
    <row r="12868" spans="1:1" x14ac:dyDescent="0.3">
      <c r="A12868" s="20"/>
    </row>
    <row r="12869" spans="1:1" x14ac:dyDescent="0.3">
      <c r="A12869" s="20"/>
    </row>
    <row r="12870" spans="1:1" x14ac:dyDescent="0.3">
      <c r="A12870" s="20"/>
    </row>
    <row r="12871" spans="1:1" x14ac:dyDescent="0.3">
      <c r="A12871" s="20"/>
    </row>
    <row r="12872" spans="1:1" x14ac:dyDescent="0.3">
      <c r="A12872" s="20"/>
    </row>
    <row r="12873" spans="1:1" x14ac:dyDescent="0.3">
      <c r="A12873" s="20"/>
    </row>
    <row r="12874" spans="1:1" x14ac:dyDescent="0.3">
      <c r="A12874" s="20"/>
    </row>
    <row r="12875" spans="1:1" x14ac:dyDescent="0.3">
      <c r="A12875" s="20"/>
    </row>
    <row r="12876" spans="1:1" x14ac:dyDescent="0.3">
      <c r="A12876" s="20"/>
    </row>
    <row r="12877" spans="1:1" x14ac:dyDescent="0.3">
      <c r="A12877" s="20"/>
    </row>
    <row r="12878" spans="1:1" x14ac:dyDescent="0.3">
      <c r="A12878" s="20"/>
    </row>
    <row r="12879" spans="1:1" x14ac:dyDescent="0.3">
      <c r="A12879" s="20"/>
    </row>
    <row r="12880" spans="1:1" x14ac:dyDescent="0.3">
      <c r="A12880" s="20"/>
    </row>
    <row r="12881" spans="1:1" x14ac:dyDescent="0.3">
      <c r="A12881" s="20"/>
    </row>
    <row r="12882" spans="1:1" x14ac:dyDescent="0.3">
      <c r="A12882" s="20"/>
    </row>
    <row r="12883" spans="1:1" x14ac:dyDescent="0.3">
      <c r="A12883" s="20"/>
    </row>
    <row r="12884" spans="1:1" x14ac:dyDescent="0.3">
      <c r="A12884" s="20"/>
    </row>
    <row r="12885" spans="1:1" x14ac:dyDescent="0.3">
      <c r="A12885" s="20"/>
    </row>
    <row r="12886" spans="1:1" x14ac:dyDescent="0.3">
      <c r="A12886" s="20"/>
    </row>
    <row r="12887" spans="1:1" x14ac:dyDescent="0.3">
      <c r="A12887" s="20"/>
    </row>
    <row r="12888" spans="1:1" x14ac:dyDescent="0.3">
      <c r="A12888" s="20"/>
    </row>
    <row r="12889" spans="1:1" x14ac:dyDescent="0.3">
      <c r="A12889" s="20"/>
    </row>
    <row r="12890" spans="1:1" x14ac:dyDescent="0.3">
      <c r="A12890" s="20"/>
    </row>
    <row r="12891" spans="1:1" x14ac:dyDescent="0.3">
      <c r="A12891" s="20"/>
    </row>
    <row r="12892" spans="1:1" x14ac:dyDescent="0.3">
      <c r="A12892" s="20"/>
    </row>
    <row r="12893" spans="1:1" x14ac:dyDescent="0.3">
      <c r="A12893" s="20"/>
    </row>
    <row r="12894" spans="1:1" x14ac:dyDescent="0.3">
      <c r="A12894" s="20"/>
    </row>
    <row r="12895" spans="1:1" x14ac:dyDescent="0.3">
      <c r="A12895" s="20"/>
    </row>
    <row r="12896" spans="1:1" x14ac:dyDescent="0.3">
      <c r="A12896" s="20"/>
    </row>
    <row r="12897" spans="1:1" x14ac:dyDescent="0.3">
      <c r="A12897" s="20"/>
    </row>
    <row r="12898" spans="1:1" x14ac:dyDescent="0.3">
      <c r="A12898" s="20"/>
    </row>
    <row r="12899" spans="1:1" x14ac:dyDescent="0.3">
      <c r="A12899" s="20"/>
    </row>
    <row r="12900" spans="1:1" x14ac:dyDescent="0.3">
      <c r="A12900" s="20"/>
    </row>
    <row r="12901" spans="1:1" x14ac:dyDescent="0.3">
      <c r="A12901" s="20"/>
    </row>
    <row r="12902" spans="1:1" x14ac:dyDescent="0.3">
      <c r="A12902" s="20"/>
    </row>
    <row r="12903" spans="1:1" x14ac:dyDescent="0.3">
      <c r="A12903" s="20"/>
    </row>
    <row r="12904" spans="1:1" x14ac:dyDescent="0.3">
      <c r="A12904" s="20"/>
    </row>
    <row r="12905" spans="1:1" x14ac:dyDescent="0.3">
      <c r="A12905" s="20"/>
    </row>
    <row r="12906" spans="1:1" x14ac:dyDescent="0.3">
      <c r="A12906" s="20"/>
    </row>
    <row r="12907" spans="1:1" x14ac:dyDescent="0.3">
      <c r="A12907" s="20"/>
    </row>
    <row r="12908" spans="1:1" x14ac:dyDescent="0.3">
      <c r="A12908" s="20"/>
    </row>
    <row r="12909" spans="1:1" x14ac:dyDescent="0.3">
      <c r="A12909" s="20"/>
    </row>
    <row r="12910" spans="1:1" x14ac:dyDescent="0.3">
      <c r="A12910" s="20"/>
    </row>
    <row r="12911" spans="1:1" x14ac:dyDescent="0.3">
      <c r="A12911" s="20"/>
    </row>
    <row r="12912" spans="1:1" x14ac:dyDescent="0.3">
      <c r="A12912" s="20"/>
    </row>
    <row r="12913" spans="1:1" x14ac:dyDescent="0.3">
      <c r="A12913" s="20"/>
    </row>
    <row r="12914" spans="1:1" x14ac:dyDescent="0.3">
      <c r="A12914" s="20"/>
    </row>
    <row r="12915" spans="1:1" x14ac:dyDescent="0.3">
      <c r="A12915" s="20"/>
    </row>
    <row r="12916" spans="1:1" x14ac:dyDescent="0.3">
      <c r="A12916" s="20"/>
    </row>
    <row r="12917" spans="1:1" x14ac:dyDescent="0.3">
      <c r="A12917" s="20"/>
    </row>
    <row r="12918" spans="1:1" x14ac:dyDescent="0.3">
      <c r="A12918" s="20"/>
    </row>
    <row r="12919" spans="1:1" x14ac:dyDescent="0.3">
      <c r="A12919" s="20"/>
    </row>
    <row r="12920" spans="1:1" x14ac:dyDescent="0.3">
      <c r="A12920" s="20"/>
    </row>
    <row r="12921" spans="1:1" x14ac:dyDescent="0.3">
      <c r="A12921" s="20"/>
    </row>
    <row r="12922" spans="1:1" x14ac:dyDescent="0.3">
      <c r="A12922" s="20"/>
    </row>
    <row r="12923" spans="1:1" x14ac:dyDescent="0.3">
      <c r="A12923" s="20"/>
    </row>
    <row r="12924" spans="1:1" x14ac:dyDescent="0.3">
      <c r="A12924" s="20"/>
    </row>
    <row r="12925" spans="1:1" x14ac:dyDescent="0.3">
      <c r="A12925" s="20"/>
    </row>
    <row r="12926" spans="1:1" x14ac:dyDescent="0.3">
      <c r="A12926" s="20"/>
    </row>
    <row r="12927" spans="1:1" x14ac:dyDescent="0.3">
      <c r="A12927" s="20"/>
    </row>
    <row r="12928" spans="1:1" x14ac:dyDescent="0.3">
      <c r="A12928" s="20"/>
    </row>
    <row r="12929" spans="1:1" x14ac:dyDescent="0.3">
      <c r="A12929" s="20"/>
    </row>
    <row r="12930" spans="1:1" x14ac:dyDescent="0.3">
      <c r="A12930" s="20"/>
    </row>
    <row r="12931" spans="1:1" x14ac:dyDescent="0.3">
      <c r="A12931" s="20"/>
    </row>
    <row r="12932" spans="1:1" x14ac:dyDescent="0.3">
      <c r="A12932" s="20"/>
    </row>
    <row r="12933" spans="1:1" x14ac:dyDescent="0.3">
      <c r="A12933" s="20"/>
    </row>
    <row r="12934" spans="1:1" x14ac:dyDescent="0.3">
      <c r="A12934" s="20"/>
    </row>
    <row r="12935" spans="1:1" x14ac:dyDescent="0.3">
      <c r="A12935" s="20"/>
    </row>
    <row r="12936" spans="1:1" x14ac:dyDescent="0.3">
      <c r="A12936" s="20"/>
    </row>
    <row r="12937" spans="1:1" x14ac:dyDescent="0.3">
      <c r="A12937" s="20"/>
    </row>
    <row r="12938" spans="1:1" x14ac:dyDescent="0.3">
      <c r="A12938" s="20"/>
    </row>
    <row r="12939" spans="1:1" x14ac:dyDescent="0.3">
      <c r="A12939" s="20"/>
    </row>
    <row r="12940" spans="1:1" x14ac:dyDescent="0.3">
      <c r="A12940" s="20"/>
    </row>
    <row r="12941" spans="1:1" x14ac:dyDescent="0.3">
      <c r="A12941" s="20"/>
    </row>
    <row r="12942" spans="1:1" x14ac:dyDescent="0.3">
      <c r="A12942" s="20"/>
    </row>
    <row r="12943" spans="1:1" x14ac:dyDescent="0.3">
      <c r="A12943" s="20"/>
    </row>
    <row r="12944" spans="1:1" x14ac:dyDescent="0.3">
      <c r="A12944" s="20"/>
    </row>
    <row r="12945" spans="1:1" x14ac:dyDescent="0.3">
      <c r="A12945" s="20"/>
    </row>
    <row r="12946" spans="1:1" x14ac:dyDescent="0.3">
      <c r="A12946" s="20"/>
    </row>
    <row r="12947" spans="1:1" x14ac:dyDescent="0.3">
      <c r="A12947" s="20"/>
    </row>
    <row r="12948" spans="1:1" x14ac:dyDescent="0.3">
      <c r="A12948" s="20"/>
    </row>
    <row r="12949" spans="1:1" x14ac:dyDescent="0.3">
      <c r="A12949" s="20"/>
    </row>
    <row r="12950" spans="1:1" x14ac:dyDescent="0.3">
      <c r="A12950" s="20"/>
    </row>
    <row r="12951" spans="1:1" x14ac:dyDescent="0.3">
      <c r="A12951" s="20"/>
    </row>
    <row r="12952" spans="1:1" x14ac:dyDescent="0.3">
      <c r="A12952" s="20"/>
    </row>
    <row r="12953" spans="1:1" x14ac:dyDescent="0.3">
      <c r="A12953" s="20"/>
    </row>
    <row r="12954" spans="1:1" x14ac:dyDescent="0.3">
      <c r="A12954" s="20"/>
    </row>
    <row r="12955" spans="1:1" x14ac:dyDescent="0.3">
      <c r="A12955" s="20"/>
    </row>
    <row r="12956" spans="1:1" x14ac:dyDescent="0.3">
      <c r="A12956" s="20"/>
    </row>
    <row r="12957" spans="1:1" x14ac:dyDescent="0.3">
      <c r="A12957" s="20"/>
    </row>
    <row r="12958" spans="1:1" x14ac:dyDescent="0.3">
      <c r="A12958" s="20"/>
    </row>
    <row r="12959" spans="1:1" x14ac:dyDescent="0.3">
      <c r="A12959" s="20"/>
    </row>
    <row r="12960" spans="1:1" x14ac:dyDescent="0.3">
      <c r="A12960" s="20"/>
    </row>
    <row r="12961" spans="1:1" x14ac:dyDescent="0.3">
      <c r="A12961" s="20"/>
    </row>
    <row r="12962" spans="1:1" x14ac:dyDescent="0.3">
      <c r="A12962" s="20"/>
    </row>
    <row r="12963" spans="1:1" x14ac:dyDescent="0.3">
      <c r="A12963" s="20"/>
    </row>
    <row r="12964" spans="1:1" x14ac:dyDescent="0.3">
      <c r="A12964" s="20"/>
    </row>
    <row r="12965" spans="1:1" x14ac:dyDescent="0.3">
      <c r="A12965" s="20"/>
    </row>
    <row r="12966" spans="1:1" x14ac:dyDescent="0.3">
      <c r="A12966" s="20"/>
    </row>
    <row r="12967" spans="1:1" x14ac:dyDescent="0.3">
      <c r="A12967" s="20"/>
    </row>
    <row r="12968" spans="1:1" x14ac:dyDescent="0.3">
      <c r="A12968" s="20"/>
    </row>
    <row r="12969" spans="1:1" x14ac:dyDescent="0.3">
      <c r="A12969" s="20"/>
    </row>
    <row r="12970" spans="1:1" x14ac:dyDescent="0.3">
      <c r="A12970" s="20"/>
    </row>
    <row r="12971" spans="1:1" x14ac:dyDescent="0.3">
      <c r="A12971" s="20"/>
    </row>
    <row r="12972" spans="1:1" x14ac:dyDescent="0.3">
      <c r="A12972" s="20"/>
    </row>
    <row r="12973" spans="1:1" x14ac:dyDescent="0.3">
      <c r="A12973" s="20"/>
    </row>
    <row r="12974" spans="1:1" x14ac:dyDescent="0.3">
      <c r="A12974" s="20"/>
    </row>
    <row r="12975" spans="1:1" x14ac:dyDescent="0.3">
      <c r="A12975" s="20"/>
    </row>
    <row r="12976" spans="1:1" x14ac:dyDescent="0.3">
      <c r="A12976" s="20"/>
    </row>
    <row r="12977" spans="1:1" x14ac:dyDescent="0.3">
      <c r="A12977" s="20"/>
    </row>
    <row r="12978" spans="1:1" x14ac:dyDescent="0.3">
      <c r="A12978" s="20"/>
    </row>
    <row r="12979" spans="1:1" x14ac:dyDescent="0.3">
      <c r="A12979" s="20"/>
    </row>
    <row r="12980" spans="1:1" x14ac:dyDescent="0.3">
      <c r="A12980" s="20"/>
    </row>
    <row r="12981" spans="1:1" x14ac:dyDescent="0.3">
      <c r="A12981" s="20"/>
    </row>
    <row r="12982" spans="1:1" x14ac:dyDescent="0.3">
      <c r="A12982" s="20"/>
    </row>
    <row r="12983" spans="1:1" x14ac:dyDescent="0.3">
      <c r="A12983" s="20"/>
    </row>
    <row r="12984" spans="1:1" x14ac:dyDescent="0.3">
      <c r="A12984" s="20"/>
    </row>
    <row r="12985" spans="1:1" x14ac:dyDescent="0.3">
      <c r="A12985" s="20"/>
    </row>
    <row r="12986" spans="1:1" x14ac:dyDescent="0.3">
      <c r="A12986" s="20"/>
    </row>
    <row r="12987" spans="1:1" x14ac:dyDescent="0.3">
      <c r="A12987" s="20"/>
    </row>
    <row r="12988" spans="1:1" x14ac:dyDescent="0.3">
      <c r="A12988" s="20"/>
    </row>
    <row r="12989" spans="1:1" x14ac:dyDescent="0.3">
      <c r="A12989" s="20"/>
    </row>
    <row r="12990" spans="1:1" x14ac:dyDescent="0.3">
      <c r="A12990" s="20"/>
    </row>
    <row r="12991" spans="1:1" x14ac:dyDescent="0.3">
      <c r="A12991" s="20"/>
    </row>
    <row r="12992" spans="1:1" x14ac:dyDescent="0.3">
      <c r="A12992" s="20"/>
    </row>
    <row r="12993" spans="1:1" x14ac:dyDescent="0.3">
      <c r="A12993" s="20"/>
    </row>
    <row r="12994" spans="1:1" x14ac:dyDescent="0.3">
      <c r="A12994" s="20"/>
    </row>
    <row r="12995" spans="1:1" x14ac:dyDescent="0.3">
      <c r="A12995" s="20"/>
    </row>
    <row r="12996" spans="1:1" x14ac:dyDescent="0.3">
      <c r="A12996" s="20"/>
    </row>
    <row r="12997" spans="1:1" x14ac:dyDescent="0.3">
      <c r="A12997" s="20"/>
    </row>
    <row r="12998" spans="1:1" x14ac:dyDescent="0.3">
      <c r="A12998" s="20"/>
    </row>
    <row r="12999" spans="1:1" x14ac:dyDescent="0.3">
      <c r="A12999" s="20"/>
    </row>
    <row r="13000" spans="1:1" x14ac:dyDescent="0.3">
      <c r="A13000" s="20"/>
    </row>
    <row r="13001" spans="1:1" x14ac:dyDescent="0.3">
      <c r="A13001" s="20"/>
    </row>
    <row r="13002" spans="1:1" x14ac:dyDescent="0.3">
      <c r="A13002" s="20"/>
    </row>
    <row r="13003" spans="1:1" x14ac:dyDescent="0.3">
      <c r="A13003" s="20"/>
    </row>
    <row r="13004" spans="1:1" x14ac:dyDescent="0.3">
      <c r="A13004" s="20"/>
    </row>
    <row r="13005" spans="1:1" x14ac:dyDescent="0.3">
      <c r="A13005" s="20"/>
    </row>
    <row r="13006" spans="1:1" x14ac:dyDescent="0.3">
      <c r="A13006" s="20"/>
    </row>
    <row r="13007" spans="1:1" x14ac:dyDescent="0.3">
      <c r="A13007" s="20"/>
    </row>
    <row r="13008" spans="1:1" x14ac:dyDescent="0.3">
      <c r="A13008" s="20"/>
    </row>
    <row r="13009" spans="1:1" x14ac:dyDescent="0.3">
      <c r="A13009" s="20"/>
    </row>
    <row r="13010" spans="1:1" x14ac:dyDescent="0.3">
      <c r="A13010" s="20"/>
    </row>
    <row r="13011" spans="1:1" x14ac:dyDescent="0.3">
      <c r="A13011" s="20"/>
    </row>
    <row r="13012" spans="1:1" x14ac:dyDescent="0.3">
      <c r="A13012" s="20"/>
    </row>
    <row r="13013" spans="1:1" x14ac:dyDescent="0.3">
      <c r="A13013" s="20"/>
    </row>
    <row r="13014" spans="1:1" x14ac:dyDescent="0.3">
      <c r="A13014" s="20"/>
    </row>
    <row r="13015" spans="1:1" x14ac:dyDescent="0.3">
      <c r="A13015" s="20"/>
    </row>
    <row r="13016" spans="1:1" x14ac:dyDescent="0.3">
      <c r="A13016" s="20"/>
    </row>
    <row r="13017" spans="1:1" x14ac:dyDescent="0.3">
      <c r="A13017" s="20"/>
    </row>
    <row r="13018" spans="1:1" x14ac:dyDescent="0.3">
      <c r="A13018" s="20"/>
    </row>
    <row r="13019" spans="1:1" x14ac:dyDescent="0.3">
      <c r="A13019" s="20"/>
    </row>
    <row r="13020" spans="1:1" x14ac:dyDescent="0.3">
      <c r="A13020" s="20"/>
    </row>
    <row r="13021" spans="1:1" x14ac:dyDescent="0.3">
      <c r="A13021" s="20"/>
    </row>
    <row r="13022" spans="1:1" x14ac:dyDescent="0.3">
      <c r="A13022" s="20"/>
    </row>
    <row r="13023" spans="1:1" x14ac:dyDescent="0.3">
      <c r="A13023" s="20"/>
    </row>
    <row r="13024" spans="1:1" x14ac:dyDescent="0.3">
      <c r="A13024" s="20"/>
    </row>
    <row r="13025" spans="1:1" x14ac:dyDescent="0.3">
      <c r="A13025" s="20"/>
    </row>
    <row r="13026" spans="1:1" x14ac:dyDescent="0.3">
      <c r="A13026" s="20"/>
    </row>
    <row r="13027" spans="1:1" x14ac:dyDescent="0.3">
      <c r="A13027" s="20"/>
    </row>
    <row r="13028" spans="1:1" x14ac:dyDescent="0.3">
      <c r="A13028" s="20"/>
    </row>
    <row r="13029" spans="1:1" x14ac:dyDescent="0.3">
      <c r="A13029" s="20"/>
    </row>
    <row r="13030" spans="1:1" x14ac:dyDescent="0.3">
      <c r="A13030" s="20"/>
    </row>
    <row r="13031" spans="1:1" x14ac:dyDescent="0.3">
      <c r="A13031" s="20"/>
    </row>
    <row r="13032" spans="1:1" x14ac:dyDescent="0.3">
      <c r="A13032" s="20"/>
    </row>
    <row r="13033" spans="1:1" x14ac:dyDescent="0.3">
      <c r="A13033" s="20"/>
    </row>
    <row r="13034" spans="1:1" x14ac:dyDescent="0.3">
      <c r="A13034" s="20"/>
    </row>
    <row r="13035" spans="1:1" x14ac:dyDescent="0.3">
      <c r="A13035" s="20"/>
    </row>
    <row r="13036" spans="1:1" x14ac:dyDescent="0.3">
      <c r="A13036" s="20"/>
    </row>
    <row r="13037" spans="1:1" x14ac:dyDescent="0.3">
      <c r="A13037" s="20"/>
    </row>
    <row r="13038" spans="1:1" x14ac:dyDescent="0.3">
      <c r="A13038" s="20"/>
    </row>
    <row r="13039" spans="1:1" x14ac:dyDescent="0.3">
      <c r="A13039" s="20"/>
    </row>
    <row r="13040" spans="1:1" x14ac:dyDescent="0.3">
      <c r="A13040" s="20"/>
    </row>
    <row r="13041" spans="1:1" x14ac:dyDescent="0.3">
      <c r="A13041" s="20"/>
    </row>
    <row r="13042" spans="1:1" x14ac:dyDescent="0.3">
      <c r="A13042" s="20"/>
    </row>
    <row r="13043" spans="1:1" x14ac:dyDescent="0.3">
      <c r="A13043" s="20"/>
    </row>
    <row r="13044" spans="1:1" x14ac:dyDescent="0.3">
      <c r="A13044" s="20"/>
    </row>
    <row r="13045" spans="1:1" x14ac:dyDescent="0.3">
      <c r="A13045" s="20"/>
    </row>
    <row r="13046" spans="1:1" x14ac:dyDescent="0.3">
      <c r="A13046" s="20"/>
    </row>
    <row r="13047" spans="1:1" x14ac:dyDescent="0.3">
      <c r="A13047" s="20"/>
    </row>
    <row r="13048" spans="1:1" x14ac:dyDescent="0.3">
      <c r="A13048" s="20"/>
    </row>
    <row r="13049" spans="1:1" x14ac:dyDescent="0.3">
      <c r="A13049" s="20"/>
    </row>
    <row r="13050" spans="1:1" x14ac:dyDescent="0.3">
      <c r="A13050" s="20"/>
    </row>
    <row r="13051" spans="1:1" x14ac:dyDescent="0.3">
      <c r="A13051" s="20"/>
    </row>
    <row r="13052" spans="1:1" x14ac:dyDescent="0.3">
      <c r="A13052" s="20"/>
    </row>
    <row r="13053" spans="1:1" x14ac:dyDescent="0.3">
      <c r="A13053" s="20"/>
    </row>
    <row r="13054" spans="1:1" x14ac:dyDescent="0.3">
      <c r="A13054" s="20"/>
    </row>
    <row r="13055" spans="1:1" x14ac:dyDescent="0.3">
      <c r="A13055" s="20"/>
    </row>
    <row r="13056" spans="1:1" x14ac:dyDescent="0.3">
      <c r="A13056" s="20"/>
    </row>
    <row r="13057" spans="1:1" x14ac:dyDescent="0.3">
      <c r="A13057" s="20"/>
    </row>
    <row r="13058" spans="1:1" x14ac:dyDescent="0.3">
      <c r="A13058" s="20"/>
    </row>
    <row r="13059" spans="1:1" x14ac:dyDescent="0.3">
      <c r="A13059" s="20"/>
    </row>
    <row r="13060" spans="1:1" x14ac:dyDescent="0.3">
      <c r="A13060" s="20"/>
    </row>
    <row r="13061" spans="1:1" x14ac:dyDescent="0.3">
      <c r="A13061" s="20"/>
    </row>
    <row r="13062" spans="1:1" x14ac:dyDescent="0.3">
      <c r="A13062" s="20"/>
    </row>
    <row r="13063" spans="1:1" x14ac:dyDescent="0.3">
      <c r="A13063" s="20"/>
    </row>
    <row r="13064" spans="1:1" x14ac:dyDescent="0.3">
      <c r="A13064" s="20"/>
    </row>
    <row r="13065" spans="1:1" x14ac:dyDescent="0.3">
      <c r="A13065" s="20"/>
    </row>
    <row r="13066" spans="1:1" x14ac:dyDescent="0.3">
      <c r="A13066" s="20"/>
    </row>
    <row r="13067" spans="1:1" x14ac:dyDescent="0.3">
      <c r="A13067" s="20"/>
    </row>
    <row r="13068" spans="1:1" x14ac:dyDescent="0.3">
      <c r="A13068" s="20"/>
    </row>
    <row r="13069" spans="1:1" x14ac:dyDescent="0.3">
      <c r="A13069" s="20"/>
    </row>
    <row r="13070" spans="1:1" x14ac:dyDescent="0.3">
      <c r="A13070" s="20"/>
    </row>
    <row r="13071" spans="1:1" x14ac:dyDescent="0.3">
      <c r="A13071" s="20"/>
    </row>
    <row r="13072" spans="1:1" x14ac:dyDescent="0.3">
      <c r="A13072" s="20"/>
    </row>
    <row r="13073" spans="1:1" x14ac:dyDescent="0.3">
      <c r="A13073" s="20"/>
    </row>
    <row r="13074" spans="1:1" x14ac:dyDescent="0.3">
      <c r="A13074" s="20"/>
    </row>
    <row r="13075" spans="1:1" x14ac:dyDescent="0.3">
      <c r="A13075" s="20"/>
    </row>
    <row r="13076" spans="1:1" x14ac:dyDescent="0.3">
      <c r="A13076" s="20"/>
    </row>
    <row r="13077" spans="1:1" x14ac:dyDescent="0.3">
      <c r="A13077" s="20"/>
    </row>
    <row r="13078" spans="1:1" x14ac:dyDescent="0.3">
      <c r="A13078" s="20"/>
    </row>
    <row r="13079" spans="1:1" x14ac:dyDescent="0.3">
      <c r="A13079" s="20"/>
    </row>
    <row r="13080" spans="1:1" x14ac:dyDescent="0.3">
      <c r="A13080" s="20"/>
    </row>
    <row r="13081" spans="1:1" x14ac:dyDescent="0.3">
      <c r="A13081" s="20"/>
    </row>
    <row r="13082" spans="1:1" x14ac:dyDescent="0.3">
      <c r="A13082" s="20"/>
    </row>
    <row r="13083" spans="1:1" x14ac:dyDescent="0.3">
      <c r="A13083" s="20"/>
    </row>
    <row r="13084" spans="1:1" x14ac:dyDescent="0.3">
      <c r="A13084" s="20"/>
    </row>
    <row r="13085" spans="1:1" x14ac:dyDescent="0.3">
      <c r="A13085" s="20"/>
    </row>
    <row r="13086" spans="1:1" x14ac:dyDescent="0.3">
      <c r="A13086" s="20"/>
    </row>
    <row r="13087" spans="1:1" x14ac:dyDescent="0.3">
      <c r="A13087" s="20"/>
    </row>
    <row r="13088" spans="1:1" x14ac:dyDescent="0.3">
      <c r="A13088" s="20"/>
    </row>
    <row r="13089" spans="1:1" x14ac:dyDescent="0.3">
      <c r="A13089" s="20"/>
    </row>
    <row r="13090" spans="1:1" x14ac:dyDescent="0.3">
      <c r="A13090" s="20"/>
    </row>
    <row r="13091" spans="1:1" x14ac:dyDescent="0.3">
      <c r="A13091" s="20"/>
    </row>
    <row r="13092" spans="1:1" x14ac:dyDescent="0.3">
      <c r="A13092" s="20"/>
    </row>
    <row r="13093" spans="1:1" x14ac:dyDescent="0.3">
      <c r="A13093" s="20"/>
    </row>
    <row r="13094" spans="1:1" x14ac:dyDescent="0.3">
      <c r="A13094" s="20"/>
    </row>
    <row r="13095" spans="1:1" x14ac:dyDescent="0.3">
      <c r="A13095" s="20"/>
    </row>
    <row r="13096" spans="1:1" x14ac:dyDescent="0.3">
      <c r="A13096" s="20"/>
    </row>
    <row r="13097" spans="1:1" x14ac:dyDescent="0.3">
      <c r="A13097" s="20"/>
    </row>
    <row r="13098" spans="1:1" x14ac:dyDescent="0.3">
      <c r="A13098" s="20"/>
    </row>
    <row r="13099" spans="1:1" x14ac:dyDescent="0.3">
      <c r="A13099" s="20"/>
    </row>
    <row r="13100" spans="1:1" x14ac:dyDescent="0.3">
      <c r="A13100" s="20"/>
    </row>
    <row r="13101" spans="1:1" x14ac:dyDescent="0.3">
      <c r="A13101" s="20"/>
    </row>
    <row r="13102" spans="1:1" x14ac:dyDescent="0.3">
      <c r="A13102" s="20"/>
    </row>
    <row r="13103" spans="1:1" x14ac:dyDescent="0.3">
      <c r="A13103" s="20"/>
    </row>
    <row r="13104" spans="1:1" x14ac:dyDescent="0.3">
      <c r="A13104" s="20"/>
    </row>
    <row r="13105" spans="1:1" x14ac:dyDescent="0.3">
      <c r="A13105" s="20"/>
    </row>
    <row r="13106" spans="1:1" x14ac:dyDescent="0.3">
      <c r="A13106" s="20"/>
    </row>
    <row r="13107" spans="1:1" x14ac:dyDescent="0.3">
      <c r="A13107" s="20"/>
    </row>
    <row r="13108" spans="1:1" x14ac:dyDescent="0.3">
      <c r="A13108" s="20"/>
    </row>
    <row r="13109" spans="1:1" x14ac:dyDescent="0.3">
      <c r="A13109" s="20"/>
    </row>
    <row r="13110" spans="1:1" x14ac:dyDescent="0.3">
      <c r="A13110" s="20"/>
    </row>
    <row r="13111" spans="1:1" x14ac:dyDescent="0.3">
      <c r="A13111" s="20"/>
    </row>
    <row r="13112" spans="1:1" x14ac:dyDescent="0.3">
      <c r="A13112" s="20"/>
    </row>
    <row r="13113" spans="1:1" x14ac:dyDescent="0.3">
      <c r="A13113" s="20"/>
    </row>
    <row r="13114" spans="1:1" x14ac:dyDescent="0.3">
      <c r="A13114" s="20"/>
    </row>
    <row r="13115" spans="1:1" x14ac:dyDescent="0.3">
      <c r="A13115" s="20"/>
    </row>
    <row r="13116" spans="1:1" x14ac:dyDescent="0.3">
      <c r="A13116" s="20"/>
    </row>
    <row r="13117" spans="1:1" x14ac:dyDescent="0.3">
      <c r="A13117" s="20"/>
    </row>
    <row r="13118" spans="1:1" x14ac:dyDescent="0.3">
      <c r="A13118" s="20"/>
    </row>
    <row r="13119" spans="1:1" x14ac:dyDescent="0.3">
      <c r="A13119" s="20"/>
    </row>
    <row r="13120" spans="1:1" x14ac:dyDescent="0.3">
      <c r="A13120" s="20"/>
    </row>
    <row r="13121" spans="1:1" x14ac:dyDescent="0.3">
      <c r="A13121" s="20"/>
    </row>
    <row r="13122" spans="1:1" x14ac:dyDescent="0.3">
      <c r="A13122" s="20"/>
    </row>
    <row r="13123" spans="1:1" x14ac:dyDescent="0.3">
      <c r="A13123" s="20"/>
    </row>
    <row r="13124" spans="1:1" x14ac:dyDescent="0.3">
      <c r="A13124" s="20"/>
    </row>
    <row r="13125" spans="1:1" x14ac:dyDescent="0.3">
      <c r="A13125" s="20"/>
    </row>
    <row r="13126" spans="1:1" x14ac:dyDescent="0.3">
      <c r="A13126" s="20"/>
    </row>
    <row r="13127" spans="1:1" x14ac:dyDescent="0.3">
      <c r="A13127" s="20"/>
    </row>
    <row r="13128" spans="1:1" x14ac:dyDescent="0.3">
      <c r="A13128" s="20"/>
    </row>
    <row r="13129" spans="1:1" x14ac:dyDescent="0.3">
      <c r="A13129" s="20"/>
    </row>
    <row r="13130" spans="1:1" x14ac:dyDescent="0.3">
      <c r="A13130" s="20"/>
    </row>
    <row r="13131" spans="1:1" x14ac:dyDescent="0.3">
      <c r="A13131" s="20"/>
    </row>
    <row r="13132" spans="1:1" x14ac:dyDescent="0.3">
      <c r="A13132" s="20"/>
    </row>
    <row r="13133" spans="1:1" x14ac:dyDescent="0.3">
      <c r="A13133" s="20"/>
    </row>
    <row r="13134" spans="1:1" x14ac:dyDescent="0.3">
      <c r="A13134" s="20"/>
    </row>
    <row r="13135" spans="1:1" x14ac:dyDescent="0.3">
      <c r="A13135" s="20"/>
    </row>
    <row r="13136" spans="1:1" x14ac:dyDescent="0.3">
      <c r="A13136" s="20"/>
    </row>
    <row r="13137" spans="1:1" x14ac:dyDescent="0.3">
      <c r="A13137" s="20"/>
    </row>
    <row r="13138" spans="1:1" x14ac:dyDescent="0.3">
      <c r="A13138" s="20"/>
    </row>
    <row r="13139" spans="1:1" x14ac:dyDescent="0.3">
      <c r="A13139" s="20"/>
    </row>
    <row r="13140" spans="1:1" x14ac:dyDescent="0.3">
      <c r="A13140" s="20"/>
    </row>
    <row r="13141" spans="1:1" x14ac:dyDescent="0.3">
      <c r="A13141" s="20"/>
    </row>
    <row r="13142" spans="1:1" x14ac:dyDescent="0.3">
      <c r="A13142" s="20"/>
    </row>
    <row r="13143" spans="1:1" x14ac:dyDescent="0.3">
      <c r="A13143" s="20"/>
    </row>
    <row r="13144" spans="1:1" x14ac:dyDescent="0.3">
      <c r="A13144" s="20"/>
    </row>
    <row r="13145" spans="1:1" x14ac:dyDescent="0.3">
      <c r="A13145" s="20"/>
    </row>
    <row r="13146" spans="1:1" x14ac:dyDescent="0.3">
      <c r="A13146" s="20"/>
    </row>
    <row r="13147" spans="1:1" x14ac:dyDescent="0.3">
      <c r="A13147" s="20"/>
    </row>
    <row r="13148" spans="1:1" x14ac:dyDescent="0.3">
      <c r="A13148" s="20"/>
    </row>
    <row r="13149" spans="1:1" x14ac:dyDescent="0.3">
      <c r="A13149" s="20"/>
    </row>
    <row r="13150" spans="1:1" x14ac:dyDescent="0.3">
      <c r="A13150" s="20"/>
    </row>
    <row r="13151" spans="1:1" x14ac:dyDescent="0.3">
      <c r="A13151" s="20"/>
    </row>
    <row r="13152" spans="1:1" x14ac:dyDescent="0.3">
      <c r="A13152" s="20"/>
    </row>
    <row r="13153" spans="1:1" x14ac:dyDescent="0.3">
      <c r="A13153" s="20"/>
    </row>
    <row r="13154" spans="1:1" x14ac:dyDescent="0.3">
      <c r="A13154" s="20"/>
    </row>
    <row r="13155" spans="1:1" x14ac:dyDescent="0.3">
      <c r="A13155" s="20"/>
    </row>
    <row r="13156" spans="1:1" x14ac:dyDescent="0.3">
      <c r="A13156" s="20"/>
    </row>
    <row r="13157" spans="1:1" x14ac:dyDescent="0.3">
      <c r="A13157" s="20"/>
    </row>
    <row r="13158" spans="1:1" x14ac:dyDescent="0.3">
      <c r="A13158" s="20"/>
    </row>
    <row r="13159" spans="1:1" x14ac:dyDescent="0.3">
      <c r="A13159" s="20"/>
    </row>
    <row r="13160" spans="1:1" x14ac:dyDescent="0.3">
      <c r="A13160" s="20"/>
    </row>
    <row r="13161" spans="1:1" x14ac:dyDescent="0.3">
      <c r="A13161" s="20"/>
    </row>
    <row r="13162" spans="1:1" x14ac:dyDescent="0.3">
      <c r="A13162" s="20"/>
    </row>
    <row r="13163" spans="1:1" x14ac:dyDescent="0.3">
      <c r="A13163" s="20"/>
    </row>
    <row r="13164" spans="1:1" x14ac:dyDescent="0.3">
      <c r="A13164" s="20"/>
    </row>
    <row r="13165" spans="1:1" x14ac:dyDescent="0.3">
      <c r="A13165" s="20"/>
    </row>
    <row r="13166" spans="1:1" x14ac:dyDescent="0.3">
      <c r="A13166" s="20"/>
    </row>
    <row r="13167" spans="1:1" x14ac:dyDescent="0.3">
      <c r="A13167" s="20"/>
    </row>
    <row r="13168" spans="1:1" x14ac:dyDescent="0.3">
      <c r="A13168" s="20"/>
    </row>
    <row r="13169" spans="1:1" x14ac:dyDescent="0.3">
      <c r="A13169" s="20"/>
    </row>
    <row r="13170" spans="1:1" x14ac:dyDescent="0.3">
      <c r="A13170" s="20"/>
    </row>
    <row r="13171" spans="1:1" x14ac:dyDescent="0.3">
      <c r="A13171" s="20"/>
    </row>
    <row r="13172" spans="1:1" x14ac:dyDescent="0.3">
      <c r="A13172" s="20"/>
    </row>
    <row r="13173" spans="1:1" x14ac:dyDescent="0.3">
      <c r="A13173" s="20"/>
    </row>
    <row r="13174" spans="1:1" x14ac:dyDescent="0.3">
      <c r="A13174" s="20"/>
    </row>
    <row r="13175" spans="1:1" x14ac:dyDescent="0.3">
      <c r="A13175" s="20"/>
    </row>
    <row r="13176" spans="1:1" x14ac:dyDescent="0.3">
      <c r="A13176" s="20"/>
    </row>
    <row r="13177" spans="1:1" x14ac:dyDescent="0.3">
      <c r="A13177" s="20"/>
    </row>
    <row r="13178" spans="1:1" x14ac:dyDescent="0.3">
      <c r="A13178" s="20"/>
    </row>
    <row r="13179" spans="1:1" x14ac:dyDescent="0.3">
      <c r="A13179" s="20"/>
    </row>
    <row r="13180" spans="1:1" x14ac:dyDescent="0.3">
      <c r="A13180" s="20"/>
    </row>
    <row r="13181" spans="1:1" x14ac:dyDescent="0.3">
      <c r="A13181" s="20"/>
    </row>
    <row r="13182" spans="1:1" x14ac:dyDescent="0.3">
      <c r="A13182" s="20"/>
    </row>
    <row r="13183" spans="1:1" x14ac:dyDescent="0.3">
      <c r="A13183" s="20"/>
    </row>
    <row r="13184" spans="1:1" x14ac:dyDescent="0.3">
      <c r="A13184" s="20"/>
    </row>
    <row r="13185" spans="1:1" x14ac:dyDescent="0.3">
      <c r="A13185" s="20"/>
    </row>
    <row r="13186" spans="1:1" x14ac:dyDescent="0.3">
      <c r="A13186" s="20"/>
    </row>
    <row r="13187" spans="1:1" x14ac:dyDescent="0.3">
      <c r="A13187" s="20"/>
    </row>
    <row r="13188" spans="1:1" x14ac:dyDescent="0.3">
      <c r="A13188" s="20"/>
    </row>
    <row r="13189" spans="1:1" x14ac:dyDescent="0.3">
      <c r="A13189" s="20"/>
    </row>
    <row r="13190" spans="1:1" x14ac:dyDescent="0.3">
      <c r="A13190" s="20"/>
    </row>
    <row r="13191" spans="1:1" x14ac:dyDescent="0.3">
      <c r="A13191" s="20"/>
    </row>
    <row r="13192" spans="1:1" x14ac:dyDescent="0.3">
      <c r="A13192" s="20"/>
    </row>
    <row r="13193" spans="1:1" x14ac:dyDescent="0.3">
      <c r="A13193" s="20"/>
    </row>
    <row r="13194" spans="1:1" x14ac:dyDescent="0.3">
      <c r="A13194" s="20"/>
    </row>
    <row r="13195" spans="1:1" x14ac:dyDescent="0.3">
      <c r="A13195" s="20"/>
    </row>
    <row r="13196" spans="1:1" x14ac:dyDescent="0.3">
      <c r="A13196" s="20"/>
    </row>
    <row r="13197" spans="1:1" x14ac:dyDescent="0.3">
      <c r="A13197" s="20"/>
    </row>
    <row r="13198" spans="1:1" x14ac:dyDescent="0.3">
      <c r="A13198" s="20"/>
    </row>
    <row r="13199" spans="1:1" x14ac:dyDescent="0.3">
      <c r="A13199" s="20"/>
    </row>
    <row r="13200" spans="1:1" x14ac:dyDescent="0.3">
      <c r="A13200" s="20"/>
    </row>
    <row r="13201" spans="1:1" x14ac:dyDescent="0.3">
      <c r="A13201" s="20"/>
    </row>
    <row r="13202" spans="1:1" x14ac:dyDescent="0.3">
      <c r="A13202" s="20"/>
    </row>
    <row r="13203" spans="1:1" x14ac:dyDescent="0.3">
      <c r="A13203" s="20"/>
    </row>
    <row r="13204" spans="1:1" x14ac:dyDescent="0.3">
      <c r="A13204" s="20"/>
    </row>
    <row r="13205" spans="1:1" x14ac:dyDescent="0.3">
      <c r="A13205" s="20"/>
    </row>
    <row r="13206" spans="1:1" x14ac:dyDescent="0.3">
      <c r="A13206" s="20"/>
    </row>
    <row r="13207" spans="1:1" x14ac:dyDescent="0.3">
      <c r="A13207" s="20"/>
    </row>
    <row r="13208" spans="1:1" x14ac:dyDescent="0.3">
      <c r="A13208" s="20"/>
    </row>
    <row r="13209" spans="1:1" x14ac:dyDescent="0.3">
      <c r="A13209" s="20"/>
    </row>
    <row r="13210" spans="1:1" x14ac:dyDescent="0.3">
      <c r="A13210" s="20"/>
    </row>
    <row r="13211" spans="1:1" x14ac:dyDescent="0.3">
      <c r="A13211" s="20"/>
    </row>
    <row r="13212" spans="1:1" x14ac:dyDescent="0.3">
      <c r="A13212" s="20"/>
    </row>
    <row r="13213" spans="1:1" x14ac:dyDescent="0.3">
      <c r="A13213" s="20"/>
    </row>
    <row r="13214" spans="1:1" x14ac:dyDescent="0.3">
      <c r="A13214" s="20"/>
    </row>
    <row r="13215" spans="1:1" x14ac:dyDescent="0.3">
      <c r="A13215" s="20"/>
    </row>
    <row r="13216" spans="1:1" x14ac:dyDescent="0.3">
      <c r="A13216" s="20"/>
    </row>
    <row r="13217" spans="1:1" x14ac:dyDescent="0.3">
      <c r="A13217" s="20"/>
    </row>
    <row r="13218" spans="1:1" x14ac:dyDescent="0.3">
      <c r="A13218" s="20"/>
    </row>
    <row r="13219" spans="1:1" x14ac:dyDescent="0.3">
      <c r="A13219" s="20"/>
    </row>
    <row r="13220" spans="1:1" x14ac:dyDescent="0.3">
      <c r="A13220" s="20"/>
    </row>
    <row r="13221" spans="1:1" x14ac:dyDescent="0.3">
      <c r="A13221" s="20"/>
    </row>
    <row r="13222" spans="1:1" x14ac:dyDescent="0.3">
      <c r="A13222" s="20"/>
    </row>
    <row r="13223" spans="1:1" x14ac:dyDescent="0.3">
      <c r="A13223" s="20"/>
    </row>
    <row r="13224" spans="1:1" x14ac:dyDescent="0.3">
      <c r="A13224" s="20"/>
    </row>
    <row r="13225" spans="1:1" x14ac:dyDescent="0.3">
      <c r="A13225" s="20"/>
    </row>
    <row r="13226" spans="1:1" x14ac:dyDescent="0.3">
      <c r="A13226" s="20"/>
    </row>
    <row r="13227" spans="1:1" x14ac:dyDescent="0.3">
      <c r="A13227" s="20"/>
    </row>
    <row r="13228" spans="1:1" x14ac:dyDescent="0.3">
      <c r="A13228" s="20"/>
    </row>
    <row r="13229" spans="1:1" x14ac:dyDescent="0.3">
      <c r="A13229" s="20"/>
    </row>
    <row r="13230" spans="1:1" x14ac:dyDescent="0.3">
      <c r="A13230" s="20"/>
    </row>
    <row r="13231" spans="1:1" x14ac:dyDescent="0.3">
      <c r="A13231" s="20"/>
    </row>
    <row r="13232" spans="1:1" x14ac:dyDescent="0.3">
      <c r="A13232" s="20"/>
    </row>
    <row r="13233" spans="1:1" x14ac:dyDescent="0.3">
      <c r="A13233" s="20"/>
    </row>
    <row r="13234" spans="1:1" x14ac:dyDescent="0.3">
      <c r="A13234" s="20"/>
    </row>
    <row r="13235" spans="1:1" x14ac:dyDescent="0.3">
      <c r="A13235" s="20"/>
    </row>
    <row r="13236" spans="1:1" x14ac:dyDescent="0.3">
      <c r="A13236" s="20"/>
    </row>
    <row r="13237" spans="1:1" x14ac:dyDescent="0.3">
      <c r="A13237" s="20"/>
    </row>
    <row r="13238" spans="1:1" x14ac:dyDescent="0.3">
      <c r="A13238" s="20"/>
    </row>
    <row r="13239" spans="1:1" x14ac:dyDescent="0.3">
      <c r="A13239" s="20"/>
    </row>
    <row r="13240" spans="1:1" x14ac:dyDescent="0.3">
      <c r="A13240" s="20"/>
    </row>
    <row r="13241" spans="1:1" x14ac:dyDescent="0.3">
      <c r="A13241" s="20"/>
    </row>
    <row r="13242" spans="1:1" x14ac:dyDescent="0.3">
      <c r="A13242" s="20"/>
    </row>
    <row r="13243" spans="1:1" x14ac:dyDescent="0.3">
      <c r="A13243" s="20"/>
    </row>
    <row r="13244" spans="1:1" x14ac:dyDescent="0.3">
      <c r="A13244" s="20"/>
    </row>
    <row r="13245" spans="1:1" x14ac:dyDescent="0.3">
      <c r="A13245" s="20"/>
    </row>
    <row r="13246" spans="1:1" x14ac:dyDescent="0.3">
      <c r="A13246" s="20"/>
    </row>
    <row r="13247" spans="1:1" x14ac:dyDescent="0.3">
      <c r="A13247" s="20"/>
    </row>
    <row r="13248" spans="1:1" x14ac:dyDescent="0.3">
      <c r="A13248" s="20"/>
    </row>
    <row r="13249" spans="1:1" x14ac:dyDescent="0.3">
      <c r="A13249" s="20"/>
    </row>
    <row r="13250" spans="1:1" x14ac:dyDescent="0.3">
      <c r="A13250" s="20"/>
    </row>
    <row r="13251" spans="1:1" x14ac:dyDescent="0.3">
      <c r="A13251" s="20"/>
    </row>
    <row r="13252" spans="1:1" x14ac:dyDescent="0.3">
      <c r="A13252" s="20"/>
    </row>
    <row r="13253" spans="1:1" x14ac:dyDescent="0.3">
      <c r="A13253" s="20"/>
    </row>
    <row r="13254" spans="1:1" x14ac:dyDescent="0.3">
      <c r="A13254" s="20"/>
    </row>
    <row r="13255" spans="1:1" x14ac:dyDescent="0.3">
      <c r="A13255" s="20"/>
    </row>
    <row r="13256" spans="1:1" x14ac:dyDescent="0.3">
      <c r="A13256" s="20"/>
    </row>
    <row r="13257" spans="1:1" x14ac:dyDescent="0.3">
      <c r="A13257" s="20"/>
    </row>
    <row r="13258" spans="1:1" x14ac:dyDescent="0.3">
      <c r="A13258" s="20"/>
    </row>
    <row r="13259" spans="1:1" x14ac:dyDescent="0.3">
      <c r="A13259" s="20"/>
    </row>
    <row r="13260" spans="1:1" x14ac:dyDescent="0.3">
      <c r="A13260" s="20"/>
    </row>
    <row r="13261" spans="1:1" x14ac:dyDescent="0.3">
      <c r="A13261" s="20"/>
    </row>
    <row r="13262" spans="1:1" x14ac:dyDescent="0.3">
      <c r="A13262" s="20"/>
    </row>
    <row r="13263" spans="1:1" x14ac:dyDescent="0.3">
      <c r="A13263" s="20"/>
    </row>
    <row r="13264" spans="1:1" x14ac:dyDescent="0.3">
      <c r="A13264" s="20"/>
    </row>
    <row r="13265" spans="1:1" x14ac:dyDescent="0.3">
      <c r="A13265" s="20"/>
    </row>
    <row r="13266" spans="1:1" x14ac:dyDescent="0.3">
      <c r="A13266" s="20"/>
    </row>
    <row r="13267" spans="1:1" x14ac:dyDescent="0.3">
      <c r="A13267" s="20"/>
    </row>
    <row r="13268" spans="1:1" x14ac:dyDescent="0.3">
      <c r="A13268" s="20"/>
    </row>
    <row r="13269" spans="1:1" x14ac:dyDescent="0.3">
      <c r="A13269" s="20"/>
    </row>
    <row r="13270" spans="1:1" x14ac:dyDescent="0.3">
      <c r="A13270" s="20"/>
    </row>
    <row r="13271" spans="1:1" x14ac:dyDescent="0.3">
      <c r="A13271" s="20"/>
    </row>
    <row r="13272" spans="1:1" x14ac:dyDescent="0.3">
      <c r="A13272" s="20"/>
    </row>
    <row r="13273" spans="1:1" x14ac:dyDescent="0.3">
      <c r="A13273" s="20"/>
    </row>
    <row r="13274" spans="1:1" x14ac:dyDescent="0.3">
      <c r="A13274" s="20"/>
    </row>
    <row r="13275" spans="1:1" x14ac:dyDescent="0.3">
      <c r="A13275" s="20"/>
    </row>
    <row r="13276" spans="1:1" x14ac:dyDescent="0.3">
      <c r="A13276" s="20"/>
    </row>
    <row r="13277" spans="1:1" x14ac:dyDescent="0.3">
      <c r="A13277" s="20"/>
    </row>
    <row r="13278" spans="1:1" x14ac:dyDescent="0.3">
      <c r="A13278" s="20"/>
    </row>
    <row r="13279" spans="1:1" x14ac:dyDescent="0.3">
      <c r="A13279" s="20"/>
    </row>
    <row r="13280" spans="1:1" x14ac:dyDescent="0.3">
      <c r="A13280" s="20"/>
    </row>
    <row r="13281" spans="1:1" x14ac:dyDescent="0.3">
      <c r="A13281" s="20"/>
    </row>
    <row r="13282" spans="1:1" x14ac:dyDescent="0.3">
      <c r="A13282" s="20"/>
    </row>
    <row r="13283" spans="1:1" x14ac:dyDescent="0.3">
      <c r="A13283" s="20"/>
    </row>
    <row r="13284" spans="1:1" x14ac:dyDescent="0.3">
      <c r="A13284" s="20"/>
    </row>
    <row r="13285" spans="1:1" x14ac:dyDescent="0.3">
      <c r="A13285" s="20"/>
    </row>
    <row r="13286" spans="1:1" x14ac:dyDescent="0.3">
      <c r="A13286" s="20"/>
    </row>
    <row r="13287" spans="1:1" x14ac:dyDescent="0.3">
      <c r="A13287" s="20"/>
    </row>
    <row r="13288" spans="1:1" x14ac:dyDescent="0.3">
      <c r="A13288" s="20"/>
    </row>
    <row r="13289" spans="1:1" x14ac:dyDescent="0.3">
      <c r="A13289" s="20"/>
    </row>
    <row r="13290" spans="1:1" x14ac:dyDescent="0.3">
      <c r="A13290" s="20"/>
    </row>
    <row r="13291" spans="1:1" x14ac:dyDescent="0.3">
      <c r="A13291" s="20"/>
    </row>
    <row r="13292" spans="1:1" x14ac:dyDescent="0.3">
      <c r="A13292" s="20"/>
    </row>
    <row r="13293" spans="1:1" x14ac:dyDescent="0.3">
      <c r="A13293" s="20"/>
    </row>
    <row r="13294" spans="1:1" x14ac:dyDescent="0.3">
      <c r="A13294" s="20"/>
    </row>
    <row r="13295" spans="1:1" x14ac:dyDescent="0.3">
      <c r="A13295" s="20"/>
    </row>
    <row r="13296" spans="1:1" x14ac:dyDescent="0.3">
      <c r="A13296" s="20"/>
    </row>
    <row r="13297" spans="1:1" x14ac:dyDescent="0.3">
      <c r="A13297" s="20"/>
    </row>
    <row r="13298" spans="1:1" x14ac:dyDescent="0.3">
      <c r="A13298" s="20"/>
    </row>
    <row r="13299" spans="1:1" x14ac:dyDescent="0.3">
      <c r="A13299" s="20"/>
    </row>
    <row r="13300" spans="1:1" x14ac:dyDescent="0.3">
      <c r="A13300" s="20"/>
    </row>
    <row r="13301" spans="1:1" x14ac:dyDescent="0.3">
      <c r="A13301" s="20"/>
    </row>
    <row r="13302" spans="1:1" x14ac:dyDescent="0.3">
      <c r="A13302" s="20"/>
    </row>
    <row r="13303" spans="1:1" x14ac:dyDescent="0.3">
      <c r="A13303" s="20"/>
    </row>
    <row r="13304" spans="1:1" x14ac:dyDescent="0.3">
      <c r="A13304" s="20"/>
    </row>
    <row r="13305" spans="1:1" x14ac:dyDescent="0.3">
      <c r="A13305" s="20"/>
    </row>
    <row r="13306" spans="1:1" x14ac:dyDescent="0.3">
      <c r="A13306" s="20"/>
    </row>
    <row r="13307" spans="1:1" x14ac:dyDescent="0.3">
      <c r="A13307" s="20"/>
    </row>
    <row r="13308" spans="1:1" x14ac:dyDescent="0.3">
      <c r="A13308" s="20"/>
    </row>
    <row r="13309" spans="1:1" x14ac:dyDescent="0.3">
      <c r="A13309" s="20"/>
    </row>
    <row r="13310" spans="1:1" x14ac:dyDescent="0.3">
      <c r="A13310" s="20"/>
    </row>
    <row r="13311" spans="1:1" x14ac:dyDescent="0.3">
      <c r="A13311" s="20"/>
    </row>
    <row r="13312" spans="1:1" x14ac:dyDescent="0.3">
      <c r="A13312" s="20"/>
    </row>
    <row r="13313" spans="1:1" x14ac:dyDescent="0.3">
      <c r="A13313" s="20"/>
    </row>
    <row r="13314" spans="1:1" x14ac:dyDescent="0.3">
      <c r="A13314" s="20"/>
    </row>
    <row r="13315" spans="1:1" x14ac:dyDescent="0.3">
      <c r="A13315" s="20"/>
    </row>
    <row r="13316" spans="1:1" x14ac:dyDescent="0.3">
      <c r="A13316" s="20"/>
    </row>
    <row r="13317" spans="1:1" x14ac:dyDescent="0.3">
      <c r="A13317" s="20"/>
    </row>
    <row r="13318" spans="1:1" x14ac:dyDescent="0.3">
      <c r="A13318" s="20"/>
    </row>
    <row r="13319" spans="1:1" x14ac:dyDescent="0.3">
      <c r="A13319" s="20"/>
    </row>
    <row r="13320" spans="1:1" x14ac:dyDescent="0.3">
      <c r="A13320" s="20"/>
    </row>
    <row r="13321" spans="1:1" x14ac:dyDescent="0.3">
      <c r="A13321" s="20"/>
    </row>
    <row r="13322" spans="1:1" x14ac:dyDescent="0.3">
      <c r="A13322" s="20"/>
    </row>
    <row r="13323" spans="1:1" x14ac:dyDescent="0.3">
      <c r="A13323" s="20"/>
    </row>
    <row r="13324" spans="1:1" x14ac:dyDescent="0.3">
      <c r="A13324" s="20"/>
    </row>
    <row r="13325" spans="1:1" x14ac:dyDescent="0.3">
      <c r="A13325" s="20"/>
    </row>
    <row r="13326" spans="1:1" x14ac:dyDescent="0.3">
      <c r="A13326" s="20"/>
    </row>
    <row r="13327" spans="1:1" x14ac:dyDescent="0.3">
      <c r="A13327" s="20"/>
    </row>
    <row r="13328" spans="1:1" x14ac:dyDescent="0.3">
      <c r="A13328" s="20"/>
    </row>
    <row r="13329" spans="1:1" x14ac:dyDescent="0.3">
      <c r="A13329" s="20"/>
    </row>
    <row r="13330" spans="1:1" x14ac:dyDescent="0.3">
      <c r="A13330" s="20"/>
    </row>
    <row r="13331" spans="1:1" x14ac:dyDescent="0.3">
      <c r="A13331" s="20"/>
    </row>
    <row r="13332" spans="1:1" x14ac:dyDescent="0.3">
      <c r="A13332" s="20"/>
    </row>
    <row r="13333" spans="1:1" x14ac:dyDescent="0.3">
      <c r="A13333" s="20"/>
    </row>
    <row r="13334" spans="1:1" x14ac:dyDescent="0.3">
      <c r="A13334" s="20"/>
    </row>
    <row r="13335" spans="1:1" x14ac:dyDescent="0.3">
      <c r="A13335" s="20"/>
    </row>
    <row r="13336" spans="1:1" x14ac:dyDescent="0.3">
      <c r="A13336" s="20"/>
    </row>
    <row r="13337" spans="1:1" x14ac:dyDescent="0.3">
      <c r="A13337" s="20"/>
    </row>
    <row r="13338" spans="1:1" x14ac:dyDescent="0.3">
      <c r="A13338" s="20"/>
    </row>
    <row r="13339" spans="1:1" x14ac:dyDescent="0.3">
      <c r="A13339" s="20"/>
    </row>
    <row r="13340" spans="1:1" x14ac:dyDescent="0.3">
      <c r="A13340" s="20"/>
    </row>
    <row r="13341" spans="1:1" x14ac:dyDescent="0.3">
      <c r="A13341" s="20"/>
    </row>
    <row r="13342" spans="1:1" x14ac:dyDescent="0.3">
      <c r="A13342" s="20"/>
    </row>
    <row r="13343" spans="1:1" x14ac:dyDescent="0.3">
      <c r="A13343" s="20"/>
    </row>
    <row r="13344" spans="1:1" x14ac:dyDescent="0.3">
      <c r="A13344" s="20"/>
    </row>
    <row r="13345" spans="1:1" x14ac:dyDescent="0.3">
      <c r="A13345" s="20"/>
    </row>
    <row r="13346" spans="1:1" x14ac:dyDescent="0.3">
      <c r="A13346" s="20"/>
    </row>
    <row r="13347" spans="1:1" x14ac:dyDescent="0.3">
      <c r="A13347" s="20"/>
    </row>
    <row r="13348" spans="1:1" x14ac:dyDescent="0.3">
      <c r="A13348" s="20"/>
    </row>
    <row r="13349" spans="1:1" x14ac:dyDescent="0.3">
      <c r="A13349" s="20"/>
    </row>
    <row r="13350" spans="1:1" x14ac:dyDescent="0.3">
      <c r="A13350" s="20"/>
    </row>
    <row r="13351" spans="1:1" x14ac:dyDescent="0.3">
      <c r="A13351" s="20"/>
    </row>
    <row r="13352" spans="1:1" x14ac:dyDescent="0.3">
      <c r="A13352" s="20"/>
    </row>
    <row r="13353" spans="1:1" x14ac:dyDescent="0.3">
      <c r="A13353" s="20"/>
    </row>
    <row r="13354" spans="1:1" x14ac:dyDescent="0.3">
      <c r="A13354" s="20"/>
    </row>
    <row r="13355" spans="1:1" x14ac:dyDescent="0.3">
      <c r="A13355" s="20"/>
    </row>
    <row r="13356" spans="1:1" x14ac:dyDescent="0.3">
      <c r="A13356" s="20"/>
    </row>
    <row r="13357" spans="1:1" x14ac:dyDescent="0.3">
      <c r="A13357" s="20"/>
    </row>
    <row r="13358" spans="1:1" x14ac:dyDescent="0.3">
      <c r="A13358" s="20"/>
    </row>
    <row r="13359" spans="1:1" x14ac:dyDescent="0.3">
      <c r="A13359" s="20"/>
    </row>
    <row r="13360" spans="1:1" x14ac:dyDescent="0.3">
      <c r="A13360" s="20"/>
    </row>
    <row r="13361" spans="1:1" x14ac:dyDescent="0.3">
      <c r="A13361" s="20"/>
    </row>
    <row r="13362" spans="1:1" x14ac:dyDescent="0.3">
      <c r="A13362" s="20"/>
    </row>
    <row r="13363" spans="1:1" x14ac:dyDescent="0.3">
      <c r="A13363" s="20"/>
    </row>
    <row r="13364" spans="1:1" x14ac:dyDescent="0.3">
      <c r="A13364" s="20"/>
    </row>
    <row r="13365" spans="1:1" x14ac:dyDescent="0.3">
      <c r="A13365" s="20"/>
    </row>
    <row r="13366" spans="1:1" x14ac:dyDescent="0.3">
      <c r="A13366" s="20"/>
    </row>
    <row r="13367" spans="1:1" x14ac:dyDescent="0.3">
      <c r="A13367" s="20"/>
    </row>
    <row r="13368" spans="1:1" x14ac:dyDescent="0.3">
      <c r="A13368" s="20"/>
    </row>
    <row r="13369" spans="1:1" x14ac:dyDescent="0.3">
      <c r="A13369" s="20"/>
    </row>
    <row r="13370" spans="1:1" x14ac:dyDescent="0.3">
      <c r="A13370" s="20"/>
    </row>
    <row r="13371" spans="1:1" x14ac:dyDescent="0.3">
      <c r="A13371" s="20"/>
    </row>
    <row r="13372" spans="1:1" x14ac:dyDescent="0.3">
      <c r="A13372" s="20"/>
    </row>
    <row r="13373" spans="1:1" x14ac:dyDescent="0.3">
      <c r="A13373" s="20"/>
    </row>
    <row r="13374" spans="1:1" x14ac:dyDescent="0.3">
      <c r="A13374" s="20"/>
    </row>
    <row r="13375" spans="1:1" x14ac:dyDescent="0.3">
      <c r="A13375" s="20"/>
    </row>
    <row r="13376" spans="1:1" x14ac:dyDescent="0.3">
      <c r="A13376" s="20"/>
    </row>
    <row r="13377" spans="1:1" x14ac:dyDescent="0.3">
      <c r="A13377" s="20"/>
    </row>
    <row r="13378" spans="1:1" x14ac:dyDescent="0.3">
      <c r="A13378" s="20"/>
    </row>
    <row r="13379" spans="1:1" x14ac:dyDescent="0.3">
      <c r="A13379" s="20"/>
    </row>
    <row r="13380" spans="1:1" x14ac:dyDescent="0.3">
      <c r="A13380" s="20"/>
    </row>
    <row r="13381" spans="1:1" x14ac:dyDescent="0.3">
      <c r="A13381" s="20"/>
    </row>
    <row r="13382" spans="1:1" x14ac:dyDescent="0.3">
      <c r="A13382" s="20"/>
    </row>
    <row r="13383" spans="1:1" x14ac:dyDescent="0.3">
      <c r="A13383" s="20"/>
    </row>
    <row r="13384" spans="1:1" x14ac:dyDescent="0.3">
      <c r="A13384" s="20"/>
    </row>
    <row r="13385" spans="1:1" x14ac:dyDescent="0.3">
      <c r="A13385" s="20"/>
    </row>
    <row r="13386" spans="1:1" x14ac:dyDescent="0.3">
      <c r="A13386" s="20"/>
    </row>
    <row r="13387" spans="1:1" x14ac:dyDescent="0.3">
      <c r="A13387" s="20"/>
    </row>
    <row r="13388" spans="1:1" x14ac:dyDescent="0.3">
      <c r="A13388" s="20"/>
    </row>
    <row r="13389" spans="1:1" x14ac:dyDescent="0.3">
      <c r="A13389" s="20"/>
    </row>
    <row r="13390" spans="1:1" x14ac:dyDescent="0.3">
      <c r="A13390" s="20"/>
    </row>
    <row r="13391" spans="1:1" x14ac:dyDescent="0.3">
      <c r="A13391" s="20"/>
    </row>
    <row r="13392" spans="1:1" x14ac:dyDescent="0.3">
      <c r="A13392" s="20"/>
    </row>
    <row r="13393" spans="1:1" x14ac:dyDescent="0.3">
      <c r="A13393" s="20"/>
    </row>
    <row r="13394" spans="1:1" x14ac:dyDescent="0.3">
      <c r="A13394" s="20"/>
    </row>
    <row r="13395" spans="1:1" x14ac:dyDescent="0.3">
      <c r="A13395" s="20"/>
    </row>
    <row r="13396" spans="1:1" x14ac:dyDescent="0.3">
      <c r="A13396" s="20"/>
    </row>
    <row r="13397" spans="1:1" x14ac:dyDescent="0.3">
      <c r="A13397" s="20"/>
    </row>
    <row r="13398" spans="1:1" x14ac:dyDescent="0.3">
      <c r="A13398" s="20"/>
    </row>
    <row r="13399" spans="1:1" x14ac:dyDescent="0.3">
      <c r="A13399" s="20"/>
    </row>
    <row r="13400" spans="1:1" x14ac:dyDescent="0.3">
      <c r="A13400" s="20"/>
    </row>
    <row r="13401" spans="1:1" x14ac:dyDescent="0.3">
      <c r="A13401" s="20"/>
    </row>
    <row r="13402" spans="1:1" x14ac:dyDescent="0.3">
      <c r="A13402" s="20"/>
    </row>
    <row r="13403" spans="1:1" x14ac:dyDescent="0.3">
      <c r="A13403" s="20"/>
    </row>
    <row r="13404" spans="1:1" x14ac:dyDescent="0.3">
      <c r="A13404" s="20"/>
    </row>
    <row r="13405" spans="1:1" x14ac:dyDescent="0.3">
      <c r="A13405" s="20"/>
    </row>
    <row r="13406" spans="1:1" x14ac:dyDescent="0.3">
      <c r="A13406" s="20"/>
    </row>
    <row r="13407" spans="1:1" x14ac:dyDescent="0.3">
      <c r="A13407" s="20"/>
    </row>
    <row r="13408" spans="1:1" x14ac:dyDescent="0.3">
      <c r="A13408" s="20"/>
    </row>
    <row r="13409" spans="1:1" x14ac:dyDescent="0.3">
      <c r="A13409" s="20"/>
    </row>
    <row r="13410" spans="1:1" x14ac:dyDescent="0.3">
      <c r="A13410" s="20"/>
    </row>
    <row r="13411" spans="1:1" x14ac:dyDescent="0.3">
      <c r="A13411" s="20"/>
    </row>
    <row r="13412" spans="1:1" x14ac:dyDescent="0.3">
      <c r="A13412" s="20"/>
    </row>
    <row r="13413" spans="1:1" x14ac:dyDescent="0.3">
      <c r="A13413" s="20"/>
    </row>
    <row r="13414" spans="1:1" x14ac:dyDescent="0.3">
      <c r="A13414" s="20"/>
    </row>
    <row r="13415" spans="1:1" x14ac:dyDescent="0.3">
      <c r="A13415" s="20"/>
    </row>
    <row r="13416" spans="1:1" x14ac:dyDescent="0.3">
      <c r="A13416" s="20"/>
    </row>
    <row r="13417" spans="1:1" x14ac:dyDescent="0.3">
      <c r="A13417" s="20"/>
    </row>
    <row r="13418" spans="1:1" x14ac:dyDescent="0.3">
      <c r="A13418" s="20"/>
    </row>
    <row r="13419" spans="1:1" x14ac:dyDescent="0.3">
      <c r="A13419" s="20"/>
    </row>
    <row r="13420" spans="1:1" x14ac:dyDescent="0.3">
      <c r="A13420" s="20"/>
    </row>
    <row r="13421" spans="1:1" x14ac:dyDescent="0.3">
      <c r="A13421" s="20"/>
    </row>
    <row r="13422" spans="1:1" x14ac:dyDescent="0.3">
      <c r="A13422" s="20"/>
    </row>
    <row r="13423" spans="1:1" x14ac:dyDescent="0.3">
      <c r="A13423" s="20"/>
    </row>
    <row r="13424" spans="1:1" x14ac:dyDescent="0.3">
      <c r="A13424" s="20"/>
    </row>
    <row r="13425" spans="1:1" x14ac:dyDescent="0.3">
      <c r="A13425" s="20"/>
    </row>
    <row r="13426" spans="1:1" x14ac:dyDescent="0.3">
      <c r="A13426" s="20"/>
    </row>
    <row r="13427" spans="1:1" x14ac:dyDescent="0.3">
      <c r="A13427" s="20"/>
    </row>
    <row r="13428" spans="1:1" x14ac:dyDescent="0.3">
      <c r="A13428" s="20"/>
    </row>
    <row r="13429" spans="1:1" x14ac:dyDescent="0.3">
      <c r="A13429" s="20"/>
    </row>
    <row r="13430" spans="1:1" x14ac:dyDescent="0.3">
      <c r="A13430" s="20"/>
    </row>
    <row r="13431" spans="1:1" x14ac:dyDescent="0.3">
      <c r="A13431" s="20"/>
    </row>
    <row r="13432" spans="1:1" x14ac:dyDescent="0.3">
      <c r="A13432" s="20"/>
    </row>
    <row r="13433" spans="1:1" x14ac:dyDescent="0.3">
      <c r="A13433" s="20"/>
    </row>
    <row r="13434" spans="1:1" x14ac:dyDescent="0.3">
      <c r="A13434" s="20"/>
    </row>
    <row r="13435" spans="1:1" x14ac:dyDescent="0.3">
      <c r="A13435" s="20"/>
    </row>
    <row r="13436" spans="1:1" x14ac:dyDescent="0.3">
      <c r="A13436" s="20"/>
    </row>
    <row r="13437" spans="1:1" x14ac:dyDescent="0.3">
      <c r="A13437" s="20"/>
    </row>
    <row r="13438" spans="1:1" x14ac:dyDescent="0.3">
      <c r="A13438" s="20"/>
    </row>
    <row r="13439" spans="1:1" x14ac:dyDescent="0.3">
      <c r="A13439" s="20"/>
    </row>
    <row r="13440" spans="1:1" x14ac:dyDescent="0.3">
      <c r="A13440" s="20"/>
    </row>
    <row r="13441" spans="1:1" x14ac:dyDescent="0.3">
      <c r="A13441" s="20"/>
    </row>
    <row r="13442" spans="1:1" x14ac:dyDescent="0.3">
      <c r="A13442" s="20"/>
    </row>
    <row r="13443" spans="1:1" x14ac:dyDescent="0.3">
      <c r="A13443" s="20"/>
    </row>
    <row r="13444" spans="1:1" x14ac:dyDescent="0.3">
      <c r="A13444" s="20"/>
    </row>
    <row r="13445" spans="1:1" x14ac:dyDescent="0.3">
      <c r="A13445" s="20"/>
    </row>
    <row r="13446" spans="1:1" x14ac:dyDescent="0.3">
      <c r="A13446" s="20"/>
    </row>
    <row r="13447" spans="1:1" x14ac:dyDescent="0.3">
      <c r="A13447" s="20"/>
    </row>
    <row r="13448" spans="1:1" x14ac:dyDescent="0.3">
      <c r="A13448" s="20"/>
    </row>
    <row r="13449" spans="1:1" x14ac:dyDescent="0.3">
      <c r="A13449" s="20"/>
    </row>
    <row r="13450" spans="1:1" x14ac:dyDescent="0.3">
      <c r="A13450" s="20"/>
    </row>
    <row r="13451" spans="1:1" x14ac:dyDescent="0.3">
      <c r="A13451" s="20"/>
    </row>
    <row r="13452" spans="1:1" x14ac:dyDescent="0.3">
      <c r="A13452" s="20"/>
    </row>
    <row r="13453" spans="1:1" x14ac:dyDescent="0.3">
      <c r="A13453" s="20"/>
    </row>
    <row r="13454" spans="1:1" x14ac:dyDescent="0.3">
      <c r="A13454" s="20"/>
    </row>
    <row r="13455" spans="1:1" x14ac:dyDescent="0.3">
      <c r="A13455" s="20"/>
    </row>
    <row r="13456" spans="1:1" x14ac:dyDescent="0.3">
      <c r="A13456" s="20"/>
    </row>
    <row r="13457" spans="1:1" x14ac:dyDescent="0.3">
      <c r="A13457" s="20"/>
    </row>
    <row r="13458" spans="1:1" x14ac:dyDescent="0.3">
      <c r="A13458" s="20"/>
    </row>
    <row r="13459" spans="1:1" x14ac:dyDescent="0.3">
      <c r="A13459" s="20"/>
    </row>
    <row r="13460" spans="1:1" x14ac:dyDescent="0.3">
      <c r="A13460" s="20"/>
    </row>
    <row r="13461" spans="1:1" x14ac:dyDescent="0.3">
      <c r="A13461" s="20"/>
    </row>
    <row r="13462" spans="1:1" x14ac:dyDescent="0.3">
      <c r="A13462" s="20"/>
    </row>
    <row r="13463" spans="1:1" x14ac:dyDescent="0.3">
      <c r="A13463" s="20"/>
    </row>
    <row r="13464" spans="1:1" x14ac:dyDescent="0.3">
      <c r="A13464" s="20"/>
    </row>
    <row r="13465" spans="1:1" x14ac:dyDescent="0.3">
      <c r="A13465" s="20"/>
    </row>
    <row r="13466" spans="1:1" x14ac:dyDescent="0.3">
      <c r="A13466" s="20"/>
    </row>
    <row r="13467" spans="1:1" x14ac:dyDescent="0.3">
      <c r="A13467" s="20"/>
    </row>
    <row r="13468" spans="1:1" x14ac:dyDescent="0.3">
      <c r="A13468" s="20"/>
    </row>
    <row r="13469" spans="1:1" x14ac:dyDescent="0.3">
      <c r="A13469" s="20"/>
    </row>
    <row r="13470" spans="1:1" x14ac:dyDescent="0.3">
      <c r="A13470" s="20"/>
    </row>
    <row r="13471" spans="1:1" x14ac:dyDescent="0.3">
      <c r="A13471" s="20"/>
    </row>
    <row r="13472" spans="1:1" x14ac:dyDescent="0.3">
      <c r="A13472" s="20"/>
    </row>
    <row r="13473" spans="1:1" x14ac:dyDescent="0.3">
      <c r="A13473" s="20"/>
    </row>
    <row r="13474" spans="1:1" x14ac:dyDescent="0.3">
      <c r="A13474" s="20"/>
    </row>
    <row r="13475" spans="1:1" x14ac:dyDescent="0.3">
      <c r="A13475" s="20"/>
    </row>
    <row r="13476" spans="1:1" x14ac:dyDescent="0.3">
      <c r="A13476" s="20"/>
    </row>
    <row r="13477" spans="1:1" x14ac:dyDescent="0.3">
      <c r="A13477" s="20"/>
    </row>
    <row r="13478" spans="1:1" x14ac:dyDescent="0.3">
      <c r="A13478" s="20"/>
    </row>
    <row r="13479" spans="1:1" x14ac:dyDescent="0.3">
      <c r="A13479" s="20"/>
    </row>
    <row r="13480" spans="1:1" x14ac:dyDescent="0.3">
      <c r="A13480" s="20"/>
    </row>
    <row r="13481" spans="1:1" x14ac:dyDescent="0.3">
      <c r="A13481" s="20"/>
    </row>
    <row r="13482" spans="1:1" x14ac:dyDescent="0.3">
      <c r="A13482" s="20"/>
    </row>
    <row r="13483" spans="1:1" x14ac:dyDescent="0.3">
      <c r="A13483" s="20"/>
    </row>
    <row r="13484" spans="1:1" x14ac:dyDescent="0.3">
      <c r="A13484" s="20"/>
    </row>
    <row r="13485" spans="1:1" x14ac:dyDescent="0.3">
      <c r="A13485" s="20"/>
    </row>
    <row r="13486" spans="1:1" x14ac:dyDescent="0.3">
      <c r="A13486" s="20"/>
    </row>
    <row r="13487" spans="1:1" x14ac:dyDescent="0.3">
      <c r="A13487" s="20"/>
    </row>
    <row r="13488" spans="1:1" x14ac:dyDescent="0.3">
      <c r="A13488" s="20"/>
    </row>
    <row r="13489" spans="1:1" x14ac:dyDescent="0.3">
      <c r="A13489" s="20"/>
    </row>
    <row r="13490" spans="1:1" x14ac:dyDescent="0.3">
      <c r="A13490" s="20"/>
    </row>
    <row r="13491" spans="1:1" x14ac:dyDescent="0.3">
      <c r="A13491" s="20"/>
    </row>
    <row r="13492" spans="1:1" x14ac:dyDescent="0.3">
      <c r="A13492" s="20"/>
    </row>
    <row r="13493" spans="1:1" x14ac:dyDescent="0.3">
      <c r="A13493" s="20"/>
    </row>
    <row r="13494" spans="1:1" x14ac:dyDescent="0.3">
      <c r="A13494" s="20"/>
    </row>
    <row r="13495" spans="1:1" x14ac:dyDescent="0.3">
      <c r="A13495" s="20"/>
    </row>
    <row r="13496" spans="1:1" x14ac:dyDescent="0.3">
      <c r="A13496" s="20"/>
    </row>
    <row r="13497" spans="1:1" x14ac:dyDescent="0.3">
      <c r="A13497" s="20"/>
    </row>
    <row r="13498" spans="1:1" x14ac:dyDescent="0.3">
      <c r="A13498" s="20"/>
    </row>
    <row r="13499" spans="1:1" x14ac:dyDescent="0.3">
      <c r="A13499" s="20"/>
    </row>
    <row r="13500" spans="1:1" x14ac:dyDescent="0.3">
      <c r="A13500" s="20"/>
    </row>
    <row r="13501" spans="1:1" x14ac:dyDescent="0.3">
      <c r="A13501" s="20"/>
    </row>
    <row r="13502" spans="1:1" x14ac:dyDescent="0.3">
      <c r="A13502" s="20"/>
    </row>
    <row r="13503" spans="1:1" x14ac:dyDescent="0.3">
      <c r="A13503" s="20"/>
    </row>
    <row r="13504" spans="1:1" x14ac:dyDescent="0.3">
      <c r="A13504" s="20"/>
    </row>
    <row r="13505" spans="1:1" x14ac:dyDescent="0.3">
      <c r="A13505" s="20"/>
    </row>
    <row r="13506" spans="1:1" x14ac:dyDescent="0.3">
      <c r="A13506" s="20"/>
    </row>
    <row r="13507" spans="1:1" x14ac:dyDescent="0.3">
      <c r="A13507" s="20"/>
    </row>
    <row r="13508" spans="1:1" x14ac:dyDescent="0.3">
      <c r="A13508" s="20"/>
    </row>
    <row r="13509" spans="1:1" x14ac:dyDescent="0.3">
      <c r="A13509" s="20"/>
    </row>
    <row r="13510" spans="1:1" x14ac:dyDescent="0.3">
      <c r="A13510" s="20"/>
    </row>
    <row r="13511" spans="1:1" x14ac:dyDescent="0.3">
      <c r="A13511" s="20"/>
    </row>
    <row r="13512" spans="1:1" x14ac:dyDescent="0.3">
      <c r="A13512" s="20"/>
    </row>
    <row r="13513" spans="1:1" x14ac:dyDescent="0.3">
      <c r="A13513" s="20"/>
    </row>
    <row r="13514" spans="1:1" x14ac:dyDescent="0.3">
      <c r="A13514" s="20"/>
    </row>
    <row r="13515" spans="1:1" x14ac:dyDescent="0.3">
      <c r="A13515" s="20"/>
    </row>
    <row r="13516" spans="1:1" x14ac:dyDescent="0.3">
      <c r="A13516" s="20"/>
    </row>
    <row r="13517" spans="1:1" x14ac:dyDescent="0.3">
      <c r="A13517" s="20"/>
    </row>
    <row r="13518" spans="1:1" x14ac:dyDescent="0.3">
      <c r="A13518" s="20"/>
    </row>
    <row r="13519" spans="1:1" x14ac:dyDescent="0.3">
      <c r="A13519" s="20"/>
    </row>
    <row r="13520" spans="1:1" x14ac:dyDescent="0.3">
      <c r="A13520" s="20"/>
    </row>
    <row r="13521" spans="1:1" x14ac:dyDescent="0.3">
      <c r="A13521" s="20"/>
    </row>
    <row r="13522" spans="1:1" x14ac:dyDescent="0.3">
      <c r="A13522" s="20"/>
    </row>
    <row r="13523" spans="1:1" x14ac:dyDescent="0.3">
      <c r="A13523" s="20"/>
    </row>
    <row r="13524" spans="1:1" x14ac:dyDescent="0.3">
      <c r="A13524" s="20"/>
    </row>
    <row r="13525" spans="1:1" x14ac:dyDescent="0.3">
      <c r="A13525" s="20"/>
    </row>
    <row r="13526" spans="1:1" x14ac:dyDescent="0.3">
      <c r="A13526" s="20"/>
    </row>
    <row r="13527" spans="1:1" x14ac:dyDescent="0.3">
      <c r="A13527" s="20"/>
    </row>
    <row r="13528" spans="1:1" x14ac:dyDescent="0.3">
      <c r="A13528" s="20"/>
    </row>
    <row r="13529" spans="1:1" x14ac:dyDescent="0.3">
      <c r="A13529" s="20"/>
    </row>
    <row r="13530" spans="1:1" x14ac:dyDescent="0.3">
      <c r="A13530" s="20"/>
    </row>
    <row r="13531" spans="1:1" x14ac:dyDescent="0.3">
      <c r="A13531" s="20"/>
    </row>
    <row r="13532" spans="1:1" x14ac:dyDescent="0.3">
      <c r="A13532" s="20"/>
    </row>
    <row r="13533" spans="1:1" x14ac:dyDescent="0.3">
      <c r="A13533" s="20"/>
    </row>
    <row r="13534" spans="1:1" x14ac:dyDescent="0.3">
      <c r="A13534" s="20"/>
    </row>
    <row r="13535" spans="1:1" x14ac:dyDescent="0.3">
      <c r="A13535" s="20"/>
    </row>
    <row r="13536" spans="1:1" x14ac:dyDescent="0.3">
      <c r="A13536" s="20"/>
    </row>
    <row r="13537" spans="1:1" x14ac:dyDescent="0.3">
      <c r="A13537" s="20"/>
    </row>
    <row r="13538" spans="1:1" x14ac:dyDescent="0.3">
      <c r="A13538" s="20"/>
    </row>
    <row r="13539" spans="1:1" x14ac:dyDescent="0.3">
      <c r="A13539" s="20"/>
    </row>
    <row r="13540" spans="1:1" x14ac:dyDescent="0.3">
      <c r="A13540" s="20"/>
    </row>
    <row r="13541" spans="1:1" x14ac:dyDescent="0.3">
      <c r="A13541" s="20"/>
    </row>
    <row r="13542" spans="1:1" x14ac:dyDescent="0.3">
      <c r="A13542" s="20"/>
    </row>
    <row r="13543" spans="1:1" x14ac:dyDescent="0.3">
      <c r="A13543" s="20"/>
    </row>
    <row r="13544" spans="1:1" x14ac:dyDescent="0.3">
      <c r="A13544" s="20"/>
    </row>
    <row r="13545" spans="1:1" x14ac:dyDescent="0.3">
      <c r="A13545" s="20"/>
    </row>
    <row r="13546" spans="1:1" x14ac:dyDescent="0.3">
      <c r="A13546" s="20"/>
    </row>
    <row r="13547" spans="1:1" x14ac:dyDescent="0.3">
      <c r="A13547" s="20"/>
    </row>
    <row r="13548" spans="1:1" x14ac:dyDescent="0.3">
      <c r="A13548" s="20"/>
    </row>
    <row r="13549" spans="1:1" x14ac:dyDescent="0.3">
      <c r="A13549" s="20"/>
    </row>
    <row r="13550" spans="1:1" x14ac:dyDescent="0.3">
      <c r="A13550" s="20"/>
    </row>
    <row r="13551" spans="1:1" x14ac:dyDescent="0.3">
      <c r="A13551" s="20"/>
    </row>
    <row r="13552" spans="1:1" x14ac:dyDescent="0.3">
      <c r="A13552" s="20"/>
    </row>
    <row r="13553" spans="1:1" x14ac:dyDescent="0.3">
      <c r="A13553" s="20"/>
    </row>
    <row r="13554" spans="1:1" x14ac:dyDescent="0.3">
      <c r="A13554" s="20"/>
    </row>
    <row r="13555" spans="1:1" x14ac:dyDescent="0.3">
      <c r="A13555" s="20"/>
    </row>
    <row r="13556" spans="1:1" x14ac:dyDescent="0.3">
      <c r="A13556" s="20"/>
    </row>
    <row r="13557" spans="1:1" x14ac:dyDescent="0.3">
      <c r="A13557" s="20"/>
    </row>
    <row r="13558" spans="1:1" x14ac:dyDescent="0.3">
      <c r="A13558" s="20"/>
    </row>
    <row r="13559" spans="1:1" x14ac:dyDescent="0.3">
      <c r="A13559" s="20"/>
    </row>
    <row r="13560" spans="1:1" x14ac:dyDescent="0.3">
      <c r="A13560" s="20"/>
    </row>
    <row r="13561" spans="1:1" x14ac:dyDescent="0.3">
      <c r="A13561" s="20"/>
    </row>
    <row r="13562" spans="1:1" x14ac:dyDescent="0.3">
      <c r="A13562" s="20"/>
    </row>
    <row r="13563" spans="1:1" x14ac:dyDescent="0.3">
      <c r="A13563" s="20"/>
    </row>
    <row r="13564" spans="1:1" x14ac:dyDescent="0.3">
      <c r="A13564" s="20"/>
    </row>
    <row r="13565" spans="1:1" x14ac:dyDescent="0.3">
      <c r="A13565" s="20"/>
    </row>
    <row r="13566" spans="1:1" x14ac:dyDescent="0.3">
      <c r="A13566" s="20"/>
    </row>
    <row r="13567" spans="1:1" x14ac:dyDescent="0.3">
      <c r="A13567" s="20"/>
    </row>
    <row r="13568" spans="1:1" x14ac:dyDescent="0.3">
      <c r="A13568" s="20"/>
    </row>
    <row r="13569" spans="1:1" x14ac:dyDescent="0.3">
      <c r="A13569" s="20"/>
    </row>
    <row r="13570" spans="1:1" x14ac:dyDescent="0.3">
      <c r="A13570" s="20"/>
    </row>
    <row r="13571" spans="1:1" x14ac:dyDescent="0.3">
      <c r="A13571" s="20"/>
    </row>
    <row r="13572" spans="1:1" x14ac:dyDescent="0.3">
      <c r="A13572" s="20"/>
    </row>
    <row r="13573" spans="1:1" x14ac:dyDescent="0.3">
      <c r="A13573" s="20"/>
    </row>
    <row r="13574" spans="1:1" x14ac:dyDescent="0.3">
      <c r="A13574" s="20"/>
    </row>
    <row r="13575" spans="1:1" x14ac:dyDescent="0.3">
      <c r="A13575" s="20"/>
    </row>
    <row r="13576" spans="1:1" x14ac:dyDescent="0.3">
      <c r="A13576" s="20"/>
    </row>
    <row r="13577" spans="1:1" x14ac:dyDescent="0.3">
      <c r="A13577" s="20"/>
    </row>
    <row r="13578" spans="1:1" x14ac:dyDescent="0.3">
      <c r="A13578" s="20"/>
    </row>
    <row r="13579" spans="1:1" x14ac:dyDescent="0.3">
      <c r="A13579" s="20"/>
    </row>
    <row r="13580" spans="1:1" x14ac:dyDescent="0.3">
      <c r="A13580" s="20"/>
    </row>
    <row r="13581" spans="1:1" x14ac:dyDescent="0.3">
      <c r="A13581" s="20"/>
    </row>
    <row r="13582" spans="1:1" x14ac:dyDescent="0.3">
      <c r="A13582" s="20"/>
    </row>
    <row r="13583" spans="1:1" x14ac:dyDescent="0.3">
      <c r="A13583" s="20"/>
    </row>
    <row r="13584" spans="1:1" x14ac:dyDescent="0.3">
      <c r="A13584" s="20"/>
    </row>
    <row r="13585" spans="1:1" x14ac:dyDescent="0.3">
      <c r="A13585" s="20"/>
    </row>
    <row r="13586" spans="1:1" x14ac:dyDescent="0.3">
      <c r="A13586" s="20"/>
    </row>
    <row r="13587" spans="1:1" x14ac:dyDescent="0.3">
      <c r="A13587" s="20"/>
    </row>
    <row r="13588" spans="1:1" x14ac:dyDescent="0.3">
      <c r="A13588" s="20"/>
    </row>
    <row r="13589" spans="1:1" x14ac:dyDescent="0.3">
      <c r="A13589" s="20"/>
    </row>
    <row r="13590" spans="1:1" x14ac:dyDescent="0.3">
      <c r="A13590" s="20"/>
    </row>
    <row r="13591" spans="1:1" x14ac:dyDescent="0.3">
      <c r="A13591" s="20"/>
    </row>
    <row r="13592" spans="1:1" x14ac:dyDescent="0.3">
      <c r="A13592" s="20"/>
    </row>
    <row r="13593" spans="1:1" x14ac:dyDescent="0.3">
      <c r="A13593" s="20"/>
    </row>
    <row r="13594" spans="1:1" x14ac:dyDescent="0.3">
      <c r="A13594" s="20"/>
    </row>
    <row r="13595" spans="1:1" x14ac:dyDescent="0.3">
      <c r="A13595" s="20"/>
    </row>
    <row r="13596" spans="1:1" x14ac:dyDescent="0.3">
      <c r="A13596" s="20"/>
    </row>
    <row r="13597" spans="1:1" x14ac:dyDescent="0.3">
      <c r="A13597" s="20"/>
    </row>
    <row r="13598" spans="1:1" x14ac:dyDescent="0.3">
      <c r="A13598" s="20"/>
    </row>
    <row r="13599" spans="1:1" x14ac:dyDescent="0.3">
      <c r="A13599" s="20"/>
    </row>
    <row r="13600" spans="1:1" x14ac:dyDescent="0.3">
      <c r="A13600" s="20"/>
    </row>
    <row r="13601" spans="1:1" x14ac:dyDescent="0.3">
      <c r="A13601" s="20"/>
    </row>
    <row r="13602" spans="1:1" x14ac:dyDescent="0.3">
      <c r="A13602" s="20"/>
    </row>
    <row r="13603" spans="1:1" x14ac:dyDescent="0.3">
      <c r="A13603" s="20"/>
    </row>
    <row r="13604" spans="1:1" x14ac:dyDescent="0.3">
      <c r="A13604" s="20"/>
    </row>
    <row r="13605" spans="1:1" x14ac:dyDescent="0.3">
      <c r="A13605" s="20"/>
    </row>
    <row r="13606" spans="1:1" x14ac:dyDescent="0.3">
      <c r="A13606" s="20"/>
    </row>
    <row r="13607" spans="1:1" x14ac:dyDescent="0.3">
      <c r="A13607" s="20"/>
    </row>
    <row r="13608" spans="1:1" x14ac:dyDescent="0.3">
      <c r="A13608" s="20"/>
    </row>
    <row r="13609" spans="1:1" x14ac:dyDescent="0.3">
      <c r="A13609" s="20"/>
    </row>
    <row r="13610" spans="1:1" x14ac:dyDescent="0.3">
      <c r="A13610" s="20"/>
    </row>
    <row r="13611" spans="1:1" x14ac:dyDescent="0.3">
      <c r="A13611" s="20"/>
    </row>
    <row r="13612" spans="1:1" x14ac:dyDescent="0.3">
      <c r="A13612" s="20"/>
    </row>
    <row r="13613" spans="1:1" x14ac:dyDescent="0.3">
      <c r="A13613" s="20"/>
    </row>
    <row r="13614" spans="1:1" x14ac:dyDescent="0.3">
      <c r="A13614" s="20"/>
    </row>
    <row r="13615" spans="1:1" x14ac:dyDescent="0.3">
      <c r="A13615" s="20"/>
    </row>
    <row r="13616" spans="1:1" x14ac:dyDescent="0.3">
      <c r="A13616" s="20"/>
    </row>
    <row r="13617" spans="1:1" x14ac:dyDescent="0.3">
      <c r="A13617" s="20"/>
    </row>
    <row r="13618" spans="1:1" x14ac:dyDescent="0.3">
      <c r="A13618" s="20"/>
    </row>
    <row r="13619" spans="1:1" x14ac:dyDescent="0.3">
      <c r="A13619" s="20"/>
    </row>
    <row r="13620" spans="1:1" x14ac:dyDescent="0.3">
      <c r="A13620" s="20"/>
    </row>
    <row r="13621" spans="1:1" x14ac:dyDescent="0.3">
      <c r="A13621" s="20"/>
    </row>
    <row r="13622" spans="1:1" x14ac:dyDescent="0.3">
      <c r="A13622" s="20"/>
    </row>
    <row r="13623" spans="1:1" x14ac:dyDescent="0.3">
      <c r="A13623" s="20"/>
    </row>
    <row r="13624" spans="1:1" x14ac:dyDescent="0.3">
      <c r="A13624" s="20"/>
    </row>
    <row r="13625" spans="1:1" x14ac:dyDescent="0.3">
      <c r="A13625" s="20"/>
    </row>
    <row r="13626" spans="1:1" x14ac:dyDescent="0.3">
      <c r="A13626" s="20"/>
    </row>
    <row r="13627" spans="1:1" x14ac:dyDescent="0.3">
      <c r="A13627" s="20"/>
    </row>
    <row r="13628" spans="1:1" x14ac:dyDescent="0.3">
      <c r="A13628" s="20"/>
    </row>
    <row r="13629" spans="1:1" x14ac:dyDescent="0.3">
      <c r="A13629" s="20"/>
    </row>
    <row r="13630" spans="1:1" x14ac:dyDescent="0.3">
      <c r="A13630" s="20"/>
    </row>
    <row r="13631" spans="1:1" x14ac:dyDescent="0.3">
      <c r="A13631" s="20"/>
    </row>
    <row r="13632" spans="1:1" x14ac:dyDescent="0.3">
      <c r="A13632" s="20"/>
    </row>
    <row r="13633" spans="1:1" x14ac:dyDescent="0.3">
      <c r="A13633" s="20"/>
    </row>
    <row r="13634" spans="1:1" x14ac:dyDescent="0.3">
      <c r="A13634" s="20"/>
    </row>
    <row r="13635" spans="1:1" x14ac:dyDescent="0.3">
      <c r="A13635" s="20"/>
    </row>
    <row r="13636" spans="1:1" x14ac:dyDescent="0.3">
      <c r="A13636" s="20"/>
    </row>
    <row r="13637" spans="1:1" x14ac:dyDescent="0.3">
      <c r="A13637" s="20"/>
    </row>
    <row r="13638" spans="1:1" x14ac:dyDescent="0.3">
      <c r="A13638" s="20"/>
    </row>
    <row r="13639" spans="1:1" x14ac:dyDescent="0.3">
      <c r="A13639" s="20"/>
    </row>
    <row r="13640" spans="1:1" x14ac:dyDescent="0.3">
      <c r="A13640" s="20"/>
    </row>
    <row r="13641" spans="1:1" x14ac:dyDescent="0.3">
      <c r="A13641" s="20"/>
    </row>
    <row r="13642" spans="1:1" x14ac:dyDescent="0.3">
      <c r="A13642" s="20"/>
    </row>
    <row r="13643" spans="1:1" x14ac:dyDescent="0.3">
      <c r="A13643" s="20"/>
    </row>
    <row r="13644" spans="1:1" x14ac:dyDescent="0.3">
      <c r="A13644" s="20"/>
    </row>
    <row r="13645" spans="1:1" x14ac:dyDescent="0.3">
      <c r="A13645" s="20"/>
    </row>
    <row r="13646" spans="1:1" x14ac:dyDescent="0.3">
      <c r="A13646" s="20"/>
    </row>
    <row r="13647" spans="1:1" x14ac:dyDescent="0.3">
      <c r="A13647" s="20"/>
    </row>
    <row r="13648" spans="1:1" x14ac:dyDescent="0.3">
      <c r="A13648" s="20"/>
    </row>
    <row r="13649" spans="1:1" x14ac:dyDescent="0.3">
      <c r="A13649" s="20"/>
    </row>
    <row r="13650" spans="1:1" x14ac:dyDescent="0.3">
      <c r="A13650" s="20"/>
    </row>
    <row r="13651" spans="1:1" x14ac:dyDescent="0.3">
      <c r="A13651" s="20"/>
    </row>
    <row r="13652" spans="1:1" x14ac:dyDescent="0.3">
      <c r="A13652" s="20"/>
    </row>
    <row r="13653" spans="1:1" x14ac:dyDescent="0.3">
      <c r="A13653" s="20"/>
    </row>
    <row r="13654" spans="1:1" x14ac:dyDescent="0.3">
      <c r="A13654" s="20"/>
    </row>
    <row r="13655" spans="1:1" x14ac:dyDescent="0.3">
      <c r="A13655" s="20"/>
    </row>
    <row r="13656" spans="1:1" x14ac:dyDescent="0.3">
      <c r="A13656" s="20"/>
    </row>
    <row r="13657" spans="1:1" x14ac:dyDescent="0.3">
      <c r="A13657" s="20"/>
    </row>
    <row r="13658" spans="1:1" x14ac:dyDescent="0.3">
      <c r="A13658" s="20"/>
    </row>
    <row r="13659" spans="1:1" x14ac:dyDescent="0.3">
      <c r="A13659" s="20"/>
    </row>
    <row r="13660" spans="1:1" x14ac:dyDescent="0.3">
      <c r="A13660" s="20"/>
    </row>
    <row r="13661" spans="1:1" x14ac:dyDescent="0.3">
      <c r="A13661" s="20"/>
    </row>
    <row r="13662" spans="1:1" x14ac:dyDescent="0.3">
      <c r="A13662" s="20"/>
    </row>
    <row r="13663" spans="1:1" x14ac:dyDescent="0.3">
      <c r="A13663" s="20"/>
    </row>
    <row r="13664" spans="1:1" x14ac:dyDescent="0.3">
      <c r="A13664" s="20"/>
    </row>
    <row r="13665" spans="1:1" x14ac:dyDescent="0.3">
      <c r="A13665" s="20"/>
    </row>
    <row r="13666" spans="1:1" x14ac:dyDescent="0.3">
      <c r="A13666" s="20"/>
    </row>
    <row r="13667" spans="1:1" x14ac:dyDescent="0.3">
      <c r="A13667" s="20"/>
    </row>
    <row r="13668" spans="1:1" x14ac:dyDescent="0.3">
      <c r="A13668" s="20"/>
    </row>
    <row r="13669" spans="1:1" x14ac:dyDescent="0.3">
      <c r="A13669" s="20"/>
    </row>
    <row r="13670" spans="1:1" x14ac:dyDescent="0.3">
      <c r="A13670" s="20"/>
    </row>
    <row r="13671" spans="1:1" x14ac:dyDescent="0.3">
      <c r="A13671" s="20"/>
    </row>
    <row r="13672" spans="1:1" x14ac:dyDescent="0.3">
      <c r="A13672" s="20"/>
    </row>
    <row r="13673" spans="1:1" x14ac:dyDescent="0.3">
      <c r="A13673" s="20"/>
    </row>
    <row r="13674" spans="1:1" x14ac:dyDescent="0.3">
      <c r="A13674" s="20"/>
    </row>
    <row r="13675" spans="1:1" x14ac:dyDescent="0.3">
      <c r="A13675" s="20"/>
    </row>
    <row r="13676" spans="1:1" x14ac:dyDescent="0.3">
      <c r="A13676" s="20"/>
    </row>
    <row r="13677" spans="1:1" x14ac:dyDescent="0.3">
      <c r="A13677" s="20"/>
    </row>
    <row r="13678" spans="1:1" x14ac:dyDescent="0.3">
      <c r="A13678" s="20"/>
    </row>
    <row r="13679" spans="1:1" x14ac:dyDescent="0.3">
      <c r="A13679" s="20"/>
    </row>
    <row r="13680" spans="1:1" x14ac:dyDescent="0.3">
      <c r="A13680" s="20"/>
    </row>
    <row r="13681" spans="1:1" x14ac:dyDescent="0.3">
      <c r="A13681" s="20"/>
    </row>
    <row r="13682" spans="1:1" x14ac:dyDescent="0.3">
      <c r="A13682" s="20"/>
    </row>
    <row r="13683" spans="1:1" x14ac:dyDescent="0.3">
      <c r="A13683" s="20"/>
    </row>
    <row r="13684" spans="1:1" x14ac:dyDescent="0.3">
      <c r="A13684" s="20"/>
    </row>
    <row r="13685" spans="1:1" x14ac:dyDescent="0.3">
      <c r="A13685" s="20"/>
    </row>
    <row r="13686" spans="1:1" x14ac:dyDescent="0.3">
      <c r="A13686" s="20"/>
    </row>
    <row r="13687" spans="1:1" x14ac:dyDescent="0.3">
      <c r="A13687" s="20"/>
    </row>
    <row r="13688" spans="1:1" x14ac:dyDescent="0.3">
      <c r="A13688" s="20"/>
    </row>
    <row r="13689" spans="1:1" x14ac:dyDescent="0.3">
      <c r="A13689" s="20"/>
    </row>
    <row r="13690" spans="1:1" x14ac:dyDescent="0.3">
      <c r="A13690" s="20"/>
    </row>
    <row r="13691" spans="1:1" x14ac:dyDescent="0.3">
      <c r="A13691" s="20"/>
    </row>
    <row r="13692" spans="1:1" x14ac:dyDescent="0.3">
      <c r="A13692" s="20"/>
    </row>
    <row r="13693" spans="1:1" x14ac:dyDescent="0.3">
      <c r="A13693" s="20"/>
    </row>
    <row r="13694" spans="1:1" x14ac:dyDescent="0.3">
      <c r="A13694" s="20"/>
    </row>
    <row r="13695" spans="1:1" x14ac:dyDescent="0.3">
      <c r="A13695" s="20"/>
    </row>
    <row r="13696" spans="1:1" x14ac:dyDescent="0.3">
      <c r="A13696" s="20"/>
    </row>
    <row r="13697" spans="1:1" x14ac:dyDescent="0.3">
      <c r="A13697" s="20"/>
    </row>
    <row r="13698" spans="1:1" x14ac:dyDescent="0.3">
      <c r="A13698" s="20"/>
    </row>
    <row r="13699" spans="1:1" x14ac:dyDescent="0.3">
      <c r="A13699" s="20"/>
    </row>
    <row r="13700" spans="1:1" x14ac:dyDescent="0.3">
      <c r="A13700" s="20"/>
    </row>
    <row r="13701" spans="1:1" x14ac:dyDescent="0.3">
      <c r="A13701" s="20"/>
    </row>
    <row r="13702" spans="1:1" x14ac:dyDescent="0.3">
      <c r="A13702" s="20"/>
    </row>
    <row r="13703" spans="1:1" x14ac:dyDescent="0.3">
      <c r="A13703" s="20"/>
    </row>
    <row r="13704" spans="1:1" x14ac:dyDescent="0.3">
      <c r="A13704" s="20"/>
    </row>
    <row r="13705" spans="1:1" x14ac:dyDescent="0.3">
      <c r="A13705" s="20"/>
    </row>
    <row r="13706" spans="1:1" x14ac:dyDescent="0.3">
      <c r="A13706" s="20"/>
    </row>
    <row r="13707" spans="1:1" x14ac:dyDescent="0.3">
      <c r="A13707" s="20"/>
    </row>
    <row r="13708" spans="1:1" x14ac:dyDescent="0.3">
      <c r="A13708" s="20"/>
    </row>
    <row r="13709" spans="1:1" x14ac:dyDescent="0.3">
      <c r="A13709" s="20"/>
    </row>
    <row r="13710" spans="1:1" x14ac:dyDescent="0.3">
      <c r="A13710" s="20"/>
    </row>
    <row r="13711" spans="1:1" x14ac:dyDescent="0.3">
      <c r="A13711" s="20"/>
    </row>
    <row r="13712" spans="1:1" x14ac:dyDescent="0.3">
      <c r="A13712" s="20"/>
    </row>
    <row r="13713" spans="1:1" x14ac:dyDescent="0.3">
      <c r="A13713" s="20"/>
    </row>
    <row r="13714" spans="1:1" x14ac:dyDescent="0.3">
      <c r="A13714" s="20"/>
    </row>
    <row r="13715" spans="1:1" x14ac:dyDescent="0.3">
      <c r="A13715" s="20"/>
    </row>
    <row r="13716" spans="1:1" x14ac:dyDescent="0.3">
      <c r="A13716" s="20"/>
    </row>
    <row r="13717" spans="1:1" x14ac:dyDescent="0.3">
      <c r="A13717" s="20"/>
    </row>
    <row r="13718" spans="1:1" x14ac:dyDescent="0.3">
      <c r="A13718" s="20"/>
    </row>
    <row r="13719" spans="1:1" x14ac:dyDescent="0.3">
      <c r="A13719" s="20"/>
    </row>
    <row r="13720" spans="1:1" x14ac:dyDescent="0.3">
      <c r="A13720" s="20"/>
    </row>
    <row r="13721" spans="1:1" x14ac:dyDescent="0.3">
      <c r="A13721" s="20"/>
    </row>
    <row r="13722" spans="1:1" x14ac:dyDescent="0.3">
      <c r="A13722" s="20"/>
    </row>
    <row r="13723" spans="1:1" x14ac:dyDescent="0.3">
      <c r="A13723" s="20"/>
    </row>
    <row r="13724" spans="1:1" x14ac:dyDescent="0.3">
      <c r="A13724" s="20"/>
    </row>
    <row r="13725" spans="1:1" x14ac:dyDescent="0.3">
      <c r="A13725" s="20"/>
    </row>
    <row r="13726" spans="1:1" x14ac:dyDescent="0.3">
      <c r="A13726" s="20"/>
    </row>
    <row r="13727" spans="1:1" x14ac:dyDescent="0.3">
      <c r="A13727" s="20"/>
    </row>
    <row r="13728" spans="1:1" x14ac:dyDescent="0.3">
      <c r="A13728" s="20"/>
    </row>
    <row r="13729" spans="1:1" x14ac:dyDescent="0.3">
      <c r="A13729" s="20"/>
    </row>
    <row r="13730" spans="1:1" x14ac:dyDescent="0.3">
      <c r="A13730" s="20"/>
    </row>
    <row r="13731" spans="1:1" x14ac:dyDescent="0.3">
      <c r="A13731" s="20"/>
    </row>
    <row r="13732" spans="1:1" x14ac:dyDescent="0.3">
      <c r="A13732" s="20"/>
    </row>
    <row r="13733" spans="1:1" x14ac:dyDescent="0.3">
      <c r="A13733" s="20"/>
    </row>
    <row r="13734" spans="1:1" x14ac:dyDescent="0.3">
      <c r="A13734" s="20"/>
    </row>
    <row r="13735" spans="1:1" x14ac:dyDescent="0.3">
      <c r="A13735" s="20"/>
    </row>
    <row r="13736" spans="1:1" x14ac:dyDescent="0.3">
      <c r="A13736" s="20"/>
    </row>
    <row r="13737" spans="1:1" x14ac:dyDescent="0.3">
      <c r="A13737" s="20"/>
    </row>
    <row r="13738" spans="1:1" x14ac:dyDescent="0.3">
      <c r="A13738" s="20"/>
    </row>
    <row r="13739" spans="1:1" x14ac:dyDescent="0.3">
      <c r="A13739" s="20"/>
    </row>
    <row r="13740" spans="1:1" x14ac:dyDescent="0.3">
      <c r="A13740" s="20"/>
    </row>
    <row r="13741" spans="1:1" x14ac:dyDescent="0.3">
      <c r="A13741" s="20"/>
    </row>
    <row r="13742" spans="1:1" x14ac:dyDescent="0.3">
      <c r="A13742" s="20"/>
    </row>
    <row r="13743" spans="1:1" x14ac:dyDescent="0.3">
      <c r="A13743" s="20"/>
    </row>
    <row r="13744" spans="1:1" x14ac:dyDescent="0.3">
      <c r="A13744" s="20"/>
    </row>
    <row r="13745" spans="1:1" x14ac:dyDescent="0.3">
      <c r="A13745" s="20"/>
    </row>
    <row r="13746" spans="1:1" x14ac:dyDescent="0.3">
      <c r="A13746" s="20"/>
    </row>
    <row r="13747" spans="1:1" x14ac:dyDescent="0.3">
      <c r="A13747" s="20"/>
    </row>
    <row r="13748" spans="1:1" x14ac:dyDescent="0.3">
      <c r="A13748" s="20"/>
    </row>
    <row r="13749" spans="1:1" x14ac:dyDescent="0.3">
      <c r="A13749" s="20"/>
    </row>
    <row r="13750" spans="1:1" x14ac:dyDescent="0.3">
      <c r="A13750" s="20"/>
    </row>
    <row r="13751" spans="1:1" x14ac:dyDescent="0.3">
      <c r="A13751" s="20"/>
    </row>
    <row r="13752" spans="1:1" x14ac:dyDescent="0.3">
      <c r="A13752" s="20"/>
    </row>
    <row r="13753" spans="1:1" x14ac:dyDescent="0.3">
      <c r="A13753" s="20"/>
    </row>
    <row r="13754" spans="1:1" x14ac:dyDescent="0.3">
      <c r="A13754" s="20"/>
    </row>
    <row r="13755" spans="1:1" x14ac:dyDescent="0.3">
      <c r="A13755" s="20"/>
    </row>
    <row r="13756" spans="1:1" x14ac:dyDescent="0.3">
      <c r="A13756" s="20"/>
    </row>
    <row r="13757" spans="1:1" x14ac:dyDescent="0.3">
      <c r="A13757" s="20"/>
    </row>
    <row r="13758" spans="1:1" x14ac:dyDescent="0.3">
      <c r="A13758" s="20"/>
    </row>
    <row r="13759" spans="1:1" x14ac:dyDescent="0.3">
      <c r="A13759" s="20"/>
    </row>
    <row r="13760" spans="1:1" x14ac:dyDescent="0.3">
      <c r="A13760" s="20"/>
    </row>
    <row r="13761" spans="1:1" x14ac:dyDescent="0.3">
      <c r="A13761" s="20"/>
    </row>
    <row r="13762" spans="1:1" x14ac:dyDescent="0.3">
      <c r="A13762" s="20"/>
    </row>
    <row r="13763" spans="1:1" x14ac:dyDescent="0.3">
      <c r="A13763" s="20"/>
    </row>
    <row r="13764" spans="1:1" x14ac:dyDescent="0.3">
      <c r="A13764" s="20"/>
    </row>
    <row r="13765" spans="1:1" x14ac:dyDescent="0.3">
      <c r="A13765" s="20"/>
    </row>
    <row r="13766" spans="1:1" x14ac:dyDescent="0.3">
      <c r="A13766" s="20"/>
    </row>
    <row r="13767" spans="1:1" x14ac:dyDescent="0.3">
      <c r="A13767" s="20"/>
    </row>
    <row r="13768" spans="1:1" x14ac:dyDescent="0.3">
      <c r="A13768" s="20"/>
    </row>
    <row r="13769" spans="1:1" x14ac:dyDescent="0.3">
      <c r="A13769" s="20"/>
    </row>
    <row r="13770" spans="1:1" x14ac:dyDescent="0.3">
      <c r="A13770" s="20"/>
    </row>
    <row r="13771" spans="1:1" x14ac:dyDescent="0.3">
      <c r="A13771" s="20"/>
    </row>
    <row r="13772" spans="1:1" x14ac:dyDescent="0.3">
      <c r="A13772" s="20"/>
    </row>
    <row r="13773" spans="1:1" x14ac:dyDescent="0.3">
      <c r="A13773" s="20"/>
    </row>
    <row r="13774" spans="1:1" x14ac:dyDescent="0.3">
      <c r="A13774" s="20"/>
    </row>
    <row r="13775" spans="1:1" x14ac:dyDescent="0.3">
      <c r="A13775" s="20"/>
    </row>
    <row r="13776" spans="1:1" x14ac:dyDescent="0.3">
      <c r="A13776" s="20"/>
    </row>
    <row r="13777" spans="1:1" x14ac:dyDescent="0.3">
      <c r="A13777" s="20"/>
    </row>
    <row r="13778" spans="1:1" x14ac:dyDescent="0.3">
      <c r="A13778" s="20"/>
    </row>
    <row r="13779" spans="1:1" x14ac:dyDescent="0.3">
      <c r="A13779" s="20"/>
    </row>
    <row r="13780" spans="1:1" x14ac:dyDescent="0.3">
      <c r="A13780" s="20"/>
    </row>
    <row r="13781" spans="1:1" x14ac:dyDescent="0.3">
      <c r="A13781" s="20"/>
    </row>
    <row r="13782" spans="1:1" x14ac:dyDescent="0.3">
      <c r="A13782" s="20"/>
    </row>
    <row r="13783" spans="1:1" x14ac:dyDescent="0.3">
      <c r="A13783" s="20"/>
    </row>
    <row r="13784" spans="1:1" x14ac:dyDescent="0.3">
      <c r="A13784" s="20"/>
    </row>
    <row r="13785" spans="1:1" x14ac:dyDescent="0.3">
      <c r="A13785" s="20"/>
    </row>
    <row r="13786" spans="1:1" x14ac:dyDescent="0.3">
      <c r="A13786" s="20"/>
    </row>
    <row r="13787" spans="1:1" x14ac:dyDescent="0.3">
      <c r="A13787" s="20"/>
    </row>
    <row r="13788" spans="1:1" x14ac:dyDescent="0.3">
      <c r="A13788" s="20"/>
    </row>
    <row r="13789" spans="1:1" x14ac:dyDescent="0.3">
      <c r="A13789" s="20"/>
    </row>
    <row r="13790" spans="1:1" x14ac:dyDescent="0.3">
      <c r="A13790" s="20"/>
    </row>
    <row r="13791" spans="1:1" x14ac:dyDescent="0.3">
      <c r="A13791" s="20"/>
    </row>
    <row r="13792" spans="1:1" x14ac:dyDescent="0.3">
      <c r="A13792" s="20"/>
    </row>
    <row r="13793" spans="1:1" x14ac:dyDescent="0.3">
      <c r="A13793" s="20"/>
    </row>
    <row r="13794" spans="1:1" x14ac:dyDescent="0.3">
      <c r="A13794" s="20"/>
    </row>
    <row r="13795" spans="1:1" x14ac:dyDescent="0.3">
      <c r="A13795" s="20"/>
    </row>
    <row r="13796" spans="1:1" x14ac:dyDescent="0.3">
      <c r="A13796" s="20"/>
    </row>
    <row r="13797" spans="1:1" x14ac:dyDescent="0.3">
      <c r="A13797" s="20"/>
    </row>
    <row r="13798" spans="1:1" x14ac:dyDescent="0.3">
      <c r="A13798" s="20"/>
    </row>
    <row r="13799" spans="1:1" x14ac:dyDescent="0.3">
      <c r="A13799" s="20"/>
    </row>
    <row r="13800" spans="1:1" x14ac:dyDescent="0.3">
      <c r="A13800" s="20"/>
    </row>
    <row r="13801" spans="1:1" x14ac:dyDescent="0.3">
      <c r="A13801" s="20"/>
    </row>
    <row r="13802" spans="1:1" x14ac:dyDescent="0.3">
      <c r="A13802" s="20"/>
    </row>
    <row r="13803" spans="1:1" x14ac:dyDescent="0.3">
      <c r="A13803" s="20"/>
    </row>
    <row r="13804" spans="1:1" x14ac:dyDescent="0.3">
      <c r="A13804" s="20"/>
    </row>
    <row r="13805" spans="1:1" x14ac:dyDescent="0.3">
      <c r="A13805" s="20"/>
    </row>
    <row r="13806" spans="1:1" x14ac:dyDescent="0.3">
      <c r="A13806" s="20"/>
    </row>
    <row r="13807" spans="1:1" x14ac:dyDescent="0.3">
      <c r="A13807" s="20"/>
    </row>
    <row r="13808" spans="1:1" x14ac:dyDescent="0.3">
      <c r="A13808" s="20"/>
    </row>
    <row r="13809" spans="1:1" x14ac:dyDescent="0.3">
      <c r="A13809" s="20"/>
    </row>
    <row r="13810" spans="1:1" x14ac:dyDescent="0.3">
      <c r="A13810" s="20"/>
    </row>
    <row r="13811" spans="1:1" x14ac:dyDescent="0.3">
      <c r="A13811" s="20"/>
    </row>
    <row r="13812" spans="1:1" x14ac:dyDescent="0.3">
      <c r="A13812" s="20"/>
    </row>
    <row r="13813" spans="1:1" x14ac:dyDescent="0.3">
      <c r="A13813" s="20"/>
    </row>
    <row r="13814" spans="1:1" x14ac:dyDescent="0.3">
      <c r="A13814" s="20"/>
    </row>
    <row r="13815" spans="1:1" x14ac:dyDescent="0.3">
      <c r="A13815" s="20"/>
    </row>
    <row r="13816" spans="1:1" x14ac:dyDescent="0.3">
      <c r="A13816" s="20"/>
    </row>
    <row r="13817" spans="1:1" x14ac:dyDescent="0.3">
      <c r="A13817" s="20"/>
    </row>
    <row r="13818" spans="1:1" x14ac:dyDescent="0.3">
      <c r="A13818" s="20"/>
    </row>
    <row r="13819" spans="1:1" x14ac:dyDescent="0.3">
      <c r="A13819" s="20"/>
    </row>
    <row r="13820" spans="1:1" x14ac:dyDescent="0.3">
      <c r="A13820" s="20"/>
    </row>
    <row r="13821" spans="1:1" x14ac:dyDescent="0.3">
      <c r="A13821" s="20"/>
    </row>
    <row r="13822" spans="1:1" x14ac:dyDescent="0.3">
      <c r="A13822" s="20"/>
    </row>
    <row r="13823" spans="1:1" x14ac:dyDescent="0.3">
      <c r="A13823" s="20"/>
    </row>
    <row r="13824" spans="1:1" x14ac:dyDescent="0.3">
      <c r="A13824" s="20"/>
    </row>
    <row r="13825" spans="1:1" x14ac:dyDescent="0.3">
      <c r="A13825" s="20"/>
    </row>
    <row r="13826" spans="1:1" x14ac:dyDescent="0.3">
      <c r="A13826" s="20"/>
    </row>
    <row r="13827" spans="1:1" x14ac:dyDescent="0.3">
      <c r="A13827" s="20"/>
    </row>
    <row r="13828" spans="1:1" x14ac:dyDescent="0.3">
      <c r="A13828" s="20"/>
    </row>
    <row r="13829" spans="1:1" x14ac:dyDescent="0.3">
      <c r="A13829" s="20"/>
    </row>
    <row r="13830" spans="1:1" x14ac:dyDescent="0.3">
      <c r="A13830" s="20"/>
    </row>
    <row r="13831" spans="1:1" x14ac:dyDescent="0.3">
      <c r="A13831" s="20"/>
    </row>
    <row r="13832" spans="1:1" x14ac:dyDescent="0.3">
      <c r="A13832" s="20"/>
    </row>
    <row r="13833" spans="1:1" x14ac:dyDescent="0.3">
      <c r="A13833" s="20"/>
    </row>
    <row r="13834" spans="1:1" x14ac:dyDescent="0.3">
      <c r="A13834" s="20"/>
    </row>
    <row r="13835" spans="1:1" x14ac:dyDescent="0.3">
      <c r="A13835" s="20"/>
    </row>
    <row r="13836" spans="1:1" x14ac:dyDescent="0.3">
      <c r="A13836" s="20"/>
    </row>
    <row r="13837" spans="1:1" x14ac:dyDescent="0.3">
      <c r="A13837" s="20"/>
    </row>
    <row r="13838" spans="1:1" x14ac:dyDescent="0.3">
      <c r="A13838" s="20"/>
    </row>
    <row r="13839" spans="1:1" x14ac:dyDescent="0.3">
      <c r="A13839" s="20"/>
    </row>
    <row r="13840" spans="1:1" x14ac:dyDescent="0.3">
      <c r="A13840" s="20"/>
    </row>
    <row r="13841" spans="1:1" x14ac:dyDescent="0.3">
      <c r="A13841" s="20"/>
    </row>
    <row r="13842" spans="1:1" x14ac:dyDescent="0.3">
      <c r="A13842" s="20"/>
    </row>
    <row r="13843" spans="1:1" x14ac:dyDescent="0.3">
      <c r="A13843" s="20"/>
    </row>
    <row r="13844" spans="1:1" x14ac:dyDescent="0.3">
      <c r="A13844" s="20"/>
    </row>
    <row r="13845" spans="1:1" x14ac:dyDescent="0.3">
      <c r="A13845" s="20"/>
    </row>
    <row r="13846" spans="1:1" x14ac:dyDescent="0.3">
      <c r="A13846" s="20"/>
    </row>
    <row r="13847" spans="1:1" x14ac:dyDescent="0.3">
      <c r="A13847" s="20"/>
    </row>
    <row r="13848" spans="1:1" x14ac:dyDescent="0.3">
      <c r="A13848" s="20"/>
    </row>
    <row r="13849" spans="1:1" x14ac:dyDescent="0.3">
      <c r="A13849" s="20"/>
    </row>
    <row r="13850" spans="1:1" x14ac:dyDescent="0.3">
      <c r="A13850" s="20"/>
    </row>
    <row r="13851" spans="1:1" x14ac:dyDescent="0.3">
      <c r="A13851" s="20"/>
    </row>
    <row r="13852" spans="1:1" x14ac:dyDescent="0.3">
      <c r="A13852" s="20"/>
    </row>
    <row r="13853" spans="1:1" x14ac:dyDescent="0.3">
      <c r="A13853" s="20"/>
    </row>
    <row r="13854" spans="1:1" x14ac:dyDescent="0.3">
      <c r="A13854" s="20"/>
    </row>
    <row r="13855" spans="1:1" x14ac:dyDescent="0.3">
      <c r="A13855" s="20"/>
    </row>
    <row r="13856" spans="1:1" x14ac:dyDescent="0.3">
      <c r="A13856" s="20"/>
    </row>
    <row r="13857" spans="1:1" x14ac:dyDescent="0.3">
      <c r="A13857" s="20"/>
    </row>
    <row r="13858" spans="1:1" x14ac:dyDescent="0.3">
      <c r="A13858" s="20"/>
    </row>
    <row r="13859" spans="1:1" x14ac:dyDescent="0.3">
      <c r="A13859" s="20"/>
    </row>
    <row r="13860" spans="1:1" x14ac:dyDescent="0.3">
      <c r="A13860" s="20"/>
    </row>
    <row r="13861" spans="1:1" x14ac:dyDescent="0.3">
      <c r="A13861" s="20"/>
    </row>
    <row r="13862" spans="1:1" x14ac:dyDescent="0.3">
      <c r="A13862" s="20"/>
    </row>
    <row r="13863" spans="1:1" x14ac:dyDescent="0.3">
      <c r="A13863" s="20"/>
    </row>
    <row r="13864" spans="1:1" x14ac:dyDescent="0.3">
      <c r="A13864" s="20"/>
    </row>
    <row r="13865" spans="1:1" x14ac:dyDescent="0.3">
      <c r="A13865" s="20"/>
    </row>
    <row r="13866" spans="1:1" x14ac:dyDescent="0.3">
      <c r="A13866" s="20"/>
    </row>
    <row r="13867" spans="1:1" x14ac:dyDescent="0.3">
      <c r="A13867" s="20"/>
    </row>
    <row r="13868" spans="1:1" x14ac:dyDescent="0.3">
      <c r="A13868" s="20"/>
    </row>
    <row r="13869" spans="1:1" x14ac:dyDescent="0.3">
      <c r="A13869" s="20"/>
    </row>
    <row r="13870" spans="1:1" x14ac:dyDescent="0.3">
      <c r="A13870" s="20"/>
    </row>
    <row r="13871" spans="1:1" x14ac:dyDescent="0.3">
      <c r="A13871" s="20"/>
    </row>
    <row r="13872" spans="1:1" x14ac:dyDescent="0.3">
      <c r="A13872" s="20"/>
    </row>
    <row r="13873" spans="1:1" x14ac:dyDescent="0.3">
      <c r="A13873" s="20"/>
    </row>
    <row r="13874" spans="1:1" x14ac:dyDescent="0.3">
      <c r="A13874" s="20"/>
    </row>
    <row r="13875" spans="1:1" x14ac:dyDescent="0.3">
      <c r="A13875" s="20"/>
    </row>
    <row r="13876" spans="1:1" x14ac:dyDescent="0.3">
      <c r="A13876" s="20"/>
    </row>
    <row r="13877" spans="1:1" x14ac:dyDescent="0.3">
      <c r="A13877" s="20"/>
    </row>
    <row r="13878" spans="1:1" x14ac:dyDescent="0.3">
      <c r="A13878" s="20"/>
    </row>
    <row r="13879" spans="1:1" x14ac:dyDescent="0.3">
      <c r="A13879" s="20"/>
    </row>
    <row r="13880" spans="1:1" x14ac:dyDescent="0.3">
      <c r="A13880" s="20"/>
    </row>
    <row r="13881" spans="1:1" x14ac:dyDescent="0.3">
      <c r="A13881" s="20"/>
    </row>
    <row r="13882" spans="1:1" x14ac:dyDescent="0.3">
      <c r="A13882" s="20"/>
    </row>
    <row r="13883" spans="1:1" x14ac:dyDescent="0.3">
      <c r="A13883" s="20"/>
    </row>
    <row r="13884" spans="1:1" x14ac:dyDescent="0.3">
      <c r="A13884" s="20"/>
    </row>
    <row r="13885" spans="1:1" x14ac:dyDescent="0.3">
      <c r="A13885" s="20"/>
    </row>
    <row r="13886" spans="1:1" x14ac:dyDescent="0.3">
      <c r="A13886" s="20"/>
    </row>
    <row r="13887" spans="1:1" x14ac:dyDescent="0.3">
      <c r="A13887" s="20"/>
    </row>
    <row r="13888" spans="1:1" x14ac:dyDescent="0.3">
      <c r="A13888" s="20"/>
    </row>
    <row r="13889" spans="1:1" x14ac:dyDescent="0.3">
      <c r="A13889" s="20"/>
    </row>
    <row r="13890" spans="1:1" x14ac:dyDescent="0.3">
      <c r="A13890" s="20"/>
    </row>
    <row r="13891" spans="1:1" x14ac:dyDescent="0.3">
      <c r="A13891" s="20"/>
    </row>
    <row r="13892" spans="1:1" x14ac:dyDescent="0.3">
      <c r="A13892" s="20"/>
    </row>
    <row r="13893" spans="1:1" x14ac:dyDescent="0.3">
      <c r="A13893" s="20"/>
    </row>
    <row r="13894" spans="1:1" x14ac:dyDescent="0.3">
      <c r="A13894" s="20"/>
    </row>
    <row r="13895" spans="1:1" x14ac:dyDescent="0.3">
      <c r="A13895" s="20"/>
    </row>
    <row r="13896" spans="1:1" x14ac:dyDescent="0.3">
      <c r="A13896" s="20"/>
    </row>
    <row r="13897" spans="1:1" x14ac:dyDescent="0.3">
      <c r="A13897" s="20"/>
    </row>
    <row r="13898" spans="1:1" x14ac:dyDescent="0.3">
      <c r="A13898" s="20"/>
    </row>
    <row r="13899" spans="1:1" x14ac:dyDescent="0.3">
      <c r="A13899" s="20"/>
    </row>
    <row r="13900" spans="1:1" x14ac:dyDescent="0.3">
      <c r="A13900" s="20"/>
    </row>
    <row r="13901" spans="1:1" x14ac:dyDescent="0.3">
      <c r="A13901" s="20"/>
    </row>
    <row r="13902" spans="1:1" x14ac:dyDescent="0.3">
      <c r="A13902" s="20"/>
    </row>
    <row r="13903" spans="1:1" x14ac:dyDescent="0.3">
      <c r="A13903" s="20"/>
    </row>
    <row r="13904" spans="1:1" x14ac:dyDescent="0.3">
      <c r="A13904" s="20"/>
    </row>
    <row r="13905" spans="1:1" x14ac:dyDescent="0.3">
      <c r="A13905" s="20"/>
    </row>
    <row r="13906" spans="1:1" x14ac:dyDescent="0.3">
      <c r="A13906" s="20"/>
    </row>
    <row r="13907" spans="1:1" x14ac:dyDescent="0.3">
      <c r="A13907" s="20"/>
    </row>
    <row r="13908" spans="1:1" x14ac:dyDescent="0.3">
      <c r="A13908" s="20"/>
    </row>
    <row r="13909" spans="1:1" x14ac:dyDescent="0.3">
      <c r="A13909" s="20"/>
    </row>
    <row r="13910" spans="1:1" x14ac:dyDescent="0.3">
      <c r="A13910" s="20"/>
    </row>
    <row r="13911" spans="1:1" x14ac:dyDescent="0.3">
      <c r="A13911" s="20"/>
    </row>
    <row r="13912" spans="1:1" x14ac:dyDescent="0.3">
      <c r="A13912" s="20"/>
    </row>
    <row r="13913" spans="1:1" x14ac:dyDescent="0.3">
      <c r="A13913" s="20"/>
    </row>
    <row r="13914" spans="1:1" x14ac:dyDescent="0.3">
      <c r="A13914" s="20"/>
    </row>
    <row r="13915" spans="1:1" x14ac:dyDescent="0.3">
      <c r="A13915" s="20"/>
    </row>
    <row r="13916" spans="1:1" x14ac:dyDescent="0.3">
      <c r="A13916" s="20"/>
    </row>
    <row r="13917" spans="1:1" x14ac:dyDescent="0.3">
      <c r="A13917" s="20"/>
    </row>
    <row r="13918" spans="1:1" x14ac:dyDescent="0.3">
      <c r="A13918" s="20"/>
    </row>
    <row r="13919" spans="1:1" x14ac:dyDescent="0.3">
      <c r="A13919" s="20"/>
    </row>
    <row r="13920" spans="1:1" x14ac:dyDescent="0.3">
      <c r="A13920" s="20"/>
    </row>
    <row r="13921" spans="1:1" x14ac:dyDescent="0.3">
      <c r="A13921" s="20"/>
    </row>
    <row r="13922" spans="1:1" x14ac:dyDescent="0.3">
      <c r="A13922" s="20"/>
    </row>
    <row r="13923" spans="1:1" x14ac:dyDescent="0.3">
      <c r="A13923" s="20"/>
    </row>
    <row r="13924" spans="1:1" x14ac:dyDescent="0.3">
      <c r="A13924" s="20"/>
    </row>
    <row r="13925" spans="1:1" x14ac:dyDescent="0.3">
      <c r="A13925" s="20"/>
    </row>
    <row r="13926" spans="1:1" x14ac:dyDescent="0.3">
      <c r="A13926" s="20"/>
    </row>
    <row r="13927" spans="1:1" x14ac:dyDescent="0.3">
      <c r="A13927" s="20"/>
    </row>
    <row r="13928" spans="1:1" x14ac:dyDescent="0.3">
      <c r="A13928" s="20"/>
    </row>
    <row r="13929" spans="1:1" x14ac:dyDescent="0.3">
      <c r="A13929" s="20"/>
    </row>
    <row r="13930" spans="1:1" x14ac:dyDescent="0.3">
      <c r="A13930" s="20"/>
    </row>
    <row r="13931" spans="1:1" x14ac:dyDescent="0.3">
      <c r="A13931" s="20"/>
    </row>
    <row r="13932" spans="1:1" x14ac:dyDescent="0.3">
      <c r="A13932" s="20"/>
    </row>
    <row r="13933" spans="1:1" x14ac:dyDescent="0.3">
      <c r="A13933" s="20"/>
    </row>
    <row r="13934" spans="1:1" x14ac:dyDescent="0.3">
      <c r="A13934" s="20"/>
    </row>
    <row r="13935" spans="1:1" x14ac:dyDescent="0.3">
      <c r="A13935" s="20"/>
    </row>
    <row r="13936" spans="1:1" x14ac:dyDescent="0.3">
      <c r="A13936" s="20"/>
    </row>
    <row r="13937" spans="1:1" x14ac:dyDescent="0.3">
      <c r="A13937" s="20"/>
    </row>
    <row r="13938" spans="1:1" x14ac:dyDescent="0.3">
      <c r="A13938" s="20"/>
    </row>
    <row r="13939" spans="1:1" x14ac:dyDescent="0.3">
      <c r="A13939" s="20"/>
    </row>
    <row r="13940" spans="1:1" x14ac:dyDescent="0.3">
      <c r="A13940" s="20"/>
    </row>
    <row r="13941" spans="1:1" x14ac:dyDescent="0.3">
      <c r="A13941" s="20"/>
    </row>
    <row r="13942" spans="1:1" x14ac:dyDescent="0.3">
      <c r="A13942" s="20"/>
    </row>
    <row r="13943" spans="1:1" x14ac:dyDescent="0.3">
      <c r="A13943" s="20"/>
    </row>
    <row r="13944" spans="1:1" x14ac:dyDescent="0.3">
      <c r="A13944" s="20"/>
    </row>
    <row r="13945" spans="1:1" x14ac:dyDescent="0.3">
      <c r="A13945" s="20"/>
    </row>
    <row r="13946" spans="1:1" x14ac:dyDescent="0.3">
      <c r="A13946" s="20"/>
    </row>
    <row r="13947" spans="1:1" x14ac:dyDescent="0.3">
      <c r="A13947" s="20"/>
    </row>
    <row r="13948" spans="1:1" x14ac:dyDescent="0.3">
      <c r="A13948" s="20"/>
    </row>
    <row r="13949" spans="1:1" x14ac:dyDescent="0.3">
      <c r="A13949" s="20"/>
    </row>
    <row r="13950" spans="1:1" x14ac:dyDescent="0.3">
      <c r="A13950" s="20"/>
    </row>
    <row r="13951" spans="1:1" x14ac:dyDescent="0.3">
      <c r="A13951" s="20"/>
    </row>
    <row r="13952" spans="1:1" x14ac:dyDescent="0.3">
      <c r="A13952" s="20"/>
    </row>
    <row r="13953" spans="1:1" x14ac:dyDescent="0.3">
      <c r="A13953" s="20"/>
    </row>
    <row r="13954" spans="1:1" x14ac:dyDescent="0.3">
      <c r="A13954" s="20"/>
    </row>
    <row r="13955" spans="1:1" x14ac:dyDescent="0.3">
      <c r="A13955" s="20"/>
    </row>
    <row r="13956" spans="1:1" x14ac:dyDescent="0.3">
      <c r="A13956" s="20"/>
    </row>
    <row r="13957" spans="1:1" x14ac:dyDescent="0.3">
      <c r="A13957" s="20"/>
    </row>
    <row r="13958" spans="1:1" x14ac:dyDescent="0.3">
      <c r="A13958" s="20"/>
    </row>
    <row r="13959" spans="1:1" x14ac:dyDescent="0.3">
      <c r="A13959" s="20"/>
    </row>
    <row r="13960" spans="1:1" x14ac:dyDescent="0.3">
      <c r="A13960" s="20"/>
    </row>
    <row r="13961" spans="1:1" x14ac:dyDescent="0.3">
      <c r="A13961" s="20"/>
    </row>
    <row r="13962" spans="1:1" x14ac:dyDescent="0.3">
      <c r="A13962" s="20"/>
    </row>
    <row r="13963" spans="1:1" x14ac:dyDescent="0.3">
      <c r="A13963" s="20"/>
    </row>
    <row r="13964" spans="1:1" x14ac:dyDescent="0.3">
      <c r="A13964" s="20"/>
    </row>
    <row r="13965" spans="1:1" x14ac:dyDescent="0.3">
      <c r="A13965" s="20"/>
    </row>
    <row r="13966" spans="1:1" x14ac:dyDescent="0.3">
      <c r="A13966" s="20"/>
    </row>
    <row r="13967" spans="1:1" x14ac:dyDescent="0.3">
      <c r="A13967" s="20"/>
    </row>
    <row r="13968" spans="1:1" x14ac:dyDescent="0.3">
      <c r="A13968" s="20"/>
    </row>
    <row r="13969" spans="1:1" x14ac:dyDescent="0.3">
      <c r="A13969" s="20"/>
    </row>
    <row r="13970" spans="1:1" x14ac:dyDescent="0.3">
      <c r="A13970" s="20"/>
    </row>
    <row r="13971" spans="1:1" x14ac:dyDescent="0.3">
      <c r="A13971" s="20"/>
    </row>
    <row r="13972" spans="1:1" x14ac:dyDescent="0.3">
      <c r="A13972" s="20"/>
    </row>
    <row r="13973" spans="1:1" x14ac:dyDescent="0.3">
      <c r="A13973" s="20"/>
    </row>
    <row r="13974" spans="1:1" x14ac:dyDescent="0.3">
      <c r="A13974" s="20"/>
    </row>
    <row r="13975" spans="1:1" x14ac:dyDescent="0.3">
      <c r="A13975" s="20"/>
    </row>
    <row r="13976" spans="1:1" x14ac:dyDescent="0.3">
      <c r="A13976" s="20"/>
    </row>
    <row r="13977" spans="1:1" x14ac:dyDescent="0.3">
      <c r="A13977" s="20"/>
    </row>
    <row r="13978" spans="1:1" x14ac:dyDescent="0.3">
      <c r="A13978" s="20"/>
    </row>
    <row r="13979" spans="1:1" x14ac:dyDescent="0.3">
      <c r="A13979" s="20"/>
    </row>
    <row r="13980" spans="1:1" x14ac:dyDescent="0.3">
      <c r="A13980" s="20"/>
    </row>
    <row r="13981" spans="1:1" x14ac:dyDescent="0.3">
      <c r="A13981" s="20"/>
    </row>
    <row r="13982" spans="1:1" x14ac:dyDescent="0.3">
      <c r="A13982" s="20"/>
    </row>
    <row r="13983" spans="1:1" x14ac:dyDescent="0.3">
      <c r="A13983" s="20"/>
    </row>
    <row r="13984" spans="1:1" x14ac:dyDescent="0.3">
      <c r="A13984" s="20"/>
    </row>
    <row r="13985" spans="1:1" x14ac:dyDescent="0.3">
      <c r="A13985" s="20"/>
    </row>
    <row r="13986" spans="1:1" x14ac:dyDescent="0.3">
      <c r="A13986" s="20"/>
    </row>
    <row r="13987" spans="1:1" x14ac:dyDescent="0.3">
      <c r="A13987" s="20"/>
    </row>
    <row r="13988" spans="1:1" x14ac:dyDescent="0.3">
      <c r="A13988" s="20"/>
    </row>
    <row r="13989" spans="1:1" x14ac:dyDescent="0.3">
      <c r="A13989" s="20"/>
    </row>
    <row r="13990" spans="1:1" x14ac:dyDescent="0.3">
      <c r="A13990" s="20"/>
    </row>
    <row r="13991" spans="1:1" x14ac:dyDescent="0.3">
      <c r="A13991" s="20"/>
    </row>
    <row r="13992" spans="1:1" x14ac:dyDescent="0.3">
      <c r="A13992" s="20"/>
    </row>
    <row r="13993" spans="1:1" x14ac:dyDescent="0.3">
      <c r="A13993" s="20"/>
    </row>
    <row r="13994" spans="1:1" x14ac:dyDescent="0.3">
      <c r="A13994" s="20"/>
    </row>
    <row r="13995" spans="1:1" x14ac:dyDescent="0.3">
      <c r="A13995" s="20"/>
    </row>
    <row r="13996" spans="1:1" x14ac:dyDescent="0.3">
      <c r="A13996" s="20"/>
    </row>
    <row r="13997" spans="1:1" x14ac:dyDescent="0.3">
      <c r="A13997" s="20"/>
    </row>
    <row r="13998" spans="1:1" x14ac:dyDescent="0.3">
      <c r="A13998" s="20"/>
    </row>
    <row r="13999" spans="1:1" x14ac:dyDescent="0.3">
      <c r="A13999" s="20"/>
    </row>
    <row r="14000" spans="1:1" x14ac:dyDescent="0.3">
      <c r="A14000" s="20"/>
    </row>
    <row r="14001" spans="1:1" x14ac:dyDescent="0.3">
      <c r="A14001" s="20"/>
    </row>
    <row r="14002" spans="1:1" x14ac:dyDescent="0.3">
      <c r="A14002" s="20"/>
    </row>
    <row r="14003" spans="1:1" x14ac:dyDescent="0.3">
      <c r="A14003" s="20"/>
    </row>
    <row r="14004" spans="1:1" x14ac:dyDescent="0.3">
      <c r="A14004" s="20"/>
    </row>
    <row r="14005" spans="1:1" x14ac:dyDescent="0.3">
      <c r="A14005" s="20"/>
    </row>
    <row r="14006" spans="1:1" x14ac:dyDescent="0.3">
      <c r="A14006" s="20"/>
    </row>
    <row r="14007" spans="1:1" x14ac:dyDescent="0.3">
      <c r="A14007" s="20"/>
    </row>
    <row r="14008" spans="1:1" x14ac:dyDescent="0.3">
      <c r="A14008" s="20"/>
    </row>
    <row r="14009" spans="1:1" x14ac:dyDescent="0.3">
      <c r="A14009" s="20"/>
    </row>
    <row r="14010" spans="1:1" x14ac:dyDescent="0.3">
      <c r="A14010" s="20"/>
    </row>
    <row r="14011" spans="1:1" x14ac:dyDescent="0.3">
      <c r="A14011" s="20"/>
    </row>
    <row r="14012" spans="1:1" x14ac:dyDescent="0.3">
      <c r="A14012" s="20"/>
    </row>
    <row r="14013" spans="1:1" x14ac:dyDescent="0.3">
      <c r="A14013" s="20"/>
    </row>
    <row r="14014" spans="1:1" x14ac:dyDescent="0.3">
      <c r="A14014" s="20"/>
    </row>
    <row r="14015" spans="1:1" x14ac:dyDescent="0.3">
      <c r="A14015" s="20"/>
    </row>
    <row r="14016" spans="1:1" x14ac:dyDescent="0.3">
      <c r="A14016" s="20"/>
    </row>
    <row r="14017" spans="1:1" x14ac:dyDescent="0.3">
      <c r="A14017" s="20"/>
    </row>
    <row r="14018" spans="1:1" x14ac:dyDescent="0.3">
      <c r="A14018" s="20"/>
    </row>
    <row r="14019" spans="1:1" x14ac:dyDescent="0.3">
      <c r="A14019" s="20"/>
    </row>
    <row r="14020" spans="1:1" x14ac:dyDescent="0.3">
      <c r="A14020" s="20"/>
    </row>
    <row r="14021" spans="1:1" x14ac:dyDescent="0.3">
      <c r="A14021" s="20"/>
    </row>
    <row r="14022" spans="1:1" x14ac:dyDescent="0.3">
      <c r="A14022" s="20"/>
    </row>
    <row r="14023" spans="1:1" x14ac:dyDescent="0.3">
      <c r="A14023" s="20"/>
    </row>
    <row r="14024" spans="1:1" x14ac:dyDescent="0.3">
      <c r="A14024" s="20"/>
    </row>
    <row r="14025" spans="1:1" x14ac:dyDescent="0.3">
      <c r="A14025" s="20"/>
    </row>
    <row r="14026" spans="1:1" x14ac:dyDescent="0.3">
      <c r="A14026" s="20"/>
    </row>
    <row r="14027" spans="1:1" x14ac:dyDescent="0.3">
      <c r="A14027" s="20"/>
    </row>
    <row r="14028" spans="1:1" x14ac:dyDescent="0.3">
      <c r="A14028" s="20"/>
    </row>
    <row r="14029" spans="1:1" x14ac:dyDescent="0.3">
      <c r="A14029" s="20"/>
    </row>
    <row r="14030" spans="1:1" x14ac:dyDescent="0.3">
      <c r="A14030" s="20"/>
    </row>
    <row r="14031" spans="1:1" x14ac:dyDescent="0.3">
      <c r="A14031" s="20"/>
    </row>
    <row r="14032" spans="1:1" x14ac:dyDescent="0.3">
      <c r="A14032" s="20"/>
    </row>
    <row r="14033" spans="1:1" x14ac:dyDescent="0.3">
      <c r="A14033" s="20"/>
    </row>
    <row r="14034" spans="1:1" x14ac:dyDescent="0.3">
      <c r="A14034" s="20"/>
    </row>
    <row r="14035" spans="1:1" x14ac:dyDescent="0.3">
      <c r="A14035" s="20"/>
    </row>
    <row r="14036" spans="1:1" x14ac:dyDescent="0.3">
      <c r="A14036" s="20"/>
    </row>
    <row r="14037" spans="1:1" x14ac:dyDescent="0.3">
      <c r="A14037" s="20"/>
    </row>
    <row r="14038" spans="1:1" x14ac:dyDescent="0.3">
      <c r="A14038" s="20"/>
    </row>
    <row r="14039" spans="1:1" x14ac:dyDescent="0.3">
      <c r="A14039" s="20"/>
    </row>
    <row r="14040" spans="1:1" x14ac:dyDescent="0.3">
      <c r="A14040" s="20"/>
    </row>
    <row r="14041" spans="1:1" x14ac:dyDescent="0.3">
      <c r="A14041" s="20"/>
    </row>
    <row r="14042" spans="1:1" x14ac:dyDescent="0.3">
      <c r="A14042" s="20"/>
    </row>
    <row r="14043" spans="1:1" x14ac:dyDescent="0.3">
      <c r="A14043" s="20"/>
    </row>
    <row r="14044" spans="1:1" x14ac:dyDescent="0.3">
      <c r="A14044" s="20"/>
    </row>
    <row r="14045" spans="1:1" x14ac:dyDescent="0.3">
      <c r="A14045" s="20"/>
    </row>
    <row r="14046" spans="1:1" x14ac:dyDescent="0.3">
      <c r="A14046" s="20"/>
    </row>
    <row r="14047" spans="1:1" x14ac:dyDescent="0.3">
      <c r="A14047" s="20"/>
    </row>
    <row r="14048" spans="1:1" x14ac:dyDescent="0.3">
      <c r="A14048" s="20"/>
    </row>
    <row r="14049" spans="1:1" x14ac:dyDescent="0.3">
      <c r="A14049" s="20"/>
    </row>
    <row r="14050" spans="1:1" x14ac:dyDescent="0.3">
      <c r="A14050" s="20"/>
    </row>
    <row r="14051" spans="1:1" x14ac:dyDescent="0.3">
      <c r="A14051" s="20"/>
    </row>
    <row r="14052" spans="1:1" x14ac:dyDescent="0.3">
      <c r="A14052" s="20"/>
    </row>
    <row r="14053" spans="1:1" x14ac:dyDescent="0.3">
      <c r="A14053" s="20"/>
    </row>
    <row r="14054" spans="1:1" x14ac:dyDescent="0.3">
      <c r="A14054" s="20"/>
    </row>
    <row r="14055" spans="1:1" x14ac:dyDescent="0.3">
      <c r="A14055" s="20"/>
    </row>
    <row r="14056" spans="1:1" x14ac:dyDescent="0.3">
      <c r="A14056" s="20"/>
    </row>
    <row r="14057" spans="1:1" x14ac:dyDescent="0.3">
      <c r="A14057" s="20"/>
    </row>
    <row r="14058" spans="1:1" x14ac:dyDescent="0.3">
      <c r="A14058" s="20"/>
    </row>
    <row r="14059" spans="1:1" x14ac:dyDescent="0.3">
      <c r="A14059" s="20"/>
    </row>
    <row r="14060" spans="1:1" x14ac:dyDescent="0.3">
      <c r="A14060" s="20"/>
    </row>
    <row r="14061" spans="1:1" x14ac:dyDescent="0.3">
      <c r="A14061" s="20"/>
    </row>
    <row r="14062" spans="1:1" x14ac:dyDescent="0.3">
      <c r="A14062" s="20"/>
    </row>
    <row r="14063" spans="1:1" x14ac:dyDescent="0.3">
      <c r="A14063" s="20"/>
    </row>
    <row r="14064" spans="1:1" x14ac:dyDescent="0.3">
      <c r="A14064" s="20"/>
    </row>
    <row r="14065" spans="1:1" x14ac:dyDescent="0.3">
      <c r="A14065" s="20"/>
    </row>
    <row r="14066" spans="1:1" x14ac:dyDescent="0.3">
      <c r="A14066" s="20"/>
    </row>
    <row r="14067" spans="1:1" x14ac:dyDescent="0.3">
      <c r="A14067" s="20"/>
    </row>
    <row r="14068" spans="1:1" x14ac:dyDescent="0.3">
      <c r="A14068" s="20"/>
    </row>
    <row r="14069" spans="1:1" x14ac:dyDescent="0.3">
      <c r="A14069" s="20"/>
    </row>
    <row r="14070" spans="1:1" x14ac:dyDescent="0.3">
      <c r="A14070" s="20"/>
    </row>
    <row r="14071" spans="1:1" x14ac:dyDescent="0.3">
      <c r="A14071" s="20"/>
    </row>
    <row r="14072" spans="1:1" x14ac:dyDescent="0.3">
      <c r="A14072" s="20"/>
    </row>
    <row r="14073" spans="1:1" x14ac:dyDescent="0.3">
      <c r="A14073" s="20"/>
    </row>
    <row r="14074" spans="1:1" x14ac:dyDescent="0.3">
      <c r="A14074" s="20"/>
    </row>
    <row r="14075" spans="1:1" x14ac:dyDescent="0.3">
      <c r="A14075" s="20"/>
    </row>
    <row r="14076" spans="1:1" x14ac:dyDescent="0.3">
      <c r="A14076" s="20"/>
    </row>
    <row r="14077" spans="1:1" x14ac:dyDescent="0.3">
      <c r="A14077" s="20"/>
    </row>
    <row r="14078" spans="1:1" x14ac:dyDescent="0.3">
      <c r="A14078" s="20"/>
    </row>
    <row r="14079" spans="1:1" x14ac:dyDescent="0.3">
      <c r="A14079" s="20"/>
    </row>
    <row r="14080" spans="1:1" x14ac:dyDescent="0.3">
      <c r="A14080" s="20"/>
    </row>
    <row r="14081" spans="1:1" x14ac:dyDescent="0.3">
      <c r="A14081" s="20"/>
    </row>
    <row r="14082" spans="1:1" x14ac:dyDescent="0.3">
      <c r="A14082" s="20"/>
    </row>
    <row r="14083" spans="1:1" x14ac:dyDescent="0.3">
      <c r="A14083" s="20"/>
    </row>
    <row r="14084" spans="1:1" x14ac:dyDescent="0.3">
      <c r="A14084" s="20"/>
    </row>
    <row r="14085" spans="1:1" x14ac:dyDescent="0.3">
      <c r="A14085" s="20"/>
    </row>
    <row r="14086" spans="1:1" x14ac:dyDescent="0.3">
      <c r="A14086" s="20"/>
    </row>
    <row r="14087" spans="1:1" x14ac:dyDescent="0.3">
      <c r="A14087" s="20"/>
    </row>
    <row r="14088" spans="1:1" x14ac:dyDescent="0.3">
      <c r="A14088" s="20"/>
    </row>
    <row r="14089" spans="1:1" x14ac:dyDescent="0.3">
      <c r="A14089" s="20"/>
    </row>
    <row r="14090" spans="1:1" x14ac:dyDescent="0.3">
      <c r="A14090" s="20"/>
    </row>
    <row r="14091" spans="1:1" x14ac:dyDescent="0.3">
      <c r="A14091" s="20"/>
    </row>
    <row r="14092" spans="1:1" x14ac:dyDescent="0.3">
      <c r="A14092" s="20"/>
    </row>
    <row r="14093" spans="1:1" x14ac:dyDescent="0.3">
      <c r="A14093" s="20"/>
    </row>
    <row r="14094" spans="1:1" x14ac:dyDescent="0.3">
      <c r="A14094" s="20"/>
    </row>
    <row r="14095" spans="1:1" x14ac:dyDescent="0.3">
      <c r="A14095" s="20"/>
    </row>
    <row r="14096" spans="1:1" x14ac:dyDescent="0.3">
      <c r="A14096" s="20"/>
    </row>
    <row r="14097" spans="1:1" x14ac:dyDescent="0.3">
      <c r="A14097" s="20"/>
    </row>
    <row r="14098" spans="1:1" x14ac:dyDescent="0.3">
      <c r="A14098" s="20"/>
    </row>
    <row r="14099" spans="1:1" x14ac:dyDescent="0.3">
      <c r="A14099" s="20"/>
    </row>
    <row r="14100" spans="1:1" x14ac:dyDescent="0.3">
      <c r="A14100" s="20"/>
    </row>
    <row r="14101" spans="1:1" x14ac:dyDescent="0.3">
      <c r="A14101" s="20"/>
    </row>
    <row r="14102" spans="1:1" x14ac:dyDescent="0.3">
      <c r="A14102" s="20"/>
    </row>
    <row r="14103" spans="1:1" x14ac:dyDescent="0.3">
      <c r="A14103" s="20"/>
    </row>
    <row r="14104" spans="1:1" x14ac:dyDescent="0.3">
      <c r="A14104" s="20"/>
    </row>
    <row r="14105" spans="1:1" x14ac:dyDescent="0.3">
      <c r="A14105" s="20"/>
    </row>
    <row r="14106" spans="1:1" x14ac:dyDescent="0.3">
      <c r="A14106" s="20"/>
    </row>
    <row r="14107" spans="1:1" x14ac:dyDescent="0.3">
      <c r="A14107" s="20"/>
    </row>
    <row r="14108" spans="1:1" x14ac:dyDescent="0.3">
      <c r="A14108" s="20"/>
    </row>
    <row r="14109" spans="1:1" x14ac:dyDescent="0.3">
      <c r="A14109" s="20"/>
    </row>
    <row r="14110" spans="1:1" x14ac:dyDescent="0.3">
      <c r="A14110" s="20"/>
    </row>
    <row r="14111" spans="1:1" x14ac:dyDescent="0.3">
      <c r="A14111" s="20"/>
    </row>
    <row r="14112" spans="1:1" x14ac:dyDescent="0.3">
      <c r="A14112" s="20"/>
    </row>
    <row r="14113" spans="1:1" x14ac:dyDescent="0.3">
      <c r="A14113" s="20"/>
    </row>
    <row r="14114" spans="1:1" x14ac:dyDescent="0.3">
      <c r="A14114" s="20"/>
    </row>
    <row r="14115" spans="1:1" x14ac:dyDescent="0.3">
      <c r="A14115" s="20"/>
    </row>
    <row r="14116" spans="1:1" x14ac:dyDescent="0.3">
      <c r="A14116" s="20"/>
    </row>
    <row r="14117" spans="1:1" x14ac:dyDescent="0.3">
      <c r="A14117" s="20"/>
    </row>
    <row r="14118" spans="1:1" x14ac:dyDescent="0.3">
      <c r="A14118" s="20"/>
    </row>
    <row r="14119" spans="1:1" x14ac:dyDescent="0.3">
      <c r="A14119" s="20"/>
    </row>
    <row r="14120" spans="1:1" x14ac:dyDescent="0.3">
      <c r="A14120" s="20"/>
    </row>
    <row r="14121" spans="1:1" x14ac:dyDescent="0.3">
      <c r="A14121" s="20"/>
    </row>
    <row r="14122" spans="1:1" x14ac:dyDescent="0.3">
      <c r="A14122" s="20"/>
    </row>
    <row r="14123" spans="1:1" x14ac:dyDescent="0.3">
      <c r="A14123" s="20"/>
    </row>
    <row r="14124" spans="1:1" x14ac:dyDescent="0.3">
      <c r="A14124" s="20"/>
    </row>
    <row r="14125" spans="1:1" x14ac:dyDescent="0.3">
      <c r="A14125" s="20"/>
    </row>
    <row r="14126" spans="1:1" x14ac:dyDescent="0.3">
      <c r="A14126" s="20"/>
    </row>
    <row r="14127" spans="1:1" x14ac:dyDescent="0.3">
      <c r="A14127" s="20"/>
    </row>
    <row r="14128" spans="1:1" x14ac:dyDescent="0.3">
      <c r="A14128" s="20"/>
    </row>
    <row r="14129" spans="1:1" x14ac:dyDescent="0.3">
      <c r="A14129" s="20"/>
    </row>
    <row r="14130" spans="1:1" x14ac:dyDescent="0.3">
      <c r="A14130" s="20"/>
    </row>
    <row r="14131" spans="1:1" x14ac:dyDescent="0.3">
      <c r="A14131" s="20"/>
    </row>
    <row r="14132" spans="1:1" x14ac:dyDescent="0.3">
      <c r="A14132" s="20"/>
    </row>
    <row r="14133" spans="1:1" x14ac:dyDescent="0.3">
      <c r="A14133" s="20"/>
    </row>
    <row r="14134" spans="1:1" x14ac:dyDescent="0.3">
      <c r="A14134" s="20"/>
    </row>
    <row r="14135" spans="1:1" x14ac:dyDescent="0.3">
      <c r="A14135" s="20"/>
    </row>
    <row r="14136" spans="1:1" x14ac:dyDescent="0.3">
      <c r="A14136" s="20"/>
    </row>
    <row r="14137" spans="1:1" x14ac:dyDescent="0.3">
      <c r="A14137" s="20"/>
    </row>
    <row r="14138" spans="1:1" x14ac:dyDescent="0.3">
      <c r="A14138" s="20"/>
    </row>
    <row r="14139" spans="1:1" x14ac:dyDescent="0.3">
      <c r="A14139" s="20"/>
    </row>
    <row r="14140" spans="1:1" x14ac:dyDescent="0.3">
      <c r="A14140" s="20"/>
    </row>
    <row r="14141" spans="1:1" x14ac:dyDescent="0.3">
      <c r="A14141" s="20"/>
    </row>
    <row r="14142" spans="1:1" x14ac:dyDescent="0.3">
      <c r="A14142" s="20"/>
    </row>
    <row r="14143" spans="1:1" x14ac:dyDescent="0.3">
      <c r="A14143" s="20"/>
    </row>
    <row r="14144" spans="1:1" x14ac:dyDescent="0.3">
      <c r="A14144" s="20"/>
    </row>
    <row r="14145" spans="1:1" x14ac:dyDescent="0.3">
      <c r="A14145" s="20"/>
    </row>
    <row r="14146" spans="1:1" x14ac:dyDescent="0.3">
      <c r="A14146" s="20"/>
    </row>
    <row r="14147" spans="1:1" x14ac:dyDescent="0.3">
      <c r="A14147" s="20"/>
    </row>
    <row r="14148" spans="1:1" x14ac:dyDescent="0.3">
      <c r="A14148" s="20"/>
    </row>
    <row r="14149" spans="1:1" x14ac:dyDescent="0.3">
      <c r="A14149" s="20"/>
    </row>
    <row r="14150" spans="1:1" x14ac:dyDescent="0.3">
      <c r="A14150" s="20"/>
    </row>
    <row r="14151" spans="1:1" x14ac:dyDescent="0.3">
      <c r="A14151" s="20"/>
    </row>
    <row r="14152" spans="1:1" x14ac:dyDescent="0.3">
      <c r="A14152" s="20"/>
    </row>
    <row r="14153" spans="1:1" x14ac:dyDescent="0.3">
      <c r="A14153" s="20"/>
    </row>
    <row r="14154" spans="1:1" x14ac:dyDescent="0.3">
      <c r="A14154" s="20"/>
    </row>
    <row r="14155" spans="1:1" x14ac:dyDescent="0.3">
      <c r="A14155" s="20"/>
    </row>
    <row r="14156" spans="1:1" x14ac:dyDescent="0.3">
      <c r="A14156" s="20"/>
    </row>
    <row r="14157" spans="1:1" x14ac:dyDescent="0.3">
      <c r="A14157" s="20"/>
    </row>
    <row r="14158" spans="1:1" x14ac:dyDescent="0.3">
      <c r="A14158" s="20"/>
    </row>
    <row r="14159" spans="1:1" x14ac:dyDescent="0.3">
      <c r="A14159" s="20"/>
    </row>
    <row r="14160" spans="1:1" x14ac:dyDescent="0.3">
      <c r="A14160" s="20"/>
    </row>
    <row r="14161" spans="1:1" x14ac:dyDescent="0.3">
      <c r="A14161" s="20"/>
    </row>
    <row r="14162" spans="1:1" x14ac:dyDescent="0.3">
      <c r="A14162" s="20"/>
    </row>
    <row r="14163" spans="1:1" x14ac:dyDescent="0.3">
      <c r="A14163" s="20"/>
    </row>
    <row r="14164" spans="1:1" x14ac:dyDescent="0.3">
      <c r="A14164" s="20"/>
    </row>
    <row r="14165" spans="1:1" x14ac:dyDescent="0.3">
      <c r="A14165" s="20"/>
    </row>
    <row r="14166" spans="1:1" x14ac:dyDescent="0.3">
      <c r="A14166" s="20"/>
    </row>
    <row r="14167" spans="1:1" x14ac:dyDescent="0.3">
      <c r="A14167" s="20"/>
    </row>
    <row r="14168" spans="1:1" x14ac:dyDescent="0.3">
      <c r="A14168" s="20"/>
    </row>
    <row r="14169" spans="1:1" x14ac:dyDescent="0.3">
      <c r="A14169" s="20"/>
    </row>
    <row r="14170" spans="1:1" x14ac:dyDescent="0.3">
      <c r="A14170" s="20"/>
    </row>
    <row r="14171" spans="1:1" x14ac:dyDescent="0.3">
      <c r="A14171" s="20"/>
    </row>
    <row r="14172" spans="1:1" x14ac:dyDescent="0.3">
      <c r="A14172" s="20"/>
    </row>
    <row r="14173" spans="1:1" x14ac:dyDescent="0.3">
      <c r="A14173" s="20"/>
    </row>
    <row r="14174" spans="1:1" x14ac:dyDescent="0.3">
      <c r="A14174" s="20"/>
    </row>
    <row r="14175" spans="1:1" x14ac:dyDescent="0.3">
      <c r="A14175" s="20"/>
    </row>
    <row r="14176" spans="1:1" x14ac:dyDescent="0.3">
      <c r="A14176" s="20"/>
    </row>
    <row r="14177" spans="1:1" x14ac:dyDescent="0.3">
      <c r="A14177" s="20"/>
    </row>
    <row r="14178" spans="1:1" x14ac:dyDescent="0.3">
      <c r="A14178" s="20"/>
    </row>
    <row r="14179" spans="1:1" x14ac:dyDescent="0.3">
      <c r="A14179" s="20"/>
    </row>
    <row r="14180" spans="1:1" x14ac:dyDescent="0.3">
      <c r="A14180" s="20"/>
    </row>
    <row r="14181" spans="1:1" x14ac:dyDescent="0.3">
      <c r="A14181" s="20"/>
    </row>
    <row r="14182" spans="1:1" x14ac:dyDescent="0.3">
      <c r="A14182" s="20"/>
    </row>
    <row r="14183" spans="1:1" x14ac:dyDescent="0.3">
      <c r="A14183" s="20"/>
    </row>
    <row r="14184" spans="1:1" x14ac:dyDescent="0.3">
      <c r="A14184" s="20"/>
    </row>
    <row r="14185" spans="1:1" x14ac:dyDescent="0.3">
      <c r="A14185" s="20"/>
    </row>
    <row r="14186" spans="1:1" x14ac:dyDescent="0.3">
      <c r="A14186" s="20"/>
    </row>
    <row r="14187" spans="1:1" x14ac:dyDescent="0.3">
      <c r="A14187" s="20"/>
    </row>
    <row r="14188" spans="1:1" x14ac:dyDescent="0.3">
      <c r="A14188" s="20"/>
    </row>
    <row r="14189" spans="1:1" x14ac:dyDescent="0.3">
      <c r="A14189" s="20"/>
    </row>
    <row r="14190" spans="1:1" x14ac:dyDescent="0.3">
      <c r="A14190" s="20"/>
    </row>
    <row r="14191" spans="1:1" x14ac:dyDescent="0.3">
      <c r="A14191" s="20"/>
    </row>
    <row r="14192" spans="1:1" x14ac:dyDescent="0.3">
      <c r="A14192" s="20"/>
    </row>
    <row r="14193" spans="1:1" x14ac:dyDescent="0.3">
      <c r="A14193" s="20"/>
    </row>
    <row r="14194" spans="1:1" x14ac:dyDescent="0.3">
      <c r="A14194" s="20"/>
    </row>
    <row r="14195" spans="1:1" x14ac:dyDescent="0.3">
      <c r="A14195" s="20"/>
    </row>
    <row r="14196" spans="1:1" x14ac:dyDescent="0.3">
      <c r="A14196" s="20"/>
    </row>
    <row r="14197" spans="1:1" x14ac:dyDescent="0.3">
      <c r="A14197" s="20"/>
    </row>
    <row r="14198" spans="1:1" x14ac:dyDescent="0.3">
      <c r="A14198" s="20"/>
    </row>
    <row r="14199" spans="1:1" x14ac:dyDescent="0.3">
      <c r="A14199" s="20"/>
    </row>
    <row r="14200" spans="1:1" x14ac:dyDescent="0.3">
      <c r="A14200" s="20"/>
    </row>
    <row r="14201" spans="1:1" x14ac:dyDescent="0.3">
      <c r="A14201" s="20"/>
    </row>
    <row r="14202" spans="1:1" x14ac:dyDescent="0.3">
      <c r="A14202" s="20"/>
    </row>
    <row r="14203" spans="1:1" x14ac:dyDescent="0.3">
      <c r="A14203" s="20"/>
    </row>
    <row r="14204" spans="1:1" x14ac:dyDescent="0.3">
      <c r="A14204" s="20"/>
    </row>
    <row r="14205" spans="1:1" x14ac:dyDescent="0.3">
      <c r="A14205" s="20"/>
    </row>
    <row r="14206" spans="1:1" x14ac:dyDescent="0.3">
      <c r="A14206" s="20"/>
    </row>
    <row r="14207" spans="1:1" x14ac:dyDescent="0.3">
      <c r="A14207" s="20"/>
    </row>
    <row r="14208" spans="1:1" x14ac:dyDescent="0.3">
      <c r="A14208" s="20"/>
    </row>
    <row r="14209" spans="1:1" x14ac:dyDescent="0.3">
      <c r="A14209" s="20"/>
    </row>
    <row r="14210" spans="1:1" x14ac:dyDescent="0.3">
      <c r="A14210" s="20"/>
    </row>
    <row r="14211" spans="1:1" x14ac:dyDescent="0.3">
      <c r="A14211" s="20"/>
    </row>
    <row r="14212" spans="1:1" x14ac:dyDescent="0.3">
      <c r="A14212" s="20"/>
    </row>
    <row r="14213" spans="1:1" x14ac:dyDescent="0.3">
      <c r="A14213" s="20"/>
    </row>
    <row r="14214" spans="1:1" x14ac:dyDescent="0.3">
      <c r="A14214" s="20"/>
    </row>
    <row r="14215" spans="1:1" x14ac:dyDescent="0.3">
      <c r="A14215" s="20"/>
    </row>
    <row r="14216" spans="1:1" x14ac:dyDescent="0.3">
      <c r="A14216" s="20"/>
    </row>
    <row r="14217" spans="1:1" x14ac:dyDescent="0.3">
      <c r="A14217" s="20"/>
    </row>
    <row r="14218" spans="1:1" x14ac:dyDescent="0.3">
      <c r="A14218" s="20"/>
    </row>
    <row r="14219" spans="1:1" x14ac:dyDescent="0.3">
      <c r="A14219" s="20"/>
    </row>
    <row r="14220" spans="1:1" x14ac:dyDescent="0.3">
      <c r="A14220" s="20"/>
    </row>
    <row r="14221" spans="1:1" x14ac:dyDescent="0.3">
      <c r="A14221" s="20"/>
    </row>
    <row r="14222" spans="1:1" x14ac:dyDescent="0.3">
      <c r="A14222" s="20"/>
    </row>
    <row r="14223" spans="1:1" x14ac:dyDescent="0.3">
      <c r="A14223" s="20"/>
    </row>
    <row r="14224" spans="1:1" x14ac:dyDescent="0.3">
      <c r="A14224" s="20"/>
    </row>
    <row r="14225" spans="1:1" x14ac:dyDescent="0.3">
      <c r="A14225" s="20"/>
    </row>
    <row r="14226" spans="1:1" x14ac:dyDescent="0.3">
      <c r="A14226" s="20"/>
    </row>
    <row r="14227" spans="1:1" x14ac:dyDescent="0.3">
      <c r="A14227" s="20"/>
    </row>
    <row r="14228" spans="1:1" x14ac:dyDescent="0.3">
      <c r="A14228" s="20"/>
    </row>
    <row r="14229" spans="1:1" x14ac:dyDescent="0.3">
      <c r="A14229" s="20"/>
    </row>
    <row r="14230" spans="1:1" x14ac:dyDescent="0.3">
      <c r="A14230" s="20"/>
    </row>
    <row r="14231" spans="1:1" x14ac:dyDescent="0.3">
      <c r="A14231" s="20"/>
    </row>
    <row r="14232" spans="1:1" x14ac:dyDescent="0.3">
      <c r="A14232" s="20"/>
    </row>
    <row r="14233" spans="1:1" x14ac:dyDescent="0.3">
      <c r="A14233" s="20"/>
    </row>
    <row r="14234" spans="1:1" x14ac:dyDescent="0.3">
      <c r="A14234" s="20"/>
    </row>
    <row r="14235" spans="1:1" x14ac:dyDescent="0.3">
      <c r="A14235" s="20"/>
    </row>
    <row r="14236" spans="1:1" x14ac:dyDescent="0.3">
      <c r="A14236" s="20"/>
    </row>
    <row r="14237" spans="1:1" x14ac:dyDescent="0.3">
      <c r="A14237" s="20"/>
    </row>
    <row r="14238" spans="1:1" x14ac:dyDescent="0.3">
      <c r="A14238" s="20"/>
    </row>
    <row r="14239" spans="1:1" x14ac:dyDescent="0.3">
      <c r="A14239" s="20"/>
    </row>
    <row r="14240" spans="1:1" x14ac:dyDescent="0.3">
      <c r="A14240" s="20"/>
    </row>
    <row r="14241" spans="1:1" x14ac:dyDescent="0.3">
      <c r="A14241" s="20"/>
    </row>
    <row r="14242" spans="1:1" x14ac:dyDescent="0.3">
      <c r="A14242" s="20"/>
    </row>
    <row r="14243" spans="1:1" x14ac:dyDescent="0.3">
      <c r="A14243" s="20"/>
    </row>
    <row r="14244" spans="1:1" x14ac:dyDescent="0.3">
      <c r="A14244" s="20"/>
    </row>
    <row r="14245" spans="1:1" x14ac:dyDescent="0.3">
      <c r="A14245" s="20"/>
    </row>
    <row r="14246" spans="1:1" x14ac:dyDescent="0.3">
      <c r="A14246" s="20"/>
    </row>
    <row r="14247" spans="1:1" x14ac:dyDescent="0.3">
      <c r="A14247" s="20"/>
    </row>
    <row r="14248" spans="1:1" x14ac:dyDescent="0.3">
      <c r="A14248" s="20"/>
    </row>
    <row r="14249" spans="1:1" x14ac:dyDescent="0.3">
      <c r="A14249" s="20"/>
    </row>
    <row r="14250" spans="1:1" x14ac:dyDescent="0.3">
      <c r="A14250" s="20"/>
    </row>
    <row r="14251" spans="1:1" x14ac:dyDescent="0.3">
      <c r="A14251" s="20"/>
    </row>
    <row r="14252" spans="1:1" x14ac:dyDescent="0.3">
      <c r="A14252" s="20"/>
    </row>
    <row r="14253" spans="1:1" x14ac:dyDescent="0.3">
      <c r="A14253" s="20"/>
    </row>
    <row r="14254" spans="1:1" x14ac:dyDescent="0.3">
      <c r="A14254" s="20"/>
    </row>
    <row r="14255" spans="1:1" x14ac:dyDescent="0.3">
      <c r="A14255" s="20"/>
    </row>
    <row r="14256" spans="1:1" x14ac:dyDescent="0.3">
      <c r="A14256" s="20"/>
    </row>
    <row r="14257" spans="1:1" x14ac:dyDescent="0.3">
      <c r="A14257" s="20"/>
    </row>
    <row r="14258" spans="1:1" x14ac:dyDescent="0.3">
      <c r="A14258" s="20"/>
    </row>
    <row r="14259" spans="1:1" x14ac:dyDescent="0.3">
      <c r="A14259" s="20"/>
    </row>
    <row r="14260" spans="1:1" x14ac:dyDescent="0.3">
      <c r="A14260" s="20"/>
    </row>
    <row r="14261" spans="1:1" x14ac:dyDescent="0.3">
      <c r="A14261" s="20"/>
    </row>
    <row r="14262" spans="1:1" x14ac:dyDescent="0.3">
      <c r="A14262" s="20"/>
    </row>
    <row r="14263" spans="1:1" x14ac:dyDescent="0.3">
      <c r="A14263" s="20"/>
    </row>
    <row r="14264" spans="1:1" x14ac:dyDescent="0.3">
      <c r="A14264" s="20"/>
    </row>
    <row r="14265" spans="1:1" x14ac:dyDescent="0.3">
      <c r="A14265" s="20"/>
    </row>
    <row r="14266" spans="1:1" x14ac:dyDescent="0.3">
      <c r="A14266" s="20"/>
    </row>
    <row r="14267" spans="1:1" x14ac:dyDescent="0.3">
      <c r="A14267" s="20"/>
    </row>
    <row r="14268" spans="1:1" x14ac:dyDescent="0.3">
      <c r="A14268" s="20"/>
    </row>
    <row r="14269" spans="1:1" x14ac:dyDescent="0.3">
      <c r="A14269" s="20"/>
    </row>
    <row r="14270" spans="1:1" x14ac:dyDescent="0.3">
      <c r="A14270" s="20"/>
    </row>
    <row r="14271" spans="1:1" x14ac:dyDescent="0.3">
      <c r="A14271" s="20"/>
    </row>
    <row r="14272" spans="1:1" x14ac:dyDescent="0.3">
      <c r="A14272" s="20"/>
    </row>
    <row r="14273" spans="1:1" x14ac:dyDescent="0.3">
      <c r="A14273" s="20"/>
    </row>
    <row r="14274" spans="1:1" x14ac:dyDescent="0.3">
      <c r="A14274" s="20"/>
    </row>
    <row r="14275" spans="1:1" x14ac:dyDescent="0.3">
      <c r="A14275" s="20"/>
    </row>
    <row r="14276" spans="1:1" x14ac:dyDescent="0.3">
      <c r="A14276" s="20"/>
    </row>
    <row r="14277" spans="1:1" x14ac:dyDescent="0.3">
      <c r="A14277" s="20"/>
    </row>
    <row r="14278" spans="1:1" x14ac:dyDescent="0.3">
      <c r="A14278" s="20"/>
    </row>
    <row r="14279" spans="1:1" x14ac:dyDescent="0.3">
      <c r="A14279" s="20"/>
    </row>
    <row r="14280" spans="1:1" x14ac:dyDescent="0.3">
      <c r="A14280" s="20"/>
    </row>
    <row r="14281" spans="1:1" x14ac:dyDescent="0.3">
      <c r="A14281" s="20"/>
    </row>
    <row r="14282" spans="1:1" x14ac:dyDescent="0.3">
      <c r="A14282" s="20"/>
    </row>
    <row r="14283" spans="1:1" x14ac:dyDescent="0.3">
      <c r="A14283" s="20"/>
    </row>
    <row r="14284" spans="1:1" x14ac:dyDescent="0.3">
      <c r="A14284" s="20"/>
    </row>
    <row r="14285" spans="1:1" x14ac:dyDescent="0.3">
      <c r="A14285" s="20"/>
    </row>
    <row r="14286" spans="1:1" x14ac:dyDescent="0.3">
      <c r="A14286" s="20"/>
    </row>
    <row r="14287" spans="1:1" x14ac:dyDescent="0.3">
      <c r="A14287" s="20"/>
    </row>
    <row r="14288" spans="1:1" x14ac:dyDescent="0.3">
      <c r="A14288" s="20"/>
    </row>
    <row r="14289" spans="1:1" x14ac:dyDescent="0.3">
      <c r="A14289" s="20"/>
    </row>
    <row r="14290" spans="1:1" x14ac:dyDescent="0.3">
      <c r="A14290" s="20"/>
    </row>
    <row r="14291" spans="1:1" x14ac:dyDescent="0.3">
      <c r="A14291" s="20"/>
    </row>
    <row r="14292" spans="1:1" x14ac:dyDescent="0.3">
      <c r="A14292" s="20"/>
    </row>
    <row r="14293" spans="1:1" x14ac:dyDescent="0.3">
      <c r="A14293" s="20"/>
    </row>
    <row r="14294" spans="1:1" x14ac:dyDescent="0.3">
      <c r="A14294" s="20"/>
    </row>
    <row r="14295" spans="1:1" x14ac:dyDescent="0.3">
      <c r="A14295" s="20"/>
    </row>
    <row r="14296" spans="1:1" x14ac:dyDescent="0.3">
      <c r="A14296" s="20"/>
    </row>
    <row r="14297" spans="1:1" x14ac:dyDescent="0.3">
      <c r="A14297" s="20"/>
    </row>
    <row r="14298" spans="1:1" x14ac:dyDescent="0.3">
      <c r="A14298" s="20"/>
    </row>
    <row r="14299" spans="1:1" x14ac:dyDescent="0.3">
      <c r="A14299" s="20"/>
    </row>
    <row r="14300" spans="1:1" x14ac:dyDescent="0.3">
      <c r="A14300" s="20"/>
    </row>
    <row r="14301" spans="1:1" x14ac:dyDescent="0.3">
      <c r="A14301" s="20"/>
    </row>
    <row r="14302" spans="1:1" x14ac:dyDescent="0.3">
      <c r="A14302" s="20"/>
    </row>
    <row r="14303" spans="1:1" x14ac:dyDescent="0.3">
      <c r="A14303" s="20"/>
    </row>
    <row r="14304" spans="1:1" x14ac:dyDescent="0.3">
      <c r="A14304" s="20"/>
    </row>
    <row r="14305" spans="1:1" x14ac:dyDescent="0.3">
      <c r="A14305" s="20"/>
    </row>
    <row r="14306" spans="1:1" x14ac:dyDescent="0.3">
      <c r="A14306" s="20"/>
    </row>
    <row r="14307" spans="1:1" x14ac:dyDescent="0.3">
      <c r="A14307" s="20"/>
    </row>
    <row r="14308" spans="1:1" x14ac:dyDescent="0.3">
      <c r="A14308" s="20"/>
    </row>
    <row r="14309" spans="1:1" x14ac:dyDescent="0.3">
      <c r="A14309" s="20"/>
    </row>
    <row r="14310" spans="1:1" x14ac:dyDescent="0.3">
      <c r="A14310" s="20"/>
    </row>
    <row r="14311" spans="1:1" x14ac:dyDescent="0.3">
      <c r="A14311" s="20"/>
    </row>
    <row r="14312" spans="1:1" x14ac:dyDescent="0.3">
      <c r="A14312" s="20"/>
    </row>
    <row r="14313" spans="1:1" x14ac:dyDescent="0.3">
      <c r="A14313" s="20"/>
    </row>
    <row r="14314" spans="1:1" x14ac:dyDescent="0.3">
      <c r="A14314" s="20"/>
    </row>
    <row r="14315" spans="1:1" x14ac:dyDescent="0.3">
      <c r="A14315" s="20"/>
    </row>
    <row r="14316" spans="1:1" x14ac:dyDescent="0.3">
      <c r="A14316" s="20"/>
    </row>
    <row r="14317" spans="1:1" x14ac:dyDescent="0.3">
      <c r="A14317" s="20"/>
    </row>
    <row r="14318" spans="1:1" x14ac:dyDescent="0.3">
      <c r="A14318" s="20"/>
    </row>
    <row r="14319" spans="1:1" x14ac:dyDescent="0.3">
      <c r="A14319" s="20"/>
    </row>
    <row r="14320" spans="1:1" x14ac:dyDescent="0.3">
      <c r="A14320" s="20"/>
    </row>
    <row r="14321" spans="1:1" x14ac:dyDescent="0.3">
      <c r="A14321" s="20"/>
    </row>
    <row r="14322" spans="1:1" x14ac:dyDescent="0.3">
      <c r="A14322" s="20"/>
    </row>
    <row r="14323" spans="1:1" x14ac:dyDescent="0.3">
      <c r="A14323" s="20"/>
    </row>
    <row r="14324" spans="1:1" x14ac:dyDescent="0.3">
      <c r="A14324" s="20"/>
    </row>
    <row r="14325" spans="1:1" x14ac:dyDescent="0.3">
      <c r="A14325" s="20"/>
    </row>
    <row r="14326" spans="1:1" x14ac:dyDescent="0.3">
      <c r="A14326" s="20"/>
    </row>
    <row r="14327" spans="1:1" x14ac:dyDescent="0.3">
      <c r="A14327" s="20"/>
    </row>
    <row r="14328" spans="1:1" x14ac:dyDescent="0.3">
      <c r="A14328" s="20"/>
    </row>
    <row r="14329" spans="1:1" x14ac:dyDescent="0.3">
      <c r="A14329" s="20"/>
    </row>
    <row r="14330" spans="1:1" x14ac:dyDescent="0.3">
      <c r="A14330" s="20"/>
    </row>
    <row r="14331" spans="1:1" x14ac:dyDescent="0.3">
      <c r="A14331" s="20"/>
    </row>
    <row r="14332" spans="1:1" x14ac:dyDescent="0.3">
      <c r="A14332" s="20"/>
    </row>
    <row r="14333" spans="1:1" x14ac:dyDescent="0.3">
      <c r="A14333" s="20"/>
    </row>
    <row r="14334" spans="1:1" x14ac:dyDescent="0.3">
      <c r="A14334" s="20"/>
    </row>
    <row r="14335" spans="1:1" x14ac:dyDescent="0.3">
      <c r="A14335" s="20"/>
    </row>
    <row r="14336" spans="1:1" x14ac:dyDescent="0.3">
      <c r="A14336" s="20"/>
    </row>
    <row r="14337" spans="1:1" x14ac:dyDescent="0.3">
      <c r="A14337" s="20"/>
    </row>
    <row r="14338" spans="1:1" x14ac:dyDescent="0.3">
      <c r="A14338" s="20"/>
    </row>
    <row r="14339" spans="1:1" x14ac:dyDescent="0.3">
      <c r="A14339" s="20"/>
    </row>
    <row r="14340" spans="1:1" x14ac:dyDescent="0.3">
      <c r="A14340" s="20"/>
    </row>
    <row r="14341" spans="1:1" x14ac:dyDescent="0.3">
      <c r="A14341" s="20"/>
    </row>
    <row r="14342" spans="1:1" x14ac:dyDescent="0.3">
      <c r="A14342" s="20"/>
    </row>
    <row r="14343" spans="1:1" x14ac:dyDescent="0.3">
      <c r="A14343" s="20"/>
    </row>
    <row r="14344" spans="1:1" x14ac:dyDescent="0.3">
      <c r="A14344" s="20"/>
    </row>
    <row r="14345" spans="1:1" x14ac:dyDescent="0.3">
      <c r="A14345" s="20"/>
    </row>
    <row r="14346" spans="1:1" x14ac:dyDescent="0.3">
      <c r="A14346" s="20"/>
    </row>
    <row r="14347" spans="1:1" x14ac:dyDescent="0.3">
      <c r="A14347" s="20"/>
    </row>
    <row r="14348" spans="1:1" x14ac:dyDescent="0.3">
      <c r="A14348" s="20"/>
    </row>
    <row r="14349" spans="1:1" x14ac:dyDescent="0.3">
      <c r="A14349" s="20"/>
    </row>
    <row r="14350" spans="1:1" x14ac:dyDescent="0.3">
      <c r="A14350" s="20"/>
    </row>
    <row r="14351" spans="1:1" x14ac:dyDescent="0.3">
      <c r="A14351" s="20"/>
    </row>
    <row r="14352" spans="1:1" x14ac:dyDescent="0.3">
      <c r="A14352" s="20"/>
    </row>
    <row r="14353" spans="1:1" x14ac:dyDescent="0.3">
      <c r="A14353" s="20"/>
    </row>
    <row r="14354" spans="1:1" x14ac:dyDescent="0.3">
      <c r="A14354" s="20"/>
    </row>
    <row r="14355" spans="1:1" x14ac:dyDescent="0.3">
      <c r="A14355" s="20"/>
    </row>
    <row r="14356" spans="1:1" x14ac:dyDescent="0.3">
      <c r="A14356" s="20"/>
    </row>
    <row r="14357" spans="1:1" x14ac:dyDescent="0.3">
      <c r="A14357" s="20"/>
    </row>
    <row r="14358" spans="1:1" x14ac:dyDescent="0.3">
      <c r="A14358" s="20"/>
    </row>
    <row r="14359" spans="1:1" x14ac:dyDescent="0.3">
      <c r="A14359" s="20"/>
    </row>
    <row r="14360" spans="1:1" x14ac:dyDescent="0.3">
      <c r="A14360" s="20"/>
    </row>
    <row r="14361" spans="1:1" x14ac:dyDescent="0.3">
      <c r="A14361" s="20"/>
    </row>
    <row r="14362" spans="1:1" x14ac:dyDescent="0.3">
      <c r="A14362" s="20"/>
    </row>
    <row r="14363" spans="1:1" x14ac:dyDescent="0.3">
      <c r="A14363" s="20"/>
    </row>
    <row r="14364" spans="1:1" x14ac:dyDescent="0.3">
      <c r="A14364" s="20"/>
    </row>
    <row r="14365" spans="1:1" x14ac:dyDescent="0.3">
      <c r="A14365" s="20"/>
    </row>
    <row r="14366" spans="1:1" x14ac:dyDescent="0.3">
      <c r="A14366" s="20"/>
    </row>
    <row r="14367" spans="1:1" x14ac:dyDescent="0.3">
      <c r="A14367" s="20"/>
    </row>
    <row r="14368" spans="1:1" x14ac:dyDescent="0.3">
      <c r="A14368" s="20"/>
    </row>
    <row r="14369" spans="1:1" x14ac:dyDescent="0.3">
      <c r="A14369" s="20"/>
    </row>
    <row r="14370" spans="1:1" x14ac:dyDescent="0.3">
      <c r="A14370" s="20"/>
    </row>
    <row r="14371" spans="1:1" x14ac:dyDescent="0.3">
      <c r="A14371" s="20"/>
    </row>
    <row r="14372" spans="1:1" x14ac:dyDescent="0.3">
      <c r="A14372" s="20"/>
    </row>
    <row r="14373" spans="1:1" x14ac:dyDescent="0.3">
      <c r="A14373" s="20"/>
    </row>
    <row r="14374" spans="1:1" x14ac:dyDescent="0.3">
      <c r="A14374" s="20"/>
    </row>
    <row r="14375" spans="1:1" x14ac:dyDescent="0.3">
      <c r="A14375" s="20"/>
    </row>
    <row r="14376" spans="1:1" x14ac:dyDescent="0.3">
      <c r="A14376" s="20"/>
    </row>
    <row r="14377" spans="1:1" x14ac:dyDescent="0.3">
      <c r="A14377" s="20"/>
    </row>
    <row r="14378" spans="1:1" x14ac:dyDescent="0.3">
      <c r="A14378" s="20"/>
    </row>
    <row r="14379" spans="1:1" x14ac:dyDescent="0.3">
      <c r="A14379" s="20"/>
    </row>
    <row r="14380" spans="1:1" x14ac:dyDescent="0.3">
      <c r="A14380" s="20"/>
    </row>
    <row r="14381" spans="1:1" x14ac:dyDescent="0.3">
      <c r="A14381" s="20"/>
    </row>
    <row r="14382" spans="1:1" x14ac:dyDescent="0.3">
      <c r="A14382" s="20"/>
    </row>
    <row r="14383" spans="1:1" x14ac:dyDescent="0.3">
      <c r="A14383" s="20"/>
    </row>
    <row r="14384" spans="1:1" x14ac:dyDescent="0.3">
      <c r="A14384" s="20"/>
    </row>
    <row r="14385" spans="1:1" x14ac:dyDescent="0.3">
      <c r="A14385" s="20"/>
    </row>
    <row r="14386" spans="1:1" x14ac:dyDescent="0.3">
      <c r="A14386" s="20"/>
    </row>
    <row r="14387" spans="1:1" x14ac:dyDescent="0.3">
      <c r="A14387" s="20"/>
    </row>
    <row r="14388" spans="1:1" x14ac:dyDescent="0.3">
      <c r="A14388" s="20"/>
    </row>
    <row r="14389" spans="1:1" x14ac:dyDescent="0.3">
      <c r="A14389" s="20"/>
    </row>
    <row r="14390" spans="1:1" x14ac:dyDescent="0.3">
      <c r="A14390" s="20"/>
    </row>
    <row r="14391" spans="1:1" x14ac:dyDescent="0.3">
      <c r="A14391" s="20"/>
    </row>
    <row r="14392" spans="1:1" x14ac:dyDescent="0.3">
      <c r="A14392" s="20"/>
    </row>
    <row r="14393" spans="1:1" x14ac:dyDescent="0.3">
      <c r="A14393" s="20"/>
    </row>
    <row r="14394" spans="1:1" x14ac:dyDescent="0.3">
      <c r="A14394" s="20"/>
    </row>
    <row r="14395" spans="1:1" x14ac:dyDescent="0.3">
      <c r="A14395" s="20"/>
    </row>
    <row r="14396" spans="1:1" x14ac:dyDescent="0.3">
      <c r="A14396" s="20"/>
    </row>
    <row r="14397" spans="1:1" x14ac:dyDescent="0.3">
      <c r="A14397" s="20"/>
    </row>
    <row r="14398" spans="1:1" x14ac:dyDescent="0.3">
      <c r="A14398" s="20"/>
    </row>
    <row r="14399" spans="1:1" x14ac:dyDescent="0.3">
      <c r="A14399" s="20"/>
    </row>
    <row r="14400" spans="1:1" x14ac:dyDescent="0.3">
      <c r="A14400" s="20"/>
    </row>
    <row r="14401" spans="1:1" x14ac:dyDescent="0.3">
      <c r="A14401" s="20"/>
    </row>
    <row r="14402" spans="1:1" x14ac:dyDescent="0.3">
      <c r="A14402" s="20"/>
    </row>
    <row r="14403" spans="1:1" x14ac:dyDescent="0.3">
      <c r="A14403" s="20"/>
    </row>
    <row r="14404" spans="1:1" x14ac:dyDescent="0.3">
      <c r="A14404" s="20"/>
    </row>
    <row r="14405" spans="1:1" x14ac:dyDescent="0.3">
      <c r="A14405" s="20"/>
    </row>
    <row r="14406" spans="1:1" x14ac:dyDescent="0.3">
      <c r="A14406" s="20"/>
    </row>
    <row r="14407" spans="1:1" x14ac:dyDescent="0.3">
      <c r="A14407" s="20"/>
    </row>
    <row r="14408" spans="1:1" x14ac:dyDescent="0.3">
      <c r="A14408" s="20"/>
    </row>
    <row r="14409" spans="1:1" x14ac:dyDescent="0.3">
      <c r="A14409" s="20"/>
    </row>
    <row r="14410" spans="1:1" x14ac:dyDescent="0.3">
      <c r="A14410" s="20"/>
    </row>
    <row r="14411" spans="1:1" x14ac:dyDescent="0.3">
      <c r="A14411" s="20"/>
    </row>
    <row r="14412" spans="1:1" x14ac:dyDescent="0.3">
      <c r="A14412" s="20"/>
    </row>
    <row r="14413" spans="1:1" x14ac:dyDescent="0.3">
      <c r="A14413" s="20"/>
    </row>
    <row r="14414" spans="1:1" x14ac:dyDescent="0.3">
      <c r="A14414" s="20"/>
    </row>
    <row r="14415" spans="1:1" x14ac:dyDescent="0.3">
      <c r="A14415" s="20"/>
    </row>
    <row r="14416" spans="1:1" x14ac:dyDescent="0.3">
      <c r="A14416" s="20"/>
    </row>
    <row r="14417" spans="1:1" x14ac:dyDescent="0.3">
      <c r="A14417" s="20"/>
    </row>
    <row r="14418" spans="1:1" x14ac:dyDescent="0.3">
      <c r="A14418" s="20"/>
    </row>
    <row r="14419" spans="1:1" x14ac:dyDescent="0.3">
      <c r="A14419" s="20"/>
    </row>
    <row r="14420" spans="1:1" x14ac:dyDescent="0.3">
      <c r="A14420" s="20"/>
    </row>
    <row r="14421" spans="1:1" x14ac:dyDescent="0.3">
      <c r="A14421" s="20"/>
    </row>
    <row r="14422" spans="1:1" x14ac:dyDescent="0.3">
      <c r="A14422" s="20"/>
    </row>
    <row r="14423" spans="1:1" x14ac:dyDescent="0.3">
      <c r="A14423" s="20"/>
    </row>
    <row r="14424" spans="1:1" x14ac:dyDescent="0.3">
      <c r="A14424" s="20"/>
    </row>
    <row r="14425" spans="1:1" x14ac:dyDescent="0.3">
      <c r="A14425" s="20"/>
    </row>
    <row r="14426" spans="1:1" x14ac:dyDescent="0.3">
      <c r="A14426" s="20"/>
    </row>
    <row r="14427" spans="1:1" x14ac:dyDescent="0.3">
      <c r="A14427" s="20"/>
    </row>
    <row r="14428" spans="1:1" x14ac:dyDescent="0.3">
      <c r="A14428" s="20"/>
    </row>
    <row r="14429" spans="1:1" x14ac:dyDescent="0.3">
      <c r="A14429" s="20"/>
    </row>
    <row r="14430" spans="1:1" x14ac:dyDescent="0.3">
      <c r="A14430" s="20"/>
    </row>
    <row r="14431" spans="1:1" x14ac:dyDescent="0.3">
      <c r="A14431" s="20"/>
    </row>
    <row r="14432" spans="1:1" x14ac:dyDescent="0.3">
      <c r="A14432" s="20"/>
    </row>
    <row r="14433" spans="1:1" x14ac:dyDescent="0.3">
      <c r="A14433" s="20"/>
    </row>
    <row r="14434" spans="1:1" x14ac:dyDescent="0.3">
      <c r="A14434" s="20"/>
    </row>
    <row r="14435" spans="1:1" x14ac:dyDescent="0.3">
      <c r="A14435" s="20"/>
    </row>
    <row r="14436" spans="1:1" x14ac:dyDescent="0.3">
      <c r="A14436" s="20"/>
    </row>
    <row r="14437" spans="1:1" x14ac:dyDescent="0.3">
      <c r="A14437" s="20"/>
    </row>
    <row r="14438" spans="1:1" x14ac:dyDescent="0.3">
      <c r="A14438" s="20"/>
    </row>
    <row r="14439" spans="1:1" x14ac:dyDescent="0.3">
      <c r="A14439" s="20"/>
    </row>
    <row r="14440" spans="1:1" x14ac:dyDescent="0.3">
      <c r="A14440" s="20"/>
    </row>
    <row r="14441" spans="1:1" x14ac:dyDescent="0.3">
      <c r="A14441" s="20"/>
    </row>
    <row r="14442" spans="1:1" x14ac:dyDescent="0.3">
      <c r="A14442" s="20"/>
    </row>
    <row r="14443" spans="1:1" x14ac:dyDescent="0.3">
      <c r="A14443" s="20"/>
    </row>
    <row r="14444" spans="1:1" x14ac:dyDescent="0.3">
      <c r="A14444" s="20"/>
    </row>
    <row r="14445" spans="1:1" x14ac:dyDescent="0.3">
      <c r="A14445" s="20"/>
    </row>
    <row r="14446" spans="1:1" x14ac:dyDescent="0.3">
      <c r="A14446" s="20"/>
    </row>
    <row r="14447" spans="1:1" x14ac:dyDescent="0.3">
      <c r="A14447" s="20"/>
    </row>
    <row r="14448" spans="1:1" x14ac:dyDescent="0.3">
      <c r="A14448" s="20"/>
    </row>
    <row r="14449" spans="1:1" x14ac:dyDescent="0.3">
      <c r="A14449" s="20"/>
    </row>
    <row r="14450" spans="1:1" x14ac:dyDescent="0.3">
      <c r="A14450" s="20"/>
    </row>
    <row r="14451" spans="1:1" x14ac:dyDescent="0.3">
      <c r="A14451" s="20"/>
    </row>
    <row r="14452" spans="1:1" x14ac:dyDescent="0.3">
      <c r="A14452" s="20"/>
    </row>
    <row r="14453" spans="1:1" x14ac:dyDescent="0.3">
      <c r="A14453" s="20"/>
    </row>
    <row r="14454" spans="1:1" x14ac:dyDescent="0.3">
      <c r="A14454" s="20"/>
    </row>
    <row r="14455" spans="1:1" x14ac:dyDescent="0.3">
      <c r="A14455" s="20"/>
    </row>
    <row r="14456" spans="1:1" x14ac:dyDescent="0.3">
      <c r="A14456" s="20"/>
    </row>
    <row r="14457" spans="1:1" x14ac:dyDescent="0.3">
      <c r="A14457" s="20"/>
    </row>
    <row r="14458" spans="1:1" x14ac:dyDescent="0.3">
      <c r="A14458" s="20"/>
    </row>
    <row r="14459" spans="1:1" x14ac:dyDescent="0.3">
      <c r="A14459" s="20"/>
    </row>
    <row r="14460" spans="1:1" x14ac:dyDescent="0.3">
      <c r="A14460" s="20"/>
    </row>
    <row r="14461" spans="1:1" x14ac:dyDescent="0.3">
      <c r="A14461" s="20"/>
    </row>
    <row r="14462" spans="1:1" x14ac:dyDescent="0.3">
      <c r="A14462" s="20"/>
    </row>
    <row r="14463" spans="1:1" x14ac:dyDescent="0.3">
      <c r="A14463" s="20"/>
    </row>
    <row r="14464" spans="1:1" x14ac:dyDescent="0.3">
      <c r="A14464" s="20"/>
    </row>
    <row r="14465" spans="1:1" x14ac:dyDescent="0.3">
      <c r="A14465" s="20"/>
    </row>
    <row r="14466" spans="1:1" x14ac:dyDescent="0.3">
      <c r="A14466" s="20"/>
    </row>
    <row r="14467" spans="1:1" x14ac:dyDescent="0.3">
      <c r="A14467" s="20"/>
    </row>
    <row r="14468" spans="1:1" x14ac:dyDescent="0.3">
      <c r="A14468" s="20"/>
    </row>
    <row r="14469" spans="1:1" x14ac:dyDescent="0.3">
      <c r="A14469" s="20"/>
    </row>
    <row r="14470" spans="1:1" x14ac:dyDescent="0.3">
      <c r="A14470" s="20"/>
    </row>
    <row r="14471" spans="1:1" x14ac:dyDescent="0.3">
      <c r="A14471" s="20"/>
    </row>
    <row r="14472" spans="1:1" x14ac:dyDescent="0.3">
      <c r="A14472" s="20"/>
    </row>
    <row r="14473" spans="1:1" x14ac:dyDescent="0.3">
      <c r="A14473" s="20"/>
    </row>
    <row r="14474" spans="1:1" x14ac:dyDescent="0.3">
      <c r="A14474" s="20"/>
    </row>
    <row r="14475" spans="1:1" x14ac:dyDescent="0.3">
      <c r="A14475" s="20"/>
    </row>
    <row r="14476" spans="1:1" x14ac:dyDescent="0.3">
      <c r="A14476" s="20"/>
    </row>
    <row r="14477" spans="1:1" x14ac:dyDescent="0.3">
      <c r="A14477" s="20"/>
    </row>
    <row r="14478" spans="1:1" x14ac:dyDescent="0.3">
      <c r="A14478" s="20"/>
    </row>
    <row r="14479" spans="1:1" x14ac:dyDescent="0.3">
      <c r="A14479" s="20"/>
    </row>
    <row r="14480" spans="1:1" x14ac:dyDescent="0.3">
      <c r="A14480" s="20"/>
    </row>
    <row r="14481" spans="1:1" x14ac:dyDescent="0.3">
      <c r="A14481" s="20"/>
    </row>
    <row r="14482" spans="1:1" x14ac:dyDescent="0.3">
      <c r="A14482" s="20"/>
    </row>
    <row r="14483" spans="1:1" x14ac:dyDescent="0.3">
      <c r="A14483" s="20"/>
    </row>
    <row r="14484" spans="1:1" x14ac:dyDescent="0.3">
      <c r="A14484" s="20"/>
    </row>
    <row r="14485" spans="1:1" x14ac:dyDescent="0.3">
      <c r="A14485" s="20"/>
    </row>
    <row r="14486" spans="1:1" x14ac:dyDescent="0.3">
      <c r="A14486" s="20"/>
    </row>
    <row r="14487" spans="1:1" x14ac:dyDescent="0.3">
      <c r="A14487" s="20"/>
    </row>
    <row r="14488" spans="1:1" x14ac:dyDescent="0.3">
      <c r="A14488" s="20"/>
    </row>
    <row r="14489" spans="1:1" x14ac:dyDescent="0.3">
      <c r="A14489" s="20"/>
    </row>
    <row r="14490" spans="1:1" x14ac:dyDescent="0.3">
      <c r="A14490" s="20"/>
    </row>
    <row r="14491" spans="1:1" x14ac:dyDescent="0.3">
      <c r="A14491" s="20"/>
    </row>
    <row r="14492" spans="1:1" x14ac:dyDescent="0.3">
      <c r="A14492" s="20"/>
    </row>
    <row r="14493" spans="1:1" x14ac:dyDescent="0.3">
      <c r="A14493" s="20"/>
    </row>
    <row r="14494" spans="1:1" x14ac:dyDescent="0.3">
      <c r="A14494" s="20"/>
    </row>
    <row r="14495" spans="1:1" x14ac:dyDescent="0.3">
      <c r="A14495" s="20"/>
    </row>
    <row r="14496" spans="1:1" x14ac:dyDescent="0.3">
      <c r="A14496" s="20"/>
    </row>
    <row r="14497" spans="1:1" x14ac:dyDescent="0.3">
      <c r="A14497" s="20"/>
    </row>
    <row r="14498" spans="1:1" x14ac:dyDescent="0.3">
      <c r="A14498" s="20"/>
    </row>
    <row r="14499" spans="1:1" x14ac:dyDescent="0.3">
      <c r="A14499" s="20"/>
    </row>
    <row r="14500" spans="1:1" x14ac:dyDescent="0.3">
      <c r="A14500" s="20"/>
    </row>
    <row r="14501" spans="1:1" x14ac:dyDescent="0.3">
      <c r="A14501" s="20"/>
    </row>
    <row r="14502" spans="1:1" x14ac:dyDescent="0.3">
      <c r="A14502" s="20"/>
    </row>
    <row r="14503" spans="1:1" x14ac:dyDescent="0.3">
      <c r="A14503" s="20"/>
    </row>
    <row r="14504" spans="1:1" x14ac:dyDescent="0.3">
      <c r="A14504" s="20"/>
    </row>
    <row r="14505" spans="1:1" x14ac:dyDescent="0.3">
      <c r="A14505" s="20"/>
    </row>
    <row r="14506" spans="1:1" x14ac:dyDescent="0.3">
      <c r="A14506" s="20"/>
    </row>
    <row r="14507" spans="1:1" x14ac:dyDescent="0.3">
      <c r="A14507" s="20"/>
    </row>
    <row r="14508" spans="1:1" x14ac:dyDescent="0.3">
      <c r="A14508" s="20"/>
    </row>
    <row r="14509" spans="1:1" x14ac:dyDescent="0.3">
      <c r="A14509" s="20"/>
    </row>
    <row r="14510" spans="1:1" x14ac:dyDescent="0.3">
      <c r="A14510" s="20"/>
    </row>
    <row r="14511" spans="1:1" x14ac:dyDescent="0.3">
      <c r="A14511" s="20"/>
    </row>
    <row r="14512" spans="1:1" x14ac:dyDescent="0.3">
      <c r="A14512" s="20"/>
    </row>
    <row r="14513" spans="1:1" x14ac:dyDescent="0.3">
      <c r="A14513" s="20"/>
    </row>
    <row r="14514" spans="1:1" x14ac:dyDescent="0.3">
      <c r="A14514" s="20"/>
    </row>
    <row r="14515" spans="1:1" x14ac:dyDescent="0.3">
      <c r="A14515" s="20"/>
    </row>
    <row r="14516" spans="1:1" x14ac:dyDescent="0.3">
      <c r="A14516" s="20"/>
    </row>
    <row r="14517" spans="1:1" x14ac:dyDescent="0.3">
      <c r="A14517" s="20"/>
    </row>
    <row r="14518" spans="1:1" x14ac:dyDescent="0.3">
      <c r="A14518" s="20"/>
    </row>
    <row r="14519" spans="1:1" x14ac:dyDescent="0.3">
      <c r="A14519" s="20"/>
    </row>
    <row r="14520" spans="1:1" x14ac:dyDescent="0.3">
      <c r="A14520" s="20"/>
    </row>
    <row r="14521" spans="1:1" x14ac:dyDescent="0.3">
      <c r="A14521" s="20"/>
    </row>
    <row r="14522" spans="1:1" x14ac:dyDescent="0.3">
      <c r="A14522" s="20"/>
    </row>
    <row r="14523" spans="1:1" x14ac:dyDescent="0.3">
      <c r="A14523" s="20"/>
    </row>
    <row r="14524" spans="1:1" x14ac:dyDescent="0.3">
      <c r="A14524" s="20"/>
    </row>
    <row r="14525" spans="1:1" x14ac:dyDescent="0.3">
      <c r="A14525" s="20"/>
    </row>
    <row r="14526" spans="1:1" x14ac:dyDescent="0.3">
      <c r="A14526" s="20"/>
    </row>
    <row r="14527" spans="1:1" x14ac:dyDescent="0.3">
      <c r="A14527" s="20"/>
    </row>
    <row r="14528" spans="1:1" x14ac:dyDescent="0.3">
      <c r="A14528" s="20"/>
    </row>
    <row r="14529" spans="1:1" x14ac:dyDescent="0.3">
      <c r="A14529" s="20"/>
    </row>
    <row r="14530" spans="1:1" x14ac:dyDescent="0.3">
      <c r="A14530" s="20"/>
    </row>
    <row r="14531" spans="1:1" x14ac:dyDescent="0.3">
      <c r="A14531" s="20"/>
    </row>
    <row r="14532" spans="1:1" x14ac:dyDescent="0.3">
      <c r="A14532" s="20"/>
    </row>
    <row r="14533" spans="1:1" x14ac:dyDescent="0.3">
      <c r="A14533" s="20"/>
    </row>
    <row r="14534" spans="1:1" x14ac:dyDescent="0.3">
      <c r="A14534" s="20"/>
    </row>
    <row r="14535" spans="1:1" x14ac:dyDescent="0.3">
      <c r="A14535" s="20"/>
    </row>
    <row r="14536" spans="1:1" x14ac:dyDescent="0.3">
      <c r="A14536" s="20"/>
    </row>
    <row r="14537" spans="1:1" x14ac:dyDescent="0.3">
      <c r="A14537" s="20"/>
    </row>
    <row r="14538" spans="1:1" x14ac:dyDescent="0.3">
      <c r="A14538" s="20"/>
    </row>
    <row r="14539" spans="1:1" x14ac:dyDescent="0.3">
      <c r="A14539" s="20"/>
    </row>
    <row r="14540" spans="1:1" x14ac:dyDescent="0.3">
      <c r="A14540" s="20"/>
    </row>
    <row r="14541" spans="1:1" x14ac:dyDescent="0.3">
      <c r="A14541" s="20"/>
    </row>
    <row r="14542" spans="1:1" x14ac:dyDescent="0.3">
      <c r="A14542" s="20"/>
    </row>
    <row r="14543" spans="1:1" x14ac:dyDescent="0.3">
      <c r="A14543" s="20"/>
    </row>
    <row r="14544" spans="1:1" x14ac:dyDescent="0.3">
      <c r="A14544" s="20"/>
    </row>
    <row r="14545" spans="1:1" x14ac:dyDescent="0.3">
      <c r="A14545" s="20"/>
    </row>
    <row r="14546" spans="1:1" x14ac:dyDescent="0.3">
      <c r="A14546" s="20"/>
    </row>
    <row r="14547" spans="1:1" x14ac:dyDescent="0.3">
      <c r="A14547" s="20"/>
    </row>
    <row r="14548" spans="1:1" x14ac:dyDescent="0.3">
      <c r="A14548" s="20"/>
    </row>
    <row r="14549" spans="1:1" x14ac:dyDescent="0.3">
      <c r="A14549" s="20"/>
    </row>
    <row r="14550" spans="1:1" x14ac:dyDescent="0.3">
      <c r="A14550" s="20"/>
    </row>
    <row r="14551" spans="1:1" x14ac:dyDescent="0.3">
      <c r="A14551" s="20"/>
    </row>
    <row r="14552" spans="1:1" x14ac:dyDescent="0.3">
      <c r="A14552" s="20"/>
    </row>
    <row r="14553" spans="1:1" x14ac:dyDescent="0.3">
      <c r="A14553" s="20"/>
    </row>
    <row r="14554" spans="1:1" x14ac:dyDescent="0.3">
      <c r="A14554" s="20"/>
    </row>
    <row r="14555" spans="1:1" x14ac:dyDescent="0.3">
      <c r="A14555" s="20"/>
    </row>
    <row r="14556" spans="1:1" x14ac:dyDescent="0.3">
      <c r="A14556" s="20"/>
    </row>
    <row r="14557" spans="1:1" x14ac:dyDescent="0.3">
      <c r="A14557" s="20"/>
    </row>
    <row r="14558" spans="1:1" x14ac:dyDescent="0.3">
      <c r="A14558" s="20"/>
    </row>
    <row r="14559" spans="1:1" x14ac:dyDescent="0.3">
      <c r="A14559" s="20"/>
    </row>
    <row r="14560" spans="1:1" x14ac:dyDescent="0.3">
      <c r="A14560" s="20"/>
    </row>
    <row r="14561" spans="1:1" x14ac:dyDescent="0.3">
      <c r="A14561" s="20"/>
    </row>
    <row r="14562" spans="1:1" x14ac:dyDescent="0.3">
      <c r="A14562" s="20"/>
    </row>
    <row r="14563" spans="1:1" x14ac:dyDescent="0.3">
      <c r="A14563" s="20"/>
    </row>
    <row r="14564" spans="1:1" x14ac:dyDescent="0.3">
      <c r="A14564" s="20"/>
    </row>
    <row r="14565" spans="1:1" x14ac:dyDescent="0.3">
      <c r="A14565" s="20"/>
    </row>
    <row r="14566" spans="1:1" x14ac:dyDescent="0.3">
      <c r="A14566" s="20"/>
    </row>
    <row r="14567" spans="1:1" x14ac:dyDescent="0.3">
      <c r="A14567" s="20"/>
    </row>
    <row r="14568" spans="1:1" x14ac:dyDescent="0.3">
      <c r="A14568" s="20"/>
    </row>
    <row r="14569" spans="1:1" x14ac:dyDescent="0.3">
      <c r="A14569" s="20"/>
    </row>
    <row r="14570" spans="1:1" x14ac:dyDescent="0.3">
      <c r="A14570" s="20"/>
    </row>
    <row r="14571" spans="1:1" x14ac:dyDescent="0.3">
      <c r="A14571" s="20"/>
    </row>
    <row r="14572" spans="1:1" x14ac:dyDescent="0.3">
      <c r="A14572" s="20"/>
    </row>
    <row r="14573" spans="1:1" x14ac:dyDescent="0.3">
      <c r="A14573" s="20"/>
    </row>
    <row r="14574" spans="1:1" x14ac:dyDescent="0.3">
      <c r="A14574" s="20"/>
    </row>
    <row r="14575" spans="1:1" x14ac:dyDescent="0.3">
      <c r="A14575" s="20"/>
    </row>
    <row r="14576" spans="1:1" x14ac:dyDescent="0.3">
      <c r="A14576" s="20"/>
    </row>
    <row r="14577" spans="1:1" x14ac:dyDescent="0.3">
      <c r="A14577" s="20"/>
    </row>
    <row r="14578" spans="1:1" x14ac:dyDescent="0.3">
      <c r="A14578" s="20"/>
    </row>
    <row r="14579" spans="1:1" x14ac:dyDescent="0.3">
      <c r="A14579" s="20"/>
    </row>
    <row r="14580" spans="1:1" x14ac:dyDescent="0.3">
      <c r="A14580" s="20"/>
    </row>
    <row r="14581" spans="1:1" x14ac:dyDescent="0.3">
      <c r="A14581" s="20"/>
    </row>
    <row r="14582" spans="1:1" x14ac:dyDescent="0.3">
      <c r="A14582" s="20"/>
    </row>
    <row r="14583" spans="1:1" x14ac:dyDescent="0.3">
      <c r="A14583" s="20"/>
    </row>
    <row r="14584" spans="1:1" x14ac:dyDescent="0.3">
      <c r="A14584" s="20"/>
    </row>
    <row r="14585" spans="1:1" x14ac:dyDescent="0.3">
      <c r="A14585" s="20"/>
    </row>
    <row r="14586" spans="1:1" x14ac:dyDescent="0.3">
      <c r="A14586" s="20"/>
    </row>
    <row r="14587" spans="1:1" x14ac:dyDescent="0.3">
      <c r="A14587" s="20"/>
    </row>
    <row r="14588" spans="1:1" x14ac:dyDescent="0.3">
      <c r="A14588" s="20"/>
    </row>
    <row r="14589" spans="1:1" x14ac:dyDescent="0.3">
      <c r="A14589" s="20"/>
    </row>
    <row r="14590" spans="1:1" x14ac:dyDescent="0.3">
      <c r="A14590" s="20"/>
    </row>
    <row r="14591" spans="1:1" x14ac:dyDescent="0.3">
      <c r="A14591" s="20"/>
    </row>
    <row r="14592" spans="1:1" x14ac:dyDescent="0.3">
      <c r="A14592" s="20"/>
    </row>
    <row r="14593" spans="1:1" x14ac:dyDescent="0.3">
      <c r="A14593" s="20"/>
    </row>
    <row r="14594" spans="1:1" x14ac:dyDescent="0.3">
      <c r="A14594" s="20"/>
    </row>
    <row r="14595" spans="1:1" x14ac:dyDescent="0.3">
      <c r="A14595" s="20"/>
    </row>
    <row r="14596" spans="1:1" x14ac:dyDescent="0.3">
      <c r="A14596" s="20"/>
    </row>
    <row r="14597" spans="1:1" x14ac:dyDescent="0.3">
      <c r="A14597" s="20"/>
    </row>
    <row r="14598" spans="1:1" x14ac:dyDescent="0.3">
      <c r="A14598" s="20"/>
    </row>
    <row r="14599" spans="1:1" x14ac:dyDescent="0.3">
      <c r="A14599" s="20"/>
    </row>
    <row r="14600" spans="1:1" x14ac:dyDescent="0.3">
      <c r="A14600" s="20"/>
    </row>
    <row r="14601" spans="1:1" x14ac:dyDescent="0.3">
      <c r="A14601" s="20"/>
    </row>
    <row r="14602" spans="1:1" x14ac:dyDescent="0.3">
      <c r="A14602" s="20"/>
    </row>
    <row r="14603" spans="1:1" x14ac:dyDescent="0.3">
      <c r="A14603" s="20"/>
    </row>
    <row r="14604" spans="1:1" x14ac:dyDescent="0.3">
      <c r="A14604" s="20"/>
    </row>
    <row r="14605" spans="1:1" x14ac:dyDescent="0.3">
      <c r="A14605" s="20"/>
    </row>
    <row r="14606" spans="1:1" x14ac:dyDescent="0.3">
      <c r="A14606" s="20"/>
    </row>
    <row r="14607" spans="1:1" x14ac:dyDescent="0.3">
      <c r="A14607" s="20"/>
    </row>
    <row r="14608" spans="1:1" x14ac:dyDescent="0.3">
      <c r="A14608" s="20"/>
    </row>
    <row r="14609" spans="1:1" x14ac:dyDescent="0.3">
      <c r="A14609" s="20"/>
    </row>
    <row r="14610" spans="1:1" x14ac:dyDescent="0.3">
      <c r="A14610" s="20"/>
    </row>
    <row r="14611" spans="1:1" x14ac:dyDescent="0.3">
      <c r="A14611" s="20"/>
    </row>
    <row r="14612" spans="1:1" x14ac:dyDescent="0.3">
      <c r="A14612" s="20"/>
    </row>
    <row r="14613" spans="1:1" x14ac:dyDescent="0.3">
      <c r="A14613" s="20"/>
    </row>
    <row r="14614" spans="1:1" x14ac:dyDescent="0.3">
      <c r="A14614" s="20"/>
    </row>
    <row r="14615" spans="1:1" x14ac:dyDescent="0.3">
      <c r="A14615" s="20"/>
    </row>
    <row r="14616" spans="1:1" x14ac:dyDescent="0.3">
      <c r="A14616" s="20"/>
    </row>
    <row r="14617" spans="1:1" x14ac:dyDescent="0.3">
      <c r="A14617" s="20"/>
    </row>
    <row r="14618" spans="1:1" x14ac:dyDescent="0.3">
      <c r="A14618" s="20"/>
    </row>
    <row r="14619" spans="1:1" x14ac:dyDescent="0.3">
      <c r="A14619" s="20"/>
    </row>
    <row r="14620" spans="1:1" x14ac:dyDescent="0.3">
      <c r="A14620" s="20"/>
    </row>
    <row r="14621" spans="1:1" x14ac:dyDescent="0.3">
      <c r="A14621" s="20"/>
    </row>
    <row r="14622" spans="1:1" x14ac:dyDescent="0.3">
      <c r="A14622" s="20"/>
    </row>
    <row r="14623" spans="1:1" x14ac:dyDescent="0.3">
      <c r="A14623" s="20"/>
    </row>
    <row r="14624" spans="1:1" x14ac:dyDescent="0.3">
      <c r="A14624" s="20"/>
    </row>
    <row r="14625" spans="1:1" x14ac:dyDescent="0.3">
      <c r="A14625" s="20"/>
    </row>
    <row r="14626" spans="1:1" x14ac:dyDescent="0.3">
      <c r="A14626" s="20"/>
    </row>
    <row r="14627" spans="1:1" x14ac:dyDescent="0.3">
      <c r="A14627" s="20"/>
    </row>
    <row r="14628" spans="1:1" x14ac:dyDescent="0.3">
      <c r="A14628" s="20"/>
    </row>
    <row r="14629" spans="1:1" x14ac:dyDescent="0.3">
      <c r="A14629" s="20"/>
    </row>
    <row r="14630" spans="1:1" x14ac:dyDescent="0.3">
      <c r="A14630" s="20"/>
    </row>
    <row r="14631" spans="1:1" x14ac:dyDescent="0.3">
      <c r="A14631" s="20"/>
    </row>
    <row r="14632" spans="1:1" x14ac:dyDescent="0.3">
      <c r="A14632" s="20"/>
    </row>
    <row r="14633" spans="1:1" x14ac:dyDescent="0.3">
      <c r="A14633" s="20"/>
    </row>
    <row r="14634" spans="1:1" x14ac:dyDescent="0.3">
      <c r="A14634" s="20"/>
    </row>
    <row r="14635" spans="1:1" x14ac:dyDescent="0.3">
      <c r="A14635" s="20"/>
    </row>
    <row r="14636" spans="1:1" x14ac:dyDescent="0.3">
      <c r="A14636" s="20"/>
    </row>
    <row r="14637" spans="1:1" x14ac:dyDescent="0.3">
      <c r="A14637" s="20"/>
    </row>
    <row r="14638" spans="1:1" x14ac:dyDescent="0.3">
      <c r="A14638" s="20"/>
    </row>
    <row r="14639" spans="1:1" x14ac:dyDescent="0.3">
      <c r="A14639" s="20"/>
    </row>
    <row r="14640" spans="1:1" x14ac:dyDescent="0.3">
      <c r="A14640" s="20"/>
    </row>
    <row r="14641" spans="1:1" x14ac:dyDescent="0.3">
      <c r="A14641" s="20"/>
    </row>
    <row r="14642" spans="1:1" x14ac:dyDescent="0.3">
      <c r="A14642" s="20"/>
    </row>
    <row r="14643" spans="1:1" x14ac:dyDescent="0.3">
      <c r="A14643" s="20"/>
    </row>
    <row r="14644" spans="1:1" x14ac:dyDescent="0.3">
      <c r="A14644" s="20"/>
    </row>
    <row r="14645" spans="1:1" x14ac:dyDescent="0.3">
      <c r="A14645" s="20"/>
    </row>
    <row r="14646" spans="1:1" x14ac:dyDescent="0.3">
      <c r="A14646" s="20"/>
    </row>
    <row r="14647" spans="1:1" x14ac:dyDescent="0.3">
      <c r="A14647" s="20"/>
    </row>
    <row r="14648" spans="1:1" x14ac:dyDescent="0.3">
      <c r="A14648" s="20"/>
    </row>
    <row r="14649" spans="1:1" x14ac:dyDescent="0.3">
      <c r="A14649" s="20"/>
    </row>
    <row r="14650" spans="1:1" x14ac:dyDescent="0.3">
      <c r="A14650" s="20"/>
    </row>
    <row r="14651" spans="1:1" x14ac:dyDescent="0.3">
      <c r="A14651" s="20"/>
    </row>
    <row r="14652" spans="1:1" x14ac:dyDescent="0.3">
      <c r="A14652" s="20"/>
    </row>
    <row r="14653" spans="1:1" x14ac:dyDescent="0.3">
      <c r="A14653" s="20"/>
    </row>
    <row r="14654" spans="1:1" x14ac:dyDescent="0.3">
      <c r="A14654" s="20"/>
    </row>
    <row r="14655" spans="1:1" x14ac:dyDescent="0.3">
      <c r="A14655" s="20"/>
    </row>
    <row r="14656" spans="1:1" x14ac:dyDescent="0.3">
      <c r="A14656" s="20"/>
    </row>
    <row r="14657" spans="1:1" x14ac:dyDescent="0.3">
      <c r="A14657" s="20"/>
    </row>
    <row r="14658" spans="1:1" x14ac:dyDescent="0.3">
      <c r="A14658" s="20"/>
    </row>
    <row r="14659" spans="1:1" x14ac:dyDescent="0.3">
      <c r="A14659" s="20"/>
    </row>
    <row r="14660" spans="1:1" x14ac:dyDescent="0.3">
      <c r="A14660" s="20"/>
    </row>
    <row r="14661" spans="1:1" x14ac:dyDescent="0.3">
      <c r="A14661" s="20"/>
    </row>
    <row r="14662" spans="1:1" x14ac:dyDescent="0.3">
      <c r="A14662" s="20"/>
    </row>
    <row r="14663" spans="1:1" x14ac:dyDescent="0.3">
      <c r="A14663" s="20"/>
    </row>
    <row r="14664" spans="1:1" x14ac:dyDescent="0.3">
      <c r="A14664" s="20"/>
    </row>
    <row r="14665" spans="1:1" x14ac:dyDescent="0.3">
      <c r="A14665" s="20"/>
    </row>
    <row r="14666" spans="1:1" x14ac:dyDescent="0.3">
      <c r="A14666" s="20"/>
    </row>
    <row r="14667" spans="1:1" x14ac:dyDescent="0.3">
      <c r="A14667" s="20"/>
    </row>
    <row r="14668" spans="1:1" x14ac:dyDescent="0.3">
      <c r="A14668" s="20"/>
    </row>
    <row r="14669" spans="1:1" x14ac:dyDescent="0.3">
      <c r="A14669" s="20"/>
    </row>
    <row r="14670" spans="1:1" x14ac:dyDescent="0.3">
      <c r="A14670" s="20"/>
    </row>
    <row r="14671" spans="1:1" x14ac:dyDescent="0.3">
      <c r="A14671" s="20"/>
    </row>
    <row r="14672" spans="1:1" x14ac:dyDescent="0.3">
      <c r="A14672" s="20"/>
    </row>
    <row r="14673" spans="1:1" x14ac:dyDescent="0.3">
      <c r="A14673" s="20"/>
    </row>
    <row r="14674" spans="1:1" x14ac:dyDescent="0.3">
      <c r="A14674" s="20"/>
    </row>
    <row r="14675" spans="1:1" x14ac:dyDescent="0.3">
      <c r="A14675" s="20"/>
    </row>
    <row r="14676" spans="1:1" x14ac:dyDescent="0.3">
      <c r="A14676" s="20"/>
    </row>
    <row r="14677" spans="1:1" x14ac:dyDescent="0.3">
      <c r="A14677" s="20"/>
    </row>
    <row r="14678" spans="1:1" x14ac:dyDescent="0.3">
      <c r="A14678" s="20"/>
    </row>
    <row r="14679" spans="1:1" x14ac:dyDescent="0.3">
      <c r="A14679" s="20"/>
    </row>
    <row r="14680" spans="1:1" x14ac:dyDescent="0.3">
      <c r="A14680" s="20"/>
    </row>
    <row r="14681" spans="1:1" x14ac:dyDescent="0.3">
      <c r="A14681" s="20"/>
    </row>
    <row r="14682" spans="1:1" x14ac:dyDescent="0.3">
      <c r="A14682" s="20"/>
    </row>
    <row r="14683" spans="1:1" x14ac:dyDescent="0.3">
      <c r="A14683" s="20"/>
    </row>
    <row r="14684" spans="1:1" x14ac:dyDescent="0.3">
      <c r="A14684" s="20"/>
    </row>
    <row r="14685" spans="1:1" x14ac:dyDescent="0.3">
      <c r="A14685" s="20"/>
    </row>
    <row r="14686" spans="1:1" x14ac:dyDescent="0.3">
      <c r="A14686" s="20"/>
    </row>
    <row r="14687" spans="1:1" x14ac:dyDescent="0.3">
      <c r="A14687" s="20"/>
    </row>
    <row r="14688" spans="1:1" x14ac:dyDescent="0.3">
      <c r="A14688" s="20"/>
    </row>
    <row r="14689" spans="1:1" x14ac:dyDescent="0.3">
      <c r="A14689" s="20"/>
    </row>
    <row r="14690" spans="1:1" x14ac:dyDescent="0.3">
      <c r="A14690" s="20"/>
    </row>
    <row r="14691" spans="1:1" x14ac:dyDescent="0.3">
      <c r="A14691" s="20"/>
    </row>
    <row r="14692" spans="1:1" x14ac:dyDescent="0.3">
      <c r="A14692" s="20"/>
    </row>
    <row r="14693" spans="1:1" x14ac:dyDescent="0.3">
      <c r="A14693" s="20"/>
    </row>
    <row r="14694" spans="1:1" x14ac:dyDescent="0.3">
      <c r="A14694" s="20"/>
    </row>
    <row r="14695" spans="1:1" x14ac:dyDescent="0.3">
      <c r="A14695" s="20"/>
    </row>
    <row r="14696" spans="1:1" x14ac:dyDescent="0.3">
      <c r="A14696" s="20"/>
    </row>
    <row r="14697" spans="1:1" x14ac:dyDescent="0.3">
      <c r="A14697" s="20"/>
    </row>
    <row r="14698" spans="1:1" x14ac:dyDescent="0.3">
      <c r="A14698" s="20"/>
    </row>
    <row r="14699" spans="1:1" x14ac:dyDescent="0.3">
      <c r="A14699" s="20"/>
    </row>
    <row r="14700" spans="1:1" x14ac:dyDescent="0.3">
      <c r="A14700" s="20"/>
    </row>
    <row r="14701" spans="1:1" x14ac:dyDescent="0.3">
      <c r="A14701" s="20"/>
    </row>
    <row r="14702" spans="1:1" x14ac:dyDescent="0.3">
      <c r="A14702" s="20"/>
    </row>
    <row r="14703" spans="1:1" x14ac:dyDescent="0.3">
      <c r="A14703" s="20"/>
    </row>
    <row r="14704" spans="1:1" x14ac:dyDescent="0.3">
      <c r="A14704" s="20"/>
    </row>
    <row r="14705" spans="1:1" x14ac:dyDescent="0.3">
      <c r="A14705" s="20"/>
    </row>
    <row r="14706" spans="1:1" x14ac:dyDescent="0.3">
      <c r="A14706" s="20"/>
    </row>
    <row r="14707" spans="1:1" x14ac:dyDescent="0.3">
      <c r="A14707" s="20"/>
    </row>
    <row r="14708" spans="1:1" x14ac:dyDescent="0.3">
      <c r="A14708" s="20"/>
    </row>
    <row r="14709" spans="1:1" x14ac:dyDescent="0.3">
      <c r="A14709" s="20"/>
    </row>
    <row r="14710" spans="1:1" x14ac:dyDescent="0.3">
      <c r="A14710" s="20"/>
    </row>
    <row r="14711" spans="1:1" x14ac:dyDescent="0.3">
      <c r="A14711" s="20"/>
    </row>
    <row r="14712" spans="1:1" x14ac:dyDescent="0.3">
      <c r="A14712" s="20"/>
    </row>
    <row r="14713" spans="1:1" x14ac:dyDescent="0.3">
      <c r="A14713" s="20"/>
    </row>
    <row r="14714" spans="1:1" x14ac:dyDescent="0.3">
      <c r="A14714" s="20"/>
    </row>
    <row r="14715" spans="1:1" x14ac:dyDescent="0.3">
      <c r="A14715" s="20"/>
    </row>
    <row r="14716" spans="1:1" x14ac:dyDescent="0.3">
      <c r="A14716" s="20"/>
    </row>
    <row r="14717" spans="1:1" x14ac:dyDescent="0.3">
      <c r="A14717" s="20"/>
    </row>
    <row r="14718" spans="1:1" x14ac:dyDescent="0.3">
      <c r="A14718" s="20"/>
    </row>
    <row r="14719" spans="1:1" x14ac:dyDescent="0.3">
      <c r="A14719" s="20"/>
    </row>
    <row r="14720" spans="1:1" x14ac:dyDescent="0.3">
      <c r="A14720" s="20"/>
    </row>
    <row r="14721" spans="1:1" x14ac:dyDescent="0.3">
      <c r="A14721" s="20"/>
    </row>
    <row r="14722" spans="1:1" x14ac:dyDescent="0.3">
      <c r="A14722" s="20"/>
    </row>
    <row r="14723" spans="1:1" x14ac:dyDescent="0.3">
      <c r="A14723" s="20"/>
    </row>
    <row r="14724" spans="1:1" x14ac:dyDescent="0.3">
      <c r="A14724" s="20"/>
    </row>
    <row r="14725" spans="1:1" x14ac:dyDescent="0.3">
      <c r="A14725" s="20"/>
    </row>
    <row r="14726" spans="1:1" x14ac:dyDescent="0.3">
      <c r="A14726" s="20"/>
    </row>
    <row r="14727" spans="1:1" x14ac:dyDescent="0.3">
      <c r="A14727" s="20"/>
    </row>
    <row r="14728" spans="1:1" x14ac:dyDescent="0.3">
      <c r="A14728" s="20"/>
    </row>
    <row r="14729" spans="1:1" x14ac:dyDescent="0.3">
      <c r="A14729" s="20"/>
    </row>
    <row r="14730" spans="1:1" x14ac:dyDescent="0.3">
      <c r="A14730" s="20"/>
    </row>
    <row r="14731" spans="1:1" x14ac:dyDescent="0.3">
      <c r="A14731" s="20"/>
    </row>
    <row r="14732" spans="1:1" x14ac:dyDescent="0.3">
      <c r="A14732" s="20"/>
    </row>
    <row r="14733" spans="1:1" x14ac:dyDescent="0.3">
      <c r="A14733" s="20"/>
    </row>
    <row r="14734" spans="1:1" x14ac:dyDescent="0.3">
      <c r="A14734" s="20"/>
    </row>
    <row r="14735" spans="1:1" x14ac:dyDescent="0.3">
      <c r="A14735" s="20"/>
    </row>
    <row r="14736" spans="1:1" x14ac:dyDescent="0.3">
      <c r="A14736" s="20"/>
    </row>
    <row r="14737" spans="1:1" x14ac:dyDescent="0.3">
      <c r="A14737" s="20"/>
    </row>
    <row r="14738" spans="1:1" x14ac:dyDescent="0.3">
      <c r="A14738" s="20"/>
    </row>
    <row r="14739" spans="1:1" x14ac:dyDescent="0.3">
      <c r="A14739" s="20"/>
    </row>
    <row r="14740" spans="1:1" x14ac:dyDescent="0.3">
      <c r="A14740" s="20"/>
    </row>
    <row r="14741" spans="1:1" x14ac:dyDescent="0.3">
      <c r="A14741" s="20"/>
    </row>
    <row r="14742" spans="1:1" x14ac:dyDescent="0.3">
      <c r="A14742" s="20"/>
    </row>
    <row r="14743" spans="1:1" x14ac:dyDescent="0.3">
      <c r="A14743" s="20"/>
    </row>
    <row r="14744" spans="1:1" x14ac:dyDescent="0.3">
      <c r="A14744" s="20"/>
    </row>
    <row r="14745" spans="1:1" x14ac:dyDescent="0.3">
      <c r="A14745" s="20"/>
    </row>
    <row r="14746" spans="1:1" x14ac:dyDescent="0.3">
      <c r="A14746" s="20"/>
    </row>
    <row r="14747" spans="1:1" x14ac:dyDescent="0.3">
      <c r="A14747" s="20"/>
    </row>
    <row r="14748" spans="1:1" x14ac:dyDescent="0.3">
      <c r="A14748" s="20"/>
    </row>
    <row r="14749" spans="1:1" x14ac:dyDescent="0.3">
      <c r="A14749" s="20"/>
    </row>
    <row r="14750" spans="1:1" x14ac:dyDescent="0.3">
      <c r="A14750" s="20"/>
    </row>
    <row r="14751" spans="1:1" x14ac:dyDescent="0.3">
      <c r="A14751" s="20"/>
    </row>
    <row r="14752" spans="1:1" x14ac:dyDescent="0.3">
      <c r="A14752" s="20"/>
    </row>
    <row r="14753" spans="1:1" x14ac:dyDescent="0.3">
      <c r="A14753" s="20"/>
    </row>
    <row r="14754" spans="1:1" x14ac:dyDescent="0.3">
      <c r="A14754" s="20"/>
    </row>
    <row r="14755" spans="1:1" x14ac:dyDescent="0.3">
      <c r="A14755" s="20"/>
    </row>
    <row r="14756" spans="1:1" x14ac:dyDescent="0.3">
      <c r="A14756" s="20"/>
    </row>
    <row r="14757" spans="1:1" x14ac:dyDescent="0.3">
      <c r="A14757" s="20"/>
    </row>
    <row r="14758" spans="1:1" x14ac:dyDescent="0.3">
      <c r="A14758" s="20"/>
    </row>
    <row r="14759" spans="1:1" x14ac:dyDescent="0.3">
      <c r="A14759" s="20"/>
    </row>
    <row r="14760" spans="1:1" x14ac:dyDescent="0.3">
      <c r="A14760" s="20"/>
    </row>
    <row r="14761" spans="1:1" x14ac:dyDescent="0.3">
      <c r="A14761" s="20"/>
    </row>
    <row r="14762" spans="1:1" x14ac:dyDescent="0.3">
      <c r="A14762" s="20"/>
    </row>
    <row r="14763" spans="1:1" x14ac:dyDescent="0.3">
      <c r="A14763" s="20"/>
    </row>
    <row r="14764" spans="1:1" x14ac:dyDescent="0.3">
      <c r="A14764" s="20"/>
    </row>
    <row r="14765" spans="1:1" x14ac:dyDescent="0.3">
      <c r="A14765" s="20"/>
    </row>
    <row r="14766" spans="1:1" x14ac:dyDescent="0.3">
      <c r="A14766" s="20"/>
    </row>
    <row r="14767" spans="1:1" x14ac:dyDescent="0.3">
      <c r="A14767" s="20"/>
    </row>
    <row r="14768" spans="1:1" x14ac:dyDescent="0.3">
      <c r="A14768" s="20"/>
    </row>
    <row r="14769" spans="1:1" x14ac:dyDescent="0.3">
      <c r="A14769" s="20"/>
    </row>
    <row r="14770" spans="1:1" x14ac:dyDescent="0.3">
      <c r="A14770" s="20"/>
    </row>
    <row r="14771" spans="1:1" x14ac:dyDescent="0.3">
      <c r="A14771" s="20"/>
    </row>
    <row r="14772" spans="1:1" x14ac:dyDescent="0.3">
      <c r="A14772" s="20"/>
    </row>
    <row r="14773" spans="1:1" x14ac:dyDescent="0.3">
      <c r="A14773" s="20"/>
    </row>
    <row r="14774" spans="1:1" x14ac:dyDescent="0.3">
      <c r="A14774" s="20"/>
    </row>
    <row r="14775" spans="1:1" x14ac:dyDescent="0.3">
      <c r="A14775" s="20"/>
    </row>
    <row r="14776" spans="1:1" x14ac:dyDescent="0.3">
      <c r="A14776" s="20"/>
    </row>
    <row r="14777" spans="1:1" x14ac:dyDescent="0.3">
      <c r="A14777" s="20"/>
    </row>
    <row r="14778" spans="1:1" x14ac:dyDescent="0.3">
      <c r="A14778" s="20"/>
    </row>
    <row r="14779" spans="1:1" x14ac:dyDescent="0.3">
      <c r="A14779" s="20"/>
    </row>
    <row r="14780" spans="1:1" x14ac:dyDescent="0.3">
      <c r="A14780" s="20"/>
    </row>
    <row r="14781" spans="1:1" x14ac:dyDescent="0.3">
      <c r="A14781" s="20"/>
    </row>
    <row r="14782" spans="1:1" x14ac:dyDescent="0.3">
      <c r="A14782" s="20"/>
    </row>
    <row r="14783" spans="1:1" x14ac:dyDescent="0.3">
      <c r="A14783" s="20"/>
    </row>
    <row r="14784" spans="1:1" x14ac:dyDescent="0.3">
      <c r="A14784" s="20"/>
    </row>
    <row r="14785" spans="1:1" x14ac:dyDescent="0.3">
      <c r="A14785" s="20"/>
    </row>
    <row r="14786" spans="1:1" x14ac:dyDescent="0.3">
      <c r="A14786" s="20"/>
    </row>
    <row r="14787" spans="1:1" x14ac:dyDescent="0.3">
      <c r="A14787" s="20"/>
    </row>
    <row r="14788" spans="1:1" x14ac:dyDescent="0.3">
      <c r="A14788" s="20"/>
    </row>
    <row r="14789" spans="1:1" x14ac:dyDescent="0.3">
      <c r="A14789" s="20"/>
    </row>
    <row r="14790" spans="1:1" x14ac:dyDescent="0.3">
      <c r="A14790" s="20"/>
    </row>
    <row r="14791" spans="1:1" x14ac:dyDescent="0.3">
      <c r="A14791" s="20"/>
    </row>
    <row r="14792" spans="1:1" x14ac:dyDescent="0.3">
      <c r="A14792" s="20"/>
    </row>
    <row r="14793" spans="1:1" x14ac:dyDescent="0.3">
      <c r="A14793" s="20"/>
    </row>
    <row r="14794" spans="1:1" x14ac:dyDescent="0.3">
      <c r="A14794" s="20"/>
    </row>
    <row r="14795" spans="1:1" x14ac:dyDescent="0.3">
      <c r="A14795" s="20"/>
    </row>
    <row r="14796" spans="1:1" x14ac:dyDescent="0.3">
      <c r="A14796" s="20"/>
    </row>
    <row r="14797" spans="1:1" x14ac:dyDescent="0.3">
      <c r="A14797" s="20"/>
    </row>
    <row r="14798" spans="1:1" x14ac:dyDescent="0.3">
      <c r="A14798" s="20"/>
    </row>
    <row r="14799" spans="1:1" x14ac:dyDescent="0.3">
      <c r="A14799" s="20"/>
    </row>
    <row r="14800" spans="1:1" x14ac:dyDescent="0.3">
      <c r="A14800" s="20"/>
    </row>
    <row r="14801" spans="1:1" x14ac:dyDescent="0.3">
      <c r="A14801" s="20"/>
    </row>
    <row r="14802" spans="1:1" x14ac:dyDescent="0.3">
      <c r="A14802" s="20"/>
    </row>
    <row r="14803" spans="1:1" x14ac:dyDescent="0.3">
      <c r="A14803" s="20"/>
    </row>
    <row r="14804" spans="1:1" x14ac:dyDescent="0.3">
      <c r="A14804" s="20"/>
    </row>
    <row r="14805" spans="1:1" x14ac:dyDescent="0.3">
      <c r="A14805" s="20"/>
    </row>
    <row r="14806" spans="1:1" x14ac:dyDescent="0.3">
      <c r="A14806" s="20"/>
    </row>
    <row r="14807" spans="1:1" x14ac:dyDescent="0.3">
      <c r="A14807" s="20"/>
    </row>
    <row r="14808" spans="1:1" x14ac:dyDescent="0.3">
      <c r="A14808" s="20"/>
    </row>
    <row r="14809" spans="1:1" x14ac:dyDescent="0.3">
      <c r="A14809" s="20"/>
    </row>
    <row r="14810" spans="1:1" x14ac:dyDescent="0.3">
      <c r="A14810" s="20"/>
    </row>
    <row r="14811" spans="1:1" x14ac:dyDescent="0.3">
      <c r="A14811" s="20"/>
    </row>
    <row r="14812" spans="1:1" x14ac:dyDescent="0.3">
      <c r="A14812" s="20"/>
    </row>
    <row r="14813" spans="1:1" x14ac:dyDescent="0.3">
      <c r="A14813" s="20"/>
    </row>
    <row r="14814" spans="1:1" x14ac:dyDescent="0.3">
      <c r="A14814" s="20"/>
    </row>
    <row r="14815" spans="1:1" x14ac:dyDescent="0.3">
      <c r="A14815" s="20"/>
    </row>
    <row r="14816" spans="1:1" x14ac:dyDescent="0.3">
      <c r="A14816" s="20"/>
    </row>
    <row r="14817" spans="1:1" x14ac:dyDescent="0.3">
      <c r="A14817" s="20"/>
    </row>
    <row r="14818" spans="1:1" x14ac:dyDescent="0.3">
      <c r="A14818" s="20"/>
    </row>
    <row r="14819" spans="1:1" x14ac:dyDescent="0.3">
      <c r="A14819" s="20"/>
    </row>
    <row r="14820" spans="1:1" x14ac:dyDescent="0.3">
      <c r="A14820" s="20"/>
    </row>
    <row r="14821" spans="1:1" x14ac:dyDescent="0.3">
      <c r="A14821" s="20"/>
    </row>
    <row r="14822" spans="1:1" x14ac:dyDescent="0.3">
      <c r="A14822" s="20"/>
    </row>
    <row r="14823" spans="1:1" x14ac:dyDescent="0.3">
      <c r="A14823" s="20"/>
    </row>
    <row r="14824" spans="1:1" x14ac:dyDescent="0.3">
      <c r="A14824" s="20"/>
    </row>
    <row r="14825" spans="1:1" x14ac:dyDescent="0.3">
      <c r="A14825" s="20"/>
    </row>
    <row r="14826" spans="1:1" x14ac:dyDescent="0.3">
      <c r="A14826" s="20"/>
    </row>
    <row r="14827" spans="1:1" x14ac:dyDescent="0.3">
      <c r="A14827" s="20"/>
    </row>
    <row r="14828" spans="1:1" x14ac:dyDescent="0.3">
      <c r="A14828" s="20"/>
    </row>
    <row r="14829" spans="1:1" x14ac:dyDescent="0.3">
      <c r="A14829" s="20"/>
    </row>
    <row r="14830" spans="1:1" x14ac:dyDescent="0.3">
      <c r="A14830" s="20"/>
    </row>
    <row r="14831" spans="1:1" x14ac:dyDescent="0.3">
      <c r="A14831" s="20"/>
    </row>
    <row r="14832" spans="1:1" x14ac:dyDescent="0.3">
      <c r="A14832" s="20"/>
    </row>
    <row r="14833" spans="1:1" x14ac:dyDescent="0.3">
      <c r="A14833" s="20"/>
    </row>
    <row r="14834" spans="1:1" x14ac:dyDescent="0.3">
      <c r="A14834" s="20"/>
    </row>
    <row r="14835" spans="1:1" x14ac:dyDescent="0.3">
      <c r="A14835" s="20"/>
    </row>
    <row r="14836" spans="1:1" x14ac:dyDescent="0.3">
      <c r="A14836" s="20"/>
    </row>
    <row r="14837" spans="1:1" x14ac:dyDescent="0.3">
      <c r="A14837" s="20"/>
    </row>
    <row r="14838" spans="1:1" x14ac:dyDescent="0.3">
      <c r="A14838" s="20"/>
    </row>
    <row r="14839" spans="1:1" x14ac:dyDescent="0.3">
      <c r="A14839" s="20"/>
    </row>
    <row r="14840" spans="1:1" x14ac:dyDescent="0.3">
      <c r="A14840" s="20"/>
    </row>
    <row r="14841" spans="1:1" x14ac:dyDescent="0.3">
      <c r="A14841" s="20"/>
    </row>
    <row r="14842" spans="1:1" x14ac:dyDescent="0.3">
      <c r="A14842" s="20"/>
    </row>
    <row r="14843" spans="1:1" x14ac:dyDescent="0.3">
      <c r="A14843" s="20"/>
    </row>
    <row r="14844" spans="1:1" x14ac:dyDescent="0.3">
      <c r="A14844" s="20"/>
    </row>
    <row r="14845" spans="1:1" x14ac:dyDescent="0.3">
      <c r="A14845" s="20"/>
    </row>
    <row r="14846" spans="1:1" x14ac:dyDescent="0.3">
      <c r="A14846" s="20"/>
    </row>
    <row r="14847" spans="1:1" x14ac:dyDescent="0.3">
      <c r="A14847" s="20"/>
    </row>
    <row r="14848" spans="1:1" x14ac:dyDescent="0.3">
      <c r="A14848" s="20"/>
    </row>
    <row r="14849" spans="1:1" x14ac:dyDescent="0.3">
      <c r="A14849" s="20"/>
    </row>
    <row r="14850" spans="1:1" x14ac:dyDescent="0.3">
      <c r="A14850" s="20"/>
    </row>
    <row r="14851" spans="1:1" x14ac:dyDescent="0.3">
      <c r="A14851" s="20"/>
    </row>
    <row r="14852" spans="1:1" x14ac:dyDescent="0.3">
      <c r="A14852" s="20"/>
    </row>
    <row r="14853" spans="1:1" x14ac:dyDescent="0.3">
      <c r="A14853" s="20"/>
    </row>
    <row r="14854" spans="1:1" x14ac:dyDescent="0.3">
      <c r="A14854" s="20"/>
    </row>
    <row r="14855" spans="1:1" x14ac:dyDescent="0.3">
      <c r="A14855" s="20"/>
    </row>
    <row r="14856" spans="1:1" x14ac:dyDescent="0.3">
      <c r="A14856" s="20"/>
    </row>
    <row r="14857" spans="1:1" x14ac:dyDescent="0.3">
      <c r="A14857" s="20"/>
    </row>
    <row r="14858" spans="1:1" x14ac:dyDescent="0.3">
      <c r="A14858" s="20"/>
    </row>
    <row r="14859" spans="1:1" x14ac:dyDescent="0.3">
      <c r="A14859" s="20"/>
    </row>
    <row r="14860" spans="1:1" x14ac:dyDescent="0.3">
      <c r="A14860" s="20"/>
    </row>
    <row r="14861" spans="1:1" x14ac:dyDescent="0.3">
      <c r="A14861" s="20"/>
    </row>
    <row r="14862" spans="1:1" x14ac:dyDescent="0.3">
      <c r="A14862" s="20"/>
    </row>
    <row r="14863" spans="1:1" x14ac:dyDescent="0.3">
      <c r="A14863" s="20"/>
    </row>
    <row r="14864" spans="1:1" x14ac:dyDescent="0.3">
      <c r="A14864" s="20"/>
    </row>
    <row r="14865" spans="1:1" x14ac:dyDescent="0.3">
      <c r="A14865" s="20"/>
    </row>
    <row r="14866" spans="1:1" x14ac:dyDescent="0.3">
      <c r="A14866" s="20"/>
    </row>
    <row r="14867" spans="1:1" x14ac:dyDescent="0.3">
      <c r="A14867" s="20"/>
    </row>
    <row r="14868" spans="1:1" x14ac:dyDescent="0.3">
      <c r="A14868" s="20"/>
    </row>
    <row r="14869" spans="1:1" x14ac:dyDescent="0.3">
      <c r="A14869" s="20"/>
    </row>
    <row r="14870" spans="1:1" x14ac:dyDescent="0.3">
      <c r="A14870" s="20"/>
    </row>
    <row r="14871" spans="1:1" x14ac:dyDescent="0.3">
      <c r="A14871" s="20"/>
    </row>
    <row r="14872" spans="1:1" x14ac:dyDescent="0.3">
      <c r="A14872" s="20"/>
    </row>
    <row r="14873" spans="1:1" x14ac:dyDescent="0.3">
      <c r="A14873" s="20"/>
    </row>
    <row r="14874" spans="1:1" x14ac:dyDescent="0.3">
      <c r="A14874" s="20"/>
    </row>
    <row r="14875" spans="1:1" x14ac:dyDescent="0.3">
      <c r="A14875" s="20"/>
    </row>
    <row r="14876" spans="1:1" x14ac:dyDescent="0.3">
      <c r="A14876" s="20"/>
    </row>
    <row r="14877" spans="1:1" x14ac:dyDescent="0.3">
      <c r="A14877" s="20"/>
    </row>
    <row r="14878" spans="1:1" x14ac:dyDescent="0.3">
      <c r="A14878" s="20"/>
    </row>
    <row r="14879" spans="1:1" x14ac:dyDescent="0.3">
      <c r="A14879" s="20"/>
    </row>
    <row r="14880" spans="1:1" x14ac:dyDescent="0.3">
      <c r="A14880" s="20"/>
    </row>
    <row r="14881" spans="1:1" x14ac:dyDescent="0.3">
      <c r="A14881" s="20"/>
    </row>
    <row r="14882" spans="1:1" x14ac:dyDescent="0.3">
      <c r="A14882" s="20"/>
    </row>
    <row r="14883" spans="1:1" x14ac:dyDescent="0.3">
      <c r="A14883" s="20"/>
    </row>
    <row r="14884" spans="1:1" x14ac:dyDescent="0.3">
      <c r="A14884" s="20"/>
    </row>
    <row r="14885" spans="1:1" x14ac:dyDescent="0.3">
      <c r="A14885" s="20"/>
    </row>
    <row r="14886" spans="1:1" x14ac:dyDescent="0.3">
      <c r="A14886" s="20"/>
    </row>
    <row r="14887" spans="1:1" x14ac:dyDescent="0.3">
      <c r="A14887" s="20"/>
    </row>
    <row r="14888" spans="1:1" x14ac:dyDescent="0.3">
      <c r="A14888" s="20"/>
    </row>
    <row r="14889" spans="1:1" x14ac:dyDescent="0.3">
      <c r="A14889" s="20"/>
    </row>
    <row r="14890" spans="1:1" x14ac:dyDescent="0.3">
      <c r="A14890" s="20"/>
    </row>
    <row r="14891" spans="1:1" x14ac:dyDescent="0.3">
      <c r="A14891" s="20"/>
    </row>
    <row r="14892" spans="1:1" x14ac:dyDescent="0.3">
      <c r="A14892" s="20"/>
    </row>
    <row r="14893" spans="1:1" x14ac:dyDescent="0.3">
      <c r="A14893" s="20"/>
    </row>
    <row r="14894" spans="1:1" x14ac:dyDescent="0.3">
      <c r="A14894" s="20"/>
    </row>
    <row r="14895" spans="1:1" x14ac:dyDescent="0.3">
      <c r="A14895" s="20"/>
    </row>
    <row r="14896" spans="1:1" x14ac:dyDescent="0.3">
      <c r="A14896" s="20"/>
    </row>
    <row r="14897" spans="1:1" x14ac:dyDescent="0.3">
      <c r="A14897" s="20"/>
    </row>
    <row r="14898" spans="1:1" x14ac:dyDescent="0.3">
      <c r="A14898" s="20"/>
    </row>
    <row r="14899" spans="1:1" x14ac:dyDescent="0.3">
      <c r="A14899" s="20"/>
    </row>
    <row r="14900" spans="1:1" x14ac:dyDescent="0.3">
      <c r="A14900" s="20"/>
    </row>
    <row r="14901" spans="1:1" x14ac:dyDescent="0.3">
      <c r="A14901" s="20"/>
    </row>
    <row r="14902" spans="1:1" x14ac:dyDescent="0.3">
      <c r="A14902" s="20"/>
    </row>
    <row r="14903" spans="1:1" x14ac:dyDescent="0.3">
      <c r="A14903" s="20"/>
    </row>
    <row r="14904" spans="1:1" x14ac:dyDescent="0.3">
      <c r="A14904" s="20"/>
    </row>
    <row r="14905" spans="1:1" x14ac:dyDescent="0.3">
      <c r="A14905" s="20"/>
    </row>
    <row r="14906" spans="1:1" x14ac:dyDescent="0.3">
      <c r="A14906" s="20"/>
    </row>
    <row r="14907" spans="1:1" x14ac:dyDescent="0.3">
      <c r="A14907" s="20"/>
    </row>
    <row r="14908" spans="1:1" x14ac:dyDescent="0.3">
      <c r="A14908" s="20"/>
    </row>
    <row r="14909" spans="1:1" x14ac:dyDescent="0.3">
      <c r="A14909" s="20"/>
    </row>
    <row r="14910" spans="1:1" x14ac:dyDescent="0.3">
      <c r="A14910" s="20"/>
    </row>
    <row r="14911" spans="1:1" x14ac:dyDescent="0.3">
      <c r="A14911" s="20"/>
    </row>
    <row r="14912" spans="1:1" x14ac:dyDescent="0.3">
      <c r="A14912" s="20"/>
    </row>
    <row r="14913" spans="1:1" x14ac:dyDescent="0.3">
      <c r="A14913" s="20"/>
    </row>
    <row r="14914" spans="1:1" x14ac:dyDescent="0.3">
      <c r="A14914" s="20"/>
    </row>
    <row r="14915" spans="1:1" x14ac:dyDescent="0.3">
      <c r="A14915" s="20"/>
    </row>
    <row r="14916" spans="1:1" x14ac:dyDescent="0.3">
      <c r="A14916" s="20"/>
    </row>
    <row r="14917" spans="1:1" x14ac:dyDescent="0.3">
      <c r="A14917" s="20"/>
    </row>
    <row r="14918" spans="1:1" x14ac:dyDescent="0.3">
      <c r="A14918" s="20"/>
    </row>
    <row r="14919" spans="1:1" x14ac:dyDescent="0.3">
      <c r="A14919" s="20"/>
    </row>
    <row r="14920" spans="1:1" x14ac:dyDescent="0.3">
      <c r="A14920" s="20"/>
    </row>
    <row r="14921" spans="1:1" x14ac:dyDescent="0.3">
      <c r="A14921" s="20"/>
    </row>
    <row r="14922" spans="1:1" x14ac:dyDescent="0.3">
      <c r="A14922" s="20"/>
    </row>
    <row r="14923" spans="1:1" x14ac:dyDescent="0.3">
      <c r="A14923" s="20"/>
    </row>
    <row r="14924" spans="1:1" x14ac:dyDescent="0.3">
      <c r="A14924" s="20"/>
    </row>
    <row r="14925" spans="1:1" x14ac:dyDescent="0.3">
      <c r="A14925" s="20"/>
    </row>
    <row r="14926" spans="1:1" x14ac:dyDescent="0.3">
      <c r="A14926" s="20"/>
    </row>
    <row r="14927" spans="1:1" x14ac:dyDescent="0.3">
      <c r="A14927" s="20"/>
    </row>
    <row r="14928" spans="1:1" x14ac:dyDescent="0.3">
      <c r="A14928" s="20"/>
    </row>
    <row r="14929" spans="1:1" x14ac:dyDescent="0.3">
      <c r="A14929" s="20"/>
    </row>
    <row r="14930" spans="1:1" x14ac:dyDescent="0.3">
      <c r="A14930" s="20"/>
    </row>
    <row r="14931" spans="1:1" x14ac:dyDescent="0.3">
      <c r="A14931" s="20"/>
    </row>
    <row r="14932" spans="1:1" x14ac:dyDescent="0.3">
      <c r="A14932" s="20"/>
    </row>
    <row r="14933" spans="1:1" x14ac:dyDescent="0.3">
      <c r="A14933" s="20"/>
    </row>
    <row r="14934" spans="1:1" x14ac:dyDescent="0.3">
      <c r="A14934" s="20"/>
    </row>
    <row r="14935" spans="1:1" x14ac:dyDescent="0.3">
      <c r="A14935" s="20"/>
    </row>
    <row r="14936" spans="1:1" x14ac:dyDescent="0.3">
      <c r="A14936" s="20"/>
    </row>
    <row r="14937" spans="1:1" x14ac:dyDescent="0.3">
      <c r="A14937" s="20"/>
    </row>
    <row r="14938" spans="1:1" x14ac:dyDescent="0.3">
      <c r="A14938" s="20"/>
    </row>
    <row r="14939" spans="1:1" x14ac:dyDescent="0.3">
      <c r="A14939" s="20"/>
    </row>
    <row r="14940" spans="1:1" x14ac:dyDescent="0.3">
      <c r="A14940" s="20"/>
    </row>
    <row r="14941" spans="1:1" x14ac:dyDescent="0.3">
      <c r="A14941" s="20"/>
    </row>
    <row r="14942" spans="1:1" x14ac:dyDescent="0.3">
      <c r="A14942" s="20"/>
    </row>
    <row r="14943" spans="1:1" x14ac:dyDescent="0.3">
      <c r="A14943" s="20"/>
    </row>
    <row r="14944" spans="1:1" x14ac:dyDescent="0.3">
      <c r="A14944" s="20"/>
    </row>
    <row r="14945" spans="1:1" x14ac:dyDescent="0.3">
      <c r="A14945" s="20"/>
    </row>
    <row r="14946" spans="1:1" x14ac:dyDescent="0.3">
      <c r="A14946" s="20"/>
    </row>
    <row r="14947" spans="1:1" x14ac:dyDescent="0.3">
      <c r="A14947" s="20"/>
    </row>
    <row r="14948" spans="1:1" x14ac:dyDescent="0.3">
      <c r="A14948" s="20"/>
    </row>
    <row r="14949" spans="1:1" x14ac:dyDescent="0.3">
      <c r="A14949" s="20"/>
    </row>
    <row r="14950" spans="1:1" x14ac:dyDescent="0.3">
      <c r="A14950" s="20"/>
    </row>
    <row r="14951" spans="1:1" x14ac:dyDescent="0.3">
      <c r="A14951" s="20"/>
    </row>
    <row r="14952" spans="1:1" x14ac:dyDescent="0.3">
      <c r="A14952" s="20"/>
    </row>
    <row r="14953" spans="1:1" x14ac:dyDescent="0.3">
      <c r="A14953" s="20"/>
    </row>
    <row r="14954" spans="1:1" x14ac:dyDescent="0.3">
      <c r="A14954" s="20"/>
    </row>
    <row r="14955" spans="1:1" x14ac:dyDescent="0.3">
      <c r="A14955" s="20"/>
    </row>
    <row r="14956" spans="1:1" x14ac:dyDescent="0.3">
      <c r="A14956" s="20"/>
    </row>
    <row r="14957" spans="1:1" x14ac:dyDescent="0.3">
      <c r="A14957" s="20"/>
    </row>
    <row r="14958" spans="1:1" x14ac:dyDescent="0.3">
      <c r="A14958" s="20"/>
    </row>
    <row r="14959" spans="1:1" x14ac:dyDescent="0.3">
      <c r="A14959" s="20"/>
    </row>
    <row r="14960" spans="1:1" x14ac:dyDescent="0.3">
      <c r="A14960" s="20"/>
    </row>
    <row r="14961" spans="1:1" x14ac:dyDescent="0.3">
      <c r="A14961" s="20"/>
    </row>
    <row r="14962" spans="1:1" x14ac:dyDescent="0.3">
      <c r="A14962" s="20"/>
    </row>
    <row r="14963" spans="1:1" x14ac:dyDescent="0.3">
      <c r="A14963" s="20"/>
    </row>
    <row r="14964" spans="1:1" x14ac:dyDescent="0.3">
      <c r="A14964" s="20"/>
    </row>
    <row r="14965" spans="1:1" x14ac:dyDescent="0.3">
      <c r="A14965" s="20"/>
    </row>
    <row r="14966" spans="1:1" x14ac:dyDescent="0.3">
      <c r="A14966" s="20"/>
    </row>
    <row r="14967" spans="1:1" x14ac:dyDescent="0.3">
      <c r="A14967" s="20"/>
    </row>
    <row r="14968" spans="1:1" x14ac:dyDescent="0.3">
      <c r="A14968" s="20"/>
    </row>
    <row r="14969" spans="1:1" x14ac:dyDescent="0.3">
      <c r="A14969" s="20"/>
    </row>
    <row r="14970" spans="1:1" x14ac:dyDescent="0.3">
      <c r="A14970" s="20"/>
    </row>
    <row r="14971" spans="1:1" x14ac:dyDescent="0.3">
      <c r="A14971" s="20"/>
    </row>
    <row r="14972" spans="1:1" x14ac:dyDescent="0.3">
      <c r="A14972" s="20"/>
    </row>
    <row r="14973" spans="1:1" x14ac:dyDescent="0.3">
      <c r="A14973" s="20"/>
    </row>
    <row r="14974" spans="1:1" x14ac:dyDescent="0.3">
      <c r="A14974" s="20"/>
    </row>
    <row r="14975" spans="1:1" x14ac:dyDescent="0.3">
      <c r="A14975" s="20"/>
    </row>
    <row r="14976" spans="1:1" x14ac:dyDescent="0.3">
      <c r="A14976" s="20"/>
    </row>
    <row r="14977" spans="1:1" x14ac:dyDescent="0.3">
      <c r="A14977" s="20"/>
    </row>
    <row r="14978" spans="1:1" x14ac:dyDescent="0.3">
      <c r="A14978" s="20"/>
    </row>
    <row r="14979" spans="1:1" x14ac:dyDescent="0.3">
      <c r="A14979" s="20"/>
    </row>
    <row r="14980" spans="1:1" x14ac:dyDescent="0.3">
      <c r="A14980" s="20"/>
    </row>
    <row r="14981" spans="1:1" x14ac:dyDescent="0.3">
      <c r="A14981" s="20"/>
    </row>
    <row r="14982" spans="1:1" x14ac:dyDescent="0.3">
      <c r="A14982" s="20"/>
    </row>
    <row r="14983" spans="1:1" x14ac:dyDescent="0.3">
      <c r="A14983" s="20"/>
    </row>
    <row r="14984" spans="1:1" x14ac:dyDescent="0.3">
      <c r="A14984" s="20"/>
    </row>
    <row r="14985" spans="1:1" x14ac:dyDescent="0.3">
      <c r="A14985" s="20"/>
    </row>
    <row r="14986" spans="1:1" x14ac:dyDescent="0.3">
      <c r="A14986" s="20"/>
    </row>
    <row r="14987" spans="1:1" x14ac:dyDescent="0.3">
      <c r="A14987" s="20"/>
    </row>
    <row r="14988" spans="1:1" x14ac:dyDescent="0.3">
      <c r="A14988" s="20"/>
    </row>
    <row r="14989" spans="1:1" x14ac:dyDescent="0.3">
      <c r="A14989" s="20"/>
    </row>
    <row r="14990" spans="1:1" x14ac:dyDescent="0.3">
      <c r="A14990" s="20"/>
    </row>
    <row r="14991" spans="1:1" x14ac:dyDescent="0.3">
      <c r="A14991" s="20"/>
    </row>
    <row r="14992" spans="1:1" x14ac:dyDescent="0.3">
      <c r="A14992" s="20"/>
    </row>
    <row r="14993" spans="1:1" x14ac:dyDescent="0.3">
      <c r="A14993" s="20"/>
    </row>
    <row r="14994" spans="1:1" x14ac:dyDescent="0.3">
      <c r="A14994" s="20"/>
    </row>
    <row r="14995" spans="1:1" x14ac:dyDescent="0.3">
      <c r="A14995" s="20"/>
    </row>
    <row r="14996" spans="1:1" x14ac:dyDescent="0.3">
      <c r="A14996" s="20"/>
    </row>
    <row r="14997" spans="1:1" x14ac:dyDescent="0.3">
      <c r="A14997" s="20"/>
    </row>
    <row r="14998" spans="1:1" x14ac:dyDescent="0.3">
      <c r="A14998" s="20"/>
    </row>
    <row r="14999" spans="1:1" x14ac:dyDescent="0.3">
      <c r="A14999" s="20"/>
    </row>
    <row r="15000" spans="1:1" x14ac:dyDescent="0.3">
      <c r="A15000" s="20"/>
    </row>
    <row r="15001" spans="1:1" x14ac:dyDescent="0.3">
      <c r="A15001" s="20"/>
    </row>
    <row r="15002" spans="1:1" x14ac:dyDescent="0.3">
      <c r="A15002" s="20"/>
    </row>
    <row r="15003" spans="1:1" x14ac:dyDescent="0.3">
      <c r="A15003" s="20"/>
    </row>
    <row r="15004" spans="1:1" x14ac:dyDescent="0.3">
      <c r="A15004" s="20"/>
    </row>
    <row r="15005" spans="1:1" x14ac:dyDescent="0.3">
      <c r="A15005" s="20"/>
    </row>
    <row r="15006" spans="1:1" x14ac:dyDescent="0.3">
      <c r="A15006" s="20"/>
    </row>
    <row r="15007" spans="1:1" x14ac:dyDescent="0.3">
      <c r="A15007" s="20"/>
    </row>
    <row r="15008" spans="1:1" x14ac:dyDescent="0.3">
      <c r="A15008" s="20"/>
    </row>
    <row r="15009" spans="1:1" x14ac:dyDescent="0.3">
      <c r="A15009" s="20"/>
    </row>
    <row r="15010" spans="1:1" x14ac:dyDescent="0.3">
      <c r="A15010" s="20"/>
    </row>
    <row r="15011" spans="1:1" x14ac:dyDescent="0.3">
      <c r="A15011" s="20"/>
    </row>
    <row r="15012" spans="1:1" x14ac:dyDescent="0.3">
      <c r="A15012" s="20"/>
    </row>
    <row r="15013" spans="1:1" x14ac:dyDescent="0.3">
      <c r="A15013" s="20"/>
    </row>
    <row r="15014" spans="1:1" x14ac:dyDescent="0.3">
      <c r="A15014" s="20"/>
    </row>
    <row r="15015" spans="1:1" x14ac:dyDescent="0.3">
      <c r="A15015" s="20"/>
    </row>
    <row r="15016" spans="1:1" x14ac:dyDescent="0.3">
      <c r="A15016" s="20"/>
    </row>
    <row r="15017" spans="1:1" x14ac:dyDescent="0.3">
      <c r="A15017" s="20"/>
    </row>
    <row r="15018" spans="1:1" x14ac:dyDescent="0.3">
      <c r="A15018" s="20"/>
    </row>
    <row r="15019" spans="1:1" x14ac:dyDescent="0.3">
      <c r="A15019" s="20"/>
    </row>
    <row r="15020" spans="1:1" x14ac:dyDescent="0.3">
      <c r="A15020" s="20"/>
    </row>
    <row r="15021" spans="1:1" x14ac:dyDescent="0.3">
      <c r="A15021" s="20"/>
    </row>
    <row r="15022" spans="1:1" x14ac:dyDescent="0.3">
      <c r="A15022" s="20"/>
    </row>
    <row r="15023" spans="1:1" x14ac:dyDescent="0.3">
      <c r="A15023" s="20"/>
    </row>
    <row r="15024" spans="1:1" x14ac:dyDescent="0.3">
      <c r="A15024" s="20"/>
    </row>
    <row r="15025" spans="1:1" x14ac:dyDescent="0.3">
      <c r="A15025" s="20"/>
    </row>
    <row r="15026" spans="1:1" x14ac:dyDescent="0.3">
      <c r="A15026" s="20"/>
    </row>
    <row r="15027" spans="1:1" x14ac:dyDescent="0.3">
      <c r="A15027" s="20"/>
    </row>
    <row r="15028" spans="1:1" x14ac:dyDescent="0.3">
      <c r="A15028" s="20"/>
    </row>
    <row r="15029" spans="1:1" x14ac:dyDescent="0.3">
      <c r="A15029" s="20"/>
    </row>
    <row r="15030" spans="1:1" x14ac:dyDescent="0.3">
      <c r="A15030" s="20"/>
    </row>
    <row r="15031" spans="1:1" x14ac:dyDescent="0.3">
      <c r="A15031" s="20"/>
    </row>
    <row r="15032" spans="1:1" x14ac:dyDescent="0.3">
      <c r="A15032" s="20"/>
    </row>
    <row r="15033" spans="1:1" x14ac:dyDescent="0.3">
      <c r="A15033" s="20"/>
    </row>
    <row r="15034" spans="1:1" x14ac:dyDescent="0.3">
      <c r="A15034" s="20"/>
    </row>
    <row r="15035" spans="1:1" x14ac:dyDescent="0.3">
      <c r="A15035" s="20"/>
    </row>
    <row r="15036" spans="1:1" x14ac:dyDescent="0.3">
      <c r="A15036" s="20"/>
    </row>
    <row r="15037" spans="1:1" x14ac:dyDescent="0.3">
      <c r="A15037" s="20"/>
    </row>
    <row r="15038" spans="1:1" x14ac:dyDescent="0.3">
      <c r="A15038" s="20"/>
    </row>
    <row r="15039" spans="1:1" x14ac:dyDescent="0.3">
      <c r="A15039" s="20"/>
    </row>
    <row r="15040" spans="1:1" x14ac:dyDescent="0.3">
      <c r="A15040" s="20"/>
    </row>
    <row r="15041" spans="1:1" x14ac:dyDescent="0.3">
      <c r="A15041" s="20"/>
    </row>
    <row r="15042" spans="1:1" x14ac:dyDescent="0.3">
      <c r="A15042" s="20"/>
    </row>
    <row r="15043" spans="1:1" x14ac:dyDescent="0.3">
      <c r="A15043" s="20"/>
    </row>
    <row r="15044" spans="1:1" x14ac:dyDescent="0.3">
      <c r="A15044" s="20"/>
    </row>
    <row r="15045" spans="1:1" x14ac:dyDescent="0.3">
      <c r="A15045" s="20"/>
    </row>
    <row r="15046" spans="1:1" x14ac:dyDescent="0.3">
      <c r="A15046" s="20"/>
    </row>
    <row r="15047" spans="1:1" x14ac:dyDescent="0.3">
      <c r="A15047" s="20"/>
    </row>
    <row r="15048" spans="1:1" x14ac:dyDescent="0.3">
      <c r="A15048" s="20"/>
    </row>
    <row r="15049" spans="1:1" x14ac:dyDescent="0.3">
      <c r="A15049" s="20"/>
    </row>
    <row r="15050" spans="1:1" x14ac:dyDescent="0.3">
      <c r="A15050" s="20"/>
    </row>
    <row r="15051" spans="1:1" x14ac:dyDescent="0.3">
      <c r="A15051" s="20"/>
    </row>
    <row r="15052" spans="1:1" x14ac:dyDescent="0.3">
      <c r="A15052" s="20"/>
    </row>
    <row r="15053" spans="1:1" x14ac:dyDescent="0.3">
      <c r="A15053" s="20"/>
    </row>
    <row r="15054" spans="1:1" x14ac:dyDescent="0.3">
      <c r="A15054" s="20"/>
    </row>
    <row r="15055" spans="1:1" x14ac:dyDescent="0.3">
      <c r="A15055" s="20"/>
    </row>
    <row r="15056" spans="1:1" x14ac:dyDescent="0.3">
      <c r="A15056" s="20"/>
    </row>
    <row r="15057" spans="1:1" x14ac:dyDescent="0.3">
      <c r="A15057" s="20"/>
    </row>
    <row r="15058" spans="1:1" x14ac:dyDescent="0.3">
      <c r="A15058" s="20"/>
    </row>
    <row r="15059" spans="1:1" x14ac:dyDescent="0.3">
      <c r="A15059" s="20"/>
    </row>
    <row r="15060" spans="1:1" x14ac:dyDescent="0.3">
      <c r="A15060" s="20"/>
    </row>
    <row r="15061" spans="1:1" x14ac:dyDescent="0.3">
      <c r="A15061" s="20"/>
    </row>
    <row r="15062" spans="1:1" x14ac:dyDescent="0.3">
      <c r="A15062" s="20"/>
    </row>
    <row r="15063" spans="1:1" x14ac:dyDescent="0.3">
      <c r="A15063" s="20"/>
    </row>
    <row r="15064" spans="1:1" x14ac:dyDescent="0.3">
      <c r="A15064" s="20"/>
    </row>
    <row r="15065" spans="1:1" x14ac:dyDescent="0.3">
      <c r="A15065" s="20"/>
    </row>
    <row r="15066" spans="1:1" x14ac:dyDescent="0.3">
      <c r="A15066" s="20"/>
    </row>
    <row r="15067" spans="1:1" x14ac:dyDescent="0.3">
      <c r="A15067" s="20"/>
    </row>
    <row r="15068" spans="1:1" x14ac:dyDescent="0.3">
      <c r="A15068" s="20"/>
    </row>
    <row r="15069" spans="1:1" x14ac:dyDescent="0.3">
      <c r="A15069" s="20"/>
    </row>
    <row r="15070" spans="1:1" x14ac:dyDescent="0.3">
      <c r="A15070" s="20"/>
    </row>
    <row r="15071" spans="1:1" x14ac:dyDescent="0.3">
      <c r="A15071" s="20"/>
    </row>
    <row r="15072" spans="1:1" x14ac:dyDescent="0.3">
      <c r="A15072" s="20"/>
    </row>
    <row r="15073" spans="1:1" x14ac:dyDescent="0.3">
      <c r="A15073" s="20"/>
    </row>
    <row r="15074" spans="1:1" x14ac:dyDescent="0.3">
      <c r="A15074" s="20"/>
    </row>
    <row r="15075" spans="1:1" x14ac:dyDescent="0.3">
      <c r="A15075" s="20"/>
    </row>
    <row r="15076" spans="1:1" x14ac:dyDescent="0.3">
      <c r="A15076" s="20"/>
    </row>
    <row r="15077" spans="1:1" x14ac:dyDescent="0.3">
      <c r="A15077" s="20"/>
    </row>
    <row r="15078" spans="1:1" x14ac:dyDescent="0.3">
      <c r="A15078" s="20"/>
    </row>
    <row r="15079" spans="1:1" x14ac:dyDescent="0.3">
      <c r="A15079" s="20"/>
    </row>
    <row r="15080" spans="1:1" x14ac:dyDescent="0.3">
      <c r="A15080" s="20"/>
    </row>
    <row r="15081" spans="1:1" x14ac:dyDescent="0.3">
      <c r="A15081" s="20"/>
    </row>
    <row r="15082" spans="1:1" x14ac:dyDescent="0.3">
      <c r="A15082" s="20"/>
    </row>
    <row r="15083" spans="1:1" x14ac:dyDescent="0.3">
      <c r="A15083" s="20"/>
    </row>
    <row r="15084" spans="1:1" x14ac:dyDescent="0.3">
      <c r="A15084" s="20"/>
    </row>
    <row r="15085" spans="1:1" x14ac:dyDescent="0.3">
      <c r="A15085" s="20"/>
    </row>
    <row r="15086" spans="1:1" x14ac:dyDescent="0.3">
      <c r="A15086" s="20"/>
    </row>
    <row r="15087" spans="1:1" x14ac:dyDescent="0.3">
      <c r="A15087" s="20"/>
    </row>
    <row r="15088" spans="1:1" x14ac:dyDescent="0.3">
      <c r="A15088" s="20"/>
    </row>
    <row r="15089" spans="1:1" x14ac:dyDescent="0.3">
      <c r="A15089" s="20"/>
    </row>
    <row r="15090" spans="1:1" x14ac:dyDescent="0.3">
      <c r="A15090" s="20"/>
    </row>
    <row r="15091" spans="1:1" x14ac:dyDescent="0.3">
      <c r="A15091" s="20"/>
    </row>
    <row r="15092" spans="1:1" x14ac:dyDescent="0.3">
      <c r="A15092" s="20"/>
    </row>
    <row r="15093" spans="1:1" x14ac:dyDescent="0.3">
      <c r="A15093" s="20"/>
    </row>
    <row r="15094" spans="1:1" x14ac:dyDescent="0.3">
      <c r="A15094" s="20"/>
    </row>
    <row r="15095" spans="1:1" x14ac:dyDescent="0.3">
      <c r="A15095" s="20"/>
    </row>
    <row r="15096" spans="1:1" x14ac:dyDescent="0.3">
      <c r="A15096" s="20"/>
    </row>
    <row r="15097" spans="1:1" x14ac:dyDescent="0.3">
      <c r="A15097" s="20"/>
    </row>
    <row r="15098" spans="1:1" x14ac:dyDescent="0.3">
      <c r="A15098" s="20"/>
    </row>
    <row r="15099" spans="1:1" x14ac:dyDescent="0.3">
      <c r="A15099" s="20"/>
    </row>
    <row r="15100" spans="1:1" x14ac:dyDescent="0.3">
      <c r="A15100" s="20"/>
    </row>
    <row r="15101" spans="1:1" x14ac:dyDescent="0.3">
      <c r="A15101" s="20"/>
    </row>
    <row r="15102" spans="1:1" x14ac:dyDescent="0.3">
      <c r="A15102" s="20"/>
    </row>
    <row r="15103" spans="1:1" x14ac:dyDescent="0.3">
      <c r="A15103" s="20"/>
    </row>
    <row r="15104" spans="1:1" x14ac:dyDescent="0.3">
      <c r="A15104" s="20"/>
    </row>
    <row r="15105" spans="1:1" x14ac:dyDescent="0.3">
      <c r="A15105" s="20"/>
    </row>
    <row r="15106" spans="1:1" x14ac:dyDescent="0.3">
      <c r="A15106" s="20"/>
    </row>
    <row r="15107" spans="1:1" x14ac:dyDescent="0.3">
      <c r="A15107" s="20"/>
    </row>
    <row r="15108" spans="1:1" x14ac:dyDescent="0.3">
      <c r="A15108" s="20"/>
    </row>
    <row r="15109" spans="1:1" x14ac:dyDescent="0.3">
      <c r="A15109" s="20"/>
    </row>
    <row r="15110" spans="1:1" x14ac:dyDescent="0.3">
      <c r="A15110" s="20"/>
    </row>
    <row r="15111" spans="1:1" x14ac:dyDescent="0.3">
      <c r="A15111" s="20"/>
    </row>
    <row r="15112" spans="1:1" x14ac:dyDescent="0.3">
      <c r="A15112" s="20"/>
    </row>
    <row r="15113" spans="1:1" x14ac:dyDescent="0.3">
      <c r="A15113" s="20"/>
    </row>
    <row r="15114" spans="1:1" x14ac:dyDescent="0.3">
      <c r="A15114" s="20"/>
    </row>
    <row r="15115" spans="1:1" x14ac:dyDescent="0.3">
      <c r="A15115" s="20"/>
    </row>
    <row r="15116" spans="1:1" x14ac:dyDescent="0.3">
      <c r="A15116" s="20"/>
    </row>
    <row r="15117" spans="1:1" x14ac:dyDescent="0.3">
      <c r="A15117" s="20"/>
    </row>
    <row r="15118" spans="1:1" x14ac:dyDescent="0.3">
      <c r="A15118" s="20"/>
    </row>
    <row r="15119" spans="1:1" x14ac:dyDescent="0.3">
      <c r="A15119" s="20"/>
    </row>
    <row r="15120" spans="1:1" x14ac:dyDescent="0.3">
      <c r="A15120" s="20"/>
    </row>
    <row r="15121" spans="1:1" x14ac:dyDescent="0.3">
      <c r="A15121" s="20"/>
    </row>
    <row r="15122" spans="1:1" x14ac:dyDescent="0.3">
      <c r="A15122" s="20"/>
    </row>
    <row r="15123" spans="1:1" x14ac:dyDescent="0.3">
      <c r="A15123" s="20"/>
    </row>
    <row r="15124" spans="1:1" x14ac:dyDescent="0.3">
      <c r="A15124" s="20"/>
    </row>
    <row r="15125" spans="1:1" x14ac:dyDescent="0.3">
      <c r="A15125" s="20"/>
    </row>
    <row r="15126" spans="1:1" x14ac:dyDescent="0.3">
      <c r="A15126" s="20"/>
    </row>
    <row r="15127" spans="1:1" x14ac:dyDescent="0.3">
      <c r="A15127" s="20"/>
    </row>
    <row r="15128" spans="1:1" x14ac:dyDescent="0.3">
      <c r="A15128" s="20"/>
    </row>
    <row r="15129" spans="1:1" x14ac:dyDescent="0.3">
      <c r="A15129" s="20"/>
    </row>
    <row r="15130" spans="1:1" x14ac:dyDescent="0.3">
      <c r="A15130" s="20"/>
    </row>
    <row r="15131" spans="1:1" x14ac:dyDescent="0.3">
      <c r="A15131" s="20"/>
    </row>
    <row r="15132" spans="1:1" x14ac:dyDescent="0.3">
      <c r="A15132" s="20"/>
    </row>
    <row r="15133" spans="1:1" x14ac:dyDescent="0.3">
      <c r="A15133" s="20"/>
    </row>
    <row r="15134" spans="1:1" x14ac:dyDescent="0.3">
      <c r="A15134" s="20"/>
    </row>
    <row r="15135" spans="1:1" x14ac:dyDescent="0.3">
      <c r="A15135" s="20"/>
    </row>
    <row r="15136" spans="1:1" x14ac:dyDescent="0.3">
      <c r="A15136" s="20"/>
    </row>
    <row r="15137" spans="1:1" x14ac:dyDescent="0.3">
      <c r="A15137" s="20"/>
    </row>
    <row r="15138" spans="1:1" x14ac:dyDescent="0.3">
      <c r="A15138" s="20"/>
    </row>
    <row r="15139" spans="1:1" x14ac:dyDescent="0.3">
      <c r="A15139" s="20"/>
    </row>
    <row r="15140" spans="1:1" x14ac:dyDescent="0.3">
      <c r="A15140" s="20"/>
    </row>
    <row r="15141" spans="1:1" x14ac:dyDescent="0.3">
      <c r="A15141" s="20"/>
    </row>
    <row r="15142" spans="1:1" x14ac:dyDescent="0.3">
      <c r="A15142" s="20"/>
    </row>
    <row r="15143" spans="1:1" x14ac:dyDescent="0.3">
      <c r="A15143" s="20"/>
    </row>
    <row r="15144" spans="1:1" x14ac:dyDescent="0.3">
      <c r="A15144" s="20"/>
    </row>
    <row r="15145" spans="1:1" x14ac:dyDescent="0.3">
      <c r="A15145" s="20"/>
    </row>
    <row r="15146" spans="1:1" x14ac:dyDescent="0.3">
      <c r="A15146" s="20"/>
    </row>
    <row r="15147" spans="1:1" x14ac:dyDescent="0.3">
      <c r="A15147" s="20"/>
    </row>
    <row r="15148" spans="1:1" x14ac:dyDescent="0.3">
      <c r="A15148" s="20"/>
    </row>
    <row r="15149" spans="1:1" x14ac:dyDescent="0.3">
      <c r="A15149" s="20"/>
    </row>
    <row r="15150" spans="1:1" x14ac:dyDescent="0.3">
      <c r="A15150" s="20"/>
    </row>
    <row r="15151" spans="1:1" x14ac:dyDescent="0.3">
      <c r="A15151" s="20"/>
    </row>
    <row r="15152" spans="1:1" x14ac:dyDescent="0.3">
      <c r="A15152" s="20"/>
    </row>
    <row r="15153" spans="1:1" x14ac:dyDescent="0.3">
      <c r="A15153" s="20"/>
    </row>
    <row r="15154" spans="1:1" x14ac:dyDescent="0.3">
      <c r="A15154" s="20"/>
    </row>
    <row r="15155" spans="1:1" x14ac:dyDescent="0.3">
      <c r="A15155" s="20"/>
    </row>
    <row r="15156" spans="1:1" x14ac:dyDescent="0.3">
      <c r="A15156" s="20"/>
    </row>
    <row r="15157" spans="1:1" x14ac:dyDescent="0.3">
      <c r="A15157" s="20"/>
    </row>
    <row r="15158" spans="1:1" x14ac:dyDescent="0.3">
      <c r="A15158" s="20"/>
    </row>
    <row r="15159" spans="1:1" x14ac:dyDescent="0.3">
      <c r="A15159" s="20"/>
    </row>
    <row r="15160" spans="1:1" x14ac:dyDescent="0.3">
      <c r="A15160" s="20"/>
    </row>
    <row r="15161" spans="1:1" x14ac:dyDescent="0.3">
      <c r="A15161" s="20"/>
    </row>
    <row r="15162" spans="1:1" x14ac:dyDescent="0.3">
      <c r="A15162" s="20"/>
    </row>
    <row r="15163" spans="1:1" x14ac:dyDescent="0.3">
      <c r="A15163" s="20"/>
    </row>
    <row r="15164" spans="1:1" x14ac:dyDescent="0.3">
      <c r="A15164" s="20"/>
    </row>
    <row r="15165" spans="1:1" x14ac:dyDescent="0.3">
      <c r="A15165" s="20"/>
    </row>
    <row r="15166" spans="1:1" x14ac:dyDescent="0.3">
      <c r="A15166" s="20"/>
    </row>
    <row r="15167" spans="1:1" x14ac:dyDescent="0.3">
      <c r="A15167" s="20"/>
    </row>
    <row r="15168" spans="1:1" x14ac:dyDescent="0.3">
      <c r="A15168" s="20"/>
    </row>
    <row r="15169" spans="1:1" x14ac:dyDescent="0.3">
      <c r="A15169" s="20"/>
    </row>
    <row r="15170" spans="1:1" x14ac:dyDescent="0.3">
      <c r="A15170" s="20"/>
    </row>
    <row r="15171" spans="1:1" x14ac:dyDescent="0.3">
      <c r="A15171" s="20"/>
    </row>
    <row r="15172" spans="1:1" x14ac:dyDescent="0.3">
      <c r="A15172" s="20"/>
    </row>
    <row r="15173" spans="1:1" x14ac:dyDescent="0.3">
      <c r="A15173" s="20"/>
    </row>
    <row r="15174" spans="1:1" x14ac:dyDescent="0.3">
      <c r="A15174" s="20"/>
    </row>
    <row r="15175" spans="1:1" x14ac:dyDescent="0.3">
      <c r="A15175" s="20"/>
    </row>
    <row r="15176" spans="1:1" x14ac:dyDescent="0.3">
      <c r="A15176" s="20"/>
    </row>
    <row r="15177" spans="1:1" x14ac:dyDescent="0.3">
      <c r="A15177" s="20"/>
    </row>
    <row r="15178" spans="1:1" x14ac:dyDescent="0.3">
      <c r="A15178" s="20"/>
    </row>
    <row r="15179" spans="1:1" x14ac:dyDescent="0.3">
      <c r="A15179" s="20"/>
    </row>
    <row r="15180" spans="1:1" x14ac:dyDescent="0.3">
      <c r="A15180" s="20"/>
    </row>
    <row r="15181" spans="1:1" x14ac:dyDescent="0.3">
      <c r="A15181" s="20"/>
    </row>
    <row r="15182" spans="1:1" x14ac:dyDescent="0.3">
      <c r="A15182" s="20"/>
    </row>
    <row r="15183" spans="1:1" x14ac:dyDescent="0.3">
      <c r="A15183" s="20"/>
    </row>
    <row r="15184" spans="1:1" x14ac:dyDescent="0.3">
      <c r="A15184" s="20"/>
    </row>
    <row r="15185" spans="1:1" x14ac:dyDescent="0.3">
      <c r="A15185" s="20"/>
    </row>
    <row r="15186" spans="1:1" x14ac:dyDescent="0.3">
      <c r="A15186" s="20"/>
    </row>
    <row r="15187" spans="1:1" x14ac:dyDescent="0.3">
      <c r="A15187" s="20"/>
    </row>
    <row r="15188" spans="1:1" x14ac:dyDescent="0.3">
      <c r="A15188" s="20"/>
    </row>
    <row r="15189" spans="1:1" x14ac:dyDescent="0.3">
      <c r="A15189" s="20"/>
    </row>
    <row r="15190" spans="1:1" x14ac:dyDescent="0.3">
      <c r="A15190" s="20"/>
    </row>
    <row r="15191" spans="1:1" x14ac:dyDescent="0.3">
      <c r="A15191" s="20"/>
    </row>
    <row r="15192" spans="1:1" x14ac:dyDescent="0.3">
      <c r="A15192" s="20"/>
    </row>
    <row r="15193" spans="1:1" x14ac:dyDescent="0.3">
      <c r="A15193" s="20"/>
    </row>
    <row r="15194" spans="1:1" x14ac:dyDescent="0.3">
      <c r="A15194" s="20"/>
    </row>
    <row r="15195" spans="1:1" x14ac:dyDescent="0.3">
      <c r="A15195" s="20"/>
    </row>
    <row r="15196" spans="1:1" x14ac:dyDescent="0.3">
      <c r="A15196" s="20"/>
    </row>
    <row r="15197" spans="1:1" x14ac:dyDescent="0.3">
      <c r="A15197" s="20"/>
    </row>
    <row r="15198" spans="1:1" x14ac:dyDescent="0.3">
      <c r="A15198" s="20"/>
    </row>
    <row r="15199" spans="1:1" x14ac:dyDescent="0.3">
      <c r="A15199" s="20"/>
    </row>
    <row r="15200" spans="1:1" x14ac:dyDescent="0.3">
      <c r="A15200" s="20"/>
    </row>
    <row r="15201" spans="1:1" x14ac:dyDescent="0.3">
      <c r="A15201" s="20"/>
    </row>
    <row r="15202" spans="1:1" x14ac:dyDescent="0.3">
      <c r="A15202" s="20"/>
    </row>
    <row r="15203" spans="1:1" x14ac:dyDescent="0.3">
      <c r="A15203" s="20"/>
    </row>
    <row r="15204" spans="1:1" x14ac:dyDescent="0.3">
      <c r="A15204" s="20"/>
    </row>
    <row r="15205" spans="1:1" x14ac:dyDescent="0.3">
      <c r="A15205" s="20"/>
    </row>
    <row r="15206" spans="1:1" x14ac:dyDescent="0.3">
      <c r="A15206" s="20"/>
    </row>
    <row r="15207" spans="1:1" x14ac:dyDescent="0.3">
      <c r="A15207" s="20"/>
    </row>
    <row r="15208" spans="1:1" x14ac:dyDescent="0.3">
      <c r="A15208" s="20"/>
    </row>
    <row r="15209" spans="1:1" x14ac:dyDescent="0.3">
      <c r="A15209" s="20"/>
    </row>
    <row r="15210" spans="1:1" x14ac:dyDescent="0.3">
      <c r="A15210" s="20"/>
    </row>
    <row r="15211" spans="1:1" x14ac:dyDescent="0.3">
      <c r="A15211" s="20"/>
    </row>
    <row r="15212" spans="1:1" x14ac:dyDescent="0.3">
      <c r="A15212" s="20"/>
    </row>
    <row r="15213" spans="1:1" x14ac:dyDescent="0.3">
      <c r="A15213" s="20"/>
    </row>
    <row r="15214" spans="1:1" x14ac:dyDescent="0.3">
      <c r="A15214" s="20"/>
    </row>
    <row r="15215" spans="1:1" x14ac:dyDescent="0.3">
      <c r="A15215" s="20"/>
    </row>
    <row r="15216" spans="1:1" x14ac:dyDescent="0.3">
      <c r="A15216" s="20"/>
    </row>
    <row r="15217" spans="1:1" x14ac:dyDescent="0.3">
      <c r="A15217" s="20"/>
    </row>
    <row r="15218" spans="1:1" x14ac:dyDescent="0.3">
      <c r="A15218" s="20"/>
    </row>
    <row r="15219" spans="1:1" x14ac:dyDescent="0.3">
      <c r="A15219" s="20"/>
    </row>
    <row r="15220" spans="1:1" x14ac:dyDescent="0.3">
      <c r="A15220" s="20"/>
    </row>
    <row r="15221" spans="1:1" x14ac:dyDescent="0.3">
      <c r="A15221" s="20"/>
    </row>
    <row r="15222" spans="1:1" x14ac:dyDescent="0.3">
      <c r="A15222" s="20"/>
    </row>
    <row r="15223" spans="1:1" x14ac:dyDescent="0.3">
      <c r="A15223" s="20"/>
    </row>
    <row r="15224" spans="1:1" x14ac:dyDescent="0.3">
      <c r="A15224" s="20"/>
    </row>
    <row r="15225" spans="1:1" x14ac:dyDescent="0.3">
      <c r="A15225" s="20"/>
    </row>
    <row r="15226" spans="1:1" x14ac:dyDescent="0.3">
      <c r="A15226" s="20"/>
    </row>
    <row r="15227" spans="1:1" x14ac:dyDescent="0.3">
      <c r="A15227" s="20"/>
    </row>
    <row r="15228" spans="1:1" x14ac:dyDescent="0.3">
      <c r="A15228" s="20"/>
    </row>
    <row r="15229" spans="1:1" x14ac:dyDescent="0.3">
      <c r="A15229" s="20"/>
    </row>
    <row r="15230" spans="1:1" x14ac:dyDescent="0.3">
      <c r="A15230" s="20"/>
    </row>
    <row r="15231" spans="1:1" x14ac:dyDescent="0.3">
      <c r="A15231" s="20"/>
    </row>
    <row r="15232" spans="1:1" x14ac:dyDescent="0.3">
      <c r="A15232" s="20"/>
    </row>
    <row r="15233" spans="1:1" x14ac:dyDescent="0.3">
      <c r="A15233" s="20"/>
    </row>
    <row r="15234" spans="1:1" x14ac:dyDescent="0.3">
      <c r="A15234" s="20"/>
    </row>
    <row r="15235" spans="1:1" x14ac:dyDescent="0.3">
      <c r="A15235" s="20"/>
    </row>
    <row r="15236" spans="1:1" x14ac:dyDescent="0.3">
      <c r="A15236" s="20"/>
    </row>
    <row r="15237" spans="1:1" x14ac:dyDescent="0.3">
      <c r="A15237" s="20"/>
    </row>
    <row r="15238" spans="1:1" x14ac:dyDescent="0.3">
      <c r="A15238" s="20"/>
    </row>
    <row r="15239" spans="1:1" x14ac:dyDescent="0.3">
      <c r="A15239" s="20"/>
    </row>
    <row r="15240" spans="1:1" x14ac:dyDescent="0.3">
      <c r="A15240" s="20"/>
    </row>
    <row r="15241" spans="1:1" x14ac:dyDescent="0.3">
      <c r="A15241" s="20"/>
    </row>
    <row r="15242" spans="1:1" x14ac:dyDescent="0.3">
      <c r="A15242" s="20"/>
    </row>
    <row r="15243" spans="1:1" x14ac:dyDescent="0.3">
      <c r="A15243" s="20"/>
    </row>
    <row r="15244" spans="1:1" x14ac:dyDescent="0.3">
      <c r="A15244" s="20"/>
    </row>
    <row r="15245" spans="1:1" x14ac:dyDescent="0.3">
      <c r="A15245" s="20"/>
    </row>
    <row r="15246" spans="1:1" x14ac:dyDescent="0.3">
      <c r="A15246" s="20"/>
    </row>
    <row r="15247" spans="1:1" x14ac:dyDescent="0.3">
      <c r="A15247" s="20"/>
    </row>
    <row r="15248" spans="1:1" x14ac:dyDescent="0.3">
      <c r="A15248" s="20"/>
    </row>
    <row r="15249" spans="1:1" x14ac:dyDescent="0.3">
      <c r="A15249" s="20"/>
    </row>
    <row r="15250" spans="1:1" x14ac:dyDescent="0.3">
      <c r="A15250" s="20"/>
    </row>
    <row r="15251" spans="1:1" x14ac:dyDescent="0.3">
      <c r="A15251" s="20"/>
    </row>
    <row r="15252" spans="1:1" x14ac:dyDescent="0.3">
      <c r="A15252" s="20"/>
    </row>
    <row r="15253" spans="1:1" x14ac:dyDescent="0.3">
      <c r="A15253" s="20"/>
    </row>
    <row r="15254" spans="1:1" x14ac:dyDescent="0.3">
      <c r="A15254" s="20"/>
    </row>
    <row r="15255" spans="1:1" x14ac:dyDescent="0.3">
      <c r="A15255" s="20"/>
    </row>
    <row r="15256" spans="1:1" x14ac:dyDescent="0.3">
      <c r="A15256" s="20"/>
    </row>
    <row r="15257" spans="1:1" x14ac:dyDescent="0.3">
      <c r="A15257" s="20"/>
    </row>
    <row r="15258" spans="1:1" x14ac:dyDescent="0.3">
      <c r="A15258" s="20"/>
    </row>
    <row r="15259" spans="1:1" x14ac:dyDescent="0.3">
      <c r="A15259" s="20"/>
    </row>
    <row r="15260" spans="1:1" x14ac:dyDescent="0.3">
      <c r="A15260" s="20"/>
    </row>
    <row r="15261" spans="1:1" x14ac:dyDescent="0.3">
      <c r="A15261" s="20"/>
    </row>
    <row r="15262" spans="1:1" x14ac:dyDescent="0.3">
      <c r="A15262" s="20"/>
    </row>
    <row r="15263" spans="1:1" x14ac:dyDescent="0.3">
      <c r="A15263" s="20"/>
    </row>
    <row r="15264" spans="1:1" x14ac:dyDescent="0.3">
      <c r="A15264" s="20"/>
    </row>
    <row r="15265" spans="1:1" x14ac:dyDescent="0.3">
      <c r="A15265" s="20"/>
    </row>
    <row r="15266" spans="1:1" x14ac:dyDescent="0.3">
      <c r="A15266" s="20"/>
    </row>
    <row r="15267" spans="1:1" x14ac:dyDescent="0.3">
      <c r="A15267" s="20"/>
    </row>
    <row r="15268" spans="1:1" x14ac:dyDescent="0.3">
      <c r="A15268" s="20"/>
    </row>
    <row r="15269" spans="1:1" x14ac:dyDescent="0.3">
      <c r="A15269" s="20"/>
    </row>
    <row r="15270" spans="1:1" x14ac:dyDescent="0.3">
      <c r="A15270" s="20"/>
    </row>
    <row r="15271" spans="1:1" x14ac:dyDescent="0.3">
      <c r="A15271" s="20"/>
    </row>
    <row r="15272" spans="1:1" x14ac:dyDescent="0.3">
      <c r="A15272" s="20"/>
    </row>
    <row r="15273" spans="1:1" x14ac:dyDescent="0.3">
      <c r="A15273" s="20"/>
    </row>
    <row r="15274" spans="1:1" x14ac:dyDescent="0.3">
      <c r="A15274" s="20"/>
    </row>
    <row r="15275" spans="1:1" x14ac:dyDescent="0.3">
      <c r="A15275" s="20"/>
    </row>
    <row r="15276" spans="1:1" x14ac:dyDescent="0.3">
      <c r="A15276" s="20"/>
    </row>
    <row r="15277" spans="1:1" x14ac:dyDescent="0.3">
      <c r="A15277" s="20"/>
    </row>
    <row r="15278" spans="1:1" x14ac:dyDescent="0.3">
      <c r="A15278" s="20"/>
    </row>
    <row r="15279" spans="1:1" x14ac:dyDescent="0.3">
      <c r="A15279" s="20"/>
    </row>
    <row r="15280" spans="1:1" x14ac:dyDescent="0.3">
      <c r="A15280" s="20"/>
    </row>
    <row r="15281" spans="1:1" x14ac:dyDescent="0.3">
      <c r="A15281" s="20"/>
    </row>
    <row r="15282" spans="1:1" x14ac:dyDescent="0.3">
      <c r="A15282" s="20"/>
    </row>
    <row r="15283" spans="1:1" x14ac:dyDescent="0.3">
      <c r="A15283" s="20"/>
    </row>
    <row r="15284" spans="1:1" x14ac:dyDescent="0.3">
      <c r="A15284" s="20"/>
    </row>
    <row r="15285" spans="1:1" x14ac:dyDescent="0.3">
      <c r="A15285" s="20"/>
    </row>
    <row r="15286" spans="1:1" x14ac:dyDescent="0.3">
      <c r="A15286" s="20"/>
    </row>
    <row r="15287" spans="1:1" x14ac:dyDescent="0.3">
      <c r="A15287" s="20"/>
    </row>
    <row r="15288" spans="1:1" x14ac:dyDescent="0.3">
      <c r="A15288" s="20"/>
    </row>
    <row r="15289" spans="1:1" x14ac:dyDescent="0.3">
      <c r="A15289" s="20"/>
    </row>
    <row r="15290" spans="1:1" x14ac:dyDescent="0.3">
      <c r="A15290" s="20"/>
    </row>
    <row r="15291" spans="1:1" x14ac:dyDescent="0.3">
      <c r="A15291" s="20"/>
    </row>
    <row r="15292" spans="1:1" x14ac:dyDescent="0.3">
      <c r="A15292" s="20"/>
    </row>
    <row r="15293" spans="1:1" x14ac:dyDescent="0.3">
      <c r="A15293" s="20"/>
    </row>
    <row r="15294" spans="1:1" x14ac:dyDescent="0.3">
      <c r="A15294" s="20"/>
    </row>
    <row r="15295" spans="1:1" x14ac:dyDescent="0.3">
      <c r="A15295" s="20"/>
    </row>
    <row r="15296" spans="1:1" x14ac:dyDescent="0.3">
      <c r="A15296" s="20"/>
    </row>
    <row r="15297" spans="1:1" x14ac:dyDescent="0.3">
      <c r="A15297" s="20"/>
    </row>
    <row r="15298" spans="1:1" x14ac:dyDescent="0.3">
      <c r="A15298" s="20"/>
    </row>
    <row r="15299" spans="1:1" x14ac:dyDescent="0.3">
      <c r="A15299" s="20"/>
    </row>
    <row r="15300" spans="1:1" x14ac:dyDescent="0.3">
      <c r="A15300" s="20"/>
    </row>
    <row r="15301" spans="1:1" x14ac:dyDescent="0.3">
      <c r="A15301" s="20"/>
    </row>
    <row r="15302" spans="1:1" x14ac:dyDescent="0.3">
      <c r="A15302" s="20"/>
    </row>
    <row r="15303" spans="1:1" x14ac:dyDescent="0.3">
      <c r="A15303" s="20"/>
    </row>
    <row r="15304" spans="1:1" x14ac:dyDescent="0.3">
      <c r="A15304" s="20"/>
    </row>
    <row r="15305" spans="1:1" x14ac:dyDescent="0.3">
      <c r="A15305" s="20"/>
    </row>
    <row r="15306" spans="1:1" x14ac:dyDescent="0.3">
      <c r="A15306" s="20"/>
    </row>
    <row r="15307" spans="1:1" x14ac:dyDescent="0.3">
      <c r="A15307" s="20"/>
    </row>
    <row r="15308" spans="1:1" x14ac:dyDescent="0.3">
      <c r="A15308" s="20"/>
    </row>
    <row r="15309" spans="1:1" x14ac:dyDescent="0.3">
      <c r="A15309" s="20"/>
    </row>
    <row r="15310" spans="1:1" x14ac:dyDescent="0.3">
      <c r="A15310" s="20"/>
    </row>
    <row r="15311" spans="1:1" x14ac:dyDescent="0.3">
      <c r="A15311" s="20"/>
    </row>
    <row r="15312" spans="1:1" x14ac:dyDescent="0.3">
      <c r="A15312" s="20"/>
    </row>
    <row r="15313" spans="1:1" x14ac:dyDescent="0.3">
      <c r="A15313" s="20"/>
    </row>
    <row r="15314" spans="1:1" x14ac:dyDescent="0.3">
      <c r="A15314" s="20"/>
    </row>
    <row r="15315" spans="1:1" x14ac:dyDescent="0.3">
      <c r="A15315" s="20"/>
    </row>
    <row r="15316" spans="1:1" x14ac:dyDescent="0.3">
      <c r="A15316" s="20"/>
    </row>
    <row r="15317" spans="1:1" x14ac:dyDescent="0.3">
      <c r="A15317" s="20"/>
    </row>
    <row r="15318" spans="1:1" x14ac:dyDescent="0.3">
      <c r="A15318" s="20"/>
    </row>
    <row r="15319" spans="1:1" x14ac:dyDescent="0.3">
      <c r="A15319" s="20"/>
    </row>
    <row r="15320" spans="1:1" x14ac:dyDescent="0.3">
      <c r="A15320" s="20"/>
    </row>
    <row r="15321" spans="1:1" x14ac:dyDescent="0.3">
      <c r="A15321" s="20"/>
    </row>
    <row r="15322" spans="1:1" x14ac:dyDescent="0.3">
      <c r="A15322" s="20"/>
    </row>
    <row r="15323" spans="1:1" x14ac:dyDescent="0.3">
      <c r="A15323" s="20"/>
    </row>
    <row r="15324" spans="1:1" x14ac:dyDescent="0.3">
      <c r="A15324" s="20"/>
    </row>
    <row r="15325" spans="1:1" x14ac:dyDescent="0.3">
      <c r="A15325" s="20"/>
    </row>
    <row r="15326" spans="1:1" x14ac:dyDescent="0.3">
      <c r="A15326" s="20"/>
    </row>
    <row r="15327" spans="1:1" x14ac:dyDescent="0.3">
      <c r="A15327" s="20"/>
    </row>
    <row r="15328" spans="1:1" x14ac:dyDescent="0.3">
      <c r="A15328" s="20"/>
    </row>
    <row r="15329" spans="1:1" x14ac:dyDescent="0.3">
      <c r="A15329" s="20"/>
    </row>
    <row r="15330" spans="1:1" x14ac:dyDescent="0.3">
      <c r="A15330" s="20"/>
    </row>
    <row r="15331" spans="1:1" x14ac:dyDescent="0.3">
      <c r="A15331" s="20"/>
    </row>
    <row r="15332" spans="1:1" x14ac:dyDescent="0.3">
      <c r="A15332" s="20"/>
    </row>
    <row r="15333" spans="1:1" x14ac:dyDescent="0.3">
      <c r="A15333" s="20"/>
    </row>
    <row r="15334" spans="1:1" x14ac:dyDescent="0.3">
      <c r="A15334" s="20"/>
    </row>
    <row r="15335" spans="1:1" x14ac:dyDescent="0.3">
      <c r="A15335" s="20"/>
    </row>
    <row r="15336" spans="1:1" x14ac:dyDescent="0.3">
      <c r="A15336" s="20"/>
    </row>
    <row r="15337" spans="1:1" x14ac:dyDescent="0.3">
      <c r="A15337" s="20"/>
    </row>
    <row r="15338" spans="1:1" x14ac:dyDescent="0.3">
      <c r="A15338" s="20"/>
    </row>
    <row r="15339" spans="1:1" x14ac:dyDescent="0.3">
      <c r="A15339" s="20"/>
    </row>
    <row r="15340" spans="1:1" x14ac:dyDescent="0.3">
      <c r="A15340" s="20"/>
    </row>
    <row r="15341" spans="1:1" x14ac:dyDescent="0.3">
      <c r="A15341" s="20"/>
    </row>
    <row r="15342" spans="1:1" x14ac:dyDescent="0.3">
      <c r="A15342" s="20"/>
    </row>
    <row r="15343" spans="1:1" x14ac:dyDescent="0.3">
      <c r="A15343" s="20"/>
    </row>
    <row r="15344" spans="1:1" x14ac:dyDescent="0.3">
      <c r="A15344" s="20"/>
    </row>
    <row r="15345" spans="1:1" x14ac:dyDescent="0.3">
      <c r="A15345" s="20"/>
    </row>
    <row r="15346" spans="1:1" x14ac:dyDescent="0.3">
      <c r="A15346" s="20"/>
    </row>
    <row r="15347" spans="1:1" x14ac:dyDescent="0.3">
      <c r="A15347" s="20"/>
    </row>
    <row r="15348" spans="1:1" x14ac:dyDescent="0.3">
      <c r="A15348" s="20"/>
    </row>
    <row r="15349" spans="1:1" x14ac:dyDescent="0.3">
      <c r="A15349" s="20"/>
    </row>
    <row r="15350" spans="1:1" x14ac:dyDescent="0.3">
      <c r="A15350" s="20"/>
    </row>
    <row r="15351" spans="1:1" x14ac:dyDescent="0.3">
      <c r="A15351" s="20"/>
    </row>
    <row r="15352" spans="1:1" x14ac:dyDescent="0.3">
      <c r="A15352" s="20"/>
    </row>
    <row r="15353" spans="1:1" x14ac:dyDescent="0.3">
      <c r="A15353" s="20"/>
    </row>
    <row r="15354" spans="1:1" x14ac:dyDescent="0.3">
      <c r="A15354" s="20"/>
    </row>
    <row r="15355" spans="1:1" x14ac:dyDescent="0.3">
      <c r="A15355" s="20"/>
    </row>
    <row r="15356" spans="1:1" x14ac:dyDescent="0.3">
      <c r="A15356" s="20"/>
    </row>
    <row r="15357" spans="1:1" x14ac:dyDescent="0.3">
      <c r="A15357" s="20"/>
    </row>
    <row r="15358" spans="1:1" x14ac:dyDescent="0.3">
      <c r="A15358" s="20"/>
    </row>
    <row r="15359" spans="1:1" x14ac:dyDescent="0.3">
      <c r="A15359" s="20"/>
    </row>
    <row r="15360" spans="1:1" x14ac:dyDescent="0.3">
      <c r="A15360" s="20"/>
    </row>
    <row r="15361" spans="1:1" x14ac:dyDescent="0.3">
      <c r="A15361" s="20"/>
    </row>
    <row r="15362" spans="1:1" x14ac:dyDescent="0.3">
      <c r="A15362" s="20"/>
    </row>
    <row r="15363" spans="1:1" x14ac:dyDescent="0.3">
      <c r="A15363" s="20"/>
    </row>
    <row r="15364" spans="1:1" x14ac:dyDescent="0.3">
      <c r="A15364" s="20"/>
    </row>
    <row r="15365" spans="1:1" x14ac:dyDescent="0.3">
      <c r="A15365" s="20"/>
    </row>
    <row r="15366" spans="1:1" x14ac:dyDescent="0.3">
      <c r="A15366" s="20"/>
    </row>
    <row r="15367" spans="1:1" x14ac:dyDescent="0.3">
      <c r="A15367" s="20"/>
    </row>
    <row r="15368" spans="1:1" x14ac:dyDescent="0.3">
      <c r="A15368" s="20"/>
    </row>
    <row r="15369" spans="1:1" x14ac:dyDescent="0.3">
      <c r="A15369" s="20"/>
    </row>
    <row r="15370" spans="1:1" x14ac:dyDescent="0.3">
      <c r="A15370" s="20"/>
    </row>
    <row r="15371" spans="1:1" x14ac:dyDescent="0.3">
      <c r="A15371" s="20"/>
    </row>
    <row r="15372" spans="1:1" x14ac:dyDescent="0.3">
      <c r="A15372" s="20"/>
    </row>
    <row r="15373" spans="1:1" x14ac:dyDescent="0.3">
      <c r="A15373" s="20"/>
    </row>
    <row r="15374" spans="1:1" x14ac:dyDescent="0.3">
      <c r="A15374" s="20"/>
    </row>
    <row r="15375" spans="1:1" x14ac:dyDescent="0.3">
      <c r="A15375" s="20"/>
    </row>
    <row r="15376" spans="1:1" x14ac:dyDescent="0.3">
      <c r="A15376" s="20"/>
    </row>
    <row r="15377" spans="1:1" x14ac:dyDescent="0.3">
      <c r="A15377" s="20"/>
    </row>
    <row r="15378" spans="1:1" x14ac:dyDescent="0.3">
      <c r="A15378" s="20"/>
    </row>
    <row r="15379" spans="1:1" x14ac:dyDescent="0.3">
      <c r="A15379" s="20"/>
    </row>
    <row r="15380" spans="1:1" x14ac:dyDescent="0.3">
      <c r="A15380" s="20"/>
    </row>
    <row r="15381" spans="1:1" x14ac:dyDescent="0.3">
      <c r="A15381" s="20"/>
    </row>
    <row r="15382" spans="1:1" x14ac:dyDescent="0.3">
      <c r="A15382" s="20"/>
    </row>
    <row r="15383" spans="1:1" x14ac:dyDescent="0.3">
      <c r="A15383" s="20"/>
    </row>
    <row r="15384" spans="1:1" x14ac:dyDescent="0.3">
      <c r="A15384" s="20"/>
    </row>
    <row r="15385" spans="1:1" x14ac:dyDescent="0.3">
      <c r="A15385" s="20"/>
    </row>
    <row r="15386" spans="1:1" x14ac:dyDescent="0.3">
      <c r="A15386" s="20"/>
    </row>
    <row r="15387" spans="1:1" x14ac:dyDescent="0.3">
      <c r="A15387" s="20"/>
    </row>
    <row r="15388" spans="1:1" x14ac:dyDescent="0.3">
      <c r="A15388" s="20"/>
    </row>
    <row r="15389" spans="1:1" x14ac:dyDescent="0.3">
      <c r="A15389" s="20"/>
    </row>
    <row r="15390" spans="1:1" x14ac:dyDescent="0.3">
      <c r="A15390" s="20"/>
    </row>
    <row r="15391" spans="1:1" x14ac:dyDescent="0.3">
      <c r="A15391" s="20"/>
    </row>
    <row r="15392" spans="1:1" x14ac:dyDescent="0.3">
      <c r="A15392" s="20"/>
    </row>
    <row r="15393" spans="1:1" x14ac:dyDescent="0.3">
      <c r="A15393" s="20"/>
    </row>
    <row r="15394" spans="1:1" x14ac:dyDescent="0.3">
      <c r="A15394" s="20"/>
    </row>
    <row r="15395" spans="1:1" x14ac:dyDescent="0.3">
      <c r="A15395" s="20"/>
    </row>
    <row r="15396" spans="1:1" x14ac:dyDescent="0.3">
      <c r="A15396" s="20"/>
    </row>
    <row r="15397" spans="1:1" x14ac:dyDescent="0.3">
      <c r="A15397" s="20"/>
    </row>
    <row r="15398" spans="1:1" x14ac:dyDescent="0.3">
      <c r="A15398" s="20"/>
    </row>
    <row r="15399" spans="1:1" x14ac:dyDescent="0.3">
      <c r="A15399" s="20"/>
    </row>
    <row r="15400" spans="1:1" x14ac:dyDescent="0.3">
      <c r="A15400" s="20"/>
    </row>
    <row r="15401" spans="1:1" x14ac:dyDescent="0.3">
      <c r="A15401" s="20"/>
    </row>
    <row r="15402" spans="1:1" x14ac:dyDescent="0.3">
      <c r="A15402" s="20"/>
    </row>
    <row r="15403" spans="1:1" x14ac:dyDescent="0.3">
      <c r="A15403" s="20"/>
    </row>
    <row r="15404" spans="1:1" x14ac:dyDescent="0.3">
      <c r="A15404" s="20"/>
    </row>
    <row r="15405" spans="1:1" x14ac:dyDescent="0.3">
      <c r="A15405" s="20"/>
    </row>
    <row r="15406" spans="1:1" x14ac:dyDescent="0.3">
      <c r="A15406" s="20"/>
    </row>
    <row r="15407" spans="1:1" x14ac:dyDescent="0.3">
      <c r="A15407" s="20"/>
    </row>
    <row r="15408" spans="1:1" x14ac:dyDescent="0.3">
      <c r="A15408" s="20"/>
    </row>
    <row r="15409" spans="1:1" x14ac:dyDescent="0.3">
      <c r="A15409" s="20"/>
    </row>
    <row r="15410" spans="1:1" x14ac:dyDescent="0.3">
      <c r="A15410" s="20"/>
    </row>
    <row r="15411" spans="1:1" x14ac:dyDescent="0.3">
      <c r="A15411" s="20"/>
    </row>
    <row r="15412" spans="1:1" x14ac:dyDescent="0.3">
      <c r="A15412" s="20"/>
    </row>
    <row r="15413" spans="1:1" x14ac:dyDescent="0.3">
      <c r="A15413" s="20"/>
    </row>
    <row r="15414" spans="1:1" x14ac:dyDescent="0.3">
      <c r="A15414" s="20"/>
    </row>
    <row r="15415" spans="1:1" x14ac:dyDescent="0.3">
      <c r="A15415" s="20"/>
    </row>
    <row r="15416" spans="1:1" x14ac:dyDescent="0.3">
      <c r="A15416" s="20"/>
    </row>
    <row r="15417" spans="1:1" x14ac:dyDescent="0.3">
      <c r="A15417" s="20"/>
    </row>
    <row r="15418" spans="1:1" x14ac:dyDescent="0.3">
      <c r="A15418" s="20"/>
    </row>
    <row r="15419" spans="1:1" x14ac:dyDescent="0.3">
      <c r="A15419" s="20"/>
    </row>
    <row r="15420" spans="1:1" x14ac:dyDescent="0.3">
      <c r="A15420" s="20"/>
    </row>
    <row r="15421" spans="1:1" x14ac:dyDescent="0.3">
      <c r="A15421" s="20"/>
    </row>
    <row r="15422" spans="1:1" x14ac:dyDescent="0.3">
      <c r="A15422" s="20"/>
    </row>
    <row r="15423" spans="1:1" x14ac:dyDescent="0.3">
      <c r="A15423" s="20"/>
    </row>
    <row r="15424" spans="1:1" x14ac:dyDescent="0.3">
      <c r="A15424" s="20"/>
    </row>
    <row r="15425" spans="1:1" x14ac:dyDescent="0.3">
      <c r="A15425" s="20"/>
    </row>
    <row r="15426" spans="1:1" x14ac:dyDescent="0.3">
      <c r="A15426" s="20"/>
    </row>
    <row r="15427" spans="1:1" x14ac:dyDescent="0.3">
      <c r="A15427" s="20"/>
    </row>
    <row r="15428" spans="1:1" x14ac:dyDescent="0.3">
      <c r="A15428" s="20"/>
    </row>
    <row r="15429" spans="1:1" x14ac:dyDescent="0.3">
      <c r="A15429" s="20"/>
    </row>
    <row r="15430" spans="1:1" x14ac:dyDescent="0.3">
      <c r="A15430" s="20"/>
    </row>
    <row r="15431" spans="1:1" x14ac:dyDescent="0.3">
      <c r="A15431" s="20"/>
    </row>
    <row r="15432" spans="1:1" x14ac:dyDescent="0.3">
      <c r="A15432" s="20"/>
    </row>
    <row r="15433" spans="1:1" x14ac:dyDescent="0.3">
      <c r="A15433" s="20"/>
    </row>
    <row r="15434" spans="1:1" x14ac:dyDescent="0.3">
      <c r="A15434" s="20"/>
    </row>
    <row r="15435" spans="1:1" x14ac:dyDescent="0.3">
      <c r="A15435" s="20"/>
    </row>
    <row r="15436" spans="1:1" x14ac:dyDescent="0.3">
      <c r="A15436" s="20"/>
    </row>
    <row r="15437" spans="1:1" x14ac:dyDescent="0.3">
      <c r="A15437" s="20"/>
    </row>
    <row r="15438" spans="1:1" x14ac:dyDescent="0.3">
      <c r="A15438" s="20"/>
    </row>
    <row r="15439" spans="1:1" x14ac:dyDescent="0.3">
      <c r="A15439" s="20"/>
    </row>
    <row r="15440" spans="1:1" x14ac:dyDescent="0.3">
      <c r="A15440" s="20"/>
    </row>
    <row r="15441" spans="1:1" x14ac:dyDescent="0.3">
      <c r="A15441" s="20"/>
    </row>
    <row r="15442" spans="1:1" x14ac:dyDescent="0.3">
      <c r="A15442" s="20"/>
    </row>
    <row r="15443" spans="1:1" x14ac:dyDescent="0.3">
      <c r="A15443" s="20"/>
    </row>
    <row r="15444" spans="1:1" x14ac:dyDescent="0.3">
      <c r="A15444" s="20"/>
    </row>
    <row r="15445" spans="1:1" x14ac:dyDescent="0.3">
      <c r="A15445" s="20"/>
    </row>
    <row r="15446" spans="1:1" x14ac:dyDescent="0.3">
      <c r="A15446" s="20"/>
    </row>
    <row r="15447" spans="1:1" x14ac:dyDescent="0.3">
      <c r="A15447" s="20"/>
    </row>
    <row r="15448" spans="1:1" x14ac:dyDescent="0.3">
      <c r="A15448" s="20"/>
    </row>
    <row r="15449" spans="1:1" x14ac:dyDescent="0.3">
      <c r="A15449" s="20"/>
    </row>
    <row r="15450" spans="1:1" x14ac:dyDescent="0.3">
      <c r="A15450" s="20"/>
    </row>
    <row r="15451" spans="1:1" x14ac:dyDescent="0.3">
      <c r="A15451" s="20"/>
    </row>
    <row r="15452" spans="1:1" x14ac:dyDescent="0.3">
      <c r="A15452" s="20"/>
    </row>
    <row r="15453" spans="1:1" x14ac:dyDescent="0.3">
      <c r="A15453" s="20"/>
    </row>
    <row r="15454" spans="1:1" x14ac:dyDescent="0.3">
      <c r="A15454" s="20"/>
    </row>
    <row r="15455" spans="1:1" x14ac:dyDescent="0.3">
      <c r="A15455" s="20"/>
    </row>
    <row r="15456" spans="1:1" x14ac:dyDescent="0.3">
      <c r="A15456" s="20"/>
    </row>
    <row r="15457" spans="1:1" x14ac:dyDescent="0.3">
      <c r="A15457" s="20"/>
    </row>
    <row r="15458" spans="1:1" x14ac:dyDescent="0.3">
      <c r="A15458" s="20"/>
    </row>
    <row r="15459" spans="1:1" x14ac:dyDescent="0.3">
      <c r="A15459" s="20"/>
    </row>
    <row r="15460" spans="1:1" x14ac:dyDescent="0.3">
      <c r="A15460" s="20"/>
    </row>
    <row r="15461" spans="1:1" x14ac:dyDescent="0.3">
      <c r="A15461" s="20"/>
    </row>
    <row r="15462" spans="1:1" x14ac:dyDescent="0.3">
      <c r="A15462" s="20"/>
    </row>
    <row r="15463" spans="1:1" x14ac:dyDescent="0.3">
      <c r="A15463" s="20"/>
    </row>
    <row r="15464" spans="1:1" x14ac:dyDescent="0.3">
      <c r="A15464" s="20"/>
    </row>
    <row r="15465" spans="1:1" x14ac:dyDescent="0.3">
      <c r="A15465" s="20"/>
    </row>
    <row r="15466" spans="1:1" x14ac:dyDescent="0.3">
      <c r="A15466" s="20"/>
    </row>
    <row r="15467" spans="1:1" x14ac:dyDescent="0.3">
      <c r="A15467" s="20"/>
    </row>
    <row r="15468" spans="1:1" x14ac:dyDescent="0.3">
      <c r="A15468" s="20"/>
    </row>
    <row r="15469" spans="1:1" x14ac:dyDescent="0.3">
      <c r="A15469" s="20"/>
    </row>
    <row r="15470" spans="1:1" x14ac:dyDescent="0.3">
      <c r="A15470" s="20"/>
    </row>
    <row r="15471" spans="1:1" x14ac:dyDescent="0.3">
      <c r="A15471" s="20"/>
    </row>
    <row r="15472" spans="1:1" x14ac:dyDescent="0.3">
      <c r="A15472" s="20"/>
    </row>
    <row r="15473" spans="1:1" x14ac:dyDescent="0.3">
      <c r="A15473" s="20"/>
    </row>
    <row r="15474" spans="1:1" x14ac:dyDescent="0.3">
      <c r="A15474" s="20"/>
    </row>
    <row r="15475" spans="1:1" x14ac:dyDescent="0.3">
      <c r="A15475" s="20"/>
    </row>
    <row r="15476" spans="1:1" x14ac:dyDescent="0.3">
      <c r="A15476" s="20"/>
    </row>
    <row r="15477" spans="1:1" x14ac:dyDescent="0.3">
      <c r="A15477" s="20"/>
    </row>
    <row r="15478" spans="1:1" x14ac:dyDescent="0.3">
      <c r="A15478" s="20"/>
    </row>
    <row r="15479" spans="1:1" x14ac:dyDescent="0.3">
      <c r="A15479" s="20"/>
    </row>
    <row r="15480" spans="1:1" x14ac:dyDescent="0.3">
      <c r="A15480" s="20"/>
    </row>
    <row r="15481" spans="1:1" x14ac:dyDescent="0.3">
      <c r="A15481" s="20"/>
    </row>
    <row r="15482" spans="1:1" x14ac:dyDescent="0.3">
      <c r="A15482" s="20"/>
    </row>
    <row r="15483" spans="1:1" x14ac:dyDescent="0.3">
      <c r="A15483" s="20"/>
    </row>
    <row r="15484" spans="1:1" x14ac:dyDescent="0.3">
      <c r="A15484" s="20"/>
    </row>
    <row r="15485" spans="1:1" x14ac:dyDescent="0.3">
      <c r="A15485" s="20"/>
    </row>
    <row r="15486" spans="1:1" x14ac:dyDescent="0.3">
      <c r="A15486" s="20"/>
    </row>
    <row r="15487" spans="1:1" x14ac:dyDescent="0.3">
      <c r="A15487" s="20"/>
    </row>
    <row r="15488" spans="1:1" x14ac:dyDescent="0.3">
      <c r="A15488" s="20"/>
    </row>
    <row r="15489" spans="1:1" x14ac:dyDescent="0.3">
      <c r="A15489" s="20"/>
    </row>
    <row r="15490" spans="1:1" x14ac:dyDescent="0.3">
      <c r="A15490" s="20"/>
    </row>
    <row r="15491" spans="1:1" x14ac:dyDescent="0.3">
      <c r="A15491" s="20"/>
    </row>
    <row r="15492" spans="1:1" x14ac:dyDescent="0.3">
      <c r="A15492" s="20"/>
    </row>
    <row r="15493" spans="1:1" x14ac:dyDescent="0.3">
      <c r="A15493" s="20"/>
    </row>
    <row r="15494" spans="1:1" x14ac:dyDescent="0.3">
      <c r="A15494" s="20"/>
    </row>
    <row r="15495" spans="1:1" x14ac:dyDescent="0.3">
      <c r="A15495" s="20"/>
    </row>
    <row r="15496" spans="1:1" x14ac:dyDescent="0.3">
      <c r="A15496" s="20"/>
    </row>
    <row r="15497" spans="1:1" x14ac:dyDescent="0.3">
      <c r="A15497" s="20"/>
    </row>
    <row r="15498" spans="1:1" x14ac:dyDescent="0.3">
      <c r="A15498" s="20"/>
    </row>
    <row r="15499" spans="1:1" x14ac:dyDescent="0.3">
      <c r="A15499" s="20"/>
    </row>
    <row r="15500" spans="1:1" x14ac:dyDescent="0.3">
      <c r="A15500" s="20"/>
    </row>
    <row r="15501" spans="1:1" x14ac:dyDescent="0.3">
      <c r="A15501" s="20"/>
    </row>
    <row r="15502" spans="1:1" x14ac:dyDescent="0.3">
      <c r="A15502" s="20"/>
    </row>
    <row r="15503" spans="1:1" x14ac:dyDescent="0.3">
      <c r="A15503" s="20"/>
    </row>
    <row r="15504" spans="1:1" x14ac:dyDescent="0.3">
      <c r="A15504" s="20"/>
    </row>
    <row r="15505" spans="1:1" x14ac:dyDescent="0.3">
      <c r="A15505" s="20"/>
    </row>
    <row r="15506" spans="1:1" x14ac:dyDescent="0.3">
      <c r="A15506" s="20"/>
    </row>
    <row r="15507" spans="1:1" x14ac:dyDescent="0.3">
      <c r="A15507" s="20"/>
    </row>
    <row r="15508" spans="1:1" x14ac:dyDescent="0.3">
      <c r="A15508" s="20"/>
    </row>
    <row r="15509" spans="1:1" x14ac:dyDescent="0.3">
      <c r="A15509" s="20"/>
    </row>
    <row r="15510" spans="1:1" x14ac:dyDescent="0.3">
      <c r="A15510" s="20"/>
    </row>
    <row r="15511" spans="1:1" x14ac:dyDescent="0.3">
      <c r="A15511" s="20"/>
    </row>
    <row r="15512" spans="1:1" x14ac:dyDescent="0.3">
      <c r="A15512" s="20"/>
    </row>
    <row r="15513" spans="1:1" x14ac:dyDescent="0.3">
      <c r="A15513" s="20"/>
    </row>
    <row r="15514" spans="1:1" x14ac:dyDescent="0.3">
      <c r="A15514" s="20"/>
    </row>
    <row r="15515" spans="1:1" x14ac:dyDescent="0.3">
      <c r="A15515" s="20"/>
    </row>
    <row r="15516" spans="1:1" x14ac:dyDescent="0.3">
      <c r="A15516" s="20"/>
    </row>
    <row r="15517" spans="1:1" x14ac:dyDescent="0.3">
      <c r="A15517" s="20"/>
    </row>
    <row r="15518" spans="1:1" x14ac:dyDescent="0.3">
      <c r="A15518" s="20"/>
    </row>
    <row r="15519" spans="1:1" x14ac:dyDescent="0.3">
      <c r="A15519" s="20"/>
    </row>
    <row r="15520" spans="1:1" x14ac:dyDescent="0.3">
      <c r="A15520" s="20"/>
    </row>
    <row r="15521" spans="1:1" x14ac:dyDescent="0.3">
      <c r="A15521" s="20"/>
    </row>
    <row r="15522" spans="1:1" x14ac:dyDescent="0.3">
      <c r="A15522" s="20"/>
    </row>
    <row r="15523" spans="1:1" x14ac:dyDescent="0.3">
      <c r="A15523" s="20"/>
    </row>
    <row r="15524" spans="1:1" x14ac:dyDescent="0.3">
      <c r="A15524" s="20"/>
    </row>
    <row r="15525" spans="1:1" x14ac:dyDescent="0.3">
      <c r="A15525" s="20"/>
    </row>
    <row r="15526" spans="1:1" x14ac:dyDescent="0.3">
      <c r="A15526" s="20"/>
    </row>
    <row r="15527" spans="1:1" x14ac:dyDescent="0.3">
      <c r="A15527" s="20"/>
    </row>
    <row r="15528" spans="1:1" x14ac:dyDescent="0.3">
      <c r="A15528" s="20"/>
    </row>
    <row r="15529" spans="1:1" x14ac:dyDescent="0.3">
      <c r="A15529" s="20"/>
    </row>
    <row r="15530" spans="1:1" x14ac:dyDescent="0.3">
      <c r="A15530" s="20"/>
    </row>
    <row r="15531" spans="1:1" x14ac:dyDescent="0.3">
      <c r="A15531" s="20"/>
    </row>
    <row r="15532" spans="1:1" x14ac:dyDescent="0.3">
      <c r="A15532" s="20"/>
    </row>
    <row r="15533" spans="1:1" x14ac:dyDescent="0.3">
      <c r="A15533" s="20"/>
    </row>
    <row r="15534" spans="1:1" x14ac:dyDescent="0.3">
      <c r="A15534" s="20"/>
    </row>
    <row r="15535" spans="1:1" x14ac:dyDescent="0.3">
      <c r="A15535" s="20"/>
    </row>
    <row r="15536" spans="1:1" x14ac:dyDescent="0.3">
      <c r="A15536" s="20"/>
    </row>
    <row r="15537" spans="1:1" x14ac:dyDescent="0.3">
      <c r="A15537" s="20"/>
    </row>
    <row r="15538" spans="1:1" x14ac:dyDescent="0.3">
      <c r="A15538" s="20"/>
    </row>
    <row r="15539" spans="1:1" x14ac:dyDescent="0.3">
      <c r="A15539" s="20"/>
    </row>
    <row r="15540" spans="1:1" x14ac:dyDescent="0.3">
      <c r="A15540" s="20"/>
    </row>
    <row r="15541" spans="1:1" x14ac:dyDescent="0.3">
      <c r="A15541" s="20"/>
    </row>
    <row r="15542" spans="1:1" x14ac:dyDescent="0.3">
      <c r="A15542" s="20"/>
    </row>
    <row r="15543" spans="1:1" x14ac:dyDescent="0.3">
      <c r="A15543" s="20"/>
    </row>
    <row r="15544" spans="1:1" x14ac:dyDescent="0.3">
      <c r="A15544" s="20"/>
    </row>
    <row r="15545" spans="1:1" x14ac:dyDescent="0.3">
      <c r="A15545" s="20"/>
    </row>
    <row r="15546" spans="1:1" x14ac:dyDescent="0.3">
      <c r="A15546" s="20"/>
    </row>
    <row r="15547" spans="1:1" x14ac:dyDescent="0.3">
      <c r="A15547" s="20"/>
    </row>
    <row r="15548" spans="1:1" x14ac:dyDescent="0.3">
      <c r="A15548" s="20"/>
    </row>
    <row r="15549" spans="1:1" x14ac:dyDescent="0.3">
      <c r="A15549" s="20"/>
    </row>
    <row r="15550" spans="1:1" x14ac:dyDescent="0.3">
      <c r="A15550" s="20"/>
    </row>
    <row r="15551" spans="1:1" x14ac:dyDescent="0.3">
      <c r="A15551" s="20"/>
    </row>
    <row r="15552" spans="1:1" x14ac:dyDescent="0.3">
      <c r="A15552" s="20"/>
    </row>
    <row r="15553" spans="1:1" x14ac:dyDescent="0.3">
      <c r="A15553" s="20"/>
    </row>
    <row r="15554" spans="1:1" x14ac:dyDescent="0.3">
      <c r="A15554" s="20"/>
    </row>
    <row r="15555" spans="1:1" x14ac:dyDescent="0.3">
      <c r="A15555" s="20"/>
    </row>
    <row r="15556" spans="1:1" x14ac:dyDescent="0.3">
      <c r="A15556" s="20"/>
    </row>
    <row r="15557" spans="1:1" x14ac:dyDescent="0.3">
      <c r="A15557" s="20"/>
    </row>
    <row r="15558" spans="1:1" x14ac:dyDescent="0.3">
      <c r="A15558" s="20"/>
    </row>
    <row r="15559" spans="1:1" x14ac:dyDescent="0.3">
      <c r="A15559" s="20"/>
    </row>
    <row r="15560" spans="1:1" x14ac:dyDescent="0.3">
      <c r="A15560" s="20"/>
    </row>
    <row r="15561" spans="1:1" x14ac:dyDescent="0.3">
      <c r="A15561" s="20"/>
    </row>
    <row r="15562" spans="1:1" x14ac:dyDescent="0.3">
      <c r="A15562" s="20"/>
    </row>
    <row r="15563" spans="1:1" x14ac:dyDescent="0.3">
      <c r="A15563" s="20"/>
    </row>
    <row r="15564" spans="1:1" x14ac:dyDescent="0.3">
      <c r="A15564" s="20"/>
    </row>
    <row r="15565" spans="1:1" x14ac:dyDescent="0.3">
      <c r="A15565" s="20"/>
    </row>
    <row r="15566" spans="1:1" x14ac:dyDescent="0.3">
      <c r="A15566" s="20"/>
    </row>
    <row r="15567" spans="1:1" x14ac:dyDescent="0.3">
      <c r="A15567" s="20"/>
    </row>
    <row r="15568" spans="1:1" x14ac:dyDescent="0.3">
      <c r="A15568" s="20"/>
    </row>
    <row r="15569" spans="1:1" x14ac:dyDescent="0.3">
      <c r="A15569" s="20"/>
    </row>
    <row r="15570" spans="1:1" x14ac:dyDescent="0.3">
      <c r="A15570" s="20"/>
    </row>
    <row r="15571" spans="1:1" x14ac:dyDescent="0.3">
      <c r="A15571" s="20"/>
    </row>
    <row r="15572" spans="1:1" x14ac:dyDescent="0.3">
      <c r="A15572" s="20"/>
    </row>
    <row r="15573" spans="1:1" x14ac:dyDescent="0.3">
      <c r="A15573" s="20"/>
    </row>
    <row r="15574" spans="1:1" x14ac:dyDescent="0.3">
      <c r="A15574" s="20"/>
    </row>
    <row r="15575" spans="1:1" x14ac:dyDescent="0.3">
      <c r="A15575" s="20"/>
    </row>
    <row r="15576" spans="1:1" x14ac:dyDescent="0.3">
      <c r="A15576" s="20"/>
    </row>
    <row r="15577" spans="1:1" x14ac:dyDescent="0.3">
      <c r="A15577" s="20"/>
    </row>
    <row r="15578" spans="1:1" x14ac:dyDescent="0.3">
      <c r="A15578" s="20"/>
    </row>
    <row r="15579" spans="1:1" x14ac:dyDescent="0.3">
      <c r="A15579" s="20"/>
    </row>
    <row r="15580" spans="1:1" x14ac:dyDescent="0.3">
      <c r="A15580" s="20"/>
    </row>
    <row r="15581" spans="1:1" x14ac:dyDescent="0.3">
      <c r="A15581" s="20"/>
    </row>
    <row r="15582" spans="1:1" x14ac:dyDescent="0.3">
      <c r="A15582" s="20"/>
    </row>
    <row r="15583" spans="1:1" x14ac:dyDescent="0.3">
      <c r="A15583" s="20"/>
    </row>
    <row r="15584" spans="1:1" x14ac:dyDescent="0.3">
      <c r="A15584" s="20"/>
    </row>
    <row r="15585" spans="1:1" x14ac:dyDescent="0.3">
      <c r="A15585" s="20"/>
    </row>
    <row r="15586" spans="1:1" x14ac:dyDescent="0.3">
      <c r="A15586" s="20"/>
    </row>
    <row r="15587" spans="1:1" x14ac:dyDescent="0.3">
      <c r="A15587" s="20"/>
    </row>
    <row r="15588" spans="1:1" x14ac:dyDescent="0.3">
      <c r="A15588" s="20"/>
    </row>
    <row r="15589" spans="1:1" x14ac:dyDescent="0.3">
      <c r="A15589" s="20"/>
    </row>
    <row r="15590" spans="1:1" x14ac:dyDescent="0.3">
      <c r="A15590" s="20"/>
    </row>
    <row r="15591" spans="1:1" x14ac:dyDescent="0.3">
      <c r="A15591" s="20"/>
    </row>
    <row r="15592" spans="1:1" x14ac:dyDescent="0.3">
      <c r="A15592" s="20"/>
    </row>
    <row r="15593" spans="1:1" x14ac:dyDescent="0.3">
      <c r="A15593" s="20"/>
    </row>
    <row r="15594" spans="1:1" x14ac:dyDescent="0.3">
      <c r="A15594" s="20"/>
    </row>
    <row r="15595" spans="1:1" x14ac:dyDescent="0.3">
      <c r="A15595" s="20"/>
    </row>
    <row r="15596" spans="1:1" x14ac:dyDescent="0.3">
      <c r="A15596" s="20"/>
    </row>
    <row r="15597" spans="1:1" x14ac:dyDescent="0.3">
      <c r="A15597" s="20"/>
    </row>
    <row r="15598" spans="1:1" x14ac:dyDescent="0.3">
      <c r="A15598" s="20"/>
    </row>
    <row r="15599" spans="1:1" x14ac:dyDescent="0.3">
      <c r="A15599" s="20"/>
    </row>
    <row r="15600" spans="1:1" x14ac:dyDescent="0.3">
      <c r="A15600" s="20"/>
    </row>
    <row r="15601" spans="1:1" x14ac:dyDescent="0.3">
      <c r="A15601" s="20"/>
    </row>
    <row r="15602" spans="1:1" x14ac:dyDescent="0.3">
      <c r="A15602" s="20"/>
    </row>
    <row r="15603" spans="1:1" x14ac:dyDescent="0.3">
      <c r="A15603" s="20"/>
    </row>
    <row r="15604" spans="1:1" x14ac:dyDescent="0.3">
      <c r="A15604" s="20"/>
    </row>
    <row r="15605" spans="1:1" x14ac:dyDescent="0.3">
      <c r="A15605" s="20"/>
    </row>
    <row r="15606" spans="1:1" x14ac:dyDescent="0.3">
      <c r="A15606" s="20"/>
    </row>
    <row r="15607" spans="1:1" x14ac:dyDescent="0.3">
      <c r="A15607" s="20"/>
    </row>
    <row r="15608" spans="1:1" x14ac:dyDescent="0.3">
      <c r="A15608" s="20"/>
    </row>
    <row r="15609" spans="1:1" x14ac:dyDescent="0.3">
      <c r="A15609" s="20"/>
    </row>
    <row r="15610" spans="1:1" x14ac:dyDescent="0.3">
      <c r="A15610" s="20"/>
    </row>
    <row r="15611" spans="1:1" x14ac:dyDescent="0.3">
      <c r="A15611" s="20"/>
    </row>
    <row r="15612" spans="1:1" x14ac:dyDescent="0.3">
      <c r="A15612" s="20"/>
    </row>
    <row r="15613" spans="1:1" x14ac:dyDescent="0.3">
      <c r="A15613" s="20"/>
    </row>
    <row r="15614" spans="1:1" x14ac:dyDescent="0.3">
      <c r="A15614" s="20"/>
    </row>
    <row r="15615" spans="1:1" x14ac:dyDescent="0.3">
      <c r="A15615" s="20"/>
    </row>
    <row r="15616" spans="1:1" x14ac:dyDescent="0.3">
      <c r="A15616" s="20"/>
    </row>
    <row r="15617" spans="1:1" x14ac:dyDescent="0.3">
      <c r="A15617" s="20"/>
    </row>
    <row r="15618" spans="1:1" x14ac:dyDescent="0.3">
      <c r="A15618" s="20"/>
    </row>
    <row r="15619" spans="1:1" x14ac:dyDescent="0.3">
      <c r="A15619" s="20"/>
    </row>
    <row r="15620" spans="1:1" x14ac:dyDescent="0.3">
      <c r="A15620" s="20"/>
    </row>
    <row r="15621" spans="1:1" x14ac:dyDescent="0.3">
      <c r="A15621" s="20"/>
    </row>
    <row r="15622" spans="1:1" x14ac:dyDescent="0.3">
      <c r="A15622" s="20"/>
    </row>
    <row r="15623" spans="1:1" x14ac:dyDescent="0.3">
      <c r="A15623" s="20"/>
    </row>
    <row r="15624" spans="1:1" x14ac:dyDescent="0.3">
      <c r="A15624" s="20"/>
    </row>
    <row r="15625" spans="1:1" x14ac:dyDescent="0.3">
      <c r="A15625" s="20"/>
    </row>
    <row r="15626" spans="1:1" x14ac:dyDescent="0.3">
      <c r="A15626" s="20"/>
    </row>
    <row r="15627" spans="1:1" x14ac:dyDescent="0.3">
      <c r="A15627" s="20"/>
    </row>
    <row r="15628" spans="1:1" x14ac:dyDescent="0.3">
      <c r="A15628" s="20"/>
    </row>
    <row r="15629" spans="1:1" x14ac:dyDescent="0.3">
      <c r="A15629" s="20"/>
    </row>
    <row r="15630" spans="1:1" x14ac:dyDescent="0.3">
      <c r="A15630" s="20"/>
    </row>
    <row r="15631" spans="1:1" x14ac:dyDescent="0.3">
      <c r="A15631" s="20"/>
    </row>
    <row r="15632" spans="1:1" x14ac:dyDescent="0.3">
      <c r="A15632" s="20"/>
    </row>
    <row r="15633" spans="1:1" x14ac:dyDescent="0.3">
      <c r="A15633" s="20"/>
    </row>
    <row r="15634" spans="1:1" x14ac:dyDescent="0.3">
      <c r="A15634" s="20"/>
    </row>
    <row r="15635" spans="1:1" x14ac:dyDescent="0.3">
      <c r="A15635" s="20"/>
    </row>
    <row r="15636" spans="1:1" x14ac:dyDescent="0.3">
      <c r="A15636" s="20"/>
    </row>
    <row r="15637" spans="1:1" x14ac:dyDescent="0.3">
      <c r="A15637" s="20"/>
    </row>
    <row r="15638" spans="1:1" x14ac:dyDescent="0.3">
      <c r="A15638" s="20"/>
    </row>
    <row r="15639" spans="1:1" x14ac:dyDescent="0.3">
      <c r="A15639" s="20"/>
    </row>
    <row r="15640" spans="1:1" x14ac:dyDescent="0.3">
      <c r="A15640" s="20"/>
    </row>
    <row r="15641" spans="1:1" x14ac:dyDescent="0.3">
      <c r="A15641" s="20"/>
    </row>
    <row r="15642" spans="1:1" x14ac:dyDescent="0.3">
      <c r="A15642" s="20"/>
    </row>
    <row r="15643" spans="1:1" x14ac:dyDescent="0.3">
      <c r="A15643" s="20"/>
    </row>
    <row r="15644" spans="1:1" x14ac:dyDescent="0.3">
      <c r="A15644" s="20"/>
    </row>
    <row r="15645" spans="1:1" x14ac:dyDescent="0.3">
      <c r="A15645" s="20"/>
    </row>
    <row r="15646" spans="1:1" x14ac:dyDescent="0.3">
      <c r="A15646" s="20"/>
    </row>
    <row r="15647" spans="1:1" x14ac:dyDescent="0.3">
      <c r="A15647" s="20"/>
    </row>
    <row r="15648" spans="1:1" x14ac:dyDescent="0.3">
      <c r="A15648" s="20"/>
    </row>
    <row r="15649" spans="1:1" x14ac:dyDescent="0.3">
      <c r="A15649" s="20"/>
    </row>
    <row r="15650" spans="1:1" x14ac:dyDescent="0.3">
      <c r="A15650" s="20"/>
    </row>
    <row r="15651" spans="1:1" x14ac:dyDescent="0.3">
      <c r="A15651" s="20"/>
    </row>
    <row r="15652" spans="1:1" x14ac:dyDescent="0.3">
      <c r="A15652" s="20"/>
    </row>
    <row r="15653" spans="1:1" x14ac:dyDescent="0.3">
      <c r="A15653" s="20"/>
    </row>
    <row r="15654" spans="1:1" x14ac:dyDescent="0.3">
      <c r="A15654" s="20"/>
    </row>
    <row r="15655" spans="1:1" x14ac:dyDescent="0.3">
      <c r="A15655" s="20"/>
    </row>
    <row r="15656" spans="1:1" x14ac:dyDescent="0.3">
      <c r="A15656" s="20"/>
    </row>
    <row r="15657" spans="1:1" x14ac:dyDescent="0.3">
      <c r="A15657" s="20"/>
    </row>
    <row r="15658" spans="1:1" x14ac:dyDescent="0.3">
      <c r="A15658" s="20"/>
    </row>
    <row r="15659" spans="1:1" x14ac:dyDescent="0.3">
      <c r="A15659" s="20"/>
    </row>
    <row r="15660" spans="1:1" x14ac:dyDescent="0.3">
      <c r="A15660" s="20"/>
    </row>
    <row r="15661" spans="1:1" x14ac:dyDescent="0.3">
      <c r="A15661" s="20"/>
    </row>
    <row r="15662" spans="1:1" x14ac:dyDescent="0.3">
      <c r="A15662" s="20"/>
    </row>
    <row r="15663" spans="1:1" x14ac:dyDescent="0.3">
      <c r="A15663" s="20"/>
    </row>
    <row r="15664" spans="1:1" x14ac:dyDescent="0.3">
      <c r="A15664" s="20"/>
    </row>
    <row r="15665" spans="1:1" x14ac:dyDescent="0.3">
      <c r="A15665" s="20"/>
    </row>
    <row r="15666" spans="1:1" x14ac:dyDescent="0.3">
      <c r="A15666" s="20"/>
    </row>
    <row r="15667" spans="1:1" x14ac:dyDescent="0.3">
      <c r="A15667" s="20"/>
    </row>
    <row r="15668" spans="1:1" x14ac:dyDescent="0.3">
      <c r="A15668" s="20"/>
    </row>
    <row r="15669" spans="1:1" x14ac:dyDescent="0.3">
      <c r="A15669" s="20"/>
    </row>
    <row r="15670" spans="1:1" x14ac:dyDescent="0.3">
      <c r="A15670" s="20"/>
    </row>
    <row r="15671" spans="1:1" x14ac:dyDescent="0.3">
      <c r="A15671" s="20"/>
    </row>
    <row r="15672" spans="1:1" x14ac:dyDescent="0.3">
      <c r="A15672" s="20"/>
    </row>
    <row r="15673" spans="1:1" x14ac:dyDescent="0.3">
      <c r="A15673" s="20"/>
    </row>
    <row r="15674" spans="1:1" x14ac:dyDescent="0.3">
      <c r="A15674" s="20"/>
    </row>
    <row r="15675" spans="1:1" x14ac:dyDescent="0.3">
      <c r="A15675" s="20"/>
    </row>
    <row r="15676" spans="1:1" x14ac:dyDescent="0.3">
      <c r="A15676" s="20"/>
    </row>
    <row r="15677" spans="1:1" x14ac:dyDescent="0.3">
      <c r="A15677" s="20"/>
    </row>
    <row r="15678" spans="1:1" x14ac:dyDescent="0.3">
      <c r="A15678" s="20"/>
    </row>
    <row r="15679" spans="1:1" x14ac:dyDescent="0.3">
      <c r="A15679" s="20"/>
    </row>
    <row r="15680" spans="1:1" x14ac:dyDescent="0.3">
      <c r="A15680" s="20"/>
    </row>
    <row r="15681" spans="1:1" x14ac:dyDescent="0.3">
      <c r="A15681" s="20"/>
    </row>
    <row r="15682" spans="1:1" x14ac:dyDescent="0.3">
      <c r="A15682" s="20"/>
    </row>
    <row r="15683" spans="1:1" x14ac:dyDescent="0.3">
      <c r="A15683" s="20"/>
    </row>
    <row r="15684" spans="1:1" x14ac:dyDescent="0.3">
      <c r="A15684" s="20"/>
    </row>
    <row r="15685" spans="1:1" x14ac:dyDescent="0.3">
      <c r="A15685" s="20"/>
    </row>
    <row r="15686" spans="1:1" x14ac:dyDescent="0.3">
      <c r="A15686" s="20"/>
    </row>
    <row r="15687" spans="1:1" x14ac:dyDescent="0.3">
      <c r="A15687" s="20"/>
    </row>
    <row r="15688" spans="1:1" x14ac:dyDescent="0.3">
      <c r="A15688" s="20"/>
    </row>
    <row r="15689" spans="1:1" x14ac:dyDescent="0.3">
      <c r="A15689" s="20"/>
    </row>
    <row r="15690" spans="1:1" x14ac:dyDescent="0.3">
      <c r="A15690" s="20"/>
    </row>
    <row r="15691" spans="1:1" x14ac:dyDescent="0.3">
      <c r="A15691" s="20"/>
    </row>
    <row r="15692" spans="1:1" x14ac:dyDescent="0.3">
      <c r="A15692" s="20"/>
    </row>
    <row r="15693" spans="1:1" x14ac:dyDescent="0.3">
      <c r="A15693" s="20"/>
    </row>
    <row r="15694" spans="1:1" x14ac:dyDescent="0.3">
      <c r="A15694" s="20"/>
    </row>
    <row r="15695" spans="1:1" x14ac:dyDescent="0.3">
      <c r="A15695" s="20"/>
    </row>
    <row r="15696" spans="1:1" x14ac:dyDescent="0.3">
      <c r="A15696" s="20"/>
    </row>
    <row r="15697" spans="1:1" x14ac:dyDescent="0.3">
      <c r="A15697" s="20"/>
    </row>
    <row r="15698" spans="1:1" x14ac:dyDescent="0.3">
      <c r="A15698" s="20"/>
    </row>
    <row r="15699" spans="1:1" x14ac:dyDescent="0.3">
      <c r="A15699" s="20"/>
    </row>
    <row r="15700" spans="1:1" x14ac:dyDescent="0.3">
      <c r="A15700" s="20"/>
    </row>
    <row r="15701" spans="1:1" x14ac:dyDescent="0.3">
      <c r="A15701" s="20"/>
    </row>
    <row r="15702" spans="1:1" x14ac:dyDescent="0.3">
      <c r="A15702" s="20"/>
    </row>
    <row r="15703" spans="1:1" x14ac:dyDescent="0.3">
      <c r="A15703" s="20"/>
    </row>
    <row r="15704" spans="1:1" x14ac:dyDescent="0.3">
      <c r="A15704" s="20"/>
    </row>
    <row r="15705" spans="1:1" x14ac:dyDescent="0.3">
      <c r="A15705" s="20"/>
    </row>
    <row r="15706" spans="1:1" x14ac:dyDescent="0.3">
      <c r="A15706" s="20"/>
    </row>
    <row r="15707" spans="1:1" x14ac:dyDescent="0.3">
      <c r="A15707" s="20"/>
    </row>
    <row r="15708" spans="1:1" x14ac:dyDescent="0.3">
      <c r="A15708" s="20"/>
    </row>
    <row r="15709" spans="1:1" x14ac:dyDescent="0.3">
      <c r="A15709" s="20"/>
    </row>
    <row r="15710" spans="1:1" x14ac:dyDescent="0.3">
      <c r="A15710" s="20"/>
    </row>
    <row r="15711" spans="1:1" x14ac:dyDescent="0.3">
      <c r="A15711" s="20"/>
    </row>
    <row r="15712" spans="1:1" x14ac:dyDescent="0.3">
      <c r="A15712" s="20"/>
    </row>
    <row r="15713" spans="1:1" x14ac:dyDescent="0.3">
      <c r="A15713" s="20"/>
    </row>
    <row r="15714" spans="1:1" x14ac:dyDescent="0.3">
      <c r="A15714" s="20"/>
    </row>
    <row r="15715" spans="1:1" x14ac:dyDescent="0.3">
      <c r="A15715" s="20"/>
    </row>
    <row r="15716" spans="1:1" x14ac:dyDescent="0.3">
      <c r="A15716" s="20"/>
    </row>
    <row r="15717" spans="1:1" x14ac:dyDescent="0.3">
      <c r="A15717" s="20"/>
    </row>
    <row r="15718" spans="1:1" x14ac:dyDescent="0.3">
      <c r="A15718" s="20"/>
    </row>
    <row r="15719" spans="1:1" x14ac:dyDescent="0.3">
      <c r="A15719" s="20"/>
    </row>
    <row r="15720" spans="1:1" x14ac:dyDescent="0.3">
      <c r="A15720" s="20"/>
    </row>
    <row r="15721" spans="1:1" x14ac:dyDescent="0.3">
      <c r="A15721" s="20"/>
    </row>
    <row r="15722" spans="1:1" x14ac:dyDescent="0.3">
      <c r="A15722" s="20"/>
    </row>
    <row r="15723" spans="1:1" x14ac:dyDescent="0.3">
      <c r="A15723" s="20"/>
    </row>
    <row r="15724" spans="1:1" x14ac:dyDescent="0.3">
      <c r="A15724" s="20"/>
    </row>
    <row r="15725" spans="1:1" x14ac:dyDescent="0.3">
      <c r="A15725" s="20"/>
    </row>
    <row r="15726" spans="1:1" x14ac:dyDescent="0.3">
      <c r="A15726" s="20"/>
    </row>
    <row r="15727" spans="1:1" x14ac:dyDescent="0.3">
      <c r="A15727" s="20"/>
    </row>
    <row r="15728" spans="1:1" x14ac:dyDescent="0.3">
      <c r="A15728" s="20"/>
    </row>
    <row r="15729" spans="1:1" x14ac:dyDescent="0.3">
      <c r="A15729" s="20"/>
    </row>
    <row r="15730" spans="1:1" x14ac:dyDescent="0.3">
      <c r="A15730" s="20"/>
    </row>
    <row r="15731" spans="1:1" x14ac:dyDescent="0.3">
      <c r="A15731" s="20"/>
    </row>
    <row r="15732" spans="1:1" x14ac:dyDescent="0.3">
      <c r="A15732" s="20"/>
    </row>
    <row r="15733" spans="1:1" x14ac:dyDescent="0.3">
      <c r="A15733" s="20"/>
    </row>
    <row r="15734" spans="1:1" x14ac:dyDescent="0.3">
      <c r="A15734" s="20"/>
    </row>
    <row r="15735" spans="1:1" x14ac:dyDescent="0.3">
      <c r="A15735" s="20"/>
    </row>
    <row r="15736" spans="1:1" x14ac:dyDescent="0.3">
      <c r="A15736" s="20"/>
    </row>
    <row r="15737" spans="1:1" x14ac:dyDescent="0.3">
      <c r="A15737" s="20"/>
    </row>
    <row r="15738" spans="1:1" x14ac:dyDescent="0.3">
      <c r="A15738" s="20"/>
    </row>
    <row r="15739" spans="1:1" x14ac:dyDescent="0.3">
      <c r="A15739" s="20"/>
    </row>
    <row r="15740" spans="1:1" x14ac:dyDescent="0.3">
      <c r="A15740" s="20"/>
    </row>
    <row r="15741" spans="1:1" x14ac:dyDescent="0.3">
      <c r="A15741" s="20"/>
    </row>
    <row r="15742" spans="1:1" x14ac:dyDescent="0.3">
      <c r="A15742" s="20"/>
    </row>
    <row r="15743" spans="1:1" x14ac:dyDescent="0.3">
      <c r="A15743" s="20"/>
    </row>
    <row r="15744" spans="1:1" x14ac:dyDescent="0.3">
      <c r="A15744" s="20"/>
    </row>
    <row r="15745" spans="1:1" x14ac:dyDescent="0.3">
      <c r="A15745" s="20"/>
    </row>
    <row r="15746" spans="1:1" x14ac:dyDescent="0.3">
      <c r="A15746" s="20"/>
    </row>
    <row r="15747" spans="1:1" x14ac:dyDescent="0.3">
      <c r="A15747" s="20"/>
    </row>
    <row r="15748" spans="1:1" x14ac:dyDescent="0.3">
      <c r="A15748" s="20"/>
    </row>
    <row r="15749" spans="1:1" x14ac:dyDescent="0.3">
      <c r="A15749" s="20"/>
    </row>
    <row r="15750" spans="1:1" x14ac:dyDescent="0.3">
      <c r="A15750" s="20"/>
    </row>
    <row r="15751" spans="1:1" x14ac:dyDescent="0.3">
      <c r="A15751" s="20"/>
    </row>
    <row r="15752" spans="1:1" x14ac:dyDescent="0.3">
      <c r="A15752" s="20"/>
    </row>
    <row r="15753" spans="1:1" x14ac:dyDescent="0.3">
      <c r="A15753" s="20"/>
    </row>
    <row r="15754" spans="1:1" x14ac:dyDescent="0.3">
      <c r="A15754" s="20"/>
    </row>
    <row r="15755" spans="1:1" x14ac:dyDescent="0.3">
      <c r="A15755" s="20"/>
    </row>
    <row r="15756" spans="1:1" x14ac:dyDescent="0.3">
      <c r="A15756" s="20"/>
    </row>
    <row r="15757" spans="1:1" x14ac:dyDescent="0.3">
      <c r="A15757" s="20"/>
    </row>
    <row r="15758" spans="1:1" x14ac:dyDescent="0.3">
      <c r="A15758" s="20"/>
    </row>
    <row r="15759" spans="1:1" x14ac:dyDescent="0.3">
      <c r="A15759" s="20"/>
    </row>
    <row r="15760" spans="1:1" x14ac:dyDescent="0.3">
      <c r="A15760" s="20"/>
    </row>
    <row r="15761" spans="1:1" x14ac:dyDescent="0.3">
      <c r="A15761" s="20"/>
    </row>
    <row r="15762" spans="1:1" x14ac:dyDescent="0.3">
      <c r="A15762" s="20"/>
    </row>
    <row r="15763" spans="1:1" x14ac:dyDescent="0.3">
      <c r="A15763" s="20"/>
    </row>
    <row r="15764" spans="1:1" x14ac:dyDescent="0.3">
      <c r="A15764" s="20"/>
    </row>
    <row r="15765" spans="1:1" x14ac:dyDescent="0.3">
      <c r="A15765" s="20"/>
    </row>
    <row r="15766" spans="1:1" x14ac:dyDescent="0.3">
      <c r="A15766" s="20"/>
    </row>
    <row r="15767" spans="1:1" x14ac:dyDescent="0.3">
      <c r="A15767" s="20"/>
    </row>
    <row r="15768" spans="1:1" x14ac:dyDescent="0.3">
      <c r="A15768" s="20"/>
    </row>
    <row r="15769" spans="1:1" x14ac:dyDescent="0.3">
      <c r="A15769" s="20"/>
    </row>
    <row r="15770" spans="1:1" x14ac:dyDescent="0.3">
      <c r="A15770" s="20"/>
    </row>
    <row r="15771" spans="1:1" x14ac:dyDescent="0.3">
      <c r="A15771" s="20"/>
    </row>
    <row r="15772" spans="1:1" x14ac:dyDescent="0.3">
      <c r="A15772" s="20"/>
    </row>
    <row r="15773" spans="1:1" x14ac:dyDescent="0.3">
      <c r="A15773" s="20"/>
    </row>
    <row r="15774" spans="1:1" x14ac:dyDescent="0.3">
      <c r="A15774" s="20"/>
    </row>
    <row r="15775" spans="1:1" x14ac:dyDescent="0.3">
      <c r="A15775" s="20"/>
    </row>
    <row r="15776" spans="1:1" x14ac:dyDescent="0.3">
      <c r="A15776" s="20"/>
    </row>
    <row r="15777" spans="1:1" x14ac:dyDescent="0.3">
      <c r="A15777" s="20"/>
    </row>
    <row r="15778" spans="1:1" x14ac:dyDescent="0.3">
      <c r="A15778" s="20"/>
    </row>
    <row r="15779" spans="1:1" x14ac:dyDescent="0.3">
      <c r="A15779" s="20"/>
    </row>
    <row r="15780" spans="1:1" x14ac:dyDescent="0.3">
      <c r="A15780" s="20"/>
    </row>
    <row r="15781" spans="1:1" x14ac:dyDescent="0.3">
      <c r="A15781" s="20"/>
    </row>
    <row r="15782" spans="1:1" x14ac:dyDescent="0.3">
      <c r="A15782" s="20"/>
    </row>
    <row r="15783" spans="1:1" x14ac:dyDescent="0.3">
      <c r="A15783" s="20"/>
    </row>
    <row r="15784" spans="1:1" x14ac:dyDescent="0.3">
      <c r="A15784" s="20"/>
    </row>
    <row r="15785" spans="1:1" x14ac:dyDescent="0.3">
      <c r="A15785" s="20"/>
    </row>
    <row r="15786" spans="1:1" x14ac:dyDescent="0.3">
      <c r="A15786" s="20"/>
    </row>
    <row r="15787" spans="1:1" x14ac:dyDescent="0.3">
      <c r="A15787" s="20"/>
    </row>
    <row r="15788" spans="1:1" x14ac:dyDescent="0.3">
      <c r="A15788" s="20"/>
    </row>
    <row r="15789" spans="1:1" x14ac:dyDescent="0.3">
      <c r="A15789" s="20"/>
    </row>
    <row r="15790" spans="1:1" x14ac:dyDescent="0.3">
      <c r="A15790" s="20"/>
    </row>
    <row r="15791" spans="1:1" x14ac:dyDescent="0.3">
      <c r="A15791" s="20"/>
    </row>
    <row r="15792" spans="1:1" x14ac:dyDescent="0.3">
      <c r="A15792" s="20"/>
    </row>
    <row r="15793" spans="1:1" x14ac:dyDescent="0.3">
      <c r="A15793" s="20"/>
    </row>
    <row r="15794" spans="1:1" x14ac:dyDescent="0.3">
      <c r="A15794" s="20"/>
    </row>
    <row r="15795" spans="1:1" x14ac:dyDescent="0.3">
      <c r="A15795" s="20"/>
    </row>
    <row r="15796" spans="1:1" x14ac:dyDescent="0.3">
      <c r="A15796" s="20"/>
    </row>
    <row r="15797" spans="1:1" x14ac:dyDescent="0.3">
      <c r="A15797" s="20"/>
    </row>
    <row r="15798" spans="1:1" x14ac:dyDescent="0.3">
      <c r="A15798" s="20"/>
    </row>
    <row r="15799" spans="1:1" x14ac:dyDescent="0.3">
      <c r="A15799" s="20"/>
    </row>
    <row r="15800" spans="1:1" x14ac:dyDescent="0.3">
      <c r="A15800" s="20"/>
    </row>
    <row r="15801" spans="1:1" x14ac:dyDescent="0.3">
      <c r="A15801" s="20"/>
    </row>
    <row r="15802" spans="1:1" x14ac:dyDescent="0.3">
      <c r="A15802" s="20"/>
    </row>
    <row r="15803" spans="1:1" x14ac:dyDescent="0.3">
      <c r="A15803" s="20"/>
    </row>
    <row r="15804" spans="1:1" x14ac:dyDescent="0.3">
      <c r="A15804" s="20"/>
    </row>
    <row r="15805" spans="1:1" x14ac:dyDescent="0.3">
      <c r="A15805" s="20"/>
    </row>
    <row r="15806" spans="1:1" x14ac:dyDescent="0.3">
      <c r="A15806" s="20"/>
    </row>
    <row r="15807" spans="1:1" x14ac:dyDescent="0.3">
      <c r="A15807" s="20"/>
    </row>
    <row r="15808" spans="1:1" x14ac:dyDescent="0.3">
      <c r="A15808" s="20"/>
    </row>
    <row r="15809" spans="1:1" x14ac:dyDescent="0.3">
      <c r="A15809" s="20"/>
    </row>
    <row r="15810" spans="1:1" x14ac:dyDescent="0.3">
      <c r="A15810" s="20"/>
    </row>
    <row r="15811" spans="1:1" x14ac:dyDescent="0.3">
      <c r="A15811" s="20"/>
    </row>
    <row r="15812" spans="1:1" x14ac:dyDescent="0.3">
      <c r="A15812" s="20"/>
    </row>
    <row r="15813" spans="1:1" x14ac:dyDescent="0.3">
      <c r="A15813" s="20"/>
    </row>
    <row r="15814" spans="1:1" x14ac:dyDescent="0.3">
      <c r="A15814" s="20"/>
    </row>
    <row r="15815" spans="1:1" x14ac:dyDescent="0.3">
      <c r="A15815" s="20"/>
    </row>
    <row r="15816" spans="1:1" x14ac:dyDescent="0.3">
      <c r="A15816" s="20"/>
    </row>
    <row r="15817" spans="1:1" x14ac:dyDescent="0.3">
      <c r="A15817" s="20"/>
    </row>
    <row r="15818" spans="1:1" x14ac:dyDescent="0.3">
      <c r="A15818" s="20"/>
    </row>
    <row r="15819" spans="1:1" x14ac:dyDescent="0.3">
      <c r="A15819" s="20"/>
    </row>
    <row r="15820" spans="1:1" x14ac:dyDescent="0.3">
      <c r="A15820" s="20"/>
    </row>
    <row r="15821" spans="1:1" x14ac:dyDescent="0.3">
      <c r="A15821" s="20"/>
    </row>
    <row r="15822" spans="1:1" x14ac:dyDescent="0.3">
      <c r="A15822" s="20"/>
    </row>
    <row r="15823" spans="1:1" x14ac:dyDescent="0.3">
      <c r="A15823" s="20"/>
    </row>
    <row r="15824" spans="1:1" x14ac:dyDescent="0.3">
      <c r="A15824" s="20"/>
    </row>
    <row r="15825" spans="1:1" x14ac:dyDescent="0.3">
      <c r="A15825" s="20"/>
    </row>
    <row r="15826" spans="1:1" x14ac:dyDescent="0.3">
      <c r="A15826" s="20"/>
    </row>
    <row r="15827" spans="1:1" x14ac:dyDescent="0.3">
      <c r="A15827" s="20"/>
    </row>
    <row r="15828" spans="1:1" x14ac:dyDescent="0.3">
      <c r="A15828" s="20"/>
    </row>
    <row r="15829" spans="1:1" x14ac:dyDescent="0.3">
      <c r="A15829" s="20"/>
    </row>
    <row r="15830" spans="1:1" x14ac:dyDescent="0.3">
      <c r="A15830" s="20"/>
    </row>
    <row r="15831" spans="1:1" x14ac:dyDescent="0.3">
      <c r="A15831" s="20"/>
    </row>
    <row r="15832" spans="1:1" x14ac:dyDescent="0.3">
      <c r="A15832" s="20"/>
    </row>
    <row r="15833" spans="1:1" x14ac:dyDescent="0.3">
      <c r="A15833" s="20"/>
    </row>
    <row r="15834" spans="1:1" x14ac:dyDescent="0.3">
      <c r="A15834" s="20"/>
    </row>
    <row r="15835" spans="1:1" x14ac:dyDescent="0.3">
      <c r="A15835" s="20"/>
    </row>
    <row r="15836" spans="1:1" x14ac:dyDescent="0.3">
      <c r="A15836" s="20"/>
    </row>
    <row r="15837" spans="1:1" x14ac:dyDescent="0.3">
      <c r="A15837" s="20"/>
    </row>
    <row r="15838" spans="1:1" x14ac:dyDescent="0.3">
      <c r="A15838" s="20"/>
    </row>
    <row r="15839" spans="1:1" x14ac:dyDescent="0.3">
      <c r="A15839" s="20"/>
    </row>
    <row r="15840" spans="1:1" x14ac:dyDescent="0.3">
      <c r="A15840" s="20"/>
    </row>
    <row r="15841" spans="1:1" x14ac:dyDescent="0.3">
      <c r="A15841" s="20"/>
    </row>
    <row r="15842" spans="1:1" x14ac:dyDescent="0.3">
      <c r="A15842" s="20"/>
    </row>
    <row r="15843" spans="1:1" x14ac:dyDescent="0.3">
      <c r="A15843" s="20"/>
    </row>
    <row r="15844" spans="1:1" x14ac:dyDescent="0.3">
      <c r="A15844" s="20"/>
    </row>
    <row r="15845" spans="1:1" x14ac:dyDescent="0.3">
      <c r="A15845" s="20"/>
    </row>
    <row r="15846" spans="1:1" x14ac:dyDescent="0.3">
      <c r="A15846" s="20"/>
    </row>
    <row r="15847" spans="1:1" x14ac:dyDescent="0.3">
      <c r="A15847" s="20"/>
    </row>
    <row r="15848" spans="1:1" x14ac:dyDescent="0.3">
      <c r="A15848" s="20"/>
    </row>
    <row r="15849" spans="1:1" x14ac:dyDescent="0.3">
      <c r="A15849" s="20"/>
    </row>
    <row r="15850" spans="1:1" x14ac:dyDescent="0.3">
      <c r="A15850" s="20"/>
    </row>
    <row r="15851" spans="1:1" x14ac:dyDescent="0.3">
      <c r="A15851" s="20"/>
    </row>
    <row r="15852" spans="1:1" x14ac:dyDescent="0.3">
      <c r="A15852" s="20"/>
    </row>
    <row r="15853" spans="1:1" x14ac:dyDescent="0.3">
      <c r="A15853" s="20"/>
    </row>
    <row r="15854" spans="1:1" x14ac:dyDescent="0.3">
      <c r="A15854" s="20"/>
    </row>
    <row r="15855" spans="1:1" x14ac:dyDescent="0.3">
      <c r="A15855" s="20"/>
    </row>
    <row r="15856" spans="1:1" x14ac:dyDescent="0.3">
      <c r="A15856" s="20"/>
    </row>
    <row r="15857" spans="1:1" x14ac:dyDescent="0.3">
      <c r="A15857" s="20"/>
    </row>
    <row r="15858" spans="1:1" x14ac:dyDescent="0.3">
      <c r="A15858" s="20"/>
    </row>
    <row r="15859" spans="1:1" x14ac:dyDescent="0.3">
      <c r="A15859" s="20"/>
    </row>
    <row r="15860" spans="1:1" x14ac:dyDescent="0.3">
      <c r="A15860" s="20"/>
    </row>
    <row r="15861" spans="1:1" x14ac:dyDescent="0.3">
      <c r="A15861" s="20"/>
    </row>
    <row r="15862" spans="1:1" x14ac:dyDescent="0.3">
      <c r="A15862" s="20"/>
    </row>
    <row r="15863" spans="1:1" x14ac:dyDescent="0.3">
      <c r="A15863" s="20"/>
    </row>
    <row r="15864" spans="1:1" x14ac:dyDescent="0.3">
      <c r="A15864" s="20"/>
    </row>
    <row r="15865" spans="1:1" x14ac:dyDescent="0.3">
      <c r="A15865" s="20"/>
    </row>
    <row r="15866" spans="1:1" x14ac:dyDescent="0.3">
      <c r="A15866" s="20"/>
    </row>
    <row r="15867" spans="1:1" x14ac:dyDescent="0.3">
      <c r="A15867" s="20"/>
    </row>
    <row r="15868" spans="1:1" x14ac:dyDescent="0.3">
      <c r="A15868" s="20"/>
    </row>
    <row r="15869" spans="1:1" x14ac:dyDescent="0.3">
      <c r="A15869" s="20"/>
    </row>
    <row r="15870" spans="1:1" x14ac:dyDescent="0.3">
      <c r="A15870" s="20"/>
    </row>
    <row r="15871" spans="1:1" x14ac:dyDescent="0.3">
      <c r="A15871" s="20"/>
    </row>
    <row r="15872" spans="1:1" x14ac:dyDescent="0.3">
      <c r="A15872" s="20"/>
    </row>
    <row r="15873" spans="1:1" x14ac:dyDescent="0.3">
      <c r="A15873" s="20"/>
    </row>
    <row r="15874" spans="1:1" x14ac:dyDescent="0.3">
      <c r="A15874" s="20"/>
    </row>
    <row r="15875" spans="1:1" x14ac:dyDescent="0.3">
      <c r="A15875" s="20"/>
    </row>
    <row r="15876" spans="1:1" x14ac:dyDescent="0.3">
      <c r="A15876" s="20"/>
    </row>
    <row r="15877" spans="1:1" x14ac:dyDescent="0.3">
      <c r="A15877" s="20"/>
    </row>
    <row r="15878" spans="1:1" x14ac:dyDescent="0.3">
      <c r="A15878" s="20"/>
    </row>
    <row r="15879" spans="1:1" x14ac:dyDescent="0.3">
      <c r="A15879" s="20"/>
    </row>
    <row r="15880" spans="1:1" x14ac:dyDescent="0.3">
      <c r="A15880" s="20"/>
    </row>
    <row r="15881" spans="1:1" x14ac:dyDescent="0.3">
      <c r="A15881" s="20"/>
    </row>
    <row r="15882" spans="1:1" x14ac:dyDescent="0.3">
      <c r="A15882" s="20"/>
    </row>
    <row r="15883" spans="1:1" x14ac:dyDescent="0.3">
      <c r="A15883" s="20"/>
    </row>
    <row r="15884" spans="1:1" x14ac:dyDescent="0.3">
      <c r="A15884" s="20"/>
    </row>
    <row r="15885" spans="1:1" x14ac:dyDescent="0.3">
      <c r="A15885" s="20"/>
    </row>
    <row r="15886" spans="1:1" x14ac:dyDescent="0.3">
      <c r="A15886" s="20"/>
    </row>
    <row r="15887" spans="1:1" x14ac:dyDescent="0.3">
      <c r="A15887" s="20"/>
    </row>
    <row r="15888" spans="1:1" x14ac:dyDescent="0.3">
      <c r="A15888" s="20"/>
    </row>
    <row r="15889" spans="1:1" x14ac:dyDescent="0.3">
      <c r="A15889" s="20"/>
    </row>
    <row r="15890" spans="1:1" x14ac:dyDescent="0.3">
      <c r="A15890" s="20"/>
    </row>
    <row r="15891" spans="1:1" x14ac:dyDescent="0.3">
      <c r="A15891" s="20"/>
    </row>
    <row r="15892" spans="1:1" x14ac:dyDescent="0.3">
      <c r="A15892" s="20"/>
    </row>
    <row r="15893" spans="1:1" x14ac:dyDescent="0.3">
      <c r="A15893" s="20"/>
    </row>
    <row r="15894" spans="1:1" x14ac:dyDescent="0.3">
      <c r="A15894" s="20"/>
    </row>
    <row r="15895" spans="1:1" x14ac:dyDescent="0.3">
      <c r="A15895" s="20"/>
    </row>
    <row r="15896" spans="1:1" x14ac:dyDescent="0.3">
      <c r="A15896" s="20"/>
    </row>
    <row r="15897" spans="1:1" x14ac:dyDescent="0.3">
      <c r="A15897" s="20"/>
    </row>
    <row r="15898" spans="1:1" x14ac:dyDescent="0.3">
      <c r="A15898" s="20"/>
    </row>
    <row r="15899" spans="1:1" x14ac:dyDescent="0.3">
      <c r="A15899" s="20"/>
    </row>
    <row r="15900" spans="1:1" x14ac:dyDescent="0.3">
      <c r="A15900" s="20"/>
    </row>
    <row r="15901" spans="1:1" x14ac:dyDescent="0.3">
      <c r="A15901" s="20"/>
    </row>
    <row r="15902" spans="1:1" x14ac:dyDescent="0.3">
      <c r="A15902" s="20"/>
    </row>
    <row r="15903" spans="1:1" x14ac:dyDescent="0.3">
      <c r="A15903" s="20"/>
    </row>
    <row r="15904" spans="1:1" x14ac:dyDescent="0.3">
      <c r="A15904" s="20"/>
    </row>
    <row r="15905" spans="1:1" x14ac:dyDescent="0.3">
      <c r="A15905" s="20"/>
    </row>
    <row r="15906" spans="1:1" x14ac:dyDescent="0.3">
      <c r="A15906" s="20"/>
    </row>
    <row r="15907" spans="1:1" x14ac:dyDescent="0.3">
      <c r="A15907" s="20"/>
    </row>
    <row r="15908" spans="1:1" x14ac:dyDescent="0.3">
      <c r="A15908" s="20"/>
    </row>
    <row r="15909" spans="1:1" x14ac:dyDescent="0.3">
      <c r="A15909" s="20"/>
    </row>
    <row r="15910" spans="1:1" x14ac:dyDescent="0.3">
      <c r="A15910" s="20"/>
    </row>
    <row r="15911" spans="1:1" x14ac:dyDescent="0.3">
      <c r="A15911" s="20"/>
    </row>
    <row r="15912" spans="1:1" x14ac:dyDescent="0.3">
      <c r="A15912" s="20"/>
    </row>
    <row r="15913" spans="1:1" x14ac:dyDescent="0.3">
      <c r="A15913" s="20"/>
    </row>
    <row r="15914" spans="1:1" x14ac:dyDescent="0.3">
      <c r="A15914" s="20"/>
    </row>
    <row r="15915" spans="1:1" x14ac:dyDescent="0.3">
      <c r="A15915" s="20"/>
    </row>
    <row r="15916" spans="1:1" x14ac:dyDescent="0.3">
      <c r="A15916" s="20"/>
    </row>
    <row r="15917" spans="1:1" x14ac:dyDescent="0.3">
      <c r="A15917" s="20"/>
    </row>
    <row r="15918" spans="1:1" x14ac:dyDescent="0.3">
      <c r="A15918" s="20"/>
    </row>
    <row r="15919" spans="1:1" x14ac:dyDescent="0.3">
      <c r="A15919" s="20"/>
    </row>
    <row r="15920" spans="1:1" x14ac:dyDescent="0.3">
      <c r="A15920" s="20"/>
    </row>
    <row r="15921" spans="1:1" x14ac:dyDescent="0.3">
      <c r="A15921" s="20"/>
    </row>
    <row r="15922" spans="1:1" x14ac:dyDescent="0.3">
      <c r="A15922" s="20"/>
    </row>
    <row r="15923" spans="1:1" x14ac:dyDescent="0.3">
      <c r="A15923" s="20"/>
    </row>
    <row r="15924" spans="1:1" x14ac:dyDescent="0.3">
      <c r="A15924" s="20"/>
    </row>
    <row r="15925" spans="1:1" x14ac:dyDescent="0.3">
      <c r="A15925" s="20"/>
    </row>
    <row r="15926" spans="1:1" x14ac:dyDescent="0.3">
      <c r="A15926" s="20"/>
    </row>
    <row r="15927" spans="1:1" x14ac:dyDescent="0.3">
      <c r="A15927" s="20"/>
    </row>
    <row r="15928" spans="1:1" x14ac:dyDescent="0.3">
      <c r="A15928" s="20"/>
    </row>
    <row r="15929" spans="1:1" x14ac:dyDescent="0.3">
      <c r="A15929" s="20"/>
    </row>
    <row r="15930" spans="1:1" x14ac:dyDescent="0.3">
      <c r="A15930" s="20"/>
    </row>
    <row r="15931" spans="1:1" x14ac:dyDescent="0.3">
      <c r="A15931" s="20"/>
    </row>
    <row r="15932" spans="1:1" x14ac:dyDescent="0.3">
      <c r="A15932" s="20"/>
    </row>
    <row r="15933" spans="1:1" x14ac:dyDescent="0.3">
      <c r="A15933" s="20"/>
    </row>
    <row r="15934" spans="1:1" x14ac:dyDescent="0.3">
      <c r="A15934" s="20"/>
    </row>
    <row r="15935" spans="1:1" x14ac:dyDescent="0.3">
      <c r="A15935" s="20"/>
    </row>
    <row r="15936" spans="1:1" x14ac:dyDescent="0.3">
      <c r="A15936" s="20"/>
    </row>
    <row r="15937" spans="1:1" x14ac:dyDescent="0.3">
      <c r="A15937" s="20"/>
    </row>
    <row r="15938" spans="1:1" x14ac:dyDescent="0.3">
      <c r="A15938" s="20"/>
    </row>
    <row r="15939" spans="1:1" x14ac:dyDescent="0.3">
      <c r="A15939" s="20"/>
    </row>
    <row r="15940" spans="1:1" x14ac:dyDescent="0.3">
      <c r="A15940" s="20"/>
    </row>
    <row r="15941" spans="1:1" x14ac:dyDescent="0.3">
      <c r="A15941" s="20"/>
    </row>
    <row r="15942" spans="1:1" x14ac:dyDescent="0.3">
      <c r="A15942" s="20"/>
    </row>
    <row r="15943" spans="1:1" x14ac:dyDescent="0.3">
      <c r="A15943" s="20"/>
    </row>
    <row r="15944" spans="1:1" x14ac:dyDescent="0.3">
      <c r="A15944" s="20"/>
    </row>
    <row r="15945" spans="1:1" x14ac:dyDescent="0.3">
      <c r="A15945" s="20"/>
    </row>
    <row r="15946" spans="1:1" x14ac:dyDescent="0.3">
      <c r="A15946" s="20"/>
    </row>
    <row r="15947" spans="1:1" x14ac:dyDescent="0.3">
      <c r="A15947" s="20"/>
    </row>
    <row r="15948" spans="1:1" x14ac:dyDescent="0.3">
      <c r="A15948" s="20"/>
    </row>
    <row r="15949" spans="1:1" x14ac:dyDescent="0.3">
      <c r="A15949" s="20"/>
    </row>
    <row r="15950" spans="1:1" x14ac:dyDescent="0.3">
      <c r="A15950" s="20"/>
    </row>
    <row r="15951" spans="1:1" x14ac:dyDescent="0.3">
      <c r="A15951" s="20"/>
    </row>
    <row r="15952" spans="1:1" x14ac:dyDescent="0.3">
      <c r="A15952" s="20"/>
    </row>
    <row r="15953" spans="1:1" x14ac:dyDescent="0.3">
      <c r="A15953" s="20"/>
    </row>
    <row r="15954" spans="1:1" x14ac:dyDescent="0.3">
      <c r="A15954" s="20"/>
    </row>
    <row r="15955" spans="1:1" x14ac:dyDescent="0.3">
      <c r="A15955" s="20"/>
    </row>
    <row r="15956" spans="1:1" x14ac:dyDescent="0.3">
      <c r="A15956" s="20"/>
    </row>
    <row r="15957" spans="1:1" x14ac:dyDescent="0.3">
      <c r="A15957" s="20"/>
    </row>
    <row r="15958" spans="1:1" x14ac:dyDescent="0.3">
      <c r="A15958" s="20"/>
    </row>
    <row r="15959" spans="1:1" x14ac:dyDescent="0.3">
      <c r="A15959" s="20"/>
    </row>
    <row r="15960" spans="1:1" x14ac:dyDescent="0.3">
      <c r="A15960" s="20"/>
    </row>
    <row r="15961" spans="1:1" x14ac:dyDescent="0.3">
      <c r="A15961" s="20"/>
    </row>
    <row r="15962" spans="1:1" x14ac:dyDescent="0.3">
      <c r="A15962" s="20"/>
    </row>
    <row r="15963" spans="1:1" x14ac:dyDescent="0.3">
      <c r="A15963" s="20"/>
    </row>
    <row r="15964" spans="1:1" x14ac:dyDescent="0.3">
      <c r="A15964" s="20"/>
    </row>
    <row r="15965" spans="1:1" x14ac:dyDescent="0.3">
      <c r="A15965" s="20"/>
    </row>
    <row r="15966" spans="1:1" x14ac:dyDescent="0.3">
      <c r="A15966" s="20"/>
    </row>
    <row r="15967" spans="1:1" x14ac:dyDescent="0.3">
      <c r="A15967" s="20"/>
    </row>
    <row r="15968" spans="1:1" x14ac:dyDescent="0.3">
      <c r="A15968" s="20"/>
    </row>
    <row r="15969" spans="1:1" x14ac:dyDescent="0.3">
      <c r="A15969" s="20"/>
    </row>
    <row r="15970" spans="1:1" x14ac:dyDescent="0.3">
      <c r="A15970" s="20"/>
    </row>
    <row r="15971" spans="1:1" x14ac:dyDescent="0.3">
      <c r="A15971" s="20"/>
    </row>
    <row r="15972" spans="1:1" x14ac:dyDescent="0.3">
      <c r="A15972" s="20"/>
    </row>
    <row r="15973" spans="1:1" x14ac:dyDescent="0.3">
      <c r="A15973" s="20"/>
    </row>
    <row r="15974" spans="1:1" x14ac:dyDescent="0.3">
      <c r="A15974" s="20"/>
    </row>
    <row r="15975" spans="1:1" x14ac:dyDescent="0.3">
      <c r="A15975" s="20"/>
    </row>
    <row r="15976" spans="1:1" x14ac:dyDescent="0.3">
      <c r="A15976" s="20"/>
    </row>
    <row r="15977" spans="1:1" x14ac:dyDescent="0.3">
      <c r="A15977" s="20"/>
    </row>
    <row r="15978" spans="1:1" x14ac:dyDescent="0.3">
      <c r="A15978" s="20"/>
    </row>
    <row r="15979" spans="1:1" x14ac:dyDescent="0.3">
      <c r="A15979" s="20"/>
    </row>
    <row r="15980" spans="1:1" x14ac:dyDescent="0.3">
      <c r="A15980" s="20"/>
    </row>
    <row r="15981" spans="1:1" x14ac:dyDescent="0.3">
      <c r="A15981" s="20"/>
    </row>
    <row r="15982" spans="1:1" x14ac:dyDescent="0.3">
      <c r="A15982" s="20"/>
    </row>
    <row r="15983" spans="1:1" x14ac:dyDescent="0.3">
      <c r="A15983" s="20"/>
    </row>
    <row r="15984" spans="1:1" x14ac:dyDescent="0.3">
      <c r="A15984" s="20"/>
    </row>
    <row r="15985" spans="1:1" x14ac:dyDescent="0.3">
      <c r="A15985" s="20"/>
    </row>
    <row r="15986" spans="1:1" x14ac:dyDescent="0.3">
      <c r="A15986" s="20"/>
    </row>
    <row r="15987" spans="1:1" x14ac:dyDescent="0.3">
      <c r="A15987" s="20"/>
    </row>
    <row r="15988" spans="1:1" x14ac:dyDescent="0.3">
      <c r="A15988" s="20"/>
    </row>
    <row r="15989" spans="1:1" x14ac:dyDescent="0.3">
      <c r="A15989" s="20"/>
    </row>
    <row r="15990" spans="1:1" x14ac:dyDescent="0.3">
      <c r="A15990" s="20"/>
    </row>
    <row r="15991" spans="1:1" x14ac:dyDescent="0.3">
      <c r="A15991" s="20"/>
    </row>
    <row r="15992" spans="1:1" x14ac:dyDescent="0.3">
      <c r="A15992" s="20"/>
    </row>
    <row r="15993" spans="1:1" x14ac:dyDescent="0.3">
      <c r="A15993" s="20"/>
    </row>
    <row r="15994" spans="1:1" x14ac:dyDescent="0.3">
      <c r="A15994" s="20"/>
    </row>
    <row r="15995" spans="1:1" x14ac:dyDescent="0.3">
      <c r="A15995" s="20"/>
    </row>
    <row r="15996" spans="1:1" x14ac:dyDescent="0.3">
      <c r="A15996" s="20"/>
    </row>
    <row r="15997" spans="1:1" x14ac:dyDescent="0.3">
      <c r="A15997" s="20"/>
    </row>
    <row r="15998" spans="1:1" x14ac:dyDescent="0.3">
      <c r="A15998" s="20"/>
    </row>
    <row r="15999" spans="1:1" x14ac:dyDescent="0.3">
      <c r="A15999" s="20"/>
    </row>
    <row r="16000" spans="1:1" x14ac:dyDescent="0.3">
      <c r="A16000" s="20"/>
    </row>
    <row r="16001" spans="1:1" x14ac:dyDescent="0.3">
      <c r="A16001" s="20"/>
    </row>
    <row r="16002" spans="1:1" x14ac:dyDescent="0.3">
      <c r="A16002" s="20"/>
    </row>
    <row r="16003" spans="1:1" x14ac:dyDescent="0.3">
      <c r="A16003" s="20"/>
    </row>
    <row r="16004" spans="1:1" x14ac:dyDescent="0.3">
      <c r="A16004" s="20"/>
    </row>
    <row r="16005" spans="1:1" x14ac:dyDescent="0.3">
      <c r="A16005" s="20"/>
    </row>
    <row r="16006" spans="1:1" x14ac:dyDescent="0.3">
      <c r="A16006" s="20"/>
    </row>
    <row r="16007" spans="1:1" x14ac:dyDescent="0.3">
      <c r="A16007" s="20"/>
    </row>
    <row r="16008" spans="1:1" x14ac:dyDescent="0.3">
      <c r="A16008" s="20"/>
    </row>
    <row r="16009" spans="1:1" x14ac:dyDescent="0.3">
      <c r="A16009" s="20"/>
    </row>
    <row r="16010" spans="1:1" x14ac:dyDescent="0.3">
      <c r="A16010" s="20"/>
    </row>
    <row r="16011" spans="1:1" x14ac:dyDescent="0.3">
      <c r="A16011" s="20"/>
    </row>
    <row r="16012" spans="1:1" x14ac:dyDescent="0.3">
      <c r="A16012" s="20"/>
    </row>
    <row r="16013" spans="1:1" x14ac:dyDescent="0.3">
      <c r="A16013" s="20"/>
    </row>
    <row r="16014" spans="1:1" x14ac:dyDescent="0.3">
      <c r="A16014" s="20"/>
    </row>
    <row r="16015" spans="1:1" x14ac:dyDescent="0.3">
      <c r="A16015" s="20"/>
    </row>
    <row r="16016" spans="1:1" x14ac:dyDescent="0.3">
      <c r="A16016" s="20"/>
    </row>
    <row r="16017" spans="1:1" x14ac:dyDescent="0.3">
      <c r="A16017" s="20"/>
    </row>
    <row r="16018" spans="1:1" x14ac:dyDescent="0.3">
      <c r="A16018" s="20"/>
    </row>
    <row r="16019" spans="1:1" x14ac:dyDescent="0.3">
      <c r="A16019" s="20"/>
    </row>
    <row r="16020" spans="1:1" x14ac:dyDescent="0.3">
      <c r="A16020" s="20"/>
    </row>
    <row r="16021" spans="1:1" x14ac:dyDescent="0.3">
      <c r="A16021" s="20"/>
    </row>
    <row r="16022" spans="1:1" x14ac:dyDescent="0.3">
      <c r="A16022" s="20"/>
    </row>
    <row r="16023" spans="1:1" x14ac:dyDescent="0.3">
      <c r="A16023" s="20"/>
    </row>
    <row r="16024" spans="1:1" x14ac:dyDescent="0.3">
      <c r="A16024" s="20"/>
    </row>
    <row r="16025" spans="1:1" x14ac:dyDescent="0.3">
      <c r="A16025" s="20"/>
    </row>
    <row r="16026" spans="1:1" x14ac:dyDescent="0.3">
      <c r="A16026" s="20"/>
    </row>
    <row r="16027" spans="1:1" x14ac:dyDescent="0.3">
      <c r="A16027" s="20"/>
    </row>
    <row r="16028" spans="1:1" x14ac:dyDescent="0.3">
      <c r="A16028" s="20"/>
    </row>
    <row r="16029" spans="1:1" x14ac:dyDescent="0.3">
      <c r="A16029" s="20"/>
    </row>
    <row r="16030" spans="1:1" x14ac:dyDescent="0.3">
      <c r="A16030" s="20"/>
    </row>
    <row r="16031" spans="1:1" x14ac:dyDescent="0.3">
      <c r="A16031" s="20"/>
    </row>
    <row r="16032" spans="1:1" x14ac:dyDescent="0.3">
      <c r="A16032" s="20"/>
    </row>
    <row r="16033" spans="1:1" x14ac:dyDescent="0.3">
      <c r="A16033" s="20"/>
    </row>
    <row r="16034" spans="1:1" x14ac:dyDescent="0.3">
      <c r="A16034" s="20"/>
    </row>
    <row r="16035" spans="1:1" x14ac:dyDescent="0.3">
      <c r="A16035" s="20"/>
    </row>
    <row r="16036" spans="1:1" x14ac:dyDescent="0.3">
      <c r="A16036" s="20"/>
    </row>
    <row r="16037" spans="1:1" x14ac:dyDescent="0.3">
      <c r="A16037" s="20"/>
    </row>
    <row r="16038" spans="1:1" x14ac:dyDescent="0.3">
      <c r="A16038" s="20"/>
    </row>
    <row r="16039" spans="1:1" x14ac:dyDescent="0.3">
      <c r="A16039" s="20"/>
    </row>
    <row r="16040" spans="1:1" x14ac:dyDescent="0.3">
      <c r="A16040" s="20"/>
    </row>
    <row r="16041" spans="1:1" x14ac:dyDescent="0.3">
      <c r="A16041" s="20"/>
    </row>
    <row r="16042" spans="1:1" x14ac:dyDescent="0.3">
      <c r="A16042" s="20"/>
    </row>
    <row r="16043" spans="1:1" x14ac:dyDescent="0.3">
      <c r="A16043" s="20"/>
    </row>
    <row r="16044" spans="1:1" x14ac:dyDescent="0.3">
      <c r="A16044" s="20"/>
    </row>
    <row r="16045" spans="1:1" x14ac:dyDescent="0.3">
      <c r="A16045" s="20"/>
    </row>
    <row r="16046" spans="1:1" x14ac:dyDescent="0.3">
      <c r="A16046" s="20"/>
    </row>
    <row r="16047" spans="1:1" x14ac:dyDescent="0.3">
      <c r="A16047" s="20"/>
    </row>
    <row r="16048" spans="1:1" x14ac:dyDescent="0.3">
      <c r="A16048" s="20"/>
    </row>
    <row r="16049" spans="1:1" x14ac:dyDescent="0.3">
      <c r="A16049" s="20"/>
    </row>
    <row r="16050" spans="1:1" x14ac:dyDescent="0.3">
      <c r="A16050" s="20"/>
    </row>
    <row r="16051" spans="1:1" x14ac:dyDescent="0.3">
      <c r="A16051" s="20"/>
    </row>
    <row r="16052" spans="1:1" x14ac:dyDescent="0.3">
      <c r="A16052" s="20"/>
    </row>
    <row r="16053" spans="1:1" x14ac:dyDescent="0.3">
      <c r="A16053" s="20"/>
    </row>
    <row r="16054" spans="1:1" x14ac:dyDescent="0.3">
      <c r="A16054" s="20"/>
    </row>
    <row r="16055" spans="1:1" x14ac:dyDescent="0.3">
      <c r="A16055" s="20"/>
    </row>
    <row r="16056" spans="1:1" x14ac:dyDescent="0.3">
      <c r="A16056" s="20"/>
    </row>
    <row r="16057" spans="1:1" x14ac:dyDescent="0.3">
      <c r="A16057" s="20"/>
    </row>
    <row r="16058" spans="1:1" x14ac:dyDescent="0.3">
      <c r="A16058" s="20"/>
    </row>
    <row r="16059" spans="1:1" x14ac:dyDescent="0.3">
      <c r="A16059" s="20"/>
    </row>
    <row r="16060" spans="1:1" x14ac:dyDescent="0.3">
      <c r="A16060" s="20"/>
    </row>
    <row r="16061" spans="1:1" x14ac:dyDescent="0.3">
      <c r="A16061" s="20"/>
    </row>
    <row r="16062" spans="1:1" x14ac:dyDescent="0.3">
      <c r="A16062" s="20"/>
    </row>
    <row r="16063" spans="1:1" x14ac:dyDescent="0.3">
      <c r="A16063" s="20"/>
    </row>
    <row r="16064" spans="1:1" x14ac:dyDescent="0.3">
      <c r="A16064" s="20"/>
    </row>
    <row r="16065" spans="1:1" x14ac:dyDescent="0.3">
      <c r="A16065" s="20"/>
    </row>
    <row r="16066" spans="1:1" x14ac:dyDescent="0.3">
      <c r="A16066" s="20"/>
    </row>
    <row r="16067" spans="1:1" x14ac:dyDescent="0.3">
      <c r="A16067" s="20"/>
    </row>
    <row r="16068" spans="1:1" x14ac:dyDescent="0.3">
      <c r="A16068" s="20"/>
    </row>
    <row r="16069" spans="1:1" x14ac:dyDescent="0.3">
      <c r="A16069" s="20"/>
    </row>
    <row r="16070" spans="1:1" x14ac:dyDescent="0.3">
      <c r="A16070" s="20"/>
    </row>
    <row r="16071" spans="1:1" x14ac:dyDescent="0.3">
      <c r="A16071" s="20"/>
    </row>
    <row r="16072" spans="1:1" x14ac:dyDescent="0.3">
      <c r="A16072" s="20"/>
    </row>
    <row r="16073" spans="1:1" x14ac:dyDescent="0.3">
      <c r="A16073" s="20"/>
    </row>
    <row r="16074" spans="1:1" x14ac:dyDescent="0.3">
      <c r="A16074" s="20"/>
    </row>
    <row r="16075" spans="1:1" x14ac:dyDescent="0.3">
      <c r="A16075" s="20"/>
    </row>
    <row r="16076" spans="1:1" x14ac:dyDescent="0.3">
      <c r="A16076" s="20"/>
    </row>
    <row r="16077" spans="1:1" x14ac:dyDescent="0.3">
      <c r="A16077" s="20"/>
    </row>
    <row r="16078" spans="1:1" x14ac:dyDescent="0.3">
      <c r="A16078" s="20"/>
    </row>
    <row r="16079" spans="1:1" x14ac:dyDescent="0.3">
      <c r="A16079" s="20"/>
    </row>
    <row r="16080" spans="1:1" x14ac:dyDescent="0.3">
      <c r="A16080" s="20"/>
    </row>
    <row r="16081" spans="1:1" x14ac:dyDescent="0.3">
      <c r="A16081" s="20"/>
    </row>
    <row r="16082" spans="1:1" x14ac:dyDescent="0.3">
      <c r="A16082" s="20"/>
    </row>
    <row r="16083" spans="1:1" x14ac:dyDescent="0.3">
      <c r="A16083" s="20"/>
    </row>
    <row r="16084" spans="1:1" x14ac:dyDescent="0.3">
      <c r="A16084" s="20"/>
    </row>
    <row r="16085" spans="1:1" x14ac:dyDescent="0.3">
      <c r="A16085" s="20"/>
    </row>
    <row r="16086" spans="1:1" x14ac:dyDescent="0.3">
      <c r="A16086" s="20"/>
    </row>
    <row r="16087" spans="1:1" x14ac:dyDescent="0.3">
      <c r="A16087" s="20"/>
    </row>
    <row r="16088" spans="1:1" x14ac:dyDescent="0.3">
      <c r="A16088" s="20"/>
    </row>
    <row r="16089" spans="1:1" x14ac:dyDescent="0.3">
      <c r="A16089" s="20"/>
    </row>
    <row r="16090" spans="1:1" x14ac:dyDescent="0.3">
      <c r="A16090" s="20"/>
    </row>
    <row r="16091" spans="1:1" x14ac:dyDescent="0.3">
      <c r="A16091" s="20"/>
    </row>
    <row r="16092" spans="1:1" x14ac:dyDescent="0.3">
      <c r="A16092" s="20"/>
    </row>
    <row r="16093" spans="1:1" x14ac:dyDescent="0.3">
      <c r="A16093" s="20"/>
    </row>
    <row r="16094" spans="1:1" x14ac:dyDescent="0.3">
      <c r="A16094" s="20"/>
    </row>
    <row r="16095" spans="1:1" x14ac:dyDescent="0.3">
      <c r="A16095" s="20"/>
    </row>
    <row r="16096" spans="1:1" x14ac:dyDescent="0.3">
      <c r="A16096" s="20"/>
    </row>
    <row r="16097" spans="1:1" x14ac:dyDescent="0.3">
      <c r="A16097" s="20"/>
    </row>
    <row r="16098" spans="1:1" x14ac:dyDescent="0.3">
      <c r="A16098" s="20"/>
    </row>
    <row r="16099" spans="1:1" x14ac:dyDescent="0.3">
      <c r="A16099" s="20"/>
    </row>
    <row r="16100" spans="1:1" x14ac:dyDescent="0.3">
      <c r="A16100" s="20"/>
    </row>
    <row r="16101" spans="1:1" x14ac:dyDescent="0.3">
      <c r="A16101" s="20"/>
    </row>
    <row r="16102" spans="1:1" x14ac:dyDescent="0.3">
      <c r="A16102" s="20"/>
    </row>
    <row r="16103" spans="1:1" x14ac:dyDescent="0.3">
      <c r="A16103" s="20"/>
    </row>
    <row r="16104" spans="1:1" x14ac:dyDescent="0.3">
      <c r="A16104" s="20"/>
    </row>
    <row r="16105" spans="1:1" x14ac:dyDescent="0.3">
      <c r="A16105" s="20"/>
    </row>
    <row r="16106" spans="1:1" x14ac:dyDescent="0.3">
      <c r="A16106" s="20"/>
    </row>
    <row r="16107" spans="1:1" x14ac:dyDescent="0.3">
      <c r="A16107" s="20"/>
    </row>
    <row r="16108" spans="1:1" x14ac:dyDescent="0.3">
      <c r="A16108" s="20"/>
    </row>
    <row r="16109" spans="1:1" x14ac:dyDescent="0.3">
      <c r="A16109" s="20"/>
    </row>
    <row r="16110" spans="1:1" x14ac:dyDescent="0.3">
      <c r="A16110" s="20"/>
    </row>
    <row r="16111" spans="1:1" x14ac:dyDescent="0.3">
      <c r="A16111" s="20"/>
    </row>
    <row r="16112" spans="1:1" x14ac:dyDescent="0.3">
      <c r="A16112" s="20"/>
    </row>
    <row r="16113" spans="1:1" x14ac:dyDescent="0.3">
      <c r="A16113" s="20"/>
    </row>
    <row r="16114" spans="1:1" x14ac:dyDescent="0.3">
      <c r="A16114" s="20"/>
    </row>
    <row r="16115" spans="1:1" x14ac:dyDescent="0.3">
      <c r="A16115" s="20"/>
    </row>
    <row r="16116" spans="1:1" x14ac:dyDescent="0.3">
      <c r="A16116" s="20"/>
    </row>
    <row r="16117" spans="1:1" x14ac:dyDescent="0.3">
      <c r="A16117" s="20"/>
    </row>
    <row r="16118" spans="1:1" x14ac:dyDescent="0.3">
      <c r="A16118" s="20"/>
    </row>
    <row r="16119" spans="1:1" x14ac:dyDescent="0.3">
      <c r="A16119" s="20"/>
    </row>
    <row r="16120" spans="1:1" x14ac:dyDescent="0.3">
      <c r="A16120" s="20"/>
    </row>
    <row r="16121" spans="1:1" x14ac:dyDescent="0.3">
      <c r="A16121" s="20"/>
    </row>
    <row r="16122" spans="1:1" x14ac:dyDescent="0.3">
      <c r="A16122" s="20"/>
    </row>
    <row r="16123" spans="1:1" x14ac:dyDescent="0.3">
      <c r="A16123" s="20"/>
    </row>
    <row r="16124" spans="1:1" x14ac:dyDescent="0.3">
      <c r="A16124" s="20"/>
    </row>
    <row r="16125" spans="1:1" x14ac:dyDescent="0.3">
      <c r="A16125" s="20"/>
    </row>
    <row r="16126" spans="1:1" x14ac:dyDescent="0.3">
      <c r="A16126" s="20"/>
    </row>
    <row r="16127" spans="1:1" x14ac:dyDescent="0.3">
      <c r="A16127" s="20"/>
    </row>
    <row r="16128" spans="1:1" x14ac:dyDescent="0.3">
      <c r="A16128" s="20"/>
    </row>
    <row r="16129" spans="1:1" x14ac:dyDescent="0.3">
      <c r="A16129" s="20"/>
    </row>
    <row r="16130" spans="1:1" x14ac:dyDescent="0.3">
      <c r="A16130" s="20"/>
    </row>
    <row r="16131" spans="1:1" x14ac:dyDescent="0.3">
      <c r="A16131" s="20"/>
    </row>
    <row r="16132" spans="1:1" x14ac:dyDescent="0.3">
      <c r="A16132" s="20"/>
    </row>
    <row r="16133" spans="1:1" x14ac:dyDescent="0.3">
      <c r="A16133" s="20"/>
    </row>
    <row r="16134" spans="1:1" x14ac:dyDescent="0.3">
      <c r="A16134" s="20"/>
    </row>
    <row r="16135" spans="1:1" x14ac:dyDescent="0.3">
      <c r="A16135" s="20"/>
    </row>
    <row r="16136" spans="1:1" x14ac:dyDescent="0.3">
      <c r="A16136" s="20"/>
    </row>
    <row r="16137" spans="1:1" x14ac:dyDescent="0.3">
      <c r="A16137" s="20"/>
    </row>
    <row r="16138" spans="1:1" x14ac:dyDescent="0.3">
      <c r="A16138" s="20"/>
    </row>
    <row r="16139" spans="1:1" x14ac:dyDescent="0.3">
      <c r="A16139" s="20"/>
    </row>
    <row r="16140" spans="1:1" x14ac:dyDescent="0.3">
      <c r="A16140" s="20"/>
    </row>
    <row r="16141" spans="1:1" x14ac:dyDescent="0.3">
      <c r="A16141" s="20"/>
    </row>
    <row r="16142" spans="1:1" x14ac:dyDescent="0.3">
      <c r="A16142" s="20"/>
    </row>
    <row r="16143" spans="1:1" x14ac:dyDescent="0.3">
      <c r="A16143" s="20"/>
    </row>
    <row r="16144" spans="1:1" x14ac:dyDescent="0.3">
      <c r="A16144" s="20"/>
    </row>
    <row r="16145" spans="1:1" x14ac:dyDescent="0.3">
      <c r="A16145" s="20"/>
    </row>
    <row r="16146" spans="1:1" x14ac:dyDescent="0.3">
      <c r="A16146" s="20"/>
    </row>
    <row r="16147" spans="1:1" x14ac:dyDescent="0.3">
      <c r="A16147" s="20"/>
    </row>
    <row r="16148" spans="1:1" x14ac:dyDescent="0.3">
      <c r="A16148" s="20"/>
    </row>
    <row r="16149" spans="1:1" x14ac:dyDescent="0.3">
      <c r="A16149" s="20"/>
    </row>
    <row r="16150" spans="1:1" x14ac:dyDescent="0.3">
      <c r="A16150" s="20"/>
    </row>
    <row r="16151" spans="1:1" x14ac:dyDescent="0.3">
      <c r="A16151" s="20"/>
    </row>
    <row r="16152" spans="1:1" x14ac:dyDescent="0.3">
      <c r="A16152" s="20"/>
    </row>
    <row r="16153" spans="1:1" x14ac:dyDescent="0.3">
      <c r="A16153" s="20"/>
    </row>
    <row r="16154" spans="1:1" x14ac:dyDescent="0.3">
      <c r="A16154" s="20"/>
    </row>
    <row r="16155" spans="1:1" x14ac:dyDescent="0.3">
      <c r="A16155" s="20"/>
    </row>
    <row r="16156" spans="1:1" x14ac:dyDescent="0.3">
      <c r="A16156" s="20"/>
    </row>
    <row r="16157" spans="1:1" x14ac:dyDescent="0.3">
      <c r="A16157" s="20"/>
    </row>
    <row r="16158" spans="1:1" x14ac:dyDescent="0.3">
      <c r="A16158" s="20"/>
    </row>
    <row r="16159" spans="1:1" x14ac:dyDescent="0.3">
      <c r="A16159" s="20"/>
    </row>
    <row r="16160" spans="1:1" x14ac:dyDescent="0.3">
      <c r="A16160" s="20"/>
    </row>
    <row r="16161" spans="1:1" x14ac:dyDescent="0.3">
      <c r="A16161" s="20"/>
    </row>
    <row r="16162" spans="1:1" x14ac:dyDescent="0.3">
      <c r="A16162" s="20"/>
    </row>
    <row r="16163" spans="1:1" x14ac:dyDescent="0.3">
      <c r="A16163" s="20"/>
    </row>
    <row r="16164" spans="1:1" x14ac:dyDescent="0.3">
      <c r="A16164" s="20"/>
    </row>
    <row r="16165" spans="1:1" x14ac:dyDescent="0.3">
      <c r="A16165" s="20"/>
    </row>
    <row r="16166" spans="1:1" x14ac:dyDescent="0.3">
      <c r="A16166" s="20"/>
    </row>
    <row r="16167" spans="1:1" x14ac:dyDescent="0.3">
      <c r="A16167" s="20"/>
    </row>
    <row r="16168" spans="1:1" x14ac:dyDescent="0.3">
      <c r="A16168" s="20"/>
    </row>
    <row r="16169" spans="1:1" x14ac:dyDescent="0.3">
      <c r="A16169" s="20"/>
    </row>
    <row r="16170" spans="1:1" x14ac:dyDescent="0.3">
      <c r="A16170" s="20"/>
    </row>
    <row r="16171" spans="1:1" x14ac:dyDescent="0.3">
      <c r="A16171" s="20"/>
    </row>
    <row r="16172" spans="1:1" x14ac:dyDescent="0.3">
      <c r="A16172" s="20"/>
    </row>
    <row r="16173" spans="1:1" x14ac:dyDescent="0.3">
      <c r="A16173" s="20"/>
    </row>
    <row r="16174" spans="1:1" x14ac:dyDescent="0.3">
      <c r="A16174" s="20"/>
    </row>
    <row r="16175" spans="1:1" x14ac:dyDescent="0.3">
      <c r="A16175" s="20"/>
    </row>
    <row r="16176" spans="1:1" x14ac:dyDescent="0.3">
      <c r="A16176" s="20"/>
    </row>
    <row r="16177" spans="1:1" x14ac:dyDescent="0.3">
      <c r="A16177" s="20"/>
    </row>
    <row r="16178" spans="1:1" x14ac:dyDescent="0.3">
      <c r="A16178" s="20"/>
    </row>
    <row r="16179" spans="1:1" x14ac:dyDescent="0.3">
      <c r="A16179" s="20"/>
    </row>
    <row r="16180" spans="1:1" x14ac:dyDescent="0.3">
      <c r="A16180" s="20"/>
    </row>
    <row r="16181" spans="1:1" x14ac:dyDescent="0.3">
      <c r="A16181" s="20"/>
    </row>
    <row r="16182" spans="1:1" x14ac:dyDescent="0.3">
      <c r="A16182" s="20"/>
    </row>
    <row r="16183" spans="1:1" x14ac:dyDescent="0.3">
      <c r="A16183" s="20"/>
    </row>
    <row r="16184" spans="1:1" x14ac:dyDescent="0.3">
      <c r="A16184" s="20"/>
    </row>
    <row r="16185" spans="1:1" x14ac:dyDescent="0.3">
      <c r="A16185" s="20"/>
    </row>
    <row r="16186" spans="1:1" x14ac:dyDescent="0.3">
      <c r="A16186" s="20"/>
    </row>
    <row r="16187" spans="1:1" x14ac:dyDescent="0.3">
      <c r="A16187" s="20"/>
    </row>
    <row r="16188" spans="1:1" x14ac:dyDescent="0.3">
      <c r="A16188" s="20"/>
    </row>
    <row r="16189" spans="1:1" x14ac:dyDescent="0.3">
      <c r="A16189" s="20"/>
    </row>
    <row r="16190" spans="1:1" x14ac:dyDescent="0.3">
      <c r="A16190" s="20"/>
    </row>
    <row r="16191" spans="1:1" x14ac:dyDescent="0.3">
      <c r="A16191" s="20"/>
    </row>
    <row r="16192" spans="1:1" x14ac:dyDescent="0.3">
      <c r="A16192" s="20"/>
    </row>
    <row r="16193" spans="1:1" x14ac:dyDescent="0.3">
      <c r="A16193" s="20"/>
    </row>
    <row r="16194" spans="1:1" x14ac:dyDescent="0.3">
      <c r="A16194" s="20"/>
    </row>
    <row r="16195" spans="1:1" x14ac:dyDescent="0.3">
      <c r="A16195" s="20"/>
    </row>
    <row r="16196" spans="1:1" x14ac:dyDescent="0.3">
      <c r="A16196" s="20"/>
    </row>
    <row r="16197" spans="1:1" x14ac:dyDescent="0.3">
      <c r="A16197" s="20"/>
    </row>
    <row r="16198" spans="1:1" x14ac:dyDescent="0.3">
      <c r="A16198" s="20"/>
    </row>
    <row r="16199" spans="1:1" x14ac:dyDescent="0.3">
      <c r="A16199" s="20"/>
    </row>
    <row r="16200" spans="1:1" x14ac:dyDescent="0.3">
      <c r="A16200" s="20"/>
    </row>
    <row r="16201" spans="1:1" x14ac:dyDescent="0.3">
      <c r="A16201" s="20"/>
    </row>
    <row r="16202" spans="1:1" x14ac:dyDescent="0.3">
      <c r="A16202" s="20"/>
    </row>
    <row r="16203" spans="1:1" x14ac:dyDescent="0.3">
      <c r="A16203" s="20"/>
    </row>
    <row r="16204" spans="1:1" x14ac:dyDescent="0.3">
      <c r="A16204" s="20"/>
    </row>
    <row r="16205" spans="1:1" x14ac:dyDescent="0.3">
      <c r="A16205" s="20"/>
    </row>
    <row r="16206" spans="1:1" x14ac:dyDescent="0.3">
      <c r="A16206" s="20"/>
    </row>
    <row r="16207" spans="1:1" x14ac:dyDescent="0.3">
      <c r="A16207" s="20"/>
    </row>
    <row r="16208" spans="1:1" x14ac:dyDescent="0.3">
      <c r="A16208" s="20"/>
    </row>
    <row r="16209" spans="1:1" x14ac:dyDescent="0.3">
      <c r="A16209" s="20"/>
    </row>
    <row r="16210" spans="1:1" x14ac:dyDescent="0.3">
      <c r="A16210" s="20"/>
    </row>
    <row r="16211" spans="1:1" x14ac:dyDescent="0.3">
      <c r="A16211" s="20"/>
    </row>
    <row r="16212" spans="1:1" x14ac:dyDescent="0.3">
      <c r="A16212" s="20"/>
    </row>
    <row r="16213" spans="1:1" x14ac:dyDescent="0.3">
      <c r="A16213" s="20"/>
    </row>
    <row r="16214" spans="1:1" x14ac:dyDescent="0.3">
      <c r="A16214" s="20"/>
    </row>
    <row r="16215" spans="1:1" x14ac:dyDescent="0.3">
      <c r="A16215" s="20"/>
    </row>
    <row r="16216" spans="1:1" x14ac:dyDescent="0.3">
      <c r="A16216" s="20"/>
    </row>
    <row r="16217" spans="1:1" x14ac:dyDescent="0.3">
      <c r="A16217" s="20"/>
    </row>
    <row r="16218" spans="1:1" x14ac:dyDescent="0.3">
      <c r="A16218" s="20"/>
    </row>
    <row r="16219" spans="1:1" x14ac:dyDescent="0.3">
      <c r="A16219" s="20"/>
    </row>
    <row r="16220" spans="1:1" x14ac:dyDescent="0.3">
      <c r="A16220" s="20"/>
    </row>
    <row r="16221" spans="1:1" x14ac:dyDescent="0.3">
      <c r="A16221" s="20"/>
    </row>
    <row r="16222" spans="1:1" x14ac:dyDescent="0.3">
      <c r="A16222" s="20"/>
    </row>
    <row r="16223" spans="1:1" x14ac:dyDescent="0.3">
      <c r="A16223" s="20"/>
    </row>
    <row r="16224" spans="1:1" x14ac:dyDescent="0.3">
      <c r="A16224" s="20"/>
    </row>
    <row r="16225" spans="1:1" x14ac:dyDescent="0.3">
      <c r="A16225" s="20"/>
    </row>
    <row r="16226" spans="1:1" x14ac:dyDescent="0.3">
      <c r="A16226" s="20"/>
    </row>
    <row r="16227" spans="1:1" x14ac:dyDescent="0.3">
      <c r="A16227" s="20"/>
    </row>
    <row r="16228" spans="1:1" x14ac:dyDescent="0.3">
      <c r="A16228" s="20"/>
    </row>
    <row r="16229" spans="1:1" x14ac:dyDescent="0.3">
      <c r="A16229" s="20"/>
    </row>
    <row r="16230" spans="1:1" x14ac:dyDescent="0.3">
      <c r="A16230" s="20"/>
    </row>
    <row r="16231" spans="1:1" x14ac:dyDescent="0.3">
      <c r="A16231" s="20"/>
    </row>
    <row r="16232" spans="1:1" x14ac:dyDescent="0.3">
      <c r="A16232" s="20"/>
    </row>
    <row r="16233" spans="1:1" x14ac:dyDescent="0.3">
      <c r="A16233" s="20"/>
    </row>
    <row r="16234" spans="1:1" x14ac:dyDescent="0.3">
      <c r="A16234" s="20"/>
    </row>
    <row r="16235" spans="1:1" x14ac:dyDescent="0.3">
      <c r="A16235" s="20"/>
    </row>
    <row r="16236" spans="1:1" x14ac:dyDescent="0.3">
      <c r="A16236" s="20"/>
    </row>
    <row r="16237" spans="1:1" x14ac:dyDescent="0.3">
      <c r="A16237" s="20"/>
    </row>
    <row r="16238" spans="1:1" x14ac:dyDescent="0.3">
      <c r="A16238" s="20"/>
    </row>
    <row r="16239" spans="1:1" x14ac:dyDescent="0.3">
      <c r="A16239" s="20"/>
    </row>
    <row r="16240" spans="1:1" x14ac:dyDescent="0.3">
      <c r="A16240" s="20"/>
    </row>
    <row r="16241" spans="1:1" x14ac:dyDescent="0.3">
      <c r="A16241" s="20"/>
    </row>
    <row r="16242" spans="1:1" x14ac:dyDescent="0.3">
      <c r="A16242" s="20"/>
    </row>
    <row r="16243" spans="1:1" x14ac:dyDescent="0.3">
      <c r="A16243" s="20"/>
    </row>
    <row r="16244" spans="1:1" x14ac:dyDescent="0.3">
      <c r="A16244" s="20"/>
    </row>
    <row r="16245" spans="1:1" x14ac:dyDescent="0.3">
      <c r="A16245" s="20"/>
    </row>
    <row r="16246" spans="1:1" x14ac:dyDescent="0.3">
      <c r="A16246" s="20"/>
    </row>
    <row r="16247" spans="1:1" x14ac:dyDescent="0.3">
      <c r="A16247" s="20"/>
    </row>
    <row r="16248" spans="1:1" x14ac:dyDescent="0.3">
      <c r="A16248" s="20"/>
    </row>
    <row r="16249" spans="1:1" x14ac:dyDescent="0.3">
      <c r="A16249" s="20"/>
    </row>
    <row r="16250" spans="1:1" x14ac:dyDescent="0.3">
      <c r="A16250" s="20"/>
    </row>
    <row r="16251" spans="1:1" x14ac:dyDescent="0.3">
      <c r="A16251" s="20"/>
    </row>
    <row r="16252" spans="1:1" x14ac:dyDescent="0.3">
      <c r="A16252" s="20"/>
    </row>
    <row r="16253" spans="1:1" x14ac:dyDescent="0.3">
      <c r="A16253" s="20"/>
    </row>
    <row r="16254" spans="1:1" x14ac:dyDescent="0.3">
      <c r="A16254" s="20"/>
    </row>
    <row r="16255" spans="1:1" x14ac:dyDescent="0.3">
      <c r="A16255" s="20"/>
    </row>
    <row r="16256" spans="1:1" x14ac:dyDescent="0.3">
      <c r="A16256" s="20"/>
    </row>
    <row r="16257" spans="1:1" x14ac:dyDescent="0.3">
      <c r="A16257" s="20"/>
    </row>
    <row r="16258" spans="1:1" x14ac:dyDescent="0.3">
      <c r="A16258" s="20"/>
    </row>
    <row r="16259" spans="1:1" x14ac:dyDescent="0.3">
      <c r="A16259" s="20"/>
    </row>
    <row r="16260" spans="1:1" x14ac:dyDescent="0.3">
      <c r="A16260" s="20"/>
    </row>
    <row r="16261" spans="1:1" x14ac:dyDescent="0.3">
      <c r="A16261" s="20"/>
    </row>
    <row r="16262" spans="1:1" x14ac:dyDescent="0.3">
      <c r="A16262" s="20"/>
    </row>
    <row r="16263" spans="1:1" x14ac:dyDescent="0.3">
      <c r="A16263" s="20"/>
    </row>
    <row r="16264" spans="1:1" x14ac:dyDescent="0.3">
      <c r="A16264" s="20"/>
    </row>
    <row r="16265" spans="1:1" x14ac:dyDescent="0.3">
      <c r="A16265" s="20"/>
    </row>
    <row r="16266" spans="1:1" x14ac:dyDescent="0.3">
      <c r="A16266" s="20"/>
    </row>
    <row r="16267" spans="1:1" x14ac:dyDescent="0.3">
      <c r="A16267" s="20"/>
    </row>
    <row r="16268" spans="1:1" x14ac:dyDescent="0.3">
      <c r="A16268" s="20"/>
    </row>
    <row r="16269" spans="1:1" x14ac:dyDescent="0.3">
      <c r="A16269" s="20"/>
    </row>
    <row r="16270" spans="1:1" x14ac:dyDescent="0.3">
      <c r="A16270" s="20"/>
    </row>
    <row r="16271" spans="1:1" x14ac:dyDescent="0.3">
      <c r="A16271" s="20"/>
    </row>
    <row r="16272" spans="1:1" x14ac:dyDescent="0.3">
      <c r="A16272" s="20"/>
    </row>
    <row r="16273" spans="1:1" x14ac:dyDescent="0.3">
      <c r="A16273" s="20"/>
    </row>
    <row r="16274" spans="1:1" x14ac:dyDescent="0.3">
      <c r="A16274" s="20"/>
    </row>
    <row r="16275" spans="1:1" x14ac:dyDescent="0.3">
      <c r="A16275" s="20"/>
    </row>
    <row r="16276" spans="1:1" x14ac:dyDescent="0.3">
      <c r="A16276" s="20"/>
    </row>
    <row r="16277" spans="1:1" x14ac:dyDescent="0.3">
      <c r="A16277" s="20"/>
    </row>
    <row r="16278" spans="1:1" x14ac:dyDescent="0.3">
      <c r="A16278" s="20"/>
    </row>
    <row r="16279" spans="1:1" x14ac:dyDescent="0.3">
      <c r="A16279" s="20"/>
    </row>
    <row r="16280" spans="1:1" x14ac:dyDescent="0.3">
      <c r="A16280" s="20"/>
    </row>
    <row r="16281" spans="1:1" x14ac:dyDescent="0.3">
      <c r="A16281" s="20"/>
    </row>
    <row r="16282" spans="1:1" x14ac:dyDescent="0.3">
      <c r="A16282" s="20"/>
    </row>
    <row r="16283" spans="1:1" x14ac:dyDescent="0.3">
      <c r="A16283" s="20"/>
    </row>
    <row r="16284" spans="1:1" x14ac:dyDescent="0.3">
      <c r="A16284" s="20"/>
    </row>
    <row r="16285" spans="1:1" x14ac:dyDescent="0.3">
      <c r="A16285" s="20"/>
    </row>
    <row r="16286" spans="1:1" x14ac:dyDescent="0.3">
      <c r="A16286" s="20"/>
    </row>
    <row r="16287" spans="1:1" x14ac:dyDescent="0.3">
      <c r="A16287" s="20"/>
    </row>
    <row r="16288" spans="1:1" x14ac:dyDescent="0.3">
      <c r="A16288" s="20"/>
    </row>
    <row r="16289" spans="1:1" x14ac:dyDescent="0.3">
      <c r="A16289" s="20"/>
    </row>
    <row r="16290" spans="1:1" x14ac:dyDescent="0.3">
      <c r="A16290" s="20"/>
    </row>
    <row r="16291" spans="1:1" x14ac:dyDescent="0.3">
      <c r="A16291" s="20"/>
    </row>
    <row r="16292" spans="1:1" x14ac:dyDescent="0.3">
      <c r="A16292" s="20"/>
    </row>
    <row r="16293" spans="1:1" x14ac:dyDescent="0.3">
      <c r="A16293" s="20"/>
    </row>
    <row r="16294" spans="1:1" x14ac:dyDescent="0.3">
      <c r="A16294" s="20"/>
    </row>
    <row r="16295" spans="1:1" x14ac:dyDescent="0.3">
      <c r="A16295" s="20"/>
    </row>
    <row r="16296" spans="1:1" x14ac:dyDescent="0.3">
      <c r="A16296" s="20"/>
    </row>
    <row r="16297" spans="1:1" x14ac:dyDescent="0.3">
      <c r="A16297" s="20"/>
    </row>
    <row r="16298" spans="1:1" x14ac:dyDescent="0.3">
      <c r="A16298" s="20"/>
    </row>
    <row r="16299" spans="1:1" x14ac:dyDescent="0.3">
      <c r="A16299" s="20"/>
    </row>
    <row r="16300" spans="1:1" x14ac:dyDescent="0.3">
      <c r="A16300" s="20"/>
    </row>
    <row r="16301" spans="1:1" x14ac:dyDescent="0.3">
      <c r="A16301" s="20"/>
    </row>
    <row r="16302" spans="1:1" x14ac:dyDescent="0.3">
      <c r="A16302" s="20"/>
    </row>
    <row r="16303" spans="1:1" x14ac:dyDescent="0.3">
      <c r="A16303" s="20"/>
    </row>
    <row r="16304" spans="1:1" x14ac:dyDescent="0.3">
      <c r="A16304" s="20"/>
    </row>
    <row r="16305" spans="1:1" x14ac:dyDescent="0.3">
      <c r="A16305" s="20"/>
    </row>
    <row r="16306" spans="1:1" x14ac:dyDescent="0.3">
      <c r="A16306" s="20"/>
    </row>
    <row r="16307" spans="1:1" x14ac:dyDescent="0.3">
      <c r="A16307" s="20"/>
    </row>
    <row r="16308" spans="1:1" x14ac:dyDescent="0.3">
      <c r="A16308" s="20"/>
    </row>
    <row r="16309" spans="1:1" x14ac:dyDescent="0.3">
      <c r="A16309" s="20"/>
    </row>
    <row r="16310" spans="1:1" x14ac:dyDescent="0.3">
      <c r="A16310" s="20"/>
    </row>
    <row r="16311" spans="1:1" x14ac:dyDescent="0.3">
      <c r="A16311" s="20"/>
    </row>
    <row r="16312" spans="1:1" x14ac:dyDescent="0.3">
      <c r="A16312" s="20"/>
    </row>
    <row r="16313" spans="1:1" x14ac:dyDescent="0.3">
      <c r="A16313" s="20"/>
    </row>
    <row r="16314" spans="1:1" x14ac:dyDescent="0.3">
      <c r="A16314" s="20"/>
    </row>
    <row r="16315" spans="1:1" x14ac:dyDescent="0.3">
      <c r="A16315" s="20"/>
    </row>
    <row r="16316" spans="1:1" x14ac:dyDescent="0.3">
      <c r="A16316" s="20"/>
    </row>
    <row r="16317" spans="1:1" x14ac:dyDescent="0.3">
      <c r="A16317" s="20"/>
    </row>
    <row r="16318" spans="1:1" x14ac:dyDescent="0.3">
      <c r="A16318" s="20"/>
    </row>
    <row r="16319" spans="1:1" x14ac:dyDescent="0.3">
      <c r="A16319" s="20"/>
    </row>
    <row r="16320" spans="1:1" x14ac:dyDescent="0.3">
      <c r="A16320" s="20"/>
    </row>
    <row r="16321" spans="1:1" x14ac:dyDescent="0.3">
      <c r="A16321" s="20"/>
    </row>
    <row r="16322" spans="1:1" x14ac:dyDescent="0.3">
      <c r="A16322" s="20"/>
    </row>
    <row r="16323" spans="1:1" x14ac:dyDescent="0.3">
      <c r="A16323" s="20"/>
    </row>
    <row r="16324" spans="1:1" x14ac:dyDescent="0.3">
      <c r="A16324" s="20"/>
    </row>
    <row r="16325" spans="1:1" x14ac:dyDescent="0.3">
      <c r="A16325" s="20"/>
    </row>
    <row r="16326" spans="1:1" x14ac:dyDescent="0.3">
      <c r="A16326" s="20"/>
    </row>
    <row r="16327" spans="1:1" x14ac:dyDescent="0.3">
      <c r="A16327" s="20"/>
    </row>
    <row r="16328" spans="1:1" x14ac:dyDescent="0.3">
      <c r="A16328" s="20"/>
    </row>
    <row r="16329" spans="1:1" x14ac:dyDescent="0.3">
      <c r="A16329" s="20"/>
    </row>
    <row r="16330" spans="1:1" x14ac:dyDescent="0.3">
      <c r="A16330" s="20"/>
    </row>
    <row r="16331" spans="1:1" x14ac:dyDescent="0.3">
      <c r="A16331" s="20"/>
    </row>
    <row r="16332" spans="1:1" x14ac:dyDescent="0.3">
      <c r="A16332" s="20"/>
    </row>
    <row r="16333" spans="1:1" x14ac:dyDescent="0.3">
      <c r="A16333" s="20"/>
    </row>
    <row r="16334" spans="1:1" x14ac:dyDescent="0.3">
      <c r="A16334" s="20"/>
    </row>
    <row r="16335" spans="1:1" x14ac:dyDescent="0.3">
      <c r="A16335" s="20"/>
    </row>
    <row r="16336" spans="1:1" x14ac:dyDescent="0.3">
      <c r="A16336" s="20"/>
    </row>
    <row r="16337" spans="1:1" x14ac:dyDescent="0.3">
      <c r="A16337" s="20"/>
    </row>
    <row r="16338" spans="1:1" x14ac:dyDescent="0.3">
      <c r="A16338" s="20"/>
    </row>
    <row r="16339" spans="1:1" x14ac:dyDescent="0.3">
      <c r="A16339" s="20"/>
    </row>
    <row r="16340" spans="1:1" x14ac:dyDescent="0.3">
      <c r="A16340" s="20"/>
    </row>
    <row r="16341" spans="1:1" x14ac:dyDescent="0.3">
      <c r="A16341" s="20"/>
    </row>
    <row r="16342" spans="1:1" x14ac:dyDescent="0.3">
      <c r="A16342" s="20"/>
    </row>
    <row r="16343" spans="1:1" x14ac:dyDescent="0.3">
      <c r="A16343" s="20"/>
    </row>
    <row r="16344" spans="1:1" x14ac:dyDescent="0.3">
      <c r="A16344" s="20"/>
    </row>
    <row r="16345" spans="1:1" x14ac:dyDescent="0.3">
      <c r="A16345" s="20"/>
    </row>
    <row r="16346" spans="1:1" x14ac:dyDescent="0.3">
      <c r="A16346" s="20"/>
    </row>
    <row r="16347" spans="1:1" x14ac:dyDescent="0.3">
      <c r="A16347" s="20"/>
    </row>
    <row r="16348" spans="1:1" x14ac:dyDescent="0.3">
      <c r="A16348" s="20"/>
    </row>
    <row r="16349" spans="1:1" x14ac:dyDescent="0.3">
      <c r="A16349" s="20"/>
    </row>
    <row r="16350" spans="1:1" x14ac:dyDescent="0.3">
      <c r="A16350" s="20"/>
    </row>
    <row r="16351" spans="1:1" x14ac:dyDescent="0.3">
      <c r="A16351" s="20"/>
    </row>
    <row r="16352" spans="1:1" x14ac:dyDescent="0.3">
      <c r="A16352" s="20"/>
    </row>
    <row r="16353" spans="1:1" x14ac:dyDescent="0.3">
      <c r="A16353" s="20"/>
    </row>
    <row r="16354" spans="1:1" x14ac:dyDescent="0.3">
      <c r="A16354" s="20"/>
    </row>
    <row r="16355" spans="1:1" x14ac:dyDescent="0.3">
      <c r="A16355" s="20"/>
    </row>
    <row r="16356" spans="1:1" x14ac:dyDescent="0.3">
      <c r="A16356" s="20"/>
    </row>
    <row r="16357" spans="1:1" x14ac:dyDescent="0.3">
      <c r="A16357" s="20"/>
    </row>
    <row r="16358" spans="1:1" x14ac:dyDescent="0.3">
      <c r="A16358" s="20"/>
    </row>
    <row r="16359" spans="1:1" x14ac:dyDescent="0.3">
      <c r="A16359" s="20"/>
    </row>
    <row r="16360" spans="1:1" x14ac:dyDescent="0.3">
      <c r="A16360" s="20"/>
    </row>
    <row r="16361" spans="1:1" x14ac:dyDescent="0.3">
      <c r="A16361" s="20"/>
    </row>
    <row r="16362" spans="1:1" x14ac:dyDescent="0.3">
      <c r="A16362" s="20"/>
    </row>
    <row r="16363" spans="1:1" x14ac:dyDescent="0.3">
      <c r="A16363" s="20"/>
    </row>
    <row r="16364" spans="1:1" x14ac:dyDescent="0.3">
      <c r="A16364" s="20"/>
    </row>
    <row r="16365" spans="1:1" x14ac:dyDescent="0.3">
      <c r="A16365" s="20"/>
    </row>
    <row r="16366" spans="1:1" x14ac:dyDescent="0.3">
      <c r="A16366" s="20"/>
    </row>
    <row r="16367" spans="1:1" x14ac:dyDescent="0.3">
      <c r="A16367" s="20"/>
    </row>
    <row r="16368" spans="1:1" x14ac:dyDescent="0.3">
      <c r="A16368" s="20"/>
    </row>
    <row r="16369" spans="1:1" x14ac:dyDescent="0.3">
      <c r="A16369" s="20"/>
    </row>
    <row r="16370" spans="1:1" x14ac:dyDescent="0.3">
      <c r="A16370" s="20"/>
    </row>
    <row r="16371" spans="1:1" x14ac:dyDescent="0.3">
      <c r="A16371" s="20"/>
    </row>
    <row r="16372" spans="1:1" x14ac:dyDescent="0.3">
      <c r="A16372" s="20"/>
    </row>
    <row r="16373" spans="1:1" x14ac:dyDescent="0.3">
      <c r="A16373" s="20"/>
    </row>
    <row r="16374" spans="1:1" x14ac:dyDescent="0.3">
      <c r="A16374" s="20"/>
    </row>
    <row r="16375" spans="1:1" x14ac:dyDescent="0.3">
      <c r="A16375" s="20"/>
    </row>
    <row r="16376" spans="1:1" x14ac:dyDescent="0.3">
      <c r="A16376" s="20"/>
    </row>
    <row r="16377" spans="1:1" x14ac:dyDescent="0.3">
      <c r="A16377" s="20"/>
    </row>
    <row r="16378" spans="1:1" x14ac:dyDescent="0.3">
      <c r="A16378" s="20"/>
    </row>
    <row r="16379" spans="1:1" x14ac:dyDescent="0.3">
      <c r="A16379" s="20"/>
    </row>
    <row r="16380" spans="1:1" x14ac:dyDescent="0.3">
      <c r="A16380" s="20"/>
    </row>
    <row r="16381" spans="1:1" x14ac:dyDescent="0.3">
      <c r="A16381" s="20"/>
    </row>
    <row r="16382" spans="1:1" x14ac:dyDescent="0.3">
      <c r="A16382" s="20"/>
    </row>
    <row r="16383" spans="1:1" x14ac:dyDescent="0.3">
      <c r="A16383" s="20"/>
    </row>
    <row r="16384" spans="1:1" x14ac:dyDescent="0.3">
      <c r="A16384" s="20"/>
    </row>
    <row r="16385" spans="1:1" x14ac:dyDescent="0.3">
      <c r="A16385" s="20"/>
    </row>
    <row r="16386" spans="1:1" x14ac:dyDescent="0.3">
      <c r="A16386" s="20"/>
    </row>
    <row r="16387" spans="1:1" x14ac:dyDescent="0.3">
      <c r="A16387" s="20"/>
    </row>
    <row r="16388" spans="1:1" x14ac:dyDescent="0.3">
      <c r="A16388" s="20"/>
    </row>
    <row r="16389" spans="1:1" x14ac:dyDescent="0.3">
      <c r="A16389" s="20"/>
    </row>
    <row r="16390" spans="1:1" x14ac:dyDescent="0.3">
      <c r="A16390" s="20"/>
    </row>
    <row r="16391" spans="1:1" x14ac:dyDescent="0.3">
      <c r="A16391" s="20"/>
    </row>
    <row r="16392" spans="1:1" x14ac:dyDescent="0.3">
      <c r="A16392" s="20"/>
    </row>
    <row r="16393" spans="1:1" x14ac:dyDescent="0.3">
      <c r="A16393" s="20"/>
    </row>
    <row r="16394" spans="1:1" x14ac:dyDescent="0.3">
      <c r="A16394" s="20"/>
    </row>
    <row r="16395" spans="1:1" x14ac:dyDescent="0.3">
      <c r="A16395" s="20"/>
    </row>
    <row r="16396" spans="1:1" x14ac:dyDescent="0.3">
      <c r="A16396" s="20"/>
    </row>
    <row r="16397" spans="1:1" x14ac:dyDescent="0.3">
      <c r="A16397" s="20"/>
    </row>
    <row r="16398" spans="1:1" x14ac:dyDescent="0.3">
      <c r="A16398" s="20"/>
    </row>
    <row r="16399" spans="1:1" x14ac:dyDescent="0.3">
      <c r="A16399" s="20"/>
    </row>
    <row r="16400" spans="1:1" x14ac:dyDescent="0.3">
      <c r="A16400" s="20"/>
    </row>
    <row r="16401" spans="1:1" x14ac:dyDescent="0.3">
      <c r="A16401" s="20"/>
    </row>
    <row r="16402" spans="1:1" x14ac:dyDescent="0.3">
      <c r="A16402" s="20"/>
    </row>
    <row r="16403" spans="1:1" x14ac:dyDescent="0.3">
      <c r="A16403" s="20"/>
    </row>
    <row r="16404" spans="1:1" x14ac:dyDescent="0.3">
      <c r="A16404" s="20"/>
    </row>
    <row r="16405" spans="1:1" x14ac:dyDescent="0.3">
      <c r="A16405" s="20"/>
    </row>
    <row r="16406" spans="1:1" x14ac:dyDescent="0.3">
      <c r="A16406" s="20"/>
    </row>
    <row r="16407" spans="1:1" x14ac:dyDescent="0.3">
      <c r="A16407" s="20"/>
    </row>
    <row r="16408" spans="1:1" x14ac:dyDescent="0.3">
      <c r="A16408" s="20"/>
    </row>
    <row r="16409" spans="1:1" x14ac:dyDescent="0.3">
      <c r="A16409" s="20"/>
    </row>
    <row r="16410" spans="1:1" x14ac:dyDescent="0.3">
      <c r="A16410" s="20"/>
    </row>
    <row r="16411" spans="1:1" x14ac:dyDescent="0.3">
      <c r="A16411" s="20"/>
    </row>
    <row r="16412" spans="1:1" x14ac:dyDescent="0.3">
      <c r="A16412" s="20"/>
    </row>
    <row r="16413" spans="1:1" x14ac:dyDescent="0.3">
      <c r="A16413" s="20"/>
    </row>
    <row r="16414" spans="1:1" x14ac:dyDescent="0.3">
      <c r="A16414" s="20"/>
    </row>
    <row r="16415" spans="1:1" x14ac:dyDescent="0.3">
      <c r="A16415" s="20"/>
    </row>
    <row r="16416" spans="1:1" x14ac:dyDescent="0.3">
      <c r="A16416" s="20"/>
    </row>
    <row r="16417" spans="1:1" x14ac:dyDescent="0.3">
      <c r="A16417" s="20"/>
    </row>
    <row r="16418" spans="1:1" x14ac:dyDescent="0.3">
      <c r="A16418" s="20"/>
    </row>
    <row r="16419" spans="1:1" x14ac:dyDescent="0.3">
      <c r="A16419" s="20"/>
    </row>
    <row r="16420" spans="1:1" x14ac:dyDescent="0.3">
      <c r="A16420" s="20"/>
    </row>
    <row r="16421" spans="1:1" x14ac:dyDescent="0.3">
      <c r="A16421" s="20"/>
    </row>
    <row r="16422" spans="1:1" x14ac:dyDescent="0.3">
      <c r="A16422" s="20"/>
    </row>
    <row r="16423" spans="1:1" x14ac:dyDescent="0.3">
      <c r="A16423" s="20"/>
    </row>
    <row r="16424" spans="1:1" x14ac:dyDescent="0.3">
      <c r="A16424" s="20"/>
    </row>
    <row r="16425" spans="1:1" x14ac:dyDescent="0.3">
      <c r="A16425" s="20"/>
    </row>
    <row r="16426" spans="1:1" x14ac:dyDescent="0.3">
      <c r="A16426" s="20"/>
    </row>
    <row r="16427" spans="1:1" x14ac:dyDescent="0.3">
      <c r="A16427" s="20"/>
    </row>
    <row r="16428" spans="1:1" x14ac:dyDescent="0.3">
      <c r="A16428" s="20"/>
    </row>
    <row r="16429" spans="1:1" x14ac:dyDescent="0.3">
      <c r="A16429" s="20"/>
    </row>
    <row r="16430" spans="1:1" x14ac:dyDescent="0.3">
      <c r="A16430" s="20"/>
    </row>
    <row r="16431" spans="1:1" x14ac:dyDescent="0.3">
      <c r="A16431" s="20"/>
    </row>
    <row r="16432" spans="1:1" x14ac:dyDescent="0.3">
      <c r="A16432" s="20"/>
    </row>
    <row r="16433" spans="1:1" x14ac:dyDescent="0.3">
      <c r="A16433" s="20"/>
    </row>
    <row r="16434" spans="1:1" x14ac:dyDescent="0.3">
      <c r="A16434" s="20"/>
    </row>
    <row r="16435" spans="1:1" x14ac:dyDescent="0.3">
      <c r="A16435" s="20"/>
    </row>
    <row r="16436" spans="1:1" x14ac:dyDescent="0.3">
      <c r="A16436" s="20"/>
    </row>
    <row r="16437" spans="1:1" x14ac:dyDescent="0.3">
      <c r="A16437" s="20"/>
    </row>
    <row r="16438" spans="1:1" x14ac:dyDescent="0.3">
      <c r="A16438" s="20"/>
    </row>
    <row r="16439" spans="1:1" x14ac:dyDescent="0.3">
      <c r="A16439" s="20"/>
    </row>
    <row r="16440" spans="1:1" x14ac:dyDescent="0.3">
      <c r="A16440" s="20"/>
    </row>
    <row r="16441" spans="1:1" x14ac:dyDescent="0.3">
      <c r="A16441" s="20"/>
    </row>
    <row r="16442" spans="1:1" x14ac:dyDescent="0.3">
      <c r="A16442" s="20"/>
    </row>
    <row r="16443" spans="1:1" x14ac:dyDescent="0.3">
      <c r="A16443" s="20"/>
    </row>
    <row r="16444" spans="1:1" x14ac:dyDescent="0.3">
      <c r="A16444" s="20"/>
    </row>
    <row r="16445" spans="1:1" x14ac:dyDescent="0.3">
      <c r="A16445" s="20"/>
    </row>
    <row r="16446" spans="1:1" x14ac:dyDescent="0.3">
      <c r="A16446" s="20"/>
    </row>
    <row r="16447" spans="1:1" x14ac:dyDescent="0.3">
      <c r="A16447" s="20"/>
    </row>
    <row r="16448" spans="1:1" x14ac:dyDescent="0.3">
      <c r="A16448" s="20"/>
    </row>
    <row r="16449" spans="1:1" x14ac:dyDescent="0.3">
      <c r="A16449" s="20"/>
    </row>
    <row r="16450" spans="1:1" x14ac:dyDescent="0.3">
      <c r="A16450" s="20"/>
    </row>
    <row r="16451" spans="1:1" x14ac:dyDescent="0.3">
      <c r="A16451" s="20"/>
    </row>
    <row r="16452" spans="1:1" x14ac:dyDescent="0.3">
      <c r="A16452" s="20"/>
    </row>
    <row r="16453" spans="1:1" x14ac:dyDescent="0.3">
      <c r="A16453" s="20"/>
    </row>
    <row r="16454" spans="1:1" x14ac:dyDescent="0.3">
      <c r="A16454" s="20"/>
    </row>
    <row r="16455" spans="1:1" x14ac:dyDescent="0.3">
      <c r="A16455" s="20"/>
    </row>
    <row r="16456" spans="1:1" x14ac:dyDescent="0.3">
      <c r="A16456" s="20"/>
    </row>
    <row r="16457" spans="1:1" x14ac:dyDescent="0.3">
      <c r="A16457" s="20"/>
    </row>
    <row r="16458" spans="1:1" x14ac:dyDescent="0.3">
      <c r="A16458" s="20"/>
    </row>
    <row r="16459" spans="1:1" x14ac:dyDescent="0.3">
      <c r="A16459" s="20"/>
    </row>
    <row r="16460" spans="1:1" x14ac:dyDescent="0.3">
      <c r="A16460" s="20"/>
    </row>
    <row r="16461" spans="1:1" x14ac:dyDescent="0.3">
      <c r="A16461" s="20"/>
    </row>
    <row r="16462" spans="1:1" x14ac:dyDescent="0.3">
      <c r="A16462" s="20"/>
    </row>
    <row r="16463" spans="1:1" x14ac:dyDescent="0.3">
      <c r="A16463" s="20"/>
    </row>
    <row r="16464" spans="1:1" x14ac:dyDescent="0.3">
      <c r="A16464" s="20"/>
    </row>
    <row r="16465" spans="1:1" x14ac:dyDescent="0.3">
      <c r="A16465" s="20"/>
    </row>
    <row r="16466" spans="1:1" x14ac:dyDescent="0.3">
      <c r="A16466" s="20"/>
    </row>
    <row r="16467" spans="1:1" x14ac:dyDescent="0.3">
      <c r="A16467" s="20"/>
    </row>
    <row r="16468" spans="1:1" x14ac:dyDescent="0.3">
      <c r="A16468" s="20"/>
    </row>
    <row r="16469" spans="1:1" x14ac:dyDescent="0.3">
      <c r="A16469" s="20"/>
    </row>
    <row r="16470" spans="1:1" x14ac:dyDescent="0.3">
      <c r="A16470" s="20"/>
    </row>
    <row r="16471" spans="1:1" x14ac:dyDescent="0.3">
      <c r="A16471" s="20"/>
    </row>
    <row r="16472" spans="1:1" x14ac:dyDescent="0.3">
      <c r="A16472" s="20"/>
    </row>
    <row r="16473" spans="1:1" x14ac:dyDescent="0.3">
      <c r="A16473" s="20"/>
    </row>
    <row r="16474" spans="1:1" x14ac:dyDescent="0.3">
      <c r="A16474" s="20"/>
    </row>
    <row r="16475" spans="1:1" x14ac:dyDescent="0.3">
      <c r="A16475" s="20"/>
    </row>
    <row r="16476" spans="1:1" x14ac:dyDescent="0.3">
      <c r="A16476" s="20"/>
    </row>
    <row r="16477" spans="1:1" x14ac:dyDescent="0.3">
      <c r="A16477" s="20"/>
    </row>
    <row r="16478" spans="1:1" x14ac:dyDescent="0.3">
      <c r="A16478" s="20"/>
    </row>
    <row r="16479" spans="1:1" x14ac:dyDescent="0.3">
      <c r="A16479" s="20"/>
    </row>
    <row r="16480" spans="1:1" x14ac:dyDescent="0.3">
      <c r="A16480" s="20"/>
    </row>
    <row r="16481" spans="1:1" x14ac:dyDescent="0.3">
      <c r="A16481" s="20"/>
    </row>
    <row r="16482" spans="1:1" x14ac:dyDescent="0.3">
      <c r="A16482" s="20"/>
    </row>
    <row r="16483" spans="1:1" x14ac:dyDescent="0.3">
      <c r="A16483" s="20"/>
    </row>
    <row r="16484" spans="1:1" x14ac:dyDescent="0.3">
      <c r="A16484" s="20"/>
    </row>
    <row r="16485" spans="1:1" x14ac:dyDescent="0.3">
      <c r="A16485" s="20"/>
    </row>
    <row r="16486" spans="1:1" x14ac:dyDescent="0.3">
      <c r="A16486" s="20"/>
    </row>
    <row r="16487" spans="1:1" x14ac:dyDescent="0.3">
      <c r="A16487" s="20"/>
    </row>
    <row r="16488" spans="1:1" x14ac:dyDescent="0.3">
      <c r="A16488" s="20"/>
    </row>
    <row r="16489" spans="1:1" x14ac:dyDescent="0.3">
      <c r="A16489" s="20"/>
    </row>
    <row r="16490" spans="1:1" x14ac:dyDescent="0.3">
      <c r="A16490" s="20"/>
    </row>
    <row r="16491" spans="1:1" x14ac:dyDescent="0.3">
      <c r="A16491" s="20"/>
    </row>
    <row r="16492" spans="1:1" x14ac:dyDescent="0.3">
      <c r="A16492" s="20"/>
    </row>
    <row r="16493" spans="1:1" x14ac:dyDescent="0.3">
      <c r="A16493" s="20"/>
    </row>
    <row r="16494" spans="1:1" x14ac:dyDescent="0.3">
      <c r="A16494" s="20"/>
    </row>
    <row r="16495" spans="1:1" x14ac:dyDescent="0.3">
      <c r="A16495" s="20"/>
    </row>
    <row r="16496" spans="1:1" x14ac:dyDescent="0.3">
      <c r="A16496" s="20"/>
    </row>
    <row r="16497" spans="1:1" x14ac:dyDescent="0.3">
      <c r="A16497" s="20"/>
    </row>
    <row r="16498" spans="1:1" x14ac:dyDescent="0.3">
      <c r="A16498" s="20"/>
    </row>
    <row r="16499" spans="1:1" x14ac:dyDescent="0.3">
      <c r="A16499" s="20"/>
    </row>
    <row r="16500" spans="1:1" x14ac:dyDescent="0.3">
      <c r="A16500" s="20"/>
    </row>
    <row r="16501" spans="1:1" x14ac:dyDescent="0.3">
      <c r="A16501" s="20"/>
    </row>
    <row r="16502" spans="1:1" x14ac:dyDescent="0.3">
      <c r="A16502" s="20"/>
    </row>
    <row r="16503" spans="1:1" x14ac:dyDescent="0.3">
      <c r="A16503" s="20"/>
    </row>
    <row r="16504" spans="1:1" x14ac:dyDescent="0.3">
      <c r="A16504" s="20"/>
    </row>
    <row r="16505" spans="1:1" x14ac:dyDescent="0.3">
      <c r="A16505" s="20"/>
    </row>
    <row r="16506" spans="1:1" x14ac:dyDescent="0.3">
      <c r="A16506" s="20"/>
    </row>
    <row r="16507" spans="1:1" x14ac:dyDescent="0.3">
      <c r="A16507" s="20"/>
    </row>
    <row r="16508" spans="1:1" x14ac:dyDescent="0.3">
      <c r="A16508" s="20"/>
    </row>
    <row r="16509" spans="1:1" x14ac:dyDescent="0.3">
      <c r="A16509" s="20"/>
    </row>
    <row r="16510" spans="1:1" x14ac:dyDescent="0.3">
      <c r="A16510" s="20"/>
    </row>
    <row r="16511" spans="1:1" x14ac:dyDescent="0.3">
      <c r="A16511" s="20"/>
    </row>
    <row r="16512" spans="1:1" x14ac:dyDescent="0.3">
      <c r="A16512" s="20"/>
    </row>
    <row r="16513" spans="1:1" x14ac:dyDescent="0.3">
      <c r="A16513" s="20"/>
    </row>
    <row r="16514" spans="1:1" x14ac:dyDescent="0.3">
      <c r="A16514" s="20"/>
    </row>
    <row r="16515" spans="1:1" x14ac:dyDescent="0.3">
      <c r="A16515" s="20"/>
    </row>
    <row r="16516" spans="1:1" x14ac:dyDescent="0.3">
      <c r="A16516" s="20"/>
    </row>
    <row r="16517" spans="1:1" x14ac:dyDescent="0.3">
      <c r="A16517" s="20"/>
    </row>
    <row r="16518" spans="1:1" x14ac:dyDescent="0.3">
      <c r="A16518" s="20"/>
    </row>
    <row r="16519" spans="1:1" x14ac:dyDescent="0.3">
      <c r="A16519" s="20"/>
    </row>
    <row r="16520" spans="1:1" x14ac:dyDescent="0.3">
      <c r="A16520" s="20"/>
    </row>
    <row r="16521" spans="1:1" x14ac:dyDescent="0.3">
      <c r="A16521" s="20"/>
    </row>
    <row r="16522" spans="1:1" x14ac:dyDescent="0.3">
      <c r="A16522" s="20"/>
    </row>
    <row r="16523" spans="1:1" x14ac:dyDescent="0.3">
      <c r="A16523" s="20"/>
    </row>
    <row r="16524" spans="1:1" x14ac:dyDescent="0.3">
      <c r="A16524" s="20"/>
    </row>
    <row r="16525" spans="1:1" x14ac:dyDescent="0.3">
      <c r="A16525" s="20"/>
    </row>
    <row r="16526" spans="1:1" x14ac:dyDescent="0.3">
      <c r="A16526" s="20"/>
    </row>
    <row r="16527" spans="1:1" x14ac:dyDescent="0.3">
      <c r="A16527" s="20"/>
    </row>
    <row r="16528" spans="1:1" x14ac:dyDescent="0.3">
      <c r="A16528" s="20"/>
    </row>
    <row r="16529" spans="1:1" x14ac:dyDescent="0.3">
      <c r="A16529" s="20"/>
    </row>
    <row r="16530" spans="1:1" x14ac:dyDescent="0.3">
      <c r="A16530" s="20"/>
    </row>
    <row r="16531" spans="1:1" x14ac:dyDescent="0.3">
      <c r="A16531" s="20"/>
    </row>
    <row r="16532" spans="1:1" x14ac:dyDescent="0.3">
      <c r="A16532" s="20"/>
    </row>
    <row r="16533" spans="1:1" x14ac:dyDescent="0.3">
      <c r="A16533" s="20"/>
    </row>
    <row r="16534" spans="1:1" x14ac:dyDescent="0.3">
      <c r="A16534" s="20"/>
    </row>
    <row r="16535" spans="1:1" x14ac:dyDescent="0.3">
      <c r="A16535" s="20"/>
    </row>
    <row r="16536" spans="1:1" x14ac:dyDescent="0.3">
      <c r="A16536" s="20"/>
    </row>
    <row r="16537" spans="1:1" x14ac:dyDescent="0.3">
      <c r="A16537" s="20"/>
    </row>
    <row r="16538" spans="1:1" x14ac:dyDescent="0.3">
      <c r="A16538" s="20"/>
    </row>
    <row r="16539" spans="1:1" x14ac:dyDescent="0.3">
      <c r="A16539" s="20"/>
    </row>
    <row r="16540" spans="1:1" x14ac:dyDescent="0.3">
      <c r="A16540" s="20"/>
    </row>
    <row r="16541" spans="1:1" x14ac:dyDescent="0.3">
      <c r="A16541" s="20"/>
    </row>
    <row r="16542" spans="1:1" x14ac:dyDescent="0.3">
      <c r="A16542" s="20"/>
    </row>
    <row r="16543" spans="1:1" x14ac:dyDescent="0.3">
      <c r="A16543" s="20"/>
    </row>
    <row r="16544" spans="1:1" x14ac:dyDescent="0.3">
      <c r="A16544" s="20"/>
    </row>
    <row r="16545" spans="1:1" x14ac:dyDescent="0.3">
      <c r="A16545" s="20"/>
    </row>
    <row r="16546" spans="1:1" x14ac:dyDescent="0.3">
      <c r="A16546" s="20"/>
    </row>
    <row r="16547" spans="1:1" x14ac:dyDescent="0.3">
      <c r="A16547" s="20"/>
    </row>
    <row r="16548" spans="1:1" x14ac:dyDescent="0.3">
      <c r="A16548" s="20"/>
    </row>
    <row r="16549" spans="1:1" x14ac:dyDescent="0.3">
      <c r="A16549" s="20"/>
    </row>
    <row r="16550" spans="1:1" x14ac:dyDescent="0.3">
      <c r="A16550" s="20"/>
    </row>
    <row r="16551" spans="1:1" x14ac:dyDescent="0.3">
      <c r="A16551" s="20"/>
    </row>
    <row r="16552" spans="1:1" x14ac:dyDescent="0.3">
      <c r="A16552" s="20"/>
    </row>
    <row r="16553" spans="1:1" x14ac:dyDescent="0.3">
      <c r="A16553" s="20"/>
    </row>
    <row r="16554" spans="1:1" x14ac:dyDescent="0.3">
      <c r="A16554" s="20"/>
    </row>
    <row r="16555" spans="1:1" x14ac:dyDescent="0.3">
      <c r="A16555" s="20"/>
    </row>
    <row r="16556" spans="1:1" x14ac:dyDescent="0.3">
      <c r="A16556" s="20"/>
    </row>
    <row r="16557" spans="1:1" x14ac:dyDescent="0.3">
      <c r="A16557" s="20"/>
    </row>
    <row r="16558" spans="1:1" x14ac:dyDescent="0.3">
      <c r="A16558" s="20"/>
    </row>
    <row r="16559" spans="1:1" x14ac:dyDescent="0.3">
      <c r="A16559" s="20"/>
    </row>
    <row r="16560" spans="1:1" x14ac:dyDescent="0.3">
      <c r="A16560" s="20"/>
    </row>
    <row r="16561" spans="1:1" x14ac:dyDescent="0.3">
      <c r="A16561" s="20"/>
    </row>
    <row r="16562" spans="1:1" x14ac:dyDescent="0.3">
      <c r="A16562" s="20"/>
    </row>
    <row r="16563" spans="1:1" x14ac:dyDescent="0.3">
      <c r="A16563" s="20"/>
    </row>
    <row r="16564" spans="1:1" x14ac:dyDescent="0.3">
      <c r="A16564" s="20"/>
    </row>
    <row r="16565" spans="1:1" x14ac:dyDescent="0.3">
      <c r="A16565" s="20"/>
    </row>
    <row r="16566" spans="1:1" x14ac:dyDescent="0.3">
      <c r="A16566" s="20"/>
    </row>
    <row r="16567" spans="1:1" x14ac:dyDescent="0.3">
      <c r="A16567" s="20"/>
    </row>
    <row r="16568" spans="1:1" x14ac:dyDescent="0.3">
      <c r="A16568" s="20"/>
    </row>
    <row r="16569" spans="1:1" x14ac:dyDescent="0.3">
      <c r="A16569" s="20"/>
    </row>
    <row r="16570" spans="1:1" x14ac:dyDescent="0.3">
      <c r="A16570" s="20"/>
    </row>
    <row r="16571" spans="1:1" x14ac:dyDescent="0.3">
      <c r="A16571" s="20"/>
    </row>
    <row r="16572" spans="1:1" x14ac:dyDescent="0.3">
      <c r="A16572" s="20"/>
    </row>
    <row r="16573" spans="1:1" x14ac:dyDescent="0.3">
      <c r="A16573" s="20"/>
    </row>
    <row r="16574" spans="1:1" x14ac:dyDescent="0.3">
      <c r="A16574" s="20"/>
    </row>
    <row r="16575" spans="1:1" x14ac:dyDescent="0.3">
      <c r="A16575" s="20"/>
    </row>
    <row r="16576" spans="1:1" x14ac:dyDescent="0.3">
      <c r="A16576" s="20"/>
    </row>
    <row r="16577" spans="1:1" x14ac:dyDescent="0.3">
      <c r="A16577" s="20"/>
    </row>
    <row r="16578" spans="1:1" x14ac:dyDescent="0.3">
      <c r="A16578" s="20"/>
    </row>
    <row r="16579" spans="1:1" x14ac:dyDescent="0.3">
      <c r="A16579" s="20"/>
    </row>
    <row r="16580" spans="1:1" x14ac:dyDescent="0.3">
      <c r="A16580" s="20"/>
    </row>
    <row r="16581" spans="1:1" x14ac:dyDescent="0.3">
      <c r="A16581" s="20"/>
    </row>
    <row r="16582" spans="1:1" x14ac:dyDescent="0.3">
      <c r="A16582" s="20"/>
    </row>
    <row r="16583" spans="1:1" x14ac:dyDescent="0.3">
      <c r="A16583" s="20"/>
    </row>
    <row r="16584" spans="1:1" x14ac:dyDescent="0.3">
      <c r="A16584" s="20"/>
    </row>
    <row r="16585" spans="1:1" x14ac:dyDescent="0.3">
      <c r="A16585" s="20"/>
    </row>
    <row r="16586" spans="1:1" x14ac:dyDescent="0.3">
      <c r="A16586" s="20"/>
    </row>
    <row r="16587" spans="1:1" x14ac:dyDescent="0.3">
      <c r="A16587" s="20"/>
    </row>
    <row r="16588" spans="1:1" x14ac:dyDescent="0.3">
      <c r="A16588" s="20"/>
    </row>
    <row r="16589" spans="1:1" x14ac:dyDescent="0.3">
      <c r="A16589" s="20"/>
    </row>
    <row r="16590" spans="1:1" x14ac:dyDescent="0.3">
      <c r="A16590" s="20"/>
    </row>
    <row r="16591" spans="1:1" x14ac:dyDescent="0.3">
      <c r="A16591" s="20"/>
    </row>
    <row r="16592" spans="1:1" x14ac:dyDescent="0.3">
      <c r="A16592" s="20"/>
    </row>
    <row r="16593" spans="1:1" x14ac:dyDescent="0.3">
      <c r="A16593" s="20"/>
    </row>
    <row r="16594" spans="1:1" x14ac:dyDescent="0.3">
      <c r="A16594" s="20"/>
    </row>
    <row r="16595" spans="1:1" x14ac:dyDescent="0.3">
      <c r="A16595" s="20"/>
    </row>
    <row r="16596" spans="1:1" x14ac:dyDescent="0.3">
      <c r="A16596" s="20"/>
    </row>
    <row r="16597" spans="1:1" x14ac:dyDescent="0.3">
      <c r="A16597" s="20"/>
    </row>
    <row r="16598" spans="1:1" x14ac:dyDescent="0.3">
      <c r="A16598" s="20"/>
    </row>
    <row r="16599" spans="1:1" x14ac:dyDescent="0.3">
      <c r="A16599" s="20"/>
    </row>
    <row r="16600" spans="1:1" x14ac:dyDescent="0.3">
      <c r="A16600" s="20"/>
    </row>
    <row r="16601" spans="1:1" x14ac:dyDescent="0.3">
      <c r="A16601" s="20"/>
    </row>
    <row r="16602" spans="1:1" x14ac:dyDescent="0.3">
      <c r="A16602" s="20"/>
    </row>
    <row r="16603" spans="1:1" x14ac:dyDescent="0.3">
      <c r="A16603" s="20"/>
    </row>
    <row r="16604" spans="1:1" x14ac:dyDescent="0.3">
      <c r="A16604" s="20"/>
    </row>
    <row r="16605" spans="1:1" x14ac:dyDescent="0.3">
      <c r="A16605" s="20"/>
    </row>
    <row r="16606" spans="1:1" x14ac:dyDescent="0.3">
      <c r="A16606" s="20"/>
    </row>
    <row r="16607" spans="1:1" x14ac:dyDescent="0.3">
      <c r="A16607" s="20"/>
    </row>
    <row r="16608" spans="1:1" x14ac:dyDescent="0.3">
      <c r="A16608" s="20"/>
    </row>
    <row r="16609" spans="1:1" x14ac:dyDescent="0.3">
      <c r="A16609" s="20"/>
    </row>
    <row r="16610" spans="1:1" x14ac:dyDescent="0.3">
      <c r="A16610" s="20"/>
    </row>
    <row r="16611" spans="1:1" x14ac:dyDescent="0.3">
      <c r="A16611" s="20"/>
    </row>
    <row r="16612" spans="1:1" x14ac:dyDescent="0.3">
      <c r="A16612" s="20"/>
    </row>
    <row r="16613" spans="1:1" x14ac:dyDescent="0.3">
      <c r="A16613" s="20"/>
    </row>
    <row r="16614" spans="1:1" x14ac:dyDescent="0.3">
      <c r="A16614" s="20"/>
    </row>
    <row r="16615" spans="1:1" x14ac:dyDescent="0.3">
      <c r="A16615" s="20"/>
    </row>
    <row r="16616" spans="1:1" x14ac:dyDescent="0.3">
      <c r="A16616" s="20"/>
    </row>
    <row r="16617" spans="1:1" x14ac:dyDescent="0.3">
      <c r="A16617" s="20"/>
    </row>
    <row r="16618" spans="1:1" x14ac:dyDescent="0.3">
      <c r="A16618" s="20"/>
    </row>
    <row r="16619" spans="1:1" x14ac:dyDescent="0.3">
      <c r="A16619" s="20"/>
    </row>
    <row r="16620" spans="1:1" x14ac:dyDescent="0.3">
      <c r="A16620" s="20"/>
    </row>
    <row r="16621" spans="1:1" x14ac:dyDescent="0.3">
      <c r="A16621" s="20"/>
    </row>
    <row r="16622" spans="1:1" x14ac:dyDescent="0.3">
      <c r="A16622" s="20"/>
    </row>
    <row r="16623" spans="1:1" x14ac:dyDescent="0.3">
      <c r="A16623" s="20"/>
    </row>
    <row r="16624" spans="1:1" x14ac:dyDescent="0.3">
      <c r="A16624" s="20"/>
    </row>
    <row r="16625" spans="1:1" x14ac:dyDescent="0.3">
      <c r="A16625" s="20"/>
    </row>
    <row r="16626" spans="1:1" x14ac:dyDescent="0.3">
      <c r="A16626" s="20"/>
    </row>
    <row r="16627" spans="1:1" x14ac:dyDescent="0.3">
      <c r="A16627" s="20"/>
    </row>
    <row r="16628" spans="1:1" x14ac:dyDescent="0.3">
      <c r="A16628" s="20"/>
    </row>
    <row r="16629" spans="1:1" x14ac:dyDescent="0.3">
      <c r="A16629" s="20"/>
    </row>
    <row r="16630" spans="1:1" x14ac:dyDescent="0.3">
      <c r="A16630" s="20"/>
    </row>
    <row r="16631" spans="1:1" x14ac:dyDescent="0.3">
      <c r="A16631" s="20"/>
    </row>
    <row r="16632" spans="1:1" x14ac:dyDescent="0.3">
      <c r="A16632" s="20"/>
    </row>
    <row r="16633" spans="1:1" x14ac:dyDescent="0.3">
      <c r="A16633" s="20"/>
    </row>
    <row r="16634" spans="1:1" x14ac:dyDescent="0.3">
      <c r="A16634" s="20"/>
    </row>
    <row r="16635" spans="1:1" x14ac:dyDescent="0.3">
      <c r="A16635" s="20"/>
    </row>
    <row r="16636" spans="1:1" x14ac:dyDescent="0.3">
      <c r="A16636" s="20"/>
    </row>
    <row r="16637" spans="1:1" x14ac:dyDescent="0.3">
      <c r="A16637" s="20"/>
    </row>
    <row r="16638" spans="1:1" x14ac:dyDescent="0.3">
      <c r="A16638" s="20"/>
    </row>
    <row r="16639" spans="1:1" x14ac:dyDescent="0.3">
      <c r="A16639" s="20"/>
    </row>
    <row r="16640" spans="1:1" x14ac:dyDescent="0.3">
      <c r="A16640" s="20"/>
    </row>
    <row r="16641" spans="1:1" x14ac:dyDescent="0.3">
      <c r="A16641" s="20"/>
    </row>
    <row r="16642" spans="1:1" x14ac:dyDescent="0.3">
      <c r="A16642" s="20"/>
    </row>
    <row r="16643" spans="1:1" x14ac:dyDescent="0.3">
      <c r="A16643" s="20"/>
    </row>
    <row r="16644" spans="1:1" x14ac:dyDescent="0.3">
      <c r="A16644" s="20"/>
    </row>
    <row r="16645" spans="1:1" x14ac:dyDescent="0.3">
      <c r="A16645" s="20"/>
    </row>
    <row r="16646" spans="1:1" x14ac:dyDescent="0.3">
      <c r="A16646" s="20"/>
    </row>
    <row r="16647" spans="1:1" x14ac:dyDescent="0.3">
      <c r="A16647" s="20"/>
    </row>
    <row r="16648" spans="1:1" x14ac:dyDescent="0.3">
      <c r="A16648" s="20"/>
    </row>
    <row r="16649" spans="1:1" x14ac:dyDescent="0.3">
      <c r="A16649" s="20"/>
    </row>
    <row r="16650" spans="1:1" x14ac:dyDescent="0.3">
      <c r="A16650" s="20"/>
    </row>
    <row r="16651" spans="1:1" x14ac:dyDescent="0.3">
      <c r="A16651" s="20"/>
    </row>
    <row r="16652" spans="1:1" x14ac:dyDescent="0.3">
      <c r="A16652" s="20"/>
    </row>
    <row r="16653" spans="1:1" x14ac:dyDescent="0.3">
      <c r="A16653" s="20"/>
    </row>
    <row r="16654" spans="1:1" x14ac:dyDescent="0.3">
      <c r="A16654" s="20"/>
    </row>
    <row r="16655" spans="1:1" x14ac:dyDescent="0.3">
      <c r="A16655" s="20"/>
    </row>
    <row r="16656" spans="1:1" x14ac:dyDescent="0.3">
      <c r="A16656" s="20"/>
    </row>
    <row r="16657" spans="1:1" x14ac:dyDescent="0.3">
      <c r="A16657" s="20"/>
    </row>
    <row r="16658" spans="1:1" x14ac:dyDescent="0.3">
      <c r="A16658" s="20"/>
    </row>
    <row r="16659" spans="1:1" x14ac:dyDescent="0.3">
      <c r="A16659" s="20"/>
    </row>
    <row r="16660" spans="1:1" x14ac:dyDescent="0.3">
      <c r="A16660" s="20"/>
    </row>
    <row r="16661" spans="1:1" x14ac:dyDescent="0.3">
      <c r="A16661" s="20"/>
    </row>
    <row r="16662" spans="1:1" x14ac:dyDescent="0.3">
      <c r="A16662" s="20"/>
    </row>
    <row r="16663" spans="1:1" x14ac:dyDescent="0.3">
      <c r="A16663" s="20"/>
    </row>
    <row r="16664" spans="1:1" x14ac:dyDescent="0.3">
      <c r="A16664" s="20"/>
    </row>
    <row r="16665" spans="1:1" x14ac:dyDescent="0.3">
      <c r="A16665" s="20"/>
    </row>
    <row r="16666" spans="1:1" x14ac:dyDescent="0.3">
      <c r="A16666" s="20"/>
    </row>
    <row r="16667" spans="1:1" x14ac:dyDescent="0.3">
      <c r="A16667" s="20"/>
    </row>
    <row r="16668" spans="1:1" x14ac:dyDescent="0.3">
      <c r="A16668" s="20"/>
    </row>
    <row r="16669" spans="1:1" x14ac:dyDescent="0.3">
      <c r="A16669" s="20"/>
    </row>
    <row r="16670" spans="1:1" x14ac:dyDescent="0.3">
      <c r="A16670" s="20"/>
    </row>
    <row r="16671" spans="1:1" x14ac:dyDescent="0.3">
      <c r="A16671" s="20"/>
    </row>
    <row r="16672" spans="1:1" x14ac:dyDescent="0.3">
      <c r="A16672" s="20"/>
    </row>
    <row r="16673" spans="1:1" x14ac:dyDescent="0.3">
      <c r="A16673" s="20"/>
    </row>
    <row r="16674" spans="1:1" x14ac:dyDescent="0.3">
      <c r="A16674" s="20"/>
    </row>
    <row r="16675" spans="1:1" x14ac:dyDescent="0.3">
      <c r="A16675" s="20"/>
    </row>
    <row r="16676" spans="1:1" x14ac:dyDescent="0.3">
      <c r="A16676" s="20"/>
    </row>
    <row r="16677" spans="1:1" x14ac:dyDescent="0.3">
      <c r="A16677" s="20"/>
    </row>
    <row r="16678" spans="1:1" x14ac:dyDescent="0.3">
      <c r="A16678" s="20"/>
    </row>
    <row r="16679" spans="1:1" x14ac:dyDescent="0.3">
      <c r="A16679" s="20"/>
    </row>
    <row r="16680" spans="1:1" x14ac:dyDescent="0.3">
      <c r="A16680" s="20"/>
    </row>
    <row r="16681" spans="1:1" x14ac:dyDescent="0.3">
      <c r="A16681" s="20"/>
    </row>
    <row r="16682" spans="1:1" x14ac:dyDescent="0.3">
      <c r="A16682" s="20"/>
    </row>
    <row r="16683" spans="1:1" x14ac:dyDescent="0.3">
      <c r="A16683" s="20"/>
    </row>
    <row r="16684" spans="1:1" x14ac:dyDescent="0.3">
      <c r="A16684" s="20"/>
    </row>
    <row r="16685" spans="1:1" x14ac:dyDescent="0.3">
      <c r="A16685" s="20"/>
    </row>
    <row r="16686" spans="1:1" x14ac:dyDescent="0.3">
      <c r="A16686" s="20"/>
    </row>
    <row r="16687" spans="1:1" x14ac:dyDescent="0.3">
      <c r="A16687" s="20"/>
    </row>
    <row r="16688" spans="1:1" x14ac:dyDescent="0.3">
      <c r="A16688" s="20"/>
    </row>
    <row r="16689" spans="1:1" x14ac:dyDescent="0.3">
      <c r="A16689" s="20"/>
    </row>
    <row r="16690" spans="1:1" x14ac:dyDescent="0.3">
      <c r="A16690" s="20"/>
    </row>
    <row r="16691" spans="1:1" x14ac:dyDescent="0.3">
      <c r="A16691" s="20"/>
    </row>
    <row r="16692" spans="1:1" x14ac:dyDescent="0.3">
      <c r="A16692" s="20"/>
    </row>
    <row r="16693" spans="1:1" x14ac:dyDescent="0.3">
      <c r="A16693" s="20"/>
    </row>
    <row r="16694" spans="1:1" x14ac:dyDescent="0.3">
      <c r="A16694" s="20"/>
    </row>
    <row r="16695" spans="1:1" x14ac:dyDescent="0.3">
      <c r="A16695" s="20"/>
    </row>
    <row r="16696" spans="1:1" x14ac:dyDescent="0.3">
      <c r="A16696" s="20"/>
    </row>
    <row r="16697" spans="1:1" x14ac:dyDescent="0.3">
      <c r="A16697" s="20"/>
    </row>
    <row r="16698" spans="1:1" x14ac:dyDescent="0.3">
      <c r="A16698" s="20"/>
    </row>
    <row r="16699" spans="1:1" x14ac:dyDescent="0.3">
      <c r="A16699" s="20"/>
    </row>
    <row r="16700" spans="1:1" x14ac:dyDescent="0.3">
      <c r="A16700" s="20"/>
    </row>
    <row r="16701" spans="1:1" x14ac:dyDescent="0.3">
      <c r="A16701" s="20"/>
    </row>
    <row r="16702" spans="1:1" x14ac:dyDescent="0.3">
      <c r="A16702" s="20"/>
    </row>
    <row r="16703" spans="1:1" x14ac:dyDescent="0.3">
      <c r="A16703" s="20"/>
    </row>
    <row r="16704" spans="1:1" x14ac:dyDescent="0.3">
      <c r="A16704" s="20"/>
    </row>
    <row r="16705" spans="1:1" x14ac:dyDescent="0.3">
      <c r="A16705" s="20"/>
    </row>
    <row r="16706" spans="1:1" x14ac:dyDescent="0.3">
      <c r="A16706" s="20"/>
    </row>
    <row r="16707" spans="1:1" x14ac:dyDescent="0.3">
      <c r="A16707" s="20"/>
    </row>
    <row r="16708" spans="1:1" x14ac:dyDescent="0.3">
      <c r="A16708" s="20"/>
    </row>
    <row r="16709" spans="1:1" x14ac:dyDescent="0.3">
      <c r="A16709" s="20"/>
    </row>
    <row r="16710" spans="1:1" x14ac:dyDescent="0.3">
      <c r="A16710" s="20"/>
    </row>
    <row r="16711" spans="1:1" x14ac:dyDescent="0.3">
      <c r="A16711" s="20"/>
    </row>
    <row r="16712" spans="1:1" x14ac:dyDescent="0.3">
      <c r="A16712" s="20"/>
    </row>
    <row r="16713" spans="1:1" x14ac:dyDescent="0.3">
      <c r="A16713" s="20"/>
    </row>
    <row r="16714" spans="1:1" x14ac:dyDescent="0.3">
      <c r="A16714" s="20"/>
    </row>
    <row r="16715" spans="1:1" x14ac:dyDescent="0.3">
      <c r="A16715" s="20"/>
    </row>
    <row r="16716" spans="1:1" x14ac:dyDescent="0.3">
      <c r="A16716" s="20"/>
    </row>
    <row r="16717" spans="1:1" x14ac:dyDescent="0.3">
      <c r="A16717" s="20"/>
    </row>
    <row r="16718" spans="1:1" x14ac:dyDescent="0.3">
      <c r="A16718" s="20"/>
    </row>
    <row r="16719" spans="1:1" x14ac:dyDescent="0.3">
      <c r="A16719" s="20"/>
    </row>
    <row r="16720" spans="1:1" x14ac:dyDescent="0.3">
      <c r="A16720" s="20"/>
    </row>
    <row r="16721" spans="1:1" x14ac:dyDescent="0.3">
      <c r="A16721" s="20"/>
    </row>
    <row r="16722" spans="1:1" x14ac:dyDescent="0.3">
      <c r="A16722" s="20"/>
    </row>
    <row r="16723" spans="1:1" x14ac:dyDescent="0.3">
      <c r="A16723" s="20"/>
    </row>
    <row r="16724" spans="1:1" x14ac:dyDescent="0.3">
      <c r="A16724" s="20"/>
    </row>
    <row r="16725" spans="1:1" x14ac:dyDescent="0.3">
      <c r="A16725" s="20"/>
    </row>
    <row r="16726" spans="1:1" x14ac:dyDescent="0.3">
      <c r="A16726" s="20"/>
    </row>
    <row r="16727" spans="1:1" x14ac:dyDescent="0.3">
      <c r="A16727" s="20"/>
    </row>
    <row r="16728" spans="1:1" x14ac:dyDescent="0.3">
      <c r="A16728" s="20"/>
    </row>
    <row r="16729" spans="1:1" x14ac:dyDescent="0.3">
      <c r="A16729" s="20"/>
    </row>
    <row r="16730" spans="1:1" x14ac:dyDescent="0.3">
      <c r="A16730" s="20"/>
    </row>
    <row r="16731" spans="1:1" x14ac:dyDescent="0.3">
      <c r="A16731" s="20"/>
    </row>
    <row r="16732" spans="1:1" x14ac:dyDescent="0.3">
      <c r="A16732" s="20"/>
    </row>
    <row r="16733" spans="1:1" x14ac:dyDescent="0.3">
      <c r="A16733" s="20"/>
    </row>
    <row r="16734" spans="1:1" x14ac:dyDescent="0.3">
      <c r="A16734" s="20"/>
    </row>
    <row r="16735" spans="1:1" x14ac:dyDescent="0.3">
      <c r="A16735" s="20"/>
    </row>
    <row r="16736" spans="1:1" x14ac:dyDescent="0.3">
      <c r="A16736" s="20"/>
    </row>
    <row r="16737" spans="1:1" x14ac:dyDescent="0.3">
      <c r="A16737" s="20"/>
    </row>
    <row r="16738" spans="1:1" x14ac:dyDescent="0.3">
      <c r="A16738" s="20"/>
    </row>
    <row r="16739" spans="1:1" x14ac:dyDescent="0.3">
      <c r="A16739" s="20"/>
    </row>
    <row r="16740" spans="1:1" x14ac:dyDescent="0.3">
      <c r="A16740" s="20"/>
    </row>
    <row r="16741" spans="1:1" x14ac:dyDescent="0.3">
      <c r="A16741" s="20"/>
    </row>
    <row r="16742" spans="1:1" x14ac:dyDescent="0.3">
      <c r="A16742" s="20"/>
    </row>
    <row r="16743" spans="1:1" x14ac:dyDescent="0.3">
      <c r="A16743" s="20"/>
    </row>
    <row r="16744" spans="1:1" x14ac:dyDescent="0.3">
      <c r="A16744" s="20"/>
    </row>
    <row r="16745" spans="1:1" x14ac:dyDescent="0.3">
      <c r="A16745" s="20"/>
    </row>
    <row r="16746" spans="1:1" x14ac:dyDescent="0.3">
      <c r="A16746" s="20"/>
    </row>
    <row r="16747" spans="1:1" x14ac:dyDescent="0.3">
      <c r="A16747" s="20"/>
    </row>
    <row r="16748" spans="1:1" x14ac:dyDescent="0.3">
      <c r="A16748" s="20"/>
    </row>
    <row r="16749" spans="1:1" x14ac:dyDescent="0.3">
      <c r="A16749" s="20"/>
    </row>
    <row r="16750" spans="1:1" x14ac:dyDescent="0.3">
      <c r="A16750" s="20"/>
    </row>
    <row r="16751" spans="1:1" x14ac:dyDescent="0.3">
      <c r="A16751" s="20"/>
    </row>
    <row r="16752" spans="1:1" x14ac:dyDescent="0.3">
      <c r="A16752" s="20"/>
    </row>
    <row r="16753" spans="1:1" x14ac:dyDescent="0.3">
      <c r="A16753" s="20"/>
    </row>
    <row r="16754" spans="1:1" x14ac:dyDescent="0.3">
      <c r="A16754" s="20"/>
    </row>
    <row r="16755" spans="1:1" x14ac:dyDescent="0.3">
      <c r="A16755" s="20"/>
    </row>
    <row r="16756" spans="1:1" x14ac:dyDescent="0.3">
      <c r="A16756" s="20"/>
    </row>
    <row r="16757" spans="1:1" x14ac:dyDescent="0.3">
      <c r="A16757" s="20"/>
    </row>
    <row r="16758" spans="1:1" x14ac:dyDescent="0.3">
      <c r="A16758" s="20"/>
    </row>
    <row r="16759" spans="1:1" x14ac:dyDescent="0.3">
      <c r="A16759" s="20"/>
    </row>
    <row r="16760" spans="1:1" x14ac:dyDescent="0.3">
      <c r="A16760" s="20"/>
    </row>
    <row r="16761" spans="1:1" x14ac:dyDescent="0.3">
      <c r="A16761" s="20"/>
    </row>
    <row r="16762" spans="1:1" x14ac:dyDescent="0.3">
      <c r="A16762" s="20"/>
    </row>
    <row r="16763" spans="1:1" x14ac:dyDescent="0.3">
      <c r="A16763" s="20"/>
    </row>
    <row r="16764" spans="1:1" x14ac:dyDescent="0.3">
      <c r="A16764" s="20"/>
    </row>
    <row r="16765" spans="1:1" x14ac:dyDescent="0.3">
      <c r="A16765" s="20"/>
    </row>
    <row r="16766" spans="1:1" x14ac:dyDescent="0.3">
      <c r="A16766" s="20"/>
    </row>
    <row r="16767" spans="1:1" x14ac:dyDescent="0.3">
      <c r="A16767" s="20"/>
    </row>
    <row r="16768" spans="1:1" x14ac:dyDescent="0.3">
      <c r="A16768" s="20"/>
    </row>
    <row r="16769" spans="1:1" x14ac:dyDescent="0.3">
      <c r="A16769" s="20"/>
    </row>
    <row r="16770" spans="1:1" x14ac:dyDescent="0.3">
      <c r="A16770" s="20"/>
    </row>
    <row r="16771" spans="1:1" x14ac:dyDescent="0.3">
      <c r="A16771" s="20"/>
    </row>
    <row r="16772" spans="1:1" x14ac:dyDescent="0.3">
      <c r="A16772" s="20"/>
    </row>
    <row r="16773" spans="1:1" x14ac:dyDescent="0.3">
      <c r="A16773" s="20"/>
    </row>
    <row r="16774" spans="1:1" x14ac:dyDescent="0.3">
      <c r="A16774" s="20"/>
    </row>
    <row r="16775" spans="1:1" x14ac:dyDescent="0.3">
      <c r="A16775" s="20"/>
    </row>
    <row r="16776" spans="1:1" x14ac:dyDescent="0.3">
      <c r="A16776" s="20"/>
    </row>
    <row r="16777" spans="1:1" x14ac:dyDescent="0.3">
      <c r="A16777" s="20"/>
    </row>
    <row r="16778" spans="1:1" x14ac:dyDescent="0.3">
      <c r="A16778" s="20"/>
    </row>
    <row r="16779" spans="1:1" x14ac:dyDescent="0.3">
      <c r="A16779" s="20"/>
    </row>
    <row r="16780" spans="1:1" x14ac:dyDescent="0.3">
      <c r="A16780" s="20"/>
    </row>
    <row r="16781" spans="1:1" x14ac:dyDescent="0.3">
      <c r="A16781" s="20"/>
    </row>
    <row r="16782" spans="1:1" x14ac:dyDescent="0.3">
      <c r="A16782" s="20"/>
    </row>
    <row r="16783" spans="1:1" x14ac:dyDescent="0.3">
      <c r="A16783" s="20"/>
    </row>
    <row r="16784" spans="1:1" x14ac:dyDescent="0.3">
      <c r="A16784" s="20"/>
    </row>
    <row r="16785" spans="1:1" x14ac:dyDescent="0.3">
      <c r="A16785" s="20"/>
    </row>
    <row r="16786" spans="1:1" x14ac:dyDescent="0.3">
      <c r="A16786" s="20"/>
    </row>
    <row r="16787" spans="1:1" x14ac:dyDescent="0.3">
      <c r="A16787" s="20"/>
    </row>
    <row r="16788" spans="1:1" x14ac:dyDescent="0.3">
      <c r="A16788" s="20"/>
    </row>
    <row r="16789" spans="1:1" x14ac:dyDescent="0.3">
      <c r="A16789" s="20"/>
    </row>
    <row r="16790" spans="1:1" x14ac:dyDescent="0.3">
      <c r="A16790" s="20"/>
    </row>
    <row r="16791" spans="1:1" x14ac:dyDescent="0.3">
      <c r="A16791" s="20"/>
    </row>
    <row r="16792" spans="1:1" x14ac:dyDescent="0.3">
      <c r="A16792" s="20"/>
    </row>
    <row r="16793" spans="1:1" x14ac:dyDescent="0.3">
      <c r="A16793" s="20"/>
    </row>
    <row r="16794" spans="1:1" x14ac:dyDescent="0.3">
      <c r="A16794" s="20"/>
    </row>
    <row r="16795" spans="1:1" x14ac:dyDescent="0.3">
      <c r="A16795" s="20"/>
    </row>
    <row r="16796" spans="1:1" x14ac:dyDescent="0.3">
      <c r="A16796" s="20"/>
    </row>
    <row r="16797" spans="1:1" x14ac:dyDescent="0.3">
      <c r="A16797" s="20"/>
    </row>
    <row r="16798" spans="1:1" x14ac:dyDescent="0.3">
      <c r="A16798" s="20"/>
    </row>
    <row r="16799" spans="1:1" x14ac:dyDescent="0.3">
      <c r="A16799" s="20"/>
    </row>
    <row r="16800" spans="1:1" x14ac:dyDescent="0.3">
      <c r="A16800" s="20"/>
    </row>
    <row r="16801" spans="1:1" x14ac:dyDescent="0.3">
      <c r="A16801" s="20"/>
    </row>
    <row r="16802" spans="1:1" x14ac:dyDescent="0.3">
      <c r="A16802" s="20"/>
    </row>
    <row r="16803" spans="1:1" x14ac:dyDescent="0.3">
      <c r="A16803" s="20"/>
    </row>
    <row r="16804" spans="1:1" x14ac:dyDescent="0.3">
      <c r="A16804" s="20"/>
    </row>
    <row r="16805" spans="1:1" x14ac:dyDescent="0.3">
      <c r="A16805" s="20"/>
    </row>
    <row r="16806" spans="1:1" x14ac:dyDescent="0.3">
      <c r="A16806" s="20"/>
    </row>
    <row r="16807" spans="1:1" x14ac:dyDescent="0.3">
      <c r="A16807" s="20"/>
    </row>
    <row r="16808" spans="1:1" x14ac:dyDescent="0.3">
      <c r="A16808" s="20"/>
    </row>
    <row r="16809" spans="1:1" x14ac:dyDescent="0.3">
      <c r="A16809" s="20"/>
    </row>
    <row r="16810" spans="1:1" x14ac:dyDescent="0.3">
      <c r="A16810" s="20"/>
    </row>
    <row r="16811" spans="1:1" x14ac:dyDescent="0.3">
      <c r="A16811" s="20"/>
    </row>
    <row r="16812" spans="1:1" x14ac:dyDescent="0.3">
      <c r="A16812" s="20"/>
    </row>
    <row r="16813" spans="1:1" x14ac:dyDescent="0.3">
      <c r="A16813" s="20"/>
    </row>
    <row r="16814" spans="1:1" x14ac:dyDescent="0.3">
      <c r="A16814" s="20"/>
    </row>
    <row r="16815" spans="1:1" x14ac:dyDescent="0.3">
      <c r="A16815" s="20"/>
    </row>
    <row r="16816" spans="1:1" x14ac:dyDescent="0.3">
      <c r="A16816" s="20"/>
    </row>
    <row r="16817" spans="1:1" x14ac:dyDescent="0.3">
      <c r="A16817" s="20"/>
    </row>
    <row r="16818" spans="1:1" x14ac:dyDescent="0.3">
      <c r="A16818" s="20"/>
    </row>
    <row r="16819" spans="1:1" x14ac:dyDescent="0.3">
      <c r="A16819" s="20"/>
    </row>
    <row r="16820" spans="1:1" x14ac:dyDescent="0.3">
      <c r="A16820" s="20"/>
    </row>
    <row r="16821" spans="1:1" x14ac:dyDescent="0.3">
      <c r="A16821" s="20"/>
    </row>
    <row r="16822" spans="1:1" x14ac:dyDescent="0.3">
      <c r="A16822" s="20"/>
    </row>
    <row r="16823" spans="1:1" x14ac:dyDescent="0.3">
      <c r="A16823" s="20"/>
    </row>
    <row r="16824" spans="1:1" x14ac:dyDescent="0.3">
      <c r="A16824" s="20"/>
    </row>
    <row r="16825" spans="1:1" x14ac:dyDescent="0.3">
      <c r="A16825" s="20"/>
    </row>
    <row r="16826" spans="1:1" x14ac:dyDescent="0.3">
      <c r="A16826" s="20"/>
    </row>
    <row r="16827" spans="1:1" x14ac:dyDescent="0.3">
      <c r="A16827" s="20"/>
    </row>
    <row r="16828" spans="1:1" x14ac:dyDescent="0.3">
      <c r="A16828" s="20"/>
    </row>
    <row r="16829" spans="1:1" x14ac:dyDescent="0.3">
      <c r="A16829" s="20"/>
    </row>
    <row r="16830" spans="1:1" x14ac:dyDescent="0.3">
      <c r="A16830" s="20"/>
    </row>
    <row r="16831" spans="1:1" x14ac:dyDescent="0.3">
      <c r="A16831" s="20"/>
    </row>
    <row r="16832" spans="1:1" x14ac:dyDescent="0.3">
      <c r="A16832" s="20"/>
    </row>
    <row r="16833" spans="1:1" x14ac:dyDescent="0.3">
      <c r="A16833" s="20"/>
    </row>
    <row r="16834" spans="1:1" x14ac:dyDescent="0.3">
      <c r="A16834" s="20"/>
    </row>
    <row r="16835" spans="1:1" x14ac:dyDescent="0.3">
      <c r="A16835" s="20"/>
    </row>
    <row r="16836" spans="1:1" x14ac:dyDescent="0.3">
      <c r="A16836" s="20"/>
    </row>
    <row r="16837" spans="1:1" x14ac:dyDescent="0.3">
      <c r="A16837" s="20"/>
    </row>
    <row r="16838" spans="1:1" x14ac:dyDescent="0.3">
      <c r="A16838" s="20"/>
    </row>
    <row r="16839" spans="1:1" x14ac:dyDescent="0.3">
      <c r="A16839" s="20"/>
    </row>
    <row r="16840" spans="1:1" x14ac:dyDescent="0.3">
      <c r="A16840" s="20"/>
    </row>
    <row r="16841" spans="1:1" x14ac:dyDescent="0.3">
      <c r="A16841" s="20"/>
    </row>
    <row r="16842" spans="1:1" x14ac:dyDescent="0.3">
      <c r="A16842" s="20"/>
    </row>
    <row r="16843" spans="1:1" x14ac:dyDescent="0.3">
      <c r="A16843" s="20"/>
    </row>
    <row r="16844" spans="1:1" x14ac:dyDescent="0.3">
      <c r="A16844" s="20"/>
    </row>
    <row r="16845" spans="1:1" x14ac:dyDescent="0.3">
      <c r="A16845" s="20"/>
    </row>
    <row r="16846" spans="1:1" x14ac:dyDescent="0.3">
      <c r="A16846" s="20"/>
    </row>
    <row r="16847" spans="1:1" x14ac:dyDescent="0.3">
      <c r="A16847" s="20"/>
    </row>
    <row r="16848" spans="1:1" x14ac:dyDescent="0.3">
      <c r="A16848" s="20"/>
    </row>
    <row r="16849" spans="1:1" x14ac:dyDescent="0.3">
      <c r="A16849" s="20"/>
    </row>
    <row r="16850" spans="1:1" x14ac:dyDescent="0.3">
      <c r="A16850" s="20"/>
    </row>
    <row r="16851" spans="1:1" x14ac:dyDescent="0.3">
      <c r="A16851" s="20"/>
    </row>
    <row r="16852" spans="1:1" x14ac:dyDescent="0.3">
      <c r="A16852" s="20"/>
    </row>
    <row r="16853" spans="1:1" x14ac:dyDescent="0.3">
      <c r="A16853" s="20"/>
    </row>
    <row r="16854" spans="1:1" x14ac:dyDescent="0.3">
      <c r="A16854" s="20"/>
    </row>
    <row r="16855" spans="1:1" x14ac:dyDescent="0.3">
      <c r="A16855" s="20"/>
    </row>
    <row r="16856" spans="1:1" x14ac:dyDescent="0.3">
      <c r="A16856" s="20"/>
    </row>
    <row r="16857" spans="1:1" x14ac:dyDescent="0.3">
      <c r="A16857" s="20"/>
    </row>
    <row r="16858" spans="1:1" x14ac:dyDescent="0.3">
      <c r="A16858" s="20"/>
    </row>
    <row r="16859" spans="1:1" x14ac:dyDescent="0.3">
      <c r="A16859" s="20"/>
    </row>
    <row r="16860" spans="1:1" x14ac:dyDescent="0.3">
      <c r="A16860" s="20"/>
    </row>
    <row r="16861" spans="1:1" x14ac:dyDescent="0.3">
      <c r="A16861" s="20"/>
    </row>
    <row r="16862" spans="1:1" x14ac:dyDescent="0.3">
      <c r="A16862" s="20"/>
    </row>
    <row r="16863" spans="1:1" x14ac:dyDescent="0.3">
      <c r="A16863" s="20"/>
    </row>
    <row r="16864" spans="1:1" x14ac:dyDescent="0.3">
      <c r="A16864" s="20"/>
    </row>
    <row r="16865" spans="1:1" x14ac:dyDescent="0.3">
      <c r="A16865" s="20"/>
    </row>
    <row r="16866" spans="1:1" x14ac:dyDescent="0.3">
      <c r="A16866" s="20"/>
    </row>
    <row r="16867" spans="1:1" x14ac:dyDescent="0.3">
      <c r="A16867" s="20"/>
    </row>
    <row r="16868" spans="1:1" x14ac:dyDescent="0.3">
      <c r="A16868" s="20"/>
    </row>
    <row r="16869" spans="1:1" x14ac:dyDescent="0.3">
      <c r="A16869" s="20"/>
    </row>
    <row r="16870" spans="1:1" x14ac:dyDescent="0.3">
      <c r="A16870" s="20"/>
    </row>
    <row r="16871" spans="1:1" x14ac:dyDescent="0.3">
      <c r="A16871" s="20"/>
    </row>
    <row r="16872" spans="1:1" x14ac:dyDescent="0.3">
      <c r="A16872" s="20"/>
    </row>
    <row r="16873" spans="1:1" x14ac:dyDescent="0.3">
      <c r="A16873" s="20"/>
    </row>
    <row r="16874" spans="1:1" x14ac:dyDescent="0.3">
      <c r="A16874" s="20"/>
    </row>
    <row r="16875" spans="1:1" x14ac:dyDescent="0.3">
      <c r="A16875" s="20"/>
    </row>
    <row r="16876" spans="1:1" x14ac:dyDescent="0.3">
      <c r="A16876" s="20"/>
    </row>
    <row r="16877" spans="1:1" x14ac:dyDescent="0.3">
      <c r="A16877" s="20"/>
    </row>
    <row r="16878" spans="1:1" x14ac:dyDescent="0.3">
      <c r="A16878" s="20"/>
    </row>
    <row r="16879" spans="1:1" x14ac:dyDescent="0.3">
      <c r="A16879" s="20"/>
    </row>
    <row r="16880" spans="1:1" x14ac:dyDescent="0.3">
      <c r="A16880" s="20"/>
    </row>
    <row r="16881" spans="1:1" x14ac:dyDescent="0.3">
      <c r="A16881" s="20"/>
    </row>
    <row r="16882" spans="1:1" x14ac:dyDescent="0.3">
      <c r="A16882" s="20"/>
    </row>
    <row r="16883" spans="1:1" x14ac:dyDescent="0.3">
      <c r="A16883" s="20"/>
    </row>
    <row r="16884" spans="1:1" x14ac:dyDescent="0.3">
      <c r="A16884" s="20"/>
    </row>
    <row r="16885" spans="1:1" x14ac:dyDescent="0.3">
      <c r="A16885" s="20"/>
    </row>
    <row r="16886" spans="1:1" x14ac:dyDescent="0.3">
      <c r="A16886" s="20"/>
    </row>
    <row r="16887" spans="1:1" x14ac:dyDescent="0.3">
      <c r="A16887" s="20"/>
    </row>
    <row r="16888" spans="1:1" x14ac:dyDescent="0.3">
      <c r="A16888" s="20"/>
    </row>
    <row r="16889" spans="1:1" x14ac:dyDescent="0.3">
      <c r="A16889" s="20"/>
    </row>
    <row r="16890" spans="1:1" x14ac:dyDescent="0.3">
      <c r="A16890" s="20"/>
    </row>
    <row r="16891" spans="1:1" x14ac:dyDescent="0.3">
      <c r="A16891" s="20"/>
    </row>
    <row r="16892" spans="1:1" x14ac:dyDescent="0.3">
      <c r="A16892" s="20"/>
    </row>
    <row r="16893" spans="1:1" x14ac:dyDescent="0.3">
      <c r="A16893" s="20"/>
    </row>
    <row r="16894" spans="1:1" x14ac:dyDescent="0.3">
      <c r="A16894" s="20"/>
    </row>
    <row r="16895" spans="1:1" x14ac:dyDescent="0.3">
      <c r="A16895" s="20"/>
    </row>
    <row r="16896" spans="1:1" x14ac:dyDescent="0.3">
      <c r="A16896" s="20"/>
    </row>
    <row r="16897" spans="1:1" x14ac:dyDescent="0.3">
      <c r="A16897" s="20"/>
    </row>
    <row r="16898" spans="1:1" x14ac:dyDescent="0.3">
      <c r="A16898" s="20"/>
    </row>
    <row r="16899" spans="1:1" x14ac:dyDescent="0.3">
      <c r="A16899" s="20"/>
    </row>
    <row r="16900" spans="1:1" x14ac:dyDescent="0.3">
      <c r="A16900" s="20"/>
    </row>
    <row r="16901" spans="1:1" x14ac:dyDescent="0.3">
      <c r="A16901" s="20"/>
    </row>
    <row r="16902" spans="1:1" x14ac:dyDescent="0.3">
      <c r="A16902" s="20"/>
    </row>
    <row r="16903" spans="1:1" x14ac:dyDescent="0.3">
      <c r="A16903" s="20"/>
    </row>
    <row r="16904" spans="1:1" x14ac:dyDescent="0.3">
      <c r="A16904" s="20"/>
    </row>
    <row r="16905" spans="1:1" x14ac:dyDescent="0.3">
      <c r="A16905" s="20"/>
    </row>
    <row r="16906" spans="1:1" x14ac:dyDescent="0.3">
      <c r="A16906" s="20"/>
    </row>
    <row r="16907" spans="1:1" x14ac:dyDescent="0.3">
      <c r="A16907" s="20"/>
    </row>
    <row r="16908" spans="1:1" x14ac:dyDescent="0.3">
      <c r="A16908" s="20"/>
    </row>
    <row r="16909" spans="1:1" x14ac:dyDescent="0.3">
      <c r="A16909" s="20"/>
    </row>
    <row r="16910" spans="1:1" x14ac:dyDescent="0.3">
      <c r="A16910" s="20"/>
    </row>
    <row r="16911" spans="1:1" x14ac:dyDescent="0.3">
      <c r="A16911" s="20"/>
    </row>
    <row r="16912" spans="1:1" x14ac:dyDescent="0.3">
      <c r="A16912" s="20"/>
    </row>
    <row r="16913" spans="1:1" x14ac:dyDescent="0.3">
      <c r="A16913" s="20"/>
    </row>
    <row r="16914" spans="1:1" x14ac:dyDescent="0.3">
      <c r="A16914" s="20"/>
    </row>
    <row r="16915" spans="1:1" x14ac:dyDescent="0.3">
      <c r="A16915" s="20"/>
    </row>
    <row r="16916" spans="1:1" x14ac:dyDescent="0.3">
      <c r="A16916" s="20"/>
    </row>
    <row r="16917" spans="1:1" x14ac:dyDescent="0.3">
      <c r="A16917" s="20"/>
    </row>
    <row r="16918" spans="1:1" x14ac:dyDescent="0.3">
      <c r="A16918" s="20"/>
    </row>
    <row r="16919" spans="1:1" x14ac:dyDescent="0.3">
      <c r="A16919" s="20"/>
    </row>
    <row r="16920" spans="1:1" x14ac:dyDescent="0.3">
      <c r="A16920" s="20"/>
    </row>
    <row r="16921" spans="1:1" x14ac:dyDescent="0.3">
      <c r="A16921" s="20"/>
    </row>
    <row r="16922" spans="1:1" x14ac:dyDescent="0.3">
      <c r="A16922" s="20"/>
    </row>
    <row r="16923" spans="1:1" x14ac:dyDescent="0.3">
      <c r="A16923" s="20"/>
    </row>
    <row r="16924" spans="1:1" x14ac:dyDescent="0.3">
      <c r="A16924" s="20"/>
    </row>
    <row r="16925" spans="1:1" x14ac:dyDescent="0.3">
      <c r="A16925" s="20"/>
    </row>
    <row r="16926" spans="1:1" x14ac:dyDescent="0.3">
      <c r="A16926" s="20"/>
    </row>
    <row r="16927" spans="1:1" x14ac:dyDescent="0.3">
      <c r="A16927" s="20"/>
    </row>
    <row r="16928" spans="1:1" x14ac:dyDescent="0.3">
      <c r="A16928" s="20"/>
    </row>
    <row r="16929" spans="1:1" x14ac:dyDescent="0.3">
      <c r="A16929" s="20"/>
    </row>
    <row r="16930" spans="1:1" x14ac:dyDescent="0.3">
      <c r="A16930" s="20"/>
    </row>
    <row r="16931" spans="1:1" x14ac:dyDescent="0.3">
      <c r="A16931" s="20"/>
    </row>
    <row r="16932" spans="1:1" x14ac:dyDescent="0.3">
      <c r="A16932" s="20"/>
    </row>
    <row r="16933" spans="1:1" x14ac:dyDescent="0.3">
      <c r="A16933" s="20"/>
    </row>
    <row r="16934" spans="1:1" x14ac:dyDescent="0.3">
      <c r="A16934" s="20"/>
    </row>
    <row r="16935" spans="1:1" x14ac:dyDescent="0.3">
      <c r="A16935" s="20"/>
    </row>
    <row r="16936" spans="1:1" x14ac:dyDescent="0.3">
      <c r="A16936" s="20"/>
    </row>
    <row r="16937" spans="1:1" x14ac:dyDescent="0.3">
      <c r="A16937" s="20"/>
    </row>
    <row r="16938" spans="1:1" x14ac:dyDescent="0.3">
      <c r="A16938" s="20"/>
    </row>
    <row r="16939" spans="1:1" x14ac:dyDescent="0.3">
      <c r="A16939" s="20"/>
    </row>
    <row r="16940" spans="1:1" x14ac:dyDescent="0.3">
      <c r="A16940" s="20"/>
    </row>
    <row r="16941" spans="1:1" x14ac:dyDescent="0.3">
      <c r="A16941" s="20"/>
    </row>
    <row r="16942" spans="1:1" x14ac:dyDescent="0.3">
      <c r="A16942" s="20"/>
    </row>
    <row r="16943" spans="1:1" x14ac:dyDescent="0.3">
      <c r="A16943" s="20"/>
    </row>
    <row r="16944" spans="1:1" x14ac:dyDescent="0.3">
      <c r="A16944" s="20"/>
    </row>
    <row r="16945" spans="1:1" x14ac:dyDescent="0.3">
      <c r="A16945" s="20"/>
    </row>
    <row r="16946" spans="1:1" x14ac:dyDescent="0.3">
      <c r="A16946" s="20"/>
    </row>
    <row r="16947" spans="1:1" x14ac:dyDescent="0.3">
      <c r="A16947" s="20"/>
    </row>
    <row r="16948" spans="1:1" x14ac:dyDescent="0.3">
      <c r="A16948" s="20"/>
    </row>
    <row r="16949" spans="1:1" x14ac:dyDescent="0.3">
      <c r="A16949" s="20"/>
    </row>
    <row r="16950" spans="1:1" x14ac:dyDescent="0.3">
      <c r="A16950" s="20"/>
    </row>
    <row r="16951" spans="1:1" x14ac:dyDescent="0.3">
      <c r="A16951" s="20"/>
    </row>
    <row r="16952" spans="1:1" x14ac:dyDescent="0.3">
      <c r="A16952" s="20"/>
    </row>
    <row r="16953" spans="1:1" x14ac:dyDescent="0.3">
      <c r="A16953" s="20"/>
    </row>
    <row r="16954" spans="1:1" x14ac:dyDescent="0.3">
      <c r="A16954" s="20"/>
    </row>
    <row r="16955" spans="1:1" x14ac:dyDescent="0.3">
      <c r="A16955" s="20"/>
    </row>
    <row r="16956" spans="1:1" x14ac:dyDescent="0.3">
      <c r="A16956" s="20"/>
    </row>
    <row r="16957" spans="1:1" x14ac:dyDescent="0.3">
      <c r="A16957" s="20"/>
    </row>
    <row r="16958" spans="1:1" x14ac:dyDescent="0.3">
      <c r="A16958" s="20"/>
    </row>
    <row r="16959" spans="1:1" x14ac:dyDescent="0.3">
      <c r="A16959" s="20"/>
    </row>
    <row r="16960" spans="1:1" x14ac:dyDescent="0.3">
      <c r="A16960" s="20"/>
    </row>
    <row r="16961" spans="1:1" x14ac:dyDescent="0.3">
      <c r="A16961" s="20"/>
    </row>
    <row r="16962" spans="1:1" x14ac:dyDescent="0.3">
      <c r="A16962" s="20"/>
    </row>
    <row r="16963" spans="1:1" x14ac:dyDescent="0.3">
      <c r="A16963" s="20"/>
    </row>
    <row r="16964" spans="1:1" x14ac:dyDescent="0.3">
      <c r="A16964" s="20"/>
    </row>
    <row r="16965" spans="1:1" x14ac:dyDescent="0.3">
      <c r="A16965" s="20"/>
    </row>
    <row r="16966" spans="1:1" x14ac:dyDescent="0.3">
      <c r="A16966" s="20"/>
    </row>
    <row r="16967" spans="1:1" x14ac:dyDescent="0.3">
      <c r="A16967" s="20"/>
    </row>
    <row r="16968" spans="1:1" x14ac:dyDescent="0.3">
      <c r="A16968" s="20"/>
    </row>
    <row r="16969" spans="1:1" x14ac:dyDescent="0.3">
      <c r="A16969" s="20"/>
    </row>
    <row r="16970" spans="1:1" x14ac:dyDescent="0.3">
      <c r="A16970" s="20"/>
    </row>
    <row r="16971" spans="1:1" x14ac:dyDescent="0.3">
      <c r="A16971" s="20"/>
    </row>
    <row r="16972" spans="1:1" x14ac:dyDescent="0.3">
      <c r="A16972" s="20"/>
    </row>
    <row r="16973" spans="1:1" x14ac:dyDescent="0.3">
      <c r="A16973" s="20"/>
    </row>
    <row r="16974" spans="1:1" x14ac:dyDescent="0.3">
      <c r="A16974" s="20"/>
    </row>
    <row r="16975" spans="1:1" x14ac:dyDescent="0.3">
      <c r="A16975" s="20"/>
    </row>
    <row r="16976" spans="1:1" x14ac:dyDescent="0.3">
      <c r="A16976" s="20"/>
    </row>
    <row r="16977" spans="1:1" x14ac:dyDescent="0.3">
      <c r="A16977" s="20"/>
    </row>
    <row r="16978" spans="1:1" x14ac:dyDescent="0.3">
      <c r="A16978" s="20"/>
    </row>
    <row r="16979" spans="1:1" x14ac:dyDescent="0.3">
      <c r="A16979" s="20"/>
    </row>
    <row r="16980" spans="1:1" x14ac:dyDescent="0.3">
      <c r="A16980" s="20"/>
    </row>
    <row r="16981" spans="1:1" x14ac:dyDescent="0.3">
      <c r="A16981" s="20"/>
    </row>
    <row r="16982" spans="1:1" x14ac:dyDescent="0.3">
      <c r="A16982" s="20"/>
    </row>
    <row r="16983" spans="1:1" x14ac:dyDescent="0.3">
      <c r="A16983" s="20"/>
    </row>
    <row r="16984" spans="1:1" x14ac:dyDescent="0.3">
      <c r="A16984" s="20"/>
    </row>
    <row r="16985" spans="1:1" x14ac:dyDescent="0.3">
      <c r="A16985" s="20"/>
    </row>
    <row r="16986" spans="1:1" x14ac:dyDescent="0.3">
      <c r="A16986" s="20"/>
    </row>
    <row r="16987" spans="1:1" x14ac:dyDescent="0.3">
      <c r="A16987" s="20"/>
    </row>
    <row r="16988" spans="1:1" x14ac:dyDescent="0.3">
      <c r="A16988" s="20"/>
    </row>
    <row r="16989" spans="1:1" x14ac:dyDescent="0.3">
      <c r="A16989" s="20"/>
    </row>
    <row r="16990" spans="1:1" x14ac:dyDescent="0.3">
      <c r="A16990" s="20"/>
    </row>
    <row r="16991" spans="1:1" x14ac:dyDescent="0.3">
      <c r="A16991" s="20"/>
    </row>
    <row r="16992" spans="1:1" x14ac:dyDescent="0.3">
      <c r="A16992" s="20"/>
    </row>
    <row r="16993" spans="1:1" x14ac:dyDescent="0.3">
      <c r="A16993" s="20"/>
    </row>
    <row r="16994" spans="1:1" x14ac:dyDescent="0.3">
      <c r="A16994" s="20"/>
    </row>
    <row r="16995" spans="1:1" x14ac:dyDescent="0.3">
      <c r="A16995" s="20"/>
    </row>
    <row r="16996" spans="1:1" x14ac:dyDescent="0.3">
      <c r="A16996" s="20"/>
    </row>
    <row r="16997" spans="1:1" x14ac:dyDescent="0.3">
      <c r="A16997" s="20"/>
    </row>
    <row r="16998" spans="1:1" x14ac:dyDescent="0.3">
      <c r="A16998" s="20"/>
    </row>
    <row r="16999" spans="1:1" x14ac:dyDescent="0.3">
      <c r="A16999" s="20"/>
    </row>
    <row r="17000" spans="1:1" x14ac:dyDescent="0.3">
      <c r="A17000" s="20"/>
    </row>
    <row r="17001" spans="1:1" x14ac:dyDescent="0.3">
      <c r="A17001" s="20"/>
    </row>
    <row r="17002" spans="1:1" x14ac:dyDescent="0.3">
      <c r="A17002" s="20"/>
    </row>
    <row r="17003" spans="1:1" x14ac:dyDescent="0.3">
      <c r="A17003" s="20"/>
    </row>
    <row r="17004" spans="1:1" x14ac:dyDescent="0.3">
      <c r="A17004" s="20"/>
    </row>
    <row r="17005" spans="1:1" x14ac:dyDescent="0.3">
      <c r="A17005" s="20"/>
    </row>
    <row r="17006" spans="1:1" x14ac:dyDescent="0.3">
      <c r="A17006" s="20"/>
    </row>
    <row r="17007" spans="1:1" x14ac:dyDescent="0.3">
      <c r="A17007" s="20"/>
    </row>
    <row r="17008" spans="1:1" x14ac:dyDescent="0.3">
      <c r="A17008" s="20"/>
    </row>
    <row r="17009" spans="1:1" x14ac:dyDescent="0.3">
      <c r="A17009" s="20"/>
    </row>
    <row r="17010" spans="1:1" x14ac:dyDescent="0.3">
      <c r="A17010" s="20"/>
    </row>
    <row r="17011" spans="1:1" x14ac:dyDescent="0.3">
      <c r="A17011" s="20"/>
    </row>
    <row r="17012" spans="1:1" x14ac:dyDescent="0.3">
      <c r="A17012" s="20"/>
    </row>
    <row r="17013" spans="1:1" x14ac:dyDescent="0.3">
      <c r="A17013" s="20"/>
    </row>
    <row r="17014" spans="1:1" x14ac:dyDescent="0.3">
      <c r="A17014" s="20"/>
    </row>
    <row r="17015" spans="1:1" x14ac:dyDescent="0.3">
      <c r="A17015" s="20"/>
    </row>
    <row r="17016" spans="1:1" x14ac:dyDescent="0.3">
      <c r="A17016" s="20"/>
    </row>
    <row r="17017" spans="1:1" x14ac:dyDescent="0.3">
      <c r="A17017" s="20"/>
    </row>
    <row r="17018" spans="1:1" x14ac:dyDescent="0.3">
      <c r="A17018" s="20"/>
    </row>
    <row r="17019" spans="1:1" x14ac:dyDescent="0.3">
      <c r="A17019" s="20"/>
    </row>
    <row r="17020" spans="1:1" x14ac:dyDescent="0.3">
      <c r="A17020" s="20"/>
    </row>
    <row r="17021" spans="1:1" x14ac:dyDescent="0.3">
      <c r="A17021" s="20"/>
    </row>
    <row r="17022" spans="1:1" x14ac:dyDescent="0.3">
      <c r="A17022" s="20"/>
    </row>
    <row r="17023" spans="1:1" x14ac:dyDescent="0.3">
      <c r="A17023" s="20"/>
    </row>
    <row r="17024" spans="1:1" x14ac:dyDescent="0.3">
      <c r="A17024" s="20"/>
    </row>
    <row r="17025" spans="1:1" x14ac:dyDescent="0.3">
      <c r="A17025" s="20"/>
    </row>
    <row r="17026" spans="1:1" x14ac:dyDescent="0.3">
      <c r="A17026" s="20"/>
    </row>
    <row r="17027" spans="1:1" x14ac:dyDescent="0.3">
      <c r="A17027" s="20"/>
    </row>
    <row r="17028" spans="1:1" x14ac:dyDescent="0.3">
      <c r="A17028" s="20"/>
    </row>
    <row r="17029" spans="1:1" x14ac:dyDescent="0.3">
      <c r="A17029" s="20"/>
    </row>
    <row r="17030" spans="1:1" x14ac:dyDescent="0.3">
      <c r="A17030" s="20"/>
    </row>
    <row r="17031" spans="1:1" x14ac:dyDescent="0.3">
      <c r="A17031" s="20"/>
    </row>
    <row r="17032" spans="1:1" x14ac:dyDescent="0.3">
      <c r="A17032" s="20"/>
    </row>
    <row r="17033" spans="1:1" x14ac:dyDescent="0.3">
      <c r="A17033" s="20"/>
    </row>
    <row r="17034" spans="1:1" x14ac:dyDescent="0.3">
      <c r="A17034" s="20"/>
    </row>
    <row r="17035" spans="1:1" x14ac:dyDescent="0.3">
      <c r="A17035" s="20"/>
    </row>
    <row r="17036" spans="1:1" x14ac:dyDescent="0.3">
      <c r="A17036" s="20"/>
    </row>
    <row r="17037" spans="1:1" x14ac:dyDescent="0.3">
      <c r="A17037" s="20"/>
    </row>
    <row r="17038" spans="1:1" x14ac:dyDescent="0.3">
      <c r="A17038" s="20"/>
    </row>
    <row r="17039" spans="1:1" x14ac:dyDescent="0.3">
      <c r="A17039" s="20"/>
    </row>
    <row r="17040" spans="1:1" x14ac:dyDescent="0.3">
      <c r="A17040" s="20"/>
    </row>
    <row r="17041" spans="1:1" x14ac:dyDescent="0.3">
      <c r="A17041" s="20"/>
    </row>
    <row r="17042" spans="1:1" x14ac:dyDescent="0.3">
      <c r="A17042" s="20"/>
    </row>
    <row r="17043" spans="1:1" x14ac:dyDescent="0.3">
      <c r="A17043" s="20"/>
    </row>
    <row r="17044" spans="1:1" x14ac:dyDescent="0.3">
      <c r="A17044" s="20"/>
    </row>
    <row r="17045" spans="1:1" x14ac:dyDescent="0.3">
      <c r="A17045" s="20"/>
    </row>
    <row r="17046" spans="1:1" x14ac:dyDescent="0.3">
      <c r="A17046" s="20"/>
    </row>
    <row r="17047" spans="1:1" x14ac:dyDescent="0.3">
      <c r="A17047" s="20"/>
    </row>
    <row r="17048" spans="1:1" x14ac:dyDescent="0.3">
      <c r="A17048" s="20"/>
    </row>
    <row r="17049" spans="1:1" x14ac:dyDescent="0.3">
      <c r="A17049" s="20"/>
    </row>
    <row r="17050" spans="1:1" x14ac:dyDescent="0.3">
      <c r="A17050" s="20"/>
    </row>
    <row r="17051" spans="1:1" x14ac:dyDescent="0.3">
      <c r="A17051" s="20"/>
    </row>
    <row r="17052" spans="1:1" x14ac:dyDescent="0.3">
      <c r="A17052" s="20"/>
    </row>
    <row r="17053" spans="1:1" x14ac:dyDescent="0.3">
      <c r="A17053" s="20"/>
    </row>
    <row r="17054" spans="1:1" x14ac:dyDescent="0.3">
      <c r="A17054" s="20"/>
    </row>
    <row r="17055" spans="1:1" x14ac:dyDescent="0.3">
      <c r="A17055" s="20"/>
    </row>
    <row r="17056" spans="1:1" x14ac:dyDescent="0.3">
      <c r="A17056" s="20"/>
    </row>
    <row r="17057" spans="1:1" x14ac:dyDescent="0.3">
      <c r="A17057" s="20"/>
    </row>
    <row r="17058" spans="1:1" x14ac:dyDescent="0.3">
      <c r="A17058" s="20"/>
    </row>
    <row r="17059" spans="1:1" x14ac:dyDescent="0.3">
      <c r="A17059" s="20"/>
    </row>
    <row r="17060" spans="1:1" x14ac:dyDescent="0.3">
      <c r="A17060" s="20"/>
    </row>
    <row r="17061" spans="1:1" x14ac:dyDescent="0.3">
      <c r="A17061" s="20"/>
    </row>
    <row r="17062" spans="1:1" x14ac:dyDescent="0.3">
      <c r="A17062" s="20"/>
    </row>
    <row r="17063" spans="1:1" x14ac:dyDescent="0.3">
      <c r="A17063" s="20"/>
    </row>
    <row r="17064" spans="1:1" x14ac:dyDescent="0.3">
      <c r="A17064" s="20"/>
    </row>
    <row r="17065" spans="1:1" x14ac:dyDescent="0.3">
      <c r="A17065" s="20"/>
    </row>
    <row r="17066" spans="1:1" x14ac:dyDescent="0.3">
      <c r="A17066" s="20"/>
    </row>
    <row r="17067" spans="1:1" x14ac:dyDescent="0.3">
      <c r="A17067" s="20"/>
    </row>
    <row r="17068" spans="1:1" x14ac:dyDescent="0.3">
      <c r="A17068" s="20"/>
    </row>
    <row r="17069" spans="1:1" x14ac:dyDescent="0.3">
      <c r="A17069" s="20"/>
    </row>
    <row r="17070" spans="1:1" x14ac:dyDescent="0.3">
      <c r="A17070" s="20"/>
    </row>
    <row r="17071" spans="1:1" x14ac:dyDescent="0.3">
      <c r="A17071" s="20"/>
    </row>
    <row r="17072" spans="1:1" x14ac:dyDescent="0.3">
      <c r="A17072" s="20"/>
    </row>
    <row r="17073" spans="1:1" x14ac:dyDescent="0.3">
      <c r="A17073" s="20"/>
    </row>
    <row r="17074" spans="1:1" x14ac:dyDescent="0.3">
      <c r="A17074" s="20"/>
    </row>
    <row r="17075" spans="1:1" x14ac:dyDescent="0.3">
      <c r="A17075" s="20"/>
    </row>
    <row r="17076" spans="1:1" x14ac:dyDescent="0.3">
      <c r="A17076" s="20"/>
    </row>
    <row r="17077" spans="1:1" x14ac:dyDescent="0.3">
      <c r="A17077" s="20"/>
    </row>
    <row r="17078" spans="1:1" x14ac:dyDescent="0.3">
      <c r="A17078" s="20"/>
    </row>
    <row r="17079" spans="1:1" x14ac:dyDescent="0.3">
      <c r="A17079" s="20"/>
    </row>
    <row r="17080" spans="1:1" x14ac:dyDescent="0.3">
      <c r="A17080" s="20"/>
    </row>
    <row r="17081" spans="1:1" x14ac:dyDescent="0.3">
      <c r="A17081" s="20"/>
    </row>
    <row r="17082" spans="1:1" x14ac:dyDescent="0.3">
      <c r="A17082" s="20"/>
    </row>
    <row r="17083" spans="1:1" x14ac:dyDescent="0.3">
      <c r="A17083" s="20"/>
    </row>
    <row r="17084" spans="1:1" x14ac:dyDescent="0.3">
      <c r="A17084" s="20"/>
    </row>
    <row r="17085" spans="1:1" x14ac:dyDescent="0.3">
      <c r="A17085" s="20"/>
    </row>
    <row r="17086" spans="1:1" x14ac:dyDescent="0.3">
      <c r="A17086" s="20"/>
    </row>
    <row r="17087" spans="1:1" x14ac:dyDescent="0.3">
      <c r="A17087" s="20"/>
    </row>
    <row r="17088" spans="1:1" x14ac:dyDescent="0.3">
      <c r="A17088" s="20"/>
    </row>
    <row r="17089" spans="1:1" x14ac:dyDescent="0.3">
      <c r="A17089" s="20"/>
    </row>
    <row r="17090" spans="1:1" x14ac:dyDescent="0.3">
      <c r="A17090" s="20"/>
    </row>
    <row r="17091" spans="1:1" x14ac:dyDescent="0.3">
      <c r="A17091" s="20"/>
    </row>
    <row r="17092" spans="1:1" x14ac:dyDescent="0.3">
      <c r="A17092" s="20"/>
    </row>
    <row r="17093" spans="1:1" x14ac:dyDescent="0.3">
      <c r="A17093" s="20"/>
    </row>
    <row r="17094" spans="1:1" x14ac:dyDescent="0.3">
      <c r="A17094" s="20"/>
    </row>
    <row r="17095" spans="1:1" x14ac:dyDescent="0.3">
      <c r="A17095" s="20"/>
    </row>
    <row r="17096" spans="1:1" x14ac:dyDescent="0.3">
      <c r="A17096" s="20"/>
    </row>
    <row r="17097" spans="1:1" x14ac:dyDescent="0.3">
      <c r="A17097" s="20"/>
    </row>
    <row r="17098" spans="1:1" x14ac:dyDescent="0.3">
      <c r="A17098" s="20"/>
    </row>
    <row r="17099" spans="1:1" x14ac:dyDescent="0.3">
      <c r="A17099" s="20"/>
    </row>
    <row r="17100" spans="1:1" x14ac:dyDescent="0.3">
      <c r="A17100" s="20"/>
    </row>
    <row r="17101" spans="1:1" x14ac:dyDescent="0.3">
      <c r="A17101" s="20"/>
    </row>
    <row r="17102" spans="1:1" x14ac:dyDescent="0.3">
      <c r="A17102" s="20"/>
    </row>
    <row r="17103" spans="1:1" x14ac:dyDescent="0.3">
      <c r="A17103" s="20"/>
    </row>
    <row r="17104" spans="1:1" x14ac:dyDescent="0.3">
      <c r="A17104" s="20"/>
    </row>
    <row r="17105" spans="1:1" x14ac:dyDescent="0.3">
      <c r="A17105" s="20"/>
    </row>
    <row r="17106" spans="1:1" x14ac:dyDescent="0.3">
      <c r="A17106" s="20"/>
    </row>
    <row r="17107" spans="1:1" x14ac:dyDescent="0.3">
      <c r="A17107" s="20"/>
    </row>
    <row r="17108" spans="1:1" x14ac:dyDescent="0.3">
      <c r="A17108" s="20"/>
    </row>
    <row r="17109" spans="1:1" x14ac:dyDescent="0.3">
      <c r="A17109" s="20"/>
    </row>
    <row r="17110" spans="1:1" x14ac:dyDescent="0.3">
      <c r="A17110" s="20"/>
    </row>
    <row r="17111" spans="1:1" x14ac:dyDescent="0.3">
      <c r="A17111" s="20"/>
    </row>
    <row r="17112" spans="1:1" x14ac:dyDescent="0.3">
      <c r="A17112" s="20"/>
    </row>
    <row r="17113" spans="1:1" x14ac:dyDescent="0.3">
      <c r="A17113" s="20"/>
    </row>
    <row r="17114" spans="1:1" x14ac:dyDescent="0.3">
      <c r="A17114" s="20"/>
    </row>
    <row r="17115" spans="1:1" x14ac:dyDescent="0.3">
      <c r="A17115" s="20"/>
    </row>
    <row r="17116" spans="1:1" x14ac:dyDescent="0.3">
      <c r="A17116" s="20"/>
    </row>
    <row r="17117" spans="1:1" x14ac:dyDescent="0.3">
      <c r="A17117" s="20"/>
    </row>
    <row r="17118" spans="1:1" x14ac:dyDescent="0.3">
      <c r="A17118" s="20"/>
    </row>
    <row r="17119" spans="1:1" x14ac:dyDescent="0.3">
      <c r="A17119" s="20"/>
    </row>
    <row r="17120" spans="1:1" x14ac:dyDescent="0.3">
      <c r="A17120" s="20"/>
    </row>
    <row r="17121" spans="1:1" x14ac:dyDescent="0.3">
      <c r="A17121" s="20"/>
    </row>
    <row r="17122" spans="1:1" x14ac:dyDescent="0.3">
      <c r="A17122" s="20"/>
    </row>
    <row r="17123" spans="1:1" x14ac:dyDescent="0.3">
      <c r="A17123" s="20"/>
    </row>
    <row r="17124" spans="1:1" x14ac:dyDescent="0.3">
      <c r="A17124" s="20"/>
    </row>
    <row r="17125" spans="1:1" x14ac:dyDescent="0.3">
      <c r="A17125" s="20"/>
    </row>
    <row r="17126" spans="1:1" x14ac:dyDescent="0.3">
      <c r="A17126" s="20"/>
    </row>
    <row r="17127" spans="1:1" x14ac:dyDescent="0.3">
      <c r="A17127" s="20"/>
    </row>
    <row r="17128" spans="1:1" x14ac:dyDescent="0.3">
      <c r="A17128" s="20"/>
    </row>
    <row r="17129" spans="1:1" x14ac:dyDescent="0.3">
      <c r="A17129" s="20"/>
    </row>
    <row r="17130" spans="1:1" x14ac:dyDescent="0.3">
      <c r="A17130" s="20"/>
    </row>
    <row r="17131" spans="1:1" x14ac:dyDescent="0.3">
      <c r="A17131" s="20"/>
    </row>
    <row r="17132" spans="1:1" x14ac:dyDescent="0.3">
      <c r="A17132" s="20"/>
    </row>
    <row r="17133" spans="1:1" x14ac:dyDescent="0.3">
      <c r="A17133" s="20"/>
    </row>
    <row r="17134" spans="1:1" x14ac:dyDescent="0.3">
      <c r="A17134" s="20"/>
    </row>
    <row r="17135" spans="1:1" x14ac:dyDescent="0.3">
      <c r="A17135" s="20"/>
    </row>
    <row r="17136" spans="1:1" x14ac:dyDescent="0.3">
      <c r="A17136" s="20"/>
    </row>
    <row r="17137" spans="1:1" x14ac:dyDescent="0.3">
      <c r="A17137" s="20"/>
    </row>
    <row r="17138" spans="1:1" x14ac:dyDescent="0.3">
      <c r="A17138" s="20"/>
    </row>
    <row r="17139" spans="1:1" x14ac:dyDescent="0.3">
      <c r="A17139" s="20"/>
    </row>
    <row r="17140" spans="1:1" x14ac:dyDescent="0.3">
      <c r="A17140" s="20"/>
    </row>
    <row r="17141" spans="1:1" x14ac:dyDescent="0.3">
      <c r="A17141" s="20"/>
    </row>
    <row r="17142" spans="1:1" x14ac:dyDescent="0.3">
      <c r="A17142" s="20"/>
    </row>
    <row r="17143" spans="1:1" x14ac:dyDescent="0.3">
      <c r="A17143" s="20"/>
    </row>
    <row r="17144" spans="1:1" x14ac:dyDescent="0.3">
      <c r="A17144" s="20"/>
    </row>
    <row r="17145" spans="1:1" x14ac:dyDescent="0.3">
      <c r="A17145" s="20"/>
    </row>
    <row r="17146" spans="1:1" x14ac:dyDescent="0.3">
      <c r="A17146" s="20"/>
    </row>
    <row r="17147" spans="1:1" x14ac:dyDescent="0.3">
      <c r="A17147" s="20"/>
    </row>
    <row r="17148" spans="1:1" x14ac:dyDescent="0.3">
      <c r="A17148" s="20"/>
    </row>
    <row r="17149" spans="1:1" x14ac:dyDescent="0.3">
      <c r="A17149" s="20"/>
    </row>
    <row r="17150" spans="1:1" x14ac:dyDescent="0.3">
      <c r="A17150" s="20"/>
    </row>
    <row r="17151" spans="1:1" x14ac:dyDescent="0.3">
      <c r="A17151" s="20"/>
    </row>
    <row r="17152" spans="1:1" x14ac:dyDescent="0.3">
      <c r="A17152" s="20"/>
    </row>
    <row r="17153" spans="1:1" x14ac:dyDescent="0.3">
      <c r="A17153" s="20"/>
    </row>
    <row r="17154" spans="1:1" x14ac:dyDescent="0.3">
      <c r="A17154" s="20"/>
    </row>
    <row r="17155" spans="1:1" x14ac:dyDescent="0.3">
      <c r="A17155" s="20"/>
    </row>
    <row r="17156" spans="1:1" x14ac:dyDescent="0.3">
      <c r="A17156" s="20"/>
    </row>
    <row r="17157" spans="1:1" x14ac:dyDescent="0.3">
      <c r="A17157" s="20"/>
    </row>
    <row r="17158" spans="1:1" x14ac:dyDescent="0.3">
      <c r="A17158" s="20"/>
    </row>
    <row r="17159" spans="1:1" x14ac:dyDescent="0.3">
      <c r="A17159" s="20"/>
    </row>
    <row r="17160" spans="1:1" x14ac:dyDescent="0.3">
      <c r="A17160" s="20"/>
    </row>
    <row r="17161" spans="1:1" x14ac:dyDescent="0.3">
      <c r="A17161" s="20"/>
    </row>
    <row r="17162" spans="1:1" x14ac:dyDescent="0.3">
      <c r="A17162" s="20"/>
    </row>
    <row r="17163" spans="1:1" x14ac:dyDescent="0.3">
      <c r="A17163" s="20"/>
    </row>
    <row r="17164" spans="1:1" x14ac:dyDescent="0.3">
      <c r="A17164" s="20"/>
    </row>
    <row r="17165" spans="1:1" x14ac:dyDescent="0.3">
      <c r="A17165" s="20"/>
    </row>
    <row r="17166" spans="1:1" x14ac:dyDescent="0.3">
      <c r="A17166" s="20"/>
    </row>
    <row r="17167" spans="1:1" x14ac:dyDescent="0.3">
      <c r="A17167" s="20"/>
    </row>
    <row r="17168" spans="1:1" x14ac:dyDescent="0.3">
      <c r="A17168" s="20"/>
    </row>
    <row r="17169" spans="1:1" x14ac:dyDescent="0.3">
      <c r="A17169" s="20"/>
    </row>
    <row r="17170" spans="1:1" x14ac:dyDescent="0.3">
      <c r="A17170" s="20"/>
    </row>
    <row r="17171" spans="1:1" x14ac:dyDescent="0.3">
      <c r="A17171" s="20"/>
    </row>
    <row r="17172" spans="1:1" x14ac:dyDescent="0.3">
      <c r="A17172" s="20"/>
    </row>
    <row r="17173" spans="1:1" x14ac:dyDescent="0.3">
      <c r="A17173" s="20"/>
    </row>
    <row r="17174" spans="1:1" x14ac:dyDescent="0.3">
      <c r="A17174" s="20"/>
    </row>
    <row r="17175" spans="1:1" x14ac:dyDescent="0.3">
      <c r="A17175" s="20"/>
    </row>
    <row r="17176" spans="1:1" x14ac:dyDescent="0.3">
      <c r="A17176" s="20"/>
    </row>
    <row r="17177" spans="1:1" x14ac:dyDescent="0.3">
      <c r="A17177" s="20"/>
    </row>
    <row r="17178" spans="1:1" x14ac:dyDescent="0.3">
      <c r="A17178" s="20"/>
    </row>
    <row r="17179" spans="1:1" x14ac:dyDescent="0.3">
      <c r="A17179" s="20"/>
    </row>
    <row r="17180" spans="1:1" x14ac:dyDescent="0.3">
      <c r="A17180" s="20"/>
    </row>
    <row r="17181" spans="1:1" x14ac:dyDescent="0.3">
      <c r="A17181" s="20"/>
    </row>
    <row r="17182" spans="1:1" x14ac:dyDescent="0.3">
      <c r="A17182" s="20"/>
    </row>
    <row r="17183" spans="1:1" x14ac:dyDescent="0.3">
      <c r="A17183" s="20"/>
    </row>
    <row r="17184" spans="1:1" x14ac:dyDescent="0.3">
      <c r="A17184" s="20"/>
    </row>
    <row r="17185" spans="1:1" x14ac:dyDescent="0.3">
      <c r="A17185" s="20"/>
    </row>
    <row r="17186" spans="1:1" x14ac:dyDescent="0.3">
      <c r="A17186" s="20"/>
    </row>
    <row r="17187" spans="1:1" x14ac:dyDescent="0.3">
      <c r="A17187" s="20"/>
    </row>
    <row r="17188" spans="1:1" x14ac:dyDescent="0.3">
      <c r="A17188" s="20"/>
    </row>
    <row r="17189" spans="1:1" x14ac:dyDescent="0.3">
      <c r="A17189" s="20"/>
    </row>
    <row r="17190" spans="1:1" x14ac:dyDescent="0.3">
      <c r="A17190" s="20"/>
    </row>
    <row r="17191" spans="1:1" x14ac:dyDescent="0.3">
      <c r="A17191" s="20"/>
    </row>
    <row r="17192" spans="1:1" x14ac:dyDescent="0.3">
      <c r="A17192" s="20"/>
    </row>
    <row r="17193" spans="1:1" x14ac:dyDescent="0.3">
      <c r="A17193" s="20"/>
    </row>
    <row r="17194" spans="1:1" x14ac:dyDescent="0.3">
      <c r="A17194" s="20"/>
    </row>
    <row r="17195" spans="1:1" x14ac:dyDescent="0.3">
      <c r="A17195" s="20"/>
    </row>
    <row r="17196" spans="1:1" x14ac:dyDescent="0.3">
      <c r="A17196" s="20"/>
    </row>
    <row r="17197" spans="1:1" x14ac:dyDescent="0.3">
      <c r="A17197" s="20"/>
    </row>
    <row r="17198" spans="1:1" x14ac:dyDescent="0.3">
      <c r="A17198" s="20"/>
    </row>
    <row r="17199" spans="1:1" x14ac:dyDescent="0.3">
      <c r="A17199" s="20"/>
    </row>
    <row r="17200" spans="1:1" x14ac:dyDescent="0.3">
      <c r="A17200" s="20"/>
    </row>
    <row r="17201" spans="1:1" x14ac:dyDescent="0.3">
      <c r="A17201" s="20"/>
    </row>
    <row r="17202" spans="1:1" x14ac:dyDescent="0.3">
      <c r="A17202" s="20"/>
    </row>
    <row r="17203" spans="1:1" x14ac:dyDescent="0.3">
      <c r="A17203" s="20"/>
    </row>
    <row r="17204" spans="1:1" x14ac:dyDescent="0.3">
      <c r="A17204" s="20"/>
    </row>
    <row r="17205" spans="1:1" x14ac:dyDescent="0.3">
      <c r="A17205" s="20"/>
    </row>
    <row r="17206" spans="1:1" x14ac:dyDescent="0.3">
      <c r="A17206" s="20"/>
    </row>
    <row r="17207" spans="1:1" x14ac:dyDescent="0.3">
      <c r="A17207" s="20"/>
    </row>
    <row r="17208" spans="1:1" x14ac:dyDescent="0.3">
      <c r="A17208" s="20"/>
    </row>
    <row r="17209" spans="1:1" x14ac:dyDescent="0.3">
      <c r="A17209" s="20"/>
    </row>
    <row r="17210" spans="1:1" x14ac:dyDescent="0.3">
      <c r="A17210" s="20"/>
    </row>
    <row r="17211" spans="1:1" x14ac:dyDescent="0.3">
      <c r="A17211" s="20"/>
    </row>
    <row r="17212" spans="1:1" x14ac:dyDescent="0.3">
      <c r="A17212" s="20"/>
    </row>
    <row r="17213" spans="1:1" x14ac:dyDescent="0.3">
      <c r="A17213" s="20"/>
    </row>
    <row r="17214" spans="1:1" x14ac:dyDescent="0.3">
      <c r="A17214" s="20"/>
    </row>
    <row r="17215" spans="1:1" x14ac:dyDescent="0.3">
      <c r="A17215" s="20"/>
    </row>
    <row r="17216" spans="1:1" x14ac:dyDescent="0.3">
      <c r="A17216" s="20"/>
    </row>
    <row r="17217" spans="1:1" x14ac:dyDescent="0.3">
      <c r="A17217" s="20"/>
    </row>
    <row r="17218" spans="1:1" x14ac:dyDescent="0.3">
      <c r="A17218" s="20"/>
    </row>
    <row r="17219" spans="1:1" x14ac:dyDescent="0.3">
      <c r="A17219" s="20"/>
    </row>
    <row r="17220" spans="1:1" x14ac:dyDescent="0.3">
      <c r="A17220" s="20"/>
    </row>
    <row r="17221" spans="1:1" x14ac:dyDescent="0.3">
      <c r="A17221" s="20"/>
    </row>
    <row r="17222" spans="1:1" x14ac:dyDescent="0.3">
      <c r="A17222" s="20"/>
    </row>
    <row r="17223" spans="1:1" x14ac:dyDescent="0.3">
      <c r="A17223" s="20"/>
    </row>
    <row r="17224" spans="1:1" x14ac:dyDescent="0.3">
      <c r="A17224" s="20"/>
    </row>
    <row r="17225" spans="1:1" x14ac:dyDescent="0.3">
      <c r="A17225" s="20"/>
    </row>
    <row r="17226" spans="1:1" x14ac:dyDescent="0.3">
      <c r="A17226" s="20"/>
    </row>
    <row r="17227" spans="1:1" x14ac:dyDescent="0.3">
      <c r="A17227" s="20"/>
    </row>
    <row r="17228" spans="1:1" x14ac:dyDescent="0.3">
      <c r="A17228" s="20"/>
    </row>
    <row r="17229" spans="1:1" x14ac:dyDescent="0.3">
      <c r="A17229" s="20"/>
    </row>
    <row r="17230" spans="1:1" x14ac:dyDescent="0.3">
      <c r="A17230" s="20"/>
    </row>
    <row r="17231" spans="1:1" x14ac:dyDescent="0.3">
      <c r="A17231" s="20"/>
    </row>
    <row r="17232" spans="1:1" x14ac:dyDescent="0.3">
      <c r="A17232" s="20"/>
    </row>
    <row r="17233" spans="1:1" x14ac:dyDescent="0.3">
      <c r="A17233" s="20"/>
    </row>
    <row r="17234" spans="1:1" x14ac:dyDescent="0.3">
      <c r="A17234" s="20"/>
    </row>
    <row r="17235" spans="1:1" x14ac:dyDescent="0.3">
      <c r="A17235" s="20"/>
    </row>
    <row r="17236" spans="1:1" x14ac:dyDescent="0.3">
      <c r="A17236" s="20"/>
    </row>
    <row r="17237" spans="1:1" x14ac:dyDescent="0.3">
      <c r="A17237" s="20"/>
    </row>
    <row r="17238" spans="1:1" x14ac:dyDescent="0.3">
      <c r="A17238" s="20"/>
    </row>
    <row r="17239" spans="1:1" x14ac:dyDescent="0.3">
      <c r="A17239" s="20"/>
    </row>
    <row r="17240" spans="1:1" x14ac:dyDescent="0.3">
      <c r="A17240" s="20"/>
    </row>
    <row r="17241" spans="1:1" x14ac:dyDescent="0.3">
      <c r="A17241" s="20"/>
    </row>
    <row r="17242" spans="1:1" x14ac:dyDescent="0.3">
      <c r="A17242" s="20"/>
    </row>
    <row r="17243" spans="1:1" x14ac:dyDescent="0.3">
      <c r="A17243" s="20"/>
    </row>
    <row r="17244" spans="1:1" x14ac:dyDescent="0.3">
      <c r="A17244" s="20"/>
    </row>
    <row r="17245" spans="1:1" x14ac:dyDescent="0.3">
      <c r="A17245" s="20"/>
    </row>
    <row r="17246" spans="1:1" x14ac:dyDescent="0.3">
      <c r="A17246" s="20"/>
    </row>
    <row r="17247" spans="1:1" x14ac:dyDescent="0.3">
      <c r="A17247" s="20"/>
    </row>
    <row r="17248" spans="1:1" x14ac:dyDescent="0.3">
      <c r="A17248" s="20"/>
    </row>
    <row r="17249" spans="1:1" x14ac:dyDescent="0.3">
      <c r="A17249" s="20"/>
    </row>
    <row r="17250" spans="1:1" x14ac:dyDescent="0.3">
      <c r="A17250" s="20"/>
    </row>
    <row r="17251" spans="1:1" x14ac:dyDescent="0.3">
      <c r="A17251" s="20"/>
    </row>
    <row r="17252" spans="1:1" x14ac:dyDescent="0.3">
      <c r="A17252" s="20"/>
    </row>
    <row r="17253" spans="1:1" x14ac:dyDescent="0.3">
      <c r="A17253" s="20"/>
    </row>
    <row r="17254" spans="1:1" x14ac:dyDescent="0.3">
      <c r="A17254" s="20"/>
    </row>
    <row r="17255" spans="1:1" x14ac:dyDescent="0.3">
      <c r="A17255" s="20"/>
    </row>
    <row r="17256" spans="1:1" x14ac:dyDescent="0.3">
      <c r="A17256" s="20"/>
    </row>
    <row r="17257" spans="1:1" x14ac:dyDescent="0.3">
      <c r="A17257" s="20"/>
    </row>
    <row r="17258" spans="1:1" x14ac:dyDescent="0.3">
      <c r="A17258" s="20"/>
    </row>
    <row r="17259" spans="1:1" x14ac:dyDescent="0.3">
      <c r="A17259" s="20"/>
    </row>
    <row r="17260" spans="1:1" x14ac:dyDescent="0.3">
      <c r="A17260" s="20"/>
    </row>
    <row r="17261" spans="1:1" x14ac:dyDescent="0.3">
      <c r="A17261" s="20"/>
    </row>
    <row r="17262" spans="1:1" x14ac:dyDescent="0.3">
      <c r="A17262" s="20"/>
    </row>
    <row r="17263" spans="1:1" x14ac:dyDescent="0.3">
      <c r="A17263" s="20"/>
    </row>
    <row r="17264" spans="1:1" x14ac:dyDescent="0.3">
      <c r="A17264" s="20"/>
    </row>
    <row r="17265" spans="1:1" x14ac:dyDescent="0.3">
      <c r="A17265" s="20"/>
    </row>
    <row r="17266" spans="1:1" x14ac:dyDescent="0.3">
      <c r="A17266" s="20"/>
    </row>
    <row r="17267" spans="1:1" x14ac:dyDescent="0.3">
      <c r="A17267" s="20"/>
    </row>
    <row r="17268" spans="1:1" x14ac:dyDescent="0.3">
      <c r="A17268" s="20"/>
    </row>
    <row r="17269" spans="1:1" x14ac:dyDescent="0.3">
      <c r="A17269" s="20"/>
    </row>
    <row r="17270" spans="1:1" x14ac:dyDescent="0.3">
      <c r="A17270" s="20"/>
    </row>
    <row r="17271" spans="1:1" x14ac:dyDescent="0.3">
      <c r="A17271" s="20"/>
    </row>
    <row r="17272" spans="1:1" x14ac:dyDescent="0.3">
      <c r="A17272" s="20"/>
    </row>
    <row r="17273" spans="1:1" x14ac:dyDescent="0.3">
      <c r="A17273" s="20"/>
    </row>
    <row r="17274" spans="1:1" x14ac:dyDescent="0.3">
      <c r="A17274" s="20"/>
    </row>
    <row r="17275" spans="1:1" x14ac:dyDescent="0.3">
      <c r="A17275" s="20"/>
    </row>
    <row r="17276" spans="1:1" x14ac:dyDescent="0.3">
      <c r="A17276" s="20"/>
    </row>
    <row r="17277" spans="1:1" x14ac:dyDescent="0.3">
      <c r="A17277" s="20"/>
    </row>
    <row r="17278" spans="1:1" x14ac:dyDescent="0.3">
      <c r="A17278" s="20"/>
    </row>
    <row r="17279" spans="1:1" x14ac:dyDescent="0.3">
      <c r="A17279" s="20"/>
    </row>
    <row r="17280" spans="1:1" x14ac:dyDescent="0.3">
      <c r="A17280" s="20"/>
    </row>
    <row r="17281" spans="1:1" x14ac:dyDescent="0.3">
      <c r="A17281" s="20"/>
    </row>
    <row r="17282" spans="1:1" x14ac:dyDescent="0.3">
      <c r="A17282" s="20"/>
    </row>
    <row r="17283" spans="1:1" x14ac:dyDescent="0.3">
      <c r="A17283" s="20"/>
    </row>
    <row r="17284" spans="1:1" x14ac:dyDescent="0.3">
      <c r="A17284" s="20"/>
    </row>
    <row r="17285" spans="1:1" x14ac:dyDescent="0.3">
      <c r="A17285" s="20"/>
    </row>
    <row r="17286" spans="1:1" x14ac:dyDescent="0.3">
      <c r="A17286" s="20"/>
    </row>
    <row r="17287" spans="1:1" x14ac:dyDescent="0.3">
      <c r="A17287" s="20"/>
    </row>
    <row r="17288" spans="1:1" x14ac:dyDescent="0.3">
      <c r="A17288" s="20"/>
    </row>
    <row r="17289" spans="1:1" x14ac:dyDescent="0.3">
      <c r="A17289" s="20"/>
    </row>
    <row r="17290" spans="1:1" x14ac:dyDescent="0.3">
      <c r="A17290" s="20"/>
    </row>
    <row r="17291" spans="1:1" x14ac:dyDescent="0.3">
      <c r="A17291" s="20"/>
    </row>
    <row r="17292" spans="1:1" x14ac:dyDescent="0.3">
      <c r="A17292" s="20"/>
    </row>
    <row r="17293" spans="1:1" x14ac:dyDescent="0.3">
      <c r="A17293" s="20"/>
    </row>
    <row r="17294" spans="1:1" x14ac:dyDescent="0.3">
      <c r="A17294" s="20"/>
    </row>
    <row r="17295" spans="1:1" x14ac:dyDescent="0.3">
      <c r="A17295" s="20"/>
    </row>
    <row r="17296" spans="1:1" x14ac:dyDescent="0.3">
      <c r="A17296" s="20"/>
    </row>
    <row r="17297" spans="1:1" x14ac:dyDescent="0.3">
      <c r="A17297" s="20"/>
    </row>
    <row r="17298" spans="1:1" x14ac:dyDescent="0.3">
      <c r="A17298" s="20"/>
    </row>
    <row r="17299" spans="1:1" x14ac:dyDescent="0.3">
      <c r="A17299" s="20"/>
    </row>
    <row r="17300" spans="1:1" x14ac:dyDescent="0.3">
      <c r="A17300" s="20"/>
    </row>
    <row r="17301" spans="1:1" x14ac:dyDescent="0.3">
      <c r="A17301" s="20"/>
    </row>
    <row r="17302" spans="1:1" x14ac:dyDescent="0.3">
      <c r="A17302" s="20"/>
    </row>
    <row r="17303" spans="1:1" x14ac:dyDescent="0.3">
      <c r="A17303" s="20"/>
    </row>
    <row r="17304" spans="1:1" x14ac:dyDescent="0.3">
      <c r="A17304" s="20"/>
    </row>
    <row r="17305" spans="1:1" x14ac:dyDescent="0.3">
      <c r="A17305" s="20"/>
    </row>
    <row r="17306" spans="1:1" x14ac:dyDescent="0.3">
      <c r="A17306" s="20"/>
    </row>
    <row r="17307" spans="1:1" x14ac:dyDescent="0.3">
      <c r="A17307" s="20"/>
    </row>
    <row r="17308" spans="1:1" x14ac:dyDescent="0.3">
      <c r="A17308" s="20"/>
    </row>
    <row r="17309" spans="1:1" x14ac:dyDescent="0.3">
      <c r="A17309" s="20"/>
    </row>
    <row r="17310" spans="1:1" x14ac:dyDescent="0.3">
      <c r="A17310" s="20"/>
    </row>
    <row r="17311" spans="1:1" x14ac:dyDescent="0.3">
      <c r="A17311" s="20"/>
    </row>
    <row r="17312" spans="1:1" x14ac:dyDescent="0.3">
      <c r="A17312" s="20"/>
    </row>
    <row r="17313" spans="1:1" x14ac:dyDescent="0.3">
      <c r="A17313" s="20"/>
    </row>
    <row r="17314" spans="1:1" x14ac:dyDescent="0.3">
      <c r="A17314" s="20"/>
    </row>
    <row r="17315" spans="1:1" x14ac:dyDescent="0.3">
      <c r="A17315" s="20"/>
    </row>
    <row r="17316" spans="1:1" x14ac:dyDescent="0.3">
      <c r="A17316" s="20"/>
    </row>
    <row r="17317" spans="1:1" x14ac:dyDescent="0.3">
      <c r="A17317" s="20"/>
    </row>
    <row r="17318" spans="1:1" x14ac:dyDescent="0.3">
      <c r="A17318" s="20"/>
    </row>
    <row r="17319" spans="1:1" x14ac:dyDescent="0.3">
      <c r="A17319" s="20"/>
    </row>
    <row r="17320" spans="1:1" x14ac:dyDescent="0.3">
      <c r="A17320" s="20"/>
    </row>
    <row r="17321" spans="1:1" x14ac:dyDescent="0.3">
      <c r="A17321" s="20"/>
    </row>
    <row r="17322" spans="1:1" x14ac:dyDescent="0.3">
      <c r="A17322" s="20"/>
    </row>
    <row r="17323" spans="1:1" x14ac:dyDescent="0.3">
      <c r="A17323" s="20"/>
    </row>
    <row r="17324" spans="1:1" x14ac:dyDescent="0.3">
      <c r="A17324" s="20"/>
    </row>
    <row r="17325" spans="1:1" x14ac:dyDescent="0.3">
      <c r="A17325" s="20"/>
    </row>
    <row r="17326" spans="1:1" x14ac:dyDescent="0.3">
      <c r="A17326" s="20"/>
    </row>
    <row r="17327" spans="1:1" x14ac:dyDescent="0.3">
      <c r="A17327" s="20"/>
    </row>
    <row r="17328" spans="1:1" x14ac:dyDescent="0.3">
      <c r="A17328" s="20"/>
    </row>
    <row r="17329" spans="1:1" x14ac:dyDescent="0.3">
      <c r="A17329" s="20"/>
    </row>
    <row r="17330" spans="1:1" x14ac:dyDescent="0.3">
      <c r="A17330" s="20"/>
    </row>
    <row r="17331" spans="1:1" x14ac:dyDescent="0.3">
      <c r="A17331" s="20"/>
    </row>
    <row r="17332" spans="1:1" x14ac:dyDescent="0.3">
      <c r="A17332" s="20"/>
    </row>
    <row r="17333" spans="1:1" x14ac:dyDescent="0.3">
      <c r="A17333" s="20"/>
    </row>
    <row r="17334" spans="1:1" x14ac:dyDescent="0.3">
      <c r="A17334" s="20"/>
    </row>
    <row r="17335" spans="1:1" x14ac:dyDescent="0.3">
      <c r="A17335" s="20"/>
    </row>
    <row r="17336" spans="1:1" x14ac:dyDescent="0.3">
      <c r="A17336" s="20"/>
    </row>
    <row r="17337" spans="1:1" x14ac:dyDescent="0.3">
      <c r="A17337" s="20"/>
    </row>
    <row r="17338" spans="1:1" x14ac:dyDescent="0.3">
      <c r="A17338" s="20"/>
    </row>
    <row r="17339" spans="1:1" x14ac:dyDescent="0.3">
      <c r="A17339" s="20"/>
    </row>
    <row r="17340" spans="1:1" x14ac:dyDescent="0.3">
      <c r="A17340" s="20"/>
    </row>
    <row r="17341" spans="1:1" x14ac:dyDescent="0.3">
      <c r="A17341" s="20"/>
    </row>
    <row r="17342" spans="1:1" x14ac:dyDescent="0.3">
      <c r="A17342" s="20"/>
    </row>
    <row r="17343" spans="1:1" x14ac:dyDescent="0.3">
      <c r="A17343" s="20"/>
    </row>
    <row r="17344" spans="1:1" x14ac:dyDescent="0.3">
      <c r="A17344" s="20"/>
    </row>
    <row r="17345" spans="1:1" x14ac:dyDescent="0.3">
      <c r="A17345" s="20"/>
    </row>
    <row r="17346" spans="1:1" x14ac:dyDescent="0.3">
      <c r="A17346" s="20"/>
    </row>
    <row r="17347" spans="1:1" x14ac:dyDescent="0.3">
      <c r="A17347" s="20"/>
    </row>
    <row r="17348" spans="1:1" x14ac:dyDescent="0.3">
      <c r="A17348" s="20"/>
    </row>
    <row r="17349" spans="1:1" x14ac:dyDescent="0.3">
      <c r="A17349" s="20"/>
    </row>
    <row r="17350" spans="1:1" x14ac:dyDescent="0.3">
      <c r="A17350" s="20"/>
    </row>
    <row r="17351" spans="1:1" x14ac:dyDescent="0.3">
      <c r="A17351" s="20"/>
    </row>
    <row r="17352" spans="1:1" x14ac:dyDescent="0.3">
      <c r="A17352" s="20"/>
    </row>
    <row r="17353" spans="1:1" x14ac:dyDescent="0.3">
      <c r="A17353" s="20"/>
    </row>
    <row r="17354" spans="1:1" x14ac:dyDescent="0.3">
      <c r="A17354" s="20"/>
    </row>
    <row r="17355" spans="1:1" x14ac:dyDescent="0.3">
      <c r="A17355" s="20"/>
    </row>
    <row r="17356" spans="1:1" x14ac:dyDescent="0.3">
      <c r="A17356" s="20"/>
    </row>
    <row r="17357" spans="1:1" x14ac:dyDescent="0.3">
      <c r="A17357" s="20"/>
    </row>
    <row r="17358" spans="1:1" x14ac:dyDescent="0.3">
      <c r="A17358" s="20"/>
    </row>
    <row r="17359" spans="1:1" x14ac:dyDescent="0.3">
      <c r="A17359" s="20"/>
    </row>
    <row r="17360" spans="1:1" x14ac:dyDescent="0.3">
      <c r="A17360" s="20"/>
    </row>
    <row r="17361" spans="1:1" x14ac:dyDescent="0.3">
      <c r="A17361" s="20"/>
    </row>
    <row r="17362" spans="1:1" x14ac:dyDescent="0.3">
      <c r="A17362" s="20"/>
    </row>
    <row r="17363" spans="1:1" x14ac:dyDescent="0.3">
      <c r="A17363" s="20"/>
    </row>
    <row r="17364" spans="1:1" x14ac:dyDescent="0.3">
      <c r="A17364" s="20"/>
    </row>
    <row r="17365" spans="1:1" x14ac:dyDescent="0.3">
      <c r="A17365" s="20"/>
    </row>
    <row r="17366" spans="1:1" x14ac:dyDescent="0.3">
      <c r="A17366" s="20"/>
    </row>
    <row r="17367" spans="1:1" x14ac:dyDescent="0.3">
      <c r="A17367" s="20"/>
    </row>
    <row r="17368" spans="1:1" x14ac:dyDescent="0.3">
      <c r="A17368" s="20"/>
    </row>
    <row r="17369" spans="1:1" x14ac:dyDescent="0.3">
      <c r="A17369" s="20"/>
    </row>
    <row r="17370" spans="1:1" x14ac:dyDescent="0.3">
      <c r="A17370" s="20"/>
    </row>
    <row r="17371" spans="1:1" x14ac:dyDescent="0.3">
      <c r="A17371" s="20"/>
    </row>
    <row r="17372" spans="1:1" x14ac:dyDescent="0.3">
      <c r="A17372" s="20"/>
    </row>
    <row r="17373" spans="1:1" x14ac:dyDescent="0.3">
      <c r="A17373" s="20"/>
    </row>
    <row r="17374" spans="1:1" x14ac:dyDescent="0.3">
      <c r="A17374" s="20"/>
    </row>
    <row r="17375" spans="1:1" x14ac:dyDescent="0.3">
      <c r="A17375" s="20"/>
    </row>
    <row r="17376" spans="1:1" x14ac:dyDescent="0.3">
      <c r="A17376" s="20"/>
    </row>
    <row r="17377" spans="1:1" x14ac:dyDescent="0.3">
      <c r="A17377" s="20"/>
    </row>
    <row r="17378" spans="1:1" x14ac:dyDescent="0.3">
      <c r="A17378" s="20"/>
    </row>
    <row r="17379" spans="1:1" x14ac:dyDescent="0.3">
      <c r="A17379" s="20"/>
    </row>
    <row r="17380" spans="1:1" x14ac:dyDescent="0.3">
      <c r="A17380" s="20"/>
    </row>
    <row r="17381" spans="1:1" x14ac:dyDescent="0.3">
      <c r="A17381" s="20"/>
    </row>
    <row r="17382" spans="1:1" x14ac:dyDescent="0.3">
      <c r="A17382" s="20"/>
    </row>
    <row r="17383" spans="1:1" x14ac:dyDescent="0.3">
      <c r="A17383" s="20"/>
    </row>
    <row r="17384" spans="1:1" x14ac:dyDescent="0.3">
      <c r="A17384" s="20"/>
    </row>
    <row r="17385" spans="1:1" x14ac:dyDescent="0.3">
      <c r="A17385" s="20"/>
    </row>
    <row r="17386" spans="1:1" x14ac:dyDescent="0.3">
      <c r="A17386" s="20"/>
    </row>
    <row r="17387" spans="1:1" x14ac:dyDescent="0.3">
      <c r="A17387" s="20"/>
    </row>
    <row r="17388" spans="1:1" x14ac:dyDescent="0.3">
      <c r="A17388" s="20"/>
    </row>
    <row r="17389" spans="1:1" x14ac:dyDescent="0.3">
      <c r="A17389" s="20"/>
    </row>
    <row r="17390" spans="1:1" x14ac:dyDescent="0.3">
      <c r="A17390" s="20"/>
    </row>
    <row r="17391" spans="1:1" x14ac:dyDescent="0.3">
      <c r="A17391" s="20"/>
    </row>
    <row r="17392" spans="1:1" x14ac:dyDescent="0.3">
      <c r="A17392" s="20"/>
    </row>
    <row r="17393" spans="1:1" x14ac:dyDescent="0.3">
      <c r="A17393" s="20"/>
    </row>
    <row r="17394" spans="1:1" x14ac:dyDescent="0.3">
      <c r="A17394" s="20"/>
    </row>
    <row r="17395" spans="1:1" x14ac:dyDescent="0.3">
      <c r="A17395" s="20"/>
    </row>
    <row r="17396" spans="1:1" x14ac:dyDescent="0.3">
      <c r="A17396" s="20"/>
    </row>
    <row r="17397" spans="1:1" x14ac:dyDescent="0.3">
      <c r="A17397" s="20"/>
    </row>
    <row r="17398" spans="1:1" x14ac:dyDescent="0.3">
      <c r="A17398" s="20"/>
    </row>
    <row r="17399" spans="1:1" x14ac:dyDescent="0.3">
      <c r="A17399" s="20"/>
    </row>
    <row r="17400" spans="1:1" x14ac:dyDescent="0.3">
      <c r="A17400" s="20"/>
    </row>
    <row r="17401" spans="1:1" x14ac:dyDescent="0.3">
      <c r="A17401" s="20"/>
    </row>
    <row r="17402" spans="1:1" x14ac:dyDescent="0.3">
      <c r="A17402" s="20"/>
    </row>
    <row r="17403" spans="1:1" x14ac:dyDescent="0.3">
      <c r="A17403" s="20"/>
    </row>
    <row r="17404" spans="1:1" x14ac:dyDescent="0.3">
      <c r="A17404" s="20"/>
    </row>
    <row r="17405" spans="1:1" x14ac:dyDescent="0.3">
      <c r="A17405" s="20"/>
    </row>
    <row r="17406" spans="1:1" x14ac:dyDescent="0.3">
      <c r="A17406" s="20"/>
    </row>
    <row r="17407" spans="1:1" x14ac:dyDescent="0.3">
      <c r="A17407" s="20"/>
    </row>
    <row r="17408" spans="1:1" x14ac:dyDescent="0.3">
      <c r="A17408" s="20"/>
    </row>
    <row r="17409" spans="1:1" x14ac:dyDescent="0.3">
      <c r="A17409" s="20"/>
    </row>
    <row r="17410" spans="1:1" x14ac:dyDescent="0.3">
      <c r="A17410" s="20"/>
    </row>
    <row r="17411" spans="1:1" x14ac:dyDescent="0.3">
      <c r="A17411" s="20"/>
    </row>
    <row r="17412" spans="1:1" x14ac:dyDescent="0.3">
      <c r="A17412" s="20"/>
    </row>
    <row r="17413" spans="1:1" x14ac:dyDescent="0.3">
      <c r="A17413" s="20"/>
    </row>
    <row r="17414" spans="1:1" x14ac:dyDescent="0.3">
      <c r="A17414" s="20"/>
    </row>
    <row r="17415" spans="1:1" x14ac:dyDescent="0.3">
      <c r="A17415" s="20"/>
    </row>
    <row r="17416" spans="1:1" x14ac:dyDescent="0.3">
      <c r="A17416" s="20"/>
    </row>
    <row r="17417" spans="1:1" x14ac:dyDescent="0.3">
      <c r="A17417" s="20"/>
    </row>
    <row r="17418" spans="1:1" x14ac:dyDescent="0.3">
      <c r="A17418" s="20"/>
    </row>
    <row r="17419" spans="1:1" x14ac:dyDescent="0.3">
      <c r="A17419" s="20"/>
    </row>
    <row r="17420" spans="1:1" x14ac:dyDescent="0.3">
      <c r="A17420" s="20"/>
    </row>
    <row r="17421" spans="1:1" x14ac:dyDescent="0.3">
      <c r="A17421" s="20"/>
    </row>
    <row r="17422" spans="1:1" x14ac:dyDescent="0.3">
      <c r="A17422" s="20"/>
    </row>
    <row r="17423" spans="1:1" x14ac:dyDescent="0.3">
      <c r="A17423" s="20"/>
    </row>
    <row r="17424" spans="1:1" x14ac:dyDescent="0.3">
      <c r="A17424" s="20"/>
    </row>
    <row r="17425" spans="1:1" x14ac:dyDescent="0.3">
      <c r="A17425" s="20"/>
    </row>
    <row r="17426" spans="1:1" x14ac:dyDescent="0.3">
      <c r="A17426" s="20"/>
    </row>
    <row r="17427" spans="1:1" x14ac:dyDescent="0.3">
      <c r="A17427" s="20"/>
    </row>
    <row r="17428" spans="1:1" x14ac:dyDescent="0.3">
      <c r="A17428" s="20"/>
    </row>
    <row r="17429" spans="1:1" x14ac:dyDescent="0.3">
      <c r="A17429" s="20"/>
    </row>
    <row r="17430" spans="1:1" x14ac:dyDescent="0.3">
      <c r="A17430" s="20"/>
    </row>
    <row r="17431" spans="1:1" x14ac:dyDescent="0.3">
      <c r="A17431" s="20"/>
    </row>
    <row r="17432" spans="1:1" x14ac:dyDescent="0.3">
      <c r="A17432" s="20"/>
    </row>
    <row r="17433" spans="1:1" x14ac:dyDescent="0.3">
      <c r="A17433" s="20"/>
    </row>
    <row r="17434" spans="1:1" x14ac:dyDescent="0.3">
      <c r="A17434" s="20"/>
    </row>
    <row r="17435" spans="1:1" x14ac:dyDescent="0.3">
      <c r="A17435" s="20"/>
    </row>
    <row r="17436" spans="1:1" x14ac:dyDescent="0.3">
      <c r="A17436" s="20"/>
    </row>
    <row r="17437" spans="1:1" x14ac:dyDescent="0.3">
      <c r="A17437" s="20"/>
    </row>
    <row r="17438" spans="1:1" x14ac:dyDescent="0.3">
      <c r="A17438" s="20"/>
    </row>
    <row r="17439" spans="1:1" x14ac:dyDescent="0.3">
      <c r="A17439" s="20"/>
    </row>
    <row r="17440" spans="1:1" x14ac:dyDescent="0.3">
      <c r="A17440" s="20"/>
    </row>
    <row r="17441" spans="1:1" x14ac:dyDescent="0.3">
      <c r="A17441" s="20"/>
    </row>
    <row r="17442" spans="1:1" x14ac:dyDescent="0.3">
      <c r="A17442" s="20"/>
    </row>
    <row r="17443" spans="1:1" x14ac:dyDescent="0.3">
      <c r="A17443" s="20"/>
    </row>
    <row r="17444" spans="1:1" x14ac:dyDescent="0.3">
      <c r="A17444" s="20"/>
    </row>
    <row r="17445" spans="1:1" x14ac:dyDescent="0.3">
      <c r="A17445" s="20"/>
    </row>
    <row r="17446" spans="1:1" x14ac:dyDescent="0.3">
      <c r="A17446" s="20"/>
    </row>
    <row r="17447" spans="1:1" x14ac:dyDescent="0.3">
      <c r="A17447" s="20"/>
    </row>
    <row r="17448" spans="1:1" x14ac:dyDescent="0.3">
      <c r="A17448" s="20"/>
    </row>
    <row r="17449" spans="1:1" x14ac:dyDescent="0.3">
      <c r="A17449" s="20"/>
    </row>
    <row r="17450" spans="1:1" x14ac:dyDescent="0.3">
      <c r="A17450" s="20"/>
    </row>
    <row r="17451" spans="1:1" x14ac:dyDescent="0.3">
      <c r="A17451" s="20"/>
    </row>
    <row r="17452" spans="1:1" x14ac:dyDescent="0.3">
      <c r="A17452" s="20"/>
    </row>
    <row r="17453" spans="1:1" x14ac:dyDescent="0.3">
      <c r="A17453" s="20"/>
    </row>
    <row r="17454" spans="1:1" x14ac:dyDescent="0.3">
      <c r="A17454" s="20"/>
    </row>
    <row r="17455" spans="1:1" x14ac:dyDescent="0.3">
      <c r="A17455" s="20"/>
    </row>
    <row r="17456" spans="1:1" x14ac:dyDescent="0.3">
      <c r="A17456" s="20"/>
    </row>
    <row r="17457" spans="1:1" x14ac:dyDescent="0.3">
      <c r="A17457" s="20"/>
    </row>
    <row r="17458" spans="1:1" x14ac:dyDescent="0.3">
      <c r="A17458" s="20"/>
    </row>
    <row r="17459" spans="1:1" x14ac:dyDescent="0.3">
      <c r="A17459" s="20"/>
    </row>
    <row r="17460" spans="1:1" x14ac:dyDescent="0.3">
      <c r="A17460" s="20"/>
    </row>
    <row r="17461" spans="1:1" x14ac:dyDescent="0.3">
      <c r="A17461" s="20"/>
    </row>
    <row r="17462" spans="1:1" x14ac:dyDescent="0.3">
      <c r="A17462" s="20"/>
    </row>
    <row r="17463" spans="1:1" x14ac:dyDescent="0.3">
      <c r="A17463" s="20"/>
    </row>
    <row r="17464" spans="1:1" x14ac:dyDescent="0.3">
      <c r="A17464" s="20"/>
    </row>
    <row r="17465" spans="1:1" x14ac:dyDescent="0.3">
      <c r="A17465" s="20"/>
    </row>
    <row r="17466" spans="1:1" x14ac:dyDescent="0.3">
      <c r="A17466" s="20"/>
    </row>
    <row r="17467" spans="1:1" x14ac:dyDescent="0.3">
      <c r="A17467" s="20"/>
    </row>
    <row r="17468" spans="1:1" x14ac:dyDescent="0.3">
      <c r="A17468" s="20"/>
    </row>
    <row r="17469" spans="1:1" x14ac:dyDescent="0.3">
      <c r="A17469" s="20"/>
    </row>
    <row r="17470" spans="1:1" x14ac:dyDescent="0.3">
      <c r="A17470" s="20"/>
    </row>
    <row r="17471" spans="1:1" x14ac:dyDescent="0.3">
      <c r="A17471" s="20"/>
    </row>
    <row r="17472" spans="1:1" x14ac:dyDescent="0.3">
      <c r="A17472" s="20"/>
    </row>
    <row r="17473" spans="1:1" x14ac:dyDescent="0.3">
      <c r="A17473" s="20"/>
    </row>
    <row r="17474" spans="1:1" x14ac:dyDescent="0.3">
      <c r="A17474" s="20"/>
    </row>
    <row r="17475" spans="1:1" x14ac:dyDescent="0.3">
      <c r="A17475" s="20"/>
    </row>
    <row r="17476" spans="1:1" x14ac:dyDescent="0.3">
      <c r="A17476" s="20"/>
    </row>
    <row r="17477" spans="1:1" x14ac:dyDescent="0.3">
      <c r="A17477" s="20"/>
    </row>
    <row r="17478" spans="1:1" x14ac:dyDescent="0.3">
      <c r="A17478" s="20"/>
    </row>
    <row r="17479" spans="1:1" x14ac:dyDescent="0.3">
      <c r="A17479" s="20"/>
    </row>
    <row r="17480" spans="1:1" x14ac:dyDescent="0.3">
      <c r="A17480" s="20"/>
    </row>
    <row r="17481" spans="1:1" x14ac:dyDescent="0.3">
      <c r="A17481" s="20"/>
    </row>
    <row r="17482" spans="1:1" x14ac:dyDescent="0.3">
      <c r="A17482" s="20"/>
    </row>
    <row r="17483" spans="1:1" x14ac:dyDescent="0.3">
      <c r="A17483" s="20"/>
    </row>
    <row r="17484" spans="1:1" x14ac:dyDescent="0.3">
      <c r="A17484" s="20"/>
    </row>
    <row r="17485" spans="1:1" x14ac:dyDescent="0.3">
      <c r="A17485" s="20"/>
    </row>
    <row r="17486" spans="1:1" x14ac:dyDescent="0.3">
      <c r="A17486" s="20"/>
    </row>
    <row r="17487" spans="1:1" x14ac:dyDescent="0.3">
      <c r="A17487" s="20"/>
    </row>
    <row r="17488" spans="1:1" x14ac:dyDescent="0.3">
      <c r="A17488" s="20"/>
    </row>
    <row r="17489" spans="1:1" x14ac:dyDescent="0.3">
      <c r="A17489" s="20"/>
    </row>
    <row r="17490" spans="1:1" x14ac:dyDescent="0.3">
      <c r="A17490" s="20"/>
    </row>
    <row r="17491" spans="1:1" x14ac:dyDescent="0.3">
      <c r="A17491" s="20"/>
    </row>
    <row r="17492" spans="1:1" x14ac:dyDescent="0.3">
      <c r="A17492" s="20"/>
    </row>
    <row r="17493" spans="1:1" x14ac:dyDescent="0.3">
      <c r="A17493" s="20"/>
    </row>
    <row r="17494" spans="1:1" x14ac:dyDescent="0.3">
      <c r="A17494" s="20"/>
    </row>
    <row r="17495" spans="1:1" x14ac:dyDescent="0.3">
      <c r="A17495" s="20"/>
    </row>
    <row r="17496" spans="1:1" x14ac:dyDescent="0.3">
      <c r="A17496" s="20"/>
    </row>
    <row r="17497" spans="1:1" x14ac:dyDescent="0.3">
      <c r="A17497" s="20"/>
    </row>
    <row r="17498" spans="1:1" x14ac:dyDescent="0.3">
      <c r="A17498" s="20"/>
    </row>
    <row r="17499" spans="1:1" x14ac:dyDescent="0.3">
      <c r="A17499" s="20"/>
    </row>
    <row r="17500" spans="1:1" x14ac:dyDescent="0.3">
      <c r="A17500" s="20"/>
    </row>
    <row r="17501" spans="1:1" x14ac:dyDescent="0.3">
      <c r="A17501" s="20"/>
    </row>
    <row r="17502" spans="1:1" x14ac:dyDescent="0.3">
      <c r="A17502" s="20"/>
    </row>
    <row r="17503" spans="1:1" x14ac:dyDescent="0.3">
      <c r="A17503" s="20"/>
    </row>
    <row r="17504" spans="1:1" x14ac:dyDescent="0.3">
      <c r="A17504" s="20"/>
    </row>
    <row r="17505" spans="1:1" x14ac:dyDescent="0.3">
      <c r="A17505" s="20"/>
    </row>
    <row r="17506" spans="1:1" x14ac:dyDescent="0.3">
      <c r="A17506" s="20"/>
    </row>
    <row r="17507" spans="1:1" x14ac:dyDescent="0.3">
      <c r="A17507" s="20"/>
    </row>
    <row r="17508" spans="1:1" x14ac:dyDescent="0.3">
      <c r="A17508" s="20"/>
    </row>
    <row r="17509" spans="1:1" x14ac:dyDescent="0.3">
      <c r="A17509" s="20"/>
    </row>
    <row r="17510" spans="1:1" x14ac:dyDescent="0.3">
      <c r="A17510" s="20"/>
    </row>
    <row r="17511" spans="1:1" x14ac:dyDescent="0.3">
      <c r="A17511" s="20"/>
    </row>
    <row r="17512" spans="1:1" x14ac:dyDescent="0.3">
      <c r="A17512" s="20"/>
    </row>
    <row r="17513" spans="1:1" x14ac:dyDescent="0.3">
      <c r="A17513" s="20"/>
    </row>
    <row r="17514" spans="1:1" x14ac:dyDescent="0.3">
      <c r="A17514" s="20"/>
    </row>
    <row r="17515" spans="1:1" x14ac:dyDescent="0.3">
      <c r="A17515" s="20"/>
    </row>
    <row r="17516" spans="1:1" x14ac:dyDescent="0.3">
      <c r="A17516" s="20"/>
    </row>
    <row r="17517" spans="1:1" x14ac:dyDescent="0.3">
      <c r="A17517" s="20"/>
    </row>
    <row r="17518" spans="1:1" x14ac:dyDescent="0.3">
      <c r="A17518" s="20"/>
    </row>
    <row r="17519" spans="1:1" x14ac:dyDescent="0.3">
      <c r="A17519" s="20"/>
    </row>
    <row r="17520" spans="1:1" x14ac:dyDescent="0.3">
      <c r="A17520" s="20"/>
    </row>
    <row r="17521" spans="1:1" x14ac:dyDescent="0.3">
      <c r="A17521" s="20"/>
    </row>
    <row r="17522" spans="1:1" x14ac:dyDescent="0.3">
      <c r="A17522" s="20"/>
    </row>
    <row r="17523" spans="1:1" x14ac:dyDescent="0.3">
      <c r="A17523" s="20"/>
    </row>
    <row r="17524" spans="1:1" x14ac:dyDescent="0.3">
      <c r="A17524" s="20"/>
    </row>
    <row r="17525" spans="1:1" x14ac:dyDescent="0.3">
      <c r="A17525" s="20"/>
    </row>
    <row r="17526" spans="1:1" x14ac:dyDescent="0.3">
      <c r="A17526" s="20"/>
    </row>
    <row r="17527" spans="1:1" x14ac:dyDescent="0.3">
      <c r="A17527" s="20"/>
    </row>
    <row r="17528" spans="1:1" x14ac:dyDescent="0.3">
      <c r="A17528" s="20"/>
    </row>
    <row r="17529" spans="1:1" x14ac:dyDescent="0.3">
      <c r="A17529" s="20"/>
    </row>
    <row r="17530" spans="1:1" x14ac:dyDescent="0.3">
      <c r="A17530" s="20"/>
    </row>
    <row r="17531" spans="1:1" x14ac:dyDescent="0.3">
      <c r="A17531" s="20"/>
    </row>
    <row r="17532" spans="1:1" x14ac:dyDescent="0.3">
      <c r="A17532" s="20"/>
    </row>
    <row r="17533" spans="1:1" x14ac:dyDescent="0.3">
      <c r="A17533" s="20"/>
    </row>
    <row r="17534" spans="1:1" x14ac:dyDescent="0.3">
      <c r="A17534" s="20"/>
    </row>
    <row r="17535" spans="1:1" x14ac:dyDescent="0.3">
      <c r="A17535" s="20"/>
    </row>
    <row r="17536" spans="1:1" x14ac:dyDescent="0.3">
      <c r="A17536" s="20"/>
    </row>
    <row r="17537" spans="1:1" x14ac:dyDescent="0.3">
      <c r="A17537" s="20"/>
    </row>
    <row r="17538" spans="1:1" x14ac:dyDescent="0.3">
      <c r="A17538" s="20"/>
    </row>
    <row r="17539" spans="1:1" x14ac:dyDescent="0.3">
      <c r="A17539" s="20"/>
    </row>
    <row r="17540" spans="1:1" x14ac:dyDescent="0.3">
      <c r="A17540" s="20"/>
    </row>
    <row r="17541" spans="1:1" x14ac:dyDescent="0.3">
      <c r="A17541" s="20"/>
    </row>
    <row r="17542" spans="1:1" x14ac:dyDescent="0.3">
      <c r="A17542" s="20"/>
    </row>
    <row r="17543" spans="1:1" x14ac:dyDescent="0.3">
      <c r="A17543" s="20"/>
    </row>
    <row r="17544" spans="1:1" x14ac:dyDescent="0.3">
      <c r="A17544" s="20"/>
    </row>
    <row r="17545" spans="1:1" x14ac:dyDescent="0.3">
      <c r="A17545" s="20"/>
    </row>
    <row r="17546" spans="1:1" x14ac:dyDescent="0.3">
      <c r="A17546" s="20"/>
    </row>
    <row r="17547" spans="1:1" x14ac:dyDescent="0.3">
      <c r="A17547" s="20"/>
    </row>
    <row r="17548" spans="1:1" x14ac:dyDescent="0.3">
      <c r="A17548" s="20"/>
    </row>
    <row r="17549" spans="1:1" x14ac:dyDescent="0.3">
      <c r="A17549" s="20"/>
    </row>
    <row r="17550" spans="1:1" x14ac:dyDescent="0.3">
      <c r="A17550" s="20"/>
    </row>
    <row r="17551" spans="1:1" x14ac:dyDescent="0.3">
      <c r="A17551" s="20"/>
    </row>
    <row r="17552" spans="1:1" x14ac:dyDescent="0.3">
      <c r="A17552" s="20"/>
    </row>
    <row r="17553" spans="1:1" x14ac:dyDescent="0.3">
      <c r="A17553" s="20"/>
    </row>
    <row r="17554" spans="1:1" x14ac:dyDescent="0.3">
      <c r="A17554" s="20"/>
    </row>
    <row r="17555" spans="1:1" x14ac:dyDescent="0.3">
      <c r="A17555" s="20"/>
    </row>
    <row r="17556" spans="1:1" x14ac:dyDescent="0.3">
      <c r="A17556" s="20"/>
    </row>
    <row r="17557" spans="1:1" x14ac:dyDescent="0.3">
      <c r="A17557" s="20"/>
    </row>
    <row r="17558" spans="1:1" x14ac:dyDescent="0.3">
      <c r="A17558" s="20"/>
    </row>
    <row r="17559" spans="1:1" x14ac:dyDescent="0.3">
      <c r="A17559" s="20"/>
    </row>
    <row r="17560" spans="1:1" x14ac:dyDescent="0.3">
      <c r="A17560" s="20"/>
    </row>
    <row r="17561" spans="1:1" x14ac:dyDescent="0.3">
      <c r="A17561" s="20"/>
    </row>
    <row r="17562" spans="1:1" x14ac:dyDescent="0.3">
      <c r="A17562" s="20"/>
    </row>
    <row r="17563" spans="1:1" x14ac:dyDescent="0.3">
      <c r="A17563" s="20"/>
    </row>
    <row r="17564" spans="1:1" x14ac:dyDescent="0.3">
      <c r="A17564" s="20"/>
    </row>
    <row r="17565" spans="1:1" x14ac:dyDescent="0.3">
      <c r="A17565" s="20"/>
    </row>
    <row r="17566" spans="1:1" x14ac:dyDescent="0.3">
      <c r="A17566" s="20"/>
    </row>
    <row r="17567" spans="1:1" x14ac:dyDescent="0.3">
      <c r="A17567" s="20"/>
    </row>
    <row r="17568" spans="1:1" x14ac:dyDescent="0.3">
      <c r="A17568" s="20"/>
    </row>
    <row r="17569" spans="1:1" x14ac:dyDescent="0.3">
      <c r="A17569" s="20"/>
    </row>
    <row r="17570" spans="1:1" x14ac:dyDescent="0.3">
      <c r="A17570" s="20"/>
    </row>
    <row r="17571" spans="1:1" x14ac:dyDescent="0.3">
      <c r="A17571" s="20"/>
    </row>
    <row r="17572" spans="1:1" x14ac:dyDescent="0.3">
      <c r="A17572" s="20"/>
    </row>
    <row r="17573" spans="1:1" x14ac:dyDescent="0.3">
      <c r="A17573" s="20"/>
    </row>
    <row r="17574" spans="1:1" x14ac:dyDescent="0.3">
      <c r="A17574" s="20"/>
    </row>
    <row r="17575" spans="1:1" x14ac:dyDescent="0.3">
      <c r="A17575" s="20"/>
    </row>
    <row r="17576" spans="1:1" x14ac:dyDescent="0.3">
      <c r="A17576" s="20"/>
    </row>
    <row r="17577" spans="1:1" x14ac:dyDescent="0.3">
      <c r="A17577" s="20"/>
    </row>
    <row r="17578" spans="1:1" x14ac:dyDescent="0.3">
      <c r="A17578" s="20"/>
    </row>
    <row r="17579" spans="1:1" x14ac:dyDescent="0.3">
      <c r="A17579" s="20"/>
    </row>
    <row r="17580" spans="1:1" x14ac:dyDescent="0.3">
      <c r="A17580" s="20"/>
    </row>
    <row r="17581" spans="1:1" x14ac:dyDescent="0.3">
      <c r="A17581" s="20"/>
    </row>
    <row r="17582" spans="1:1" x14ac:dyDescent="0.3">
      <c r="A17582" s="20"/>
    </row>
    <row r="17583" spans="1:1" x14ac:dyDescent="0.3">
      <c r="A17583" s="20"/>
    </row>
    <row r="17584" spans="1:1" x14ac:dyDescent="0.3">
      <c r="A17584" s="20"/>
    </row>
    <row r="17585" spans="1:1" x14ac:dyDescent="0.3">
      <c r="A17585" s="20"/>
    </row>
    <row r="17586" spans="1:1" x14ac:dyDescent="0.3">
      <c r="A17586" s="20"/>
    </row>
    <row r="17587" spans="1:1" x14ac:dyDescent="0.3">
      <c r="A17587" s="20"/>
    </row>
    <row r="17588" spans="1:1" x14ac:dyDescent="0.3">
      <c r="A17588" s="20"/>
    </row>
    <row r="17589" spans="1:1" x14ac:dyDescent="0.3">
      <c r="A17589" s="20"/>
    </row>
    <row r="17590" spans="1:1" x14ac:dyDescent="0.3">
      <c r="A17590" s="20"/>
    </row>
    <row r="17591" spans="1:1" x14ac:dyDescent="0.3">
      <c r="A17591" s="20"/>
    </row>
    <row r="17592" spans="1:1" x14ac:dyDescent="0.3">
      <c r="A17592" s="20"/>
    </row>
    <row r="17593" spans="1:1" x14ac:dyDescent="0.3">
      <c r="A17593" s="20"/>
    </row>
    <row r="17594" spans="1:1" x14ac:dyDescent="0.3">
      <c r="A17594" s="20"/>
    </row>
    <row r="17595" spans="1:1" x14ac:dyDescent="0.3">
      <c r="A17595" s="20"/>
    </row>
    <row r="17596" spans="1:1" x14ac:dyDescent="0.3">
      <c r="A17596" s="20"/>
    </row>
    <row r="17597" spans="1:1" x14ac:dyDescent="0.3">
      <c r="A17597" s="20"/>
    </row>
    <row r="17598" spans="1:1" x14ac:dyDescent="0.3">
      <c r="A17598" s="20"/>
    </row>
    <row r="17599" spans="1:1" x14ac:dyDescent="0.3">
      <c r="A17599" s="20"/>
    </row>
    <row r="17600" spans="1:1" x14ac:dyDescent="0.3">
      <c r="A17600" s="20"/>
    </row>
    <row r="17601" spans="1:1" x14ac:dyDescent="0.3">
      <c r="A17601" s="20"/>
    </row>
    <row r="17602" spans="1:1" x14ac:dyDescent="0.3">
      <c r="A17602" s="20"/>
    </row>
    <row r="17603" spans="1:1" x14ac:dyDescent="0.3">
      <c r="A17603" s="20"/>
    </row>
    <row r="17604" spans="1:1" x14ac:dyDescent="0.3">
      <c r="A17604" s="20"/>
    </row>
    <row r="17605" spans="1:1" x14ac:dyDescent="0.3">
      <c r="A17605" s="20"/>
    </row>
    <row r="17606" spans="1:1" x14ac:dyDescent="0.3">
      <c r="A17606" s="20"/>
    </row>
    <row r="17607" spans="1:1" x14ac:dyDescent="0.3">
      <c r="A17607" s="20"/>
    </row>
    <row r="17608" spans="1:1" x14ac:dyDescent="0.3">
      <c r="A17608" s="20"/>
    </row>
    <row r="17609" spans="1:1" x14ac:dyDescent="0.3">
      <c r="A17609" s="20"/>
    </row>
    <row r="17610" spans="1:1" x14ac:dyDescent="0.3">
      <c r="A17610" s="20"/>
    </row>
    <row r="17611" spans="1:1" x14ac:dyDescent="0.3">
      <c r="A17611" s="20"/>
    </row>
    <row r="17612" spans="1:1" x14ac:dyDescent="0.3">
      <c r="A17612" s="20"/>
    </row>
    <row r="17613" spans="1:1" x14ac:dyDescent="0.3">
      <c r="A17613" s="20"/>
    </row>
    <row r="17614" spans="1:1" x14ac:dyDescent="0.3">
      <c r="A17614" s="20"/>
    </row>
    <row r="17615" spans="1:1" x14ac:dyDescent="0.3">
      <c r="A17615" s="20"/>
    </row>
    <row r="17616" spans="1:1" x14ac:dyDescent="0.3">
      <c r="A17616" s="20"/>
    </row>
    <row r="17617" spans="1:1" x14ac:dyDescent="0.3">
      <c r="A17617" s="20"/>
    </row>
    <row r="17618" spans="1:1" x14ac:dyDescent="0.3">
      <c r="A17618" s="20"/>
    </row>
    <row r="17619" spans="1:1" x14ac:dyDescent="0.3">
      <c r="A17619" s="20"/>
    </row>
    <row r="17620" spans="1:1" x14ac:dyDescent="0.3">
      <c r="A17620" s="20"/>
    </row>
    <row r="17621" spans="1:1" x14ac:dyDescent="0.3">
      <c r="A17621" s="20"/>
    </row>
    <row r="17622" spans="1:1" x14ac:dyDescent="0.3">
      <c r="A17622" s="20"/>
    </row>
    <row r="17623" spans="1:1" x14ac:dyDescent="0.3">
      <c r="A17623" s="20"/>
    </row>
    <row r="17624" spans="1:1" x14ac:dyDescent="0.3">
      <c r="A17624" s="20"/>
    </row>
    <row r="17625" spans="1:1" x14ac:dyDescent="0.3">
      <c r="A17625" s="20"/>
    </row>
    <row r="17626" spans="1:1" x14ac:dyDescent="0.3">
      <c r="A17626" s="20"/>
    </row>
    <row r="17627" spans="1:1" x14ac:dyDescent="0.3">
      <c r="A17627" s="20"/>
    </row>
    <row r="17628" spans="1:1" x14ac:dyDescent="0.3">
      <c r="A17628" s="20"/>
    </row>
    <row r="17629" spans="1:1" x14ac:dyDescent="0.3">
      <c r="A17629" s="20"/>
    </row>
    <row r="17630" spans="1:1" x14ac:dyDescent="0.3">
      <c r="A17630" s="20"/>
    </row>
    <row r="17631" spans="1:1" x14ac:dyDescent="0.3">
      <c r="A17631" s="20"/>
    </row>
    <row r="17632" spans="1:1" x14ac:dyDescent="0.3">
      <c r="A17632" s="20"/>
    </row>
    <row r="17633" spans="1:1" x14ac:dyDescent="0.3">
      <c r="A17633" s="20"/>
    </row>
    <row r="17634" spans="1:1" x14ac:dyDescent="0.3">
      <c r="A17634" s="20"/>
    </row>
    <row r="17635" spans="1:1" x14ac:dyDescent="0.3">
      <c r="A17635" s="20"/>
    </row>
    <row r="17636" spans="1:1" x14ac:dyDescent="0.3">
      <c r="A17636" s="20"/>
    </row>
    <row r="17637" spans="1:1" x14ac:dyDescent="0.3">
      <c r="A17637" s="20"/>
    </row>
    <row r="17638" spans="1:1" x14ac:dyDescent="0.3">
      <c r="A17638" s="20"/>
    </row>
    <row r="17639" spans="1:1" x14ac:dyDescent="0.3">
      <c r="A17639" s="20"/>
    </row>
    <row r="17640" spans="1:1" x14ac:dyDescent="0.3">
      <c r="A17640" s="20"/>
    </row>
    <row r="17641" spans="1:1" x14ac:dyDescent="0.3">
      <c r="A17641" s="20"/>
    </row>
    <row r="17642" spans="1:1" x14ac:dyDescent="0.3">
      <c r="A17642" s="20"/>
    </row>
    <row r="17643" spans="1:1" x14ac:dyDescent="0.3">
      <c r="A17643" s="20"/>
    </row>
    <row r="17644" spans="1:1" x14ac:dyDescent="0.3">
      <c r="A17644" s="20"/>
    </row>
    <row r="17645" spans="1:1" x14ac:dyDescent="0.3">
      <c r="A17645" s="20"/>
    </row>
    <row r="17646" spans="1:1" x14ac:dyDescent="0.3">
      <c r="A17646" s="20"/>
    </row>
    <row r="17647" spans="1:1" x14ac:dyDescent="0.3">
      <c r="A17647" s="20"/>
    </row>
    <row r="17648" spans="1:1" x14ac:dyDescent="0.3">
      <c r="A17648" s="20"/>
    </row>
    <row r="17649" spans="1:1" x14ac:dyDescent="0.3">
      <c r="A17649" s="20"/>
    </row>
    <row r="17650" spans="1:1" x14ac:dyDescent="0.3">
      <c r="A17650" s="20"/>
    </row>
    <row r="17651" spans="1:1" x14ac:dyDescent="0.3">
      <c r="A17651" s="20"/>
    </row>
    <row r="17652" spans="1:1" x14ac:dyDescent="0.3">
      <c r="A17652" s="20"/>
    </row>
    <row r="17653" spans="1:1" x14ac:dyDescent="0.3">
      <c r="A17653" s="20"/>
    </row>
    <row r="17654" spans="1:1" x14ac:dyDescent="0.3">
      <c r="A17654" s="20"/>
    </row>
    <row r="17655" spans="1:1" x14ac:dyDescent="0.3">
      <c r="A17655" s="20"/>
    </row>
    <row r="17656" spans="1:1" x14ac:dyDescent="0.3">
      <c r="A17656" s="20"/>
    </row>
    <row r="17657" spans="1:1" x14ac:dyDescent="0.3">
      <c r="A17657" s="20"/>
    </row>
    <row r="17658" spans="1:1" x14ac:dyDescent="0.3">
      <c r="A17658" s="20"/>
    </row>
    <row r="17659" spans="1:1" x14ac:dyDescent="0.3">
      <c r="A17659" s="20"/>
    </row>
    <row r="17660" spans="1:1" x14ac:dyDescent="0.3">
      <c r="A17660" s="20"/>
    </row>
    <row r="17661" spans="1:1" x14ac:dyDescent="0.3">
      <c r="A17661" s="20"/>
    </row>
    <row r="17662" spans="1:1" x14ac:dyDescent="0.3">
      <c r="A17662" s="20"/>
    </row>
    <row r="17663" spans="1:1" x14ac:dyDescent="0.3">
      <c r="A17663" s="20"/>
    </row>
    <row r="17664" spans="1:1" x14ac:dyDescent="0.3">
      <c r="A17664" s="20"/>
    </row>
    <row r="17665" spans="1:1" x14ac:dyDescent="0.3">
      <c r="A17665" s="20"/>
    </row>
    <row r="17666" spans="1:1" x14ac:dyDescent="0.3">
      <c r="A17666" s="20"/>
    </row>
    <row r="17667" spans="1:1" x14ac:dyDescent="0.3">
      <c r="A17667" s="20"/>
    </row>
    <row r="17668" spans="1:1" x14ac:dyDescent="0.3">
      <c r="A17668" s="20"/>
    </row>
    <row r="17669" spans="1:1" x14ac:dyDescent="0.3">
      <c r="A17669" s="20"/>
    </row>
    <row r="17670" spans="1:1" x14ac:dyDescent="0.3">
      <c r="A17670" s="20"/>
    </row>
    <row r="17671" spans="1:1" x14ac:dyDescent="0.3">
      <c r="A17671" s="20"/>
    </row>
    <row r="17672" spans="1:1" x14ac:dyDescent="0.3">
      <c r="A17672" s="20"/>
    </row>
    <row r="17673" spans="1:1" x14ac:dyDescent="0.3">
      <c r="A17673" s="20"/>
    </row>
    <row r="17674" spans="1:1" x14ac:dyDescent="0.3">
      <c r="A17674" s="20"/>
    </row>
    <row r="17675" spans="1:1" x14ac:dyDescent="0.3">
      <c r="A17675" s="20"/>
    </row>
    <row r="17676" spans="1:1" x14ac:dyDescent="0.3">
      <c r="A17676" s="20"/>
    </row>
    <row r="17677" spans="1:1" x14ac:dyDescent="0.3">
      <c r="A17677" s="20"/>
    </row>
    <row r="17678" spans="1:1" x14ac:dyDescent="0.3">
      <c r="A17678" s="20"/>
    </row>
    <row r="17679" spans="1:1" x14ac:dyDescent="0.3">
      <c r="A17679" s="20"/>
    </row>
    <row r="17680" spans="1:1" x14ac:dyDescent="0.3">
      <c r="A17680" s="20"/>
    </row>
    <row r="17681" spans="1:1" x14ac:dyDescent="0.3">
      <c r="A17681" s="20"/>
    </row>
    <row r="17682" spans="1:1" x14ac:dyDescent="0.3">
      <c r="A17682" s="20"/>
    </row>
    <row r="17683" spans="1:1" x14ac:dyDescent="0.3">
      <c r="A17683" s="20"/>
    </row>
    <row r="17684" spans="1:1" x14ac:dyDescent="0.3">
      <c r="A17684" s="20"/>
    </row>
    <row r="17685" spans="1:1" x14ac:dyDescent="0.3">
      <c r="A17685" s="20"/>
    </row>
    <row r="17686" spans="1:1" x14ac:dyDescent="0.3">
      <c r="A17686" s="20"/>
    </row>
    <row r="17687" spans="1:1" x14ac:dyDescent="0.3">
      <c r="A17687" s="20"/>
    </row>
    <row r="17688" spans="1:1" x14ac:dyDescent="0.3">
      <c r="A17688" s="20"/>
    </row>
    <row r="17689" spans="1:1" x14ac:dyDescent="0.3">
      <c r="A17689" s="20"/>
    </row>
    <row r="17690" spans="1:1" x14ac:dyDescent="0.3">
      <c r="A17690" s="20"/>
    </row>
    <row r="17691" spans="1:1" x14ac:dyDescent="0.3">
      <c r="A17691" s="20"/>
    </row>
    <row r="17692" spans="1:1" x14ac:dyDescent="0.3">
      <c r="A17692" s="20"/>
    </row>
    <row r="17693" spans="1:1" x14ac:dyDescent="0.3">
      <c r="A17693" s="20"/>
    </row>
    <row r="17694" spans="1:1" x14ac:dyDescent="0.3">
      <c r="A17694" s="20"/>
    </row>
    <row r="17695" spans="1:1" x14ac:dyDescent="0.3">
      <c r="A17695" s="20"/>
    </row>
    <row r="17696" spans="1:1" x14ac:dyDescent="0.3">
      <c r="A17696" s="20"/>
    </row>
    <row r="17697" spans="1:1" x14ac:dyDescent="0.3">
      <c r="A17697" s="20"/>
    </row>
    <row r="17698" spans="1:1" x14ac:dyDescent="0.3">
      <c r="A17698" s="20"/>
    </row>
    <row r="17699" spans="1:1" x14ac:dyDescent="0.3">
      <c r="A17699" s="20"/>
    </row>
    <row r="17700" spans="1:1" x14ac:dyDescent="0.3">
      <c r="A17700" s="20"/>
    </row>
    <row r="17701" spans="1:1" x14ac:dyDescent="0.3">
      <c r="A17701" s="20"/>
    </row>
    <row r="17702" spans="1:1" x14ac:dyDescent="0.3">
      <c r="A17702" s="20"/>
    </row>
    <row r="17703" spans="1:1" x14ac:dyDescent="0.3">
      <c r="A17703" s="20"/>
    </row>
    <row r="17704" spans="1:1" x14ac:dyDescent="0.3">
      <c r="A17704" s="20"/>
    </row>
    <row r="17705" spans="1:1" x14ac:dyDescent="0.3">
      <c r="A17705" s="20"/>
    </row>
    <row r="17706" spans="1:1" x14ac:dyDescent="0.3">
      <c r="A17706" s="20"/>
    </row>
    <row r="17707" spans="1:1" x14ac:dyDescent="0.3">
      <c r="A17707" s="20"/>
    </row>
    <row r="17708" spans="1:1" x14ac:dyDescent="0.3">
      <c r="A17708" s="20"/>
    </row>
    <row r="17709" spans="1:1" x14ac:dyDescent="0.3">
      <c r="A17709" s="20"/>
    </row>
    <row r="17710" spans="1:1" x14ac:dyDescent="0.3">
      <c r="A17710" s="20"/>
    </row>
    <row r="17711" spans="1:1" x14ac:dyDescent="0.3">
      <c r="A17711" s="20"/>
    </row>
    <row r="17712" spans="1:1" x14ac:dyDescent="0.3">
      <c r="A17712" s="20"/>
    </row>
    <row r="17713" spans="1:1" x14ac:dyDescent="0.3">
      <c r="A17713" s="20"/>
    </row>
    <row r="17714" spans="1:1" x14ac:dyDescent="0.3">
      <c r="A17714" s="20"/>
    </row>
    <row r="17715" spans="1:1" x14ac:dyDescent="0.3">
      <c r="A17715" s="20"/>
    </row>
    <row r="17716" spans="1:1" x14ac:dyDescent="0.3">
      <c r="A17716" s="20"/>
    </row>
    <row r="17717" spans="1:1" x14ac:dyDescent="0.3">
      <c r="A17717" s="20"/>
    </row>
    <row r="17718" spans="1:1" x14ac:dyDescent="0.3">
      <c r="A17718" s="20"/>
    </row>
    <row r="17719" spans="1:1" x14ac:dyDescent="0.3">
      <c r="A17719" s="20"/>
    </row>
    <row r="17720" spans="1:1" x14ac:dyDescent="0.3">
      <c r="A17720" s="20"/>
    </row>
    <row r="17721" spans="1:1" x14ac:dyDescent="0.3">
      <c r="A17721" s="20"/>
    </row>
    <row r="17722" spans="1:1" x14ac:dyDescent="0.3">
      <c r="A17722" s="20"/>
    </row>
    <row r="17723" spans="1:1" x14ac:dyDescent="0.3">
      <c r="A17723" s="20"/>
    </row>
    <row r="17724" spans="1:1" x14ac:dyDescent="0.3">
      <c r="A17724" s="20"/>
    </row>
    <row r="17725" spans="1:1" x14ac:dyDescent="0.3">
      <c r="A17725" s="20"/>
    </row>
    <row r="17726" spans="1:1" x14ac:dyDescent="0.3">
      <c r="A17726" s="20"/>
    </row>
    <row r="17727" spans="1:1" x14ac:dyDescent="0.3">
      <c r="A17727" s="20"/>
    </row>
    <row r="17728" spans="1:1" x14ac:dyDescent="0.3">
      <c r="A17728" s="20"/>
    </row>
    <row r="17729" spans="1:1" x14ac:dyDescent="0.3">
      <c r="A17729" s="20"/>
    </row>
    <row r="17730" spans="1:1" x14ac:dyDescent="0.3">
      <c r="A17730" s="20"/>
    </row>
    <row r="17731" spans="1:1" x14ac:dyDescent="0.3">
      <c r="A17731" s="20"/>
    </row>
    <row r="17732" spans="1:1" x14ac:dyDescent="0.3">
      <c r="A17732" s="20"/>
    </row>
    <row r="17733" spans="1:1" x14ac:dyDescent="0.3">
      <c r="A17733" s="20"/>
    </row>
    <row r="17734" spans="1:1" x14ac:dyDescent="0.3">
      <c r="A17734" s="20"/>
    </row>
    <row r="17735" spans="1:1" x14ac:dyDescent="0.3">
      <c r="A17735" s="20"/>
    </row>
    <row r="17736" spans="1:1" x14ac:dyDescent="0.3">
      <c r="A17736" s="20"/>
    </row>
    <row r="17737" spans="1:1" x14ac:dyDescent="0.3">
      <c r="A17737" s="20"/>
    </row>
    <row r="17738" spans="1:1" x14ac:dyDescent="0.3">
      <c r="A17738" s="20"/>
    </row>
    <row r="17739" spans="1:1" x14ac:dyDescent="0.3">
      <c r="A17739" s="20"/>
    </row>
    <row r="17740" spans="1:1" x14ac:dyDescent="0.3">
      <c r="A17740" s="20"/>
    </row>
    <row r="17741" spans="1:1" x14ac:dyDescent="0.3">
      <c r="A17741" s="20"/>
    </row>
    <row r="17742" spans="1:1" x14ac:dyDescent="0.3">
      <c r="A17742" s="20"/>
    </row>
    <row r="17743" spans="1:1" x14ac:dyDescent="0.3">
      <c r="A17743" s="20"/>
    </row>
    <row r="17744" spans="1:1" x14ac:dyDescent="0.3">
      <c r="A17744" s="20"/>
    </row>
    <row r="17745" spans="1:1" x14ac:dyDescent="0.3">
      <c r="A17745" s="20"/>
    </row>
    <row r="17746" spans="1:1" x14ac:dyDescent="0.3">
      <c r="A17746" s="20"/>
    </row>
    <row r="17747" spans="1:1" x14ac:dyDescent="0.3">
      <c r="A17747" s="20"/>
    </row>
    <row r="17748" spans="1:1" x14ac:dyDescent="0.3">
      <c r="A17748" s="20"/>
    </row>
    <row r="17749" spans="1:1" x14ac:dyDescent="0.3">
      <c r="A17749" s="20"/>
    </row>
    <row r="17750" spans="1:1" x14ac:dyDescent="0.3">
      <c r="A17750" s="20"/>
    </row>
    <row r="17751" spans="1:1" x14ac:dyDescent="0.3">
      <c r="A17751" s="20"/>
    </row>
    <row r="17752" spans="1:1" x14ac:dyDescent="0.3">
      <c r="A17752" s="20"/>
    </row>
    <row r="17753" spans="1:1" x14ac:dyDescent="0.3">
      <c r="A17753" s="20"/>
    </row>
    <row r="17754" spans="1:1" x14ac:dyDescent="0.3">
      <c r="A17754" s="20"/>
    </row>
    <row r="17755" spans="1:1" x14ac:dyDescent="0.3">
      <c r="A17755" s="20"/>
    </row>
    <row r="17756" spans="1:1" x14ac:dyDescent="0.3">
      <c r="A17756" s="20"/>
    </row>
    <row r="17757" spans="1:1" x14ac:dyDescent="0.3">
      <c r="A17757" s="20"/>
    </row>
    <row r="17758" spans="1:1" x14ac:dyDescent="0.3">
      <c r="A17758" s="20"/>
    </row>
    <row r="17759" spans="1:1" x14ac:dyDescent="0.3">
      <c r="A17759" s="20"/>
    </row>
    <row r="17760" spans="1:1" x14ac:dyDescent="0.3">
      <c r="A17760" s="20"/>
    </row>
    <row r="17761" spans="1:1" x14ac:dyDescent="0.3">
      <c r="A17761" s="20"/>
    </row>
    <row r="17762" spans="1:1" x14ac:dyDescent="0.3">
      <c r="A17762" s="20"/>
    </row>
    <row r="17763" spans="1:1" x14ac:dyDescent="0.3">
      <c r="A17763" s="20"/>
    </row>
    <row r="17764" spans="1:1" x14ac:dyDescent="0.3">
      <c r="A17764" s="20"/>
    </row>
    <row r="17765" spans="1:1" x14ac:dyDescent="0.3">
      <c r="A17765" s="20"/>
    </row>
    <row r="17766" spans="1:1" x14ac:dyDescent="0.3">
      <c r="A17766" s="20"/>
    </row>
    <row r="17767" spans="1:1" x14ac:dyDescent="0.3">
      <c r="A17767" s="20"/>
    </row>
    <row r="17768" spans="1:1" x14ac:dyDescent="0.3">
      <c r="A17768" s="20"/>
    </row>
    <row r="17769" spans="1:1" x14ac:dyDescent="0.3">
      <c r="A17769" s="20"/>
    </row>
    <row r="17770" spans="1:1" x14ac:dyDescent="0.3">
      <c r="A17770" s="20"/>
    </row>
    <row r="17771" spans="1:1" x14ac:dyDescent="0.3">
      <c r="A17771" s="20"/>
    </row>
    <row r="17772" spans="1:1" x14ac:dyDescent="0.3">
      <c r="A17772" s="20"/>
    </row>
    <row r="17773" spans="1:1" x14ac:dyDescent="0.3">
      <c r="A17773" s="20"/>
    </row>
    <row r="17774" spans="1:1" x14ac:dyDescent="0.3">
      <c r="A17774" s="20"/>
    </row>
    <row r="17775" spans="1:1" x14ac:dyDescent="0.3">
      <c r="A17775" s="20"/>
    </row>
    <row r="17776" spans="1:1" x14ac:dyDescent="0.3">
      <c r="A17776" s="20"/>
    </row>
    <row r="17777" spans="1:1" x14ac:dyDescent="0.3">
      <c r="A17777" s="20"/>
    </row>
    <row r="17778" spans="1:1" x14ac:dyDescent="0.3">
      <c r="A17778" s="20"/>
    </row>
    <row r="17779" spans="1:1" x14ac:dyDescent="0.3">
      <c r="A17779" s="20"/>
    </row>
    <row r="17780" spans="1:1" x14ac:dyDescent="0.3">
      <c r="A17780" s="20"/>
    </row>
    <row r="17781" spans="1:1" x14ac:dyDescent="0.3">
      <c r="A17781" s="20"/>
    </row>
    <row r="17782" spans="1:1" x14ac:dyDescent="0.3">
      <c r="A17782" s="20"/>
    </row>
    <row r="17783" spans="1:1" x14ac:dyDescent="0.3">
      <c r="A17783" s="20"/>
    </row>
    <row r="17784" spans="1:1" x14ac:dyDescent="0.3">
      <c r="A17784" s="20"/>
    </row>
    <row r="17785" spans="1:1" x14ac:dyDescent="0.3">
      <c r="A17785" s="20"/>
    </row>
    <row r="17786" spans="1:1" x14ac:dyDescent="0.3">
      <c r="A17786" s="20"/>
    </row>
    <row r="17787" spans="1:1" x14ac:dyDescent="0.3">
      <c r="A17787" s="20"/>
    </row>
    <row r="17788" spans="1:1" x14ac:dyDescent="0.3">
      <c r="A17788" s="20"/>
    </row>
    <row r="17789" spans="1:1" x14ac:dyDescent="0.3">
      <c r="A17789" s="20"/>
    </row>
    <row r="17790" spans="1:1" x14ac:dyDescent="0.3">
      <c r="A17790" s="20"/>
    </row>
    <row r="17791" spans="1:1" x14ac:dyDescent="0.3">
      <c r="A17791" s="20"/>
    </row>
    <row r="17792" spans="1:1" x14ac:dyDescent="0.3">
      <c r="A17792" s="20"/>
    </row>
    <row r="17793" spans="1:1" x14ac:dyDescent="0.3">
      <c r="A17793" s="20"/>
    </row>
    <row r="17794" spans="1:1" x14ac:dyDescent="0.3">
      <c r="A17794" s="20"/>
    </row>
    <row r="17795" spans="1:1" x14ac:dyDescent="0.3">
      <c r="A17795" s="20"/>
    </row>
    <row r="17796" spans="1:1" x14ac:dyDescent="0.3">
      <c r="A17796" s="20"/>
    </row>
    <row r="17797" spans="1:1" x14ac:dyDescent="0.3">
      <c r="A17797" s="20"/>
    </row>
    <row r="17798" spans="1:1" x14ac:dyDescent="0.3">
      <c r="A17798" s="20"/>
    </row>
    <row r="17799" spans="1:1" x14ac:dyDescent="0.3">
      <c r="A17799" s="20"/>
    </row>
    <row r="17800" spans="1:1" x14ac:dyDescent="0.3">
      <c r="A17800" s="20"/>
    </row>
    <row r="17801" spans="1:1" x14ac:dyDescent="0.3">
      <c r="A17801" s="20"/>
    </row>
    <row r="17802" spans="1:1" x14ac:dyDescent="0.3">
      <c r="A17802" s="20"/>
    </row>
    <row r="17803" spans="1:1" x14ac:dyDescent="0.3">
      <c r="A17803" s="20"/>
    </row>
    <row r="17804" spans="1:1" x14ac:dyDescent="0.3">
      <c r="A17804" s="20"/>
    </row>
    <row r="17805" spans="1:1" x14ac:dyDescent="0.3">
      <c r="A17805" s="20"/>
    </row>
    <row r="17806" spans="1:1" x14ac:dyDescent="0.3">
      <c r="A17806" s="20"/>
    </row>
    <row r="17807" spans="1:1" x14ac:dyDescent="0.3">
      <c r="A17807" s="20"/>
    </row>
    <row r="17808" spans="1:1" x14ac:dyDescent="0.3">
      <c r="A17808" s="20"/>
    </row>
    <row r="17809" spans="1:1" x14ac:dyDescent="0.3">
      <c r="A17809" s="20"/>
    </row>
    <row r="17810" spans="1:1" x14ac:dyDescent="0.3">
      <c r="A17810" s="20"/>
    </row>
    <row r="17811" spans="1:1" x14ac:dyDescent="0.3">
      <c r="A17811" s="20"/>
    </row>
    <row r="17812" spans="1:1" x14ac:dyDescent="0.3">
      <c r="A17812" s="20"/>
    </row>
    <row r="17813" spans="1:1" x14ac:dyDescent="0.3">
      <c r="A17813" s="20"/>
    </row>
    <row r="17814" spans="1:1" x14ac:dyDescent="0.3">
      <c r="A17814" s="20"/>
    </row>
    <row r="17815" spans="1:1" x14ac:dyDescent="0.3">
      <c r="A17815" s="20"/>
    </row>
    <row r="17816" spans="1:1" x14ac:dyDescent="0.3">
      <c r="A17816" s="20"/>
    </row>
    <row r="17817" spans="1:1" x14ac:dyDescent="0.3">
      <c r="A17817" s="20"/>
    </row>
    <row r="17818" spans="1:1" x14ac:dyDescent="0.3">
      <c r="A17818" s="20"/>
    </row>
    <row r="17819" spans="1:1" x14ac:dyDescent="0.3">
      <c r="A17819" s="20"/>
    </row>
    <row r="17820" spans="1:1" x14ac:dyDescent="0.3">
      <c r="A17820" s="20"/>
    </row>
    <row r="17821" spans="1:1" x14ac:dyDescent="0.3">
      <c r="A17821" s="20"/>
    </row>
    <row r="17822" spans="1:1" x14ac:dyDescent="0.3">
      <c r="A17822" s="20"/>
    </row>
    <row r="17823" spans="1:1" x14ac:dyDescent="0.3">
      <c r="A17823" s="20"/>
    </row>
    <row r="17824" spans="1:1" x14ac:dyDescent="0.3">
      <c r="A17824" s="20"/>
    </row>
    <row r="17825" spans="1:1" x14ac:dyDescent="0.3">
      <c r="A17825" s="20"/>
    </row>
    <row r="17826" spans="1:1" x14ac:dyDescent="0.3">
      <c r="A17826" s="20"/>
    </row>
    <row r="17827" spans="1:1" x14ac:dyDescent="0.3">
      <c r="A17827" s="20"/>
    </row>
    <row r="17828" spans="1:1" x14ac:dyDescent="0.3">
      <c r="A17828" s="20"/>
    </row>
    <row r="17829" spans="1:1" x14ac:dyDescent="0.3">
      <c r="A17829" s="20"/>
    </row>
    <row r="17830" spans="1:1" x14ac:dyDescent="0.3">
      <c r="A17830" s="20"/>
    </row>
    <row r="17831" spans="1:1" x14ac:dyDescent="0.3">
      <c r="A17831" s="20"/>
    </row>
    <row r="17832" spans="1:1" x14ac:dyDescent="0.3">
      <c r="A17832" s="20"/>
    </row>
    <row r="17833" spans="1:1" x14ac:dyDescent="0.3">
      <c r="A17833" s="20"/>
    </row>
    <row r="17834" spans="1:1" x14ac:dyDescent="0.3">
      <c r="A17834" s="20"/>
    </row>
    <row r="17835" spans="1:1" x14ac:dyDescent="0.3">
      <c r="A17835" s="20"/>
    </row>
    <row r="17836" spans="1:1" x14ac:dyDescent="0.3">
      <c r="A17836" s="20"/>
    </row>
    <row r="17837" spans="1:1" x14ac:dyDescent="0.3">
      <c r="A17837" s="20"/>
    </row>
    <row r="17838" spans="1:1" x14ac:dyDescent="0.3">
      <c r="A17838" s="20"/>
    </row>
    <row r="17839" spans="1:1" x14ac:dyDescent="0.3">
      <c r="A17839" s="20"/>
    </row>
    <row r="17840" spans="1:1" x14ac:dyDescent="0.3">
      <c r="A17840" s="20"/>
    </row>
    <row r="17841" spans="1:1" x14ac:dyDescent="0.3">
      <c r="A17841" s="20"/>
    </row>
    <row r="17842" spans="1:1" x14ac:dyDescent="0.3">
      <c r="A17842" s="20"/>
    </row>
    <row r="17843" spans="1:1" x14ac:dyDescent="0.3">
      <c r="A17843" s="20"/>
    </row>
    <row r="17844" spans="1:1" x14ac:dyDescent="0.3">
      <c r="A17844" s="20"/>
    </row>
    <row r="17845" spans="1:1" x14ac:dyDescent="0.3">
      <c r="A17845" s="20"/>
    </row>
    <row r="17846" spans="1:1" x14ac:dyDescent="0.3">
      <c r="A17846" s="20"/>
    </row>
    <row r="17847" spans="1:1" x14ac:dyDescent="0.3">
      <c r="A17847" s="20"/>
    </row>
    <row r="17848" spans="1:1" x14ac:dyDescent="0.3">
      <c r="A17848" s="20"/>
    </row>
    <row r="17849" spans="1:1" x14ac:dyDescent="0.3">
      <c r="A17849" s="20"/>
    </row>
    <row r="17850" spans="1:1" x14ac:dyDescent="0.3">
      <c r="A17850" s="20"/>
    </row>
    <row r="17851" spans="1:1" x14ac:dyDescent="0.3">
      <c r="A17851" s="20"/>
    </row>
    <row r="17852" spans="1:1" x14ac:dyDescent="0.3">
      <c r="A17852" s="20"/>
    </row>
    <row r="17853" spans="1:1" x14ac:dyDescent="0.3">
      <c r="A17853" s="20"/>
    </row>
    <row r="17854" spans="1:1" x14ac:dyDescent="0.3">
      <c r="A17854" s="20"/>
    </row>
    <row r="17855" spans="1:1" x14ac:dyDescent="0.3">
      <c r="A17855" s="20"/>
    </row>
    <row r="17856" spans="1:1" x14ac:dyDescent="0.3">
      <c r="A17856" s="20"/>
    </row>
    <row r="17857" spans="1:1" x14ac:dyDescent="0.3">
      <c r="A17857" s="20"/>
    </row>
    <row r="17858" spans="1:1" x14ac:dyDescent="0.3">
      <c r="A17858" s="20"/>
    </row>
    <row r="17859" spans="1:1" x14ac:dyDescent="0.3">
      <c r="A17859" s="20"/>
    </row>
    <row r="17860" spans="1:1" x14ac:dyDescent="0.3">
      <c r="A17860" s="20"/>
    </row>
    <row r="17861" spans="1:1" x14ac:dyDescent="0.3">
      <c r="A17861" s="20"/>
    </row>
    <row r="17862" spans="1:1" x14ac:dyDescent="0.3">
      <c r="A17862" s="20"/>
    </row>
    <row r="17863" spans="1:1" x14ac:dyDescent="0.3">
      <c r="A17863" s="20"/>
    </row>
    <row r="17864" spans="1:1" x14ac:dyDescent="0.3">
      <c r="A17864" s="20"/>
    </row>
    <row r="17865" spans="1:1" x14ac:dyDescent="0.3">
      <c r="A17865" s="20"/>
    </row>
    <row r="17866" spans="1:1" x14ac:dyDescent="0.3">
      <c r="A17866" s="20"/>
    </row>
    <row r="17867" spans="1:1" x14ac:dyDescent="0.3">
      <c r="A17867" s="20"/>
    </row>
    <row r="17868" spans="1:1" x14ac:dyDescent="0.3">
      <c r="A17868" s="20"/>
    </row>
    <row r="17869" spans="1:1" x14ac:dyDescent="0.3">
      <c r="A17869" s="20"/>
    </row>
    <row r="17870" spans="1:1" x14ac:dyDescent="0.3">
      <c r="A17870" s="20"/>
    </row>
    <row r="17871" spans="1:1" x14ac:dyDescent="0.3">
      <c r="A17871" s="20"/>
    </row>
    <row r="17872" spans="1:1" x14ac:dyDescent="0.3">
      <c r="A17872" s="20"/>
    </row>
    <row r="17873" spans="1:1" x14ac:dyDescent="0.3">
      <c r="A17873" s="20"/>
    </row>
    <row r="17874" spans="1:1" x14ac:dyDescent="0.3">
      <c r="A17874" s="20"/>
    </row>
    <row r="17875" spans="1:1" x14ac:dyDescent="0.3">
      <c r="A17875" s="20"/>
    </row>
    <row r="17876" spans="1:1" x14ac:dyDescent="0.3">
      <c r="A17876" s="20"/>
    </row>
    <row r="17877" spans="1:1" x14ac:dyDescent="0.3">
      <c r="A17877" s="20"/>
    </row>
    <row r="17878" spans="1:1" x14ac:dyDescent="0.3">
      <c r="A17878" s="20"/>
    </row>
    <row r="17879" spans="1:1" x14ac:dyDescent="0.3">
      <c r="A17879" s="20"/>
    </row>
    <row r="17880" spans="1:1" x14ac:dyDescent="0.3">
      <c r="A17880" s="20"/>
    </row>
    <row r="17881" spans="1:1" x14ac:dyDescent="0.3">
      <c r="A17881" s="20"/>
    </row>
    <row r="17882" spans="1:1" x14ac:dyDescent="0.3">
      <c r="A17882" s="20"/>
    </row>
    <row r="17883" spans="1:1" x14ac:dyDescent="0.3">
      <c r="A17883" s="20"/>
    </row>
    <row r="17884" spans="1:1" x14ac:dyDescent="0.3">
      <c r="A17884" s="20"/>
    </row>
    <row r="17885" spans="1:1" x14ac:dyDescent="0.3">
      <c r="A17885" s="20"/>
    </row>
    <row r="17886" spans="1:1" x14ac:dyDescent="0.3">
      <c r="A17886" s="20"/>
    </row>
    <row r="17887" spans="1:1" x14ac:dyDescent="0.3">
      <c r="A17887" s="20"/>
    </row>
    <row r="17888" spans="1:1" x14ac:dyDescent="0.3">
      <c r="A17888" s="20"/>
    </row>
    <row r="17889" spans="1:1" x14ac:dyDescent="0.3">
      <c r="A17889" s="20"/>
    </row>
    <row r="17890" spans="1:1" x14ac:dyDescent="0.3">
      <c r="A17890" s="20"/>
    </row>
    <row r="17891" spans="1:1" x14ac:dyDescent="0.3">
      <c r="A17891" s="20"/>
    </row>
    <row r="17892" spans="1:1" x14ac:dyDescent="0.3">
      <c r="A17892" s="20"/>
    </row>
    <row r="17893" spans="1:1" x14ac:dyDescent="0.3">
      <c r="A17893" s="20"/>
    </row>
    <row r="17894" spans="1:1" x14ac:dyDescent="0.3">
      <c r="A17894" s="20"/>
    </row>
    <row r="17895" spans="1:1" x14ac:dyDescent="0.3">
      <c r="A17895" s="20"/>
    </row>
    <row r="17896" spans="1:1" x14ac:dyDescent="0.3">
      <c r="A17896" s="20"/>
    </row>
    <row r="17897" spans="1:1" x14ac:dyDescent="0.3">
      <c r="A17897" s="20"/>
    </row>
    <row r="17898" spans="1:1" x14ac:dyDescent="0.3">
      <c r="A17898" s="20"/>
    </row>
    <row r="17899" spans="1:1" x14ac:dyDescent="0.3">
      <c r="A17899" s="20"/>
    </row>
    <row r="17900" spans="1:1" x14ac:dyDescent="0.3">
      <c r="A17900" s="20"/>
    </row>
    <row r="17901" spans="1:1" x14ac:dyDescent="0.3">
      <c r="A17901" s="20"/>
    </row>
    <row r="17902" spans="1:1" x14ac:dyDescent="0.3">
      <c r="A17902" s="20"/>
    </row>
    <row r="17903" spans="1:1" x14ac:dyDescent="0.3">
      <c r="A17903" s="20"/>
    </row>
    <row r="17904" spans="1:1" x14ac:dyDescent="0.3">
      <c r="A17904" s="20"/>
    </row>
    <row r="17905" spans="1:1" x14ac:dyDescent="0.3">
      <c r="A17905" s="20"/>
    </row>
    <row r="17906" spans="1:1" x14ac:dyDescent="0.3">
      <c r="A17906" s="20"/>
    </row>
    <row r="17907" spans="1:1" x14ac:dyDescent="0.3">
      <c r="A17907" s="20"/>
    </row>
    <row r="17908" spans="1:1" x14ac:dyDescent="0.3">
      <c r="A17908" s="20"/>
    </row>
    <row r="17909" spans="1:1" x14ac:dyDescent="0.3">
      <c r="A17909" s="20"/>
    </row>
    <row r="17910" spans="1:1" x14ac:dyDescent="0.3">
      <c r="A17910" s="20"/>
    </row>
    <row r="17911" spans="1:1" x14ac:dyDescent="0.3">
      <c r="A17911" s="20"/>
    </row>
    <row r="17912" spans="1:1" x14ac:dyDescent="0.3">
      <c r="A17912" s="20"/>
    </row>
    <row r="17913" spans="1:1" x14ac:dyDescent="0.3">
      <c r="A17913" s="20"/>
    </row>
    <row r="17914" spans="1:1" x14ac:dyDescent="0.3">
      <c r="A17914" s="20"/>
    </row>
    <row r="17915" spans="1:1" x14ac:dyDescent="0.3">
      <c r="A17915" s="20"/>
    </row>
    <row r="17916" spans="1:1" x14ac:dyDescent="0.3">
      <c r="A17916" s="20"/>
    </row>
    <row r="17917" spans="1:1" x14ac:dyDescent="0.3">
      <c r="A17917" s="20"/>
    </row>
    <row r="17918" spans="1:1" x14ac:dyDescent="0.3">
      <c r="A17918" s="20"/>
    </row>
    <row r="17919" spans="1:1" x14ac:dyDescent="0.3">
      <c r="A17919" s="20"/>
    </row>
    <row r="17920" spans="1:1" x14ac:dyDescent="0.3">
      <c r="A17920" s="20"/>
    </row>
    <row r="17921" spans="1:1" x14ac:dyDescent="0.3">
      <c r="A17921" s="20"/>
    </row>
    <row r="17922" spans="1:1" x14ac:dyDescent="0.3">
      <c r="A17922" s="20"/>
    </row>
    <row r="17923" spans="1:1" x14ac:dyDescent="0.3">
      <c r="A17923" s="20"/>
    </row>
    <row r="17924" spans="1:1" x14ac:dyDescent="0.3">
      <c r="A17924" s="20"/>
    </row>
    <row r="17925" spans="1:1" x14ac:dyDescent="0.3">
      <c r="A17925" s="20"/>
    </row>
    <row r="17926" spans="1:1" x14ac:dyDescent="0.3">
      <c r="A17926" s="20"/>
    </row>
    <row r="17927" spans="1:1" x14ac:dyDescent="0.3">
      <c r="A17927" s="20"/>
    </row>
    <row r="17928" spans="1:1" x14ac:dyDescent="0.3">
      <c r="A17928" s="20"/>
    </row>
    <row r="17929" spans="1:1" x14ac:dyDescent="0.3">
      <c r="A17929" s="20"/>
    </row>
    <row r="17930" spans="1:1" x14ac:dyDescent="0.3">
      <c r="A17930" s="20"/>
    </row>
    <row r="17931" spans="1:1" x14ac:dyDescent="0.3">
      <c r="A17931" s="20"/>
    </row>
    <row r="17932" spans="1:1" x14ac:dyDescent="0.3">
      <c r="A17932" s="20"/>
    </row>
    <row r="17933" spans="1:1" x14ac:dyDescent="0.3">
      <c r="A17933" s="20"/>
    </row>
    <row r="17934" spans="1:1" x14ac:dyDescent="0.3">
      <c r="A17934" s="20"/>
    </row>
    <row r="17935" spans="1:1" x14ac:dyDescent="0.3">
      <c r="A17935" s="20"/>
    </row>
    <row r="17936" spans="1:1" x14ac:dyDescent="0.3">
      <c r="A17936" s="20"/>
    </row>
    <row r="17937" spans="1:1" x14ac:dyDescent="0.3">
      <c r="A17937" s="20"/>
    </row>
    <row r="17938" spans="1:1" x14ac:dyDescent="0.3">
      <c r="A17938" s="20"/>
    </row>
    <row r="17939" spans="1:1" x14ac:dyDescent="0.3">
      <c r="A17939" s="20"/>
    </row>
    <row r="17940" spans="1:1" x14ac:dyDescent="0.3">
      <c r="A17940" s="20"/>
    </row>
    <row r="17941" spans="1:1" x14ac:dyDescent="0.3">
      <c r="A17941" s="20"/>
    </row>
    <row r="17942" spans="1:1" x14ac:dyDescent="0.3">
      <c r="A17942" s="20"/>
    </row>
    <row r="17943" spans="1:1" x14ac:dyDescent="0.3">
      <c r="A17943" s="20"/>
    </row>
    <row r="17944" spans="1:1" x14ac:dyDescent="0.3">
      <c r="A17944" s="20"/>
    </row>
    <row r="17945" spans="1:1" x14ac:dyDescent="0.3">
      <c r="A17945" s="20"/>
    </row>
    <row r="17946" spans="1:1" x14ac:dyDescent="0.3">
      <c r="A17946" s="20"/>
    </row>
    <row r="17947" spans="1:1" x14ac:dyDescent="0.3">
      <c r="A17947" s="20"/>
    </row>
    <row r="17948" spans="1:1" x14ac:dyDescent="0.3">
      <c r="A17948" s="20"/>
    </row>
    <row r="17949" spans="1:1" x14ac:dyDescent="0.3">
      <c r="A17949" s="20"/>
    </row>
    <row r="17950" spans="1:1" x14ac:dyDescent="0.3">
      <c r="A17950" s="20"/>
    </row>
    <row r="17951" spans="1:1" x14ac:dyDescent="0.3">
      <c r="A17951" s="20"/>
    </row>
    <row r="17952" spans="1:1" x14ac:dyDescent="0.3">
      <c r="A17952" s="20"/>
    </row>
    <row r="17953" spans="1:1" x14ac:dyDescent="0.3">
      <c r="A17953" s="20"/>
    </row>
    <row r="17954" spans="1:1" x14ac:dyDescent="0.3">
      <c r="A17954" s="20"/>
    </row>
    <row r="17955" spans="1:1" x14ac:dyDescent="0.3">
      <c r="A17955" s="20"/>
    </row>
    <row r="17956" spans="1:1" x14ac:dyDescent="0.3">
      <c r="A17956" s="20"/>
    </row>
    <row r="17957" spans="1:1" x14ac:dyDescent="0.3">
      <c r="A17957" s="20"/>
    </row>
    <row r="17958" spans="1:1" x14ac:dyDescent="0.3">
      <c r="A17958" s="20"/>
    </row>
    <row r="17959" spans="1:1" x14ac:dyDescent="0.3">
      <c r="A17959" s="20"/>
    </row>
    <row r="17960" spans="1:1" x14ac:dyDescent="0.3">
      <c r="A17960" s="20"/>
    </row>
    <row r="17961" spans="1:1" x14ac:dyDescent="0.3">
      <c r="A17961" s="20"/>
    </row>
    <row r="17962" spans="1:1" x14ac:dyDescent="0.3">
      <c r="A17962" s="20"/>
    </row>
    <row r="17963" spans="1:1" x14ac:dyDescent="0.3">
      <c r="A17963" s="20"/>
    </row>
    <row r="17964" spans="1:1" x14ac:dyDescent="0.3">
      <c r="A17964" s="20"/>
    </row>
    <row r="17965" spans="1:1" x14ac:dyDescent="0.3">
      <c r="A17965" s="20"/>
    </row>
    <row r="17966" spans="1:1" x14ac:dyDescent="0.3">
      <c r="A17966" s="20"/>
    </row>
    <row r="17967" spans="1:1" x14ac:dyDescent="0.3">
      <c r="A17967" s="20"/>
    </row>
    <row r="17968" spans="1:1" x14ac:dyDescent="0.3">
      <c r="A17968" s="20"/>
    </row>
    <row r="17969" spans="1:1" x14ac:dyDescent="0.3">
      <c r="A17969" s="20"/>
    </row>
    <row r="17970" spans="1:1" x14ac:dyDescent="0.3">
      <c r="A17970" s="20"/>
    </row>
    <row r="17971" spans="1:1" x14ac:dyDescent="0.3">
      <c r="A17971" s="20"/>
    </row>
    <row r="17972" spans="1:1" x14ac:dyDescent="0.3">
      <c r="A17972" s="20"/>
    </row>
    <row r="17973" spans="1:1" x14ac:dyDescent="0.3">
      <c r="A17973" s="20"/>
    </row>
    <row r="17974" spans="1:1" x14ac:dyDescent="0.3">
      <c r="A17974" s="20"/>
    </row>
    <row r="17975" spans="1:1" x14ac:dyDescent="0.3">
      <c r="A17975" s="20"/>
    </row>
    <row r="17976" spans="1:1" x14ac:dyDescent="0.3">
      <c r="A17976" s="20"/>
    </row>
    <row r="17977" spans="1:1" x14ac:dyDescent="0.3">
      <c r="A17977" s="20"/>
    </row>
    <row r="17978" spans="1:1" x14ac:dyDescent="0.3">
      <c r="A17978" s="20"/>
    </row>
    <row r="17979" spans="1:1" x14ac:dyDescent="0.3">
      <c r="A17979" s="20"/>
    </row>
    <row r="17980" spans="1:1" x14ac:dyDescent="0.3">
      <c r="A17980" s="20"/>
    </row>
    <row r="17981" spans="1:1" x14ac:dyDescent="0.3">
      <c r="A17981" s="20"/>
    </row>
    <row r="17982" spans="1:1" x14ac:dyDescent="0.3">
      <c r="A17982" s="20"/>
    </row>
    <row r="17983" spans="1:1" x14ac:dyDescent="0.3">
      <c r="A17983" s="20"/>
    </row>
    <row r="17984" spans="1:1" x14ac:dyDescent="0.3">
      <c r="A17984" s="20"/>
    </row>
    <row r="17985" spans="1:1" x14ac:dyDescent="0.3">
      <c r="A17985" s="20"/>
    </row>
    <row r="17986" spans="1:1" x14ac:dyDescent="0.3">
      <c r="A17986" s="20"/>
    </row>
    <row r="17987" spans="1:1" x14ac:dyDescent="0.3">
      <c r="A17987" s="20"/>
    </row>
    <row r="17988" spans="1:1" x14ac:dyDescent="0.3">
      <c r="A17988" s="20"/>
    </row>
    <row r="17989" spans="1:1" x14ac:dyDescent="0.3">
      <c r="A17989" s="20"/>
    </row>
    <row r="17990" spans="1:1" x14ac:dyDescent="0.3">
      <c r="A17990" s="20"/>
    </row>
    <row r="17991" spans="1:1" x14ac:dyDescent="0.3">
      <c r="A17991" s="20"/>
    </row>
    <row r="17992" spans="1:1" x14ac:dyDescent="0.3">
      <c r="A17992" s="20"/>
    </row>
    <row r="17993" spans="1:1" x14ac:dyDescent="0.3">
      <c r="A17993" s="20"/>
    </row>
    <row r="17994" spans="1:1" x14ac:dyDescent="0.3">
      <c r="A17994" s="20"/>
    </row>
    <row r="17995" spans="1:1" x14ac:dyDescent="0.3">
      <c r="A17995" s="20"/>
    </row>
    <row r="17996" spans="1:1" x14ac:dyDescent="0.3">
      <c r="A17996" s="20"/>
    </row>
    <row r="17997" spans="1:1" x14ac:dyDescent="0.3">
      <c r="A17997" s="20"/>
    </row>
    <row r="17998" spans="1:1" x14ac:dyDescent="0.3">
      <c r="A17998" s="20"/>
    </row>
    <row r="17999" spans="1:1" x14ac:dyDescent="0.3">
      <c r="A17999" s="20"/>
    </row>
    <row r="18000" spans="1:1" x14ac:dyDescent="0.3">
      <c r="A18000" s="20"/>
    </row>
    <row r="18001" spans="1:1" x14ac:dyDescent="0.3">
      <c r="A18001" s="20"/>
    </row>
    <row r="18002" spans="1:1" x14ac:dyDescent="0.3">
      <c r="A18002" s="20"/>
    </row>
    <row r="18003" spans="1:1" x14ac:dyDescent="0.3">
      <c r="A18003" s="20"/>
    </row>
    <row r="18004" spans="1:1" x14ac:dyDescent="0.3">
      <c r="A18004" s="20"/>
    </row>
    <row r="18005" spans="1:1" x14ac:dyDescent="0.3">
      <c r="A18005" s="20"/>
    </row>
    <row r="18006" spans="1:1" x14ac:dyDescent="0.3">
      <c r="A18006" s="20"/>
    </row>
    <row r="18007" spans="1:1" x14ac:dyDescent="0.3">
      <c r="A18007" s="20"/>
    </row>
    <row r="18008" spans="1:1" x14ac:dyDescent="0.3">
      <c r="A18008" s="20"/>
    </row>
    <row r="18009" spans="1:1" x14ac:dyDescent="0.3">
      <c r="A18009" s="20"/>
    </row>
    <row r="18010" spans="1:1" x14ac:dyDescent="0.3">
      <c r="A18010" s="20"/>
    </row>
    <row r="18011" spans="1:1" x14ac:dyDescent="0.3">
      <c r="A18011" s="20"/>
    </row>
    <row r="18012" spans="1:1" x14ac:dyDescent="0.3">
      <c r="A18012" s="20"/>
    </row>
    <row r="18013" spans="1:1" x14ac:dyDescent="0.3">
      <c r="A18013" s="20"/>
    </row>
    <row r="18014" spans="1:1" x14ac:dyDescent="0.3">
      <c r="A18014" s="20"/>
    </row>
    <row r="18015" spans="1:1" x14ac:dyDescent="0.3">
      <c r="A18015" s="20"/>
    </row>
    <row r="18016" spans="1:1" x14ac:dyDescent="0.3">
      <c r="A18016" s="20"/>
    </row>
    <row r="18017" spans="1:1" x14ac:dyDescent="0.3">
      <c r="A18017" s="20"/>
    </row>
    <row r="18018" spans="1:1" x14ac:dyDescent="0.3">
      <c r="A18018" s="20"/>
    </row>
    <row r="18019" spans="1:1" x14ac:dyDescent="0.3">
      <c r="A18019" s="20"/>
    </row>
    <row r="18020" spans="1:1" x14ac:dyDescent="0.3">
      <c r="A18020" s="20"/>
    </row>
    <row r="18021" spans="1:1" x14ac:dyDescent="0.3">
      <c r="A18021" s="20"/>
    </row>
    <row r="18022" spans="1:1" x14ac:dyDescent="0.3">
      <c r="A18022" s="20"/>
    </row>
    <row r="18023" spans="1:1" x14ac:dyDescent="0.3">
      <c r="A18023" s="20"/>
    </row>
    <row r="18024" spans="1:1" x14ac:dyDescent="0.3">
      <c r="A18024" s="20"/>
    </row>
    <row r="18025" spans="1:1" x14ac:dyDescent="0.3">
      <c r="A18025" s="20"/>
    </row>
    <row r="18026" spans="1:1" x14ac:dyDescent="0.3">
      <c r="A18026" s="20"/>
    </row>
    <row r="18027" spans="1:1" x14ac:dyDescent="0.3">
      <c r="A18027" s="20"/>
    </row>
    <row r="18028" spans="1:1" x14ac:dyDescent="0.3">
      <c r="A18028" s="20"/>
    </row>
    <row r="18029" spans="1:1" x14ac:dyDescent="0.3">
      <c r="A18029" s="20"/>
    </row>
    <row r="18030" spans="1:1" x14ac:dyDescent="0.3">
      <c r="A18030" s="20"/>
    </row>
    <row r="18031" spans="1:1" x14ac:dyDescent="0.3">
      <c r="A18031" s="20"/>
    </row>
    <row r="18032" spans="1:1" x14ac:dyDescent="0.3">
      <c r="A18032" s="20"/>
    </row>
    <row r="18033" spans="1:1" x14ac:dyDescent="0.3">
      <c r="A18033" s="20"/>
    </row>
    <row r="18034" spans="1:1" x14ac:dyDescent="0.3">
      <c r="A18034" s="20"/>
    </row>
    <row r="18035" spans="1:1" x14ac:dyDescent="0.3">
      <c r="A18035" s="20"/>
    </row>
    <row r="18036" spans="1:1" x14ac:dyDescent="0.3">
      <c r="A18036" s="20"/>
    </row>
    <row r="18037" spans="1:1" x14ac:dyDescent="0.3">
      <c r="A18037" s="20"/>
    </row>
    <row r="18038" spans="1:1" x14ac:dyDescent="0.3">
      <c r="A18038" s="20"/>
    </row>
    <row r="18039" spans="1:1" x14ac:dyDescent="0.3">
      <c r="A18039" s="20"/>
    </row>
    <row r="18040" spans="1:1" x14ac:dyDescent="0.3">
      <c r="A18040" s="20"/>
    </row>
    <row r="18041" spans="1:1" x14ac:dyDescent="0.3">
      <c r="A18041" s="20"/>
    </row>
    <row r="18042" spans="1:1" x14ac:dyDescent="0.3">
      <c r="A18042" s="20"/>
    </row>
    <row r="18043" spans="1:1" x14ac:dyDescent="0.3">
      <c r="A18043" s="20"/>
    </row>
    <row r="18044" spans="1:1" x14ac:dyDescent="0.3">
      <c r="A18044" s="20"/>
    </row>
    <row r="18045" spans="1:1" x14ac:dyDescent="0.3">
      <c r="A18045" s="20"/>
    </row>
    <row r="18046" spans="1:1" x14ac:dyDescent="0.3">
      <c r="A18046" s="20"/>
    </row>
    <row r="18047" spans="1:1" x14ac:dyDescent="0.3">
      <c r="A18047" s="20"/>
    </row>
    <row r="18048" spans="1:1" x14ac:dyDescent="0.3">
      <c r="A18048" s="20"/>
    </row>
    <row r="18049" spans="1:1" x14ac:dyDescent="0.3">
      <c r="A18049" s="20"/>
    </row>
    <row r="18050" spans="1:1" x14ac:dyDescent="0.3">
      <c r="A18050" s="20"/>
    </row>
    <row r="18051" spans="1:1" x14ac:dyDescent="0.3">
      <c r="A18051" s="20"/>
    </row>
    <row r="18052" spans="1:1" x14ac:dyDescent="0.3">
      <c r="A18052" s="20"/>
    </row>
    <row r="18053" spans="1:1" x14ac:dyDescent="0.3">
      <c r="A18053" s="20"/>
    </row>
    <row r="18054" spans="1:1" x14ac:dyDescent="0.3">
      <c r="A18054" s="20"/>
    </row>
    <row r="18055" spans="1:1" x14ac:dyDescent="0.3">
      <c r="A18055" s="20"/>
    </row>
    <row r="18056" spans="1:1" x14ac:dyDescent="0.3">
      <c r="A18056" s="20"/>
    </row>
    <row r="18057" spans="1:1" x14ac:dyDescent="0.3">
      <c r="A18057" s="20"/>
    </row>
    <row r="18058" spans="1:1" x14ac:dyDescent="0.3">
      <c r="A18058" s="20"/>
    </row>
    <row r="18059" spans="1:1" x14ac:dyDescent="0.3">
      <c r="A18059" s="20"/>
    </row>
    <row r="18060" spans="1:1" x14ac:dyDescent="0.3">
      <c r="A18060" s="20"/>
    </row>
    <row r="18061" spans="1:1" x14ac:dyDescent="0.3">
      <c r="A18061" s="20"/>
    </row>
    <row r="18062" spans="1:1" x14ac:dyDescent="0.3">
      <c r="A18062" s="20"/>
    </row>
    <row r="18063" spans="1:1" x14ac:dyDescent="0.3">
      <c r="A18063" s="20"/>
    </row>
    <row r="18064" spans="1:1" x14ac:dyDescent="0.3">
      <c r="A18064" s="20"/>
    </row>
    <row r="18065" spans="1:1" x14ac:dyDescent="0.3">
      <c r="A18065" s="20"/>
    </row>
    <row r="18066" spans="1:1" x14ac:dyDescent="0.3">
      <c r="A18066" s="20"/>
    </row>
    <row r="18067" spans="1:1" x14ac:dyDescent="0.3">
      <c r="A18067" s="20"/>
    </row>
    <row r="18068" spans="1:1" x14ac:dyDescent="0.3">
      <c r="A18068" s="20"/>
    </row>
    <row r="18069" spans="1:1" x14ac:dyDescent="0.3">
      <c r="A18069" s="20"/>
    </row>
    <row r="18070" spans="1:1" x14ac:dyDescent="0.3">
      <c r="A18070" s="20"/>
    </row>
    <row r="18071" spans="1:1" x14ac:dyDescent="0.3">
      <c r="A18071" s="20"/>
    </row>
    <row r="18072" spans="1:1" x14ac:dyDescent="0.3">
      <c r="A18072" s="20"/>
    </row>
    <row r="18073" spans="1:1" x14ac:dyDescent="0.3">
      <c r="A18073" s="20"/>
    </row>
    <row r="18074" spans="1:1" x14ac:dyDescent="0.3">
      <c r="A18074" s="20"/>
    </row>
    <row r="18075" spans="1:1" x14ac:dyDescent="0.3">
      <c r="A18075" s="20"/>
    </row>
    <row r="18076" spans="1:1" x14ac:dyDescent="0.3">
      <c r="A18076" s="20"/>
    </row>
    <row r="18077" spans="1:1" x14ac:dyDescent="0.3">
      <c r="A18077" s="20"/>
    </row>
    <row r="18078" spans="1:1" x14ac:dyDescent="0.3">
      <c r="A18078" s="20"/>
    </row>
    <row r="18079" spans="1:1" x14ac:dyDescent="0.3">
      <c r="A18079" s="20"/>
    </row>
    <row r="18080" spans="1:1" x14ac:dyDescent="0.3">
      <c r="A18080" s="20"/>
    </row>
    <row r="18081" spans="1:1" x14ac:dyDescent="0.3">
      <c r="A18081" s="20"/>
    </row>
    <row r="18082" spans="1:1" x14ac:dyDescent="0.3">
      <c r="A18082" s="20"/>
    </row>
    <row r="18083" spans="1:1" x14ac:dyDescent="0.3">
      <c r="A18083" s="20"/>
    </row>
    <row r="18084" spans="1:1" x14ac:dyDescent="0.3">
      <c r="A18084" s="20"/>
    </row>
    <row r="18085" spans="1:1" x14ac:dyDescent="0.3">
      <c r="A18085" s="20"/>
    </row>
    <row r="18086" spans="1:1" x14ac:dyDescent="0.3">
      <c r="A18086" s="20"/>
    </row>
    <row r="18087" spans="1:1" x14ac:dyDescent="0.3">
      <c r="A18087" s="20"/>
    </row>
    <row r="18088" spans="1:1" x14ac:dyDescent="0.3">
      <c r="A18088" s="20"/>
    </row>
    <row r="18089" spans="1:1" x14ac:dyDescent="0.3">
      <c r="A18089" s="20"/>
    </row>
    <row r="18090" spans="1:1" x14ac:dyDescent="0.3">
      <c r="A18090" s="20"/>
    </row>
    <row r="18091" spans="1:1" x14ac:dyDescent="0.3">
      <c r="A18091" s="20"/>
    </row>
    <row r="18092" spans="1:1" x14ac:dyDescent="0.3">
      <c r="A18092" s="20"/>
    </row>
    <row r="18093" spans="1:1" x14ac:dyDescent="0.3">
      <c r="A18093" s="20"/>
    </row>
    <row r="18094" spans="1:1" x14ac:dyDescent="0.3">
      <c r="A18094" s="20"/>
    </row>
    <row r="18095" spans="1:1" x14ac:dyDescent="0.3">
      <c r="A18095" s="20"/>
    </row>
    <row r="18096" spans="1:1" x14ac:dyDescent="0.3">
      <c r="A18096" s="20"/>
    </row>
    <row r="18097" spans="1:1" x14ac:dyDescent="0.3">
      <c r="A18097" s="20"/>
    </row>
    <row r="18098" spans="1:1" x14ac:dyDescent="0.3">
      <c r="A18098" s="20"/>
    </row>
    <row r="18099" spans="1:1" x14ac:dyDescent="0.3">
      <c r="A18099" s="20"/>
    </row>
    <row r="18100" spans="1:1" x14ac:dyDescent="0.3">
      <c r="A18100" s="20"/>
    </row>
    <row r="18101" spans="1:1" x14ac:dyDescent="0.3">
      <c r="A18101" s="20"/>
    </row>
    <row r="18102" spans="1:1" x14ac:dyDescent="0.3">
      <c r="A18102" s="20"/>
    </row>
    <row r="18103" spans="1:1" x14ac:dyDescent="0.3">
      <c r="A18103" s="20"/>
    </row>
    <row r="18104" spans="1:1" x14ac:dyDescent="0.3">
      <c r="A18104" s="20"/>
    </row>
    <row r="18105" spans="1:1" x14ac:dyDescent="0.3">
      <c r="A18105" s="20"/>
    </row>
    <row r="18106" spans="1:1" x14ac:dyDescent="0.3">
      <c r="A18106" s="20"/>
    </row>
    <row r="18107" spans="1:1" x14ac:dyDescent="0.3">
      <c r="A18107" s="20"/>
    </row>
    <row r="18108" spans="1:1" x14ac:dyDescent="0.3">
      <c r="A18108" s="20"/>
    </row>
    <row r="18109" spans="1:1" x14ac:dyDescent="0.3">
      <c r="A18109" s="20"/>
    </row>
    <row r="18110" spans="1:1" x14ac:dyDescent="0.3">
      <c r="A18110" s="20"/>
    </row>
    <row r="18111" spans="1:1" x14ac:dyDescent="0.3">
      <c r="A18111" s="20"/>
    </row>
    <row r="18112" spans="1:1" x14ac:dyDescent="0.3">
      <c r="A18112" s="20"/>
    </row>
    <row r="18113" spans="1:1" x14ac:dyDescent="0.3">
      <c r="A18113" s="20"/>
    </row>
    <row r="18114" spans="1:1" x14ac:dyDescent="0.3">
      <c r="A18114" s="20"/>
    </row>
    <row r="18115" spans="1:1" x14ac:dyDescent="0.3">
      <c r="A18115" s="20"/>
    </row>
    <row r="18116" spans="1:1" x14ac:dyDescent="0.3">
      <c r="A18116" s="20"/>
    </row>
    <row r="18117" spans="1:1" x14ac:dyDescent="0.3">
      <c r="A18117" s="20"/>
    </row>
    <row r="18118" spans="1:1" x14ac:dyDescent="0.3">
      <c r="A18118" s="20"/>
    </row>
    <row r="18119" spans="1:1" x14ac:dyDescent="0.3">
      <c r="A18119" s="20"/>
    </row>
    <row r="18120" spans="1:1" x14ac:dyDescent="0.3">
      <c r="A18120" s="20"/>
    </row>
    <row r="18121" spans="1:1" x14ac:dyDescent="0.3">
      <c r="A18121" s="20"/>
    </row>
    <row r="18122" spans="1:1" x14ac:dyDescent="0.3">
      <c r="A18122" s="20"/>
    </row>
    <row r="18123" spans="1:1" x14ac:dyDescent="0.3">
      <c r="A18123" s="20"/>
    </row>
    <row r="18124" spans="1:1" x14ac:dyDescent="0.3">
      <c r="A18124" s="20"/>
    </row>
    <row r="18125" spans="1:1" x14ac:dyDescent="0.3">
      <c r="A18125" s="20"/>
    </row>
    <row r="18126" spans="1:1" x14ac:dyDescent="0.3">
      <c r="A18126" s="20"/>
    </row>
    <row r="18127" spans="1:1" x14ac:dyDescent="0.3">
      <c r="A18127" s="20"/>
    </row>
    <row r="18128" spans="1:1" x14ac:dyDescent="0.3">
      <c r="A18128" s="20"/>
    </row>
    <row r="18129" spans="1:1" x14ac:dyDescent="0.3">
      <c r="A18129" s="20"/>
    </row>
    <row r="18130" spans="1:1" x14ac:dyDescent="0.3">
      <c r="A18130" s="20"/>
    </row>
    <row r="18131" spans="1:1" x14ac:dyDescent="0.3">
      <c r="A18131" s="20"/>
    </row>
    <row r="18132" spans="1:1" x14ac:dyDescent="0.3">
      <c r="A18132" s="20"/>
    </row>
    <row r="18133" spans="1:1" x14ac:dyDescent="0.3">
      <c r="A18133" s="20"/>
    </row>
    <row r="18134" spans="1:1" x14ac:dyDescent="0.3">
      <c r="A18134" s="20"/>
    </row>
    <row r="18135" spans="1:1" x14ac:dyDescent="0.3">
      <c r="A18135" s="20"/>
    </row>
    <row r="18136" spans="1:1" x14ac:dyDescent="0.3">
      <c r="A18136" s="20"/>
    </row>
    <row r="18137" spans="1:1" x14ac:dyDescent="0.3">
      <c r="A18137" s="20"/>
    </row>
    <row r="18138" spans="1:1" x14ac:dyDescent="0.3">
      <c r="A18138" s="20"/>
    </row>
    <row r="18139" spans="1:1" x14ac:dyDescent="0.3">
      <c r="A18139" s="20"/>
    </row>
    <row r="18140" spans="1:1" x14ac:dyDescent="0.3">
      <c r="A18140" s="20"/>
    </row>
    <row r="18141" spans="1:1" x14ac:dyDescent="0.3">
      <c r="A18141" s="20"/>
    </row>
    <row r="18142" spans="1:1" x14ac:dyDescent="0.3">
      <c r="A18142" s="20"/>
    </row>
    <row r="18143" spans="1:1" x14ac:dyDescent="0.3">
      <c r="A18143" s="20"/>
    </row>
    <row r="18144" spans="1:1" x14ac:dyDescent="0.3">
      <c r="A18144" s="20"/>
    </row>
    <row r="18145" spans="1:1" x14ac:dyDescent="0.3">
      <c r="A18145" s="20"/>
    </row>
    <row r="18146" spans="1:1" x14ac:dyDescent="0.3">
      <c r="A18146" s="20"/>
    </row>
    <row r="18147" spans="1:1" x14ac:dyDescent="0.3">
      <c r="A18147" s="20"/>
    </row>
    <row r="18148" spans="1:1" x14ac:dyDescent="0.3">
      <c r="A18148" s="20"/>
    </row>
    <row r="18149" spans="1:1" x14ac:dyDescent="0.3">
      <c r="A18149" s="20"/>
    </row>
    <row r="18150" spans="1:1" x14ac:dyDescent="0.3">
      <c r="A18150" s="20"/>
    </row>
    <row r="18151" spans="1:1" x14ac:dyDescent="0.3">
      <c r="A18151" s="20"/>
    </row>
    <row r="18152" spans="1:1" x14ac:dyDescent="0.3">
      <c r="A18152" s="20"/>
    </row>
    <row r="18153" spans="1:1" x14ac:dyDescent="0.3">
      <c r="A18153" s="20"/>
    </row>
    <row r="18154" spans="1:1" x14ac:dyDescent="0.3">
      <c r="A18154" s="20"/>
    </row>
    <row r="18155" spans="1:1" x14ac:dyDescent="0.3">
      <c r="A18155" s="20"/>
    </row>
    <row r="18156" spans="1:1" x14ac:dyDescent="0.3">
      <c r="A18156" s="20"/>
    </row>
    <row r="18157" spans="1:1" x14ac:dyDescent="0.3">
      <c r="A18157" s="20"/>
    </row>
    <row r="18158" spans="1:1" x14ac:dyDescent="0.3">
      <c r="A18158" s="20"/>
    </row>
    <row r="18159" spans="1:1" x14ac:dyDescent="0.3">
      <c r="A18159" s="20"/>
    </row>
    <row r="18160" spans="1:1" x14ac:dyDescent="0.3">
      <c r="A18160" s="20"/>
    </row>
    <row r="18161" spans="1:1" x14ac:dyDescent="0.3">
      <c r="A18161" s="20"/>
    </row>
    <row r="18162" spans="1:1" x14ac:dyDescent="0.3">
      <c r="A18162" s="20"/>
    </row>
    <row r="18163" spans="1:1" x14ac:dyDescent="0.3">
      <c r="A18163" s="20"/>
    </row>
    <row r="18164" spans="1:1" x14ac:dyDescent="0.3">
      <c r="A18164" s="20"/>
    </row>
    <row r="18165" spans="1:1" x14ac:dyDescent="0.3">
      <c r="A18165" s="20"/>
    </row>
    <row r="18166" spans="1:1" x14ac:dyDescent="0.3">
      <c r="A18166" s="20"/>
    </row>
    <row r="18167" spans="1:1" x14ac:dyDescent="0.3">
      <c r="A18167" s="20"/>
    </row>
    <row r="18168" spans="1:1" x14ac:dyDescent="0.3">
      <c r="A18168" s="20"/>
    </row>
    <row r="18169" spans="1:1" x14ac:dyDescent="0.3">
      <c r="A18169" s="20"/>
    </row>
    <row r="18170" spans="1:1" x14ac:dyDescent="0.3">
      <c r="A18170" s="20"/>
    </row>
    <row r="18171" spans="1:1" x14ac:dyDescent="0.3">
      <c r="A18171" s="20"/>
    </row>
    <row r="18172" spans="1:1" x14ac:dyDescent="0.3">
      <c r="A18172" s="20"/>
    </row>
    <row r="18173" spans="1:1" x14ac:dyDescent="0.3">
      <c r="A18173" s="20"/>
    </row>
    <row r="18174" spans="1:1" x14ac:dyDescent="0.3">
      <c r="A18174" s="20"/>
    </row>
    <row r="18175" spans="1:1" x14ac:dyDescent="0.3">
      <c r="A18175" s="20"/>
    </row>
    <row r="18176" spans="1:1" x14ac:dyDescent="0.3">
      <c r="A18176" s="20"/>
    </row>
    <row r="18177" spans="1:1" x14ac:dyDescent="0.3">
      <c r="A18177" s="20"/>
    </row>
    <row r="18178" spans="1:1" x14ac:dyDescent="0.3">
      <c r="A18178" s="20"/>
    </row>
    <row r="18179" spans="1:1" x14ac:dyDescent="0.3">
      <c r="A18179" s="20"/>
    </row>
    <row r="18180" spans="1:1" x14ac:dyDescent="0.3">
      <c r="A18180" s="20"/>
    </row>
    <row r="18181" spans="1:1" x14ac:dyDescent="0.3">
      <c r="A18181" s="20"/>
    </row>
    <row r="18182" spans="1:1" x14ac:dyDescent="0.3">
      <c r="A18182" s="20"/>
    </row>
    <row r="18183" spans="1:1" x14ac:dyDescent="0.3">
      <c r="A18183" s="20"/>
    </row>
    <row r="18184" spans="1:1" x14ac:dyDescent="0.3">
      <c r="A18184" s="20"/>
    </row>
    <row r="18185" spans="1:1" x14ac:dyDescent="0.3">
      <c r="A18185" s="20"/>
    </row>
    <row r="18186" spans="1:1" x14ac:dyDescent="0.3">
      <c r="A18186" s="20"/>
    </row>
    <row r="18187" spans="1:1" x14ac:dyDescent="0.3">
      <c r="A18187" s="20"/>
    </row>
    <row r="18188" spans="1:1" x14ac:dyDescent="0.3">
      <c r="A18188" s="20"/>
    </row>
    <row r="18189" spans="1:1" x14ac:dyDescent="0.3">
      <c r="A18189" s="20"/>
    </row>
    <row r="18190" spans="1:1" x14ac:dyDescent="0.3">
      <c r="A18190" s="20"/>
    </row>
    <row r="18191" spans="1:1" x14ac:dyDescent="0.3">
      <c r="A18191" s="20"/>
    </row>
    <row r="18192" spans="1:1" x14ac:dyDescent="0.3">
      <c r="A18192" s="20"/>
    </row>
    <row r="18193" spans="1:1" x14ac:dyDescent="0.3">
      <c r="A18193" s="20"/>
    </row>
    <row r="18194" spans="1:1" x14ac:dyDescent="0.3">
      <c r="A18194" s="20"/>
    </row>
    <row r="18195" spans="1:1" x14ac:dyDescent="0.3">
      <c r="A18195" s="20"/>
    </row>
    <row r="18196" spans="1:1" x14ac:dyDescent="0.3">
      <c r="A18196" s="20"/>
    </row>
    <row r="18197" spans="1:1" x14ac:dyDescent="0.3">
      <c r="A18197" s="20"/>
    </row>
    <row r="18198" spans="1:1" x14ac:dyDescent="0.3">
      <c r="A18198" s="20"/>
    </row>
    <row r="18199" spans="1:1" x14ac:dyDescent="0.3">
      <c r="A18199" s="20"/>
    </row>
    <row r="18200" spans="1:1" x14ac:dyDescent="0.3">
      <c r="A18200" s="20"/>
    </row>
    <row r="18201" spans="1:1" x14ac:dyDescent="0.3">
      <c r="A18201" s="20"/>
    </row>
    <row r="18202" spans="1:1" x14ac:dyDescent="0.3">
      <c r="A18202" s="20"/>
    </row>
    <row r="18203" spans="1:1" x14ac:dyDescent="0.3">
      <c r="A18203" s="20"/>
    </row>
    <row r="18204" spans="1:1" x14ac:dyDescent="0.3">
      <c r="A18204" s="20"/>
    </row>
    <row r="18205" spans="1:1" x14ac:dyDescent="0.3">
      <c r="A18205" s="20"/>
    </row>
    <row r="18206" spans="1:1" x14ac:dyDescent="0.3">
      <c r="A18206" s="20"/>
    </row>
    <row r="18207" spans="1:1" x14ac:dyDescent="0.3">
      <c r="A18207" s="20"/>
    </row>
    <row r="18208" spans="1:1" x14ac:dyDescent="0.3">
      <c r="A18208" s="20"/>
    </row>
    <row r="18209" spans="1:1" x14ac:dyDescent="0.3">
      <c r="A18209" s="20"/>
    </row>
    <row r="18210" spans="1:1" x14ac:dyDescent="0.3">
      <c r="A18210" s="20"/>
    </row>
    <row r="18211" spans="1:1" x14ac:dyDescent="0.3">
      <c r="A18211" s="20"/>
    </row>
    <row r="18212" spans="1:1" x14ac:dyDescent="0.3">
      <c r="A18212" s="20"/>
    </row>
    <row r="18213" spans="1:1" x14ac:dyDescent="0.3">
      <c r="A18213" s="20"/>
    </row>
    <row r="18214" spans="1:1" x14ac:dyDescent="0.3">
      <c r="A18214" s="20"/>
    </row>
    <row r="18215" spans="1:1" x14ac:dyDescent="0.3">
      <c r="A18215" s="20"/>
    </row>
    <row r="18216" spans="1:1" x14ac:dyDescent="0.3">
      <c r="A18216" s="20"/>
    </row>
    <row r="18217" spans="1:1" x14ac:dyDescent="0.3">
      <c r="A18217" s="20"/>
    </row>
    <row r="18218" spans="1:1" x14ac:dyDescent="0.3">
      <c r="A18218" s="20"/>
    </row>
    <row r="18219" spans="1:1" x14ac:dyDescent="0.3">
      <c r="A18219" s="20"/>
    </row>
    <row r="18220" spans="1:1" x14ac:dyDescent="0.3">
      <c r="A18220" s="20"/>
    </row>
    <row r="18221" spans="1:1" x14ac:dyDescent="0.3">
      <c r="A18221" s="20"/>
    </row>
    <row r="18222" spans="1:1" x14ac:dyDescent="0.3">
      <c r="A18222" s="20"/>
    </row>
    <row r="18223" spans="1:1" x14ac:dyDescent="0.3">
      <c r="A18223" s="20"/>
    </row>
    <row r="18224" spans="1:1" x14ac:dyDescent="0.3">
      <c r="A18224" s="20"/>
    </row>
    <row r="18225" spans="1:1" x14ac:dyDescent="0.3">
      <c r="A18225" s="20"/>
    </row>
    <row r="18226" spans="1:1" x14ac:dyDescent="0.3">
      <c r="A18226" s="20"/>
    </row>
    <row r="18227" spans="1:1" x14ac:dyDescent="0.3">
      <c r="A18227" s="20"/>
    </row>
    <row r="18228" spans="1:1" x14ac:dyDescent="0.3">
      <c r="A18228" s="20"/>
    </row>
    <row r="18229" spans="1:1" x14ac:dyDescent="0.3">
      <c r="A18229" s="20"/>
    </row>
    <row r="18230" spans="1:1" x14ac:dyDescent="0.3">
      <c r="A18230" s="20"/>
    </row>
    <row r="18231" spans="1:1" x14ac:dyDescent="0.3">
      <c r="A18231" s="20"/>
    </row>
    <row r="18232" spans="1:1" x14ac:dyDescent="0.3">
      <c r="A18232" s="20"/>
    </row>
    <row r="18233" spans="1:1" x14ac:dyDescent="0.3">
      <c r="A18233" s="20"/>
    </row>
    <row r="18234" spans="1:1" x14ac:dyDescent="0.3">
      <c r="A18234" s="20"/>
    </row>
    <row r="18235" spans="1:1" x14ac:dyDescent="0.3">
      <c r="A18235" s="20"/>
    </row>
    <row r="18236" spans="1:1" x14ac:dyDescent="0.3">
      <c r="A18236" s="20"/>
    </row>
    <row r="18237" spans="1:1" x14ac:dyDescent="0.3">
      <c r="A18237" s="20"/>
    </row>
    <row r="18238" spans="1:1" x14ac:dyDescent="0.3">
      <c r="A18238" s="20"/>
    </row>
    <row r="18239" spans="1:1" x14ac:dyDescent="0.3">
      <c r="A18239" s="20"/>
    </row>
    <row r="18240" spans="1:1" x14ac:dyDescent="0.3">
      <c r="A18240" s="20"/>
    </row>
    <row r="18241" spans="1:1" x14ac:dyDescent="0.3">
      <c r="A18241" s="20"/>
    </row>
    <row r="18242" spans="1:1" x14ac:dyDescent="0.3">
      <c r="A18242" s="20"/>
    </row>
    <row r="18243" spans="1:1" x14ac:dyDescent="0.3">
      <c r="A18243" s="20"/>
    </row>
    <row r="18244" spans="1:1" x14ac:dyDescent="0.3">
      <c r="A18244" s="20"/>
    </row>
    <row r="18245" spans="1:1" x14ac:dyDescent="0.3">
      <c r="A18245" s="20"/>
    </row>
    <row r="18246" spans="1:1" x14ac:dyDescent="0.3">
      <c r="A18246" s="20"/>
    </row>
    <row r="18247" spans="1:1" x14ac:dyDescent="0.3">
      <c r="A18247" s="20"/>
    </row>
    <row r="18248" spans="1:1" x14ac:dyDescent="0.3">
      <c r="A18248" s="20"/>
    </row>
    <row r="18249" spans="1:1" x14ac:dyDescent="0.3">
      <c r="A18249" s="20"/>
    </row>
    <row r="18250" spans="1:1" x14ac:dyDescent="0.3">
      <c r="A18250" s="20"/>
    </row>
    <row r="18251" spans="1:1" x14ac:dyDescent="0.3">
      <c r="A18251" s="20"/>
    </row>
    <row r="18252" spans="1:1" x14ac:dyDescent="0.3">
      <c r="A18252" s="20"/>
    </row>
    <row r="18253" spans="1:1" x14ac:dyDescent="0.3">
      <c r="A18253" s="20"/>
    </row>
    <row r="18254" spans="1:1" x14ac:dyDescent="0.3">
      <c r="A18254" s="20"/>
    </row>
    <row r="18255" spans="1:1" x14ac:dyDescent="0.3">
      <c r="A18255" s="20"/>
    </row>
    <row r="18256" spans="1:1" x14ac:dyDescent="0.3">
      <c r="A18256" s="20"/>
    </row>
    <row r="18257" spans="1:1" x14ac:dyDescent="0.3">
      <c r="A18257" s="20"/>
    </row>
    <row r="18258" spans="1:1" x14ac:dyDescent="0.3">
      <c r="A18258" s="20"/>
    </row>
    <row r="18259" spans="1:1" x14ac:dyDescent="0.3">
      <c r="A18259" s="20"/>
    </row>
    <row r="18260" spans="1:1" x14ac:dyDescent="0.3">
      <c r="A18260" s="20"/>
    </row>
    <row r="18261" spans="1:1" x14ac:dyDescent="0.3">
      <c r="A18261" s="20"/>
    </row>
    <row r="18262" spans="1:1" x14ac:dyDescent="0.3">
      <c r="A18262" s="20"/>
    </row>
    <row r="18263" spans="1:1" x14ac:dyDescent="0.3">
      <c r="A18263" s="20"/>
    </row>
    <row r="18264" spans="1:1" x14ac:dyDescent="0.3">
      <c r="A18264" s="20"/>
    </row>
    <row r="18265" spans="1:1" x14ac:dyDescent="0.3">
      <c r="A18265" s="20"/>
    </row>
    <row r="18266" spans="1:1" x14ac:dyDescent="0.3">
      <c r="A18266" s="20"/>
    </row>
    <row r="18267" spans="1:1" x14ac:dyDescent="0.3">
      <c r="A18267" s="20"/>
    </row>
    <row r="18268" spans="1:1" x14ac:dyDescent="0.3">
      <c r="A18268" s="20"/>
    </row>
    <row r="18269" spans="1:1" x14ac:dyDescent="0.3">
      <c r="A18269" s="20"/>
    </row>
    <row r="18270" spans="1:1" x14ac:dyDescent="0.3">
      <c r="A18270" s="20"/>
    </row>
    <row r="18271" spans="1:1" x14ac:dyDescent="0.3">
      <c r="A18271" s="20"/>
    </row>
    <row r="18272" spans="1:1" x14ac:dyDescent="0.3">
      <c r="A18272" s="20"/>
    </row>
    <row r="18273" spans="1:1" x14ac:dyDescent="0.3">
      <c r="A18273" s="20"/>
    </row>
    <row r="18274" spans="1:1" x14ac:dyDescent="0.3">
      <c r="A18274" s="20"/>
    </row>
    <row r="18275" spans="1:1" x14ac:dyDescent="0.3">
      <c r="A18275" s="20"/>
    </row>
    <row r="18276" spans="1:1" x14ac:dyDescent="0.3">
      <c r="A18276" s="20"/>
    </row>
    <row r="18277" spans="1:1" x14ac:dyDescent="0.3">
      <c r="A18277" s="20"/>
    </row>
    <row r="18278" spans="1:1" x14ac:dyDescent="0.3">
      <c r="A18278" s="20"/>
    </row>
    <row r="18279" spans="1:1" x14ac:dyDescent="0.3">
      <c r="A18279" s="20"/>
    </row>
    <row r="18280" spans="1:1" x14ac:dyDescent="0.3">
      <c r="A18280" s="20"/>
    </row>
    <row r="18281" spans="1:1" x14ac:dyDescent="0.3">
      <c r="A18281" s="20"/>
    </row>
    <row r="18282" spans="1:1" x14ac:dyDescent="0.3">
      <c r="A18282" s="20"/>
    </row>
    <row r="18283" spans="1:1" x14ac:dyDescent="0.3">
      <c r="A18283" s="20"/>
    </row>
    <row r="18284" spans="1:1" x14ac:dyDescent="0.3">
      <c r="A18284" s="20"/>
    </row>
    <row r="18285" spans="1:1" x14ac:dyDescent="0.3">
      <c r="A18285" s="20"/>
    </row>
    <row r="18286" spans="1:1" x14ac:dyDescent="0.3">
      <c r="A18286" s="20"/>
    </row>
    <row r="18287" spans="1:1" x14ac:dyDescent="0.3">
      <c r="A18287" s="20"/>
    </row>
    <row r="18288" spans="1:1" x14ac:dyDescent="0.3">
      <c r="A18288" s="20"/>
    </row>
    <row r="18289" spans="1:1" x14ac:dyDescent="0.3">
      <c r="A18289" s="20"/>
    </row>
    <row r="18290" spans="1:1" x14ac:dyDescent="0.3">
      <c r="A18290" s="20"/>
    </row>
    <row r="18291" spans="1:1" x14ac:dyDescent="0.3">
      <c r="A18291" s="20"/>
    </row>
    <row r="18292" spans="1:1" x14ac:dyDescent="0.3">
      <c r="A18292" s="20"/>
    </row>
    <row r="18293" spans="1:1" x14ac:dyDescent="0.3">
      <c r="A18293" s="20"/>
    </row>
    <row r="18294" spans="1:1" x14ac:dyDescent="0.3">
      <c r="A18294" s="20"/>
    </row>
    <row r="18295" spans="1:1" x14ac:dyDescent="0.3">
      <c r="A18295" s="20"/>
    </row>
    <row r="18296" spans="1:1" x14ac:dyDescent="0.3">
      <c r="A18296" s="20"/>
    </row>
    <row r="18297" spans="1:1" x14ac:dyDescent="0.3">
      <c r="A18297" s="20"/>
    </row>
    <row r="18298" spans="1:1" x14ac:dyDescent="0.3">
      <c r="A18298" s="20"/>
    </row>
    <row r="18299" spans="1:1" x14ac:dyDescent="0.3">
      <c r="A18299" s="20"/>
    </row>
    <row r="18300" spans="1:1" x14ac:dyDescent="0.3">
      <c r="A18300" s="20"/>
    </row>
    <row r="18301" spans="1:1" x14ac:dyDescent="0.3">
      <c r="A18301" s="20"/>
    </row>
    <row r="18302" spans="1:1" x14ac:dyDescent="0.3">
      <c r="A18302" s="20"/>
    </row>
    <row r="18303" spans="1:1" x14ac:dyDescent="0.3">
      <c r="A18303" s="20"/>
    </row>
    <row r="18304" spans="1:1" x14ac:dyDescent="0.3">
      <c r="A18304" s="20"/>
    </row>
    <row r="18305" spans="1:1" x14ac:dyDescent="0.3">
      <c r="A18305" s="20"/>
    </row>
    <row r="18306" spans="1:1" x14ac:dyDescent="0.3">
      <c r="A18306" s="20"/>
    </row>
    <row r="18307" spans="1:1" x14ac:dyDescent="0.3">
      <c r="A18307" s="20"/>
    </row>
    <row r="18308" spans="1:1" x14ac:dyDescent="0.3">
      <c r="A18308" s="20"/>
    </row>
    <row r="18309" spans="1:1" x14ac:dyDescent="0.3">
      <c r="A18309" s="20"/>
    </row>
    <row r="18310" spans="1:1" x14ac:dyDescent="0.3">
      <c r="A18310" s="20"/>
    </row>
    <row r="18311" spans="1:1" x14ac:dyDescent="0.3">
      <c r="A18311" s="20"/>
    </row>
    <row r="18312" spans="1:1" x14ac:dyDescent="0.3">
      <c r="A18312" s="20"/>
    </row>
    <row r="18313" spans="1:1" x14ac:dyDescent="0.3">
      <c r="A18313" s="20"/>
    </row>
    <row r="18314" spans="1:1" x14ac:dyDescent="0.3">
      <c r="A18314" s="20"/>
    </row>
    <row r="18315" spans="1:1" x14ac:dyDescent="0.3">
      <c r="A18315" s="20"/>
    </row>
    <row r="18316" spans="1:1" x14ac:dyDescent="0.3">
      <c r="A18316" s="20"/>
    </row>
    <row r="18317" spans="1:1" x14ac:dyDescent="0.3">
      <c r="A18317" s="20"/>
    </row>
    <row r="18318" spans="1:1" x14ac:dyDescent="0.3">
      <c r="A18318" s="20"/>
    </row>
    <row r="18319" spans="1:1" x14ac:dyDescent="0.3">
      <c r="A18319" s="20"/>
    </row>
    <row r="18320" spans="1:1" x14ac:dyDescent="0.3">
      <c r="A18320" s="20"/>
    </row>
    <row r="18321" spans="1:1" x14ac:dyDescent="0.3">
      <c r="A18321" s="20"/>
    </row>
    <row r="18322" spans="1:1" x14ac:dyDescent="0.3">
      <c r="A18322" s="20"/>
    </row>
    <row r="18323" spans="1:1" x14ac:dyDescent="0.3">
      <c r="A18323" s="20"/>
    </row>
    <row r="18324" spans="1:1" x14ac:dyDescent="0.3">
      <c r="A18324" s="20"/>
    </row>
    <row r="18325" spans="1:1" x14ac:dyDescent="0.3">
      <c r="A18325" s="20"/>
    </row>
    <row r="18326" spans="1:1" x14ac:dyDescent="0.3">
      <c r="A18326" s="20"/>
    </row>
    <row r="18327" spans="1:1" x14ac:dyDescent="0.3">
      <c r="A18327" s="20"/>
    </row>
    <row r="18328" spans="1:1" x14ac:dyDescent="0.3">
      <c r="A18328" s="20"/>
    </row>
    <row r="18329" spans="1:1" x14ac:dyDescent="0.3">
      <c r="A18329" s="20"/>
    </row>
    <row r="18330" spans="1:1" x14ac:dyDescent="0.3">
      <c r="A18330" s="20"/>
    </row>
    <row r="18331" spans="1:1" x14ac:dyDescent="0.3">
      <c r="A18331" s="20"/>
    </row>
    <row r="18332" spans="1:1" x14ac:dyDescent="0.3">
      <c r="A18332" s="20"/>
    </row>
    <row r="18333" spans="1:1" x14ac:dyDescent="0.3">
      <c r="A18333" s="20"/>
    </row>
    <row r="18334" spans="1:1" x14ac:dyDescent="0.3">
      <c r="A18334" s="20"/>
    </row>
    <row r="18335" spans="1:1" x14ac:dyDescent="0.3">
      <c r="A18335" s="20"/>
    </row>
    <row r="18336" spans="1:1" x14ac:dyDescent="0.3">
      <c r="A18336" s="20"/>
    </row>
    <row r="18337" spans="1:1" x14ac:dyDescent="0.3">
      <c r="A18337" s="20"/>
    </row>
    <row r="18338" spans="1:1" x14ac:dyDescent="0.3">
      <c r="A18338" s="20"/>
    </row>
    <row r="18339" spans="1:1" x14ac:dyDescent="0.3">
      <c r="A18339" s="20"/>
    </row>
    <row r="18340" spans="1:1" x14ac:dyDescent="0.3">
      <c r="A18340" s="20"/>
    </row>
    <row r="18341" spans="1:1" x14ac:dyDescent="0.3">
      <c r="A18341" s="20"/>
    </row>
    <row r="18342" spans="1:1" x14ac:dyDescent="0.3">
      <c r="A18342" s="20"/>
    </row>
    <row r="18343" spans="1:1" x14ac:dyDescent="0.3">
      <c r="A18343" s="20"/>
    </row>
    <row r="18344" spans="1:1" x14ac:dyDescent="0.3">
      <c r="A18344" s="20"/>
    </row>
    <row r="18345" spans="1:1" x14ac:dyDescent="0.3">
      <c r="A18345" s="20"/>
    </row>
    <row r="18346" spans="1:1" x14ac:dyDescent="0.3">
      <c r="A18346" s="20"/>
    </row>
    <row r="18347" spans="1:1" x14ac:dyDescent="0.3">
      <c r="A18347" s="20"/>
    </row>
    <row r="18348" spans="1:1" x14ac:dyDescent="0.3">
      <c r="A18348" s="20"/>
    </row>
    <row r="18349" spans="1:1" x14ac:dyDescent="0.3">
      <c r="A18349" s="20"/>
    </row>
    <row r="18350" spans="1:1" x14ac:dyDescent="0.3">
      <c r="A18350" s="20"/>
    </row>
    <row r="18351" spans="1:1" x14ac:dyDescent="0.3">
      <c r="A18351" s="20"/>
    </row>
    <row r="18352" spans="1:1" x14ac:dyDescent="0.3">
      <c r="A18352" s="20"/>
    </row>
    <row r="18353" spans="1:1" x14ac:dyDescent="0.3">
      <c r="A18353" s="20"/>
    </row>
    <row r="18354" spans="1:1" x14ac:dyDescent="0.3">
      <c r="A18354" s="20"/>
    </row>
    <row r="18355" spans="1:1" x14ac:dyDescent="0.3">
      <c r="A18355" s="20"/>
    </row>
    <row r="18356" spans="1:1" x14ac:dyDescent="0.3">
      <c r="A18356" s="20"/>
    </row>
    <row r="18357" spans="1:1" x14ac:dyDescent="0.3">
      <c r="A18357" s="20"/>
    </row>
    <row r="18358" spans="1:1" x14ac:dyDescent="0.3">
      <c r="A18358" s="20"/>
    </row>
    <row r="18359" spans="1:1" x14ac:dyDescent="0.3">
      <c r="A18359" s="20"/>
    </row>
    <row r="18360" spans="1:1" x14ac:dyDescent="0.3">
      <c r="A18360" s="20"/>
    </row>
    <row r="18361" spans="1:1" x14ac:dyDescent="0.3">
      <c r="A18361" s="20"/>
    </row>
    <row r="18362" spans="1:1" x14ac:dyDescent="0.3">
      <c r="A18362" s="20"/>
    </row>
    <row r="18363" spans="1:1" x14ac:dyDescent="0.3">
      <c r="A18363" s="20"/>
    </row>
    <row r="18364" spans="1:1" x14ac:dyDescent="0.3">
      <c r="A18364" s="20"/>
    </row>
    <row r="18365" spans="1:1" x14ac:dyDescent="0.3">
      <c r="A18365" s="20"/>
    </row>
    <row r="18366" spans="1:1" x14ac:dyDescent="0.3">
      <c r="A18366" s="20"/>
    </row>
    <row r="18367" spans="1:1" x14ac:dyDescent="0.3">
      <c r="A18367" s="20"/>
    </row>
    <row r="18368" spans="1:1" x14ac:dyDescent="0.3">
      <c r="A18368" s="20"/>
    </row>
    <row r="18369" spans="1:1" x14ac:dyDescent="0.3">
      <c r="A18369" s="20"/>
    </row>
    <row r="18370" spans="1:1" x14ac:dyDescent="0.3">
      <c r="A18370" s="20"/>
    </row>
    <row r="18371" spans="1:1" x14ac:dyDescent="0.3">
      <c r="A18371" s="20"/>
    </row>
    <row r="18372" spans="1:1" x14ac:dyDescent="0.3">
      <c r="A18372" s="20"/>
    </row>
    <row r="18373" spans="1:1" x14ac:dyDescent="0.3">
      <c r="A18373" s="20"/>
    </row>
    <row r="18374" spans="1:1" x14ac:dyDescent="0.3">
      <c r="A18374" s="20"/>
    </row>
    <row r="18375" spans="1:1" x14ac:dyDescent="0.3">
      <c r="A18375" s="20"/>
    </row>
    <row r="18376" spans="1:1" x14ac:dyDescent="0.3">
      <c r="A18376" s="20"/>
    </row>
    <row r="18377" spans="1:1" x14ac:dyDescent="0.3">
      <c r="A18377" s="20"/>
    </row>
    <row r="18378" spans="1:1" x14ac:dyDescent="0.3">
      <c r="A18378" s="20"/>
    </row>
    <row r="18379" spans="1:1" x14ac:dyDescent="0.3">
      <c r="A18379" s="20"/>
    </row>
    <row r="18380" spans="1:1" x14ac:dyDescent="0.3">
      <c r="A18380" s="20"/>
    </row>
    <row r="18381" spans="1:1" x14ac:dyDescent="0.3">
      <c r="A18381" s="20"/>
    </row>
    <row r="18382" spans="1:1" x14ac:dyDescent="0.3">
      <c r="A18382" s="20"/>
    </row>
    <row r="18383" spans="1:1" x14ac:dyDescent="0.3">
      <c r="A18383" s="20"/>
    </row>
    <row r="18384" spans="1:1" x14ac:dyDescent="0.3">
      <c r="A18384" s="20"/>
    </row>
    <row r="18385" spans="1:1" x14ac:dyDescent="0.3">
      <c r="A18385" s="20"/>
    </row>
    <row r="18386" spans="1:1" x14ac:dyDescent="0.3">
      <c r="A18386" s="20"/>
    </row>
    <row r="18387" spans="1:1" x14ac:dyDescent="0.3">
      <c r="A18387" s="20"/>
    </row>
    <row r="18388" spans="1:1" x14ac:dyDescent="0.3">
      <c r="A18388" s="20"/>
    </row>
    <row r="18389" spans="1:1" x14ac:dyDescent="0.3">
      <c r="A18389" s="20"/>
    </row>
    <row r="18390" spans="1:1" x14ac:dyDescent="0.3">
      <c r="A18390" s="20"/>
    </row>
    <row r="18391" spans="1:1" x14ac:dyDescent="0.3">
      <c r="A18391" s="20"/>
    </row>
    <row r="18392" spans="1:1" x14ac:dyDescent="0.3">
      <c r="A18392" s="20"/>
    </row>
    <row r="18393" spans="1:1" x14ac:dyDescent="0.3">
      <c r="A18393" s="20"/>
    </row>
    <row r="18394" spans="1:1" x14ac:dyDescent="0.3">
      <c r="A18394" s="20"/>
    </row>
    <row r="18395" spans="1:1" x14ac:dyDescent="0.3">
      <c r="A18395" s="20"/>
    </row>
    <row r="18396" spans="1:1" x14ac:dyDescent="0.3">
      <c r="A18396" s="20"/>
    </row>
    <row r="18397" spans="1:1" x14ac:dyDescent="0.3">
      <c r="A18397" s="20"/>
    </row>
    <row r="18398" spans="1:1" x14ac:dyDescent="0.3">
      <c r="A18398" s="20"/>
    </row>
    <row r="18399" spans="1:1" x14ac:dyDescent="0.3">
      <c r="A18399" s="20"/>
    </row>
    <row r="18400" spans="1:1" x14ac:dyDescent="0.3">
      <c r="A18400" s="20"/>
    </row>
    <row r="18401" spans="1:1" x14ac:dyDescent="0.3">
      <c r="A18401" s="20"/>
    </row>
    <row r="18402" spans="1:1" x14ac:dyDescent="0.3">
      <c r="A18402" s="20"/>
    </row>
    <row r="18403" spans="1:1" x14ac:dyDescent="0.3">
      <c r="A18403" s="20"/>
    </row>
    <row r="18404" spans="1:1" x14ac:dyDescent="0.3">
      <c r="A18404" s="20"/>
    </row>
    <row r="18405" spans="1:1" x14ac:dyDescent="0.3">
      <c r="A18405" s="20"/>
    </row>
    <row r="18406" spans="1:1" x14ac:dyDescent="0.3">
      <c r="A18406" s="20"/>
    </row>
    <row r="18407" spans="1:1" x14ac:dyDescent="0.3">
      <c r="A18407" s="20"/>
    </row>
    <row r="18408" spans="1:1" x14ac:dyDescent="0.3">
      <c r="A18408" s="20"/>
    </row>
    <row r="18409" spans="1:1" x14ac:dyDescent="0.3">
      <c r="A18409" s="20"/>
    </row>
    <row r="18410" spans="1:1" x14ac:dyDescent="0.3">
      <c r="A18410" s="20"/>
    </row>
    <row r="18411" spans="1:1" x14ac:dyDescent="0.3">
      <c r="A18411" s="20"/>
    </row>
    <row r="18412" spans="1:1" x14ac:dyDescent="0.3">
      <c r="A18412" s="20"/>
    </row>
    <row r="18413" spans="1:1" x14ac:dyDescent="0.3">
      <c r="A18413" s="20"/>
    </row>
    <row r="18414" spans="1:1" x14ac:dyDescent="0.3">
      <c r="A18414" s="20"/>
    </row>
    <row r="18415" spans="1:1" x14ac:dyDescent="0.3">
      <c r="A18415" s="20"/>
    </row>
    <row r="18416" spans="1:1" x14ac:dyDescent="0.3">
      <c r="A18416" s="20"/>
    </row>
    <row r="18417" spans="1:1" x14ac:dyDescent="0.3">
      <c r="A18417" s="20"/>
    </row>
    <row r="18418" spans="1:1" x14ac:dyDescent="0.3">
      <c r="A18418" s="20"/>
    </row>
    <row r="18419" spans="1:1" x14ac:dyDescent="0.3">
      <c r="A18419" s="20"/>
    </row>
    <row r="18420" spans="1:1" x14ac:dyDescent="0.3">
      <c r="A18420" s="20"/>
    </row>
    <row r="18421" spans="1:1" x14ac:dyDescent="0.3">
      <c r="A18421" s="20"/>
    </row>
    <row r="18422" spans="1:1" x14ac:dyDescent="0.3">
      <c r="A18422" s="20"/>
    </row>
    <row r="18423" spans="1:1" x14ac:dyDescent="0.3">
      <c r="A18423" s="20"/>
    </row>
    <row r="18424" spans="1:1" x14ac:dyDescent="0.3">
      <c r="A18424" s="20"/>
    </row>
    <row r="18425" spans="1:1" x14ac:dyDescent="0.3">
      <c r="A18425" s="20"/>
    </row>
    <row r="18426" spans="1:1" x14ac:dyDescent="0.3">
      <c r="A18426" s="20"/>
    </row>
    <row r="18427" spans="1:1" x14ac:dyDescent="0.3">
      <c r="A18427" s="20"/>
    </row>
    <row r="18428" spans="1:1" x14ac:dyDescent="0.3">
      <c r="A18428" s="20"/>
    </row>
    <row r="18429" spans="1:1" x14ac:dyDescent="0.3">
      <c r="A18429" s="20"/>
    </row>
    <row r="18430" spans="1:1" x14ac:dyDescent="0.3">
      <c r="A18430" s="20"/>
    </row>
    <row r="18431" spans="1:1" x14ac:dyDescent="0.3">
      <c r="A18431" s="20"/>
    </row>
    <row r="18432" spans="1:1" x14ac:dyDescent="0.3">
      <c r="A18432" s="20"/>
    </row>
    <row r="18433" spans="1:1" x14ac:dyDescent="0.3">
      <c r="A18433" s="20"/>
    </row>
    <row r="18434" spans="1:1" x14ac:dyDescent="0.3">
      <c r="A18434" s="20"/>
    </row>
    <row r="18435" spans="1:1" x14ac:dyDescent="0.3">
      <c r="A18435" s="20"/>
    </row>
    <row r="18436" spans="1:1" x14ac:dyDescent="0.3">
      <c r="A18436" s="20"/>
    </row>
    <row r="18437" spans="1:1" x14ac:dyDescent="0.3">
      <c r="A18437" s="20"/>
    </row>
    <row r="18438" spans="1:1" x14ac:dyDescent="0.3">
      <c r="A18438" s="20"/>
    </row>
    <row r="18439" spans="1:1" x14ac:dyDescent="0.3">
      <c r="A18439" s="20"/>
    </row>
    <row r="18440" spans="1:1" x14ac:dyDescent="0.3">
      <c r="A18440" s="20"/>
    </row>
    <row r="18441" spans="1:1" x14ac:dyDescent="0.3">
      <c r="A18441" s="20"/>
    </row>
    <row r="18442" spans="1:1" x14ac:dyDescent="0.3">
      <c r="A18442" s="20"/>
    </row>
    <row r="18443" spans="1:1" x14ac:dyDescent="0.3">
      <c r="A18443" s="20"/>
    </row>
    <row r="18444" spans="1:1" x14ac:dyDescent="0.3">
      <c r="A18444" s="20"/>
    </row>
    <row r="18445" spans="1:1" x14ac:dyDescent="0.3">
      <c r="A18445" s="20"/>
    </row>
    <row r="18446" spans="1:1" x14ac:dyDescent="0.3">
      <c r="A18446" s="20"/>
    </row>
    <row r="18447" spans="1:1" x14ac:dyDescent="0.3">
      <c r="A18447" s="20"/>
    </row>
    <row r="18448" spans="1:1" x14ac:dyDescent="0.3">
      <c r="A18448" s="20"/>
    </row>
    <row r="18449" spans="1:1" x14ac:dyDescent="0.3">
      <c r="A18449" s="20"/>
    </row>
    <row r="18450" spans="1:1" x14ac:dyDescent="0.3">
      <c r="A18450" s="20"/>
    </row>
    <row r="18451" spans="1:1" x14ac:dyDescent="0.3">
      <c r="A18451" s="20"/>
    </row>
    <row r="18452" spans="1:1" x14ac:dyDescent="0.3">
      <c r="A18452" s="20"/>
    </row>
    <row r="18453" spans="1:1" x14ac:dyDescent="0.3">
      <c r="A18453" s="20"/>
    </row>
    <row r="18454" spans="1:1" x14ac:dyDescent="0.3">
      <c r="A18454" s="20"/>
    </row>
    <row r="18455" spans="1:1" x14ac:dyDescent="0.3">
      <c r="A18455" s="20"/>
    </row>
    <row r="18456" spans="1:1" x14ac:dyDescent="0.3">
      <c r="A18456" s="20"/>
    </row>
    <row r="18457" spans="1:1" x14ac:dyDescent="0.3">
      <c r="A18457" s="20"/>
    </row>
    <row r="18458" spans="1:1" x14ac:dyDescent="0.3">
      <c r="A18458" s="20"/>
    </row>
    <row r="18459" spans="1:1" x14ac:dyDescent="0.3">
      <c r="A18459" s="20"/>
    </row>
    <row r="18460" spans="1:1" x14ac:dyDescent="0.3">
      <c r="A18460" s="20"/>
    </row>
    <row r="18461" spans="1:1" x14ac:dyDescent="0.3">
      <c r="A18461" s="20"/>
    </row>
    <row r="18462" spans="1:1" x14ac:dyDescent="0.3">
      <c r="A18462" s="20"/>
    </row>
    <row r="18463" spans="1:1" x14ac:dyDescent="0.3">
      <c r="A18463" s="20"/>
    </row>
    <row r="18464" spans="1:1" x14ac:dyDescent="0.3">
      <c r="A18464" s="20"/>
    </row>
    <row r="18465" spans="1:1" x14ac:dyDescent="0.3">
      <c r="A18465" s="20"/>
    </row>
    <row r="18466" spans="1:1" x14ac:dyDescent="0.3">
      <c r="A18466" s="20"/>
    </row>
    <row r="18467" spans="1:1" x14ac:dyDescent="0.3">
      <c r="A18467" s="20"/>
    </row>
    <row r="18468" spans="1:1" x14ac:dyDescent="0.3">
      <c r="A18468" s="20"/>
    </row>
    <row r="18469" spans="1:1" x14ac:dyDescent="0.3">
      <c r="A18469" s="20"/>
    </row>
    <row r="18470" spans="1:1" x14ac:dyDescent="0.3">
      <c r="A18470" s="20"/>
    </row>
    <row r="18471" spans="1:1" x14ac:dyDescent="0.3">
      <c r="A18471" s="20"/>
    </row>
    <row r="18472" spans="1:1" x14ac:dyDescent="0.3">
      <c r="A18472" s="20"/>
    </row>
    <row r="18473" spans="1:1" x14ac:dyDescent="0.3">
      <c r="A18473" s="20"/>
    </row>
    <row r="18474" spans="1:1" x14ac:dyDescent="0.3">
      <c r="A18474" s="20"/>
    </row>
    <row r="18475" spans="1:1" x14ac:dyDescent="0.3">
      <c r="A18475" s="20"/>
    </row>
    <row r="18476" spans="1:1" x14ac:dyDescent="0.3">
      <c r="A18476" s="20"/>
    </row>
    <row r="18477" spans="1:1" x14ac:dyDescent="0.3">
      <c r="A18477" s="20"/>
    </row>
    <row r="18478" spans="1:1" x14ac:dyDescent="0.3">
      <c r="A18478" s="20"/>
    </row>
    <row r="18479" spans="1:1" x14ac:dyDescent="0.3">
      <c r="A18479" s="20"/>
    </row>
    <row r="18480" spans="1:1" x14ac:dyDescent="0.3">
      <c r="A18480" s="20"/>
    </row>
    <row r="18481" spans="1:1" x14ac:dyDescent="0.3">
      <c r="A18481" s="20"/>
    </row>
    <row r="18482" spans="1:1" x14ac:dyDescent="0.3">
      <c r="A18482" s="20"/>
    </row>
    <row r="18483" spans="1:1" x14ac:dyDescent="0.3">
      <c r="A18483" s="20"/>
    </row>
    <row r="18484" spans="1:1" x14ac:dyDescent="0.3">
      <c r="A18484" s="20"/>
    </row>
    <row r="18485" spans="1:1" x14ac:dyDescent="0.3">
      <c r="A18485" s="20"/>
    </row>
    <row r="18486" spans="1:1" x14ac:dyDescent="0.3">
      <c r="A18486" s="20"/>
    </row>
    <row r="18487" spans="1:1" x14ac:dyDescent="0.3">
      <c r="A18487" s="20"/>
    </row>
    <row r="18488" spans="1:1" x14ac:dyDescent="0.3">
      <c r="A18488" s="20"/>
    </row>
    <row r="18489" spans="1:1" x14ac:dyDescent="0.3">
      <c r="A18489" s="20"/>
    </row>
    <row r="18490" spans="1:1" x14ac:dyDescent="0.3">
      <c r="A18490" s="20"/>
    </row>
    <row r="18491" spans="1:1" x14ac:dyDescent="0.3">
      <c r="A18491" s="20"/>
    </row>
    <row r="18492" spans="1:1" x14ac:dyDescent="0.3">
      <c r="A18492" s="20"/>
    </row>
    <row r="18493" spans="1:1" x14ac:dyDescent="0.3">
      <c r="A18493" s="20"/>
    </row>
    <row r="18494" spans="1:1" x14ac:dyDescent="0.3">
      <c r="A18494" s="20"/>
    </row>
    <row r="18495" spans="1:1" x14ac:dyDescent="0.3">
      <c r="A18495" s="20"/>
    </row>
    <row r="18496" spans="1:1" x14ac:dyDescent="0.3">
      <c r="A18496" s="20"/>
    </row>
    <row r="18497" spans="1:1" x14ac:dyDescent="0.3">
      <c r="A18497" s="20"/>
    </row>
    <row r="18498" spans="1:1" x14ac:dyDescent="0.3">
      <c r="A18498" s="20"/>
    </row>
    <row r="18499" spans="1:1" x14ac:dyDescent="0.3">
      <c r="A18499" s="20"/>
    </row>
    <row r="18500" spans="1:1" x14ac:dyDescent="0.3">
      <c r="A18500" s="20"/>
    </row>
    <row r="18501" spans="1:1" x14ac:dyDescent="0.3">
      <c r="A18501" s="20"/>
    </row>
    <row r="18502" spans="1:1" x14ac:dyDescent="0.3">
      <c r="A18502" s="20"/>
    </row>
    <row r="18503" spans="1:1" x14ac:dyDescent="0.3">
      <c r="A18503" s="20"/>
    </row>
    <row r="18504" spans="1:1" x14ac:dyDescent="0.3">
      <c r="A18504" s="20"/>
    </row>
    <row r="18505" spans="1:1" x14ac:dyDescent="0.3">
      <c r="A18505" s="20"/>
    </row>
    <row r="18506" spans="1:1" x14ac:dyDescent="0.3">
      <c r="A18506" s="20"/>
    </row>
    <row r="18507" spans="1:1" x14ac:dyDescent="0.3">
      <c r="A18507" s="20"/>
    </row>
    <row r="18508" spans="1:1" x14ac:dyDescent="0.3">
      <c r="A18508" s="20"/>
    </row>
    <row r="18509" spans="1:1" x14ac:dyDescent="0.3">
      <c r="A18509" s="20"/>
    </row>
    <row r="18510" spans="1:1" x14ac:dyDescent="0.3">
      <c r="A18510" s="20"/>
    </row>
    <row r="18511" spans="1:1" x14ac:dyDescent="0.3">
      <c r="A18511" s="20"/>
    </row>
    <row r="18512" spans="1:1" x14ac:dyDescent="0.3">
      <c r="A18512" s="20"/>
    </row>
    <row r="18513" spans="1:1" x14ac:dyDescent="0.3">
      <c r="A18513" s="20"/>
    </row>
    <row r="18514" spans="1:1" x14ac:dyDescent="0.3">
      <c r="A18514" s="20"/>
    </row>
    <row r="18515" spans="1:1" x14ac:dyDescent="0.3">
      <c r="A18515" s="20"/>
    </row>
    <row r="18516" spans="1:1" x14ac:dyDescent="0.3">
      <c r="A18516" s="20"/>
    </row>
    <row r="18517" spans="1:1" x14ac:dyDescent="0.3">
      <c r="A18517" s="20"/>
    </row>
    <row r="18518" spans="1:1" x14ac:dyDescent="0.3">
      <c r="A18518" s="20"/>
    </row>
    <row r="18519" spans="1:1" x14ac:dyDescent="0.3">
      <c r="A18519" s="20"/>
    </row>
    <row r="18520" spans="1:1" x14ac:dyDescent="0.3">
      <c r="A18520" s="20"/>
    </row>
    <row r="18521" spans="1:1" x14ac:dyDescent="0.3">
      <c r="A18521" s="20"/>
    </row>
    <row r="18522" spans="1:1" x14ac:dyDescent="0.3">
      <c r="A18522" s="20"/>
    </row>
    <row r="18523" spans="1:1" x14ac:dyDescent="0.3">
      <c r="A18523" s="20"/>
    </row>
    <row r="18524" spans="1:1" x14ac:dyDescent="0.3">
      <c r="A18524" s="20"/>
    </row>
    <row r="18525" spans="1:1" x14ac:dyDescent="0.3">
      <c r="A18525" s="20"/>
    </row>
    <row r="18526" spans="1:1" x14ac:dyDescent="0.3">
      <c r="A18526" s="20"/>
    </row>
    <row r="18527" spans="1:1" x14ac:dyDescent="0.3">
      <c r="A18527" s="20"/>
    </row>
    <row r="18528" spans="1:1" x14ac:dyDescent="0.3">
      <c r="A18528" s="20"/>
    </row>
    <row r="18529" spans="1:1" x14ac:dyDescent="0.3">
      <c r="A18529" s="20"/>
    </row>
    <row r="18530" spans="1:1" x14ac:dyDescent="0.3">
      <c r="A18530" s="20"/>
    </row>
    <row r="18531" spans="1:1" x14ac:dyDescent="0.3">
      <c r="A18531" s="20"/>
    </row>
    <row r="18532" spans="1:1" x14ac:dyDescent="0.3">
      <c r="A18532" s="20"/>
    </row>
    <row r="18533" spans="1:1" x14ac:dyDescent="0.3">
      <c r="A18533" s="20"/>
    </row>
    <row r="18534" spans="1:1" x14ac:dyDescent="0.3">
      <c r="A18534" s="20"/>
    </row>
    <row r="18535" spans="1:1" x14ac:dyDescent="0.3">
      <c r="A18535" s="20"/>
    </row>
    <row r="18536" spans="1:1" x14ac:dyDescent="0.3">
      <c r="A18536" s="20"/>
    </row>
    <row r="18537" spans="1:1" x14ac:dyDescent="0.3">
      <c r="A18537" s="20"/>
    </row>
    <row r="18538" spans="1:1" x14ac:dyDescent="0.3">
      <c r="A18538" s="20"/>
    </row>
    <row r="18539" spans="1:1" x14ac:dyDescent="0.3">
      <c r="A18539" s="20"/>
    </row>
    <row r="18540" spans="1:1" x14ac:dyDescent="0.3">
      <c r="A18540" s="20"/>
    </row>
    <row r="18541" spans="1:1" x14ac:dyDescent="0.3">
      <c r="A18541" s="20"/>
    </row>
    <row r="18542" spans="1:1" x14ac:dyDescent="0.3">
      <c r="A18542" s="20"/>
    </row>
    <row r="18543" spans="1:1" x14ac:dyDescent="0.3">
      <c r="A18543" s="20"/>
    </row>
    <row r="18544" spans="1:1" x14ac:dyDescent="0.3">
      <c r="A18544" s="20"/>
    </row>
    <row r="18545" spans="1:1" x14ac:dyDescent="0.3">
      <c r="A18545" s="20"/>
    </row>
    <row r="18546" spans="1:1" x14ac:dyDescent="0.3">
      <c r="A18546" s="20"/>
    </row>
    <row r="18547" spans="1:1" x14ac:dyDescent="0.3">
      <c r="A18547" s="20"/>
    </row>
    <row r="18548" spans="1:1" x14ac:dyDescent="0.3">
      <c r="A18548" s="20"/>
    </row>
    <row r="18549" spans="1:1" x14ac:dyDescent="0.3">
      <c r="A18549" s="20"/>
    </row>
    <row r="18550" spans="1:1" x14ac:dyDescent="0.3">
      <c r="A18550" s="20"/>
    </row>
    <row r="18551" spans="1:1" x14ac:dyDescent="0.3">
      <c r="A18551" s="20"/>
    </row>
    <row r="18552" spans="1:1" x14ac:dyDescent="0.3">
      <c r="A18552" s="20"/>
    </row>
    <row r="18553" spans="1:1" x14ac:dyDescent="0.3">
      <c r="A18553" s="20"/>
    </row>
    <row r="18554" spans="1:1" x14ac:dyDescent="0.3">
      <c r="A18554" s="20"/>
    </row>
    <row r="18555" spans="1:1" x14ac:dyDescent="0.3">
      <c r="A18555" s="20"/>
    </row>
    <row r="18556" spans="1:1" x14ac:dyDescent="0.3">
      <c r="A18556" s="20"/>
    </row>
    <row r="18557" spans="1:1" x14ac:dyDescent="0.3">
      <c r="A18557" s="20"/>
    </row>
    <row r="18558" spans="1:1" x14ac:dyDescent="0.3">
      <c r="A18558" s="20"/>
    </row>
    <row r="18559" spans="1:1" x14ac:dyDescent="0.3">
      <c r="A18559" s="20"/>
    </row>
    <row r="18560" spans="1:1" x14ac:dyDescent="0.3">
      <c r="A18560" s="20"/>
    </row>
    <row r="18561" spans="1:1" x14ac:dyDescent="0.3">
      <c r="A18561" s="20"/>
    </row>
    <row r="18562" spans="1:1" x14ac:dyDescent="0.3">
      <c r="A18562" s="20"/>
    </row>
    <row r="18563" spans="1:1" x14ac:dyDescent="0.3">
      <c r="A18563" s="20"/>
    </row>
    <row r="18564" spans="1:1" x14ac:dyDescent="0.3">
      <c r="A18564" s="20"/>
    </row>
    <row r="18565" spans="1:1" x14ac:dyDescent="0.3">
      <c r="A18565" s="20"/>
    </row>
    <row r="18566" spans="1:1" x14ac:dyDescent="0.3">
      <c r="A18566" s="20"/>
    </row>
    <row r="18567" spans="1:1" x14ac:dyDescent="0.3">
      <c r="A18567" s="20"/>
    </row>
    <row r="18568" spans="1:1" x14ac:dyDescent="0.3">
      <c r="A18568" s="20"/>
    </row>
    <row r="18569" spans="1:1" x14ac:dyDescent="0.3">
      <c r="A18569" s="20"/>
    </row>
    <row r="18570" spans="1:1" x14ac:dyDescent="0.3">
      <c r="A18570" s="20"/>
    </row>
    <row r="18571" spans="1:1" x14ac:dyDescent="0.3">
      <c r="A18571" s="20"/>
    </row>
    <row r="18572" spans="1:1" x14ac:dyDescent="0.3">
      <c r="A18572" s="20"/>
    </row>
    <row r="18573" spans="1:1" x14ac:dyDescent="0.3">
      <c r="A18573" s="20"/>
    </row>
    <row r="18574" spans="1:1" x14ac:dyDescent="0.3">
      <c r="A18574" s="20"/>
    </row>
    <row r="18575" spans="1:1" x14ac:dyDescent="0.3">
      <c r="A18575" s="20"/>
    </row>
    <row r="18576" spans="1:1" x14ac:dyDescent="0.3">
      <c r="A18576" s="20"/>
    </row>
    <row r="18577" spans="1:1" x14ac:dyDescent="0.3">
      <c r="A18577" s="20"/>
    </row>
    <row r="18578" spans="1:1" x14ac:dyDescent="0.3">
      <c r="A18578" s="20"/>
    </row>
    <row r="18579" spans="1:1" x14ac:dyDescent="0.3">
      <c r="A18579" s="20"/>
    </row>
    <row r="18580" spans="1:1" x14ac:dyDescent="0.3">
      <c r="A18580" s="20"/>
    </row>
    <row r="18581" spans="1:1" x14ac:dyDescent="0.3">
      <c r="A18581" s="20"/>
    </row>
    <row r="18582" spans="1:1" x14ac:dyDescent="0.3">
      <c r="A18582" s="20"/>
    </row>
    <row r="18583" spans="1:1" x14ac:dyDescent="0.3">
      <c r="A18583" s="20"/>
    </row>
    <row r="18584" spans="1:1" x14ac:dyDescent="0.3">
      <c r="A18584" s="20"/>
    </row>
    <row r="18585" spans="1:1" x14ac:dyDescent="0.3">
      <c r="A18585" s="20"/>
    </row>
    <row r="18586" spans="1:1" x14ac:dyDescent="0.3">
      <c r="A18586" s="20"/>
    </row>
    <row r="18587" spans="1:1" x14ac:dyDescent="0.3">
      <c r="A18587" s="20"/>
    </row>
    <row r="18588" spans="1:1" x14ac:dyDescent="0.3">
      <c r="A18588" s="20"/>
    </row>
    <row r="18589" spans="1:1" x14ac:dyDescent="0.3">
      <c r="A18589" s="20"/>
    </row>
    <row r="18590" spans="1:1" x14ac:dyDescent="0.3">
      <c r="A18590" s="20"/>
    </row>
    <row r="18591" spans="1:1" x14ac:dyDescent="0.3">
      <c r="A18591" s="20"/>
    </row>
    <row r="18592" spans="1:1" x14ac:dyDescent="0.3">
      <c r="A18592" s="20"/>
    </row>
    <row r="18593" spans="1:1" x14ac:dyDescent="0.3">
      <c r="A18593" s="20"/>
    </row>
    <row r="18594" spans="1:1" x14ac:dyDescent="0.3">
      <c r="A18594" s="20"/>
    </row>
    <row r="18595" spans="1:1" x14ac:dyDescent="0.3">
      <c r="A18595" s="20"/>
    </row>
    <row r="18596" spans="1:1" x14ac:dyDescent="0.3">
      <c r="A18596" s="20"/>
    </row>
    <row r="18597" spans="1:1" x14ac:dyDescent="0.3">
      <c r="A18597" s="20"/>
    </row>
    <row r="18598" spans="1:1" x14ac:dyDescent="0.3">
      <c r="A18598" s="20"/>
    </row>
    <row r="18599" spans="1:1" x14ac:dyDescent="0.3">
      <c r="A18599" s="20"/>
    </row>
    <row r="18600" spans="1:1" x14ac:dyDescent="0.3">
      <c r="A18600" s="20"/>
    </row>
    <row r="18601" spans="1:1" x14ac:dyDescent="0.3">
      <c r="A18601" s="20"/>
    </row>
    <row r="18602" spans="1:1" x14ac:dyDescent="0.3">
      <c r="A18602" s="20"/>
    </row>
    <row r="18603" spans="1:1" x14ac:dyDescent="0.3">
      <c r="A18603" s="20"/>
    </row>
    <row r="18604" spans="1:1" x14ac:dyDescent="0.3">
      <c r="A18604" s="20"/>
    </row>
    <row r="18605" spans="1:1" x14ac:dyDescent="0.3">
      <c r="A18605" s="20"/>
    </row>
    <row r="18606" spans="1:1" x14ac:dyDescent="0.3">
      <c r="A18606" s="20"/>
    </row>
    <row r="18607" spans="1:1" x14ac:dyDescent="0.3">
      <c r="A18607" s="20"/>
    </row>
    <row r="18608" spans="1:1" x14ac:dyDescent="0.3">
      <c r="A18608" s="20"/>
    </row>
    <row r="18609" spans="1:1" x14ac:dyDescent="0.3">
      <c r="A18609" s="20"/>
    </row>
    <row r="18610" spans="1:1" x14ac:dyDescent="0.3">
      <c r="A18610" s="20"/>
    </row>
    <row r="18611" spans="1:1" x14ac:dyDescent="0.3">
      <c r="A18611" s="20"/>
    </row>
    <row r="18612" spans="1:1" x14ac:dyDescent="0.3">
      <c r="A18612" s="20"/>
    </row>
    <row r="18613" spans="1:1" x14ac:dyDescent="0.3">
      <c r="A18613" s="20"/>
    </row>
    <row r="18614" spans="1:1" x14ac:dyDescent="0.3">
      <c r="A18614" s="20"/>
    </row>
    <row r="18615" spans="1:1" x14ac:dyDescent="0.3">
      <c r="A18615" s="20"/>
    </row>
    <row r="18616" spans="1:1" x14ac:dyDescent="0.3">
      <c r="A18616" s="20"/>
    </row>
    <row r="18617" spans="1:1" x14ac:dyDescent="0.3">
      <c r="A18617" s="20"/>
    </row>
    <row r="18618" spans="1:1" x14ac:dyDescent="0.3">
      <c r="A18618" s="20"/>
    </row>
    <row r="18619" spans="1:1" x14ac:dyDescent="0.3">
      <c r="A18619" s="20"/>
    </row>
    <row r="18620" spans="1:1" x14ac:dyDescent="0.3">
      <c r="A18620" s="20"/>
    </row>
    <row r="18621" spans="1:1" x14ac:dyDescent="0.3">
      <c r="A18621" s="20"/>
    </row>
    <row r="18622" spans="1:1" x14ac:dyDescent="0.3">
      <c r="A18622" s="20"/>
    </row>
    <row r="18623" spans="1:1" x14ac:dyDescent="0.3">
      <c r="A18623" s="20"/>
    </row>
    <row r="18624" spans="1:1" x14ac:dyDescent="0.3">
      <c r="A18624" s="20"/>
    </row>
    <row r="18625" spans="1:1" x14ac:dyDescent="0.3">
      <c r="A18625" s="20"/>
    </row>
    <row r="18626" spans="1:1" x14ac:dyDescent="0.3">
      <c r="A18626" s="20"/>
    </row>
    <row r="18627" spans="1:1" x14ac:dyDescent="0.3">
      <c r="A18627" s="20"/>
    </row>
    <row r="18628" spans="1:1" x14ac:dyDescent="0.3">
      <c r="A18628" s="20"/>
    </row>
    <row r="18629" spans="1:1" x14ac:dyDescent="0.3">
      <c r="A18629" s="20"/>
    </row>
    <row r="18630" spans="1:1" x14ac:dyDescent="0.3">
      <c r="A18630" s="20"/>
    </row>
    <row r="18631" spans="1:1" x14ac:dyDescent="0.3">
      <c r="A18631" s="20"/>
    </row>
    <row r="18632" spans="1:1" x14ac:dyDescent="0.3">
      <c r="A18632" s="20"/>
    </row>
    <row r="18633" spans="1:1" x14ac:dyDescent="0.3">
      <c r="A18633" s="20"/>
    </row>
    <row r="18634" spans="1:1" x14ac:dyDescent="0.3">
      <c r="A18634" s="20"/>
    </row>
    <row r="18635" spans="1:1" x14ac:dyDescent="0.3">
      <c r="A18635" s="20"/>
    </row>
    <row r="18636" spans="1:1" x14ac:dyDescent="0.3">
      <c r="A18636" s="20"/>
    </row>
    <row r="18637" spans="1:1" x14ac:dyDescent="0.3">
      <c r="A18637" s="20"/>
    </row>
    <row r="18638" spans="1:1" x14ac:dyDescent="0.3">
      <c r="A18638" s="20"/>
    </row>
    <row r="18639" spans="1:1" x14ac:dyDescent="0.3">
      <c r="A18639" s="20"/>
    </row>
    <row r="18640" spans="1:1" x14ac:dyDescent="0.3">
      <c r="A18640" s="20"/>
    </row>
    <row r="18641" spans="1:1" x14ac:dyDescent="0.3">
      <c r="A18641" s="20"/>
    </row>
    <row r="18642" spans="1:1" x14ac:dyDescent="0.3">
      <c r="A18642" s="20"/>
    </row>
    <row r="18643" spans="1:1" x14ac:dyDescent="0.3">
      <c r="A18643" s="20"/>
    </row>
    <row r="18644" spans="1:1" x14ac:dyDescent="0.3">
      <c r="A18644" s="20"/>
    </row>
    <row r="18645" spans="1:1" x14ac:dyDescent="0.3">
      <c r="A18645" s="20"/>
    </row>
    <row r="18646" spans="1:1" x14ac:dyDescent="0.3">
      <c r="A18646" s="20"/>
    </row>
    <row r="18647" spans="1:1" x14ac:dyDescent="0.3">
      <c r="A18647" s="20"/>
    </row>
    <row r="18648" spans="1:1" x14ac:dyDescent="0.3">
      <c r="A18648" s="20"/>
    </row>
    <row r="18649" spans="1:1" x14ac:dyDescent="0.3">
      <c r="A18649" s="20"/>
    </row>
    <row r="18650" spans="1:1" x14ac:dyDescent="0.3">
      <c r="A18650" s="20"/>
    </row>
    <row r="18651" spans="1:1" x14ac:dyDescent="0.3">
      <c r="A18651" s="20"/>
    </row>
    <row r="18652" spans="1:1" x14ac:dyDescent="0.3">
      <c r="A18652" s="20"/>
    </row>
    <row r="18653" spans="1:1" x14ac:dyDescent="0.3">
      <c r="A18653" s="20"/>
    </row>
    <row r="18654" spans="1:1" x14ac:dyDescent="0.3">
      <c r="A18654" s="20"/>
    </row>
    <row r="18655" spans="1:1" x14ac:dyDescent="0.3">
      <c r="A18655" s="20"/>
    </row>
    <row r="18656" spans="1:1" x14ac:dyDescent="0.3">
      <c r="A18656" s="20"/>
    </row>
    <row r="18657" spans="1:1" x14ac:dyDescent="0.3">
      <c r="A18657" s="20"/>
    </row>
    <row r="18658" spans="1:1" x14ac:dyDescent="0.3">
      <c r="A18658" s="20"/>
    </row>
    <row r="18659" spans="1:1" x14ac:dyDescent="0.3">
      <c r="A18659" s="20"/>
    </row>
    <row r="18660" spans="1:1" x14ac:dyDescent="0.3">
      <c r="A18660" s="20"/>
    </row>
    <row r="18661" spans="1:1" x14ac:dyDescent="0.3">
      <c r="A18661" s="20"/>
    </row>
    <row r="18662" spans="1:1" x14ac:dyDescent="0.3">
      <c r="A18662" s="20"/>
    </row>
    <row r="18663" spans="1:1" x14ac:dyDescent="0.3">
      <c r="A18663" s="20"/>
    </row>
    <row r="18664" spans="1:1" x14ac:dyDescent="0.3">
      <c r="A18664" s="20"/>
    </row>
    <row r="18665" spans="1:1" x14ac:dyDescent="0.3">
      <c r="A18665" s="20"/>
    </row>
    <row r="18666" spans="1:1" x14ac:dyDescent="0.3">
      <c r="A18666" s="20"/>
    </row>
    <row r="18667" spans="1:1" x14ac:dyDescent="0.3">
      <c r="A18667" s="20"/>
    </row>
    <row r="18668" spans="1:1" x14ac:dyDescent="0.3">
      <c r="A18668" s="20"/>
    </row>
    <row r="18669" spans="1:1" x14ac:dyDescent="0.3">
      <c r="A18669" s="20"/>
    </row>
    <row r="18670" spans="1:1" x14ac:dyDescent="0.3">
      <c r="A18670" s="20"/>
    </row>
    <row r="18671" spans="1:1" x14ac:dyDescent="0.3">
      <c r="A18671" s="20"/>
    </row>
    <row r="18672" spans="1:1" x14ac:dyDescent="0.3">
      <c r="A18672" s="20"/>
    </row>
    <row r="18673" spans="1:1" x14ac:dyDescent="0.3">
      <c r="A18673" s="20"/>
    </row>
    <row r="18674" spans="1:1" x14ac:dyDescent="0.3">
      <c r="A18674" s="20"/>
    </row>
    <row r="18675" spans="1:1" x14ac:dyDescent="0.3">
      <c r="A18675" s="20"/>
    </row>
    <row r="18676" spans="1:1" x14ac:dyDescent="0.3">
      <c r="A18676" s="20"/>
    </row>
    <row r="18677" spans="1:1" x14ac:dyDescent="0.3">
      <c r="A18677" s="20"/>
    </row>
    <row r="18678" spans="1:1" x14ac:dyDescent="0.3">
      <c r="A18678" s="20"/>
    </row>
    <row r="18679" spans="1:1" x14ac:dyDescent="0.3">
      <c r="A18679" s="20"/>
    </row>
    <row r="18680" spans="1:1" x14ac:dyDescent="0.3">
      <c r="A18680" s="20"/>
    </row>
    <row r="18681" spans="1:1" x14ac:dyDescent="0.3">
      <c r="A18681" s="20"/>
    </row>
    <row r="18682" spans="1:1" x14ac:dyDescent="0.3">
      <c r="A18682" s="20"/>
    </row>
    <row r="18683" spans="1:1" x14ac:dyDescent="0.3">
      <c r="A18683" s="20"/>
    </row>
    <row r="18684" spans="1:1" x14ac:dyDescent="0.3">
      <c r="A18684" s="20"/>
    </row>
    <row r="18685" spans="1:1" x14ac:dyDescent="0.3">
      <c r="A18685" s="20"/>
    </row>
    <row r="18686" spans="1:1" x14ac:dyDescent="0.3">
      <c r="A18686" s="20"/>
    </row>
    <row r="18687" spans="1:1" x14ac:dyDescent="0.3">
      <c r="A18687" s="20"/>
    </row>
    <row r="18688" spans="1:1" x14ac:dyDescent="0.3">
      <c r="A18688" s="20"/>
    </row>
    <row r="18689" spans="1:1" x14ac:dyDescent="0.3">
      <c r="A18689" s="20"/>
    </row>
    <row r="18690" spans="1:1" x14ac:dyDescent="0.3">
      <c r="A18690" s="20"/>
    </row>
    <row r="18691" spans="1:1" x14ac:dyDescent="0.3">
      <c r="A18691" s="20"/>
    </row>
    <row r="18692" spans="1:1" x14ac:dyDescent="0.3">
      <c r="A18692" s="20"/>
    </row>
    <row r="18693" spans="1:1" x14ac:dyDescent="0.3">
      <c r="A18693" s="20"/>
    </row>
    <row r="18694" spans="1:1" x14ac:dyDescent="0.3">
      <c r="A18694" s="20"/>
    </row>
    <row r="18695" spans="1:1" x14ac:dyDescent="0.3">
      <c r="A18695" s="20"/>
    </row>
    <row r="18696" spans="1:1" x14ac:dyDescent="0.3">
      <c r="A18696" s="20"/>
    </row>
    <row r="18697" spans="1:1" x14ac:dyDescent="0.3">
      <c r="A18697" s="20"/>
    </row>
    <row r="18698" spans="1:1" x14ac:dyDescent="0.3">
      <c r="A18698" s="20"/>
    </row>
    <row r="18699" spans="1:1" x14ac:dyDescent="0.3">
      <c r="A18699" s="20"/>
    </row>
    <row r="18700" spans="1:1" x14ac:dyDescent="0.3">
      <c r="A18700" s="20"/>
    </row>
    <row r="18701" spans="1:1" x14ac:dyDescent="0.3">
      <c r="A18701" s="20"/>
    </row>
    <row r="18702" spans="1:1" x14ac:dyDescent="0.3">
      <c r="A18702" s="20"/>
    </row>
    <row r="18703" spans="1:1" x14ac:dyDescent="0.3">
      <c r="A18703" s="20"/>
    </row>
    <row r="18704" spans="1:1" x14ac:dyDescent="0.3">
      <c r="A18704" s="20"/>
    </row>
    <row r="18705" spans="1:1" x14ac:dyDescent="0.3">
      <c r="A18705" s="20"/>
    </row>
    <row r="18706" spans="1:1" x14ac:dyDescent="0.3">
      <c r="A18706" s="20"/>
    </row>
    <row r="18707" spans="1:1" x14ac:dyDescent="0.3">
      <c r="A18707" s="20"/>
    </row>
    <row r="18708" spans="1:1" x14ac:dyDescent="0.3">
      <c r="A18708" s="20"/>
    </row>
    <row r="18709" spans="1:1" x14ac:dyDescent="0.3">
      <c r="A18709" s="20"/>
    </row>
    <row r="18710" spans="1:1" x14ac:dyDescent="0.3">
      <c r="A18710" s="20"/>
    </row>
    <row r="18711" spans="1:1" x14ac:dyDescent="0.3">
      <c r="A18711" s="20"/>
    </row>
    <row r="18712" spans="1:1" x14ac:dyDescent="0.3">
      <c r="A18712" s="20"/>
    </row>
    <row r="18713" spans="1:1" x14ac:dyDescent="0.3">
      <c r="A18713" s="20"/>
    </row>
    <row r="18714" spans="1:1" x14ac:dyDescent="0.3">
      <c r="A18714" s="20"/>
    </row>
    <row r="18715" spans="1:1" x14ac:dyDescent="0.3">
      <c r="A18715" s="20"/>
    </row>
    <row r="18716" spans="1:1" x14ac:dyDescent="0.3">
      <c r="A18716" s="20"/>
    </row>
    <row r="18717" spans="1:1" x14ac:dyDescent="0.3">
      <c r="A18717" s="20"/>
    </row>
    <row r="18718" spans="1:1" x14ac:dyDescent="0.3">
      <c r="A18718" s="20"/>
    </row>
    <row r="18719" spans="1:1" x14ac:dyDescent="0.3">
      <c r="A18719" s="20"/>
    </row>
    <row r="18720" spans="1:1" x14ac:dyDescent="0.3">
      <c r="A18720" s="20"/>
    </row>
    <row r="18721" spans="1:1" x14ac:dyDescent="0.3">
      <c r="A18721" s="20"/>
    </row>
    <row r="18722" spans="1:1" x14ac:dyDescent="0.3">
      <c r="A18722" s="20"/>
    </row>
    <row r="18723" spans="1:1" x14ac:dyDescent="0.3">
      <c r="A18723" s="20"/>
    </row>
    <row r="18724" spans="1:1" x14ac:dyDescent="0.3">
      <c r="A18724" s="20"/>
    </row>
    <row r="18725" spans="1:1" x14ac:dyDescent="0.3">
      <c r="A18725" s="20"/>
    </row>
    <row r="18726" spans="1:1" x14ac:dyDescent="0.3">
      <c r="A18726" s="20"/>
    </row>
    <row r="18727" spans="1:1" x14ac:dyDescent="0.3">
      <c r="A18727" s="20"/>
    </row>
    <row r="18728" spans="1:1" x14ac:dyDescent="0.3">
      <c r="A18728" s="20"/>
    </row>
    <row r="18729" spans="1:1" x14ac:dyDescent="0.3">
      <c r="A18729" s="20"/>
    </row>
    <row r="18730" spans="1:1" x14ac:dyDescent="0.3">
      <c r="A18730" s="20"/>
    </row>
    <row r="18731" spans="1:1" x14ac:dyDescent="0.3">
      <c r="A18731" s="20"/>
    </row>
    <row r="18732" spans="1:1" x14ac:dyDescent="0.3">
      <c r="A18732" s="20"/>
    </row>
    <row r="18733" spans="1:1" x14ac:dyDescent="0.3">
      <c r="A18733" s="20"/>
    </row>
    <row r="18734" spans="1:1" x14ac:dyDescent="0.3">
      <c r="A18734" s="20"/>
    </row>
    <row r="18735" spans="1:1" x14ac:dyDescent="0.3">
      <c r="A18735" s="20"/>
    </row>
    <row r="18736" spans="1:1" x14ac:dyDescent="0.3">
      <c r="A18736" s="20"/>
    </row>
    <row r="18737" spans="1:1" x14ac:dyDescent="0.3">
      <c r="A18737" s="20"/>
    </row>
    <row r="18738" spans="1:1" x14ac:dyDescent="0.3">
      <c r="A18738" s="20"/>
    </row>
    <row r="18739" spans="1:1" x14ac:dyDescent="0.3">
      <c r="A18739" s="20"/>
    </row>
    <row r="18740" spans="1:1" x14ac:dyDescent="0.3">
      <c r="A18740" s="20"/>
    </row>
    <row r="18741" spans="1:1" x14ac:dyDescent="0.3">
      <c r="A18741" s="20"/>
    </row>
    <row r="18742" spans="1:1" x14ac:dyDescent="0.3">
      <c r="A18742" s="20"/>
    </row>
    <row r="18743" spans="1:1" x14ac:dyDescent="0.3">
      <c r="A18743" s="20"/>
    </row>
    <row r="18744" spans="1:1" x14ac:dyDescent="0.3">
      <c r="A18744" s="20"/>
    </row>
    <row r="18745" spans="1:1" x14ac:dyDescent="0.3">
      <c r="A18745" s="20"/>
    </row>
    <row r="18746" spans="1:1" x14ac:dyDescent="0.3">
      <c r="A18746" s="20"/>
    </row>
    <row r="18747" spans="1:1" x14ac:dyDescent="0.3">
      <c r="A18747" s="20"/>
    </row>
    <row r="18748" spans="1:1" x14ac:dyDescent="0.3">
      <c r="A18748" s="20"/>
    </row>
    <row r="18749" spans="1:1" x14ac:dyDescent="0.3">
      <c r="A18749" s="20"/>
    </row>
    <row r="18750" spans="1:1" x14ac:dyDescent="0.3">
      <c r="A18750" s="20"/>
    </row>
    <row r="18751" spans="1:1" x14ac:dyDescent="0.3">
      <c r="A18751" s="20"/>
    </row>
    <row r="18752" spans="1:1" x14ac:dyDescent="0.3">
      <c r="A18752" s="20"/>
    </row>
    <row r="18753" spans="1:1" x14ac:dyDescent="0.3">
      <c r="A18753" s="20"/>
    </row>
    <row r="18754" spans="1:1" x14ac:dyDescent="0.3">
      <c r="A18754" s="20"/>
    </row>
    <row r="18755" spans="1:1" x14ac:dyDescent="0.3">
      <c r="A18755" s="20"/>
    </row>
    <row r="18756" spans="1:1" x14ac:dyDescent="0.3">
      <c r="A18756" s="20"/>
    </row>
    <row r="18757" spans="1:1" x14ac:dyDescent="0.3">
      <c r="A18757" s="20"/>
    </row>
    <row r="18758" spans="1:1" x14ac:dyDescent="0.3">
      <c r="A18758" s="20"/>
    </row>
    <row r="18759" spans="1:1" x14ac:dyDescent="0.3">
      <c r="A18759" s="20"/>
    </row>
    <row r="18760" spans="1:1" x14ac:dyDescent="0.3">
      <c r="A18760" s="20"/>
    </row>
    <row r="18761" spans="1:1" x14ac:dyDescent="0.3">
      <c r="A18761" s="20"/>
    </row>
    <row r="18762" spans="1:1" x14ac:dyDescent="0.3">
      <c r="A18762" s="20"/>
    </row>
    <row r="18763" spans="1:1" x14ac:dyDescent="0.3">
      <c r="A18763" s="20"/>
    </row>
    <row r="18764" spans="1:1" x14ac:dyDescent="0.3">
      <c r="A18764" s="20"/>
    </row>
    <row r="18765" spans="1:1" x14ac:dyDescent="0.3">
      <c r="A18765" s="20"/>
    </row>
    <row r="18766" spans="1:1" x14ac:dyDescent="0.3">
      <c r="A18766" s="20"/>
    </row>
    <row r="18767" spans="1:1" x14ac:dyDescent="0.3">
      <c r="A18767" s="20"/>
    </row>
    <row r="18768" spans="1:1" x14ac:dyDescent="0.3">
      <c r="A18768" s="20"/>
    </row>
    <row r="18769" spans="1:1" x14ac:dyDescent="0.3">
      <c r="A18769" s="20"/>
    </row>
    <row r="18770" spans="1:1" x14ac:dyDescent="0.3">
      <c r="A18770" s="20"/>
    </row>
    <row r="18771" spans="1:1" x14ac:dyDescent="0.3">
      <c r="A18771" s="20"/>
    </row>
    <row r="18772" spans="1:1" x14ac:dyDescent="0.3">
      <c r="A18772" s="20"/>
    </row>
    <row r="18773" spans="1:1" x14ac:dyDescent="0.3">
      <c r="A18773" s="20"/>
    </row>
    <row r="18774" spans="1:1" x14ac:dyDescent="0.3">
      <c r="A18774" s="20"/>
    </row>
    <row r="18775" spans="1:1" x14ac:dyDescent="0.3">
      <c r="A18775" s="20"/>
    </row>
    <row r="18776" spans="1:1" x14ac:dyDescent="0.3">
      <c r="A18776" s="20"/>
    </row>
    <row r="18777" spans="1:1" x14ac:dyDescent="0.3">
      <c r="A18777" s="20"/>
    </row>
    <row r="18778" spans="1:1" x14ac:dyDescent="0.3">
      <c r="A18778" s="20"/>
    </row>
    <row r="18779" spans="1:1" x14ac:dyDescent="0.3">
      <c r="A18779" s="20"/>
    </row>
    <row r="18780" spans="1:1" x14ac:dyDescent="0.3">
      <c r="A18780" s="20"/>
    </row>
    <row r="18781" spans="1:1" x14ac:dyDescent="0.3">
      <c r="A18781" s="20"/>
    </row>
    <row r="18782" spans="1:1" x14ac:dyDescent="0.3">
      <c r="A18782" s="20"/>
    </row>
    <row r="18783" spans="1:1" x14ac:dyDescent="0.3">
      <c r="A18783" s="20"/>
    </row>
    <row r="18784" spans="1:1" x14ac:dyDescent="0.3">
      <c r="A18784" s="20"/>
    </row>
    <row r="18785" spans="1:1" x14ac:dyDescent="0.3">
      <c r="A18785" s="20"/>
    </row>
    <row r="18786" spans="1:1" x14ac:dyDescent="0.3">
      <c r="A18786" s="20"/>
    </row>
    <row r="18787" spans="1:1" x14ac:dyDescent="0.3">
      <c r="A18787" s="20"/>
    </row>
    <row r="18788" spans="1:1" x14ac:dyDescent="0.3">
      <c r="A18788" s="20"/>
    </row>
    <row r="18789" spans="1:1" x14ac:dyDescent="0.3">
      <c r="A18789" s="20"/>
    </row>
    <row r="18790" spans="1:1" x14ac:dyDescent="0.3">
      <c r="A18790" s="20"/>
    </row>
    <row r="18791" spans="1:1" x14ac:dyDescent="0.3">
      <c r="A18791" s="20"/>
    </row>
    <row r="18792" spans="1:1" x14ac:dyDescent="0.3">
      <c r="A18792" s="20"/>
    </row>
    <row r="18793" spans="1:1" x14ac:dyDescent="0.3">
      <c r="A18793" s="20"/>
    </row>
    <row r="18794" spans="1:1" x14ac:dyDescent="0.3">
      <c r="A18794" s="20"/>
    </row>
    <row r="18795" spans="1:1" x14ac:dyDescent="0.3">
      <c r="A18795" s="20"/>
    </row>
    <row r="18796" spans="1:1" x14ac:dyDescent="0.3">
      <c r="A18796" s="20"/>
    </row>
    <row r="18797" spans="1:1" x14ac:dyDescent="0.3">
      <c r="A18797" s="20"/>
    </row>
    <row r="18798" spans="1:1" x14ac:dyDescent="0.3">
      <c r="A18798" s="20"/>
    </row>
    <row r="18799" spans="1:1" x14ac:dyDescent="0.3">
      <c r="A18799" s="20"/>
    </row>
    <row r="18800" spans="1:1" x14ac:dyDescent="0.3">
      <c r="A18800" s="20"/>
    </row>
    <row r="18801" spans="1:1" x14ac:dyDescent="0.3">
      <c r="A18801" s="20"/>
    </row>
    <row r="18802" spans="1:1" x14ac:dyDescent="0.3">
      <c r="A18802" s="20"/>
    </row>
    <row r="18803" spans="1:1" x14ac:dyDescent="0.3">
      <c r="A18803" s="20"/>
    </row>
    <row r="18804" spans="1:1" x14ac:dyDescent="0.3">
      <c r="A18804" s="20"/>
    </row>
    <row r="18805" spans="1:1" x14ac:dyDescent="0.3">
      <c r="A18805" s="20"/>
    </row>
    <row r="18806" spans="1:1" x14ac:dyDescent="0.3">
      <c r="A18806" s="20"/>
    </row>
    <row r="18807" spans="1:1" x14ac:dyDescent="0.3">
      <c r="A18807" s="20"/>
    </row>
    <row r="18808" spans="1:1" x14ac:dyDescent="0.3">
      <c r="A18808" s="20"/>
    </row>
    <row r="18809" spans="1:1" x14ac:dyDescent="0.3">
      <c r="A18809" s="20"/>
    </row>
    <row r="18810" spans="1:1" x14ac:dyDescent="0.3">
      <c r="A18810" s="20"/>
    </row>
    <row r="18811" spans="1:1" x14ac:dyDescent="0.3">
      <c r="A18811" s="20"/>
    </row>
    <row r="18812" spans="1:1" x14ac:dyDescent="0.3">
      <c r="A18812" s="20"/>
    </row>
    <row r="18813" spans="1:1" x14ac:dyDescent="0.3">
      <c r="A18813" s="20"/>
    </row>
    <row r="18814" spans="1:1" x14ac:dyDescent="0.3">
      <c r="A18814" s="20"/>
    </row>
    <row r="18815" spans="1:1" x14ac:dyDescent="0.3">
      <c r="A18815" s="20"/>
    </row>
    <row r="18816" spans="1:1" x14ac:dyDescent="0.3">
      <c r="A18816" s="20"/>
    </row>
    <row r="18817" spans="1:1" x14ac:dyDescent="0.3">
      <c r="A18817" s="20"/>
    </row>
    <row r="18818" spans="1:1" x14ac:dyDescent="0.3">
      <c r="A18818" s="20"/>
    </row>
    <row r="18819" spans="1:1" x14ac:dyDescent="0.3">
      <c r="A18819" s="20"/>
    </row>
    <row r="18820" spans="1:1" x14ac:dyDescent="0.3">
      <c r="A18820" s="20"/>
    </row>
    <row r="18821" spans="1:1" x14ac:dyDescent="0.3">
      <c r="A18821" s="20"/>
    </row>
    <row r="18822" spans="1:1" x14ac:dyDescent="0.3">
      <c r="A18822" s="20"/>
    </row>
    <row r="18823" spans="1:1" x14ac:dyDescent="0.3">
      <c r="A18823" s="20"/>
    </row>
    <row r="18824" spans="1:1" x14ac:dyDescent="0.3">
      <c r="A18824" s="20"/>
    </row>
    <row r="18825" spans="1:1" x14ac:dyDescent="0.3">
      <c r="A18825" s="20"/>
    </row>
    <row r="18826" spans="1:1" x14ac:dyDescent="0.3">
      <c r="A18826" s="20"/>
    </row>
    <row r="18827" spans="1:1" x14ac:dyDescent="0.3">
      <c r="A18827" s="20"/>
    </row>
    <row r="18828" spans="1:1" x14ac:dyDescent="0.3">
      <c r="A18828" s="20"/>
    </row>
    <row r="18829" spans="1:1" x14ac:dyDescent="0.3">
      <c r="A18829" s="20"/>
    </row>
    <row r="18830" spans="1:1" x14ac:dyDescent="0.3">
      <c r="A18830" s="20"/>
    </row>
    <row r="18831" spans="1:1" x14ac:dyDescent="0.3">
      <c r="A18831" s="20"/>
    </row>
    <row r="18832" spans="1:1" x14ac:dyDescent="0.3">
      <c r="A18832" s="20"/>
    </row>
    <row r="18833" spans="1:1" x14ac:dyDescent="0.3">
      <c r="A18833" s="20"/>
    </row>
    <row r="18834" spans="1:1" x14ac:dyDescent="0.3">
      <c r="A18834" s="20"/>
    </row>
    <row r="18835" spans="1:1" x14ac:dyDescent="0.3">
      <c r="A18835" s="20"/>
    </row>
    <row r="18836" spans="1:1" x14ac:dyDescent="0.3">
      <c r="A18836" s="20"/>
    </row>
    <row r="18837" spans="1:1" x14ac:dyDescent="0.3">
      <c r="A18837" s="20"/>
    </row>
    <row r="18838" spans="1:1" x14ac:dyDescent="0.3">
      <c r="A18838" s="20"/>
    </row>
    <row r="18839" spans="1:1" x14ac:dyDescent="0.3">
      <c r="A18839" s="20"/>
    </row>
    <row r="18840" spans="1:1" x14ac:dyDescent="0.3">
      <c r="A18840" s="20"/>
    </row>
    <row r="18841" spans="1:1" x14ac:dyDescent="0.3">
      <c r="A18841" s="20"/>
    </row>
    <row r="18842" spans="1:1" x14ac:dyDescent="0.3">
      <c r="A18842" s="20"/>
    </row>
    <row r="18843" spans="1:1" x14ac:dyDescent="0.3">
      <c r="A18843" s="20"/>
    </row>
    <row r="18844" spans="1:1" x14ac:dyDescent="0.3">
      <c r="A18844" s="20"/>
    </row>
    <row r="18845" spans="1:1" x14ac:dyDescent="0.3">
      <c r="A18845" s="20"/>
    </row>
    <row r="18846" spans="1:1" x14ac:dyDescent="0.3">
      <c r="A18846" s="20"/>
    </row>
    <row r="18847" spans="1:1" x14ac:dyDescent="0.3">
      <c r="A18847" s="20"/>
    </row>
    <row r="18848" spans="1:1" x14ac:dyDescent="0.3">
      <c r="A18848" s="20"/>
    </row>
    <row r="18849" spans="1:1" x14ac:dyDescent="0.3">
      <c r="A18849" s="20"/>
    </row>
    <row r="18850" spans="1:1" x14ac:dyDescent="0.3">
      <c r="A18850" s="20"/>
    </row>
    <row r="18851" spans="1:1" x14ac:dyDescent="0.3">
      <c r="A18851" s="20"/>
    </row>
    <row r="18852" spans="1:1" x14ac:dyDescent="0.3">
      <c r="A18852" s="20"/>
    </row>
    <row r="18853" spans="1:1" x14ac:dyDescent="0.3">
      <c r="A18853" s="20"/>
    </row>
    <row r="18854" spans="1:1" x14ac:dyDescent="0.3">
      <c r="A18854" s="20"/>
    </row>
    <row r="18855" spans="1:1" x14ac:dyDescent="0.3">
      <c r="A18855" s="20"/>
    </row>
    <row r="18856" spans="1:1" x14ac:dyDescent="0.3">
      <c r="A18856" s="20"/>
    </row>
    <row r="18857" spans="1:1" x14ac:dyDescent="0.3">
      <c r="A18857" s="20"/>
    </row>
    <row r="18858" spans="1:1" x14ac:dyDescent="0.3">
      <c r="A18858" s="20"/>
    </row>
    <row r="18859" spans="1:1" x14ac:dyDescent="0.3">
      <c r="A18859" s="20"/>
    </row>
    <row r="18860" spans="1:1" x14ac:dyDescent="0.3">
      <c r="A18860" s="20"/>
    </row>
    <row r="18861" spans="1:1" x14ac:dyDescent="0.3">
      <c r="A18861" s="20"/>
    </row>
    <row r="18862" spans="1:1" x14ac:dyDescent="0.3">
      <c r="A18862" s="20"/>
    </row>
    <row r="18863" spans="1:1" x14ac:dyDescent="0.3">
      <c r="A18863" s="20"/>
    </row>
    <row r="18864" spans="1:1" x14ac:dyDescent="0.3">
      <c r="A18864" s="20"/>
    </row>
    <row r="18865" spans="1:1" x14ac:dyDescent="0.3">
      <c r="A18865" s="20"/>
    </row>
    <row r="18866" spans="1:1" x14ac:dyDescent="0.3">
      <c r="A18866" s="20"/>
    </row>
    <row r="18867" spans="1:1" x14ac:dyDescent="0.3">
      <c r="A18867" s="20"/>
    </row>
    <row r="18868" spans="1:1" x14ac:dyDescent="0.3">
      <c r="A18868" s="20"/>
    </row>
    <row r="18869" spans="1:1" x14ac:dyDescent="0.3">
      <c r="A18869" s="20"/>
    </row>
    <row r="18870" spans="1:1" x14ac:dyDescent="0.3">
      <c r="A18870" s="20"/>
    </row>
    <row r="18871" spans="1:1" x14ac:dyDescent="0.3">
      <c r="A18871" s="20"/>
    </row>
    <row r="18872" spans="1:1" x14ac:dyDescent="0.3">
      <c r="A18872" s="20"/>
    </row>
    <row r="18873" spans="1:1" x14ac:dyDescent="0.3">
      <c r="A18873" s="20"/>
    </row>
    <row r="18874" spans="1:1" x14ac:dyDescent="0.3">
      <c r="A18874" s="20"/>
    </row>
    <row r="18875" spans="1:1" x14ac:dyDescent="0.3">
      <c r="A18875" s="20"/>
    </row>
    <row r="18876" spans="1:1" x14ac:dyDescent="0.3">
      <c r="A18876" s="20"/>
    </row>
    <row r="18877" spans="1:1" x14ac:dyDescent="0.3">
      <c r="A18877" s="20"/>
    </row>
    <row r="18878" spans="1:1" x14ac:dyDescent="0.3">
      <c r="A18878" s="20"/>
    </row>
    <row r="18879" spans="1:1" x14ac:dyDescent="0.3">
      <c r="A18879" s="20"/>
    </row>
    <row r="18880" spans="1:1" x14ac:dyDescent="0.3">
      <c r="A18880" s="20"/>
    </row>
    <row r="18881" spans="1:1" x14ac:dyDescent="0.3">
      <c r="A18881" s="20"/>
    </row>
    <row r="18882" spans="1:1" x14ac:dyDescent="0.3">
      <c r="A18882" s="20"/>
    </row>
    <row r="18883" spans="1:1" x14ac:dyDescent="0.3">
      <c r="A18883" s="20"/>
    </row>
    <row r="18884" spans="1:1" x14ac:dyDescent="0.3">
      <c r="A18884" s="20"/>
    </row>
    <row r="18885" spans="1:1" x14ac:dyDescent="0.3">
      <c r="A18885" s="20"/>
    </row>
    <row r="18886" spans="1:1" x14ac:dyDescent="0.3">
      <c r="A18886" s="20"/>
    </row>
    <row r="18887" spans="1:1" x14ac:dyDescent="0.3">
      <c r="A18887" s="20"/>
    </row>
    <row r="18888" spans="1:1" x14ac:dyDescent="0.3">
      <c r="A18888" s="20"/>
    </row>
    <row r="18889" spans="1:1" x14ac:dyDescent="0.3">
      <c r="A18889" s="20"/>
    </row>
    <row r="18890" spans="1:1" x14ac:dyDescent="0.3">
      <c r="A18890" s="20"/>
    </row>
    <row r="18891" spans="1:1" x14ac:dyDescent="0.3">
      <c r="A18891" s="20"/>
    </row>
    <row r="18892" spans="1:1" x14ac:dyDescent="0.3">
      <c r="A18892" s="20"/>
    </row>
    <row r="18893" spans="1:1" x14ac:dyDescent="0.3">
      <c r="A18893" s="20"/>
    </row>
    <row r="18894" spans="1:1" x14ac:dyDescent="0.3">
      <c r="A18894" s="20"/>
    </row>
    <row r="18895" spans="1:1" x14ac:dyDescent="0.3">
      <c r="A18895" s="20"/>
    </row>
    <row r="18896" spans="1:1" x14ac:dyDescent="0.3">
      <c r="A18896" s="20"/>
    </row>
    <row r="18897" spans="1:1" x14ac:dyDescent="0.3">
      <c r="A18897" s="20"/>
    </row>
    <row r="18898" spans="1:1" x14ac:dyDescent="0.3">
      <c r="A18898" s="20"/>
    </row>
    <row r="18899" spans="1:1" x14ac:dyDescent="0.3">
      <c r="A18899" s="20"/>
    </row>
    <row r="18900" spans="1:1" x14ac:dyDescent="0.3">
      <c r="A18900" s="20"/>
    </row>
    <row r="18901" spans="1:1" x14ac:dyDescent="0.3">
      <c r="A18901" s="20"/>
    </row>
    <row r="18902" spans="1:1" x14ac:dyDescent="0.3">
      <c r="A18902" s="20"/>
    </row>
    <row r="18903" spans="1:1" x14ac:dyDescent="0.3">
      <c r="A18903" s="20"/>
    </row>
    <row r="18904" spans="1:1" x14ac:dyDescent="0.3">
      <c r="A18904" s="20"/>
    </row>
    <row r="18905" spans="1:1" x14ac:dyDescent="0.3">
      <c r="A18905" s="20"/>
    </row>
    <row r="18906" spans="1:1" x14ac:dyDescent="0.3">
      <c r="A18906" s="20"/>
    </row>
    <row r="18907" spans="1:1" x14ac:dyDescent="0.3">
      <c r="A18907" s="20"/>
    </row>
    <row r="18908" spans="1:1" x14ac:dyDescent="0.3">
      <c r="A18908" s="20"/>
    </row>
    <row r="18909" spans="1:1" x14ac:dyDescent="0.3">
      <c r="A18909" s="20"/>
    </row>
    <row r="18910" spans="1:1" x14ac:dyDescent="0.3">
      <c r="A18910" s="20"/>
    </row>
    <row r="18911" spans="1:1" x14ac:dyDescent="0.3">
      <c r="A18911" s="20"/>
    </row>
    <row r="18912" spans="1:1" x14ac:dyDescent="0.3">
      <c r="A18912" s="20"/>
    </row>
    <row r="18913" spans="1:1" x14ac:dyDescent="0.3">
      <c r="A18913" s="20"/>
    </row>
    <row r="18914" spans="1:1" x14ac:dyDescent="0.3">
      <c r="A18914" s="20"/>
    </row>
    <row r="18915" spans="1:1" x14ac:dyDescent="0.3">
      <c r="A18915" s="20"/>
    </row>
    <row r="18916" spans="1:1" x14ac:dyDescent="0.3">
      <c r="A18916" s="20"/>
    </row>
    <row r="18917" spans="1:1" x14ac:dyDescent="0.3">
      <c r="A18917" s="20"/>
    </row>
    <row r="18918" spans="1:1" x14ac:dyDescent="0.3">
      <c r="A18918" s="20"/>
    </row>
    <row r="18919" spans="1:1" x14ac:dyDescent="0.3">
      <c r="A18919" s="20"/>
    </row>
    <row r="18920" spans="1:1" x14ac:dyDescent="0.3">
      <c r="A18920" s="20"/>
    </row>
    <row r="18921" spans="1:1" x14ac:dyDescent="0.3">
      <c r="A18921" s="20"/>
    </row>
    <row r="18922" spans="1:1" x14ac:dyDescent="0.3">
      <c r="A18922" s="20"/>
    </row>
    <row r="18923" spans="1:1" x14ac:dyDescent="0.3">
      <c r="A18923" s="20"/>
    </row>
    <row r="18924" spans="1:1" x14ac:dyDescent="0.3">
      <c r="A18924" s="20"/>
    </row>
    <row r="18925" spans="1:1" x14ac:dyDescent="0.3">
      <c r="A18925" s="20"/>
    </row>
    <row r="18926" spans="1:1" x14ac:dyDescent="0.3">
      <c r="A18926" s="20"/>
    </row>
    <row r="18927" spans="1:1" x14ac:dyDescent="0.3">
      <c r="A18927" s="20"/>
    </row>
    <row r="18928" spans="1:1" x14ac:dyDescent="0.3">
      <c r="A18928" s="20"/>
    </row>
    <row r="18929" spans="1:1" x14ac:dyDescent="0.3">
      <c r="A18929" s="20"/>
    </row>
    <row r="18930" spans="1:1" x14ac:dyDescent="0.3">
      <c r="A18930" s="20"/>
    </row>
    <row r="18931" spans="1:1" x14ac:dyDescent="0.3">
      <c r="A18931" s="20"/>
    </row>
    <row r="18932" spans="1:1" x14ac:dyDescent="0.3">
      <c r="A18932" s="20"/>
    </row>
    <row r="18933" spans="1:1" x14ac:dyDescent="0.3">
      <c r="A18933" s="20"/>
    </row>
    <row r="18934" spans="1:1" x14ac:dyDescent="0.3">
      <c r="A18934" s="20"/>
    </row>
    <row r="18935" spans="1:1" x14ac:dyDescent="0.3">
      <c r="A18935" s="20"/>
    </row>
    <row r="18936" spans="1:1" x14ac:dyDescent="0.3">
      <c r="A18936" s="20"/>
    </row>
    <row r="18937" spans="1:1" x14ac:dyDescent="0.3">
      <c r="A18937" s="20"/>
    </row>
    <row r="18938" spans="1:1" x14ac:dyDescent="0.3">
      <c r="A18938" s="20"/>
    </row>
    <row r="18939" spans="1:1" x14ac:dyDescent="0.3">
      <c r="A18939" s="20"/>
    </row>
    <row r="18940" spans="1:1" x14ac:dyDescent="0.3">
      <c r="A18940" s="20"/>
    </row>
    <row r="18941" spans="1:1" x14ac:dyDescent="0.3">
      <c r="A18941" s="20"/>
    </row>
    <row r="18942" spans="1:1" x14ac:dyDescent="0.3">
      <c r="A18942" s="20"/>
    </row>
    <row r="18943" spans="1:1" x14ac:dyDescent="0.3">
      <c r="A18943" s="20"/>
    </row>
    <row r="18944" spans="1:1" x14ac:dyDescent="0.3">
      <c r="A18944" s="20"/>
    </row>
    <row r="18945" spans="1:1" x14ac:dyDescent="0.3">
      <c r="A18945" s="20"/>
    </row>
    <row r="18946" spans="1:1" x14ac:dyDescent="0.3">
      <c r="A18946" s="20"/>
    </row>
    <row r="18947" spans="1:1" x14ac:dyDescent="0.3">
      <c r="A18947" s="20"/>
    </row>
    <row r="18948" spans="1:1" x14ac:dyDescent="0.3">
      <c r="A18948" s="20"/>
    </row>
    <row r="18949" spans="1:1" x14ac:dyDescent="0.3">
      <c r="A18949" s="20"/>
    </row>
    <row r="18950" spans="1:1" x14ac:dyDescent="0.3">
      <c r="A18950" s="20"/>
    </row>
    <row r="18951" spans="1:1" x14ac:dyDescent="0.3">
      <c r="A18951" s="20"/>
    </row>
    <row r="18952" spans="1:1" x14ac:dyDescent="0.3">
      <c r="A18952" s="20"/>
    </row>
    <row r="18953" spans="1:1" x14ac:dyDescent="0.3">
      <c r="A18953" s="20"/>
    </row>
    <row r="18954" spans="1:1" x14ac:dyDescent="0.3">
      <c r="A18954" s="20"/>
    </row>
    <row r="18955" spans="1:1" x14ac:dyDescent="0.3">
      <c r="A18955" s="20"/>
    </row>
    <row r="18956" spans="1:1" x14ac:dyDescent="0.3">
      <c r="A18956" s="20"/>
    </row>
    <row r="18957" spans="1:1" x14ac:dyDescent="0.3">
      <c r="A18957" s="20"/>
    </row>
    <row r="18958" spans="1:1" x14ac:dyDescent="0.3">
      <c r="A18958" s="20"/>
    </row>
    <row r="18959" spans="1:1" x14ac:dyDescent="0.3">
      <c r="A18959" s="20"/>
    </row>
    <row r="18960" spans="1:1" x14ac:dyDescent="0.3">
      <c r="A18960" s="20"/>
    </row>
    <row r="18961" spans="1:1" x14ac:dyDescent="0.3">
      <c r="A18961" s="20"/>
    </row>
    <row r="18962" spans="1:1" x14ac:dyDescent="0.3">
      <c r="A18962" s="20"/>
    </row>
    <row r="18963" spans="1:1" x14ac:dyDescent="0.3">
      <c r="A18963" s="20"/>
    </row>
    <row r="18964" spans="1:1" x14ac:dyDescent="0.3">
      <c r="A18964" s="20"/>
    </row>
    <row r="18965" spans="1:1" x14ac:dyDescent="0.3">
      <c r="A18965" s="20"/>
    </row>
    <row r="18966" spans="1:1" x14ac:dyDescent="0.3">
      <c r="A18966" s="20"/>
    </row>
    <row r="18967" spans="1:1" x14ac:dyDescent="0.3">
      <c r="A18967" s="20"/>
    </row>
    <row r="18968" spans="1:1" x14ac:dyDescent="0.3">
      <c r="A18968" s="20"/>
    </row>
    <row r="18969" spans="1:1" x14ac:dyDescent="0.3">
      <c r="A18969" s="20"/>
    </row>
    <row r="18970" spans="1:1" x14ac:dyDescent="0.3">
      <c r="A18970" s="20"/>
    </row>
    <row r="18971" spans="1:1" x14ac:dyDescent="0.3">
      <c r="A18971" s="20"/>
    </row>
    <row r="18972" spans="1:1" x14ac:dyDescent="0.3">
      <c r="A18972" s="20"/>
    </row>
    <row r="18973" spans="1:1" x14ac:dyDescent="0.3">
      <c r="A18973" s="20"/>
    </row>
    <row r="18974" spans="1:1" x14ac:dyDescent="0.3">
      <c r="A18974" s="20"/>
    </row>
    <row r="18975" spans="1:1" x14ac:dyDescent="0.3">
      <c r="A18975" s="20"/>
    </row>
    <row r="18976" spans="1:1" x14ac:dyDescent="0.3">
      <c r="A18976" s="20"/>
    </row>
    <row r="18977" spans="1:1" x14ac:dyDescent="0.3">
      <c r="A18977" s="20"/>
    </row>
    <row r="18978" spans="1:1" x14ac:dyDescent="0.3">
      <c r="A18978" s="20"/>
    </row>
    <row r="18979" spans="1:1" x14ac:dyDescent="0.3">
      <c r="A18979" s="20"/>
    </row>
    <row r="18980" spans="1:1" x14ac:dyDescent="0.3">
      <c r="A18980" s="20"/>
    </row>
    <row r="18981" spans="1:1" x14ac:dyDescent="0.3">
      <c r="A18981" s="20"/>
    </row>
    <row r="18982" spans="1:1" x14ac:dyDescent="0.3">
      <c r="A18982" s="20"/>
    </row>
    <row r="18983" spans="1:1" x14ac:dyDescent="0.3">
      <c r="A18983" s="20"/>
    </row>
    <row r="18984" spans="1:1" x14ac:dyDescent="0.3">
      <c r="A18984" s="20"/>
    </row>
    <row r="18985" spans="1:1" x14ac:dyDescent="0.3">
      <c r="A18985" s="20"/>
    </row>
    <row r="18986" spans="1:1" x14ac:dyDescent="0.3">
      <c r="A18986" s="20"/>
    </row>
    <row r="18987" spans="1:1" x14ac:dyDescent="0.3">
      <c r="A18987" s="20"/>
    </row>
    <row r="18988" spans="1:1" x14ac:dyDescent="0.3">
      <c r="A18988" s="20"/>
    </row>
    <row r="18989" spans="1:1" x14ac:dyDescent="0.3">
      <c r="A18989" s="20"/>
    </row>
    <row r="18990" spans="1:1" x14ac:dyDescent="0.3">
      <c r="A18990" s="20"/>
    </row>
    <row r="18991" spans="1:1" x14ac:dyDescent="0.3">
      <c r="A18991" s="20"/>
    </row>
    <row r="18992" spans="1:1" x14ac:dyDescent="0.3">
      <c r="A18992" s="20"/>
    </row>
    <row r="18993" spans="1:1" x14ac:dyDescent="0.3">
      <c r="A18993" s="20"/>
    </row>
    <row r="18994" spans="1:1" x14ac:dyDescent="0.3">
      <c r="A18994" s="20"/>
    </row>
    <row r="18995" spans="1:1" x14ac:dyDescent="0.3">
      <c r="A18995" s="20"/>
    </row>
    <row r="18996" spans="1:1" x14ac:dyDescent="0.3">
      <c r="A18996" s="20"/>
    </row>
    <row r="18997" spans="1:1" x14ac:dyDescent="0.3">
      <c r="A18997" s="20"/>
    </row>
    <row r="18998" spans="1:1" x14ac:dyDescent="0.3">
      <c r="A18998" s="20"/>
    </row>
    <row r="18999" spans="1:1" x14ac:dyDescent="0.3">
      <c r="A18999" s="20"/>
    </row>
    <row r="19000" spans="1:1" x14ac:dyDescent="0.3">
      <c r="A19000" s="20"/>
    </row>
    <row r="19001" spans="1:1" x14ac:dyDescent="0.3">
      <c r="A19001" s="20"/>
    </row>
    <row r="19002" spans="1:1" x14ac:dyDescent="0.3">
      <c r="A19002" s="20"/>
    </row>
    <row r="19003" spans="1:1" x14ac:dyDescent="0.3">
      <c r="A19003" s="20"/>
    </row>
    <row r="19004" spans="1:1" x14ac:dyDescent="0.3">
      <c r="A19004" s="20"/>
    </row>
    <row r="19005" spans="1:1" x14ac:dyDescent="0.3">
      <c r="A19005" s="20"/>
    </row>
    <row r="19006" spans="1:1" x14ac:dyDescent="0.3">
      <c r="A19006" s="20"/>
    </row>
    <row r="19007" spans="1:1" x14ac:dyDescent="0.3">
      <c r="A19007" s="20"/>
    </row>
    <row r="19008" spans="1:1" x14ac:dyDescent="0.3">
      <c r="A19008" s="20"/>
    </row>
    <row r="19009" spans="1:1" x14ac:dyDescent="0.3">
      <c r="A19009" s="20"/>
    </row>
    <row r="19010" spans="1:1" x14ac:dyDescent="0.3">
      <c r="A19010" s="20"/>
    </row>
    <row r="19011" spans="1:1" x14ac:dyDescent="0.3">
      <c r="A19011" s="20"/>
    </row>
    <row r="19012" spans="1:1" x14ac:dyDescent="0.3">
      <c r="A19012" s="20"/>
    </row>
    <row r="19013" spans="1:1" x14ac:dyDescent="0.3">
      <c r="A19013" s="20"/>
    </row>
    <row r="19014" spans="1:1" x14ac:dyDescent="0.3">
      <c r="A19014" s="20"/>
    </row>
    <row r="19015" spans="1:1" x14ac:dyDescent="0.3">
      <c r="A19015" s="20"/>
    </row>
    <row r="19016" spans="1:1" x14ac:dyDescent="0.3">
      <c r="A19016" s="20"/>
    </row>
    <row r="19017" spans="1:1" x14ac:dyDescent="0.3">
      <c r="A19017" s="20"/>
    </row>
    <row r="19018" spans="1:1" x14ac:dyDescent="0.3">
      <c r="A19018" s="20"/>
    </row>
    <row r="19019" spans="1:1" x14ac:dyDescent="0.3">
      <c r="A19019" s="20"/>
    </row>
    <row r="19020" spans="1:1" x14ac:dyDescent="0.3">
      <c r="A19020" s="20"/>
    </row>
    <row r="19021" spans="1:1" x14ac:dyDescent="0.3">
      <c r="A19021" s="20"/>
    </row>
    <row r="19022" spans="1:1" x14ac:dyDescent="0.3">
      <c r="A19022" s="20"/>
    </row>
    <row r="19023" spans="1:1" x14ac:dyDescent="0.3">
      <c r="A19023" s="20"/>
    </row>
    <row r="19024" spans="1:1" x14ac:dyDescent="0.3">
      <c r="A19024" s="20"/>
    </row>
    <row r="19025" spans="1:1" x14ac:dyDescent="0.3">
      <c r="A19025" s="20"/>
    </row>
    <row r="19026" spans="1:1" x14ac:dyDescent="0.3">
      <c r="A19026" s="20"/>
    </row>
    <row r="19027" spans="1:1" x14ac:dyDescent="0.3">
      <c r="A19027" s="20"/>
    </row>
    <row r="19028" spans="1:1" x14ac:dyDescent="0.3">
      <c r="A19028" s="20"/>
    </row>
    <row r="19029" spans="1:1" x14ac:dyDescent="0.3">
      <c r="A19029" s="20"/>
    </row>
    <row r="19030" spans="1:1" x14ac:dyDescent="0.3">
      <c r="A19030" s="20"/>
    </row>
    <row r="19031" spans="1:1" x14ac:dyDescent="0.3">
      <c r="A19031" s="20"/>
    </row>
    <row r="19032" spans="1:1" x14ac:dyDescent="0.3">
      <c r="A19032" s="20"/>
    </row>
    <row r="19033" spans="1:1" x14ac:dyDescent="0.3">
      <c r="A19033" s="20"/>
    </row>
    <row r="19034" spans="1:1" x14ac:dyDescent="0.3">
      <c r="A19034" s="20"/>
    </row>
    <row r="19035" spans="1:1" x14ac:dyDescent="0.3">
      <c r="A19035" s="20"/>
    </row>
    <row r="19036" spans="1:1" x14ac:dyDescent="0.3">
      <c r="A19036" s="20"/>
    </row>
    <row r="19037" spans="1:1" x14ac:dyDescent="0.3">
      <c r="A19037" s="20"/>
    </row>
    <row r="19038" spans="1:1" x14ac:dyDescent="0.3">
      <c r="A19038" s="20"/>
    </row>
    <row r="19039" spans="1:1" x14ac:dyDescent="0.3">
      <c r="A19039" s="20"/>
    </row>
    <row r="19040" spans="1:1" x14ac:dyDescent="0.3">
      <c r="A19040" s="20"/>
    </row>
    <row r="19041" spans="1:1" x14ac:dyDescent="0.3">
      <c r="A19041" s="20"/>
    </row>
    <row r="19042" spans="1:1" x14ac:dyDescent="0.3">
      <c r="A19042" s="20"/>
    </row>
    <row r="19043" spans="1:1" x14ac:dyDescent="0.3">
      <c r="A19043" s="20"/>
    </row>
    <row r="19044" spans="1:1" x14ac:dyDescent="0.3">
      <c r="A19044" s="20"/>
    </row>
    <row r="19045" spans="1:1" x14ac:dyDescent="0.3">
      <c r="A19045" s="20"/>
    </row>
    <row r="19046" spans="1:1" x14ac:dyDescent="0.3">
      <c r="A19046" s="20"/>
    </row>
    <row r="19047" spans="1:1" x14ac:dyDescent="0.3">
      <c r="A19047" s="20"/>
    </row>
    <row r="19048" spans="1:1" x14ac:dyDescent="0.3">
      <c r="A19048" s="20"/>
    </row>
    <row r="19049" spans="1:1" x14ac:dyDescent="0.3">
      <c r="A19049" s="20"/>
    </row>
    <row r="19050" spans="1:1" x14ac:dyDescent="0.3">
      <c r="A19050" s="20"/>
    </row>
    <row r="19051" spans="1:1" x14ac:dyDescent="0.3">
      <c r="A19051" s="20"/>
    </row>
    <row r="19052" spans="1:1" x14ac:dyDescent="0.3">
      <c r="A19052" s="20"/>
    </row>
    <row r="19053" spans="1:1" x14ac:dyDescent="0.3">
      <c r="A19053" s="20"/>
    </row>
    <row r="19054" spans="1:1" x14ac:dyDescent="0.3">
      <c r="A19054" s="20"/>
    </row>
    <row r="19055" spans="1:1" x14ac:dyDescent="0.3">
      <c r="A19055" s="20"/>
    </row>
    <row r="19056" spans="1:1" x14ac:dyDescent="0.3">
      <c r="A19056" s="20"/>
    </row>
    <row r="19057" spans="1:1" x14ac:dyDescent="0.3">
      <c r="A19057" s="20"/>
    </row>
    <row r="19058" spans="1:1" x14ac:dyDescent="0.3">
      <c r="A19058" s="20"/>
    </row>
    <row r="19059" spans="1:1" x14ac:dyDescent="0.3">
      <c r="A19059" s="20"/>
    </row>
    <row r="19060" spans="1:1" x14ac:dyDescent="0.3">
      <c r="A19060" s="20"/>
    </row>
    <row r="19061" spans="1:1" x14ac:dyDescent="0.3">
      <c r="A19061" s="20"/>
    </row>
    <row r="19062" spans="1:1" x14ac:dyDescent="0.3">
      <c r="A19062" s="20"/>
    </row>
    <row r="19063" spans="1:1" x14ac:dyDescent="0.3">
      <c r="A19063" s="20"/>
    </row>
    <row r="19064" spans="1:1" x14ac:dyDescent="0.3">
      <c r="A19064" s="20"/>
    </row>
    <row r="19065" spans="1:1" x14ac:dyDescent="0.3">
      <c r="A19065" s="20"/>
    </row>
    <row r="19066" spans="1:1" x14ac:dyDescent="0.3">
      <c r="A19066" s="20"/>
    </row>
    <row r="19067" spans="1:1" x14ac:dyDescent="0.3">
      <c r="A19067" s="20"/>
    </row>
    <row r="19068" spans="1:1" x14ac:dyDescent="0.3">
      <c r="A19068" s="20"/>
    </row>
    <row r="19069" spans="1:1" x14ac:dyDescent="0.3">
      <c r="A19069" s="20"/>
    </row>
    <row r="19070" spans="1:1" x14ac:dyDescent="0.3">
      <c r="A19070" s="20"/>
    </row>
    <row r="19071" spans="1:1" x14ac:dyDescent="0.3">
      <c r="A19071" s="20"/>
    </row>
    <row r="19072" spans="1:1" x14ac:dyDescent="0.3">
      <c r="A19072" s="20"/>
    </row>
    <row r="19073" spans="1:1" x14ac:dyDescent="0.3">
      <c r="A19073" s="20"/>
    </row>
    <row r="19074" spans="1:1" x14ac:dyDescent="0.3">
      <c r="A19074" s="20"/>
    </row>
    <row r="19075" spans="1:1" x14ac:dyDescent="0.3">
      <c r="A19075" s="20"/>
    </row>
    <row r="19076" spans="1:1" x14ac:dyDescent="0.3">
      <c r="A19076" s="20"/>
    </row>
    <row r="19077" spans="1:1" x14ac:dyDescent="0.3">
      <c r="A19077" s="20"/>
    </row>
    <row r="19078" spans="1:1" x14ac:dyDescent="0.3">
      <c r="A19078" s="20"/>
    </row>
    <row r="19079" spans="1:1" x14ac:dyDescent="0.3">
      <c r="A19079" s="20"/>
    </row>
    <row r="19080" spans="1:1" x14ac:dyDescent="0.3">
      <c r="A19080" s="20"/>
    </row>
    <row r="19081" spans="1:1" x14ac:dyDescent="0.3">
      <c r="A19081" s="20"/>
    </row>
    <row r="19082" spans="1:1" x14ac:dyDescent="0.3">
      <c r="A19082" s="20"/>
    </row>
    <row r="19083" spans="1:1" x14ac:dyDescent="0.3">
      <c r="A19083" s="20"/>
    </row>
    <row r="19084" spans="1:1" x14ac:dyDescent="0.3">
      <c r="A19084" s="20"/>
    </row>
    <row r="19085" spans="1:1" x14ac:dyDescent="0.3">
      <c r="A19085" s="20"/>
    </row>
    <row r="19086" spans="1:1" x14ac:dyDescent="0.3">
      <c r="A19086" s="20"/>
    </row>
    <row r="19087" spans="1:1" x14ac:dyDescent="0.3">
      <c r="A19087" s="20"/>
    </row>
    <row r="19088" spans="1:1" x14ac:dyDescent="0.3">
      <c r="A19088" s="20"/>
    </row>
    <row r="19089" spans="1:1" x14ac:dyDescent="0.3">
      <c r="A19089" s="20"/>
    </row>
    <row r="19090" spans="1:1" x14ac:dyDescent="0.3">
      <c r="A19090" s="20"/>
    </row>
    <row r="19091" spans="1:1" x14ac:dyDescent="0.3">
      <c r="A19091" s="20"/>
    </row>
    <row r="19092" spans="1:1" x14ac:dyDescent="0.3">
      <c r="A19092" s="20"/>
    </row>
    <row r="19093" spans="1:1" x14ac:dyDescent="0.3">
      <c r="A19093" s="20"/>
    </row>
    <row r="19094" spans="1:1" x14ac:dyDescent="0.3">
      <c r="A19094" s="20"/>
    </row>
    <row r="19095" spans="1:1" x14ac:dyDescent="0.3">
      <c r="A19095" s="20"/>
    </row>
    <row r="19096" spans="1:1" x14ac:dyDescent="0.3">
      <c r="A19096" s="20"/>
    </row>
    <row r="19097" spans="1:1" x14ac:dyDescent="0.3">
      <c r="A19097" s="20"/>
    </row>
    <row r="19098" spans="1:1" x14ac:dyDescent="0.3">
      <c r="A19098" s="20"/>
    </row>
    <row r="19099" spans="1:1" x14ac:dyDescent="0.3">
      <c r="A19099" s="20"/>
    </row>
    <row r="19100" spans="1:1" x14ac:dyDescent="0.3">
      <c r="A19100" s="20"/>
    </row>
    <row r="19101" spans="1:1" x14ac:dyDescent="0.3">
      <c r="A19101" s="20"/>
    </row>
    <row r="19102" spans="1:1" x14ac:dyDescent="0.3">
      <c r="A19102" s="20"/>
    </row>
    <row r="19103" spans="1:1" x14ac:dyDescent="0.3">
      <c r="A19103" s="20"/>
    </row>
    <row r="19104" spans="1:1" x14ac:dyDescent="0.3">
      <c r="A19104" s="20"/>
    </row>
    <row r="19105" spans="1:1" x14ac:dyDescent="0.3">
      <c r="A19105" s="20"/>
    </row>
    <row r="19106" spans="1:1" x14ac:dyDescent="0.3">
      <c r="A19106" s="20"/>
    </row>
    <row r="19107" spans="1:1" x14ac:dyDescent="0.3">
      <c r="A19107" s="20"/>
    </row>
    <row r="19108" spans="1:1" x14ac:dyDescent="0.3">
      <c r="A19108" s="20"/>
    </row>
    <row r="19109" spans="1:1" x14ac:dyDescent="0.3">
      <c r="A19109" s="20"/>
    </row>
    <row r="19110" spans="1:1" x14ac:dyDescent="0.3">
      <c r="A19110" s="20"/>
    </row>
    <row r="19111" spans="1:1" x14ac:dyDescent="0.3">
      <c r="A19111" s="20"/>
    </row>
    <row r="19112" spans="1:1" x14ac:dyDescent="0.3">
      <c r="A19112" s="20"/>
    </row>
    <row r="19113" spans="1:1" x14ac:dyDescent="0.3">
      <c r="A19113" s="20"/>
    </row>
    <row r="19114" spans="1:1" x14ac:dyDescent="0.3">
      <c r="A19114" s="20"/>
    </row>
    <row r="19115" spans="1:1" x14ac:dyDescent="0.3">
      <c r="A19115" s="20"/>
    </row>
    <row r="19116" spans="1:1" x14ac:dyDescent="0.3">
      <c r="A19116" s="20"/>
    </row>
    <row r="19117" spans="1:1" x14ac:dyDescent="0.3">
      <c r="A19117" s="20"/>
    </row>
    <row r="19118" spans="1:1" x14ac:dyDescent="0.3">
      <c r="A19118" s="20"/>
    </row>
    <row r="19119" spans="1:1" x14ac:dyDescent="0.3">
      <c r="A19119" s="20"/>
    </row>
    <row r="19120" spans="1:1" x14ac:dyDescent="0.3">
      <c r="A19120" s="20"/>
    </row>
    <row r="19121" spans="1:1" x14ac:dyDescent="0.3">
      <c r="A19121" s="20"/>
    </row>
    <row r="19122" spans="1:1" x14ac:dyDescent="0.3">
      <c r="A19122" s="20"/>
    </row>
    <row r="19123" spans="1:1" x14ac:dyDescent="0.3">
      <c r="A19123" s="20"/>
    </row>
    <row r="19124" spans="1:1" x14ac:dyDescent="0.3">
      <c r="A19124" s="20"/>
    </row>
    <row r="19125" spans="1:1" x14ac:dyDescent="0.3">
      <c r="A19125" s="20"/>
    </row>
    <row r="19126" spans="1:1" x14ac:dyDescent="0.3">
      <c r="A19126" s="20"/>
    </row>
    <row r="19127" spans="1:1" x14ac:dyDescent="0.3">
      <c r="A19127" s="20"/>
    </row>
    <row r="19128" spans="1:1" x14ac:dyDescent="0.3">
      <c r="A19128" s="20"/>
    </row>
    <row r="19129" spans="1:1" x14ac:dyDescent="0.3">
      <c r="A19129" s="20"/>
    </row>
    <row r="19130" spans="1:1" x14ac:dyDescent="0.3">
      <c r="A19130" s="20"/>
    </row>
    <row r="19131" spans="1:1" x14ac:dyDescent="0.3">
      <c r="A19131" s="20"/>
    </row>
    <row r="19132" spans="1:1" x14ac:dyDescent="0.3">
      <c r="A19132" s="20"/>
    </row>
    <row r="19133" spans="1:1" x14ac:dyDescent="0.3">
      <c r="A19133" s="20"/>
    </row>
    <row r="19134" spans="1:1" x14ac:dyDescent="0.3">
      <c r="A19134" s="20"/>
    </row>
    <row r="19135" spans="1:1" x14ac:dyDescent="0.3">
      <c r="A19135" s="20"/>
    </row>
    <row r="19136" spans="1:1" x14ac:dyDescent="0.3">
      <c r="A19136" s="20"/>
    </row>
    <row r="19137" spans="1:1" x14ac:dyDescent="0.3">
      <c r="A19137" s="20"/>
    </row>
    <row r="19138" spans="1:1" x14ac:dyDescent="0.3">
      <c r="A19138" s="20"/>
    </row>
    <row r="19139" spans="1:1" x14ac:dyDescent="0.3">
      <c r="A19139" s="20"/>
    </row>
    <row r="19140" spans="1:1" x14ac:dyDescent="0.3">
      <c r="A19140" s="20"/>
    </row>
    <row r="19141" spans="1:1" x14ac:dyDescent="0.3">
      <c r="A19141" s="20"/>
    </row>
    <row r="19142" spans="1:1" x14ac:dyDescent="0.3">
      <c r="A19142" s="20"/>
    </row>
    <row r="19143" spans="1:1" x14ac:dyDescent="0.3">
      <c r="A19143" s="20"/>
    </row>
    <row r="19144" spans="1:1" x14ac:dyDescent="0.3">
      <c r="A19144" s="20"/>
    </row>
    <row r="19145" spans="1:1" x14ac:dyDescent="0.3">
      <c r="A19145" s="20"/>
    </row>
    <row r="19146" spans="1:1" x14ac:dyDescent="0.3">
      <c r="A19146" s="20"/>
    </row>
    <row r="19147" spans="1:1" x14ac:dyDescent="0.3">
      <c r="A19147" s="20"/>
    </row>
    <row r="19148" spans="1:1" x14ac:dyDescent="0.3">
      <c r="A19148" s="20"/>
    </row>
    <row r="19149" spans="1:1" x14ac:dyDescent="0.3">
      <c r="A19149" s="20"/>
    </row>
    <row r="19150" spans="1:1" x14ac:dyDescent="0.3">
      <c r="A19150" s="20"/>
    </row>
    <row r="19151" spans="1:1" x14ac:dyDescent="0.3">
      <c r="A19151" s="20"/>
    </row>
    <row r="19152" spans="1:1" x14ac:dyDescent="0.3">
      <c r="A19152" s="20"/>
    </row>
    <row r="19153" spans="1:1" x14ac:dyDescent="0.3">
      <c r="A19153" s="20"/>
    </row>
    <row r="19154" spans="1:1" x14ac:dyDescent="0.3">
      <c r="A19154" s="20"/>
    </row>
    <row r="19155" spans="1:1" x14ac:dyDescent="0.3">
      <c r="A19155" s="20"/>
    </row>
    <row r="19156" spans="1:1" x14ac:dyDescent="0.3">
      <c r="A19156" s="20"/>
    </row>
    <row r="19157" spans="1:1" x14ac:dyDescent="0.3">
      <c r="A19157" s="20"/>
    </row>
    <row r="19158" spans="1:1" x14ac:dyDescent="0.3">
      <c r="A19158" s="20"/>
    </row>
    <row r="19159" spans="1:1" x14ac:dyDescent="0.3">
      <c r="A19159" s="20"/>
    </row>
    <row r="19160" spans="1:1" x14ac:dyDescent="0.3">
      <c r="A19160" s="20"/>
    </row>
    <row r="19161" spans="1:1" x14ac:dyDescent="0.3">
      <c r="A19161" s="20"/>
    </row>
    <row r="19162" spans="1:1" x14ac:dyDescent="0.3">
      <c r="A19162" s="20"/>
    </row>
    <row r="19163" spans="1:1" x14ac:dyDescent="0.3">
      <c r="A19163" s="20"/>
    </row>
    <row r="19164" spans="1:1" x14ac:dyDescent="0.3">
      <c r="A19164" s="20"/>
    </row>
    <row r="19165" spans="1:1" x14ac:dyDescent="0.3">
      <c r="A19165" s="20"/>
    </row>
    <row r="19166" spans="1:1" x14ac:dyDescent="0.3">
      <c r="A19166" s="20"/>
    </row>
    <row r="19167" spans="1:1" x14ac:dyDescent="0.3">
      <c r="A19167" s="20"/>
    </row>
    <row r="19168" spans="1:1" x14ac:dyDescent="0.3">
      <c r="A19168" s="20"/>
    </row>
    <row r="19169" spans="1:1" x14ac:dyDescent="0.3">
      <c r="A19169" s="20"/>
    </row>
    <row r="19170" spans="1:1" x14ac:dyDescent="0.3">
      <c r="A19170" s="20"/>
    </row>
    <row r="19171" spans="1:1" x14ac:dyDescent="0.3">
      <c r="A19171" s="20"/>
    </row>
    <row r="19172" spans="1:1" x14ac:dyDescent="0.3">
      <c r="A19172" s="20"/>
    </row>
    <row r="19173" spans="1:1" x14ac:dyDescent="0.3">
      <c r="A19173" s="20"/>
    </row>
    <row r="19174" spans="1:1" x14ac:dyDescent="0.3">
      <c r="A19174" s="20"/>
    </row>
    <row r="19175" spans="1:1" x14ac:dyDescent="0.3">
      <c r="A19175" s="20"/>
    </row>
    <row r="19176" spans="1:1" x14ac:dyDescent="0.3">
      <c r="A19176" s="20"/>
    </row>
    <row r="19177" spans="1:1" x14ac:dyDescent="0.3">
      <c r="A19177" s="20"/>
    </row>
    <row r="19178" spans="1:1" x14ac:dyDescent="0.3">
      <c r="A19178" s="20"/>
    </row>
    <row r="19179" spans="1:1" x14ac:dyDescent="0.3">
      <c r="A19179" s="20"/>
    </row>
    <row r="19180" spans="1:1" x14ac:dyDescent="0.3">
      <c r="A19180" s="20"/>
    </row>
    <row r="19181" spans="1:1" x14ac:dyDescent="0.3">
      <c r="A19181" s="20"/>
    </row>
    <row r="19182" spans="1:1" x14ac:dyDescent="0.3">
      <c r="A19182" s="20"/>
    </row>
    <row r="19183" spans="1:1" x14ac:dyDescent="0.3">
      <c r="A19183" s="20"/>
    </row>
    <row r="19184" spans="1:1" x14ac:dyDescent="0.3">
      <c r="A19184" s="20"/>
    </row>
    <row r="19185" spans="1:1" x14ac:dyDescent="0.3">
      <c r="A19185" s="20"/>
    </row>
    <row r="19186" spans="1:1" x14ac:dyDescent="0.3">
      <c r="A19186" s="20"/>
    </row>
    <row r="19187" spans="1:1" x14ac:dyDescent="0.3">
      <c r="A19187" s="20"/>
    </row>
    <row r="19188" spans="1:1" x14ac:dyDescent="0.3">
      <c r="A19188" s="20"/>
    </row>
    <row r="19189" spans="1:1" x14ac:dyDescent="0.3">
      <c r="A19189" s="20"/>
    </row>
    <row r="19190" spans="1:1" x14ac:dyDescent="0.3">
      <c r="A19190" s="20"/>
    </row>
    <row r="19191" spans="1:1" x14ac:dyDescent="0.3">
      <c r="A19191" s="20"/>
    </row>
    <row r="19192" spans="1:1" x14ac:dyDescent="0.3">
      <c r="A19192" s="20"/>
    </row>
    <row r="19193" spans="1:1" x14ac:dyDescent="0.3">
      <c r="A19193" s="20"/>
    </row>
    <row r="19194" spans="1:1" x14ac:dyDescent="0.3">
      <c r="A19194" s="20"/>
    </row>
    <row r="19195" spans="1:1" x14ac:dyDescent="0.3">
      <c r="A19195" s="20"/>
    </row>
    <row r="19196" spans="1:1" x14ac:dyDescent="0.3">
      <c r="A19196" s="20"/>
    </row>
    <row r="19197" spans="1:1" x14ac:dyDescent="0.3">
      <c r="A19197" s="20"/>
    </row>
    <row r="19198" spans="1:1" x14ac:dyDescent="0.3">
      <c r="A19198" s="20"/>
    </row>
    <row r="19199" spans="1:1" x14ac:dyDescent="0.3">
      <c r="A19199" s="20"/>
    </row>
    <row r="19200" spans="1:1" x14ac:dyDescent="0.3">
      <c r="A19200" s="20"/>
    </row>
    <row r="19201" spans="1:1" x14ac:dyDescent="0.3">
      <c r="A19201" s="20"/>
    </row>
    <row r="19202" spans="1:1" x14ac:dyDescent="0.3">
      <c r="A19202" s="20"/>
    </row>
    <row r="19203" spans="1:1" x14ac:dyDescent="0.3">
      <c r="A19203" s="20"/>
    </row>
    <row r="19204" spans="1:1" x14ac:dyDescent="0.3">
      <c r="A19204" s="20"/>
    </row>
    <row r="19205" spans="1:1" x14ac:dyDescent="0.3">
      <c r="A19205" s="20"/>
    </row>
    <row r="19206" spans="1:1" x14ac:dyDescent="0.3">
      <c r="A19206" s="20"/>
    </row>
    <row r="19207" spans="1:1" x14ac:dyDescent="0.3">
      <c r="A19207" s="20"/>
    </row>
    <row r="19208" spans="1:1" x14ac:dyDescent="0.3">
      <c r="A19208" s="20"/>
    </row>
    <row r="19209" spans="1:1" x14ac:dyDescent="0.3">
      <c r="A19209" s="20"/>
    </row>
    <row r="19210" spans="1:1" x14ac:dyDescent="0.3">
      <c r="A19210" s="20"/>
    </row>
    <row r="19211" spans="1:1" x14ac:dyDescent="0.3">
      <c r="A19211" s="20"/>
    </row>
    <row r="19212" spans="1:1" x14ac:dyDescent="0.3">
      <c r="A19212" s="20"/>
    </row>
    <row r="19213" spans="1:1" x14ac:dyDescent="0.3">
      <c r="A19213" s="20"/>
    </row>
    <row r="19214" spans="1:1" x14ac:dyDescent="0.3">
      <c r="A19214" s="20"/>
    </row>
    <row r="19215" spans="1:1" x14ac:dyDescent="0.3">
      <c r="A19215" s="20"/>
    </row>
    <row r="19216" spans="1:1" x14ac:dyDescent="0.3">
      <c r="A19216" s="20"/>
    </row>
    <row r="19217" spans="1:1" x14ac:dyDescent="0.3">
      <c r="A19217" s="20"/>
    </row>
    <row r="19218" spans="1:1" x14ac:dyDescent="0.3">
      <c r="A19218" s="20"/>
    </row>
    <row r="19219" spans="1:1" x14ac:dyDescent="0.3">
      <c r="A19219" s="20"/>
    </row>
    <row r="19220" spans="1:1" x14ac:dyDescent="0.3">
      <c r="A19220" s="20"/>
    </row>
    <row r="19221" spans="1:1" x14ac:dyDescent="0.3">
      <c r="A19221" s="20"/>
    </row>
    <row r="19222" spans="1:1" x14ac:dyDescent="0.3">
      <c r="A19222" s="20"/>
    </row>
    <row r="19223" spans="1:1" x14ac:dyDescent="0.3">
      <c r="A19223" s="20"/>
    </row>
    <row r="19224" spans="1:1" x14ac:dyDescent="0.3">
      <c r="A19224" s="20"/>
    </row>
    <row r="19225" spans="1:1" x14ac:dyDescent="0.3">
      <c r="A19225" s="20"/>
    </row>
    <row r="19226" spans="1:1" x14ac:dyDescent="0.3">
      <c r="A19226" s="20"/>
    </row>
    <row r="19227" spans="1:1" x14ac:dyDescent="0.3">
      <c r="A19227" s="20"/>
    </row>
    <row r="19228" spans="1:1" x14ac:dyDescent="0.3">
      <c r="A19228" s="20"/>
    </row>
    <row r="19229" spans="1:1" x14ac:dyDescent="0.3">
      <c r="A19229" s="20"/>
    </row>
    <row r="19230" spans="1:1" x14ac:dyDescent="0.3">
      <c r="A19230" s="20"/>
    </row>
    <row r="19231" spans="1:1" x14ac:dyDescent="0.3">
      <c r="A19231" s="20"/>
    </row>
    <row r="19232" spans="1:1" x14ac:dyDescent="0.3">
      <c r="A19232" s="20"/>
    </row>
    <row r="19233" spans="1:1" x14ac:dyDescent="0.3">
      <c r="A19233" s="20"/>
    </row>
    <row r="19234" spans="1:1" x14ac:dyDescent="0.3">
      <c r="A19234" s="20"/>
    </row>
    <row r="19235" spans="1:1" x14ac:dyDescent="0.3">
      <c r="A19235" s="20"/>
    </row>
    <row r="19236" spans="1:1" x14ac:dyDescent="0.3">
      <c r="A19236" s="20"/>
    </row>
    <row r="19237" spans="1:1" x14ac:dyDescent="0.3">
      <c r="A19237" s="20"/>
    </row>
    <row r="19238" spans="1:1" x14ac:dyDescent="0.3">
      <c r="A19238" s="20"/>
    </row>
    <row r="19239" spans="1:1" x14ac:dyDescent="0.3">
      <c r="A19239" s="20"/>
    </row>
    <row r="19240" spans="1:1" x14ac:dyDescent="0.3">
      <c r="A19240" s="20"/>
    </row>
    <row r="19241" spans="1:1" x14ac:dyDescent="0.3">
      <c r="A19241" s="20"/>
    </row>
    <row r="19242" spans="1:1" x14ac:dyDescent="0.3">
      <c r="A19242" s="20"/>
    </row>
    <row r="19243" spans="1:1" x14ac:dyDescent="0.3">
      <c r="A19243" s="20"/>
    </row>
    <row r="19244" spans="1:1" x14ac:dyDescent="0.3">
      <c r="A19244" s="20"/>
    </row>
    <row r="19245" spans="1:1" x14ac:dyDescent="0.3">
      <c r="A19245" s="20"/>
    </row>
    <row r="19246" spans="1:1" x14ac:dyDescent="0.3">
      <c r="A19246" s="20"/>
    </row>
    <row r="19247" spans="1:1" x14ac:dyDescent="0.3">
      <c r="A19247" s="20"/>
    </row>
    <row r="19248" spans="1:1" x14ac:dyDescent="0.3">
      <c r="A19248" s="20"/>
    </row>
    <row r="19249" spans="1:1" x14ac:dyDescent="0.3">
      <c r="A19249" s="20"/>
    </row>
    <row r="19250" spans="1:1" x14ac:dyDescent="0.3">
      <c r="A19250" s="20"/>
    </row>
    <row r="19251" spans="1:1" x14ac:dyDescent="0.3">
      <c r="A19251" s="20"/>
    </row>
    <row r="19252" spans="1:1" x14ac:dyDescent="0.3">
      <c r="A19252" s="20"/>
    </row>
    <row r="19253" spans="1:1" x14ac:dyDescent="0.3">
      <c r="A19253" s="20"/>
    </row>
    <row r="19254" spans="1:1" x14ac:dyDescent="0.3">
      <c r="A19254" s="20"/>
    </row>
    <row r="19255" spans="1:1" x14ac:dyDescent="0.3">
      <c r="A19255" s="20"/>
    </row>
    <row r="19256" spans="1:1" x14ac:dyDescent="0.3">
      <c r="A19256" s="20"/>
    </row>
    <row r="19257" spans="1:1" x14ac:dyDescent="0.3">
      <c r="A19257" s="20"/>
    </row>
    <row r="19258" spans="1:1" x14ac:dyDescent="0.3">
      <c r="A19258" s="20"/>
    </row>
    <row r="19259" spans="1:1" x14ac:dyDescent="0.3">
      <c r="A19259" s="20"/>
    </row>
    <row r="19260" spans="1:1" x14ac:dyDescent="0.3">
      <c r="A19260" s="20"/>
    </row>
    <row r="19261" spans="1:1" x14ac:dyDescent="0.3">
      <c r="A19261" s="20"/>
    </row>
    <row r="19262" spans="1:1" x14ac:dyDescent="0.3">
      <c r="A19262" s="20"/>
    </row>
    <row r="19263" spans="1:1" x14ac:dyDescent="0.3">
      <c r="A19263" s="20"/>
    </row>
    <row r="19264" spans="1:1" x14ac:dyDescent="0.3">
      <c r="A19264" s="20"/>
    </row>
    <row r="19265" spans="1:1" x14ac:dyDescent="0.3">
      <c r="A19265" s="20"/>
    </row>
    <row r="19266" spans="1:1" x14ac:dyDescent="0.3">
      <c r="A19266" s="20"/>
    </row>
    <row r="19267" spans="1:1" x14ac:dyDescent="0.3">
      <c r="A19267" s="20"/>
    </row>
    <row r="19268" spans="1:1" x14ac:dyDescent="0.3">
      <c r="A19268" s="20"/>
    </row>
    <row r="19269" spans="1:1" x14ac:dyDescent="0.3">
      <c r="A19269" s="20"/>
    </row>
    <row r="19270" spans="1:1" x14ac:dyDescent="0.3">
      <c r="A19270" s="20"/>
    </row>
    <row r="19271" spans="1:1" x14ac:dyDescent="0.3">
      <c r="A19271" s="20"/>
    </row>
    <row r="19272" spans="1:1" x14ac:dyDescent="0.3">
      <c r="A19272" s="20"/>
    </row>
    <row r="19273" spans="1:1" x14ac:dyDescent="0.3">
      <c r="A19273" s="20"/>
    </row>
    <row r="19274" spans="1:1" x14ac:dyDescent="0.3">
      <c r="A19274" s="20"/>
    </row>
    <row r="19275" spans="1:1" x14ac:dyDescent="0.3">
      <c r="A19275" s="20"/>
    </row>
    <row r="19276" spans="1:1" x14ac:dyDescent="0.3">
      <c r="A19276" s="20"/>
    </row>
    <row r="19277" spans="1:1" x14ac:dyDescent="0.3">
      <c r="A19277" s="20"/>
    </row>
    <row r="19278" spans="1:1" x14ac:dyDescent="0.3">
      <c r="A19278" s="20"/>
    </row>
    <row r="19279" spans="1:1" x14ac:dyDescent="0.3">
      <c r="A19279" s="20"/>
    </row>
    <row r="19280" spans="1:1" x14ac:dyDescent="0.3">
      <c r="A19280" s="20"/>
    </row>
    <row r="19281" spans="1:1" x14ac:dyDescent="0.3">
      <c r="A19281" s="20"/>
    </row>
    <row r="19282" spans="1:1" x14ac:dyDescent="0.3">
      <c r="A19282" s="20"/>
    </row>
    <row r="19283" spans="1:1" x14ac:dyDescent="0.3">
      <c r="A19283" s="20"/>
    </row>
    <row r="19284" spans="1:1" x14ac:dyDescent="0.3">
      <c r="A19284" s="20"/>
    </row>
    <row r="19285" spans="1:1" x14ac:dyDescent="0.3">
      <c r="A19285" s="20"/>
    </row>
    <row r="19286" spans="1:1" x14ac:dyDescent="0.3">
      <c r="A19286" s="20"/>
    </row>
    <row r="19287" spans="1:1" x14ac:dyDescent="0.3">
      <c r="A19287" s="20"/>
    </row>
    <row r="19288" spans="1:1" x14ac:dyDescent="0.3">
      <c r="A19288" s="20"/>
    </row>
    <row r="19289" spans="1:1" x14ac:dyDescent="0.3">
      <c r="A19289" s="20"/>
    </row>
    <row r="19290" spans="1:1" x14ac:dyDescent="0.3">
      <c r="A19290" s="20"/>
    </row>
    <row r="19291" spans="1:1" x14ac:dyDescent="0.3">
      <c r="A19291" s="20"/>
    </row>
    <row r="19292" spans="1:1" x14ac:dyDescent="0.3">
      <c r="A19292" s="20"/>
    </row>
    <row r="19293" spans="1:1" x14ac:dyDescent="0.3">
      <c r="A19293" s="20"/>
    </row>
    <row r="19294" spans="1:1" x14ac:dyDescent="0.3">
      <c r="A19294" s="20"/>
    </row>
    <row r="19295" spans="1:1" x14ac:dyDescent="0.3">
      <c r="A19295" s="20"/>
    </row>
    <row r="19296" spans="1:1" x14ac:dyDescent="0.3">
      <c r="A19296" s="20"/>
    </row>
    <row r="19297" spans="1:1" x14ac:dyDescent="0.3">
      <c r="A19297" s="20"/>
    </row>
    <row r="19298" spans="1:1" x14ac:dyDescent="0.3">
      <c r="A19298" s="20"/>
    </row>
    <row r="19299" spans="1:1" x14ac:dyDescent="0.3">
      <c r="A19299" s="20"/>
    </row>
    <row r="19300" spans="1:1" x14ac:dyDescent="0.3">
      <c r="A19300" s="20"/>
    </row>
    <row r="19301" spans="1:1" x14ac:dyDescent="0.3">
      <c r="A19301" s="20"/>
    </row>
    <row r="19302" spans="1:1" x14ac:dyDescent="0.3">
      <c r="A19302" s="20"/>
    </row>
    <row r="19303" spans="1:1" x14ac:dyDescent="0.3">
      <c r="A19303" s="20"/>
    </row>
    <row r="19304" spans="1:1" x14ac:dyDescent="0.3">
      <c r="A19304" s="20"/>
    </row>
    <row r="19305" spans="1:1" x14ac:dyDescent="0.3">
      <c r="A19305" s="20"/>
    </row>
    <row r="19306" spans="1:1" x14ac:dyDescent="0.3">
      <c r="A19306" s="20"/>
    </row>
    <row r="19307" spans="1:1" x14ac:dyDescent="0.3">
      <c r="A19307" s="20"/>
    </row>
    <row r="19308" spans="1:1" x14ac:dyDescent="0.3">
      <c r="A19308" s="20"/>
    </row>
    <row r="19309" spans="1:1" x14ac:dyDescent="0.3">
      <c r="A19309" s="20"/>
    </row>
    <row r="19310" spans="1:1" x14ac:dyDescent="0.3">
      <c r="A19310" s="20"/>
    </row>
    <row r="19311" spans="1:1" x14ac:dyDescent="0.3">
      <c r="A19311" s="20"/>
    </row>
    <row r="19312" spans="1:1" x14ac:dyDescent="0.3">
      <c r="A19312" s="20"/>
    </row>
    <row r="19313" spans="1:1" x14ac:dyDescent="0.3">
      <c r="A19313" s="20"/>
    </row>
    <row r="19314" spans="1:1" x14ac:dyDescent="0.3">
      <c r="A19314" s="20"/>
    </row>
    <row r="19315" spans="1:1" x14ac:dyDescent="0.3">
      <c r="A19315" s="20"/>
    </row>
    <row r="19316" spans="1:1" x14ac:dyDescent="0.3">
      <c r="A19316" s="20"/>
    </row>
    <row r="19317" spans="1:1" x14ac:dyDescent="0.3">
      <c r="A19317" s="20"/>
    </row>
    <row r="19318" spans="1:1" x14ac:dyDescent="0.3">
      <c r="A19318" s="20"/>
    </row>
    <row r="19319" spans="1:1" x14ac:dyDescent="0.3">
      <c r="A19319" s="20"/>
    </row>
    <row r="19320" spans="1:1" x14ac:dyDescent="0.3">
      <c r="A19320" s="20"/>
    </row>
    <row r="19321" spans="1:1" x14ac:dyDescent="0.3">
      <c r="A19321" s="20"/>
    </row>
    <row r="19322" spans="1:1" x14ac:dyDescent="0.3">
      <c r="A19322" s="20"/>
    </row>
    <row r="19323" spans="1:1" x14ac:dyDescent="0.3">
      <c r="A19323" s="20"/>
    </row>
    <row r="19324" spans="1:1" x14ac:dyDescent="0.3">
      <c r="A19324" s="20"/>
    </row>
    <row r="19325" spans="1:1" x14ac:dyDescent="0.3">
      <c r="A19325" s="20"/>
    </row>
    <row r="19326" spans="1:1" x14ac:dyDescent="0.3">
      <c r="A19326" s="20"/>
    </row>
    <row r="19327" spans="1:1" x14ac:dyDescent="0.3">
      <c r="A19327" s="20"/>
    </row>
    <row r="19328" spans="1:1" x14ac:dyDescent="0.3">
      <c r="A19328" s="20"/>
    </row>
    <row r="19329" spans="1:1" x14ac:dyDescent="0.3">
      <c r="A19329" s="20"/>
    </row>
    <row r="19330" spans="1:1" x14ac:dyDescent="0.3">
      <c r="A19330" s="20"/>
    </row>
    <row r="19331" spans="1:1" x14ac:dyDescent="0.3">
      <c r="A19331" s="20"/>
    </row>
    <row r="19332" spans="1:1" x14ac:dyDescent="0.3">
      <c r="A19332" s="20"/>
    </row>
    <row r="19333" spans="1:1" x14ac:dyDescent="0.3">
      <c r="A19333" s="20"/>
    </row>
    <row r="19334" spans="1:1" x14ac:dyDescent="0.3">
      <c r="A19334" s="20"/>
    </row>
    <row r="19335" spans="1:1" x14ac:dyDescent="0.3">
      <c r="A19335" s="20"/>
    </row>
    <row r="19336" spans="1:1" x14ac:dyDescent="0.3">
      <c r="A19336" s="20"/>
    </row>
    <row r="19337" spans="1:1" x14ac:dyDescent="0.3">
      <c r="A19337" s="20"/>
    </row>
    <row r="19338" spans="1:1" x14ac:dyDescent="0.3">
      <c r="A19338" s="20"/>
    </row>
    <row r="19339" spans="1:1" x14ac:dyDescent="0.3">
      <c r="A19339" s="20"/>
    </row>
    <row r="19340" spans="1:1" x14ac:dyDescent="0.3">
      <c r="A19340" s="20"/>
    </row>
    <row r="19341" spans="1:1" x14ac:dyDescent="0.3">
      <c r="A19341" s="20"/>
    </row>
    <row r="19342" spans="1:1" x14ac:dyDescent="0.3">
      <c r="A19342" s="20"/>
    </row>
    <row r="19343" spans="1:1" x14ac:dyDescent="0.3">
      <c r="A19343" s="20"/>
    </row>
    <row r="19344" spans="1:1" x14ac:dyDescent="0.3">
      <c r="A19344" s="20"/>
    </row>
    <row r="19345" spans="1:1" x14ac:dyDescent="0.3">
      <c r="A19345" s="20"/>
    </row>
    <row r="19346" spans="1:1" x14ac:dyDescent="0.3">
      <c r="A19346" s="20"/>
    </row>
    <row r="19347" spans="1:1" x14ac:dyDescent="0.3">
      <c r="A19347" s="20"/>
    </row>
    <row r="19348" spans="1:1" x14ac:dyDescent="0.3">
      <c r="A19348" s="20"/>
    </row>
    <row r="19349" spans="1:1" x14ac:dyDescent="0.3">
      <c r="A19349" s="20"/>
    </row>
    <row r="19350" spans="1:1" x14ac:dyDescent="0.3">
      <c r="A19350" s="20"/>
    </row>
    <row r="19351" spans="1:1" x14ac:dyDescent="0.3">
      <c r="A19351" s="20"/>
    </row>
    <row r="19352" spans="1:1" x14ac:dyDescent="0.3">
      <c r="A19352" s="20"/>
    </row>
    <row r="19353" spans="1:1" x14ac:dyDescent="0.3">
      <c r="A19353" s="20"/>
    </row>
    <row r="19354" spans="1:1" x14ac:dyDescent="0.3">
      <c r="A19354" s="20"/>
    </row>
    <row r="19355" spans="1:1" x14ac:dyDescent="0.3">
      <c r="A19355" s="20"/>
    </row>
    <row r="19356" spans="1:1" x14ac:dyDescent="0.3">
      <c r="A19356" s="20"/>
    </row>
    <row r="19357" spans="1:1" x14ac:dyDescent="0.3">
      <c r="A19357" s="20"/>
    </row>
    <row r="19358" spans="1:1" x14ac:dyDescent="0.3">
      <c r="A19358" s="20"/>
    </row>
    <row r="19359" spans="1:1" x14ac:dyDescent="0.3">
      <c r="A19359" s="20"/>
    </row>
    <row r="19360" spans="1:1" x14ac:dyDescent="0.3">
      <c r="A19360" s="20"/>
    </row>
    <row r="19361" spans="1:1" x14ac:dyDescent="0.3">
      <c r="A19361" s="20"/>
    </row>
    <row r="19362" spans="1:1" x14ac:dyDescent="0.3">
      <c r="A19362" s="20"/>
    </row>
    <row r="19363" spans="1:1" x14ac:dyDescent="0.3">
      <c r="A19363" s="20"/>
    </row>
    <row r="19364" spans="1:1" x14ac:dyDescent="0.3">
      <c r="A19364" s="20"/>
    </row>
    <row r="19365" spans="1:1" x14ac:dyDescent="0.3">
      <c r="A19365" s="20"/>
    </row>
    <row r="19366" spans="1:1" x14ac:dyDescent="0.3">
      <c r="A19366" s="20"/>
    </row>
    <row r="19367" spans="1:1" x14ac:dyDescent="0.3">
      <c r="A19367" s="20"/>
    </row>
    <row r="19368" spans="1:1" x14ac:dyDescent="0.3">
      <c r="A19368" s="20"/>
    </row>
    <row r="19369" spans="1:1" x14ac:dyDescent="0.3">
      <c r="A19369" s="20"/>
    </row>
    <row r="19370" spans="1:1" x14ac:dyDescent="0.3">
      <c r="A19370" s="20"/>
    </row>
    <row r="19371" spans="1:1" x14ac:dyDescent="0.3">
      <c r="A19371" s="20"/>
    </row>
    <row r="19372" spans="1:1" x14ac:dyDescent="0.3">
      <c r="A19372" s="20"/>
    </row>
    <row r="19373" spans="1:1" x14ac:dyDescent="0.3">
      <c r="A19373" s="20"/>
    </row>
    <row r="19374" spans="1:1" x14ac:dyDescent="0.3">
      <c r="A19374" s="20"/>
    </row>
    <row r="19375" spans="1:1" x14ac:dyDescent="0.3">
      <c r="A19375" s="20"/>
    </row>
    <row r="19376" spans="1:1" x14ac:dyDescent="0.3">
      <c r="A19376" s="20"/>
    </row>
    <row r="19377" spans="1:1" x14ac:dyDescent="0.3">
      <c r="A19377" s="20"/>
    </row>
    <row r="19378" spans="1:1" x14ac:dyDescent="0.3">
      <c r="A19378" s="20"/>
    </row>
    <row r="19379" spans="1:1" x14ac:dyDescent="0.3">
      <c r="A19379" s="20"/>
    </row>
    <row r="19380" spans="1:1" x14ac:dyDescent="0.3">
      <c r="A19380" s="20"/>
    </row>
    <row r="19381" spans="1:1" x14ac:dyDescent="0.3">
      <c r="A19381" s="20"/>
    </row>
    <row r="19382" spans="1:1" x14ac:dyDescent="0.3">
      <c r="A19382" s="20"/>
    </row>
    <row r="19383" spans="1:1" x14ac:dyDescent="0.3">
      <c r="A19383" s="20"/>
    </row>
    <row r="19384" spans="1:1" x14ac:dyDescent="0.3">
      <c r="A19384" s="20"/>
    </row>
    <row r="19385" spans="1:1" x14ac:dyDescent="0.3">
      <c r="A19385" s="20"/>
    </row>
    <row r="19386" spans="1:1" x14ac:dyDescent="0.3">
      <c r="A19386" s="20"/>
    </row>
    <row r="19387" spans="1:1" x14ac:dyDescent="0.3">
      <c r="A19387" s="20"/>
    </row>
    <row r="19388" spans="1:1" x14ac:dyDescent="0.3">
      <c r="A19388" s="20"/>
    </row>
    <row r="19389" spans="1:1" x14ac:dyDescent="0.3">
      <c r="A19389" s="20"/>
    </row>
    <row r="19390" spans="1:1" x14ac:dyDescent="0.3">
      <c r="A19390" s="20"/>
    </row>
    <row r="19391" spans="1:1" x14ac:dyDescent="0.3">
      <c r="A19391" s="20"/>
    </row>
    <row r="19392" spans="1:1" x14ac:dyDescent="0.3">
      <c r="A19392" s="20"/>
    </row>
    <row r="19393" spans="1:1" x14ac:dyDescent="0.3">
      <c r="A19393" s="20"/>
    </row>
    <row r="19394" spans="1:1" x14ac:dyDescent="0.3">
      <c r="A19394" s="20"/>
    </row>
    <row r="19395" spans="1:1" x14ac:dyDescent="0.3">
      <c r="A19395" s="20"/>
    </row>
    <row r="19396" spans="1:1" x14ac:dyDescent="0.3">
      <c r="A19396" s="20"/>
    </row>
    <row r="19397" spans="1:1" x14ac:dyDescent="0.3">
      <c r="A19397" s="20"/>
    </row>
    <row r="19398" spans="1:1" x14ac:dyDescent="0.3">
      <c r="A19398" s="20"/>
    </row>
    <row r="19399" spans="1:1" x14ac:dyDescent="0.3">
      <c r="A19399" s="20"/>
    </row>
    <row r="19400" spans="1:1" x14ac:dyDescent="0.3">
      <c r="A19400" s="20"/>
    </row>
    <row r="19401" spans="1:1" x14ac:dyDescent="0.3">
      <c r="A19401" s="20"/>
    </row>
    <row r="19402" spans="1:1" x14ac:dyDescent="0.3">
      <c r="A19402" s="20"/>
    </row>
    <row r="19403" spans="1:1" x14ac:dyDescent="0.3">
      <c r="A19403" s="20"/>
    </row>
    <row r="19404" spans="1:1" x14ac:dyDescent="0.3">
      <c r="A19404" s="20"/>
    </row>
    <row r="19405" spans="1:1" x14ac:dyDescent="0.3">
      <c r="A19405" s="20"/>
    </row>
    <row r="19406" spans="1:1" x14ac:dyDescent="0.3">
      <c r="A19406" s="20"/>
    </row>
    <row r="19407" spans="1:1" x14ac:dyDescent="0.3">
      <c r="A19407" s="20"/>
    </row>
    <row r="19408" spans="1:1" x14ac:dyDescent="0.3">
      <c r="A19408" s="20"/>
    </row>
    <row r="19409" spans="1:1" x14ac:dyDescent="0.3">
      <c r="A19409" s="20"/>
    </row>
    <row r="19410" spans="1:1" x14ac:dyDescent="0.3">
      <c r="A19410" s="20"/>
    </row>
    <row r="19411" spans="1:1" x14ac:dyDescent="0.3">
      <c r="A19411" s="20"/>
    </row>
    <row r="19412" spans="1:1" x14ac:dyDescent="0.3">
      <c r="A19412" s="20"/>
    </row>
    <row r="19413" spans="1:1" x14ac:dyDescent="0.3">
      <c r="A19413" s="20"/>
    </row>
    <row r="19414" spans="1:1" x14ac:dyDescent="0.3">
      <c r="A19414" s="20"/>
    </row>
    <row r="19415" spans="1:1" x14ac:dyDescent="0.3">
      <c r="A19415" s="20"/>
    </row>
    <row r="19416" spans="1:1" x14ac:dyDescent="0.3">
      <c r="A19416" s="20"/>
    </row>
    <row r="19417" spans="1:1" x14ac:dyDescent="0.3">
      <c r="A19417" s="20"/>
    </row>
    <row r="19418" spans="1:1" x14ac:dyDescent="0.3">
      <c r="A19418" s="20"/>
    </row>
    <row r="19419" spans="1:1" x14ac:dyDescent="0.3">
      <c r="A19419" s="20"/>
    </row>
    <row r="19420" spans="1:1" x14ac:dyDescent="0.3">
      <c r="A19420" s="20"/>
    </row>
    <row r="19421" spans="1:1" x14ac:dyDescent="0.3">
      <c r="A19421" s="20"/>
    </row>
    <row r="19422" spans="1:1" x14ac:dyDescent="0.3">
      <c r="A19422" s="20"/>
    </row>
    <row r="19423" spans="1:1" x14ac:dyDescent="0.3">
      <c r="A19423" s="20"/>
    </row>
    <row r="19424" spans="1:1" x14ac:dyDescent="0.3">
      <c r="A19424" s="20"/>
    </row>
    <row r="19425" spans="1:1" x14ac:dyDescent="0.3">
      <c r="A19425" s="20"/>
    </row>
    <row r="19426" spans="1:1" x14ac:dyDescent="0.3">
      <c r="A19426" s="20"/>
    </row>
    <row r="19427" spans="1:1" x14ac:dyDescent="0.3">
      <c r="A19427" s="20"/>
    </row>
    <row r="19428" spans="1:1" x14ac:dyDescent="0.3">
      <c r="A19428" s="20"/>
    </row>
    <row r="19429" spans="1:1" x14ac:dyDescent="0.3">
      <c r="A19429" s="20"/>
    </row>
    <row r="19430" spans="1:1" x14ac:dyDescent="0.3">
      <c r="A19430" s="20"/>
    </row>
    <row r="19431" spans="1:1" x14ac:dyDescent="0.3">
      <c r="A19431" s="20"/>
    </row>
    <row r="19432" spans="1:1" x14ac:dyDescent="0.3">
      <c r="A19432" s="20"/>
    </row>
    <row r="19433" spans="1:1" x14ac:dyDescent="0.3">
      <c r="A19433" s="20"/>
    </row>
    <row r="19434" spans="1:1" x14ac:dyDescent="0.3">
      <c r="A19434" s="20"/>
    </row>
    <row r="19435" spans="1:1" x14ac:dyDescent="0.3">
      <c r="A19435" s="20"/>
    </row>
    <row r="19436" spans="1:1" x14ac:dyDescent="0.3">
      <c r="A19436" s="20"/>
    </row>
    <row r="19437" spans="1:1" x14ac:dyDescent="0.3">
      <c r="A19437" s="20"/>
    </row>
    <row r="19438" spans="1:1" x14ac:dyDescent="0.3">
      <c r="A19438" s="20"/>
    </row>
    <row r="19439" spans="1:1" x14ac:dyDescent="0.3">
      <c r="A19439" s="20"/>
    </row>
    <row r="19440" spans="1:1" x14ac:dyDescent="0.3">
      <c r="A19440" s="20"/>
    </row>
    <row r="19441" spans="1:1" x14ac:dyDescent="0.3">
      <c r="A19441" s="20"/>
    </row>
    <row r="19442" spans="1:1" x14ac:dyDescent="0.3">
      <c r="A19442" s="20"/>
    </row>
    <row r="19443" spans="1:1" x14ac:dyDescent="0.3">
      <c r="A19443" s="20"/>
    </row>
    <row r="19444" spans="1:1" x14ac:dyDescent="0.3">
      <c r="A19444" s="20"/>
    </row>
    <row r="19445" spans="1:1" x14ac:dyDescent="0.3">
      <c r="A19445" s="20"/>
    </row>
    <row r="19446" spans="1:1" x14ac:dyDescent="0.3">
      <c r="A19446" s="20"/>
    </row>
    <row r="19447" spans="1:1" x14ac:dyDescent="0.3">
      <c r="A19447" s="20"/>
    </row>
    <row r="19448" spans="1:1" x14ac:dyDescent="0.3">
      <c r="A19448" s="20"/>
    </row>
    <row r="19449" spans="1:1" x14ac:dyDescent="0.3">
      <c r="A19449" s="20"/>
    </row>
    <row r="19450" spans="1:1" x14ac:dyDescent="0.3">
      <c r="A19450" s="20"/>
    </row>
    <row r="19451" spans="1:1" x14ac:dyDescent="0.3">
      <c r="A19451" s="20"/>
    </row>
    <row r="19452" spans="1:1" x14ac:dyDescent="0.3">
      <c r="A19452" s="20"/>
    </row>
    <row r="19453" spans="1:1" x14ac:dyDescent="0.3">
      <c r="A19453" s="20"/>
    </row>
    <row r="19454" spans="1:1" x14ac:dyDescent="0.3">
      <c r="A19454" s="20"/>
    </row>
    <row r="19455" spans="1:1" x14ac:dyDescent="0.3">
      <c r="A19455" s="20"/>
    </row>
    <row r="19456" spans="1:1" x14ac:dyDescent="0.3">
      <c r="A19456" s="20"/>
    </row>
    <row r="19457" spans="1:1" x14ac:dyDescent="0.3">
      <c r="A19457" s="20"/>
    </row>
    <row r="19458" spans="1:1" x14ac:dyDescent="0.3">
      <c r="A19458" s="20"/>
    </row>
    <row r="19459" spans="1:1" x14ac:dyDescent="0.3">
      <c r="A19459" s="20"/>
    </row>
    <row r="19460" spans="1:1" x14ac:dyDescent="0.3">
      <c r="A19460" s="20"/>
    </row>
    <row r="19461" spans="1:1" x14ac:dyDescent="0.3">
      <c r="A19461" s="20"/>
    </row>
    <row r="19462" spans="1:1" x14ac:dyDescent="0.3">
      <c r="A19462" s="20"/>
    </row>
    <row r="19463" spans="1:1" x14ac:dyDescent="0.3">
      <c r="A19463" s="20"/>
    </row>
    <row r="19464" spans="1:1" x14ac:dyDescent="0.3">
      <c r="A19464" s="20"/>
    </row>
    <row r="19465" spans="1:1" x14ac:dyDescent="0.3">
      <c r="A19465" s="20"/>
    </row>
    <row r="19466" spans="1:1" x14ac:dyDescent="0.3">
      <c r="A19466" s="20"/>
    </row>
    <row r="19467" spans="1:1" x14ac:dyDescent="0.3">
      <c r="A19467" s="20"/>
    </row>
    <row r="19468" spans="1:1" x14ac:dyDescent="0.3">
      <c r="A19468" s="20"/>
    </row>
    <row r="19469" spans="1:1" x14ac:dyDescent="0.3">
      <c r="A19469" s="20"/>
    </row>
    <row r="19470" spans="1:1" x14ac:dyDescent="0.3">
      <c r="A19470" s="20"/>
    </row>
    <row r="19471" spans="1:1" x14ac:dyDescent="0.3">
      <c r="A19471" s="20"/>
    </row>
    <row r="19472" spans="1:1" x14ac:dyDescent="0.3">
      <c r="A19472" s="20"/>
    </row>
    <row r="19473" spans="1:1" x14ac:dyDescent="0.3">
      <c r="A19473" s="20"/>
    </row>
    <row r="19474" spans="1:1" x14ac:dyDescent="0.3">
      <c r="A19474" s="20"/>
    </row>
    <row r="19475" spans="1:1" x14ac:dyDescent="0.3">
      <c r="A19475" s="20"/>
    </row>
    <row r="19476" spans="1:1" x14ac:dyDescent="0.3">
      <c r="A19476" s="20"/>
    </row>
    <row r="19477" spans="1:1" x14ac:dyDescent="0.3">
      <c r="A19477" s="20"/>
    </row>
    <row r="19478" spans="1:1" x14ac:dyDescent="0.3">
      <c r="A19478" s="20"/>
    </row>
    <row r="19479" spans="1:1" x14ac:dyDescent="0.3">
      <c r="A19479" s="20"/>
    </row>
    <row r="19480" spans="1:1" x14ac:dyDescent="0.3">
      <c r="A19480" s="20"/>
    </row>
    <row r="19481" spans="1:1" x14ac:dyDescent="0.3">
      <c r="A19481" s="20"/>
    </row>
    <row r="19482" spans="1:1" x14ac:dyDescent="0.3">
      <c r="A19482" s="20"/>
    </row>
    <row r="19483" spans="1:1" x14ac:dyDescent="0.3">
      <c r="A19483" s="20"/>
    </row>
    <row r="19484" spans="1:1" x14ac:dyDescent="0.3">
      <c r="A19484" s="20"/>
    </row>
    <row r="19485" spans="1:1" x14ac:dyDescent="0.3">
      <c r="A19485" s="20"/>
    </row>
    <row r="19486" spans="1:1" x14ac:dyDescent="0.3">
      <c r="A19486" s="20"/>
    </row>
    <row r="19487" spans="1:1" x14ac:dyDescent="0.3">
      <c r="A19487" s="20"/>
    </row>
    <row r="19488" spans="1:1" x14ac:dyDescent="0.3">
      <c r="A19488" s="20"/>
    </row>
    <row r="19489" spans="1:1" x14ac:dyDescent="0.3">
      <c r="A19489" s="20"/>
    </row>
    <row r="19490" spans="1:1" x14ac:dyDescent="0.3">
      <c r="A19490" s="20"/>
    </row>
    <row r="19491" spans="1:1" x14ac:dyDescent="0.3">
      <c r="A19491" s="20"/>
    </row>
    <row r="19492" spans="1:1" x14ac:dyDescent="0.3">
      <c r="A19492" s="20"/>
    </row>
    <row r="19493" spans="1:1" x14ac:dyDescent="0.3">
      <c r="A19493" s="20"/>
    </row>
    <row r="19494" spans="1:1" x14ac:dyDescent="0.3">
      <c r="A19494" s="20"/>
    </row>
    <row r="19495" spans="1:1" x14ac:dyDescent="0.3">
      <c r="A19495" s="20"/>
    </row>
    <row r="19496" spans="1:1" x14ac:dyDescent="0.3">
      <c r="A19496" s="20"/>
    </row>
    <row r="19497" spans="1:1" x14ac:dyDescent="0.3">
      <c r="A19497" s="20"/>
    </row>
    <row r="19498" spans="1:1" x14ac:dyDescent="0.3">
      <c r="A19498" s="20"/>
    </row>
    <row r="19499" spans="1:1" x14ac:dyDescent="0.3">
      <c r="A19499" s="20"/>
    </row>
    <row r="19500" spans="1:1" x14ac:dyDescent="0.3">
      <c r="A19500" s="20"/>
    </row>
    <row r="19501" spans="1:1" x14ac:dyDescent="0.3">
      <c r="A19501" s="20"/>
    </row>
    <row r="19502" spans="1:1" x14ac:dyDescent="0.3">
      <c r="A19502" s="20"/>
    </row>
    <row r="19503" spans="1:1" x14ac:dyDescent="0.3">
      <c r="A19503" s="20"/>
    </row>
    <row r="19504" spans="1:1" x14ac:dyDescent="0.3">
      <c r="A19504" s="20"/>
    </row>
    <row r="19505" spans="1:1" x14ac:dyDescent="0.3">
      <c r="A19505" s="20"/>
    </row>
    <row r="19506" spans="1:1" x14ac:dyDescent="0.3">
      <c r="A19506" s="20"/>
    </row>
    <row r="19507" spans="1:1" x14ac:dyDescent="0.3">
      <c r="A19507" s="20"/>
    </row>
    <row r="19508" spans="1:1" x14ac:dyDescent="0.3">
      <c r="A19508" s="20"/>
    </row>
    <row r="19509" spans="1:1" x14ac:dyDescent="0.3">
      <c r="A19509" s="20"/>
    </row>
    <row r="19510" spans="1:1" x14ac:dyDescent="0.3">
      <c r="A19510" s="20"/>
    </row>
    <row r="19511" spans="1:1" x14ac:dyDescent="0.3">
      <c r="A19511" s="20"/>
    </row>
    <row r="19512" spans="1:1" x14ac:dyDescent="0.3">
      <c r="A19512" s="20"/>
    </row>
    <row r="19513" spans="1:1" x14ac:dyDescent="0.3">
      <c r="A19513" s="20"/>
    </row>
    <row r="19514" spans="1:1" x14ac:dyDescent="0.3">
      <c r="A19514" s="20"/>
    </row>
    <row r="19515" spans="1:1" x14ac:dyDescent="0.3">
      <c r="A19515" s="20"/>
    </row>
    <row r="19516" spans="1:1" x14ac:dyDescent="0.3">
      <c r="A19516" s="20"/>
    </row>
    <row r="19517" spans="1:1" x14ac:dyDescent="0.3">
      <c r="A19517" s="20"/>
    </row>
    <row r="19518" spans="1:1" x14ac:dyDescent="0.3">
      <c r="A19518" s="20"/>
    </row>
    <row r="19519" spans="1:1" x14ac:dyDescent="0.3">
      <c r="A19519" s="20"/>
    </row>
    <row r="19520" spans="1:1" x14ac:dyDescent="0.3">
      <c r="A19520" s="20"/>
    </row>
    <row r="19521" spans="1:1" x14ac:dyDescent="0.3">
      <c r="A19521" s="20"/>
    </row>
    <row r="19522" spans="1:1" x14ac:dyDescent="0.3">
      <c r="A19522" s="20"/>
    </row>
    <row r="19523" spans="1:1" x14ac:dyDescent="0.3">
      <c r="A19523" s="20"/>
    </row>
    <row r="19524" spans="1:1" x14ac:dyDescent="0.3">
      <c r="A19524" s="20"/>
    </row>
    <row r="19525" spans="1:1" x14ac:dyDescent="0.3">
      <c r="A19525" s="20"/>
    </row>
    <row r="19526" spans="1:1" x14ac:dyDescent="0.3">
      <c r="A19526" s="20"/>
    </row>
    <row r="19527" spans="1:1" x14ac:dyDescent="0.3">
      <c r="A19527" s="20"/>
    </row>
    <row r="19528" spans="1:1" x14ac:dyDescent="0.3">
      <c r="A19528" s="20"/>
    </row>
    <row r="19529" spans="1:1" x14ac:dyDescent="0.3">
      <c r="A19529" s="20"/>
    </row>
    <row r="19530" spans="1:1" x14ac:dyDescent="0.3">
      <c r="A19530" s="20"/>
    </row>
    <row r="19531" spans="1:1" x14ac:dyDescent="0.3">
      <c r="A19531" s="20"/>
    </row>
    <row r="19532" spans="1:1" x14ac:dyDescent="0.3">
      <c r="A19532" s="20"/>
    </row>
    <row r="19533" spans="1:1" x14ac:dyDescent="0.3">
      <c r="A19533" s="20"/>
    </row>
    <row r="19534" spans="1:1" x14ac:dyDescent="0.3">
      <c r="A19534" s="20"/>
    </row>
    <row r="19535" spans="1:1" x14ac:dyDescent="0.3">
      <c r="A19535" s="20"/>
    </row>
    <row r="19536" spans="1:1" x14ac:dyDescent="0.3">
      <c r="A19536" s="20"/>
    </row>
    <row r="19537" spans="1:1" x14ac:dyDescent="0.3">
      <c r="A19537" s="20"/>
    </row>
    <row r="19538" spans="1:1" x14ac:dyDescent="0.3">
      <c r="A19538" s="20"/>
    </row>
    <row r="19539" spans="1:1" x14ac:dyDescent="0.3">
      <c r="A19539" s="20"/>
    </row>
    <row r="19540" spans="1:1" x14ac:dyDescent="0.3">
      <c r="A19540" s="20"/>
    </row>
    <row r="19541" spans="1:1" x14ac:dyDescent="0.3">
      <c r="A19541" s="20"/>
    </row>
    <row r="19542" spans="1:1" x14ac:dyDescent="0.3">
      <c r="A19542" s="20"/>
    </row>
    <row r="19543" spans="1:1" x14ac:dyDescent="0.3">
      <c r="A19543" s="20"/>
    </row>
    <row r="19544" spans="1:1" x14ac:dyDescent="0.3">
      <c r="A19544" s="20"/>
    </row>
    <row r="19545" spans="1:1" x14ac:dyDescent="0.3">
      <c r="A19545" s="20"/>
    </row>
    <row r="19546" spans="1:1" x14ac:dyDescent="0.3">
      <c r="A19546" s="20"/>
    </row>
    <row r="19547" spans="1:1" x14ac:dyDescent="0.3">
      <c r="A19547" s="20"/>
    </row>
    <row r="19548" spans="1:1" x14ac:dyDescent="0.3">
      <c r="A19548" s="20"/>
    </row>
    <row r="19549" spans="1:1" x14ac:dyDescent="0.3">
      <c r="A19549" s="20"/>
    </row>
    <row r="19550" spans="1:1" x14ac:dyDescent="0.3">
      <c r="A19550" s="20"/>
    </row>
    <row r="19551" spans="1:1" x14ac:dyDescent="0.3">
      <c r="A19551" s="20"/>
    </row>
    <row r="19552" spans="1:1" x14ac:dyDescent="0.3">
      <c r="A19552" s="20"/>
    </row>
    <row r="19553" spans="1:1" x14ac:dyDescent="0.3">
      <c r="A19553" s="20"/>
    </row>
    <row r="19554" spans="1:1" x14ac:dyDescent="0.3">
      <c r="A19554" s="20"/>
    </row>
    <row r="19555" spans="1:1" x14ac:dyDescent="0.3">
      <c r="A19555" s="20"/>
    </row>
    <row r="19556" spans="1:1" x14ac:dyDescent="0.3">
      <c r="A19556" s="20"/>
    </row>
    <row r="19557" spans="1:1" x14ac:dyDescent="0.3">
      <c r="A19557" s="20"/>
    </row>
    <row r="19558" spans="1:1" x14ac:dyDescent="0.3">
      <c r="A19558" s="20"/>
    </row>
    <row r="19559" spans="1:1" x14ac:dyDescent="0.3">
      <c r="A19559" s="20"/>
    </row>
    <row r="19560" spans="1:1" x14ac:dyDescent="0.3">
      <c r="A19560" s="20"/>
    </row>
    <row r="19561" spans="1:1" x14ac:dyDescent="0.3">
      <c r="A19561" s="20"/>
    </row>
    <row r="19562" spans="1:1" x14ac:dyDescent="0.3">
      <c r="A19562" s="20"/>
    </row>
    <row r="19563" spans="1:1" x14ac:dyDescent="0.3">
      <c r="A19563" s="20"/>
    </row>
    <row r="19564" spans="1:1" x14ac:dyDescent="0.3">
      <c r="A19564" s="20"/>
    </row>
    <row r="19565" spans="1:1" x14ac:dyDescent="0.3">
      <c r="A19565" s="20"/>
    </row>
    <row r="19566" spans="1:1" x14ac:dyDescent="0.3">
      <c r="A19566" s="20"/>
    </row>
    <row r="19567" spans="1:1" x14ac:dyDescent="0.3">
      <c r="A19567" s="20"/>
    </row>
    <row r="19568" spans="1:1" x14ac:dyDescent="0.3">
      <c r="A19568" s="20"/>
    </row>
    <row r="19569" spans="1:1" x14ac:dyDescent="0.3">
      <c r="A19569" s="20"/>
    </row>
    <row r="19570" spans="1:1" x14ac:dyDescent="0.3">
      <c r="A19570" s="20"/>
    </row>
    <row r="19571" spans="1:1" x14ac:dyDescent="0.3">
      <c r="A19571" s="20"/>
    </row>
    <row r="19572" spans="1:1" x14ac:dyDescent="0.3">
      <c r="A19572" s="20"/>
    </row>
    <row r="19573" spans="1:1" x14ac:dyDescent="0.3">
      <c r="A19573" s="20"/>
    </row>
    <row r="19574" spans="1:1" x14ac:dyDescent="0.3">
      <c r="A19574" s="20"/>
    </row>
    <row r="19575" spans="1:1" x14ac:dyDescent="0.3">
      <c r="A19575" s="20"/>
    </row>
    <row r="19576" spans="1:1" x14ac:dyDescent="0.3">
      <c r="A19576" s="20"/>
    </row>
    <row r="19577" spans="1:1" x14ac:dyDescent="0.3">
      <c r="A19577" s="20"/>
    </row>
    <row r="19578" spans="1:1" x14ac:dyDescent="0.3">
      <c r="A19578" s="20"/>
    </row>
    <row r="19579" spans="1:1" x14ac:dyDescent="0.3">
      <c r="A19579" s="20"/>
    </row>
    <row r="19580" spans="1:1" x14ac:dyDescent="0.3">
      <c r="A19580" s="20"/>
    </row>
    <row r="19581" spans="1:1" x14ac:dyDescent="0.3">
      <c r="A19581" s="20"/>
    </row>
    <row r="19582" spans="1:1" x14ac:dyDescent="0.3">
      <c r="A19582" s="20"/>
    </row>
    <row r="19583" spans="1:1" x14ac:dyDescent="0.3">
      <c r="A19583" s="20"/>
    </row>
    <row r="19584" spans="1:1" x14ac:dyDescent="0.3">
      <c r="A19584" s="20"/>
    </row>
    <row r="19585" spans="1:1" x14ac:dyDescent="0.3">
      <c r="A19585" s="20"/>
    </row>
    <row r="19586" spans="1:1" x14ac:dyDescent="0.3">
      <c r="A19586" s="20"/>
    </row>
    <row r="19587" spans="1:1" x14ac:dyDescent="0.3">
      <c r="A19587" s="20"/>
    </row>
    <row r="19588" spans="1:1" x14ac:dyDescent="0.3">
      <c r="A19588" s="20"/>
    </row>
    <row r="19589" spans="1:1" x14ac:dyDescent="0.3">
      <c r="A19589" s="20"/>
    </row>
    <row r="19590" spans="1:1" x14ac:dyDescent="0.3">
      <c r="A19590" s="20"/>
    </row>
    <row r="19591" spans="1:1" x14ac:dyDescent="0.3">
      <c r="A19591" s="20"/>
    </row>
    <row r="19592" spans="1:1" x14ac:dyDescent="0.3">
      <c r="A19592" s="20"/>
    </row>
    <row r="19593" spans="1:1" x14ac:dyDescent="0.3">
      <c r="A19593" s="20"/>
    </row>
    <row r="19594" spans="1:1" x14ac:dyDescent="0.3">
      <c r="A19594" s="20"/>
    </row>
    <row r="19595" spans="1:1" x14ac:dyDescent="0.3">
      <c r="A19595" s="20"/>
    </row>
    <row r="19596" spans="1:1" x14ac:dyDescent="0.3">
      <c r="A19596" s="20"/>
    </row>
    <row r="19597" spans="1:1" x14ac:dyDescent="0.3">
      <c r="A19597" s="20"/>
    </row>
    <row r="19598" spans="1:1" x14ac:dyDescent="0.3">
      <c r="A19598" s="20"/>
    </row>
    <row r="19599" spans="1:1" x14ac:dyDescent="0.3">
      <c r="A19599" s="20"/>
    </row>
    <row r="19600" spans="1:1" x14ac:dyDescent="0.3">
      <c r="A19600" s="20"/>
    </row>
    <row r="19601" spans="1:1" x14ac:dyDescent="0.3">
      <c r="A19601" s="20"/>
    </row>
    <row r="19602" spans="1:1" x14ac:dyDescent="0.3">
      <c r="A19602" s="20"/>
    </row>
    <row r="19603" spans="1:1" x14ac:dyDescent="0.3">
      <c r="A19603" s="20"/>
    </row>
    <row r="19604" spans="1:1" x14ac:dyDescent="0.3">
      <c r="A19604" s="20"/>
    </row>
    <row r="19605" spans="1:1" x14ac:dyDescent="0.3">
      <c r="A19605" s="20"/>
    </row>
    <row r="19606" spans="1:1" x14ac:dyDescent="0.3">
      <c r="A19606" s="20"/>
    </row>
    <row r="19607" spans="1:1" x14ac:dyDescent="0.3">
      <c r="A19607" s="20"/>
    </row>
    <row r="19608" spans="1:1" x14ac:dyDescent="0.3">
      <c r="A19608" s="20"/>
    </row>
    <row r="19609" spans="1:1" x14ac:dyDescent="0.3">
      <c r="A19609" s="20"/>
    </row>
    <row r="19610" spans="1:1" x14ac:dyDescent="0.3">
      <c r="A19610" s="20"/>
    </row>
    <row r="19611" spans="1:1" x14ac:dyDescent="0.3">
      <c r="A19611" s="20"/>
    </row>
    <row r="19612" spans="1:1" x14ac:dyDescent="0.3">
      <c r="A19612" s="20"/>
    </row>
    <row r="19613" spans="1:1" x14ac:dyDescent="0.3">
      <c r="A19613" s="20"/>
    </row>
    <row r="19614" spans="1:1" x14ac:dyDescent="0.3">
      <c r="A19614" s="20"/>
    </row>
    <row r="19615" spans="1:1" x14ac:dyDescent="0.3">
      <c r="A19615" s="20"/>
    </row>
    <row r="19616" spans="1:1" x14ac:dyDescent="0.3">
      <c r="A19616" s="20"/>
    </row>
    <row r="19617" spans="1:1" x14ac:dyDescent="0.3">
      <c r="A19617" s="20"/>
    </row>
    <row r="19618" spans="1:1" x14ac:dyDescent="0.3">
      <c r="A19618" s="20"/>
    </row>
    <row r="19619" spans="1:1" x14ac:dyDescent="0.3">
      <c r="A19619" s="20"/>
    </row>
    <row r="19620" spans="1:1" x14ac:dyDescent="0.3">
      <c r="A19620" s="20"/>
    </row>
    <row r="19621" spans="1:1" x14ac:dyDescent="0.3">
      <c r="A19621" s="20"/>
    </row>
    <row r="19622" spans="1:1" x14ac:dyDescent="0.3">
      <c r="A19622" s="20"/>
    </row>
    <row r="19623" spans="1:1" x14ac:dyDescent="0.3">
      <c r="A19623" s="20"/>
    </row>
    <row r="19624" spans="1:1" x14ac:dyDescent="0.3">
      <c r="A19624" s="20"/>
    </row>
    <row r="19625" spans="1:1" x14ac:dyDescent="0.3">
      <c r="A19625" s="20"/>
    </row>
    <row r="19626" spans="1:1" x14ac:dyDescent="0.3">
      <c r="A19626" s="20"/>
    </row>
    <row r="19627" spans="1:1" x14ac:dyDescent="0.3">
      <c r="A19627" s="20"/>
    </row>
    <row r="19628" spans="1:1" x14ac:dyDescent="0.3">
      <c r="A19628" s="20"/>
    </row>
    <row r="19629" spans="1:1" x14ac:dyDescent="0.3">
      <c r="A19629" s="20"/>
    </row>
    <row r="19630" spans="1:1" x14ac:dyDescent="0.3">
      <c r="A19630" s="20"/>
    </row>
    <row r="19631" spans="1:1" x14ac:dyDescent="0.3">
      <c r="A19631" s="20"/>
    </row>
    <row r="19632" spans="1:1" x14ac:dyDescent="0.3">
      <c r="A19632" s="20"/>
    </row>
    <row r="19633" spans="1:1" x14ac:dyDescent="0.3">
      <c r="A19633" s="20"/>
    </row>
    <row r="19634" spans="1:1" x14ac:dyDescent="0.3">
      <c r="A19634" s="20"/>
    </row>
    <row r="19635" spans="1:1" x14ac:dyDescent="0.3">
      <c r="A19635" s="20"/>
    </row>
    <row r="19636" spans="1:1" x14ac:dyDescent="0.3">
      <c r="A19636" s="20"/>
    </row>
    <row r="19637" spans="1:1" x14ac:dyDescent="0.3">
      <c r="A19637" s="20"/>
    </row>
    <row r="19638" spans="1:1" x14ac:dyDescent="0.3">
      <c r="A19638" s="20"/>
    </row>
    <row r="19639" spans="1:1" x14ac:dyDescent="0.3">
      <c r="A19639" s="20"/>
    </row>
    <row r="19640" spans="1:1" x14ac:dyDescent="0.3">
      <c r="A19640" s="20"/>
    </row>
    <row r="19641" spans="1:1" x14ac:dyDescent="0.3">
      <c r="A19641" s="20"/>
    </row>
    <row r="19642" spans="1:1" x14ac:dyDescent="0.3">
      <c r="A19642" s="20"/>
    </row>
    <row r="19643" spans="1:1" x14ac:dyDescent="0.3">
      <c r="A19643" s="20"/>
    </row>
    <row r="19644" spans="1:1" x14ac:dyDescent="0.3">
      <c r="A19644" s="20"/>
    </row>
    <row r="19645" spans="1:1" x14ac:dyDescent="0.3">
      <c r="A19645" s="20"/>
    </row>
    <row r="19646" spans="1:1" x14ac:dyDescent="0.3">
      <c r="A19646" s="20"/>
    </row>
    <row r="19647" spans="1:1" x14ac:dyDescent="0.3">
      <c r="A19647" s="20"/>
    </row>
    <row r="19648" spans="1:1" x14ac:dyDescent="0.3">
      <c r="A19648" s="20"/>
    </row>
    <row r="19649" spans="1:1" x14ac:dyDescent="0.3">
      <c r="A19649" s="20"/>
    </row>
    <row r="19650" spans="1:1" x14ac:dyDescent="0.3">
      <c r="A19650" s="20"/>
    </row>
    <row r="19651" spans="1:1" x14ac:dyDescent="0.3">
      <c r="A19651" s="20"/>
    </row>
    <row r="19652" spans="1:1" x14ac:dyDescent="0.3">
      <c r="A19652" s="20"/>
    </row>
    <row r="19653" spans="1:1" x14ac:dyDescent="0.3">
      <c r="A19653" s="20"/>
    </row>
    <row r="19654" spans="1:1" x14ac:dyDescent="0.3">
      <c r="A19654" s="20"/>
    </row>
    <row r="19655" spans="1:1" x14ac:dyDescent="0.3">
      <c r="A19655" s="20"/>
    </row>
    <row r="19656" spans="1:1" x14ac:dyDescent="0.3">
      <c r="A19656" s="20"/>
    </row>
    <row r="19657" spans="1:1" x14ac:dyDescent="0.3">
      <c r="A19657" s="20"/>
    </row>
    <row r="19658" spans="1:1" x14ac:dyDescent="0.3">
      <c r="A19658" s="20"/>
    </row>
    <row r="19659" spans="1:1" x14ac:dyDescent="0.3">
      <c r="A19659" s="20"/>
    </row>
    <row r="19660" spans="1:1" x14ac:dyDescent="0.3">
      <c r="A19660" s="20"/>
    </row>
    <row r="19661" spans="1:1" x14ac:dyDescent="0.3">
      <c r="A19661" s="20"/>
    </row>
    <row r="19662" spans="1:1" x14ac:dyDescent="0.3">
      <c r="A19662" s="20"/>
    </row>
    <row r="19663" spans="1:1" x14ac:dyDescent="0.3">
      <c r="A19663" s="20"/>
    </row>
    <row r="19664" spans="1:1" x14ac:dyDescent="0.3">
      <c r="A19664" s="20"/>
    </row>
    <row r="19665" spans="1:1" x14ac:dyDescent="0.3">
      <c r="A19665" s="20"/>
    </row>
    <row r="19666" spans="1:1" x14ac:dyDescent="0.3">
      <c r="A19666" s="20"/>
    </row>
    <row r="19667" spans="1:1" x14ac:dyDescent="0.3">
      <c r="A19667" s="20"/>
    </row>
    <row r="19668" spans="1:1" x14ac:dyDescent="0.3">
      <c r="A19668" s="20"/>
    </row>
    <row r="19669" spans="1:1" x14ac:dyDescent="0.3">
      <c r="A19669" s="20"/>
    </row>
    <row r="19670" spans="1:1" x14ac:dyDescent="0.3">
      <c r="A19670" s="20"/>
    </row>
    <row r="19671" spans="1:1" x14ac:dyDescent="0.3">
      <c r="A19671" s="20"/>
    </row>
    <row r="19672" spans="1:1" x14ac:dyDescent="0.3">
      <c r="A19672" s="20"/>
    </row>
    <row r="19673" spans="1:1" x14ac:dyDescent="0.3">
      <c r="A19673" s="20"/>
    </row>
    <row r="19674" spans="1:1" x14ac:dyDescent="0.3">
      <c r="A19674" s="20"/>
    </row>
    <row r="19675" spans="1:1" x14ac:dyDescent="0.3">
      <c r="A19675" s="20"/>
    </row>
    <row r="19676" spans="1:1" x14ac:dyDescent="0.3">
      <c r="A19676" s="20"/>
    </row>
    <row r="19677" spans="1:1" x14ac:dyDescent="0.3">
      <c r="A19677" s="20"/>
    </row>
    <row r="19678" spans="1:1" x14ac:dyDescent="0.3">
      <c r="A19678" s="20"/>
    </row>
    <row r="19679" spans="1:1" x14ac:dyDescent="0.3">
      <c r="A19679" s="20"/>
    </row>
    <row r="19680" spans="1:1" x14ac:dyDescent="0.3">
      <c r="A19680" s="20"/>
    </row>
    <row r="19681" spans="1:1" x14ac:dyDescent="0.3">
      <c r="A19681" s="20"/>
    </row>
    <row r="19682" spans="1:1" x14ac:dyDescent="0.3">
      <c r="A19682" s="20"/>
    </row>
    <row r="19683" spans="1:1" x14ac:dyDescent="0.3">
      <c r="A19683" s="20"/>
    </row>
    <row r="19684" spans="1:1" x14ac:dyDescent="0.3">
      <c r="A19684" s="20"/>
    </row>
    <row r="19685" spans="1:1" x14ac:dyDescent="0.3">
      <c r="A19685" s="20"/>
    </row>
    <row r="19686" spans="1:1" x14ac:dyDescent="0.3">
      <c r="A19686" s="20"/>
    </row>
    <row r="19687" spans="1:1" x14ac:dyDescent="0.3">
      <c r="A19687" s="20"/>
    </row>
    <row r="19688" spans="1:1" x14ac:dyDescent="0.3">
      <c r="A19688" s="20"/>
    </row>
    <row r="19689" spans="1:1" x14ac:dyDescent="0.3">
      <c r="A19689" s="20"/>
    </row>
    <row r="19690" spans="1:1" x14ac:dyDescent="0.3">
      <c r="A19690" s="20"/>
    </row>
    <row r="19691" spans="1:1" x14ac:dyDescent="0.3">
      <c r="A19691" s="20"/>
    </row>
    <row r="19692" spans="1:1" x14ac:dyDescent="0.3">
      <c r="A19692" s="20"/>
    </row>
    <row r="19693" spans="1:1" x14ac:dyDescent="0.3">
      <c r="A19693" s="20"/>
    </row>
    <row r="19694" spans="1:1" x14ac:dyDescent="0.3">
      <c r="A19694" s="20"/>
    </row>
    <row r="19695" spans="1:1" x14ac:dyDescent="0.3">
      <c r="A19695" s="20"/>
    </row>
    <row r="19696" spans="1:1" x14ac:dyDescent="0.3">
      <c r="A19696" s="20"/>
    </row>
    <row r="19697" spans="1:1" x14ac:dyDescent="0.3">
      <c r="A19697" s="20"/>
    </row>
    <row r="19698" spans="1:1" x14ac:dyDescent="0.3">
      <c r="A19698" s="20"/>
    </row>
    <row r="19699" spans="1:1" x14ac:dyDescent="0.3">
      <c r="A19699" s="20"/>
    </row>
    <row r="19700" spans="1:1" x14ac:dyDescent="0.3">
      <c r="A19700" s="20"/>
    </row>
    <row r="19701" spans="1:1" x14ac:dyDescent="0.3">
      <c r="A19701" s="20"/>
    </row>
    <row r="19702" spans="1:1" x14ac:dyDescent="0.3">
      <c r="A19702" s="20"/>
    </row>
    <row r="19703" spans="1:1" x14ac:dyDescent="0.3">
      <c r="A19703" s="20"/>
    </row>
    <row r="19704" spans="1:1" x14ac:dyDescent="0.3">
      <c r="A19704" s="20"/>
    </row>
    <row r="19705" spans="1:1" x14ac:dyDescent="0.3">
      <c r="A19705" s="20"/>
    </row>
    <row r="19706" spans="1:1" x14ac:dyDescent="0.3">
      <c r="A19706" s="20"/>
    </row>
    <row r="19707" spans="1:1" x14ac:dyDescent="0.3">
      <c r="A19707" s="20"/>
    </row>
    <row r="19708" spans="1:1" x14ac:dyDescent="0.3">
      <c r="A19708" s="20"/>
    </row>
    <row r="19709" spans="1:1" x14ac:dyDescent="0.3">
      <c r="A19709" s="20"/>
    </row>
    <row r="19710" spans="1:1" x14ac:dyDescent="0.3">
      <c r="A19710" s="20"/>
    </row>
    <row r="19711" spans="1:1" x14ac:dyDescent="0.3">
      <c r="A19711" s="20"/>
    </row>
    <row r="19712" spans="1:1" x14ac:dyDescent="0.3">
      <c r="A19712" s="20"/>
    </row>
    <row r="19713" spans="1:1" x14ac:dyDescent="0.3">
      <c r="A19713" s="20"/>
    </row>
    <row r="19714" spans="1:1" x14ac:dyDescent="0.3">
      <c r="A19714" s="20"/>
    </row>
    <row r="19715" spans="1:1" x14ac:dyDescent="0.3">
      <c r="A19715" s="20"/>
    </row>
    <row r="19716" spans="1:1" x14ac:dyDescent="0.3">
      <c r="A19716" s="20"/>
    </row>
    <row r="19717" spans="1:1" x14ac:dyDescent="0.3">
      <c r="A19717" s="20"/>
    </row>
    <row r="19718" spans="1:1" x14ac:dyDescent="0.3">
      <c r="A19718" s="20"/>
    </row>
    <row r="19719" spans="1:1" x14ac:dyDescent="0.3">
      <c r="A19719" s="20"/>
    </row>
    <row r="19720" spans="1:1" x14ac:dyDescent="0.3">
      <c r="A19720" s="20"/>
    </row>
    <row r="19721" spans="1:1" x14ac:dyDescent="0.3">
      <c r="A19721" s="20"/>
    </row>
    <row r="19722" spans="1:1" x14ac:dyDescent="0.3">
      <c r="A19722" s="20"/>
    </row>
    <row r="19723" spans="1:1" x14ac:dyDescent="0.3">
      <c r="A19723" s="20"/>
    </row>
    <row r="19724" spans="1:1" x14ac:dyDescent="0.3">
      <c r="A19724" s="20"/>
    </row>
    <row r="19725" spans="1:1" x14ac:dyDescent="0.3">
      <c r="A19725" s="20"/>
    </row>
    <row r="19726" spans="1:1" x14ac:dyDescent="0.3">
      <c r="A19726" s="20"/>
    </row>
    <row r="19727" spans="1:1" x14ac:dyDescent="0.3">
      <c r="A19727" s="20"/>
    </row>
    <row r="19728" spans="1:1" x14ac:dyDescent="0.3">
      <c r="A19728" s="20"/>
    </row>
    <row r="19729" spans="1:1" x14ac:dyDescent="0.3">
      <c r="A19729" s="20"/>
    </row>
    <row r="19730" spans="1:1" x14ac:dyDescent="0.3">
      <c r="A19730" s="20"/>
    </row>
    <row r="19731" spans="1:1" x14ac:dyDescent="0.3">
      <c r="A19731" s="20"/>
    </row>
    <row r="19732" spans="1:1" x14ac:dyDescent="0.3">
      <c r="A19732" s="20"/>
    </row>
    <row r="19733" spans="1:1" x14ac:dyDescent="0.3">
      <c r="A19733" s="20"/>
    </row>
    <row r="19734" spans="1:1" x14ac:dyDescent="0.3">
      <c r="A19734" s="20"/>
    </row>
    <row r="19735" spans="1:1" x14ac:dyDescent="0.3">
      <c r="A19735" s="20"/>
    </row>
    <row r="19736" spans="1:1" x14ac:dyDescent="0.3">
      <c r="A19736" s="20"/>
    </row>
    <row r="19737" spans="1:1" x14ac:dyDescent="0.3">
      <c r="A19737" s="20"/>
    </row>
    <row r="19738" spans="1:1" x14ac:dyDescent="0.3">
      <c r="A19738" s="20"/>
    </row>
    <row r="19739" spans="1:1" x14ac:dyDescent="0.3">
      <c r="A19739" s="20"/>
    </row>
    <row r="19740" spans="1:1" x14ac:dyDescent="0.3">
      <c r="A19740" s="20"/>
    </row>
    <row r="19741" spans="1:1" x14ac:dyDescent="0.3">
      <c r="A19741" s="20"/>
    </row>
    <row r="19742" spans="1:1" x14ac:dyDescent="0.3">
      <c r="A19742" s="20"/>
    </row>
    <row r="19743" spans="1:1" x14ac:dyDescent="0.3">
      <c r="A19743" s="20"/>
    </row>
    <row r="19744" spans="1:1" x14ac:dyDescent="0.3">
      <c r="A19744" s="20"/>
    </row>
    <row r="19745" spans="1:1" x14ac:dyDescent="0.3">
      <c r="A19745" s="20"/>
    </row>
    <row r="19746" spans="1:1" x14ac:dyDescent="0.3">
      <c r="A19746" s="20"/>
    </row>
    <row r="19747" spans="1:1" x14ac:dyDescent="0.3">
      <c r="A19747" s="20"/>
    </row>
    <row r="19748" spans="1:1" x14ac:dyDescent="0.3">
      <c r="A19748" s="20"/>
    </row>
    <row r="19749" spans="1:1" x14ac:dyDescent="0.3">
      <c r="A19749" s="20"/>
    </row>
    <row r="19750" spans="1:1" x14ac:dyDescent="0.3">
      <c r="A19750" s="20"/>
    </row>
    <row r="19751" spans="1:1" x14ac:dyDescent="0.3">
      <c r="A19751" s="20"/>
    </row>
    <row r="19752" spans="1:1" x14ac:dyDescent="0.3">
      <c r="A19752" s="20"/>
    </row>
    <row r="19753" spans="1:1" x14ac:dyDescent="0.3">
      <c r="A19753" s="20"/>
    </row>
    <row r="19754" spans="1:1" x14ac:dyDescent="0.3">
      <c r="A19754" s="20"/>
    </row>
    <row r="19755" spans="1:1" x14ac:dyDescent="0.3">
      <c r="A19755" s="20"/>
    </row>
    <row r="19756" spans="1:1" x14ac:dyDescent="0.3">
      <c r="A19756" s="20"/>
    </row>
    <row r="19757" spans="1:1" x14ac:dyDescent="0.3">
      <c r="A19757" s="20"/>
    </row>
    <row r="19758" spans="1:1" x14ac:dyDescent="0.3">
      <c r="A19758" s="20"/>
    </row>
    <row r="19759" spans="1:1" x14ac:dyDescent="0.3">
      <c r="A19759" s="20"/>
    </row>
    <row r="19760" spans="1:1" x14ac:dyDescent="0.3">
      <c r="A19760" s="20"/>
    </row>
    <row r="19761" spans="1:1" x14ac:dyDescent="0.3">
      <c r="A19761" s="20"/>
    </row>
    <row r="19762" spans="1:1" x14ac:dyDescent="0.3">
      <c r="A19762" s="20"/>
    </row>
    <row r="19763" spans="1:1" x14ac:dyDescent="0.3">
      <c r="A19763" s="20"/>
    </row>
    <row r="19764" spans="1:1" x14ac:dyDescent="0.3">
      <c r="A19764" s="20"/>
    </row>
    <row r="19765" spans="1:1" x14ac:dyDescent="0.3">
      <c r="A19765" s="20"/>
    </row>
    <row r="19766" spans="1:1" x14ac:dyDescent="0.3">
      <c r="A19766" s="20"/>
    </row>
    <row r="19767" spans="1:1" x14ac:dyDescent="0.3">
      <c r="A19767" s="20"/>
    </row>
    <row r="19768" spans="1:1" x14ac:dyDescent="0.3">
      <c r="A19768" s="20"/>
    </row>
    <row r="19769" spans="1:1" x14ac:dyDescent="0.3">
      <c r="A19769" s="20"/>
    </row>
    <row r="19770" spans="1:1" x14ac:dyDescent="0.3">
      <c r="A19770" s="20"/>
    </row>
    <row r="19771" spans="1:1" x14ac:dyDescent="0.3">
      <c r="A19771" s="20"/>
    </row>
    <row r="19772" spans="1:1" x14ac:dyDescent="0.3">
      <c r="A19772" s="20"/>
    </row>
    <row r="19773" spans="1:1" x14ac:dyDescent="0.3">
      <c r="A19773" s="20"/>
    </row>
    <row r="19774" spans="1:1" x14ac:dyDescent="0.3">
      <c r="A19774" s="20"/>
    </row>
    <row r="19775" spans="1:1" x14ac:dyDescent="0.3">
      <c r="A19775" s="20"/>
    </row>
    <row r="19776" spans="1:1" x14ac:dyDescent="0.3">
      <c r="A19776" s="20"/>
    </row>
    <row r="19777" spans="1:1" x14ac:dyDescent="0.3">
      <c r="A19777" s="20"/>
    </row>
    <row r="19778" spans="1:1" x14ac:dyDescent="0.3">
      <c r="A19778" s="20"/>
    </row>
    <row r="19779" spans="1:1" x14ac:dyDescent="0.3">
      <c r="A19779" s="20"/>
    </row>
    <row r="19780" spans="1:1" x14ac:dyDescent="0.3">
      <c r="A19780" s="20"/>
    </row>
    <row r="19781" spans="1:1" x14ac:dyDescent="0.3">
      <c r="A19781" s="20"/>
    </row>
    <row r="19782" spans="1:1" x14ac:dyDescent="0.3">
      <c r="A19782" s="20"/>
    </row>
    <row r="19783" spans="1:1" x14ac:dyDescent="0.3">
      <c r="A19783" s="20"/>
    </row>
    <row r="19784" spans="1:1" x14ac:dyDescent="0.3">
      <c r="A19784" s="20"/>
    </row>
    <row r="19785" spans="1:1" x14ac:dyDescent="0.3">
      <c r="A19785" s="20"/>
    </row>
    <row r="19786" spans="1:1" x14ac:dyDescent="0.3">
      <c r="A19786" s="20"/>
    </row>
    <row r="19787" spans="1:1" x14ac:dyDescent="0.3">
      <c r="A19787" s="20"/>
    </row>
    <row r="19788" spans="1:1" x14ac:dyDescent="0.3">
      <c r="A19788" s="20"/>
    </row>
    <row r="19789" spans="1:1" x14ac:dyDescent="0.3">
      <c r="A19789" s="20"/>
    </row>
    <row r="19790" spans="1:1" x14ac:dyDescent="0.3">
      <c r="A19790" s="20"/>
    </row>
    <row r="19791" spans="1:1" x14ac:dyDescent="0.3">
      <c r="A19791" s="20"/>
    </row>
    <row r="19792" spans="1:1" x14ac:dyDescent="0.3">
      <c r="A19792" s="20"/>
    </row>
    <row r="19793" spans="1:1" x14ac:dyDescent="0.3">
      <c r="A19793" s="20"/>
    </row>
    <row r="19794" spans="1:1" x14ac:dyDescent="0.3">
      <c r="A19794" s="20"/>
    </row>
    <row r="19795" spans="1:1" x14ac:dyDescent="0.3">
      <c r="A19795" s="20"/>
    </row>
    <row r="19796" spans="1:1" x14ac:dyDescent="0.3">
      <c r="A19796" s="20"/>
    </row>
    <row r="19797" spans="1:1" x14ac:dyDescent="0.3">
      <c r="A19797" s="20"/>
    </row>
    <row r="19798" spans="1:1" x14ac:dyDescent="0.3">
      <c r="A19798" s="20"/>
    </row>
    <row r="19799" spans="1:1" x14ac:dyDescent="0.3">
      <c r="A19799" s="20"/>
    </row>
    <row r="19800" spans="1:1" x14ac:dyDescent="0.3">
      <c r="A19800" s="20"/>
    </row>
    <row r="19801" spans="1:1" x14ac:dyDescent="0.3">
      <c r="A19801" s="20"/>
    </row>
    <row r="19802" spans="1:1" x14ac:dyDescent="0.3">
      <c r="A19802" s="20"/>
    </row>
    <row r="19803" spans="1:1" x14ac:dyDescent="0.3">
      <c r="A19803" s="20"/>
    </row>
    <row r="19804" spans="1:1" x14ac:dyDescent="0.3">
      <c r="A19804" s="20"/>
    </row>
    <row r="19805" spans="1:1" x14ac:dyDescent="0.3">
      <c r="A19805" s="20"/>
    </row>
    <row r="19806" spans="1:1" x14ac:dyDescent="0.3">
      <c r="A19806" s="20"/>
    </row>
    <row r="19807" spans="1:1" x14ac:dyDescent="0.3">
      <c r="A19807" s="20"/>
    </row>
    <row r="19808" spans="1:1" x14ac:dyDescent="0.3">
      <c r="A19808" s="20"/>
    </row>
    <row r="19809" spans="1:1" x14ac:dyDescent="0.3">
      <c r="A19809" s="20"/>
    </row>
    <row r="19810" spans="1:1" x14ac:dyDescent="0.3">
      <c r="A19810" s="20"/>
    </row>
    <row r="19811" spans="1:1" x14ac:dyDescent="0.3">
      <c r="A19811" s="20"/>
    </row>
    <row r="19812" spans="1:1" x14ac:dyDescent="0.3">
      <c r="A19812" s="20"/>
    </row>
    <row r="19813" spans="1:1" x14ac:dyDescent="0.3">
      <c r="A19813" s="20"/>
    </row>
    <row r="19814" spans="1:1" x14ac:dyDescent="0.3">
      <c r="A19814" s="20"/>
    </row>
    <row r="19815" spans="1:1" x14ac:dyDescent="0.3">
      <c r="A19815" s="20"/>
    </row>
    <row r="19816" spans="1:1" x14ac:dyDescent="0.3">
      <c r="A19816" s="20"/>
    </row>
    <row r="19817" spans="1:1" x14ac:dyDescent="0.3">
      <c r="A19817" s="20"/>
    </row>
    <row r="19818" spans="1:1" x14ac:dyDescent="0.3">
      <c r="A19818" s="20"/>
    </row>
    <row r="19819" spans="1:1" x14ac:dyDescent="0.3">
      <c r="A19819" s="20"/>
    </row>
    <row r="19820" spans="1:1" x14ac:dyDescent="0.3">
      <c r="A19820" s="20"/>
    </row>
    <row r="19821" spans="1:1" x14ac:dyDescent="0.3">
      <c r="A19821" s="20"/>
    </row>
    <row r="19822" spans="1:1" x14ac:dyDescent="0.3">
      <c r="A19822" s="20"/>
    </row>
    <row r="19823" spans="1:1" x14ac:dyDescent="0.3">
      <c r="A19823" s="20"/>
    </row>
    <row r="19824" spans="1:1" x14ac:dyDescent="0.3">
      <c r="A19824" s="20"/>
    </row>
    <row r="19825" spans="1:1" x14ac:dyDescent="0.3">
      <c r="A19825" s="20"/>
    </row>
    <row r="19826" spans="1:1" x14ac:dyDescent="0.3">
      <c r="A19826" s="20"/>
    </row>
    <row r="19827" spans="1:1" x14ac:dyDescent="0.3">
      <c r="A19827" s="20"/>
    </row>
    <row r="19828" spans="1:1" x14ac:dyDescent="0.3">
      <c r="A19828" s="20"/>
    </row>
    <row r="19829" spans="1:1" x14ac:dyDescent="0.3">
      <c r="A19829" s="20"/>
    </row>
    <row r="19830" spans="1:1" x14ac:dyDescent="0.3">
      <c r="A19830" s="20"/>
    </row>
    <row r="19831" spans="1:1" x14ac:dyDescent="0.3">
      <c r="A19831" s="20"/>
    </row>
    <row r="19832" spans="1:1" x14ac:dyDescent="0.3">
      <c r="A19832" s="20"/>
    </row>
    <row r="19833" spans="1:1" x14ac:dyDescent="0.3">
      <c r="A19833" s="20"/>
    </row>
    <row r="19834" spans="1:1" x14ac:dyDescent="0.3">
      <c r="A19834" s="20"/>
    </row>
    <row r="19835" spans="1:1" x14ac:dyDescent="0.3">
      <c r="A19835" s="20"/>
    </row>
    <row r="19836" spans="1:1" x14ac:dyDescent="0.3">
      <c r="A19836" s="20"/>
    </row>
    <row r="19837" spans="1:1" x14ac:dyDescent="0.3">
      <c r="A19837" s="20"/>
    </row>
    <row r="19838" spans="1:1" x14ac:dyDescent="0.3">
      <c r="A19838" s="20"/>
    </row>
    <row r="19839" spans="1:1" x14ac:dyDescent="0.3">
      <c r="A19839" s="20"/>
    </row>
    <row r="19840" spans="1:1" x14ac:dyDescent="0.3">
      <c r="A19840" s="20"/>
    </row>
    <row r="19841" spans="1:1" x14ac:dyDescent="0.3">
      <c r="A19841" s="20"/>
    </row>
    <row r="19842" spans="1:1" x14ac:dyDescent="0.3">
      <c r="A19842" s="20"/>
    </row>
    <row r="19843" spans="1:1" x14ac:dyDescent="0.3">
      <c r="A19843" s="20"/>
    </row>
    <row r="19844" spans="1:1" x14ac:dyDescent="0.3">
      <c r="A19844" s="20"/>
    </row>
    <row r="19845" spans="1:1" x14ac:dyDescent="0.3">
      <c r="A19845" s="20"/>
    </row>
    <row r="19846" spans="1:1" x14ac:dyDescent="0.3">
      <c r="A19846" s="20"/>
    </row>
    <row r="19847" spans="1:1" x14ac:dyDescent="0.3">
      <c r="A19847" s="20"/>
    </row>
    <row r="19848" spans="1:1" x14ac:dyDescent="0.3">
      <c r="A19848" s="20"/>
    </row>
    <row r="19849" spans="1:1" x14ac:dyDescent="0.3">
      <c r="A19849" s="20"/>
    </row>
    <row r="19850" spans="1:1" x14ac:dyDescent="0.3">
      <c r="A19850" s="20"/>
    </row>
    <row r="19851" spans="1:1" x14ac:dyDescent="0.3">
      <c r="A19851" s="20"/>
    </row>
    <row r="19852" spans="1:1" x14ac:dyDescent="0.3">
      <c r="A19852" s="20"/>
    </row>
    <row r="19853" spans="1:1" x14ac:dyDescent="0.3">
      <c r="A19853" s="20"/>
    </row>
    <row r="19854" spans="1:1" x14ac:dyDescent="0.3">
      <c r="A19854" s="20"/>
    </row>
    <row r="19855" spans="1:1" x14ac:dyDescent="0.3">
      <c r="A19855" s="20"/>
    </row>
    <row r="19856" spans="1:1" x14ac:dyDescent="0.3">
      <c r="A19856" s="20"/>
    </row>
    <row r="19857" spans="1:1" x14ac:dyDescent="0.3">
      <c r="A19857" s="20"/>
    </row>
    <row r="19858" spans="1:1" x14ac:dyDescent="0.3">
      <c r="A19858" s="20"/>
    </row>
    <row r="19859" spans="1:1" x14ac:dyDescent="0.3">
      <c r="A19859" s="20"/>
    </row>
    <row r="19860" spans="1:1" x14ac:dyDescent="0.3">
      <c r="A19860" s="20"/>
    </row>
    <row r="19861" spans="1:1" x14ac:dyDescent="0.3">
      <c r="A19861" s="20"/>
    </row>
    <row r="19862" spans="1:1" x14ac:dyDescent="0.3">
      <c r="A19862" s="20"/>
    </row>
    <row r="19863" spans="1:1" x14ac:dyDescent="0.3">
      <c r="A19863" s="20"/>
    </row>
    <row r="19864" spans="1:1" x14ac:dyDescent="0.3">
      <c r="A19864" s="20"/>
    </row>
    <row r="19865" spans="1:1" x14ac:dyDescent="0.3">
      <c r="A19865" s="20"/>
    </row>
    <row r="19866" spans="1:1" x14ac:dyDescent="0.3">
      <c r="A19866" s="20"/>
    </row>
    <row r="19867" spans="1:1" x14ac:dyDescent="0.3">
      <c r="A19867" s="20"/>
    </row>
    <row r="19868" spans="1:1" x14ac:dyDescent="0.3">
      <c r="A19868" s="20"/>
    </row>
    <row r="19869" spans="1:1" x14ac:dyDescent="0.3">
      <c r="A19869" s="20"/>
    </row>
    <row r="19870" spans="1:1" x14ac:dyDescent="0.3">
      <c r="A19870" s="20"/>
    </row>
    <row r="19871" spans="1:1" x14ac:dyDescent="0.3">
      <c r="A19871" s="20"/>
    </row>
    <row r="19872" spans="1:1" x14ac:dyDescent="0.3">
      <c r="A19872" s="20"/>
    </row>
    <row r="19873" spans="1:1" x14ac:dyDescent="0.3">
      <c r="A19873" s="20"/>
    </row>
    <row r="19874" spans="1:1" x14ac:dyDescent="0.3">
      <c r="A19874" s="20"/>
    </row>
    <row r="19875" spans="1:1" x14ac:dyDescent="0.3">
      <c r="A19875" s="20"/>
    </row>
    <row r="19876" spans="1:1" x14ac:dyDescent="0.3">
      <c r="A19876" s="20"/>
    </row>
    <row r="19877" spans="1:1" x14ac:dyDescent="0.3">
      <c r="A19877" s="20"/>
    </row>
    <row r="19878" spans="1:1" x14ac:dyDescent="0.3">
      <c r="A19878" s="20"/>
    </row>
    <row r="19879" spans="1:1" x14ac:dyDescent="0.3">
      <c r="A19879" s="20"/>
    </row>
    <row r="19880" spans="1:1" x14ac:dyDescent="0.3">
      <c r="A19880" s="20"/>
    </row>
    <row r="19881" spans="1:1" x14ac:dyDescent="0.3">
      <c r="A19881" s="20"/>
    </row>
    <row r="19882" spans="1:1" x14ac:dyDescent="0.3">
      <c r="A19882" s="20"/>
    </row>
    <row r="19883" spans="1:1" x14ac:dyDescent="0.3">
      <c r="A19883" s="20"/>
    </row>
    <row r="19884" spans="1:1" x14ac:dyDescent="0.3">
      <c r="A19884" s="20"/>
    </row>
    <row r="19885" spans="1:1" x14ac:dyDescent="0.3">
      <c r="A19885" s="20"/>
    </row>
    <row r="19886" spans="1:1" x14ac:dyDescent="0.3">
      <c r="A19886" s="20"/>
    </row>
    <row r="19887" spans="1:1" x14ac:dyDescent="0.3">
      <c r="A19887" s="20"/>
    </row>
    <row r="19888" spans="1:1" x14ac:dyDescent="0.3">
      <c r="A19888" s="20"/>
    </row>
    <row r="19889" spans="1:1" x14ac:dyDescent="0.3">
      <c r="A19889" s="20"/>
    </row>
    <row r="19890" spans="1:1" x14ac:dyDescent="0.3">
      <c r="A19890" s="20"/>
    </row>
    <row r="19891" spans="1:1" x14ac:dyDescent="0.3">
      <c r="A19891" s="20"/>
    </row>
    <row r="19892" spans="1:1" x14ac:dyDescent="0.3">
      <c r="A19892" s="20"/>
    </row>
    <row r="19893" spans="1:1" x14ac:dyDescent="0.3">
      <c r="A19893" s="20"/>
    </row>
    <row r="19894" spans="1:1" x14ac:dyDescent="0.3">
      <c r="A19894" s="20"/>
    </row>
    <row r="19895" spans="1:1" x14ac:dyDescent="0.3">
      <c r="A19895" s="20"/>
    </row>
    <row r="19896" spans="1:1" x14ac:dyDescent="0.3">
      <c r="A19896" s="20"/>
    </row>
    <row r="19897" spans="1:1" x14ac:dyDescent="0.3">
      <c r="A19897" s="20"/>
    </row>
    <row r="19898" spans="1:1" x14ac:dyDescent="0.3">
      <c r="A19898" s="20"/>
    </row>
    <row r="19899" spans="1:1" x14ac:dyDescent="0.3">
      <c r="A19899" s="20"/>
    </row>
    <row r="19900" spans="1:1" x14ac:dyDescent="0.3">
      <c r="A19900" s="20"/>
    </row>
    <row r="19901" spans="1:1" x14ac:dyDescent="0.3">
      <c r="A19901" s="20"/>
    </row>
    <row r="19902" spans="1:1" x14ac:dyDescent="0.3">
      <c r="A19902" s="20"/>
    </row>
    <row r="19903" spans="1:1" x14ac:dyDescent="0.3">
      <c r="A19903" s="20"/>
    </row>
    <row r="19904" spans="1:1" x14ac:dyDescent="0.3">
      <c r="A19904" s="20"/>
    </row>
    <row r="19905" spans="1:1" x14ac:dyDescent="0.3">
      <c r="A19905" s="20"/>
    </row>
    <row r="19906" spans="1:1" x14ac:dyDescent="0.3">
      <c r="A19906" s="20"/>
    </row>
    <row r="19907" spans="1:1" x14ac:dyDescent="0.3">
      <c r="A19907" s="20"/>
    </row>
    <row r="19908" spans="1:1" x14ac:dyDescent="0.3">
      <c r="A19908" s="20"/>
    </row>
    <row r="19909" spans="1:1" x14ac:dyDescent="0.3">
      <c r="A19909" s="20"/>
    </row>
    <row r="19910" spans="1:1" x14ac:dyDescent="0.3">
      <c r="A19910" s="20"/>
    </row>
    <row r="19911" spans="1:1" x14ac:dyDescent="0.3">
      <c r="A19911" s="20"/>
    </row>
    <row r="19912" spans="1:1" x14ac:dyDescent="0.3">
      <c r="A19912" s="20"/>
    </row>
    <row r="19913" spans="1:1" x14ac:dyDescent="0.3">
      <c r="A19913" s="20"/>
    </row>
    <row r="19914" spans="1:1" x14ac:dyDescent="0.3">
      <c r="A19914" s="20"/>
    </row>
    <row r="19915" spans="1:1" x14ac:dyDescent="0.3">
      <c r="A19915" s="20"/>
    </row>
    <row r="19916" spans="1:1" x14ac:dyDescent="0.3">
      <c r="A19916" s="20"/>
    </row>
    <row r="19917" spans="1:1" x14ac:dyDescent="0.3">
      <c r="A19917" s="20"/>
    </row>
    <row r="19918" spans="1:1" x14ac:dyDescent="0.3">
      <c r="A19918" s="20"/>
    </row>
    <row r="19919" spans="1:1" x14ac:dyDescent="0.3">
      <c r="A19919" s="20"/>
    </row>
    <row r="19920" spans="1:1" x14ac:dyDescent="0.3">
      <c r="A19920" s="20"/>
    </row>
    <row r="19921" spans="1:1" x14ac:dyDescent="0.3">
      <c r="A19921" s="20"/>
    </row>
    <row r="19922" spans="1:1" x14ac:dyDescent="0.3">
      <c r="A19922" s="20"/>
    </row>
    <row r="19923" spans="1:1" x14ac:dyDescent="0.3">
      <c r="A19923" s="20"/>
    </row>
    <row r="19924" spans="1:1" x14ac:dyDescent="0.3">
      <c r="A19924" s="20"/>
    </row>
    <row r="19925" spans="1:1" x14ac:dyDescent="0.3">
      <c r="A19925" s="20"/>
    </row>
    <row r="19926" spans="1:1" x14ac:dyDescent="0.3">
      <c r="A19926" s="20"/>
    </row>
    <row r="19927" spans="1:1" x14ac:dyDescent="0.3">
      <c r="A19927" s="20"/>
    </row>
    <row r="19928" spans="1:1" x14ac:dyDescent="0.3">
      <c r="A19928" s="20"/>
    </row>
    <row r="19929" spans="1:1" x14ac:dyDescent="0.3">
      <c r="A19929" s="20"/>
    </row>
    <row r="19930" spans="1:1" x14ac:dyDescent="0.3">
      <c r="A19930" s="20"/>
    </row>
    <row r="19931" spans="1:1" x14ac:dyDescent="0.3">
      <c r="A19931" s="20"/>
    </row>
    <row r="19932" spans="1:1" x14ac:dyDescent="0.3">
      <c r="A19932" s="20"/>
    </row>
    <row r="19933" spans="1:1" x14ac:dyDescent="0.3">
      <c r="A19933" s="20"/>
    </row>
    <row r="19934" spans="1:1" x14ac:dyDescent="0.3">
      <c r="A19934" s="20"/>
    </row>
    <row r="19935" spans="1:1" x14ac:dyDescent="0.3">
      <c r="A19935" s="20"/>
    </row>
    <row r="19936" spans="1:1" x14ac:dyDescent="0.3">
      <c r="A19936" s="20"/>
    </row>
    <row r="19937" spans="1:1" x14ac:dyDescent="0.3">
      <c r="A19937" s="20"/>
    </row>
    <row r="19938" spans="1:1" x14ac:dyDescent="0.3">
      <c r="A19938" s="20"/>
    </row>
    <row r="19939" spans="1:1" x14ac:dyDescent="0.3">
      <c r="A19939" s="20"/>
    </row>
    <row r="19940" spans="1:1" x14ac:dyDescent="0.3">
      <c r="A19940" s="20"/>
    </row>
    <row r="19941" spans="1:1" x14ac:dyDescent="0.3">
      <c r="A19941" s="20"/>
    </row>
    <row r="19942" spans="1:1" x14ac:dyDescent="0.3">
      <c r="A19942" s="20"/>
    </row>
    <row r="19943" spans="1:1" x14ac:dyDescent="0.3">
      <c r="A19943" s="20"/>
    </row>
    <row r="19944" spans="1:1" x14ac:dyDescent="0.3">
      <c r="A19944" s="20"/>
    </row>
    <row r="19945" spans="1:1" x14ac:dyDescent="0.3">
      <c r="A19945" s="20"/>
    </row>
    <row r="19946" spans="1:1" x14ac:dyDescent="0.3">
      <c r="A19946" s="20"/>
    </row>
    <row r="19947" spans="1:1" x14ac:dyDescent="0.3">
      <c r="A19947" s="20"/>
    </row>
    <row r="19948" spans="1:1" x14ac:dyDescent="0.3">
      <c r="A19948" s="20"/>
    </row>
    <row r="19949" spans="1:1" x14ac:dyDescent="0.3">
      <c r="A19949" s="20"/>
    </row>
    <row r="19950" spans="1:1" x14ac:dyDescent="0.3">
      <c r="A19950" s="20"/>
    </row>
    <row r="19951" spans="1:1" x14ac:dyDescent="0.3">
      <c r="A19951" s="20"/>
    </row>
    <row r="19952" spans="1:1" x14ac:dyDescent="0.3">
      <c r="A19952" s="20"/>
    </row>
    <row r="19953" spans="1:1" x14ac:dyDescent="0.3">
      <c r="A19953" s="20"/>
    </row>
    <row r="19954" spans="1:1" x14ac:dyDescent="0.3">
      <c r="A19954" s="20"/>
    </row>
    <row r="19955" spans="1:1" x14ac:dyDescent="0.3">
      <c r="A19955" s="20"/>
    </row>
    <row r="19956" spans="1:1" x14ac:dyDescent="0.3">
      <c r="A19956" s="20"/>
    </row>
    <row r="19957" spans="1:1" x14ac:dyDescent="0.3">
      <c r="A19957" s="20"/>
    </row>
    <row r="19958" spans="1:1" x14ac:dyDescent="0.3">
      <c r="A19958" s="20"/>
    </row>
    <row r="19959" spans="1:1" x14ac:dyDescent="0.3">
      <c r="A19959" s="20"/>
    </row>
    <row r="19960" spans="1:1" x14ac:dyDescent="0.3">
      <c r="A19960" s="20"/>
    </row>
    <row r="19961" spans="1:1" x14ac:dyDescent="0.3">
      <c r="A19961" s="20"/>
    </row>
    <row r="19962" spans="1:1" x14ac:dyDescent="0.3">
      <c r="A19962" s="20"/>
    </row>
    <row r="19963" spans="1:1" x14ac:dyDescent="0.3">
      <c r="A19963" s="20"/>
    </row>
    <row r="19964" spans="1:1" x14ac:dyDescent="0.3">
      <c r="A19964" s="20"/>
    </row>
    <row r="19965" spans="1:1" x14ac:dyDescent="0.3">
      <c r="A19965" s="20"/>
    </row>
    <row r="19966" spans="1:1" x14ac:dyDescent="0.3">
      <c r="A19966" s="20"/>
    </row>
    <row r="19967" spans="1:1" x14ac:dyDescent="0.3">
      <c r="A19967" s="20"/>
    </row>
    <row r="19968" spans="1:1" x14ac:dyDescent="0.3">
      <c r="A19968" s="20"/>
    </row>
    <row r="19969" spans="1:1" x14ac:dyDescent="0.3">
      <c r="A19969" s="20"/>
    </row>
    <row r="19970" spans="1:1" x14ac:dyDescent="0.3">
      <c r="A19970" s="20"/>
    </row>
    <row r="19971" spans="1:1" x14ac:dyDescent="0.3">
      <c r="A19971" s="20"/>
    </row>
    <row r="19972" spans="1:1" x14ac:dyDescent="0.3">
      <c r="A19972" s="20"/>
    </row>
    <row r="19973" spans="1:1" x14ac:dyDescent="0.3">
      <c r="A19973" s="20"/>
    </row>
    <row r="19974" spans="1:1" x14ac:dyDescent="0.3">
      <c r="A19974" s="20"/>
    </row>
    <row r="19975" spans="1:1" x14ac:dyDescent="0.3">
      <c r="A19975" s="20"/>
    </row>
    <row r="19976" spans="1:1" x14ac:dyDescent="0.3">
      <c r="A19976" s="20"/>
    </row>
    <row r="19977" spans="1:1" x14ac:dyDescent="0.3">
      <c r="A19977" s="20"/>
    </row>
    <row r="19978" spans="1:1" x14ac:dyDescent="0.3">
      <c r="A19978" s="20"/>
    </row>
    <row r="19979" spans="1:1" x14ac:dyDescent="0.3">
      <c r="A19979" s="20"/>
    </row>
    <row r="19980" spans="1:1" x14ac:dyDescent="0.3">
      <c r="A19980" s="20"/>
    </row>
    <row r="19981" spans="1:1" x14ac:dyDescent="0.3">
      <c r="A19981" s="20"/>
    </row>
    <row r="19982" spans="1:1" x14ac:dyDescent="0.3">
      <c r="A19982" s="20"/>
    </row>
    <row r="19983" spans="1:1" x14ac:dyDescent="0.3">
      <c r="A19983" s="20"/>
    </row>
    <row r="19984" spans="1:1" x14ac:dyDescent="0.3">
      <c r="A19984" s="20"/>
    </row>
    <row r="19985" spans="1:1" x14ac:dyDescent="0.3">
      <c r="A19985" s="20"/>
    </row>
    <row r="19986" spans="1:1" x14ac:dyDescent="0.3">
      <c r="A19986" s="20"/>
    </row>
    <row r="19987" spans="1:1" x14ac:dyDescent="0.3">
      <c r="A19987" s="20"/>
    </row>
    <row r="19988" spans="1:1" x14ac:dyDescent="0.3">
      <c r="A19988" s="20"/>
    </row>
    <row r="19989" spans="1:1" x14ac:dyDescent="0.3">
      <c r="A19989" s="20"/>
    </row>
    <row r="19990" spans="1:1" x14ac:dyDescent="0.3">
      <c r="A19990" s="20"/>
    </row>
    <row r="19991" spans="1:1" x14ac:dyDescent="0.3">
      <c r="A19991" s="20"/>
    </row>
    <row r="19992" spans="1:1" x14ac:dyDescent="0.3">
      <c r="A19992" s="20"/>
    </row>
    <row r="19993" spans="1:1" x14ac:dyDescent="0.3">
      <c r="A19993" s="20"/>
    </row>
    <row r="19994" spans="1:1" x14ac:dyDescent="0.3">
      <c r="A19994" s="20"/>
    </row>
    <row r="19995" spans="1:1" x14ac:dyDescent="0.3">
      <c r="A19995" s="20"/>
    </row>
    <row r="19996" spans="1:1" x14ac:dyDescent="0.3">
      <c r="A19996" s="20"/>
    </row>
    <row r="19997" spans="1:1" x14ac:dyDescent="0.3">
      <c r="A19997" s="20"/>
    </row>
    <row r="19998" spans="1:1" x14ac:dyDescent="0.3">
      <c r="A19998" s="20"/>
    </row>
    <row r="19999" spans="1:1" x14ac:dyDescent="0.3">
      <c r="A19999" s="20"/>
    </row>
    <row r="20000" spans="1:1" x14ac:dyDescent="0.3">
      <c r="A20000" s="20"/>
    </row>
    <row r="20001" spans="1:1" x14ac:dyDescent="0.3">
      <c r="A20001" s="20"/>
    </row>
    <row r="20002" spans="1:1" x14ac:dyDescent="0.3">
      <c r="A20002" s="20"/>
    </row>
    <row r="20003" spans="1:1" x14ac:dyDescent="0.3">
      <c r="A20003" s="20"/>
    </row>
    <row r="20004" spans="1:1" x14ac:dyDescent="0.3">
      <c r="A20004" s="20"/>
    </row>
    <row r="20005" spans="1:1" x14ac:dyDescent="0.3">
      <c r="A20005" s="20"/>
    </row>
    <row r="20006" spans="1:1" x14ac:dyDescent="0.3">
      <c r="A20006" s="20"/>
    </row>
    <row r="20007" spans="1:1" x14ac:dyDescent="0.3">
      <c r="A20007" s="20"/>
    </row>
    <row r="20008" spans="1:1" x14ac:dyDescent="0.3">
      <c r="A20008" s="20"/>
    </row>
    <row r="20009" spans="1:1" x14ac:dyDescent="0.3">
      <c r="A20009" s="20"/>
    </row>
    <row r="20010" spans="1:1" x14ac:dyDescent="0.3">
      <c r="A20010" s="20"/>
    </row>
    <row r="20011" spans="1:1" x14ac:dyDescent="0.3">
      <c r="A20011" s="20"/>
    </row>
    <row r="20012" spans="1:1" x14ac:dyDescent="0.3">
      <c r="A20012" s="20"/>
    </row>
    <row r="20013" spans="1:1" x14ac:dyDescent="0.3">
      <c r="A20013" s="20"/>
    </row>
    <row r="20014" spans="1:1" x14ac:dyDescent="0.3">
      <c r="A20014" s="20"/>
    </row>
    <row r="20015" spans="1:1" x14ac:dyDescent="0.3">
      <c r="A20015" s="20"/>
    </row>
    <row r="20016" spans="1:1" x14ac:dyDescent="0.3">
      <c r="A20016" s="20"/>
    </row>
    <row r="20017" spans="1:1" x14ac:dyDescent="0.3">
      <c r="A20017" s="20"/>
    </row>
    <row r="20018" spans="1:1" x14ac:dyDescent="0.3">
      <c r="A20018" s="20"/>
    </row>
    <row r="20019" spans="1:1" x14ac:dyDescent="0.3">
      <c r="A20019" s="20"/>
    </row>
    <row r="20020" spans="1:1" x14ac:dyDescent="0.3">
      <c r="A20020" s="20"/>
    </row>
    <row r="20021" spans="1:1" x14ac:dyDescent="0.3">
      <c r="A20021" s="20"/>
    </row>
    <row r="20022" spans="1:1" x14ac:dyDescent="0.3">
      <c r="A20022" s="20"/>
    </row>
    <row r="20023" spans="1:1" x14ac:dyDescent="0.3">
      <c r="A20023" s="20"/>
    </row>
    <row r="20024" spans="1:1" x14ac:dyDescent="0.3">
      <c r="A20024" s="20"/>
    </row>
    <row r="20025" spans="1:1" x14ac:dyDescent="0.3">
      <c r="A20025" s="20"/>
    </row>
    <row r="20026" spans="1:1" x14ac:dyDescent="0.3">
      <c r="A20026" s="20"/>
    </row>
    <row r="20027" spans="1:1" x14ac:dyDescent="0.3">
      <c r="A20027" s="20"/>
    </row>
    <row r="20028" spans="1:1" x14ac:dyDescent="0.3">
      <c r="A20028" s="20"/>
    </row>
    <row r="20029" spans="1:1" x14ac:dyDescent="0.3">
      <c r="A20029" s="20"/>
    </row>
    <row r="20030" spans="1:1" x14ac:dyDescent="0.3">
      <c r="A20030" s="20"/>
    </row>
    <row r="20031" spans="1:1" x14ac:dyDescent="0.3">
      <c r="A20031" s="20"/>
    </row>
    <row r="20032" spans="1:1" x14ac:dyDescent="0.3">
      <c r="A20032" s="20"/>
    </row>
    <row r="20033" spans="1:1" x14ac:dyDescent="0.3">
      <c r="A20033" s="20"/>
    </row>
    <row r="20034" spans="1:1" x14ac:dyDescent="0.3">
      <c r="A20034" s="20"/>
    </row>
    <row r="20035" spans="1:1" x14ac:dyDescent="0.3">
      <c r="A20035" s="20"/>
    </row>
    <row r="20036" spans="1:1" x14ac:dyDescent="0.3">
      <c r="A20036" s="20"/>
    </row>
    <row r="20037" spans="1:1" x14ac:dyDescent="0.3">
      <c r="A20037" s="20"/>
    </row>
    <row r="20038" spans="1:1" x14ac:dyDescent="0.3">
      <c r="A20038" s="20"/>
    </row>
    <row r="20039" spans="1:1" x14ac:dyDescent="0.3">
      <c r="A20039" s="20"/>
    </row>
    <row r="20040" spans="1:1" x14ac:dyDescent="0.3">
      <c r="A20040" s="20"/>
    </row>
    <row r="20041" spans="1:1" x14ac:dyDescent="0.3">
      <c r="A20041" s="20"/>
    </row>
    <row r="20042" spans="1:1" x14ac:dyDescent="0.3">
      <c r="A20042" s="20"/>
    </row>
    <row r="20043" spans="1:1" x14ac:dyDescent="0.3">
      <c r="A20043" s="20"/>
    </row>
    <row r="20044" spans="1:1" x14ac:dyDescent="0.3">
      <c r="A20044" s="20"/>
    </row>
    <row r="20045" spans="1:1" x14ac:dyDescent="0.3">
      <c r="A20045" s="20"/>
    </row>
    <row r="20046" spans="1:1" x14ac:dyDescent="0.3">
      <c r="A20046" s="20"/>
    </row>
    <row r="20047" spans="1:1" x14ac:dyDescent="0.3">
      <c r="A20047" s="20"/>
    </row>
    <row r="20048" spans="1:1" x14ac:dyDescent="0.3">
      <c r="A20048" s="20"/>
    </row>
    <row r="20049" spans="1:1" x14ac:dyDescent="0.3">
      <c r="A20049" s="20"/>
    </row>
    <row r="20050" spans="1:1" x14ac:dyDescent="0.3">
      <c r="A20050" s="20"/>
    </row>
    <row r="20051" spans="1:1" x14ac:dyDescent="0.3">
      <c r="A20051" s="20"/>
    </row>
    <row r="20052" spans="1:1" x14ac:dyDescent="0.3">
      <c r="A20052" s="20"/>
    </row>
    <row r="20053" spans="1:1" x14ac:dyDescent="0.3">
      <c r="A20053" s="20"/>
    </row>
    <row r="20054" spans="1:1" x14ac:dyDescent="0.3">
      <c r="A20054" s="20"/>
    </row>
    <row r="20055" spans="1:1" x14ac:dyDescent="0.3">
      <c r="A20055" s="20"/>
    </row>
    <row r="20056" spans="1:1" x14ac:dyDescent="0.3">
      <c r="A20056" s="20"/>
    </row>
    <row r="20057" spans="1:1" x14ac:dyDescent="0.3">
      <c r="A20057" s="20"/>
    </row>
    <row r="20058" spans="1:1" x14ac:dyDescent="0.3">
      <c r="A20058" s="20"/>
    </row>
    <row r="20059" spans="1:1" x14ac:dyDescent="0.3">
      <c r="A20059" s="20"/>
    </row>
    <row r="20060" spans="1:1" x14ac:dyDescent="0.3">
      <c r="A20060" s="20"/>
    </row>
    <row r="20061" spans="1:1" x14ac:dyDescent="0.3">
      <c r="A20061" s="20"/>
    </row>
    <row r="20062" spans="1:1" x14ac:dyDescent="0.3">
      <c r="A20062" s="20"/>
    </row>
    <row r="20063" spans="1:1" x14ac:dyDescent="0.3">
      <c r="A20063" s="20"/>
    </row>
    <row r="20064" spans="1:1" x14ac:dyDescent="0.3">
      <c r="A20064" s="20"/>
    </row>
    <row r="20065" spans="1:1" x14ac:dyDescent="0.3">
      <c r="A20065" s="20"/>
    </row>
    <row r="20066" spans="1:1" x14ac:dyDescent="0.3">
      <c r="A20066" s="20"/>
    </row>
    <row r="20067" spans="1:1" x14ac:dyDescent="0.3">
      <c r="A20067" s="20"/>
    </row>
    <row r="20068" spans="1:1" x14ac:dyDescent="0.3">
      <c r="A20068" s="20"/>
    </row>
    <row r="20069" spans="1:1" x14ac:dyDescent="0.3">
      <c r="A20069" s="20"/>
    </row>
    <row r="20070" spans="1:1" x14ac:dyDescent="0.3">
      <c r="A20070" s="20"/>
    </row>
    <row r="20071" spans="1:1" x14ac:dyDescent="0.3">
      <c r="A20071" s="20"/>
    </row>
    <row r="20072" spans="1:1" x14ac:dyDescent="0.3">
      <c r="A20072" s="20"/>
    </row>
    <row r="20073" spans="1:1" x14ac:dyDescent="0.3">
      <c r="A20073" s="20"/>
    </row>
    <row r="20074" spans="1:1" x14ac:dyDescent="0.3">
      <c r="A20074" s="20"/>
    </row>
    <row r="20075" spans="1:1" x14ac:dyDescent="0.3">
      <c r="A20075" s="20"/>
    </row>
    <row r="20076" spans="1:1" x14ac:dyDescent="0.3">
      <c r="A20076" s="20"/>
    </row>
    <row r="20077" spans="1:1" x14ac:dyDescent="0.3">
      <c r="A20077" s="20"/>
    </row>
    <row r="20078" spans="1:1" x14ac:dyDescent="0.3">
      <c r="A20078" s="20"/>
    </row>
    <row r="20079" spans="1:1" x14ac:dyDescent="0.3">
      <c r="A20079" s="20"/>
    </row>
    <row r="20080" spans="1:1" x14ac:dyDescent="0.3">
      <c r="A20080" s="20"/>
    </row>
    <row r="20081" spans="1:1" x14ac:dyDescent="0.3">
      <c r="A20081" s="20"/>
    </row>
    <row r="20082" spans="1:1" x14ac:dyDescent="0.3">
      <c r="A20082" s="20"/>
    </row>
    <row r="20083" spans="1:1" x14ac:dyDescent="0.3">
      <c r="A20083" s="20"/>
    </row>
    <row r="20084" spans="1:1" x14ac:dyDescent="0.3">
      <c r="A20084" s="20"/>
    </row>
    <row r="20085" spans="1:1" x14ac:dyDescent="0.3">
      <c r="A20085" s="20"/>
    </row>
    <row r="20086" spans="1:1" x14ac:dyDescent="0.3">
      <c r="A20086" s="20"/>
    </row>
    <row r="20087" spans="1:1" x14ac:dyDescent="0.3">
      <c r="A20087" s="20"/>
    </row>
    <row r="20088" spans="1:1" x14ac:dyDescent="0.3">
      <c r="A20088" s="20"/>
    </row>
    <row r="20089" spans="1:1" x14ac:dyDescent="0.3">
      <c r="A20089" s="20"/>
    </row>
    <row r="20090" spans="1:1" x14ac:dyDescent="0.3">
      <c r="A20090" s="20"/>
    </row>
    <row r="20091" spans="1:1" x14ac:dyDescent="0.3">
      <c r="A20091" s="20"/>
    </row>
    <row r="20092" spans="1:1" x14ac:dyDescent="0.3">
      <c r="A20092" s="20"/>
    </row>
    <row r="20093" spans="1:1" x14ac:dyDescent="0.3">
      <c r="A20093" s="20"/>
    </row>
    <row r="20094" spans="1:1" x14ac:dyDescent="0.3">
      <c r="A20094" s="20"/>
    </row>
    <row r="20095" spans="1:1" x14ac:dyDescent="0.3">
      <c r="A20095" s="20"/>
    </row>
    <row r="20096" spans="1:1" x14ac:dyDescent="0.3">
      <c r="A20096" s="20"/>
    </row>
    <row r="20097" spans="1:1" x14ac:dyDescent="0.3">
      <c r="A20097" s="20"/>
    </row>
    <row r="20098" spans="1:1" x14ac:dyDescent="0.3">
      <c r="A20098" s="20"/>
    </row>
    <row r="20099" spans="1:1" x14ac:dyDescent="0.3">
      <c r="A20099" s="20"/>
    </row>
    <row r="20100" spans="1:1" x14ac:dyDescent="0.3">
      <c r="A20100" s="20"/>
    </row>
    <row r="20101" spans="1:1" x14ac:dyDescent="0.3">
      <c r="A20101" s="20"/>
    </row>
    <row r="20102" spans="1:1" x14ac:dyDescent="0.3">
      <c r="A20102" s="20"/>
    </row>
    <row r="20103" spans="1:1" x14ac:dyDescent="0.3">
      <c r="A20103" s="20"/>
    </row>
    <row r="20104" spans="1:1" x14ac:dyDescent="0.3">
      <c r="A20104" s="20"/>
    </row>
    <row r="20105" spans="1:1" x14ac:dyDescent="0.3">
      <c r="A20105" s="20"/>
    </row>
    <row r="20106" spans="1:1" x14ac:dyDescent="0.3">
      <c r="A20106" s="20"/>
    </row>
    <row r="20107" spans="1:1" x14ac:dyDescent="0.3">
      <c r="A20107" s="20"/>
    </row>
    <row r="20108" spans="1:1" x14ac:dyDescent="0.3">
      <c r="A20108" s="20"/>
    </row>
    <row r="20109" spans="1:1" x14ac:dyDescent="0.3">
      <c r="A20109" s="20"/>
    </row>
    <row r="20110" spans="1:1" x14ac:dyDescent="0.3">
      <c r="A20110" s="20"/>
    </row>
    <row r="20111" spans="1:1" x14ac:dyDescent="0.3">
      <c r="A20111" s="20"/>
    </row>
    <row r="20112" spans="1:1" x14ac:dyDescent="0.3">
      <c r="A20112" s="20"/>
    </row>
    <row r="20113" spans="1:1" x14ac:dyDescent="0.3">
      <c r="A20113" s="20"/>
    </row>
    <row r="20114" spans="1:1" x14ac:dyDescent="0.3">
      <c r="A20114" s="20"/>
    </row>
    <row r="20115" spans="1:1" x14ac:dyDescent="0.3">
      <c r="A20115" s="20"/>
    </row>
    <row r="20116" spans="1:1" x14ac:dyDescent="0.3">
      <c r="A20116" s="20"/>
    </row>
    <row r="20117" spans="1:1" x14ac:dyDescent="0.3">
      <c r="A20117" s="20"/>
    </row>
    <row r="20118" spans="1:1" x14ac:dyDescent="0.3">
      <c r="A20118" s="20"/>
    </row>
    <row r="20119" spans="1:1" x14ac:dyDescent="0.3">
      <c r="A20119" s="20"/>
    </row>
    <row r="20120" spans="1:1" x14ac:dyDescent="0.3">
      <c r="A20120" s="20"/>
    </row>
    <row r="20121" spans="1:1" x14ac:dyDescent="0.3">
      <c r="A20121" s="20"/>
    </row>
    <row r="20122" spans="1:1" x14ac:dyDescent="0.3">
      <c r="A20122" s="20"/>
    </row>
    <row r="20123" spans="1:1" x14ac:dyDescent="0.3">
      <c r="A20123" s="20"/>
    </row>
    <row r="20124" spans="1:1" x14ac:dyDescent="0.3">
      <c r="A20124" s="20"/>
    </row>
    <row r="20125" spans="1:1" x14ac:dyDescent="0.3">
      <c r="A20125" s="20"/>
    </row>
    <row r="20126" spans="1:1" x14ac:dyDescent="0.3">
      <c r="A20126" s="20"/>
    </row>
    <row r="20127" spans="1:1" x14ac:dyDescent="0.3">
      <c r="A20127" s="20"/>
    </row>
    <row r="20128" spans="1:1" x14ac:dyDescent="0.3">
      <c r="A20128" s="20"/>
    </row>
    <row r="20129" spans="1:1" x14ac:dyDescent="0.3">
      <c r="A20129" s="20"/>
    </row>
    <row r="20130" spans="1:1" x14ac:dyDescent="0.3">
      <c r="A20130" s="20"/>
    </row>
    <row r="20131" spans="1:1" x14ac:dyDescent="0.3">
      <c r="A20131" s="20"/>
    </row>
    <row r="20132" spans="1:1" x14ac:dyDescent="0.3">
      <c r="A20132" s="20"/>
    </row>
    <row r="20133" spans="1:1" x14ac:dyDescent="0.3">
      <c r="A20133" s="20"/>
    </row>
    <row r="20134" spans="1:1" x14ac:dyDescent="0.3">
      <c r="A20134" s="20"/>
    </row>
    <row r="20135" spans="1:1" x14ac:dyDescent="0.3">
      <c r="A20135" s="20"/>
    </row>
    <row r="20136" spans="1:1" x14ac:dyDescent="0.3">
      <c r="A20136" s="20"/>
    </row>
    <row r="20137" spans="1:1" x14ac:dyDescent="0.3">
      <c r="A20137" s="20"/>
    </row>
    <row r="20138" spans="1:1" x14ac:dyDescent="0.3">
      <c r="A20138" s="20"/>
    </row>
    <row r="20139" spans="1:1" x14ac:dyDescent="0.3">
      <c r="A20139" s="20"/>
    </row>
    <row r="20140" spans="1:1" x14ac:dyDescent="0.3">
      <c r="A20140" s="20"/>
    </row>
    <row r="20141" spans="1:1" x14ac:dyDescent="0.3">
      <c r="A20141" s="20"/>
    </row>
    <row r="20142" spans="1:1" x14ac:dyDescent="0.3">
      <c r="A20142" s="20"/>
    </row>
    <row r="20143" spans="1:1" x14ac:dyDescent="0.3">
      <c r="A20143" s="20"/>
    </row>
    <row r="20144" spans="1:1" x14ac:dyDescent="0.3">
      <c r="A20144" s="20"/>
    </row>
    <row r="20145" spans="1:1" x14ac:dyDescent="0.3">
      <c r="A20145" s="20"/>
    </row>
    <row r="20146" spans="1:1" x14ac:dyDescent="0.3">
      <c r="A20146" s="20"/>
    </row>
    <row r="20147" spans="1:1" x14ac:dyDescent="0.3">
      <c r="A20147" s="20"/>
    </row>
    <row r="20148" spans="1:1" x14ac:dyDescent="0.3">
      <c r="A20148" s="20"/>
    </row>
    <row r="20149" spans="1:1" x14ac:dyDescent="0.3">
      <c r="A20149" s="20"/>
    </row>
    <row r="20150" spans="1:1" x14ac:dyDescent="0.3">
      <c r="A20150" s="20"/>
    </row>
    <row r="20151" spans="1:1" x14ac:dyDescent="0.3">
      <c r="A20151" s="20"/>
    </row>
    <row r="20152" spans="1:1" x14ac:dyDescent="0.3">
      <c r="A20152" s="20"/>
    </row>
    <row r="20153" spans="1:1" x14ac:dyDescent="0.3">
      <c r="A20153" s="20"/>
    </row>
    <row r="20154" spans="1:1" x14ac:dyDescent="0.3">
      <c r="A20154" s="20"/>
    </row>
    <row r="20155" spans="1:1" x14ac:dyDescent="0.3">
      <c r="A20155" s="20"/>
    </row>
    <row r="20156" spans="1:1" x14ac:dyDescent="0.3">
      <c r="A20156" s="20"/>
    </row>
    <row r="20157" spans="1:1" x14ac:dyDescent="0.3">
      <c r="A20157" s="20"/>
    </row>
    <row r="20158" spans="1:1" x14ac:dyDescent="0.3">
      <c r="A20158" s="20"/>
    </row>
    <row r="20159" spans="1:1" x14ac:dyDescent="0.3">
      <c r="A20159" s="20"/>
    </row>
    <row r="20160" spans="1:1" x14ac:dyDescent="0.3">
      <c r="A20160" s="20"/>
    </row>
    <row r="20161" spans="1:1" x14ac:dyDescent="0.3">
      <c r="A20161" s="20"/>
    </row>
    <row r="20162" spans="1:1" x14ac:dyDescent="0.3">
      <c r="A20162" s="20"/>
    </row>
    <row r="20163" spans="1:1" x14ac:dyDescent="0.3">
      <c r="A20163" s="20"/>
    </row>
    <row r="20164" spans="1:1" x14ac:dyDescent="0.3">
      <c r="A20164" s="20"/>
    </row>
    <row r="20165" spans="1:1" x14ac:dyDescent="0.3">
      <c r="A20165" s="20"/>
    </row>
    <row r="20166" spans="1:1" x14ac:dyDescent="0.3">
      <c r="A20166" s="20"/>
    </row>
    <row r="20167" spans="1:1" x14ac:dyDescent="0.3">
      <c r="A20167" s="20"/>
    </row>
    <row r="20168" spans="1:1" x14ac:dyDescent="0.3">
      <c r="A20168" s="20"/>
    </row>
    <row r="20169" spans="1:1" x14ac:dyDescent="0.3">
      <c r="A20169" s="20"/>
    </row>
    <row r="20170" spans="1:1" x14ac:dyDescent="0.3">
      <c r="A20170" s="20"/>
    </row>
    <row r="20171" spans="1:1" x14ac:dyDescent="0.3">
      <c r="A20171" s="20"/>
    </row>
    <row r="20172" spans="1:1" x14ac:dyDescent="0.3">
      <c r="A20172" s="20"/>
    </row>
    <row r="20173" spans="1:1" x14ac:dyDescent="0.3">
      <c r="A20173" s="20"/>
    </row>
    <row r="20174" spans="1:1" x14ac:dyDescent="0.3">
      <c r="A20174" s="20"/>
    </row>
    <row r="20175" spans="1:1" x14ac:dyDescent="0.3">
      <c r="A20175" s="20"/>
    </row>
    <row r="20176" spans="1:1" x14ac:dyDescent="0.3">
      <c r="A20176" s="20"/>
    </row>
    <row r="20177" spans="1:1" x14ac:dyDescent="0.3">
      <c r="A20177" s="20"/>
    </row>
    <row r="20178" spans="1:1" x14ac:dyDescent="0.3">
      <c r="A20178" s="20"/>
    </row>
    <row r="20179" spans="1:1" x14ac:dyDescent="0.3">
      <c r="A20179" s="20"/>
    </row>
    <row r="20180" spans="1:1" x14ac:dyDescent="0.3">
      <c r="A20180" s="20"/>
    </row>
    <row r="20181" spans="1:1" x14ac:dyDescent="0.3">
      <c r="A20181" s="20"/>
    </row>
    <row r="20182" spans="1:1" x14ac:dyDescent="0.3">
      <c r="A20182" s="20"/>
    </row>
    <row r="20183" spans="1:1" x14ac:dyDescent="0.3">
      <c r="A20183" s="20"/>
    </row>
    <row r="20184" spans="1:1" x14ac:dyDescent="0.3">
      <c r="A20184" s="20"/>
    </row>
    <row r="20185" spans="1:1" x14ac:dyDescent="0.3">
      <c r="A20185" s="20"/>
    </row>
    <row r="20186" spans="1:1" x14ac:dyDescent="0.3">
      <c r="A20186" s="20"/>
    </row>
    <row r="20187" spans="1:1" x14ac:dyDescent="0.3">
      <c r="A20187" s="20"/>
    </row>
    <row r="20188" spans="1:1" x14ac:dyDescent="0.3">
      <c r="A20188" s="20"/>
    </row>
    <row r="20189" spans="1:1" x14ac:dyDescent="0.3">
      <c r="A20189" s="20"/>
    </row>
    <row r="20190" spans="1:1" x14ac:dyDescent="0.3">
      <c r="A20190" s="20"/>
    </row>
    <row r="20191" spans="1:1" x14ac:dyDescent="0.3">
      <c r="A20191" s="20"/>
    </row>
    <row r="20192" spans="1:1" x14ac:dyDescent="0.3">
      <c r="A20192" s="20"/>
    </row>
    <row r="20193" spans="1:1" x14ac:dyDescent="0.3">
      <c r="A20193" s="20"/>
    </row>
    <row r="20194" spans="1:1" x14ac:dyDescent="0.3">
      <c r="A20194" s="20"/>
    </row>
    <row r="20195" spans="1:1" x14ac:dyDescent="0.3">
      <c r="A20195" s="20"/>
    </row>
    <row r="20196" spans="1:1" x14ac:dyDescent="0.3">
      <c r="A20196" s="20"/>
    </row>
    <row r="20197" spans="1:1" x14ac:dyDescent="0.3">
      <c r="A20197" s="20"/>
    </row>
    <row r="20198" spans="1:1" x14ac:dyDescent="0.3">
      <c r="A20198" s="20"/>
    </row>
    <row r="20199" spans="1:1" x14ac:dyDescent="0.3">
      <c r="A20199" s="20"/>
    </row>
    <row r="20200" spans="1:1" x14ac:dyDescent="0.3">
      <c r="A20200" s="20"/>
    </row>
    <row r="20201" spans="1:1" x14ac:dyDescent="0.3">
      <c r="A20201" s="20"/>
    </row>
    <row r="20202" spans="1:1" x14ac:dyDescent="0.3">
      <c r="A20202" s="20"/>
    </row>
    <row r="20203" spans="1:1" x14ac:dyDescent="0.3">
      <c r="A20203" s="20"/>
    </row>
    <row r="20204" spans="1:1" x14ac:dyDescent="0.3">
      <c r="A20204" s="20"/>
    </row>
    <row r="20205" spans="1:1" x14ac:dyDescent="0.3">
      <c r="A20205" s="20"/>
    </row>
    <row r="20206" spans="1:1" x14ac:dyDescent="0.3">
      <c r="A20206" s="20"/>
    </row>
    <row r="20207" spans="1:1" x14ac:dyDescent="0.3">
      <c r="A20207" s="20"/>
    </row>
    <row r="20208" spans="1:1" x14ac:dyDescent="0.3">
      <c r="A20208" s="20"/>
    </row>
    <row r="20209" spans="1:1" x14ac:dyDescent="0.3">
      <c r="A20209" s="20"/>
    </row>
    <row r="20210" spans="1:1" x14ac:dyDescent="0.3">
      <c r="A20210" s="20"/>
    </row>
    <row r="20211" spans="1:1" x14ac:dyDescent="0.3">
      <c r="A20211" s="20"/>
    </row>
    <row r="20212" spans="1:1" x14ac:dyDescent="0.3">
      <c r="A20212" s="20"/>
    </row>
    <row r="20213" spans="1:1" x14ac:dyDescent="0.3">
      <c r="A20213" s="20"/>
    </row>
    <row r="20214" spans="1:1" x14ac:dyDescent="0.3">
      <c r="A20214" s="20"/>
    </row>
    <row r="20215" spans="1:1" x14ac:dyDescent="0.3">
      <c r="A20215" s="20"/>
    </row>
    <row r="20216" spans="1:1" x14ac:dyDescent="0.3">
      <c r="A20216" s="20"/>
    </row>
    <row r="20217" spans="1:1" x14ac:dyDescent="0.3">
      <c r="A20217" s="20"/>
    </row>
    <row r="20218" spans="1:1" x14ac:dyDescent="0.3">
      <c r="A20218" s="20"/>
    </row>
    <row r="20219" spans="1:1" x14ac:dyDescent="0.3">
      <c r="A20219" s="20"/>
    </row>
    <row r="20220" spans="1:1" x14ac:dyDescent="0.3">
      <c r="A20220" s="20"/>
    </row>
    <row r="20221" spans="1:1" x14ac:dyDescent="0.3">
      <c r="A20221" s="20"/>
    </row>
    <row r="20222" spans="1:1" x14ac:dyDescent="0.3">
      <c r="A20222" s="20"/>
    </row>
    <row r="20223" spans="1:1" x14ac:dyDescent="0.3">
      <c r="A20223" s="20"/>
    </row>
    <row r="20224" spans="1:1" x14ac:dyDescent="0.3">
      <c r="A20224" s="20"/>
    </row>
    <row r="20225" spans="1:1" x14ac:dyDescent="0.3">
      <c r="A20225" s="20"/>
    </row>
    <row r="20226" spans="1:1" x14ac:dyDescent="0.3">
      <c r="A20226" s="20"/>
    </row>
    <row r="20227" spans="1:1" x14ac:dyDescent="0.3">
      <c r="A20227" s="20"/>
    </row>
    <row r="20228" spans="1:1" x14ac:dyDescent="0.3">
      <c r="A20228" s="20"/>
    </row>
    <row r="20229" spans="1:1" x14ac:dyDescent="0.3">
      <c r="A20229" s="20"/>
    </row>
    <row r="20230" spans="1:1" x14ac:dyDescent="0.3">
      <c r="A20230" s="20"/>
    </row>
    <row r="20231" spans="1:1" x14ac:dyDescent="0.3">
      <c r="A20231" s="20"/>
    </row>
    <row r="20232" spans="1:1" x14ac:dyDescent="0.3">
      <c r="A20232" s="20"/>
    </row>
    <row r="20233" spans="1:1" x14ac:dyDescent="0.3">
      <c r="A20233" s="20"/>
    </row>
    <row r="20234" spans="1:1" x14ac:dyDescent="0.3">
      <c r="A20234" s="20"/>
    </row>
    <row r="20235" spans="1:1" x14ac:dyDescent="0.3">
      <c r="A20235" s="20"/>
    </row>
    <row r="20236" spans="1:1" x14ac:dyDescent="0.3">
      <c r="A20236" s="20"/>
    </row>
    <row r="20237" spans="1:1" x14ac:dyDescent="0.3">
      <c r="A20237" s="20"/>
    </row>
    <row r="20238" spans="1:1" x14ac:dyDescent="0.3">
      <c r="A20238" s="20"/>
    </row>
    <row r="20239" spans="1:1" x14ac:dyDescent="0.3">
      <c r="A20239" s="20"/>
    </row>
    <row r="20240" spans="1:1" x14ac:dyDescent="0.3">
      <c r="A20240" s="20"/>
    </row>
    <row r="20241" spans="1:1" x14ac:dyDescent="0.3">
      <c r="A20241" s="20"/>
    </row>
    <row r="20242" spans="1:1" x14ac:dyDescent="0.3">
      <c r="A20242" s="20"/>
    </row>
    <row r="20243" spans="1:1" x14ac:dyDescent="0.3">
      <c r="A20243" s="20"/>
    </row>
    <row r="20244" spans="1:1" x14ac:dyDescent="0.3">
      <c r="A20244" s="20"/>
    </row>
    <row r="20245" spans="1:1" x14ac:dyDescent="0.3">
      <c r="A20245" s="20"/>
    </row>
    <row r="20246" spans="1:1" x14ac:dyDescent="0.3">
      <c r="A20246" s="20"/>
    </row>
    <row r="20247" spans="1:1" x14ac:dyDescent="0.3">
      <c r="A20247" s="20"/>
    </row>
    <row r="20248" spans="1:1" x14ac:dyDescent="0.3">
      <c r="A20248" s="20"/>
    </row>
    <row r="20249" spans="1:1" x14ac:dyDescent="0.3">
      <c r="A20249" s="20"/>
    </row>
    <row r="20250" spans="1:1" x14ac:dyDescent="0.3">
      <c r="A20250" s="20"/>
    </row>
    <row r="20251" spans="1:1" x14ac:dyDescent="0.3">
      <c r="A20251" s="20"/>
    </row>
    <row r="20252" spans="1:1" x14ac:dyDescent="0.3">
      <c r="A20252" s="20"/>
    </row>
    <row r="20253" spans="1:1" x14ac:dyDescent="0.3">
      <c r="A20253" s="20"/>
    </row>
    <row r="20254" spans="1:1" x14ac:dyDescent="0.3">
      <c r="A20254" s="20"/>
    </row>
    <row r="20255" spans="1:1" x14ac:dyDescent="0.3">
      <c r="A20255" s="20"/>
    </row>
    <row r="20256" spans="1:1" x14ac:dyDescent="0.3">
      <c r="A20256" s="20"/>
    </row>
    <row r="20257" spans="1:1" x14ac:dyDescent="0.3">
      <c r="A20257" s="20"/>
    </row>
    <row r="20258" spans="1:1" x14ac:dyDescent="0.3">
      <c r="A20258" s="20"/>
    </row>
    <row r="20259" spans="1:1" x14ac:dyDescent="0.3">
      <c r="A20259" s="20"/>
    </row>
    <row r="20260" spans="1:1" x14ac:dyDescent="0.3">
      <c r="A20260" s="20"/>
    </row>
    <row r="20261" spans="1:1" x14ac:dyDescent="0.3">
      <c r="A20261" s="20"/>
    </row>
    <row r="20262" spans="1:1" x14ac:dyDescent="0.3">
      <c r="A20262" s="20"/>
    </row>
    <row r="20263" spans="1:1" x14ac:dyDescent="0.3">
      <c r="A20263" s="20"/>
    </row>
    <row r="20264" spans="1:1" x14ac:dyDescent="0.3">
      <c r="A20264" s="20"/>
    </row>
    <row r="20265" spans="1:1" x14ac:dyDescent="0.3">
      <c r="A20265" s="20"/>
    </row>
    <row r="20266" spans="1:1" x14ac:dyDescent="0.3">
      <c r="A20266" s="20"/>
    </row>
    <row r="20267" spans="1:1" x14ac:dyDescent="0.3">
      <c r="A20267" s="20"/>
    </row>
    <row r="20268" spans="1:1" x14ac:dyDescent="0.3">
      <c r="A20268" s="20"/>
    </row>
    <row r="20269" spans="1:1" x14ac:dyDescent="0.3">
      <c r="A20269" s="20"/>
    </row>
    <row r="20270" spans="1:1" x14ac:dyDescent="0.3">
      <c r="A20270" s="20"/>
    </row>
    <row r="20271" spans="1:1" x14ac:dyDescent="0.3">
      <c r="A20271" s="20"/>
    </row>
    <row r="20272" spans="1:1" x14ac:dyDescent="0.3">
      <c r="A20272" s="20"/>
    </row>
    <row r="20273" spans="1:1" x14ac:dyDescent="0.3">
      <c r="A20273" s="20"/>
    </row>
    <row r="20274" spans="1:1" x14ac:dyDescent="0.3">
      <c r="A20274" s="20"/>
    </row>
    <row r="20275" spans="1:1" x14ac:dyDescent="0.3">
      <c r="A20275" s="20"/>
    </row>
    <row r="20276" spans="1:1" x14ac:dyDescent="0.3">
      <c r="A20276" s="20"/>
    </row>
    <row r="20277" spans="1:1" x14ac:dyDescent="0.3">
      <c r="A20277" s="20"/>
    </row>
    <row r="20278" spans="1:1" x14ac:dyDescent="0.3">
      <c r="A20278" s="20"/>
    </row>
    <row r="20279" spans="1:1" x14ac:dyDescent="0.3">
      <c r="A20279" s="20"/>
    </row>
    <row r="20280" spans="1:1" x14ac:dyDescent="0.3">
      <c r="A20280" s="20"/>
    </row>
    <row r="20281" spans="1:1" x14ac:dyDescent="0.3">
      <c r="A20281" s="20"/>
    </row>
    <row r="20282" spans="1:1" x14ac:dyDescent="0.3">
      <c r="A20282" s="20"/>
    </row>
    <row r="20283" spans="1:1" x14ac:dyDescent="0.3">
      <c r="A20283" s="20"/>
    </row>
    <row r="20284" spans="1:1" x14ac:dyDescent="0.3">
      <c r="A20284" s="20"/>
    </row>
    <row r="20285" spans="1:1" x14ac:dyDescent="0.3">
      <c r="A20285" s="20"/>
    </row>
    <row r="20286" spans="1:1" x14ac:dyDescent="0.3">
      <c r="A20286" s="20"/>
    </row>
    <row r="20287" spans="1:1" x14ac:dyDescent="0.3">
      <c r="A20287" s="20"/>
    </row>
    <row r="20288" spans="1:1" x14ac:dyDescent="0.3">
      <c r="A20288" s="20"/>
    </row>
    <row r="20289" spans="1:1" x14ac:dyDescent="0.3">
      <c r="A20289" s="20"/>
    </row>
    <row r="20290" spans="1:1" x14ac:dyDescent="0.3">
      <c r="A20290" s="20"/>
    </row>
    <row r="20291" spans="1:1" x14ac:dyDescent="0.3">
      <c r="A20291" s="20"/>
    </row>
    <row r="20292" spans="1:1" x14ac:dyDescent="0.3">
      <c r="A20292" s="20"/>
    </row>
    <row r="20293" spans="1:1" x14ac:dyDescent="0.3">
      <c r="A20293" s="20"/>
    </row>
    <row r="20294" spans="1:1" x14ac:dyDescent="0.3">
      <c r="A20294" s="20"/>
    </row>
    <row r="20295" spans="1:1" x14ac:dyDescent="0.3">
      <c r="A20295" s="20"/>
    </row>
    <row r="20296" spans="1:1" x14ac:dyDescent="0.3">
      <c r="A20296" s="20"/>
    </row>
    <row r="20297" spans="1:1" x14ac:dyDescent="0.3">
      <c r="A20297" s="20"/>
    </row>
    <row r="20298" spans="1:1" x14ac:dyDescent="0.3">
      <c r="A20298" s="20"/>
    </row>
    <row r="20299" spans="1:1" x14ac:dyDescent="0.3">
      <c r="A20299" s="20"/>
    </row>
    <row r="20300" spans="1:1" x14ac:dyDescent="0.3">
      <c r="A20300" s="20"/>
    </row>
    <row r="20301" spans="1:1" x14ac:dyDescent="0.3">
      <c r="A20301" s="20"/>
    </row>
    <row r="20302" spans="1:1" x14ac:dyDescent="0.3">
      <c r="A20302" s="20"/>
    </row>
    <row r="20303" spans="1:1" x14ac:dyDescent="0.3">
      <c r="A20303" s="20"/>
    </row>
    <row r="20304" spans="1:1" x14ac:dyDescent="0.3">
      <c r="A20304" s="20"/>
    </row>
    <row r="20305" spans="1:1" x14ac:dyDescent="0.3">
      <c r="A20305" s="20"/>
    </row>
    <row r="20306" spans="1:1" x14ac:dyDescent="0.3">
      <c r="A20306" s="20"/>
    </row>
    <row r="20307" spans="1:1" x14ac:dyDescent="0.3">
      <c r="A20307" s="20"/>
    </row>
    <row r="20308" spans="1:1" x14ac:dyDescent="0.3">
      <c r="A20308" s="20"/>
    </row>
    <row r="20309" spans="1:1" x14ac:dyDescent="0.3">
      <c r="A20309" s="20"/>
    </row>
    <row r="20310" spans="1:1" x14ac:dyDescent="0.3">
      <c r="A20310" s="20"/>
    </row>
    <row r="20311" spans="1:1" x14ac:dyDescent="0.3">
      <c r="A20311" s="20"/>
    </row>
    <row r="20312" spans="1:1" x14ac:dyDescent="0.3">
      <c r="A20312" s="20"/>
    </row>
    <row r="20313" spans="1:1" x14ac:dyDescent="0.3">
      <c r="A20313" s="20"/>
    </row>
    <row r="20314" spans="1:1" x14ac:dyDescent="0.3">
      <c r="A20314" s="20"/>
    </row>
    <row r="20315" spans="1:1" x14ac:dyDescent="0.3">
      <c r="A20315" s="20"/>
    </row>
    <row r="20316" spans="1:1" x14ac:dyDescent="0.3">
      <c r="A20316" s="20"/>
    </row>
    <row r="20317" spans="1:1" x14ac:dyDescent="0.3">
      <c r="A20317" s="20"/>
    </row>
    <row r="20318" spans="1:1" x14ac:dyDescent="0.3">
      <c r="A20318" s="20"/>
    </row>
    <row r="20319" spans="1:1" x14ac:dyDescent="0.3">
      <c r="A20319" s="20"/>
    </row>
    <row r="20320" spans="1:1" x14ac:dyDescent="0.3">
      <c r="A20320" s="20"/>
    </row>
    <row r="20321" spans="1:1" x14ac:dyDescent="0.3">
      <c r="A20321" s="20"/>
    </row>
    <row r="20322" spans="1:1" x14ac:dyDescent="0.3">
      <c r="A20322" s="20"/>
    </row>
    <row r="20323" spans="1:1" x14ac:dyDescent="0.3">
      <c r="A20323" s="20"/>
    </row>
    <row r="20324" spans="1:1" x14ac:dyDescent="0.3">
      <c r="A20324" s="20"/>
    </row>
    <row r="20325" spans="1:1" x14ac:dyDescent="0.3">
      <c r="A20325" s="20"/>
    </row>
    <row r="20326" spans="1:1" x14ac:dyDescent="0.3">
      <c r="A20326" s="20"/>
    </row>
    <row r="20327" spans="1:1" x14ac:dyDescent="0.3">
      <c r="A20327" s="20"/>
    </row>
    <row r="20328" spans="1:1" x14ac:dyDescent="0.3">
      <c r="A20328" s="20"/>
    </row>
    <row r="20329" spans="1:1" x14ac:dyDescent="0.3">
      <c r="A20329" s="20"/>
    </row>
    <row r="20330" spans="1:1" x14ac:dyDescent="0.3">
      <c r="A20330" s="20"/>
    </row>
    <row r="20331" spans="1:1" x14ac:dyDescent="0.3">
      <c r="A20331" s="20"/>
    </row>
    <row r="20332" spans="1:1" x14ac:dyDescent="0.3">
      <c r="A20332" s="20"/>
    </row>
    <row r="20333" spans="1:1" x14ac:dyDescent="0.3">
      <c r="A20333" s="20"/>
    </row>
    <row r="20334" spans="1:1" x14ac:dyDescent="0.3">
      <c r="A20334" s="20"/>
    </row>
    <row r="20335" spans="1:1" x14ac:dyDescent="0.3">
      <c r="A20335" s="20"/>
    </row>
    <row r="20336" spans="1:1" x14ac:dyDescent="0.3">
      <c r="A20336" s="20"/>
    </row>
    <row r="20337" spans="1:1" x14ac:dyDescent="0.3">
      <c r="A20337" s="20"/>
    </row>
    <row r="20338" spans="1:1" x14ac:dyDescent="0.3">
      <c r="A20338" s="20"/>
    </row>
    <row r="20339" spans="1:1" x14ac:dyDescent="0.3">
      <c r="A20339" s="20"/>
    </row>
    <row r="20340" spans="1:1" x14ac:dyDescent="0.3">
      <c r="A20340" s="20"/>
    </row>
    <row r="20341" spans="1:1" x14ac:dyDescent="0.3">
      <c r="A20341" s="20"/>
    </row>
    <row r="20342" spans="1:1" x14ac:dyDescent="0.3">
      <c r="A20342" s="20"/>
    </row>
    <row r="20343" spans="1:1" x14ac:dyDescent="0.3">
      <c r="A20343" s="20"/>
    </row>
    <row r="20344" spans="1:1" x14ac:dyDescent="0.3">
      <c r="A20344" s="20"/>
    </row>
    <row r="20345" spans="1:1" x14ac:dyDescent="0.3">
      <c r="A20345" s="20"/>
    </row>
    <row r="20346" spans="1:1" x14ac:dyDescent="0.3">
      <c r="A20346" s="20"/>
    </row>
    <row r="20347" spans="1:1" x14ac:dyDescent="0.3">
      <c r="A20347" s="20"/>
    </row>
    <row r="20348" spans="1:1" x14ac:dyDescent="0.3">
      <c r="A20348" s="20"/>
    </row>
    <row r="20349" spans="1:1" x14ac:dyDescent="0.3">
      <c r="A20349" s="20"/>
    </row>
    <row r="20350" spans="1:1" x14ac:dyDescent="0.3">
      <c r="A20350" s="20"/>
    </row>
    <row r="20351" spans="1:1" x14ac:dyDescent="0.3">
      <c r="A20351" s="20"/>
    </row>
    <row r="20352" spans="1:1" x14ac:dyDescent="0.3">
      <c r="A20352" s="20"/>
    </row>
    <row r="20353" spans="1:1" x14ac:dyDescent="0.3">
      <c r="A20353" s="20"/>
    </row>
    <row r="20354" spans="1:1" x14ac:dyDescent="0.3">
      <c r="A20354" s="20"/>
    </row>
    <row r="20355" spans="1:1" x14ac:dyDescent="0.3">
      <c r="A20355" s="20"/>
    </row>
    <row r="20356" spans="1:1" x14ac:dyDescent="0.3">
      <c r="A20356" s="20"/>
    </row>
    <row r="20357" spans="1:1" x14ac:dyDescent="0.3">
      <c r="A20357" s="20"/>
    </row>
    <row r="20358" spans="1:1" x14ac:dyDescent="0.3">
      <c r="A20358" s="20"/>
    </row>
    <row r="20359" spans="1:1" x14ac:dyDescent="0.3">
      <c r="A20359" s="20"/>
    </row>
    <row r="20360" spans="1:1" x14ac:dyDescent="0.3">
      <c r="A20360" s="20"/>
    </row>
    <row r="20361" spans="1:1" x14ac:dyDescent="0.3">
      <c r="A20361" s="20"/>
    </row>
    <row r="20362" spans="1:1" x14ac:dyDescent="0.3">
      <c r="A20362" s="20"/>
    </row>
    <row r="20363" spans="1:1" x14ac:dyDescent="0.3">
      <c r="A20363" s="20"/>
    </row>
    <row r="20364" spans="1:1" x14ac:dyDescent="0.3">
      <c r="A20364" s="20"/>
    </row>
    <row r="20365" spans="1:1" x14ac:dyDescent="0.3">
      <c r="A20365" s="20"/>
    </row>
    <row r="20366" spans="1:1" x14ac:dyDescent="0.3">
      <c r="A20366" s="20"/>
    </row>
    <row r="20367" spans="1:1" x14ac:dyDescent="0.3">
      <c r="A20367" s="20"/>
    </row>
    <row r="20368" spans="1:1" x14ac:dyDescent="0.3">
      <c r="A20368" s="20"/>
    </row>
    <row r="20369" spans="1:1" x14ac:dyDescent="0.3">
      <c r="A20369" s="20"/>
    </row>
    <row r="20370" spans="1:1" x14ac:dyDescent="0.3">
      <c r="A20370" s="20"/>
    </row>
    <row r="20371" spans="1:1" x14ac:dyDescent="0.3">
      <c r="A20371" s="20"/>
    </row>
    <row r="20372" spans="1:1" x14ac:dyDescent="0.3">
      <c r="A20372" s="20"/>
    </row>
    <row r="20373" spans="1:1" x14ac:dyDescent="0.3">
      <c r="A20373" s="20"/>
    </row>
    <row r="20374" spans="1:1" x14ac:dyDescent="0.3">
      <c r="A20374" s="20"/>
    </row>
    <row r="20375" spans="1:1" x14ac:dyDescent="0.3">
      <c r="A20375" s="20"/>
    </row>
    <row r="20376" spans="1:1" x14ac:dyDescent="0.3">
      <c r="A20376" s="20"/>
    </row>
    <row r="20377" spans="1:1" x14ac:dyDescent="0.3">
      <c r="A20377" s="20"/>
    </row>
    <row r="20378" spans="1:1" x14ac:dyDescent="0.3">
      <c r="A20378" s="20"/>
    </row>
    <row r="20379" spans="1:1" x14ac:dyDescent="0.3">
      <c r="A20379" s="20"/>
    </row>
    <row r="20380" spans="1:1" x14ac:dyDescent="0.3">
      <c r="A20380" s="20"/>
    </row>
    <row r="20381" spans="1:1" x14ac:dyDescent="0.3">
      <c r="A20381" s="20"/>
    </row>
    <row r="20382" spans="1:1" x14ac:dyDescent="0.3">
      <c r="A20382" s="20"/>
    </row>
    <row r="20383" spans="1:1" x14ac:dyDescent="0.3">
      <c r="A20383" s="20"/>
    </row>
    <row r="20384" spans="1:1" x14ac:dyDescent="0.3">
      <c r="A20384" s="20"/>
    </row>
    <row r="20385" spans="1:1" x14ac:dyDescent="0.3">
      <c r="A20385" s="20"/>
    </row>
    <row r="20386" spans="1:1" x14ac:dyDescent="0.3">
      <c r="A20386" s="20"/>
    </row>
    <row r="20387" spans="1:1" x14ac:dyDescent="0.3">
      <c r="A20387" s="20"/>
    </row>
    <row r="20388" spans="1:1" x14ac:dyDescent="0.3">
      <c r="A20388" s="20"/>
    </row>
    <row r="20389" spans="1:1" x14ac:dyDescent="0.3">
      <c r="A20389" s="20"/>
    </row>
    <row r="20390" spans="1:1" x14ac:dyDescent="0.3">
      <c r="A20390" s="20"/>
    </row>
    <row r="20391" spans="1:1" x14ac:dyDescent="0.3">
      <c r="A20391" s="20"/>
    </row>
    <row r="20392" spans="1:1" x14ac:dyDescent="0.3">
      <c r="A20392" s="20"/>
    </row>
    <row r="20393" spans="1:1" x14ac:dyDescent="0.3">
      <c r="A20393" s="20"/>
    </row>
    <row r="20394" spans="1:1" x14ac:dyDescent="0.3">
      <c r="A20394" s="20"/>
    </row>
    <row r="20395" spans="1:1" x14ac:dyDescent="0.3">
      <c r="A20395" s="20"/>
    </row>
    <row r="20396" spans="1:1" x14ac:dyDescent="0.3">
      <c r="A20396" s="20"/>
    </row>
    <row r="20397" spans="1:1" x14ac:dyDescent="0.3">
      <c r="A20397" s="20"/>
    </row>
    <row r="20398" spans="1:1" x14ac:dyDescent="0.3">
      <c r="A20398" s="20"/>
    </row>
    <row r="20399" spans="1:1" x14ac:dyDescent="0.3">
      <c r="A20399" s="20"/>
    </row>
    <row r="20400" spans="1:1" x14ac:dyDescent="0.3">
      <c r="A20400" s="20"/>
    </row>
    <row r="20401" spans="1:1" x14ac:dyDescent="0.3">
      <c r="A20401" s="20"/>
    </row>
    <row r="20402" spans="1:1" x14ac:dyDescent="0.3">
      <c r="A20402" s="20"/>
    </row>
    <row r="20403" spans="1:1" x14ac:dyDescent="0.3">
      <c r="A20403" s="20"/>
    </row>
    <row r="20404" spans="1:1" x14ac:dyDescent="0.3">
      <c r="A20404" s="20"/>
    </row>
    <row r="20405" spans="1:1" x14ac:dyDescent="0.3">
      <c r="A20405" s="20"/>
    </row>
    <row r="20406" spans="1:1" x14ac:dyDescent="0.3">
      <c r="A20406" s="20"/>
    </row>
    <row r="20407" spans="1:1" x14ac:dyDescent="0.3">
      <c r="A20407" s="20"/>
    </row>
    <row r="20408" spans="1:1" x14ac:dyDescent="0.3">
      <c r="A20408" s="20"/>
    </row>
    <row r="20409" spans="1:1" x14ac:dyDescent="0.3">
      <c r="A20409" s="20"/>
    </row>
    <row r="20410" spans="1:1" x14ac:dyDescent="0.3">
      <c r="A20410" s="20"/>
    </row>
    <row r="20411" spans="1:1" x14ac:dyDescent="0.3">
      <c r="A20411" s="20"/>
    </row>
    <row r="20412" spans="1:1" x14ac:dyDescent="0.3">
      <c r="A20412" s="20"/>
    </row>
    <row r="20413" spans="1:1" x14ac:dyDescent="0.3">
      <c r="A20413" s="20"/>
    </row>
    <row r="20414" spans="1:1" x14ac:dyDescent="0.3">
      <c r="A20414" s="20"/>
    </row>
    <row r="20415" spans="1:1" x14ac:dyDescent="0.3">
      <c r="A20415" s="20"/>
    </row>
    <row r="20416" spans="1:1" x14ac:dyDescent="0.3">
      <c r="A20416" s="20"/>
    </row>
    <row r="20417" spans="1:1" x14ac:dyDescent="0.3">
      <c r="A20417" s="20"/>
    </row>
    <row r="20418" spans="1:1" x14ac:dyDescent="0.3">
      <c r="A20418" s="20"/>
    </row>
    <row r="20419" spans="1:1" x14ac:dyDescent="0.3">
      <c r="A20419" s="20"/>
    </row>
    <row r="20420" spans="1:1" x14ac:dyDescent="0.3">
      <c r="A20420" s="20"/>
    </row>
    <row r="20421" spans="1:1" x14ac:dyDescent="0.3">
      <c r="A20421" s="20"/>
    </row>
    <row r="20422" spans="1:1" x14ac:dyDescent="0.3">
      <c r="A20422" s="20"/>
    </row>
    <row r="20423" spans="1:1" x14ac:dyDescent="0.3">
      <c r="A20423" s="20"/>
    </row>
    <row r="20424" spans="1:1" x14ac:dyDescent="0.3">
      <c r="A20424" s="20"/>
    </row>
    <row r="20425" spans="1:1" x14ac:dyDescent="0.3">
      <c r="A20425" s="20"/>
    </row>
    <row r="20426" spans="1:1" x14ac:dyDescent="0.3">
      <c r="A20426" s="20"/>
    </row>
    <row r="20427" spans="1:1" x14ac:dyDescent="0.3">
      <c r="A20427" s="20"/>
    </row>
    <row r="20428" spans="1:1" x14ac:dyDescent="0.3">
      <c r="A20428" s="20"/>
    </row>
    <row r="20429" spans="1:1" x14ac:dyDescent="0.3">
      <c r="A20429" s="20"/>
    </row>
    <row r="20430" spans="1:1" x14ac:dyDescent="0.3">
      <c r="A20430" s="20"/>
    </row>
    <row r="20431" spans="1:1" x14ac:dyDescent="0.3">
      <c r="A20431" s="20"/>
    </row>
    <row r="20432" spans="1:1" x14ac:dyDescent="0.3">
      <c r="A20432" s="20"/>
    </row>
    <row r="20433" spans="1:1" x14ac:dyDescent="0.3">
      <c r="A20433" s="20"/>
    </row>
    <row r="20434" spans="1:1" x14ac:dyDescent="0.3">
      <c r="A20434" s="20"/>
    </row>
    <row r="20435" spans="1:1" x14ac:dyDescent="0.3">
      <c r="A20435" s="20"/>
    </row>
    <row r="20436" spans="1:1" x14ac:dyDescent="0.3">
      <c r="A20436" s="20"/>
    </row>
    <row r="20437" spans="1:1" x14ac:dyDescent="0.3">
      <c r="A20437" s="20"/>
    </row>
    <row r="20438" spans="1:1" x14ac:dyDescent="0.3">
      <c r="A20438" s="20"/>
    </row>
    <row r="20439" spans="1:1" x14ac:dyDescent="0.3">
      <c r="A20439" s="20"/>
    </row>
    <row r="20440" spans="1:1" x14ac:dyDescent="0.3">
      <c r="A20440" s="20"/>
    </row>
    <row r="20441" spans="1:1" x14ac:dyDescent="0.3">
      <c r="A20441" s="20"/>
    </row>
    <row r="20442" spans="1:1" x14ac:dyDescent="0.3">
      <c r="A20442" s="20"/>
    </row>
    <row r="20443" spans="1:1" x14ac:dyDescent="0.3">
      <c r="A20443" s="20"/>
    </row>
    <row r="20444" spans="1:1" x14ac:dyDescent="0.3">
      <c r="A20444" s="20"/>
    </row>
    <row r="20445" spans="1:1" x14ac:dyDescent="0.3">
      <c r="A20445" s="20"/>
    </row>
    <row r="20446" spans="1:1" x14ac:dyDescent="0.3">
      <c r="A20446" s="20"/>
    </row>
    <row r="20447" spans="1:1" x14ac:dyDescent="0.3">
      <c r="A20447" s="20"/>
    </row>
    <row r="20448" spans="1:1" x14ac:dyDescent="0.3">
      <c r="A20448" s="20"/>
    </row>
    <row r="20449" spans="1:1" x14ac:dyDescent="0.3">
      <c r="A20449" s="20"/>
    </row>
    <row r="20450" spans="1:1" x14ac:dyDescent="0.3">
      <c r="A20450" s="20"/>
    </row>
    <row r="20451" spans="1:1" x14ac:dyDescent="0.3">
      <c r="A20451" s="20"/>
    </row>
    <row r="20452" spans="1:1" x14ac:dyDescent="0.3">
      <c r="A20452" s="20"/>
    </row>
    <row r="20453" spans="1:1" x14ac:dyDescent="0.3">
      <c r="A20453" s="20"/>
    </row>
    <row r="20454" spans="1:1" x14ac:dyDescent="0.3">
      <c r="A20454" s="20"/>
    </row>
    <row r="20455" spans="1:1" x14ac:dyDescent="0.3">
      <c r="A20455" s="20"/>
    </row>
    <row r="20456" spans="1:1" x14ac:dyDescent="0.3">
      <c r="A20456" s="20"/>
    </row>
    <row r="20457" spans="1:1" x14ac:dyDescent="0.3">
      <c r="A20457" s="20"/>
    </row>
    <row r="20458" spans="1:1" x14ac:dyDescent="0.3">
      <c r="A20458" s="20"/>
    </row>
    <row r="20459" spans="1:1" x14ac:dyDescent="0.3">
      <c r="A20459" s="20"/>
    </row>
    <row r="20460" spans="1:1" x14ac:dyDescent="0.3">
      <c r="A20460" s="20"/>
    </row>
    <row r="20461" spans="1:1" x14ac:dyDescent="0.3">
      <c r="A20461" s="20"/>
    </row>
    <row r="20462" spans="1:1" x14ac:dyDescent="0.3">
      <c r="A20462" s="20"/>
    </row>
    <row r="20463" spans="1:1" x14ac:dyDescent="0.3">
      <c r="A20463" s="20"/>
    </row>
    <row r="20464" spans="1:1" x14ac:dyDescent="0.3">
      <c r="A20464" s="20"/>
    </row>
    <row r="20465" spans="1:1" x14ac:dyDescent="0.3">
      <c r="A20465" s="20"/>
    </row>
    <row r="20466" spans="1:1" x14ac:dyDescent="0.3">
      <c r="A20466" s="20"/>
    </row>
    <row r="20467" spans="1:1" x14ac:dyDescent="0.3">
      <c r="A20467" s="20"/>
    </row>
    <row r="20468" spans="1:1" x14ac:dyDescent="0.3">
      <c r="A20468" s="20"/>
    </row>
    <row r="20469" spans="1:1" x14ac:dyDescent="0.3">
      <c r="A20469" s="20"/>
    </row>
    <row r="20470" spans="1:1" x14ac:dyDescent="0.3">
      <c r="A20470" s="20"/>
    </row>
    <row r="20471" spans="1:1" x14ac:dyDescent="0.3">
      <c r="A20471" s="20"/>
    </row>
    <row r="20472" spans="1:1" x14ac:dyDescent="0.3">
      <c r="A20472" s="20"/>
    </row>
    <row r="20473" spans="1:1" x14ac:dyDescent="0.3">
      <c r="A20473" s="20"/>
    </row>
    <row r="20474" spans="1:1" x14ac:dyDescent="0.3">
      <c r="A20474" s="20"/>
    </row>
    <row r="20475" spans="1:1" x14ac:dyDescent="0.3">
      <c r="A20475" s="20"/>
    </row>
    <row r="20476" spans="1:1" x14ac:dyDescent="0.3">
      <c r="A20476" s="20"/>
    </row>
    <row r="20477" spans="1:1" x14ac:dyDescent="0.3">
      <c r="A20477" s="20"/>
    </row>
    <row r="20478" spans="1:1" x14ac:dyDescent="0.3">
      <c r="A20478" s="20"/>
    </row>
    <row r="20479" spans="1:1" x14ac:dyDescent="0.3">
      <c r="A20479" s="20"/>
    </row>
    <row r="20480" spans="1:1" x14ac:dyDescent="0.3">
      <c r="A20480" s="20"/>
    </row>
    <row r="20481" spans="1:1" x14ac:dyDescent="0.3">
      <c r="A20481" s="20"/>
    </row>
    <row r="20482" spans="1:1" x14ac:dyDescent="0.3">
      <c r="A20482" s="20"/>
    </row>
    <row r="20483" spans="1:1" x14ac:dyDescent="0.3">
      <c r="A20483" s="20"/>
    </row>
    <row r="20484" spans="1:1" x14ac:dyDescent="0.3">
      <c r="A20484" s="20"/>
    </row>
    <row r="20485" spans="1:1" x14ac:dyDescent="0.3">
      <c r="A20485" s="20"/>
    </row>
    <row r="20486" spans="1:1" x14ac:dyDescent="0.3">
      <c r="A20486" s="20"/>
    </row>
    <row r="20487" spans="1:1" x14ac:dyDescent="0.3">
      <c r="A20487" s="20"/>
    </row>
    <row r="20488" spans="1:1" x14ac:dyDescent="0.3">
      <c r="A20488" s="20"/>
    </row>
    <row r="20489" spans="1:1" x14ac:dyDescent="0.3">
      <c r="A20489" s="20"/>
    </row>
    <row r="20490" spans="1:1" x14ac:dyDescent="0.3">
      <c r="A20490" s="20"/>
    </row>
    <row r="20491" spans="1:1" x14ac:dyDescent="0.3">
      <c r="A20491" s="20"/>
    </row>
    <row r="20492" spans="1:1" x14ac:dyDescent="0.3">
      <c r="A20492" s="20"/>
    </row>
    <row r="20493" spans="1:1" x14ac:dyDescent="0.3">
      <c r="A20493" s="20"/>
    </row>
    <row r="20494" spans="1:1" x14ac:dyDescent="0.3">
      <c r="A20494" s="20"/>
    </row>
    <row r="20495" spans="1:1" x14ac:dyDescent="0.3">
      <c r="A20495" s="20"/>
    </row>
    <row r="20496" spans="1:1" x14ac:dyDescent="0.3">
      <c r="A20496" s="20"/>
    </row>
    <row r="20497" spans="1:1" x14ac:dyDescent="0.3">
      <c r="A20497" s="20"/>
    </row>
    <row r="20498" spans="1:1" x14ac:dyDescent="0.3">
      <c r="A20498" s="20"/>
    </row>
    <row r="20499" spans="1:1" x14ac:dyDescent="0.3">
      <c r="A20499" s="20"/>
    </row>
    <row r="20500" spans="1:1" x14ac:dyDescent="0.3">
      <c r="A20500" s="20"/>
    </row>
    <row r="20501" spans="1:1" x14ac:dyDescent="0.3">
      <c r="A20501" s="20"/>
    </row>
    <row r="20502" spans="1:1" x14ac:dyDescent="0.3">
      <c r="A20502" s="20"/>
    </row>
    <row r="20503" spans="1:1" x14ac:dyDescent="0.3">
      <c r="A20503" s="20"/>
    </row>
    <row r="20504" spans="1:1" x14ac:dyDescent="0.3">
      <c r="A20504" s="20"/>
    </row>
    <row r="20505" spans="1:1" x14ac:dyDescent="0.3">
      <c r="A20505" s="20"/>
    </row>
    <row r="20506" spans="1:1" x14ac:dyDescent="0.3">
      <c r="A20506" s="20"/>
    </row>
    <row r="20507" spans="1:1" x14ac:dyDescent="0.3">
      <c r="A20507" s="20"/>
    </row>
    <row r="20508" spans="1:1" x14ac:dyDescent="0.3">
      <c r="A20508" s="20"/>
    </row>
    <row r="20509" spans="1:1" x14ac:dyDescent="0.3">
      <c r="A20509" s="20"/>
    </row>
    <row r="20510" spans="1:1" x14ac:dyDescent="0.3">
      <c r="A20510" s="20"/>
    </row>
    <row r="20511" spans="1:1" x14ac:dyDescent="0.3">
      <c r="A20511" s="20"/>
    </row>
    <row r="20512" spans="1:1" x14ac:dyDescent="0.3">
      <c r="A20512" s="20"/>
    </row>
    <row r="20513" spans="1:1" x14ac:dyDescent="0.3">
      <c r="A20513" s="20"/>
    </row>
    <row r="20514" spans="1:1" x14ac:dyDescent="0.3">
      <c r="A20514" s="20"/>
    </row>
    <row r="20515" spans="1:1" x14ac:dyDescent="0.3">
      <c r="A20515" s="20"/>
    </row>
    <row r="20516" spans="1:1" x14ac:dyDescent="0.3">
      <c r="A20516" s="20"/>
    </row>
    <row r="20517" spans="1:1" x14ac:dyDescent="0.3">
      <c r="A20517" s="20"/>
    </row>
    <row r="20518" spans="1:1" x14ac:dyDescent="0.3">
      <c r="A20518" s="20"/>
    </row>
    <row r="20519" spans="1:1" x14ac:dyDescent="0.3">
      <c r="A20519" s="20"/>
    </row>
    <row r="20520" spans="1:1" x14ac:dyDescent="0.3">
      <c r="A20520" s="20"/>
    </row>
    <row r="20521" spans="1:1" x14ac:dyDescent="0.3">
      <c r="A20521" s="20"/>
    </row>
    <row r="20522" spans="1:1" x14ac:dyDescent="0.3">
      <c r="A20522" s="20"/>
    </row>
    <row r="20523" spans="1:1" x14ac:dyDescent="0.3">
      <c r="A20523" s="20"/>
    </row>
    <row r="20524" spans="1:1" x14ac:dyDescent="0.3">
      <c r="A20524" s="20"/>
    </row>
    <row r="20525" spans="1:1" x14ac:dyDescent="0.3">
      <c r="A20525" s="20"/>
    </row>
    <row r="20526" spans="1:1" x14ac:dyDescent="0.3">
      <c r="A20526" s="20"/>
    </row>
    <row r="20527" spans="1:1" x14ac:dyDescent="0.3">
      <c r="A20527" s="20"/>
    </row>
    <row r="20528" spans="1:1" x14ac:dyDescent="0.3">
      <c r="A20528" s="20"/>
    </row>
    <row r="20529" spans="1:1" x14ac:dyDescent="0.3">
      <c r="A20529" s="20"/>
    </row>
    <row r="20530" spans="1:1" x14ac:dyDescent="0.3">
      <c r="A20530" s="20"/>
    </row>
    <row r="20531" spans="1:1" x14ac:dyDescent="0.3">
      <c r="A20531" s="20"/>
    </row>
    <row r="20532" spans="1:1" x14ac:dyDescent="0.3">
      <c r="A20532" s="20"/>
    </row>
    <row r="20533" spans="1:1" x14ac:dyDescent="0.3">
      <c r="A20533" s="20"/>
    </row>
    <row r="20534" spans="1:1" x14ac:dyDescent="0.3">
      <c r="A20534" s="20"/>
    </row>
    <row r="20535" spans="1:1" x14ac:dyDescent="0.3">
      <c r="A20535" s="20"/>
    </row>
    <row r="20536" spans="1:1" x14ac:dyDescent="0.3">
      <c r="A20536" s="20"/>
    </row>
    <row r="20537" spans="1:1" x14ac:dyDescent="0.3">
      <c r="A20537" s="20"/>
    </row>
    <row r="20538" spans="1:1" x14ac:dyDescent="0.3">
      <c r="A20538" s="20"/>
    </row>
    <row r="20539" spans="1:1" x14ac:dyDescent="0.3">
      <c r="A20539" s="20"/>
    </row>
    <row r="20540" spans="1:1" x14ac:dyDescent="0.3">
      <c r="A20540" s="20"/>
    </row>
    <row r="20541" spans="1:1" x14ac:dyDescent="0.3">
      <c r="A20541" s="20"/>
    </row>
    <row r="20542" spans="1:1" x14ac:dyDescent="0.3">
      <c r="A20542" s="20"/>
    </row>
    <row r="20543" spans="1:1" x14ac:dyDescent="0.3">
      <c r="A20543" s="20"/>
    </row>
    <row r="20544" spans="1:1" x14ac:dyDescent="0.3">
      <c r="A20544" s="20"/>
    </row>
    <row r="20545" spans="1:1" x14ac:dyDescent="0.3">
      <c r="A20545" s="20"/>
    </row>
    <row r="20546" spans="1:1" x14ac:dyDescent="0.3">
      <c r="A20546" s="20"/>
    </row>
    <row r="20547" spans="1:1" x14ac:dyDescent="0.3">
      <c r="A20547" s="20"/>
    </row>
    <row r="20548" spans="1:1" x14ac:dyDescent="0.3">
      <c r="A20548" s="20"/>
    </row>
    <row r="20549" spans="1:1" x14ac:dyDescent="0.3">
      <c r="A20549" s="20"/>
    </row>
    <row r="20550" spans="1:1" x14ac:dyDescent="0.3">
      <c r="A20550" s="20"/>
    </row>
    <row r="20551" spans="1:1" x14ac:dyDescent="0.3">
      <c r="A20551" s="20"/>
    </row>
    <row r="20552" spans="1:1" x14ac:dyDescent="0.3">
      <c r="A20552" s="20"/>
    </row>
    <row r="20553" spans="1:1" x14ac:dyDescent="0.3">
      <c r="A20553" s="20"/>
    </row>
    <row r="20554" spans="1:1" x14ac:dyDescent="0.3">
      <c r="A20554" s="20"/>
    </row>
    <row r="20555" spans="1:1" x14ac:dyDescent="0.3">
      <c r="A20555" s="20"/>
    </row>
    <row r="20556" spans="1:1" x14ac:dyDescent="0.3">
      <c r="A20556" s="20"/>
    </row>
    <row r="20557" spans="1:1" x14ac:dyDescent="0.3">
      <c r="A20557" s="20"/>
    </row>
    <row r="20558" spans="1:1" x14ac:dyDescent="0.3">
      <c r="A20558" s="20"/>
    </row>
    <row r="20559" spans="1:1" x14ac:dyDescent="0.3">
      <c r="A20559" s="20"/>
    </row>
    <row r="20560" spans="1:1" x14ac:dyDescent="0.3">
      <c r="A20560" s="20"/>
    </row>
    <row r="20561" spans="1:1" x14ac:dyDescent="0.3">
      <c r="A20561" s="20"/>
    </row>
    <row r="20562" spans="1:1" x14ac:dyDescent="0.3">
      <c r="A20562" s="20"/>
    </row>
    <row r="20563" spans="1:1" x14ac:dyDescent="0.3">
      <c r="A20563" s="20"/>
    </row>
    <row r="20564" spans="1:1" x14ac:dyDescent="0.3">
      <c r="A20564" s="20"/>
    </row>
    <row r="20565" spans="1:1" x14ac:dyDescent="0.3">
      <c r="A20565" s="20"/>
    </row>
    <row r="20566" spans="1:1" x14ac:dyDescent="0.3">
      <c r="A20566" s="20"/>
    </row>
    <row r="20567" spans="1:1" x14ac:dyDescent="0.3">
      <c r="A20567" s="20"/>
    </row>
    <row r="20568" spans="1:1" x14ac:dyDescent="0.3">
      <c r="A20568" s="20"/>
    </row>
    <row r="20569" spans="1:1" x14ac:dyDescent="0.3">
      <c r="A20569" s="20"/>
    </row>
    <row r="20570" spans="1:1" x14ac:dyDescent="0.3">
      <c r="A20570" s="20"/>
    </row>
    <row r="20571" spans="1:1" x14ac:dyDescent="0.3">
      <c r="A20571" s="20"/>
    </row>
    <row r="20572" spans="1:1" x14ac:dyDescent="0.3">
      <c r="A20572" s="20"/>
    </row>
    <row r="20573" spans="1:1" x14ac:dyDescent="0.3">
      <c r="A20573" s="20"/>
    </row>
    <row r="20574" spans="1:1" x14ac:dyDescent="0.3">
      <c r="A20574" s="20"/>
    </row>
    <row r="20575" spans="1:1" x14ac:dyDescent="0.3">
      <c r="A20575" s="20"/>
    </row>
    <row r="20576" spans="1:1" x14ac:dyDescent="0.3">
      <c r="A20576" s="20"/>
    </row>
    <row r="20577" spans="1:1" x14ac:dyDescent="0.3">
      <c r="A20577" s="20"/>
    </row>
    <row r="20578" spans="1:1" x14ac:dyDescent="0.3">
      <c r="A20578" s="20"/>
    </row>
    <row r="20579" spans="1:1" x14ac:dyDescent="0.3">
      <c r="A20579" s="20"/>
    </row>
    <row r="20580" spans="1:1" x14ac:dyDescent="0.3">
      <c r="A20580" s="20"/>
    </row>
    <row r="20581" spans="1:1" x14ac:dyDescent="0.3">
      <c r="A20581" s="20"/>
    </row>
    <row r="20582" spans="1:1" x14ac:dyDescent="0.3">
      <c r="A20582" s="20"/>
    </row>
    <row r="20583" spans="1:1" x14ac:dyDescent="0.3">
      <c r="A20583" s="20"/>
    </row>
    <row r="20584" spans="1:1" x14ac:dyDescent="0.3">
      <c r="A20584" s="20"/>
    </row>
    <row r="20585" spans="1:1" x14ac:dyDescent="0.3">
      <c r="A20585" s="20"/>
    </row>
    <row r="20586" spans="1:1" x14ac:dyDescent="0.3">
      <c r="A20586" s="20"/>
    </row>
    <row r="20587" spans="1:1" x14ac:dyDescent="0.3">
      <c r="A20587" s="20"/>
    </row>
    <row r="20588" spans="1:1" x14ac:dyDescent="0.3">
      <c r="A20588" s="20"/>
    </row>
    <row r="20589" spans="1:1" x14ac:dyDescent="0.3">
      <c r="A20589" s="20"/>
    </row>
    <row r="20590" spans="1:1" x14ac:dyDescent="0.3">
      <c r="A20590" s="20"/>
    </row>
    <row r="20591" spans="1:1" x14ac:dyDescent="0.3">
      <c r="A20591" s="20"/>
    </row>
    <row r="20592" spans="1:1" x14ac:dyDescent="0.3">
      <c r="A20592" s="20"/>
    </row>
    <row r="20593" spans="1:1" x14ac:dyDescent="0.3">
      <c r="A20593" s="20"/>
    </row>
    <row r="20594" spans="1:1" x14ac:dyDescent="0.3">
      <c r="A20594" s="20"/>
    </row>
    <row r="20595" spans="1:1" x14ac:dyDescent="0.3">
      <c r="A20595" s="20"/>
    </row>
    <row r="20596" spans="1:1" x14ac:dyDescent="0.3">
      <c r="A20596" s="20"/>
    </row>
    <row r="20597" spans="1:1" x14ac:dyDescent="0.3">
      <c r="A20597" s="20"/>
    </row>
    <row r="20598" spans="1:1" x14ac:dyDescent="0.3">
      <c r="A20598" s="20"/>
    </row>
    <row r="20599" spans="1:1" x14ac:dyDescent="0.3">
      <c r="A20599" s="20"/>
    </row>
    <row r="20600" spans="1:1" x14ac:dyDescent="0.3">
      <c r="A20600" s="20"/>
    </row>
    <row r="20601" spans="1:1" x14ac:dyDescent="0.3">
      <c r="A20601" s="20"/>
    </row>
    <row r="20602" spans="1:1" x14ac:dyDescent="0.3">
      <c r="A20602" s="20"/>
    </row>
    <row r="20603" spans="1:1" x14ac:dyDescent="0.3">
      <c r="A20603" s="20"/>
    </row>
    <row r="20604" spans="1:1" x14ac:dyDescent="0.3">
      <c r="A20604" s="20"/>
    </row>
    <row r="20605" spans="1:1" x14ac:dyDescent="0.3">
      <c r="A20605" s="20"/>
    </row>
    <row r="20606" spans="1:1" x14ac:dyDescent="0.3">
      <c r="A20606" s="20"/>
    </row>
    <row r="20607" spans="1:1" x14ac:dyDescent="0.3">
      <c r="A20607" s="20"/>
    </row>
    <row r="20608" spans="1:1" x14ac:dyDescent="0.3">
      <c r="A20608" s="20"/>
    </row>
    <row r="20609" spans="1:1" x14ac:dyDescent="0.3">
      <c r="A20609" s="20"/>
    </row>
    <row r="20610" spans="1:1" x14ac:dyDescent="0.3">
      <c r="A20610" s="20"/>
    </row>
    <row r="20611" spans="1:1" x14ac:dyDescent="0.3">
      <c r="A20611" s="20"/>
    </row>
    <row r="20612" spans="1:1" x14ac:dyDescent="0.3">
      <c r="A20612" s="20"/>
    </row>
    <row r="20613" spans="1:1" x14ac:dyDescent="0.3">
      <c r="A20613" s="20"/>
    </row>
    <row r="20614" spans="1:1" x14ac:dyDescent="0.3">
      <c r="A20614" s="20"/>
    </row>
    <row r="20615" spans="1:1" x14ac:dyDescent="0.3">
      <c r="A20615" s="20"/>
    </row>
    <row r="20616" spans="1:1" x14ac:dyDescent="0.3">
      <c r="A20616" s="20"/>
    </row>
    <row r="20617" spans="1:1" x14ac:dyDescent="0.3">
      <c r="A20617" s="20"/>
    </row>
    <row r="20618" spans="1:1" x14ac:dyDescent="0.3">
      <c r="A20618" s="20"/>
    </row>
    <row r="20619" spans="1:1" x14ac:dyDescent="0.3">
      <c r="A20619" s="20"/>
    </row>
    <row r="20620" spans="1:1" x14ac:dyDescent="0.3">
      <c r="A20620" s="20"/>
    </row>
    <row r="20621" spans="1:1" x14ac:dyDescent="0.3">
      <c r="A20621" s="20"/>
    </row>
    <row r="20622" spans="1:1" x14ac:dyDescent="0.3">
      <c r="A20622" s="20"/>
    </row>
    <row r="20623" spans="1:1" x14ac:dyDescent="0.3">
      <c r="A20623" s="20"/>
    </row>
    <row r="20624" spans="1:1" x14ac:dyDescent="0.3">
      <c r="A20624" s="20"/>
    </row>
    <row r="20625" spans="1:1" x14ac:dyDescent="0.3">
      <c r="A20625" s="20"/>
    </row>
    <row r="20626" spans="1:1" x14ac:dyDescent="0.3">
      <c r="A20626" s="20"/>
    </row>
    <row r="20627" spans="1:1" x14ac:dyDescent="0.3">
      <c r="A20627" s="20"/>
    </row>
    <row r="20628" spans="1:1" x14ac:dyDescent="0.3">
      <c r="A20628" s="20"/>
    </row>
    <row r="20629" spans="1:1" x14ac:dyDescent="0.3">
      <c r="A20629" s="20"/>
    </row>
    <row r="20630" spans="1:1" x14ac:dyDescent="0.3">
      <c r="A20630" s="20"/>
    </row>
    <row r="20631" spans="1:1" x14ac:dyDescent="0.3">
      <c r="A20631" s="20"/>
    </row>
    <row r="20632" spans="1:1" x14ac:dyDescent="0.3">
      <c r="A20632" s="20"/>
    </row>
    <row r="20633" spans="1:1" x14ac:dyDescent="0.3">
      <c r="A20633" s="20"/>
    </row>
    <row r="20634" spans="1:1" x14ac:dyDescent="0.3">
      <c r="A20634" s="20"/>
    </row>
    <row r="20635" spans="1:1" x14ac:dyDescent="0.3">
      <c r="A20635" s="20"/>
    </row>
    <row r="20636" spans="1:1" x14ac:dyDescent="0.3">
      <c r="A20636" s="20"/>
    </row>
    <row r="20637" spans="1:1" x14ac:dyDescent="0.3">
      <c r="A20637" s="20"/>
    </row>
    <row r="20638" spans="1:1" x14ac:dyDescent="0.3">
      <c r="A20638" s="20"/>
    </row>
    <row r="20639" spans="1:1" x14ac:dyDescent="0.3">
      <c r="A20639" s="20"/>
    </row>
    <row r="20640" spans="1:1" x14ac:dyDescent="0.3">
      <c r="A20640" s="20"/>
    </row>
    <row r="20641" spans="1:1" x14ac:dyDescent="0.3">
      <c r="A20641" s="20"/>
    </row>
    <row r="20642" spans="1:1" x14ac:dyDescent="0.3">
      <c r="A20642" s="20"/>
    </row>
    <row r="20643" spans="1:1" x14ac:dyDescent="0.3">
      <c r="A20643" s="20"/>
    </row>
    <row r="20644" spans="1:1" x14ac:dyDescent="0.3">
      <c r="A20644" s="20"/>
    </row>
    <row r="20645" spans="1:1" x14ac:dyDescent="0.3">
      <c r="A20645" s="20"/>
    </row>
    <row r="20646" spans="1:1" x14ac:dyDescent="0.3">
      <c r="A20646" s="20"/>
    </row>
    <row r="20647" spans="1:1" x14ac:dyDescent="0.3">
      <c r="A20647" s="20"/>
    </row>
    <row r="20648" spans="1:1" x14ac:dyDescent="0.3">
      <c r="A20648" s="20"/>
    </row>
    <row r="20649" spans="1:1" x14ac:dyDescent="0.3">
      <c r="A20649" s="20"/>
    </row>
    <row r="20650" spans="1:1" x14ac:dyDescent="0.3">
      <c r="A20650" s="20"/>
    </row>
    <row r="20651" spans="1:1" x14ac:dyDescent="0.3">
      <c r="A20651" s="20"/>
    </row>
    <row r="20652" spans="1:1" x14ac:dyDescent="0.3">
      <c r="A20652" s="20"/>
    </row>
    <row r="20653" spans="1:1" x14ac:dyDescent="0.3">
      <c r="A20653" s="20"/>
    </row>
    <row r="20654" spans="1:1" x14ac:dyDescent="0.3">
      <c r="A20654" s="20"/>
    </row>
    <row r="20655" spans="1:1" x14ac:dyDescent="0.3">
      <c r="A20655" s="20"/>
    </row>
    <row r="20656" spans="1:1" x14ac:dyDescent="0.3">
      <c r="A20656" s="20"/>
    </row>
    <row r="20657" spans="1:1" x14ac:dyDescent="0.3">
      <c r="A20657" s="20"/>
    </row>
    <row r="20658" spans="1:1" x14ac:dyDescent="0.3">
      <c r="A20658" s="20"/>
    </row>
    <row r="20659" spans="1:1" x14ac:dyDescent="0.3">
      <c r="A20659" s="20"/>
    </row>
    <row r="20660" spans="1:1" x14ac:dyDescent="0.3">
      <c r="A20660" s="20"/>
    </row>
    <row r="20661" spans="1:1" x14ac:dyDescent="0.3">
      <c r="A20661" s="20"/>
    </row>
    <row r="20662" spans="1:1" x14ac:dyDescent="0.3">
      <c r="A20662" s="20"/>
    </row>
    <row r="20663" spans="1:1" x14ac:dyDescent="0.3">
      <c r="A20663" s="20"/>
    </row>
    <row r="20664" spans="1:1" x14ac:dyDescent="0.3">
      <c r="A20664" s="20"/>
    </row>
    <row r="20665" spans="1:1" x14ac:dyDescent="0.3">
      <c r="A20665" s="20"/>
    </row>
    <row r="20666" spans="1:1" x14ac:dyDescent="0.3">
      <c r="A20666" s="20"/>
    </row>
    <row r="20667" spans="1:1" x14ac:dyDescent="0.3">
      <c r="A20667" s="20"/>
    </row>
    <row r="20668" spans="1:1" x14ac:dyDescent="0.3">
      <c r="A20668" s="20"/>
    </row>
    <row r="20669" spans="1:1" x14ac:dyDescent="0.3">
      <c r="A20669" s="20"/>
    </row>
    <row r="20670" spans="1:1" x14ac:dyDescent="0.3">
      <c r="A20670" s="20"/>
    </row>
    <row r="20671" spans="1:1" x14ac:dyDescent="0.3">
      <c r="A20671" s="20"/>
    </row>
    <row r="20672" spans="1:1" x14ac:dyDescent="0.3">
      <c r="A20672" s="20"/>
    </row>
    <row r="20673" spans="1:1" x14ac:dyDescent="0.3">
      <c r="A20673" s="20"/>
    </row>
    <row r="20674" spans="1:1" x14ac:dyDescent="0.3">
      <c r="A20674" s="20"/>
    </row>
    <row r="20675" spans="1:1" x14ac:dyDescent="0.3">
      <c r="A20675" s="20"/>
    </row>
    <row r="20676" spans="1:1" x14ac:dyDescent="0.3">
      <c r="A20676" s="20"/>
    </row>
    <row r="20677" spans="1:1" x14ac:dyDescent="0.3">
      <c r="A20677" s="20"/>
    </row>
    <row r="20678" spans="1:1" x14ac:dyDescent="0.3">
      <c r="A20678" s="20"/>
    </row>
    <row r="20679" spans="1:1" x14ac:dyDescent="0.3">
      <c r="A20679" s="20"/>
    </row>
    <row r="20680" spans="1:1" x14ac:dyDescent="0.3">
      <c r="A20680" s="20"/>
    </row>
    <row r="20681" spans="1:1" x14ac:dyDescent="0.3">
      <c r="A20681" s="20"/>
    </row>
    <row r="20682" spans="1:1" x14ac:dyDescent="0.3">
      <c r="A20682" s="20"/>
    </row>
    <row r="20683" spans="1:1" x14ac:dyDescent="0.3">
      <c r="A20683" s="20"/>
    </row>
    <row r="20684" spans="1:1" x14ac:dyDescent="0.3">
      <c r="A20684" s="20"/>
    </row>
    <row r="20685" spans="1:1" x14ac:dyDescent="0.3">
      <c r="A20685" s="20"/>
    </row>
    <row r="20686" spans="1:1" x14ac:dyDescent="0.3">
      <c r="A20686" s="20"/>
    </row>
    <row r="20687" spans="1:1" x14ac:dyDescent="0.3">
      <c r="A20687" s="20"/>
    </row>
    <row r="20688" spans="1:1" x14ac:dyDescent="0.3">
      <c r="A20688" s="20"/>
    </row>
    <row r="20689" spans="1:1" x14ac:dyDescent="0.3">
      <c r="A20689" s="20"/>
    </row>
    <row r="20690" spans="1:1" x14ac:dyDescent="0.3">
      <c r="A20690" s="20"/>
    </row>
    <row r="20691" spans="1:1" x14ac:dyDescent="0.3">
      <c r="A20691" s="20"/>
    </row>
    <row r="20692" spans="1:1" x14ac:dyDescent="0.3">
      <c r="A20692" s="20"/>
    </row>
    <row r="20693" spans="1:1" x14ac:dyDescent="0.3">
      <c r="A20693" s="20"/>
    </row>
    <row r="20694" spans="1:1" x14ac:dyDescent="0.3">
      <c r="A20694" s="20"/>
    </row>
    <row r="20695" spans="1:1" x14ac:dyDescent="0.3">
      <c r="A20695" s="20"/>
    </row>
    <row r="20696" spans="1:1" x14ac:dyDescent="0.3">
      <c r="A20696" s="20"/>
    </row>
    <row r="20697" spans="1:1" x14ac:dyDescent="0.3">
      <c r="A20697" s="20"/>
    </row>
    <row r="20698" spans="1:1" x14ac:dyDescent="0.3">
      <c r="A20698" s="20"/>
    </row>
    <row r="20699" spans="1:1" x14ac:dyDescent="0.3">
      <c r="A20699" s="20"/>
    </row>
    <row r="20700" spans="1:1" x14ac:dyDescent="0.3">
      <c r="A20700" s="20"/>
    </row>
    <row r="20701" spans="1:1" x14ac:dyDescent="0.3">
      <c r="A20701" s="20"/>
    </row>
    <row r="20702" spans="1:1" x14ac:dyDescent="0.3">
      <c r="A20702" s="20"/>
    </row>
    <row r="20703" spans="1:1" x14ac:dyDescent="0.3">
      <c r="A20703" s="20"/>
    </row>
    <row r="20704" spans="1:1" x14ac:dyDescent="0.3">
      <c r="A20704" s="20"/>
    </row>
    <row r="20705" spans="1:1" x14ac:dyDescent="0.3">
      <c r="A20705" s="20"/>
    </row>
    <row r="20706" spans="1:1" x14ac:dyDescent="0.3">
      <c r="A20706" s="20"/>
    </row>
    <row r="20707" spans="1:1" x14ac:dyDescent="0.3">
      <c r="A20707" s="20"/>
    </row>
    <row r="20708" spans="1:1" x14ac:dyDescent="0.3">
      <c r="A20708" s="20"/>
    </row>
    <row r="20709" spans="1:1" x14ac:dyDescent="0.3">
      <c r="A20709" s="20"/>
    </row>
    <row r="20710" spans="1:1" x14ac:dyDescent="0.3">
      <c r="A20710" s="20"/>
    </row>
    <row r="20711" spans="1:1" x14ac:dyDescent="0.3">
      <c r="A20711" s="20"/>
    </row>
    <row r="20712" spans="1:1" x14ac:dyDescent="0.3">
      <c r="A20712" s="20"/>
    </row>
    <row r="20713" spans="1:1" x14ac:dyDescent="0.3">
      <c r="A20713" s="20"/>
    </row>
    <row r="20714" spans="1:1" x14ac:dyDescent="0.3">
      <c r="A20714" s="20"/>
    </row>
    <row r="20715" spans="1:1" x14ac:dyDescent="0.3">
      <c r="A20715" s="20"/>
    </row>
    <row r="20716" spans="1:1" x14ac:dyDescent="0.3">
      <c r="A20716" s="20"/>
    </row>
    <row r="20717" spans="1:1" x14ac:dyDescent="0.3">
      <c r="A20717" s="20"/>
    </row>
    <row r="20718" spans="1:1" x14ac:dyDescent="0.3">
      <c r="A20718" s="20"/>
    </row>
    <row r="20719" spans="1:1" x14ac:dyDescent="0.3">
      <c r="A20719" s="20"/>
    </row>
    <row r="20720" spans="1:1" x14ac:dyDescent="0.3">
      <c r="A20720" s="20"/>
    </row>
    <row r="20721" spans="1:1" x14ac:dyDescent="0.3">
      <c r="A20721" s="20"/>
    </row>
    <row r="20722" spans="1:1" x14ac:dyDescent="0.3">
      <c r="A20722" s="20"/>
    </row>
    <row r="20723" spans="1:1" x14ac:dyDescent="0.3">
      <c r="A20723" s="20"/>
    </row>
    <row r="20724" spans="1:1" x14ac:dyDescent="0.3">
      <c r="A20724" s="20"/>
    </row>
    <row r="20725" spans="1:1" x14ac:dyDescent="0.3">
      <c r="A20725" s="20"/>
    </row>
    <row r="20726" spans="1:1" x14ac:dyDescent="0.3">
      <c r="A20726" s="20"/>
    </row>
    <row r="20727" spans="1:1" x14ac:dyDescent="0.3">
      <c r="A20727" s="20"/>
    </row>
    <row r="20728" spans="1:1" x14ac:dyDescent="0.3">
      <c r="A20728" s="20"/>
    </row>
    <row r="20729" spans="1:1" x14ac:dyDescent="0.3">
      <c r="A20729" s="20"/>
    </row>
    <row r="20730" spans="1:1" x14ac:dyDescent="0.3">
      <c r="A20730" s="20"/>
    </row>
    <row r="20731" spans="1:1" x14ac:dyDescent="0.3">
      <c r="A20731" s="20"/>
    </row>
    <row r="20732" spans="1:1" x14ac:dyDescent="0.3">
      <c r="A20732" s="20"/>
    </row>
    <row r="20733" spans="1:1" x14ac:dyDescent="0.3">
      <c r="A20733" s="20"/>
    </row>
    <row r="20734" spans="1:1" x14ac:dyDescent="0.3">
      <c r="A20734" s="20"/>
    </row>
    <row r="20735" spans="1:1" x14ac:dyDescent="0.3">
      <c r="A20735" s="20"/>
    </row>
    <row r="20736" spans="1:1" x14ac:dyDescent="0.3">
      <c r="A20736" s="20"/>
    </row>
    <row r="20737" spans="1:1" x14ac:dyDescent="0.3">
      <c r="A20737" s="20"/>
    </row>
    <row r="20738" spans="1:1" x14ac:dyDescent="0.3">
      <c r="A20738" s="20"/>
    </row>
    <row r="20739" spans="1:1" x14ac:dyDescent="0.3">
      <c r="A20739" s="20"/>
    </row>
    <row r="20740" spans="1:1" x14ac:dyDescent="0.3">
      <c r="A20740" s="20"/>
    </row>
    <row r="20741" spans="1:1" x14ac:dyDescent="0.3">
      <c r="A20741" s="20"/>
    </row>
    <row r="20742" spans="1:1" x14ac:dyDescent="0.3">
      <c r="A20742" s="20"/>
    </row>
    <row r="20743" spans="1:1" x14ac:dyDescent="0.3">
      <c r="A20743" s="20"/>
    </row>
    <row r="20744" spans="1:1" x14ac:dyDescent="0.3">
      <c r="A20744" s="20"/>
    </row>
    <row r="20745" spans="1:1" x14ac:dyDescent="0.3">
      <c r="A20745" s="20"/>
    </row>
    <row r="20746" spans="1:1" x14ac:dyDescent="0.3">
      <c r="A20746" s="20"/>
    </row>
    <row r="20747" spans="1:1" x14ac:dyDescent="0.3">
      <c r="A20747" s="20"/>
    </row>
    <row r="20748" spans="1:1" x14ac:dyDescent="0.3">
      <c r="A20748" s="20"/>
    </row>
    <row r="20749" spans="1:1" x14ac:dyDescent="0.3">
      <c r="A20749" s="20"/>
    </row>
    <row r="20750" spans="1:1" x14ac:dyDescent="0.3">
      <c r="A20750" s="20"/>
    </row>
    <row r="20751" spans="1:1" x14ac:dyDescent="0.3">
      <c r="A20751" s="20"/>
    </row>
    <row r="20752" spans="1:1" x14ac:dyDescent="0.3">
      <c r="A20752" s="20"/>
    </row>
    <row r="20753" spans="1:1" x14ac:dyDescent="0.3">
      <c r="A20753" s="20"/>
    </row>
    <row r="20754" spans="1:1" x14ac:dyDescent="0.3">
      <c r="A20754" s="20"/>
    </row>
    <row r="20755" spans="1:1" x14ac:dyDescent="0.3">
      <c r="A20755" s="20"/>
    </row>
    <row r="20756" spans="1:1" x14ac:dyDescent="0.3">
      <c r="A20756" s="20"/>
    </row>
    <row r="20757" spans="1:1" x14ac:dyDescent="0.3">
      <c r="A20757" s="20"/>
    </row>
    <row r="20758" spans="1:1" x14ac:dyDescent="0.3">
      <c r="A20758" s="20"/>
    </row>
    <row r="20759" spans="1:1" x14ac:dyDescent="0.3">
      <c r="A20759" s="20"/>
    </row>
    <row r="20760" spans="1:1" x14ac:dyDescent="0.3">
      <c r="A20760" s="20"/>
    </row>
    <row r="20761" spans="1:1" x14ac:dyDescent="0.3">
      <c r="A20761" s="20"/>
    </row>
    <row r="20762" spans="1:1" x14ac:dyDescent="0.3">
      <c r="A20762" s="20"/>
    </row>
    <row r="20763" spans="1:1" x14ac:dyDescent="0.3">
      <c r="A20763" s="20"/>
    </row>
    <row r="20764" spans="1:1" x14ac:dyDescent="0.3">
      <c r="A20764" s="20"/>
    </row>
    <row r="20765" spans="1:1" x14ac:dyDescent="0.3">
      <c r="A20765" s="20"/>
    </row>
    <row r="20766" spans="1:1" x14ac:dyDescent="0.3">
      <c r="A20766" s="20"/>
    </row>
    <row r="20767" spans="1:1" x14ac:dyDescent="0.3">
      <c r="A20767" s="20"/>
    </row>
    <row r="20768" spans="1:1" x14ac:dyDescent="0.3">
      <c r="A20768" s="20"/>
    </row>
    <row r="20769" spans="1:1" x14ac:dyDescent="0.3">
      <c r="A20769" s="20"/>
    </row>
    <row r="20770" spans="1:1" x14ac:dyDescent="0.3">
      <c r="A20770" s="20"/>
    </row>
    <row r="20771" spans="1:1" x14ac:dyDescent="0.3">
      <c r="A20771" s="20"/>
    </row>
    <row r="20772" spans="1:1" x14ac:dyDescent="0.3">
      <c r="A20772" s="20"/>
    </row>
    <row r="20773" spans="1:1" x14ac:dyDescent="0.3">
      <c r="A20773" s="20"/>
    </row>
    <row r="20774" spans="1:1" x14ac:dyDescent="0.3">
      <c r="A20774" s="20"/>
    </row>
    <row r="20775" spans="1:1" x14ac:dyDescent="0.3">
      <c r="A20775" s="20"/>
    </row>
    <row r="20776" spans="1:1" x14ac:dyDescent="0.3">
      <c r="A20776" s="20"/>
    </row>
    <row r="20777" spans="1:1" x14ac:dyDescent="0.3">
      <c r="A20777" s="20"/>
    </row>
    <row r="20778" spans="1:1" x14ac:dyDescent="0.3">
      <c r="A20778" s="20"/>
    </row>
    <row r="20779" spans="1:1" x14ac:dyDescent="0.3">
      <c r="A20779" s="20"/>
    </row>
    <row r="20780" spans="1:1" x14ac:dyDescent="0.3">
      <c r="A20780" s="20"/>
    </row>
    <row r="20781" spans="1:1" x14ac:dyDescent="0.3">
      <c r="A20781" s="20"/>
    </row>
    <row r="20782" spans="1:1" x14ac:dyDescent="0.3">
      <c r="A20782" s="20"/>
    </row>
    <row r="20783" spans="1:1" x14ac:dyDescent="0.3">
      <c r="A20783" s="20"/>
    </row>
    <row r="20784" spans="1:1" x14ac:dyDescent="0.3">
      <c r="A20784" s="20"/>
    </row>
    <row r="20785" spans="1:1" x14ac:dyDescent="0.3">
      <c r="A20785" s="20"/>
    </row>
    <row r="20786" spans="1:1" x14ac:dyDescent="0.3">
      <c r="A20786" s="20"/>
    </row>
    <row r="20787" spans="1:1" x14ac:dyDescent="0.3">
      <c r="A20787" s="20"/>
    </row>
    <row r="20788" spans="1:1" x14ac:dyDescent="0.3">
      <c r="A20788" s="20"/>
    </row>
    <row r="20789" spans="1:1" x14ac:dyDescent="0.3">
      <c r="A20789" s="20"/>
    </row>
    <row r="20790" spans="1:1" x14ac:dyDescent="0.3">
      <c r="A20790" s="20"/>
    </row>
    <row r="20791" spans="1:1" x14ac:dyDescent="0.3">
      <c r="A20791" s="20"/>
    </row>
    <row r="20792" spans="1:1" x14ac:dyDescent="0.3">
      <c r="A20792" s="20"/>
    </row>
    <row r="20793" spans="1:1" x14ac:dyDescent="0.3">
      <c r="A20793" s="20"/>
    </row>
    <row r="20794" spans="1:1" x14ac:dyDescent="0.3">
      <c r="A20794" s="20"/>
    </row>
    <row r="20795" spans="1:1" x14ac:dyDescent="0.3">
      <c r="A20795" s="20"/>
    </row>
    <row r="20796" spans="1:1" x14ac:dyDescent="0.3">
      <c r="A20796" s="20"/>
    </row>
    <row r="20797" spans="1:1" x14ac:dyDescent="0.3">
      <c r="A20797" s="20"/>
    </row>
    <row r="20798" spans="1:1" x14ac:dyDescent="0.3">
      <c r="A20798" s="20"/>
    </row>
    <row r="20799" spans="1:1" x14ac:dyDescent="0.3">
      <c r="A20799" s="20"/>
    </row>
    <row r="20800" spans="1:1" x14ac:dyDescent="0.3">
      <c r="A20800" s="20"/>
    </row>
    <row r="20801" spans="1:1" x14ac:dyDescent="0.3">
      <c r="A20801" s="20"/>
    </row>
    <row r="20802" spans="1:1" x14ac:dyDescent="0.3">
      <c r="A20802" s="20"/>
    </row>
    <row r="20803" spans="1:1" x14ac:dyDescent="0.3">
      <c r="A20803" s="20"/>
    </row>
    <row r="20804" spans="1:1" x14ac:dyDescent="0.3">
      <c r="A20804" s="20"/>
    </row>
    <row r="20805" spans="1:1" x14ac:dyDescent="0.3">
      <c r="A20805" s="20"/>
    </row>
    <row r="20806" spans="1:1" x14ac:dyDescent="0.3">
      <c r="A20806" s="20"/>
    </row>
    <row r="20807" spans="1:1" x14ac:dyDescent="0.3">
      <c r="A20807" s="20"/>
    </row>
    <row r="20808" spans="1:1" x14ac:dyDescent="0.3">
      <c r="A20808" s="20"/>
    </row>
    <row r="20809" spans="1:1" x14ac:dyDescent="0.3">
      <c r="A20809" s="20"/>
    </row>
    <row r="20810" spans="1:1" x14ac:dyDescent="0.3">
      <c r="A20810" s="20"/>
    </row>
    <row r="20811" spans="1:1" x14ac:dyDescent="0.3">
      <c r="A20811" s="20"/>
    </row>
    <row r="20812" spans="1:1" x14ac:dyDescent="0.3">
      <c r="A20812" s="20"/>
    </row>
    <row r="20813" spans="1:1" x14ac:dyDescent="0.3">
      <c r="A20813" s="20"/>
    </row>
    <row r="20814" spans="1:1" x14ac:dyDescent="0.3">
      <c r="A20814" s="20"/>
    </row>
    <row r="20815" spans="1:1" x14ac:dyDescent="0.3">
      <c r="A20815" s="20"/>
    </row>
    <row r="20816" spans="1:1" x14ac:dyDescent="0.3">
      <c r="A20816" s="20"/>
    </row>
    <row r="20817" spans="1:1" x14ac:dyDescent="0.3">
      <c r="A20817" s="20"/>
    </row>
    <row r="20818" spans="1:1" x14ac:dyDescent="0.3">
      <c r="A20818" s="20"/>
    </row>
    <row r="20819" spans="1:1" x14ac:dyDescent="0.3">
      <c r="A20819" s="20"/>
    </row>
    <row r="20820" spans="1:1" x14ac:dyDescent="0.3">
      <c r="A20820" s="20"/>
    </row>
    <row r="20821" spans="1:1" x14ac:dyDescent="0.3">
      <c r="A20821" s="20"/>
    </row>
    <row r="20822" spans="1:1" x14ac:dyDescent="0.3">
      <c r="A20822" s="20"/>
    </row>
    <row r="20823" spans="1:1" x14ac:dyDescent="0.3">
      <c r="A20823" s="20"/>
    </row>
    <row r="20824" spans="1:1" x14ac:dyDescent="0.3">
      <c r="A20824" s="20"/>
    </row>
    <row r="20825" spans="1:1" x14ac:dyDescent="0.3">
      <c r="A20825" s="20"/>
    </row>
    <row r="20826" spans="1:1" x14ac:dyDescent="0.3">
      <c r="A20826" s="20"/>
    </row>
    <row r="20827" spans="1:1" x14ac:dyDescent="0.3">
      <c r="A20827" s="20"/>
    </row>
    <row r="20828" spans="1:1" x14ac:dyDescent="0.3">
      <c r="A20828" s="20"/>
    </row>
    <row r="20829" spans="1:1" x14ac:dyDescent="0.3">
      <c r="A20829" s="20"/>
    </row>
    <row r="20830" spans="1:1" x14ac:dyDescent="0.3">
      <c r="A20830" s="20"/>
    </row>
    <row r="20831" spans="1:1" x14ac:dyDescent="0.3">
      <c r="A20831" s="20"/>
    </row>
    <row r="20832" spans="1:1" x14ac:dyDescent="0.3">
      <c r="A20832" s="20"/>
    </row>
    <row r="20833" spans="1:1" x14ac:dyDescent="0.3">
      <c r="A20833" s="20"/>
    </row>
    <row r="20834" spans="1:1" x14ac:dyDescent="0.3">
      <c r="A20834" s="20"/>
    </row>
    <row r="20835" spans="1:1" x14ac:dyDescent="0.3">
      <c r="A20835" s="20"/>
    </row>
    <row r="20836" spans="1:1" x14ac:dyDescent="0.3">
      <c r="A20836" s="20"/>
    </row>
    <row r="20837" spans="1:1" x14ac:dyDescent="0.3">
      <c r="A20837" s="20"/>
    </row>
    <row r="20838" spans="1:1" x14ac:dyDescent="0.3">
      <c r="A20838" s="20"/>
    </row>
    <row r="20839" spans="1:1" x14ac:dyDescent="0.3">
      <c r="A20839" s="20"/>
    </row>
    <row r="20840" spans="1:1" x14ac:dyDescent="0.3">
      <c r="A20840" s="20"/>
    </row>
    <row r="20841" spans="1:1" x14ac:dyDescent="0.3">
      <c r="A20841" s="20"/>
    </row>
    <row r="20842" spans="1:1" x14ac:dyDescent="0.3">
      <c r="A20842" s="20"/>
    </row>
    <row r="20843" spans="1:1" x14ac:dyDescent="0.3">
      <c r="A20843" s="20"/>
    </row>
    <row r="20844" spans="1:1" x14ac:dyDescent="0.3">
      <c r="A20844" s="20"/>
    </row>
    <row r="20845" spans="1:1" x14ac:dyDescent="0.3">
      <c r="A20845" s="20"/>
    </row>
    <row r="20846" spans="1:1" x14ac:dyDescent="0.3">
      <c r="A20846" s="20"/>
    </row>
    <row r="20847" spans="1:1" x14ac:dyDescent="0.3">
      <c r="A20847" s="20"/>
    </row>
    <row r="20848" spans="1:1" x14ac:dyDescent="0.3">
      <c r="A20848" s="20"/>
    </row>
    <row r="20849" spans="1:1" x14ac:dyDescent="0.3">
      <c r="A20849" s="20"/>
    </row>
    <row r="20850" spans="1:1" x14ac:dyDescent="0.3">
      <c r="A20850" s="20"/>
    </row>
    <row r="20851" spans="1:1" x14ac:dyDescent="0.3">
      <c r="A20851" s="20"/>
    </row>
    <row r="20852" spans="1:1" x14ac:dyDescent="0.3">
      <c r="A20852" s="20"/>
    </row>
    <row r="20853" spans="1:1" x14ac:dyDescent="0.3">
      <c r="A20853" s="20"/>
    </row>
    <row r="20854" spans="1:1" x14ac:dyDescent="0.3">
      <c r="A20854" s="20"/>
    </row>
    <row r="20855" spans="1:1" x14ac:dyDescent="0.3">
      <c r="A20855" s="20"/>
    </row>
    <row r="20856" spans="1:1" x14ac:dyDescent="0.3">
      <c r="A20856" s="20"/>
    </row>
    <row r="20857" spans="1:1" x14ac:dyDescent="0.3">
      <c r="A20857" s="20"/>
    </row>
    <row r="20858" spans="1:1" x14ac:dyDescent="0.3">
      <c r="A20858" s="20"/>
    </row>
    <row r="20859" spans="1:1" x14ac:dyDescent="0.3">
      <c r="A20859" s="20"/>
    </row>
    <row r="20860" spans="1:1" x14ac:dyDescent="0.3">
      <c r="A20860" s="20"/>
    </row>
    <row r="20861" spans="1:1" x14ac:dyDescent="0.3">
      <c r="A20861" s="20"/>
    </row>
    <row r="20862" spans="1:1" x14ac:dyDescent="0.3">
      <c r="A20862" s="20"/>
    </row>
    <row r="20863" spans="1:1" x14ac:dyDescent="0.3">
      <c r="A20863" s="20"/>
    </row>
    <row r="20864" spans="1:1" x14ac:dyDescent="0.3">
      <c r="A20864" s="20"/>
    </row>
    <row r="20865" spans="1:1" x14ac:dyDescent="0.3">
      <c r="A20865" s="20"/>
    </row>
    <row r="20866" spans="1:1" x14ac:dyDescent="0.3">
      <c r="A20866" s="20"/>
    </row>
    <row r="20867" spans="1:1" x14ac:dyDescent="0.3">
      <c r="A20867" s="20"/>
    </row>
    <row r="20868" spans="1:1" x14ac:dyDescent="0.3">
      <c r="A20868" s="20"/>
    </row>
    <row r="20869" spans="1:1" x14ac:dyDescent="0.3">
      <c r="A20869" s="20"/>
    </row>
    <row r="20870" spans="1:1" x14ac:dyDescent="0.3">
      <c r="A20870" s="20"/>
    </row>
    <row r="20871" spans="1:1" x14ac:dyDescent="0.3">
      <c r="A20871" s="20"/>
    </row>
    <row r="20872" spans="1:1" x14ac:dyDescent="0.3">
      <c r="A20872" s="20"/>
    </row>
    <row r="20873" spans="1:1" x14ac:dyDescent="0.3">
      <c r="A20873" s="20"/>
    </row>
    <row r="20874" spans="1:1" x14ac:dyDescent="0.3">
      <c r="A20874" s="20"/>
    </row>
    <row r="20875" spans="1:1" x14ac:dyDescent="0.3">
      <c r="A20875" s="20"/>
    </row>
    <row r="20876" spans="1:1" x14ac:dyDescent="0.3">
      <c r="A20876" s="20"/>
    </row>
    <row r="20877" spans="1:1" x14ac:dyDescent="0.3">
      <c r="A20877" s="20"/>
    </row>
    <row r="20878" spans="1:1" x14ac:dyDescent="0.3">
      <c r="A20878" s="20"/>
    </row>
    <row r="20879" spans="1:1" x14ac:dyDescent="0.3">
      <c r="A20879" s="20"/>
    </row>
    <row r="20880" spans="1:1" x14ac:dyDescent="0.3">
      <c r="A20880" s="20"/>
    </row>
    <row r="20881" spans="1:1" x14ac:dyDescent="0.3">
      <c r="A20881" s="20"/>
    </row>
    <row r="20882" spans="1:1" x14ac:dyDescent="0.3">
      <c r="A20882" s="20"/>
    </row>
    <row r="20883" spans="1:1" x14ac:dyDescent="0.3">
      <c r="A20883" s="20"/>
    </row>
    <row r="20884" spans="1:1" x14ac:dyDescent="0.3">
      <c r="A20884" s="20"/>
    </row>
    <row r="20885" spans="1:1" x14ac:dyDescent="0.3">
      <c r="A20885" s="20"/>
    </row>
    <row r="20886" spans="1:1" x14ac:dyDescent="0.3">
      <c r="A20886" s="20"/>
    </row>
    <row r="20887" spans="1:1" x14ac:dyDescent="0.3">
      <c r="A20887" s="20"/>
    </row>
    <row r="20888" spans="1:1" x14ac:dyDescent="0.3">
      <c r="A20888" s="20"/>
    </row>
    <row r="20889" spans="1:1" x14ac:dyDescent="0.3">
      <c r="A20889" s="20"/>
    </row>
    <row r="20890" spans="1:1" x14ac:dyDescent="0.3">
      <c r="A20890" s="20"/>
    </row>
    <row r="20891" spans="1:1" x14ac:dyDescent="0.3">
      <c r="A20891" s="20"/>
    </row>
    <row r="20892" spans="1:1" x14ac:dyDescent="0.3">
      <c r="A20892" s="20"/>
    </row>
    <row r="20893" spans="1:1" x14ac:dyDescent="0.3">
      <c r="A20893" s="20"/>
    </row>
    <row r="20894" spans="1:1" x14ac:dyDescent="0.3">
      <c r="A20894" s="20"/>
    </row>
    <row r="20895" spans="1:1" x14ac:dyDescent="0.3">
      <c r="A20895" s="20"/>
    </row>
    <row r="20896" spans="1:1" x14ac:dyDescent="0.3">
      <c r="A20896" s="20"/>
    </row>
    <row r="20897" spans="1:1" x14ac:dyDescent="0.3">
      <c r="A20897" s="20"/>
    </row>
    <row r="20898" spans="1:1" x14ac:dyDescent="0.3">
      <c r="A20898" s="20"/>
    </row>
    <row r="20899" spans="1:1" x14ac:dyDescent="0.3">
      <c r="A20899" s="20"/>
    </row>
    <row r="20900" spans="1:1" x14ac:dyDescent="0.3">
      <c r="A20900" s="20"/>
    </row>
    <row r="20901" spans="1:1" x14ac:dyDescent="0.3">
      <c r="A20901" s="20"/>
    </row>
    <row r="20902" spans="1:1" x14ac:dyDescent="0.3">
      <c r="A20902" s="20"/>
    </row>
    <row r="20903" spans="1:1" x14ac:dyDescent="0.3">
      <c r="A20903" s="20"/>
    </row>
    <row r="20904" spans="1:1" x14ac:dyDescent="0.3">
      <c r="A20904" s="20"/>
    </row>
    <row r="20905" spans="1:1" x14ac:dyDescent="0.3">
      <c r="A20905" s="20"/>
    </row>
    <row r="20906" spans="1:1" x14ac:dyDescent="0.3">
      <c r="A20906" s="20"/>
    </row>
    <row r="20907" spans="1:1" x14ac:dyDescent="0.3">
      <c r="A20907" s="20"/>
    </row>
    <row r="20908" spans="1:1" x14ac:dyDescent="0.3">
      <c r="A20908" s="20"/>
    </row>
    <row r="20909" spans="1:1" x14ac:dyDescent="0.3">
      <c r="A20909" s="20"/>
    </row>
    <row r="20910" spans="1:1" x14ac:dyDescent="0.3">
      <c r="A20910" s="20"/>
    </row>
    <row r="20911" spans="1:1" x14ac:dyDescent="0.3">
      <c r="A20911" s="20"/>
    </row>
    <row r="20912" spans="1:1" x14ac:dyDescent="0.3">
      <c r="A20912" s="20"/>
    </row>
    <row r="20913" spans="1:1" x14ac:dyDescent="0.3">
      <c r="A20913" s="20"/>
    </row>
    <row r="20914" spans="1:1" x14ac:dyDescent="0.3">
      <c r="A20914" s="20"/>
    </row>
    <row r="20915" spans="1:1" x14ac:dyDescent="0.3">
      <c r="A20915" s="20"/>
    </row>
    <row r="20916" spans="1:1" x14ac:dyDescent="0.3">
      <c r="A20916" s="20"/>
    </row>
    <row r="20917" spans="1:1" x14ac:dyDescent="0.3">
      <c r="A20917" s="20"/>
    </row>
    <row r="20918" spans="1:1" x14ac:dyDescent="0.3">
      <c r="A20918" s="20"/>
    </row>
    <row r="20919" spans="1:1" x14ac:dyDescent="0.3">
      <c r="A20919" s="20"/>
    </row>
    <row r="20920" spans="1:1" x14ac:dyDescent="0.3">
      <c r="A20920" s="20"/>
    </row>
    <row r="20921" spans="1:1" x14ac:dyDescent="0.3">
      <c r="A20921" s="20"/>
    </row>
    <row r="20922" spans="1:1" x14ac:dyDescent="0.3">
      <c r="A20922" s="20"/>
    </row>
    <row r="20923" spans="1:1" x14ac:dyDescent="0.3">
      <c r="A20923" s="20"/>
    </row>
    <row r="20924" spans="1:1" x14ac:dyDescent="0.3">
      <c r="A20924" s="20"/>
    </row>
    <row r="20925" spans="1:1" x14ac:dyDescent="0.3">
      <c r="A20925" s="20"/>
    </row>
    <row r="20926" spans="1:1" x14ac:dyDescent="0.3">
      <c r="A20926" s="20"/>
    </row>
    <row r="20927" spans="1:1" x14ac:dyDescent="0.3">
      <c r="A20927" s="20"/>
    </row>
    <row r="20928" spans="1:1" x14ac:dyDescent="0.3">
      <c r="A20928" s="20"/>
    </row>
    <row r="20929" spans="1:1" x14ac:dyDescent="0.3">
      <c r="A20929" s="20"/>
    </row>
    <row r="20930" spans="1:1" x14ac:dyDescent="0.3">
      <c r="A20930" s="20"/>
    </row>
    <row r="20931" spans="1:1" x14ac:dyDescent="0.3">
      <c r="A20931" s="20"/>
    </row>
    <row r="20932" spans="1:1" x14ac:dyDescent="0.3">
      <c r="A20932" s="20"/>
    </row>
    <row r="20933" spans="1:1" x14ac:dyDescent="0.3">
      <c r="A20933" s="20"/>
    </row>
    <row r="20934" spans="1:1" x14ac:dyDescent="0.3">
      <c r="A20934" s="20"/>
    </row>
    <row r="20935" spans="1:1" x14ac:dyDescent="0.3">
      <c r="A20935" s="20"/>
    </row>
    <row r="20936" spans="1:1" x14ac:dyDescent="0.3">
      <c r="A20936" s="20"/>
    </row>
    <row r="20937" spans="1:1" x14ac:dyDescent="0.3">
      <c r="A20937" s="20"/>
    </row>
    <row r="20938" spans="1:1" x14ac:dyDescent="0.3">
      <c r="A20938" s="20"/>
    </row>
    <row r="20939" spans="1:1" x14ac:dyDescent="0.3">
      <c r="A20939" s="20"/>
    </row>
    <row r="20940" spans="1:1" x14ac:dyDescent="0.3">
      <c r="A20940" s="20"/>
    </row>
    <row r="20941" spans="1:1" x14ac:dyDescent="0.3">
      <c r="A20941" s="20"/>
    </row>
    <row r="20942" spans="1:1" x14ac:dyDescent="0.3">
      <c r="A20942" s="20"/>
    </row>
    <row r="20943" spans="1:1" x14ac:dyDescent="0.3">
      <c r="A20943" s="20"/>
    </row>
    <row r="20944" spans="1:1" x14ac:dyDescent="0.3">
      <c r="A20944" s="20"/>
    </row>
    <row r="20945" spans="1:1" x14ac:dyDescent="0.3">
      <c r="A20945" s="20"/>
    </row>
    <row r="20946" spans="1:1" x14ac:dyDescent="0.3">
      <c r="A20946" s="20"/>
    </row>
    <row r="20947" spans="1:1" x14ac:dyDescent="0.3">
      <c r="A20947" s="20"/>
    </row>
    <row r="20948" spans="1:1" x14ac:dyDescent="0.3">
      <c r="A20948" s="20"/>
    </row>
    <row r="20949" spans="1:1" x14ac:dyDescent="0.3">
      <c r="A20949" s="20"/>
    </row>
    <row r="20950" spans="1:1" x14ac:dyDescent="0.3">
      <c r="A20950" s="20"/>
    </row>
    <row r="20951" spans="1:1" x14ac:dyDescent="0.3">
      <c r="A20951" s="20"/>
    </row>
    <row r="20952" spans="1:1" x14ac:dyDescent="0.3">
      <c r="A20952" s="20"/>
    </row>
    <row r="20953" spans="1:1" x14ac:dyDescent="0.3">
      <c r="A20953" s="20"/>
    </row>
    <row r="20954" spans="1:1" x14ac:dyDescent="0.3">
      <c r="A20954" s="20"/>
    </row>
    <row r="20955" spans="1:1" x14ac:dyDescent="0.3">
      <c r="A20955" s="20"/>
    </row>
    <row r="20956" spans="1:1" x14ac:dyDescent="0.3">
      <c r="A20956" s="20"/>
    </row>
    <row r="20957" spans="1:1" x14ac:dyDescent="0.3">
      <c r="A20957" s="20"/>
    </row>
    <row r="20958" spans="1:1" x14ac:dyDescent="0.3">
      <c r="A20958" s="20"/>
    </row>
    <row r="20959" spans="1:1" x14ac:dyDescent="0.3">
      <c r="A20959" s="20"/>
    </row>
    <row r="20960" spans="1:1" x14ac:dyDescent="0.3">
      <c r="A20960" s="20"/>
    </row>
    <row r="20961" spans="1:1" x14ac:dyDescent="0.3">
      <c r="A20961" s="20"/>
    </row>
    <row r="20962" spans="1:1" x14ac:dyDescent="0.3">
      <c r="A20962" s="20"/>
    </row>
    <row r="20963" spans="1:1" x14ac:dyDescent="0.3">
      <c r="A20963" s="20"/>
    </row>
    <row r="20964" spans="1:1" x14ac:dyDescent="0.3">
      <c r="A20964" s="20"/>
    </row>
    <row r="20965" spans="1:1" x14ac:dyDescent="0.3">
      <c r="A20965" s="20"/>
    </row>
    <row r="20966" spans="1:1" x14ac:dyDescent="0.3">
      <c r="A20966" s="20"/>
    </row>
    <row r="20967" spans="1:1" x14ac:dyDescent="0.3">
      <c r="A20967" s="20"/>
    </row>
    <row r="20968" spans="1:1" x14ac:dyDescent="0.3">
      <c r="A20968" s="20"/>
    </row>
    <row r="20969" spans="1:1" x14ac:dyDescent="0.3">
      <c r="A20969" s="20"/>
    </row>
    <row r="20970" spans="1:1" x14ac:dyDescent="0.3">
      <c r="A20970" s="20"/>
    </row>
    <row r="20971" spans="1:1" x14ac:dyDescent="0.3">
      <c r="A20971" s="20"/>
    </row>
    <row r="20972" spans="1:1" x14ac:dyDescent="0.3">
      <c r="A20972" s="20"/>
    </row>
    <row r="20973" spans="1:1" x14ac:dyDescent="0.3">
      <c r="A20973" s="20"/>
    </row>
    <row r="20974" spans="1:1" x14ac:dyDescent="0.3">
      <c r="A20974" s="20"/>
    </row>
    <row r="20975" spans="1:1" x14ac:dyDescent="0.3">
      <c r="A20975" s="20"/>
    </row>
    <row r="20976" spans="1:1" x14ac:dyDescent="0.3">
      <c r="A20976" s="20"/>
    </row>
    <row r="20977" spans="1:1" x14ac:dyDescent="0.3">
      <c r="A20977" s="20"/>
    </row>
    <row r="20978" spans="1:1" x14ac:dyDescent="0.3">
      <c r="A20978" s="20"/>
    </row>
    <row r="20979" spans="1:1" x14ac:dyDescent="0.3">
      <c r="A20979" s="20"/>
    </row>
    <row r="20980" spans="1:1" x14ac:dyDescent="0.3">
      <c r="A20980" s="20"/>
    </row>
    <row r="20981" spans="1:1" x14ac:dyDescent="0.3">
      <c r="A20981" s="20"/>
    </row>
    <row r="20982" spans="1:1" x14ac:dyDescent="0.3">
      <c r="A20982" s="20"/>
    </row>
    <row r="20983" spans="1:1" x14ac:dyDescent="0.3">
      <c r="A20983" s="20"/>
    </row>
    <row r="20984" spans="1:1" x14ac:dyDescent="0.3">
      <c r="A20984" s="20"/>
    </row>
    <row r="20985" spans="1:1" x14ac:dyDescent="0.3">
      <c r="A20985" s="20"/>
    </row>
    <row r="20986" spans="1:1" x14ac:dyDescent="0.3">
      <c r="A20986" s="20"/>
    </row>
    <row r="20987" spans="1:1" x14ac:dyDescent="0.3">
      <c r="A20987" s="20"/>
    </row>
    <row r="20988" spans="1:1" x14ac:dyDescent="0.3">
      <c r="A20988" s="20"/>
    </row>
    <row r="20989" spans="1:1" x14ac:dyDescent="0.3">
      <c r="A20989" s="20"/>
    </row>
    <row r="20990" spans="1:1" x14ac:dyDescent="0.3">
      <c r="A20990" s="20"/>
    </row>
    <row r="20991" spans="1:1" x14ac:dyDescent="0.3">
      <c r="A20991" s="20"/>
    </row>
    <row r="20992" spans="1:1" x14ac:dyDescent="0.3">
      <c r="A20992" s="20"/>
    </row>
    <row r="20993" spans="1:1" x14ac:dyDescent="0.3">
      <c r="A20993" s="20"/>
    </row>
    <row r="20994" spans="1:1" x14ac:dyDescent="0.3">
      <c r="A20994" s="20"/>
    </row>
    <row r="20995" spans="1:1" x14ac:dyDescent="0.3">
      <c r="A20995" s="20"/>
    </row>
    <row r="20996" spans="1:1" x14ac:dyDescent="0.3">
      <c r="A20996" s="20"/>
    </row>
    <row r="20997" spans="1:1" x14ac:dyDescent="0.3">
      <c r="A20997" s="20"/>
    </row>
    <row r="20998" spans="1:1" x14ac:dyDescent="0.3">
      <c r="A20998" s="20"/>
    </row>
    <row r="20999" spans="1:1" x14ac:dyDescent="0.3">
      <c r="A20999" s="20"/>
    </row>
    <row r="21000" spans="1:1" x14ac:dyDescent="0.3">
      <c r="A21000" s="20"/>
    </row>
    <row r="21001" spans="1:1" x14ac:dyDescent="0.3">
      <c r="A21001" s="20"/>
    </row>
    <row r="21002" spans="1:1" x14ac:dyDescent="0.3">
      <c r="A21002" s="20"/>
    </row>
    <row r="21003" spans="1:1" x14ac:dyDescent="0.3">
      <c r="A21003" s="20"/>
    </row>
    <row r="21004" spans="1:1" x14ac:dyDescent="0.3">
      <c r="A21004" s="20"/>
    </row>
    <row r="21005" spans="1:1" x14ac:dyDescent="0.3">
      <c r="A21005" s="20"/>
    </row>
    <row r="21006" spans="1:1" x14ac:dyDescent="0.3">
      <c r="A21006" s="20"/>
    </row>
    <row r="21007" spans="1:1" x14ac:dyDescent="0.3">
      <c r="A21007" s="20"/>
    </row>
    <row r="21008" spans="1:1" x14ac:dyDescent="0.3">
      <c r="A21008" s="20"/>
    </row>
    <row r="21009" spans="1:1" x14ac:dyDescent="0.3">
      <c r="A21009" s="20"/>
    </row>
    <row r="21010" spans="1:1" x14ac:dyDescent="0.3">
      <c r="A21010" s="20"/>
    </row>
    <row r="21011" spans="1:1" x14ac:dyDescent="0.3">
      <c r="A21011" s="20"/>
    </row>
    <row r="21012" spans="1:1" x14ac:dyDescent="0.3">
      <c r="A21012" s="20"/>
    </row>
    <row r="21013" spans="1:1" x14ac:dyDescent="0.3">
      <c r="A21013" s="20"/>
    </row>
    <row r="21014" spans="1:1" x14ac:dyDescent="0.3">
      <c r="A21014" s="20"/>
    </row>
    <row r="21015" spans="1:1" x14ac:dyDescent="0.3">
      <c r="A21015" s="20"/>
    </row>
    <row r="21016" spans="1:1" x14ac:dyDescent="0.3">
      <c r="A21016" s="20"/>
    </row>
    <row r="21017" spans="1:1" x14ac:dyDescent="0.3">
      <c r="A21017" s="20"/>
    </row>
    <row r="21018" spans="1:1" x14ac:dyDescent="0.3">
      <c r="A21018" s="20"/>
    </row>
    <row r="21019" spans="1:1" x14ac:dyDescent="0.3">
      <c r="A21019" s="20"/>
    </row>
    <row r="21020" spans="1:1" x14ac:dyDescent="0.3">
      <c r="A21020" s="20"/>
    </row>
    <row r="21021" spans="1:1" x14ac:dyDescent="0.3">
      <c r="A21021" s="20"/>
    </row>
    <row r="21022" spans="1:1" x14ac:dyDescent="0.3">
      <c r="A21022" s="20"/>
    </row>
    <row r="21023" spans="1:1" x14ac:dyDescent="0.3">
      <c r="A21023" s="20"/>
    </row>
    <row r="21024" spans="1:1" x14ac:dyDescent="0.3">
      <c r="A21024" s="20"/>
    </row>
    <row r="21025" spans="1:1" x14ac:dyDescent="0.3">
      <c r="A21025" s="20"/>
    </row>
    <row r="21026" spans="1:1" x14ac:dyDescent="0.3">
      <c r="A21026" s="20"/>
    </row>
    <row r="21027" spans="1:1" x14ac:dyDescent="0.3">
      <c r="A21027" s="20"/>
    </row>
    <row r="21028" spans="1:1" x14ac:dyDescent="0.3">
      <c r="A21028" s="20"/>
    </row>
    <row r="21029" spans="1:1" x14ac:dyDescent="0.3">
      <c r="A21029" s="20"/>
    </row>
    <row r="21030" spans="1:1" x14ac:dyDescent="0.3">
      <c r="A21030" s="20"/>
    </row>
    <row r="21031" spans="1:1" x14ac:dyDescent="0.3">
      <c r="A21031" s="20"/>
    </row>
    <row r="21032" spans="1:1" x14ac:dyDescent="0.3">
      <c r="A21032" s="20"/>
    </row>
    <row r="21033" spans="1:1" x14ac:dyDescent="0.3">
      <c r="A21033" s="20"/>
    </row>
    <row r="21034" spans="1:1" x14ac:dyDescent="0.3">
      <c r="A21034" s="20"/>
    </row>
    <row r="21035" spans="1:1" x14ac:dyDescent="0.3">
      <c r="A21035" s="20"/>
    </row>
    <row r="21036" spans="1:1" x14ac:dyDescent="0.3">
      <c r="A21036" s="20"/>
    </row>
    <row r="21037" spans="1:1" x14ac:dyDescent="0.3">
      <c r="A21037" s="20"/>
    </row>
    <row r="21038" spans="1:1" x14ac:dyDescent="0.3">
      <c r="A21038" s="20"/>
    </row>
    <row r="21039" spans="1:1" x14ac:dyDescent="0.3">
      <c r="A21039" s="20"/>
    </row>
    <row r="21040" spans="1:1" x14ac:dyDescent="0.3">
      <c r="A21040" s="20"/>
    </row>
    <row r="21041" spans="1:1" x14ac:dyDescent="0.3">
      <c r="A21041" s="20"/>
    </row>
    <row r="21042" spans="1:1" x14ac:dyDescent="0.3">
      <c r="A21042" s="20"/>
    </row>
    <row r="21043" spans="1:1" x14ac:dyDescent="0.3">
      <c r="A21043" s="20"/>
    </row>
    <row r="21044" spans="1:1" x14ac:dyDescent="0.3">
      <c r="A21044" s="20"/>
    </row>
    <row r="21045" spans="1:1" x14ac:dyDescent="0.3">
      <c r="A21045" s="20"/>
    </row>
    <row r="21046" spans="1:1" x14ac:dyDescent="0.3">
      <c r="A21046" s="20"/>
    </row>
    <row r="21047" spans="1:1" x14ac:dyDescent="0.3">
      <c r="A21047" s="20"/>
    </row>
    <row r="21048" spans="1:1" x14ac:dyDescent="0.3">
      <c r="A21048" s="20"/>
    </row>
    <row r="21049" spans="1:1" x14ac:dyDescent="0.3">
      <c r="A21049" s="20"/>
    </row>
    <row r="21050" spans="1:1" x14ac:dyDescent="0.3">
      <c r="A21050" s="20"/>
    </row>
    <row r="21051" spans="1:1" x14ac:dyDescent="0.3">
      <c r="A21051" s="20"/>
    </row>
    <row r="21052" spans="1:1" x14ac:dyDescent="0.3">
      <c r="A21052" s="20"/>
    </row>
    <row r="21053" spans="1:1" x14ac:dyDescent="0.3">
      <c r="A21053" s="20"/>
    </row>
    <row r="21054" spans="1:1" x14ac:dyDescent="0.3">
      <c r="A21054" s="20"/>
    </row>
    <row r="21055" spans="1:1" x14ac:dyDescent="0.3">
      <c r="A21055" s="20"/>
    </row>
    <row r="21056" spans="1:1" x14ac:dyDescent="0.3">
      <c r="A21056" s="20"/>
    </row>
    <row r="21057" spans="1:1" x14ac:dyDescent="0.3">
      <c r="A21057" s="20"/>
    </row>
    <row r="21058" spans="1:1" x14ac:dyDescent="0.3">
      <c r="A21058" s="20"/>
    </row>
    <row r="21059" spans="1:1" x14ac:dyDescent="0.3">
      <c r="A21059" s="20"/>
    </row>
    <row r="21060" spans="1:1" x14ac:dyDescent="0.3">
      <c r="A21060" s="20"/>
    </row>
    <row r="21061" spans="1:1" x14ac:dyDescent="0.3">
      <c r="A21061" s="20"/>
    </row>
    <row r="21062" spans="1:1" x14ac:dyDescent="0.3">
      <c r="A21062" s="20"/>
    </row>
    <row r="21063" spans="1:1" x14ac:dyDescent="0.3">
      <c r="A21063" s="20"/>
    </row>
    <row r="21064" spans="1:1" x14ac:dyDescent="0.3">
      <c r="A21064" s="20"/>
    </row>
    <row r="21065" spans="1:1" x14ac:dyDescent="0.3">
      <c r="A21065" s="20"/>
    </row>
    <row r="21066" spans="1:1" x14ac:dyDescent="0.3">
      <c r="A21066" s="20"/>
    </row>
    <row r="21067" spans="1:1" x14ac:dyDescent="0.3">
      <c r="A21067" s="20"/>
    </row>
    <row r="21068" spans="1:1" x14ac:dyDescent="0.3">
      <c r="A21068" s="20"/>
    </row>
    <row r="21069" spans="1:1" x14ac:dyDescent="0.3">
      <c r="A21069" s="20"/>
    </row>
    <row r="21070" spans="1:1" x14ac:dyDescent="0.3">
      <c r="A21070" s="20"/>
    </row>
    <row r="21071" spans="1:1" x14ac:dyDescent="0.3">
      <c r="A21071" s="20"/>
    </row>
    <row r="21072" spans="1:1" x14ac:dyDescent="0.3">
      <c r="A21072" s="20"/>
    </row>
    <row r="21073" spans="1:1" x14ac:dyDescent="0.3">
      <c r="A21073" s="20"/>
    </row>
    <row r="21074" spans="1:1" x14ac:dyDescent="0.3">
      <c r="A21074" s="20"/>
    </row>
    <row r="21075" spans="1:1" x14ac:dyDescent="0.3">
      <c r="A21075" s="20"/>
    </row>
    <row r="21076" spans="1:1" x14ac:dyDescent="0.3">
      <c r="A21076" s="20"/>
    </row>
    <row r="21077" spans="1:1" x14ac:dyDescent="0.3">
      <c r="A21077" s="20"/>
    </row>
    <row r="21078" spans="1:1" x14ac:dyDescent="0.3">
      <c r="A21078" s="20"/>
    </row>
    <row r="21079" spans="1:1" x14ac:dyDescent="0.3">
      <c r="A21079" s="20"/>
    </row>
    <row r="21080" spans="1:1" x14ac:dyDescent="0.3">
      <c r="A21080" s="20"/>
    </row>
    <row r="21081" spans="1:1" x14ac:dyDescent="0.3">
      <c r="A21081" s="20"/>
    </row>
    <row r="21082" spans="1:1" x14ac:dyDescent="0.3">
      <c r="A21082" s="20"/>
    </row>
    <row r="21083" spans="1:1" x14ac:dyDescent="0.3">
      <c r="A21083" s="20"/>
    </row>
    <row r="21084" spans="1:1" x14ac:dyDescent="0.3">
      <c r="A21084" s="20"/>
    </row>
    <row r="21085" spans="1:1" x14ac:dyDescent="0.3">
      <c r="A21085" s="20"/>
    </row>
    <row r="21086" spans="1:1" x14ac:dyDescent="0.3">
      <c r="A21086" s="20"/>
    </row>
    <row r="21087" spans="1:1" x14ac:dyDescent="0.3">
      <c r="A21087" s="20"/>
    </row>
    <row r="21088" spans="1:1" x14ac:dyDescent="0.3">
      <c r="A21088" s="20"/>
    </row>
    <row r="21089" spans="1:1" x14ac:dyDescent="0.3">
      <c r="A21089" s="20"/>
    </row>
    <row r="21090" spans="1:1" x14ac:dyDescent="0.3">
      <c r="A21090" s="20"/>
    </row>
    <row r="21091" spans="1:1" x14ac:dyDescent="0.3">
      <c r="A21091" s="20"/>
    </row>
    <row r="21092" spans="1:1" x14ac:dyDescent="0.3">
      <c r="A21092" s="20"/>
    </row>
    <row r="21093" spans="1:1" x14ac:dyDescent="0.3">
      <c r="A21093" s="20"/>
    </row>
    <row r="21094" spans="1:1" x14ac:dyDescent="0.3">
      <c r="A21094" s="20"/>
    </row>
    <row r="21095" spans="1:1" x14ac:dyDescent="0.3">
      <c r="A21095" s="20"/>
    </row>
    <row r="21096" spans="1:1" x14ac:dyDescent="0.3">
      <c r="A21096" s="20"/>
    </row>
    <row r="21097" spans="1:1" x14ac:dyDescent="0.3">
      <c r="A21097" s="20"/>
    </row>
    <row r="21098" spans="1:1" x14ac:dyDescent="0.3">
      <c r="A21098" s="20"/>
    </row>
    <row r="21099" spans="1:1" x14ac:dyDescent="0.3">
      <c r="A21099" s="20"/>
    </row>
    <row r="21100" spans="1:1" x14ac:dyDescent="0.3">
      <c r="A21100" s="20"/>
    </row>
    <row r="21101" spans="1:1" x14ac:dyDescent="0.3">
      <c r="A21101" s="20"/>
    </row>
    <row r="21102" spans="1:1" x14ac:dyDescent="0.3">
      <c r="A21102" s="20"/>
    </row>
    <row r="21103" spans="1:1" x14ac:dyDescent="0.3">
      <c r="A21103" s="20"/>
    </row>
    <row r="21104" spans="1:1" x14ac:dyDescent="0.3">
      <c r="A21104" s="20"/>
    </row>
    <row r="21105" spans="1:1" x14ac:dyDescent="0.3">
      <c r="A21105" s="20"/>
    </row>
    <row r="21106" spans="1:1" x14ac:dyDescent="0.3">
      <c r="A21106" s="20"/>
    </row>
    <row r="21107" spans="1:1" x14ac:dyDescent="0.3">
      <c r="A21107" s="20"/>
    </row>
    <row r="21108" spans="1:1" x14ac:dyDescent="0.3">
      <c r="A21108" s="20"/>
    </row>
    <row r="21109" spans="1:1" x14ac:dyDescent="0.3">
      <c r="A21109" s="20"/>
    </row>
    <row r="21110" spans="1:1" x14ac:dyDescent="0.3">
      <c r="A21110" s="20"/>
    </row>
    <row r="21111" spans="1:1" x14ac:dyDescent="0.3">
      <c r="A21111" s="20"/>
    </row>
    <row r="21112" spans="1:1" x14ac:dyDescent="0.3">
      <c r="A21112" s="20"/>
    </row>
    <row r="21113" spans="1:1" x14ac:dyDescent="0.3">
      <c r="A21113" s="20"/>
    </row>
    <row r="21114" spans="1:1" x14ac:dyDescent="0.3">
      <c r="A21114" s="20"/>
    </row>
    <row r="21115" spans="1:1" x14ac:dyDescent="0.3">
      <c r="A21115" s="20"/>
    </row>
    <row r="21116" spans="1:1" x14ac:dyDescent="0.3">
      <c r="A21116" s="20"/>
    </row>
    <row r="21117" spans="1:1" x14ac:dyDescent="0.3">
      <c r="A21117" s="20"/>
    </row>
    <row r="21118" spans="1:1" x14ac:dyDescent="0.3">
      <c r="A21118" s="20"/>
    </row>
    <row r="21119" spans="1:1" x14ac:dyDescent="0.3">
      <c r="A21119" s="20"/>
    </row>
    <row r="21120" spans="1:1" x14ac:dyDescent="0.3">
      <c r="A21120" s="20"/>
    </row>
    <row r="21121" spans="1:1" x14ac:dyDescent="0.3">
      <c r="A21121" s="20"/>
    </row>
    <row r="21122" spans="1:1" x14ac:dyDescent="0.3">
      <c r="A21122" s="20"/>
    </row>
    <row r="21123" spans="1:1" x14ac:dyDescent="0.3">
      <c r="A21123" s="20"/>
    </row>
    <row r="21124" spans="1:1" x14ac:dyDescent="0.3">
      <c r="A21124" s="20"/>
    </row>
    <row r="21125" spans="1:1" x14ac:dyDescent="0.3">
      <c r="A21125" s="20"/>
    </row>
    <row r="21126" spans="1:1" x14ac:dyDescent="0.3">
      <c r="A21126" s="20"/>
    </row>
    <row r="21127" spans="1:1" x14ac:dyDescent="0.3">
      <c r="A21127" s="20"/>
    </row>
    <row r="21128" spans="1:1" x14ac:dyDescent="0.3">
      <c r="A21128" s="20"/>
    </row>
    <row r="21129" spans="1:1" x14ac:dyDescent="0.3">
      <c r="A21129" s="20"/>
    </row>
    <row r="21130" spans="1:1" x14ac:dyDescent="0.3">
      <c r="A21130" s="20"/>
    </row>
    <row r="21131" spans="1:1" x14ac:dyDescent="0.3">
      <c r="A21131" s="20"/>
    </row>
    <row r="21132" spans="1:1" x14ac:dyDescent="0.3">
      <c r="A21132" s="20"/>
    </row>
    <row r="21133" spans="1:1" x14ac:dyDescent="0.3">
      <c r="A21133" s="20"/>
    </row>
    <row r="21134" spans="1:1" x14ac:dyDescent="0.3">
      <c r="A21134" s="20"/>
    </row>
    <row r="21135" spans="1:1" x14ac:dyDescent="0.3">
      <c r="A21135" s="20"/>
    </row>
    <row r="21136" spans="1:1" x14ac:dyDescent="0.3">
      <c r="A21136" s="20"/>
    </row>
    <row r="21137" spans="1:1" x14ac:dyDescent="0.3">
      <c r="A21137" s="20"/>
    </row>
    <row r="21138" spans="1:1" x14ac:dyDescent="0.3">
      <c r="A21138" s="20"/>
    </row>
    <row r="21139" spans="1:1" x14ac:dyDescent="0.3">
      <c r="A21139" s="20"/>
    </row>
    <row r="21140" spans="1:1" x14ac:dyDescent="0.3">
      <c r="A21140" s="20"/>
    </row>
    <row r="21141" spans="1:1" x14ac:dyDescent="0.3">
      <c r="A21141" s="20"/>
    </row>
    <row r="21142" spans="1:1" x14ac:dyDescent="0.3">
      <c r="A21142" s="20"/>
    </row>
    <row r="21143" spans="1:1" x14ac:dyDescent="0.3">
      <c r="A21143" s="20"/>
    </row>
    <row r="21144" spans="1:1" x14ac:dyDescent="0.3">
      <c r="A21144" s="20"/>
    </row>
    <row r="21145" spans="1:1" x14ac:dyDescent="0.3">
      <c r="A21145" s="20"/>
    </row>
    <row r="21146" spans="1:1" x14ac:dyDescent="0.3">
      <c r="A21146" s="20"/>
    </row>
    <row r="21147" spans="1:1" x14ac:dyDescent="0.3">
      <c r="A21147" s="20"/>
    </row>
    <row r="21148" spans="1:1" x14ac:dyDescent="0.3">
      <c r="A21148" s="20"/>
    </row>
    <row r="21149" spans="1:1" x14ac:dyDescent="0.3">
      <c r="A21149" s="20"/>
    </row>
    <row r="21150" spans="1:1" x14ac:dyDescent="0.3">
      <c r="A21150" s="20"/>
    </row>
    <row r="21151" spans="1:1" x14ac:dyDescent="0.3">
      <c r="A21151" s="20"/>
    </row>
    <row r="21152" spans="1:1" x14ac:dyDescent="0.3">
      <c r="A21152" s="20"/>
    </row>
    <row r="21153" spans="1:1" x14ac:dyDescent="0.3">
      <c r="A21153" s="20"/>
    </row>
    <row r="21154" spans="1:1" x14ac:dyDescent="0.3">
      <c r="A21154" s="20"/>
    </row>
    <row r="21155" spans="1:1" x14ac:dyDescent="0.3">
      <c r="A21155" s="20"/>
    </row>
    <row r="21156" spans="1:1" x14ac:dyDescent="0.3">
      <c r="A21156" s="20"/>
    </row>
    <row r="21157" spans="1:1" x14ac:dyDescent="0.3">
      <c r="A21157" s="20"/>
    </row>
    <row r="21158" spans="1:1" x14ac:dyDescent="0.3">
      <c r="A21158" s="20"/>
    </row>
    <row r="21159" spans="1:1" x14ac:dyDescent="0.3">
      <c r="A21159" s="20"/>
    </row>
    <row r="21160" spans="1:1" x14ac:dyDescent="0.3">
      <c r="A21160" s="20"/>
    </row>
    <row r="21161" spans="1:1" x14ac:dyDescent="0.3">
      <c r="A21161" s="20"/>
    </row>
    <row r="21162" spans="1:1" x14ac:dyDescent="0.3">
      <c r="A21162" s="20"/>
    </row>
    <row r="21163" spans="1:1" x14ac:dyDescent="0.3">
      <c r="A21163" s="20"/>
    </row>
    <row r="21164" spans="1:1" x14ac:dyDescent="0.3">
      <c r="A21164" s="20"/>
    </row>
    <row r="21165" spans="1:1" x14ac:dyDescent="0.3">
      <c r="A21165" s="20"/>
    </row>
    <row r="21166" spans="1:1" x14ac:dyDescent="0.3">
      <c r="A21166" s="20"/>
    </row>
    <row r="21167" spans="1:1" x14ac:dyDescent="0.3">
      <c r="A21167" s="20"/>
    </row>
    <row r="21168" spans="1:1" x14ac:dyDescent="0.3">
      <c r="A21168" s="20"/>
    </row>
    <row r="21169" spans="1:1" x14ac:dyDescent="0.3">
      <c r="A21169" s="20"/>
    </row>
    <row r="21170" spans="1:1" x14ac:dyDescent="0.3">
      <c r="A21170" s="20"/>
    </row>
    <row r="21171" spans="1:1" x14ac:dyDescent="0.3">
      <c r="A21171" s="20"/>
    </row>
    <row r="21172" spans="1:1" x14ac:dyDescent="0.3">
      <c r="A21172" s="20"/>
    </row>
    <row r="21173" spans="1:1" x14ac:dyDescent="0.3">
      <c r="A21173" s="20"/>
    </row>
    <row r="21174" spans="1:1" x14ac:dyDescent="0.3">
      <c r="A21174" s="20"/>
    </row>
    <row r="21175" spans="1:1" x14ac:dyDescent="0.3">
      <c r="A21175" s="20"/>
    </row>
    <row r="21176" spans="1:1" x14ac:dyDescent="0.3">
      <c r="A21176" s="20"/>
    </row>
    <row r="21177" spans="1:1" x14ac:dyDescent="0.3">
      <c r="A21177" s="20"/>
    </row>
    <row r="21178" spans="1:1" x14ac:dyDescent="0.3">
      <c r="A21178" s="20"/>
    </row>
    <row r="21179" spans="1:1" x14ac:dyDescent="0.3">
      <c r="A21179" s="20"/>
    </row>
    <row r="21180" spans="1:1" x14ac:dyDescent="0.3">
      <c r="A21180" s="20"/>
    </row>
    <row r="21181" spans="1:1" x14ac:dyDescent="0.3">
      <c r="A21181" s="20"/>
    </row>
    <row r="21182" spans="1:1" x14ac:dyDescent="0.3">
      <c r="A21182" s="20"/>
    </row>
    <row r="21183" spans="1:1" x14ac:dyDescent="0.3">
      <c r="A21183" s="20"/>
    </row>
    <row r="21184" spans="1:1" x14ac:dyDescent="0.3">
      <c r="A21184" s="20"/>
    </row>
    <row r="21185" spans="1:1" x14ac:dyDescent="0.3">
      <c r="A21185" s="20"/>
    </row>
    <row r="21186" spans="1:1" x14ac:dyDescent="0.3">
      <c r="A21186" s="20"/>
    </row>
    <row r="21187" spans="1:1" x14ac:dyDescent="0.3">
      <c r="A21187" s="20"/>
    </row>
    <row r="21188" spans="1:1" x14ac:dyDescent="0.3">
      <c r="A21188" s="20"/>
    </row>
    <row r="21189" spans="1:1" x14ac:dyDescent="0.3">
      <c r="A21189" s="20"/>
    </row>
    <row r="21190" spans="1:1" x14ac:dyDescent="0.3">
      <c r="A21190" s="20"/>
    </row>
    <row r="21191" spans="1:1" x14ac:dyDescent="0.3">
      <c r="A21191" s="20"/>
    </row>
    <row r="21192" spans="1:1" x14ac:dyDescent="0.3">
      <c r="A21192" s="20"/>
    </row>
    <row r="21193" spans="1:1" x14ac:dyDescent="0.3">
      <c r="A21193" s="20"/>
    </row>
    <row r="21194" spans="1:1" x14ac:dyDescent="0.3">
      <c r="A21194" s="20"/>
    </row>
    <row r="21195" spans="1:1" x14ac:dyDescent="0.3">
      <c r="A21195" s="20"/>
    </row>
    <row r="21196" spans="1:1" x14ac:dyDescent="0.3">
      <c r="A21196" s="20"/>
    </row>
    <row r="21197" spans="1:1" x14ac:dyDescent="0.3">
      <c r="A21197" s="20"/>
    </row>
    <row r="21198" spans="1:1" x14ac:dyDescent="0.3">
      <c r="A21198" s="20"/>
    </row>
    <row r="21199" spans="1:1" x14ac:dyDescent="0.3">
      <c r="A21199" s="20"/>
    </row>
    <row r="21200" spans="1:1" x14ac:dyDescent="0.3">
      <c r="A21200" s="20"/>
    </row>
    <row r="21201" spans="1:1" x14ac:dyDescent="0.3">
      <c r="A21201" s="20"/>
    </row>
    <row r="21202" spans="1:1" x14ac:dyDescent="0.3">
      <c r="A21202" s="20"/>
    </row>
    <row r="21203" spans="1:1" x14ac:dyDescent="0.3">
      <c r="A21203" s="20"/>
    </row>
    <row r="21204" spans="1:1" x14ac:dyDescent="0.3">
      <c r="A21204" s="20"/>
    </row>
    <row r="21205" spans="1:1" x14ac:dyDescent="0.3">
      <c r="A21205" s="20"/>
    </row>
    <row r="21206" spans="1:1" x14ac:dyDescent="0.3">
      <c r="A21206" s="20"/>
    </row>
    <row r="21207" spans="1:1" x14ac:dyDescent="0.3">
      <c r="A21207" s="20"/>
    </row>
    <row r="21208" spans="1:1" x14ac:dyDescent="0.3">
      <c r="A21208" s="20"/>
    </row>
    <row r="21209" spans="1:1" x14ac:dyDescent="0.3">
      <c r="A21209" s="20"/>
    </row>
    <row r="21210" spans="1:1" x14ac:dyDescent="0.3">
      <c r="A21210" s="20"/>
    </row>
    <row r="21211" spans="1:1" x14ac:dyDescent="0.3">
      <c r="A21211" s="20"/>
    </row>
    <row r="21212" spans="1:1" x14ac:dyDescent="0.3">
      <c r="A21212" s="20"/>
    </row>
    <row r="21213" spans="1:1" x14ac:dyDescent="0.3">
      <c r="A21213" s="20"/>
    </row>
    <row r="21214" spans="1:1" x14ac:dyDescent="0.3">
      <c r="A21214" s="20"/>
    </row>
    <row r="21215" spans="1:1" x14ac:dyDescent="0.3">
      <c r="A21215" s="20"/>
    </row>
    <row r="21216" spans="1:1" x14ac:dyDescent="0.3">
      <c r="A21216" s="20"/>
    </row>
    <row r="21217" spans="1:1" x14ac:dyDescent="0.3">
      <c r="A21217" s="20"/>
    </row>
    <row r="21218" spans="1:1" x14ac:dyDescent="0.3">
      <c r="A21218" s="20"/>
    </row>
    <row r="21219" spans="1:1" x14ac:dyDescent="0.3">
      <c r="A21219" s="20"/>
    </row>
    <row r="21220" spans="1:1" x14ac:dyDescent="0.3">
      <c r="A21220" s="20"/>
    </row>
    <row r="21221" spans="1:1" x14ac:dyDescent="0.3">
      <c r="A21221" s="20"/>
    </row>
    <row r="21222" spans="1:1" x14ac:dyDescent="0.3">
      <c r="A21222" s="20"/>
    </row>
    <row r="21223" spans="1:1" x14ac:dyDescent="0.3">
      <c r="A21223" s="20"/>
    </row>
    <row r="21224" spans="1:1" x14ac:dyDescent="0.3">
      <c r="A21224" s="20"/>
    </row>
    <row r="21225" spans="1:1" x14ac:dyDescent="0.3">
      <c r="A21225" s="20"/>
    </row>
    <row r="21226" spans="1:1" x14ac:dyDescent="0.3">
      <c r="A21226" s="20"/>
    </row>
    <row r="21227" spans="1:1" x14ac:dyDescent="0.3">
      <c r="A21227" s="20"/>
    </row>
    <row r="21228" spans="1:1" x14ac:dyDescent="0.3">
      <c r="A21228" s="20"/>
    </row>
    <row r="21229" spans="1:1" x14ac:dyDescent="0.3">
      <c r="A21229" s="20"/>
    </row>
    <row r="21230" spans="1:1" x14ac:dyDescent="0.3">
      <c r="A21230" s="20"/>
    </row>
    <row r="21231" spans="1:1" x14ac:dyDescent="0.3">
      <c r="A21231" s="20"/>
    </row>
    <row r="21232" spans="1:1" x14ac:dyDescent="0.3">
      <c r="A21232" s="20"/>
    </row>
    <row r="21233" spans="1:1" x14ac:dyDescent="0.3">
      <c r="A21233" s="20"/>
    </row>
    <row r="21234" spans="1:1" x14ac:dyDescent="0.3">
      <c r="A21234" s="20"/>
    </row>
    <row r="21235" spans="1:1" x14ac:dyDescent="0.3">
      <c r="A21235" s="20"/>
    </row>
    <row r="21236" spans="1:1" x14ac:dyDescent="0.3">
      <c r="A21236" s="20"/>
    </row>
    <row r="21237" spans="1:1" x14ac:dyDescent="0.3">
      <c r="A21237" s="20"/>
    </row>
    <row r="21238" spans="1:1" x14ac:dyDescent="0.3">
      <c r="A21238" s="20"/>
    </row>
    <row r="21239" spans="1:1" x14ac:dyDescent="0.3">
      <c r="A21239" s="20"/>
    </row>
    <row r="21240" spans="1:1" x14ac:dyDescent="0.3">
      <c r="A21240" s="20"/>
    </row>
    <row r="21241" spans="1:1" x14ac:dyDescent="0.3">
      <c r="A21241" s="20"/>
    </row>
    <row r="21242" spans="1:1" x14ac:dyDescent="0.3">
      <c r="A21242" s="20"/>
    </row>
    <row r="21243" spans="1:1" x14ac:dyDescent="0.3">
      <c r="A21243" s="20"/>
    </row>
    <row r="21244" spans="1:1" x14ac:dyDescent="0.3">
      <c r="A21244" s="20"/>
    </row>
    <row r="21245" spans="1:1" x14ac:dyDescent="0.3">
      <c r="A21245" s="20"/>
    </row>
    <row r="21246" spans="1:1" x14ac:dyDescent="0.3">
      <c r="A21246" s="20"/>
    </row>
    <row r="21247" spans="1:1" x14ac:dyDescent="0.3">
      <c r="A21247" s="20"/>
    </row>
    <row r="21248" spans="1:1" x14ac:dyDescent="0.3">
      <c r="A21248" s="20"/>
    </row>
    <row r="21249" spans="1:1" x14ac:dyDescent="0.3">
      <c r="A21249" s="20"/>
    </row>
    <row r="21250" spans="1:1" x14ac:dyDescent="0.3">
      <c r="A21250" s="20"/>
    </row>
    <row r="21251" spans="1:1" x14ac:dyDescent="0.3">
      <c r="A21251" s="20"/>
    </row>
    <row r="21252" spans="1:1" x14ac:dyDescent="0.3">
      <c r="A21252" s="20"/>
    </row>
    <row r="21253" spans="1:1" x14ac:dyDescent="0.3">
      <c r="A21253" s="20"/>
    </row>
    <row r="21254" spans="1:1" x14ac:dyDescent="0.3">
      <c r="A21254" s="20"/>
    </row>
    <row r="21255" spans="1:1" x14ac:dyDescent="0.3">
      <c r="A21255" s="20"/>
    </row>
    <row r="21256" spans="1:1" x14ac:dyDescent="0.3">
      <c r="A21256" s="20"/>
    </row>
    <row r="21257" spans="1:1" x14ac:dyDescent="0.3">
      <c r="A21257" s="20"/>
    </row>
    <row r="21258" spans="1:1" x14ac:dyDescent="0.3">
      <c r="A21258" s="20"/>
    </row>
    <row r="21259" spans="1:1" x14ac:dyDescent="0.3">
      <c r="A21259" s="20"/>
    </row>
    <row r="21260" spans="1:1" x14ac:dyDescent="0.3">
      <c r="A21260" s="20"/>
    </row>
    <row r="21261" spans="1:1" x14ac:dyDescent="0.3">
      <c r="A21261" s="20"/>
    </row>
    <row r="21262" spans="1:1" x14ac:dyDescent="0.3">
      <c r="A21262" s="20"/>
    </row>
    <row r="21263" spans="1:1" x14ac:dyDescent="0.3">
      <c r="A21263" s="20"/>
    </row>
    <row r="21264" spans="1:1" x14ac:dyDescent="0.3">
      <c r="A21264" s="20"/>
    </row>
    <row r="21265" spans="1:1" x14ac:dyDescent="0.3">
      <c r="A21265" s="20"/>
    </row>
    <row r="21266" spans="1:1" x14ac:dyDescent="0.3">
      <c r="A21266" s="20"/>
    </row>
    <row r="21267" spans="1:1" x14ac:dyDescent="0.3">
      <c r="A21267" s="20"/>
    </row>
    <row r="21268" spans="1:1" x14ac:dyDescent="0.3">
      <c r="A21268" s="20"/>
    </row>
    <row r="21269" spans="1:1" x14ac:dyDescent="0.3">
      <c r="A21269" s="20"/>
    </row>
    <row r="21270" spans="1:1" x14ac:dyDescent="0.3">
      <c r="A21270" s="20"/>
    </row>
    <row r="21271" spans="1:1" x14ac:dyDescent="0.3">
      <c r="A21271" s="20"/>
    </row>
    <row r="21272" spans="1:1" x14ac:dyDescent="0.3">
      <c r="A21272" s="20"/>
    </row>
    <row r="21273" spans="1:1" x14ac:dyDescent="0.3">
      <c r="A21273" s="20"/>
    </row>
    <row r="21274" spans="1:1" x14ac:dyDescent="0.3">
      <c r="A21274" s="20"/>
    </row>
    <row r="21275" spans="1:1" x14ac:dyDescent="0.3">
      <c r="A21275" s="20"/>
    </row>
    <row r="21276" spans="1:1" x14ac:dyDescent="0.3">
      <c r="A21276" s="20"/>
    </row>
    <row r="21277" spans="1:1" x14ac:dyDescent="0.3">
      <c r="A21277" s="20"/>
    </row>
    <row r="21278" spans="1:1" x14ac:dyDescent="0.3">
      <c r="A21278" s="20"/>
    </row>
    <row r="21279" spans="1:1" x14ac:dyDescent="0.3">
      <c r="A21279" s="20"/>
    </row>
    <row r="21280" spans="1:1" x14ac:dyDescent="0.3">
      <c r="A21280" s="20"/>
    </row>
    <row r="21281" spans="1:1" x14ac:dyDescent="0.3">
      <c r="A21281" s="20"/>
    </row>
    <row r="21282" spans="1:1" x14ac:dyDescent="0.3">
      <c r="A21282" s="20"/>
    </row>
    <row r="21283" spans="1:1" x14ac:dyDescent="0.3">
      <c r="A21283" s="20"/>
    </row>
    <row r="21284" spans="1:1" x14ac:dyDescent="0.3">
      <c r="A21284" s="20"/>
    </row>
    <row r="21285" spans="1:1" x14ac:dyDescent="0.3">
      <c r="A21285" s="20"/>
    </row>
    <row r="21286" spans="1:1" x14ac:dyDescent="0.3">
      <c r="A21286" s="20"/>
    </row>
    <row r="21287" spans="1:1" x14ac:dyDescent="0.3">
      <c r="A21287" s="20"/>
    </row>
    <row r="21288" spans="1:1" x14ac:dyDescent="0.3">
      <c r="A21288" s="20"/>
    </row>
    <row r="21289" spans="1:1" x14ac:dyDescent="0.3">
      <c r="A21289" s="20"/>
    </row>
    <row r="21290" spans="1:1" x14ac:dyDescent="0.3">
      <c r="A21290" s="20"/>
    </row>
    <row r="21291" spans="1:1" x14ac:dyDescent="0.3">
      <c r="A21291" s="20"/>
    </row>
    <row r="21292" spans="1:1" x14ac:dyDescent="0.3">
      <c r="A21292" s="20"/>
    </row>
    <row r="21293" spans="1:1" x14ac:dyDescent="0.3">
      <c r="A21293" s="20"/>
    </row>
    <row r="21294" spans="1:1" x14ac:dyDescent="0.3">
      <c r="A21294" s="20"/>
    </row>
    <row r="21295" spans="1:1" x14ac:dyDescent="0.3">
      <c r="A21295" s="20"/>
    </row>
    <row r="21296" spans="1:1" x14ac:dyDescent="0.3">
      <c r="A21296" s="20"/>
    </row>
    <row r="21297" spans="1:1" x14ac:dyDescent="0.3">
      <c r="A21297" s="20"/>
    </row>
    <row r="21298" spans="1:1" x14ac:dyDescent="0.3">
      <c r="A21298" s="20"/>
    </row>
    <row r="21299" spans="1:1" x14ac:dyDescent="0.3">
      <c r="A21299" s="20"/>
    </row>
    <row r="21300" spans="1:1" x14ac:dyDescent="0.3">
      <c r="A21300" s="20"/>
    </row>
    <row r="21301" spans="1:1" x14ac:dyDescent="0.3">
      <c r="A21301" s="20"/>
    </row>
    <row r="21302" spans="1:1" x14ac:dyDescent="0.3">
      <c r="A21302" s="20"/>
    </row>
    <row r="21303" spans="1:1" x14ac:dyDescent="0.3">
      <c r="A21303" s="20"/>
    </row>
    <row r="21304" spans="1:1" x14ac:dyDescent="0.3">
      <c r="A21304" s="20"/>
    </row>
    <row r="21305" spans="1:1" x14ac:dyDescent="0.3">
      <c r="A21305" s="20"/>
    </row>
    <row r="21306" spans="1:1" x14ac:dyDescent="0.3">
      <c r="A21306" s="20"/>
    </row>
    <row r="21307" spans="1:1" x14ac:dyDescent="0.3">
      <c r="A21307" s="20"/>
    </row>
    <row r="21308" spans="1:1" x14ac:dyDescent="0.3">
      <c r="A21308" s="20"/>
    </row>
    <row r="21309" spans="1:1" x14ac:dyDescent="0.3">
      <c r="A21309" s="20"/>
    </row>
    <row r="21310" spans="1:1" x14ac:dyDescent="0.3">
      <c r="A21310" s="20"/>
    </row>
    <row r="21311" spans="1:1" x14ac:dyDescent="0.3">
      <c r="A21311" s="20"/>
    </row>
    <row r="21312" spans="1:1" x14ac:dyDescent="0.3">
      <c r="A21312" s="20"/>
    </row>
    <row r="21313" spans="1:1" x14ac:dyDescent="0.3">
      <c r="A21313" s="20"/>
    </row>
    <row r="21314" spans="1:1" x14ac:dyDescent="0.3">
      <c r="A21314" s="20"/>
    </row>
    <row r="21315" spans="1:1" x14ac:dyDescent="0.3">
      <c r="A21315" s="20"/>
    </row>
    <row r="21316" spans="1:1" x14ac:dyDescent="0.3">
      <c r="A21316" s="20"/>
    </row>
    <row r="21317" spans="1:1" x14ac:dyDescent="0.3">
      <c r="A21317" s="20"/>
    </row>
    <row r="21318" spans="1:1" x14ac:dyDescent="0.3">
      <c r="A21318" s="20"/>
    </row>
    <row r="21319" spans="1:1" x14ac:dyDescent="0.3">
      <c r="A21319" s="20"/>
    </row>
    <row r="21320" spans="1:1" x14ac:dyDescent="0.3">
      <c r="A21320" s="20"/>
    </row>
    <row r="21321" spans="1:1" x14ac:dyDescent="0.3">
      <c r="A21321" s="20"/>
    </row>
    <row r="21322" spans="1:1" x14ac:dyDescent="0.3">
      <c r="A21322" s="20"/>
    </row>
    <row r="21323" spans="1:1" x14ac:dyDescent="0.3">
      <c r="A21323" s="20"/>
    </row>
    <row r="21324" spans="1:1" x14ac:dyDescent="0.3">
      <c r="A21324" s="20"/>
    </row>
    <row r="21325" spans="1:1" x14ac:dyDescent="0.3">
      <c r="A21325" s="20"/>
    </row>
    <row r="21326" spans="1:1" x14ac:dyDescent="0.3">
      <c r="A21326" s="20"/>
    </row>
    <row r="21327" spans="1:1" x14ac:dyDescent="0.3">
      <c r="A21327" s="20"/>
    </row>
    <row r="21328" spans="1:1" x14ac:dyDescent="0.3">
      <c r="A21328" s="20"/>
    </row>
    <row r="21329" spans="1:1" x14ac:dyDescent="0.3">
      <c r="A21329" s="20"/>
    </row>
    <row r="21330" spans="1:1" x14ac:dyDescent="0.3">
      <c r="A21330" s="20"/>
    </row>
    <row r="21331" spans="1:1" x14ac:dyDescent="0.3">
      <c r="A21331" s="20"/>
    </row>
    <row r="21332" spans="1:1" x14ac:dyDescent="0.3">
      <c r="A21332" s="20"/>
    </row>
    <row r="21333" spans="1:1" x14ac:dyDescent="0.3">
      <c r="A21333" s="20"/>
    </row>
    <row r="21334" spans="1:1" x14ac:dyDescent="0.3">
      <c r="A21334" s="20"/>
    </row>
    <row r="21335" spans="1:1" x14ac:dyDescent="0.3">
      <c r="A21335" s="20"/>
    </row>
    <row r="21336" spans="1:1" x14ac:dyDescent="0.3">
      <c r="A21336" s="20"/>
    </row>
    <row r="21337" spans="1:1" x14ac:dyDescent="0.3">
      <c r="A21337" s="20"/>
    </row>
    <row r="21338" spans="1:1" x14ac:dyDescent="0.3">
      <c r="A21338" s="20"/>
    </row>
    <row r="21339" spans="1:1" x14ac:dyDescent="0.3">
      <c r="A21339" s="20"/>
    </row>
    <row r="21340" spans="1:1" x14ac:dyDescent="0.3">
      <c r="A21340" s="20"/>
    </row>
    <row r="21341" spans="1:1" x14ac:dyDescent="0.3">
      <c r="A21341" s="20"/>
    </row>
    <row r="21342" spans="1:1" x14ac:dyDescent="0.3">
      <c r="A21342" s="20"/>
    </row>
    <row r="21343" spans="1:1" x14ac:dyDescent="0.3">
      <c r="A21343" s="20"/>
    </row>
    <row r="21344" spans="1:1" x14ac:dyDescent="0.3">
      <c r="A21344" s="20"/>
    </row>
    <row r="21345" spans="1:1" x14ac:dyDescent="0.3">
      <c r="A21345" s="20"/>
    </row>
    <row r="21346" spans="1:1" x14ac:dyDescent="0.3">
      <c r="A21346" s="20"/>
    </row>
    <row r="21347" spans="1:1" x14ac:dyDescent="0.3">
      <c r="A21347" s="20"/>
    </row>
    <row r="21348" spans="1:1" x14ac:dyDescent="0.3">
      <c r="A21348" s="20"/>
    </row>
    <row r="21349" spans="1:1" x14ac:dyDescent="0.3">
      <c r="A21349" s="20"/>
    </row>
    <row r="21350" spans="1:1" x14ac:dyDescent="0.3">
      <c r="A21350" s="20"/>
    </row>
    <row r="21351" spans="1:1" x14ac:dyDescent="0.3">
      <c r="A21351" s="20"/>
    </row>
    <row r="21352" spans="1:1" x14ac:dyDescent="0.3">
      <c r="A21352" s="20"/>
    </row>
    <row r="21353" spans="1:1" x14ac:dyDescent="0.3">
      <c r="A21353" s="20"/>
    </row>
    <row r="21354" spans="1:1" x14ac:dyDescent="0.3">
      <c r="A21354" s="20"/>
    </row>
    <row r="21355" spans="1:1" x14ac:dyDescent="0.3">
      <c r="A21355" s="20"/>
    </row>
    <row r="21356" spans="1:1" x14ac:dyDescent="0.3">
      <c r="A21356" s="20"/>
    </row>
    <row r="21357" spans="1:1" x14ac:dyDescent="0.3">
      <c r="A21357" s="20"/>
    </row>
    <row r="21358" spans="1:1" x14ac:dyDescent="0.3">
      <c r="A21358" s="20"/>
    </row>
    <row r="21359" spans="1:1" x14ac:dyDescent="0.3">
      <c r="A21359" s="20"/>
    </row>
    <row r="21360" spans="1:1" x14ac:dyDescent="0.3">
      <c r="A21360" s="20"/>
    </row>
    <row r="21361" spans="1:1" x14ac:dyDescent="0.3">
      <c r="A21361" s="20"/>
    </row>
    <row r="21362" spans="1:1" x14ac:dyDescent="0.3">
      <c r="A21362" s="20"/>
    </row>
    <row r="21363" spans="1:1" x14ac:dyDescent="0.3">
      <c r="A21363" s="20"/>
    </row>
    <row r="21364" spans="1:1" x14ac:dyDescent="0.3">
      <c r="A21364" s="20"/>
    </row>
    <row r="21365" spans="1:1" x14ac:dyDescent="0.3">
      <c r="A21365" s="20"/>
    </row>
    <row r="21366" spans="1:1" x14ac:dyDescent="0.3">
      <c r="A21366" s="20"/>
    </row>
    <row r="21367" spans="1:1" x14ac:dyDescent="0.3">
      <c r="A21367" s="20"/>
    </row>
    <row r="21368" spans="1:1" x14ac:dyDescent="0.3">
      <c r="A21368" s="20"/>
    </row>
    <row r="21369" spans="1:1" x14ac:dyDescent="0.3">
      <c r="A21369" s="20"/>
    </row>
    <row r="21370" spans="1:1" x14ac:dyDescent="0.3">
      <c r="A21370" s="20"/>
    </row>
    <row r="21371" spans="1:1" x14ac:dyDescent="0.3">
      <c r="A21371" s="20"/>
    </row>
    <row r="21372" spans="1:1" x14ac:dyDescent="0.3">
      <c r="A21372" s="20"/>
    </row>
    <row r="21373" spans="1:1" x14ac:dyDescent="0.3">
      <c r="A21373" s="20"/>
    </row>
    <row r="21374" spans="1:1" x14ac:dyDescent="0.3">
      <c r="A21374" s="20"/>
    </row>
    <row r="21375" spans="1:1" x14ac:dyDescent="0.3">
      <c r="A21375" s="20"/>
    </row>
    <row r="21376" spans="1:1" x14ac:dyDescent="0.3">
      <c r="A21376" s="20"/>
    </row>
    <row r="21377" spans="1:1" x14ac:dyDescent="0.3">
      <c r="A21377" s="20"/>
    </row>
    <row r="21378" spans="1:1" x14ac:dyDescent="0.3">
      <c r="A21378" s="20"/>
    </row>
    <row r="21379" spans="1:1" x14ac:dyDescent="0.3">
      <c r="A21379" s="20"/>
    </row>
    <row r="21380" spans="1:1" x14ac:dyDescent="0.3">
      <c r="A21380" s="20"/>
    </row>
    <row r="21381" spans="1:1" x14ac:dyDescent="0.3">
      <c r="A21381" s="20"/>
    </row>
    <row r="21382" spans="1:1" x14ac:dyDescent="0.3">
      <c r="A21382" s="20"/>
    </row>
    <row r="21383" spans="1:1" x14ac:dyDescent="0.3">
      <c r="A21383" s="20"/>
    </row>
    <row r="21384" spans="1:1" x14ac:dyDescent="0.3">
      <c r="A21384" s="20"/>
    </row>
    <row r="21385" spans="1:1" x14ac:dyDescent="0.3">
      <c r="A21385" s="20"/>
    </row>
    <row r="21386" spans="1:1" x14ac:dyDescent="0.3">
      <c r="A21386" s="20"/>
    </row>
    <row r="21387" spans="1:1" x14ac:dyDescent="0.3">
      <c r="A21387" s="20"/>
    </row>
    <row r="21388" spans="1:1" x14ac:dyDescent="0.3">
      <c r="A21388" s="20"/>
    </row>
    <row r="21389" spans="1:1" x14ac:dyDescent="0.3">
      <c r="A21389" s="20"/>
    </row>
    <row r="21390" spans="1:1" x14ac:dyDescent="0.3">
      <c r="A21390" s="20"/>
    </row>
    <row r="21391" spans="1:1" x14ac:dyDescent="0.3">
      <c r="A21391" s="20"/>
    </row>
    <row r="21392" spans="1:1" x14ac:dyDescent="0.3">
      <c r="A21392" s="20"/>
    </row>
    <row r="21393" spans="1:1" x14ac:dyDescent="0.3">
      <c r="A21393" s="20"/>
    </row>
    <row r="21394" spans="1:1" x14ac:dyDescent="0.3">
      <c r="A21394" s="20"/>
    </row>
    <row r="21395" spans="1:1" x14ac:dyDescent="0.3">
      <c r="A21395" s="20"/>
    </row>
    <row r="21396" spans="1:1" x14ac:dyDescent="0.3">
      <c r="A21396" s="20"/>
    </row>
    <row r="21397" spans="1:1" x14ac:dyDescent="0.3">
      <c r="A21397" s="20"/>
    </row>
    <row r="21398" spans="1:1" x14ac:dyDescent="0.3">
      <c r="A21398" s="20"/>
    </row>
    <row r="21399" spans="1:1" x14ac:dyDescent="0.3">
      <c r="A21399" s="20"/>
    </row>
    <row r="21400" spans="1:1" x14ac:dyDescent="0.3">
      <c r="A21400" s="20"/>
    </row>
    <row r="21401" spans="1:1" x14ac:dyDescent="0.3">
      <c r="A21401" s="20"/>
    </row>
    <row r="21402" spans="1:1" x14ac:dyDescent="0.3">
      <c r="A21402" s="20"/>
    </row>
    <row r="21403" spans="1:1" x14ac:dyDescent="0.3">
      <c r="A21403" s="20"/>
    </row>
    <row r="21404" spans="1:1" x14ac:dyDescent="0.3">
      <c r="A21404" s="20"/>
    </row>
    <row r="21405" spans="1:1" x14ac:dyDescent="0.3">
      <c r="A21405" s="20"/>
    </row>
    <row r="21406" spans="1:1" x14ac:dyDescent="0.3">
      <c r="A21406" s="20"/>
    </row>
    <row r="21407" spans="1:1" x14ac:dyDescent="0.3">
      <c r="A21407" s="20"/>
    </row>
    <row r="21408" spans="1:1" x14ac:dyDescent="0.3">
      <c r="A21408" s="20"/>
    </row>
    <row r="21409" spans="1:1" x14ac:dyDescent="0.3">
      <c r="A21409" s="20"/>
    </row>
    <row r="21410" spans="1:1" x14ac:dyDescent="0.3">
      <c r="A21410" s="20"/>
    </row>
    <row r="21411" spans="1:1" x14ac:dyDescent="0.3">
      <c r="A21411" s="20"/>
    </row>
    <row r="21412" spans="1:1" x14ac:dyDescent="0.3">
      <c r="A21412" s="20"/>
    </row>
    <row r="21413" spans="1:1" x14ac:dyDescent="0.3">
      <c r="A21413" s="20"/>
    </row>
    <row r="21414" spans="1:1" x14ac:dyDescent="0.3">
      <c r="A21414" s="20"/>
    </row>
    <row r="21415" spans="1:1" x14ac:dyDescent="0.3">
      <c r="A21415" s="20"/>
    </row>
    <row r="21416" spans="1:1" x14ac:dyDescent="0.3">
      <c r="A21416" s="20"/>
    </row>
    <row r="21417" spans="1:1" x14ac:dyDescent="0.3">
      <c r="A21417" s="20"/>
    </row>
    <row r="21418" spans="1:1" x14ac:dyDescent="0.3">
      <c r="A21418" s="20"/>
    </row>
    <row r="21419" spans="1:1" x14ac:dyDescent="0.3">
      <c r="A21419" s="20"/>
    </row>
    <row r="21420" spans="1:1" x14ac:dyDescent="0.3">
      <c r="A21420" s="20"/>
    </row>
    <row r="21421" spans="1:1" x14ac:dyDescent="0.3">
      <c r="A21421" s="20"/>
    </row>
    <row r="21422" spans="1:1" x14ac:dyDescent="0.3">
      <c r="A21422" s="20"/>
    </row>
    <row r="21423" spans="1:1" x14ac:dyDescent="0.3">
      <c r="A21423" s="20"/>
    </row>
    <row r="21424" spans="1:1" x14ac:dyDescent="0.3">
      <c r="A21424" s="20"/>
    </row>
    <row r="21425" spans="1:1" x14ac:dyDescent="0.3">
      <c r="A21425" s="20"/>
    </row>
    <row r="21426" spans="1:1" x14ac:dyDescent="0.3">
      <c r="A21426" s="20"/>
    </row>
    <row r="21427" spans="1:1" x14ac:dyDescent="0.3">
      <c r="A21427" s="20"/>
    </row>
    <row r="21428" spans="1:1" x14ac:dyDescent="0.3">
      <c r="A21428" s="20"/>
    </row>
    <row r="21429" spans="1:1" x14ac:dyDescent="0.3">
      <c r="A21429" s="20"/>
    </row>
    <row r="21430" spans="1:1" x14ac:dyDescent="0.3">
      <c r="A21430" s="20"/>
    </row>
    <row r="21431" spans="1:1" x14ac:dyDescent="0.3">
      <c r="A21431" s="20"/>
    </row>
    <row r="21432" spans="1:1" x14ac:dyDescent="0.3">
      <c r="A21432" s="20"/>
    </row>
    <row r="21433" spans="1:1" x14ac:dyDescent="0.3">
      <c r="A21433" s="20"/>
    </row>
    <row r="21434" spans="1:1" x14ac:dyDescent="0.3">
      <c r="A21434" s="20"/>
    </row>
    <row r="21435" spans="1:1" x14ac:dyDescent="0.3">
      <c r="A21435" s="20"/>
    </row>
    <row r="21436" spans="1:1" x14ac:dyDescent="0.3">
      <c r="A21436" s="20"/>
    </row>
    <row r="21437" spans="1:1" x14ac:dyDescent="0.3">
      <c r="A21437" s="20"/>
    </row>
    <row r="21438" spans="1:1" x14ac:dyDescent="0.3">
      <c r="A21438" s="20"/>
    </row>
    <row r="21439" spans="1:1" x14ac:dyDescent="0.3">
      <c r="A21439" s="20"/>
    </row>
    <row r="21440" spans="1:1" x14ac:dyDescent="0.3">
      <c r="A21440" s="20"/>
    </row>
    <row r="21441" spans="1:1" x14ac:dyDescent="0.3">
      <c r="A21441" s="20"/>
    </row>
    <row r="21442" spans="1:1" x14ac:dyDescent="0.3">
      <c r="A21442" s="20"/>
    </row>
    <row r="21443" spans="1:1" x14ac:dyDescent="0.3">
      <c r="A21443" s="20"/>
    </row>
    <row r="21444" spans="1:1" x14ac:dyDescent="0.3">
      <c r="A21444" s="20"/>
    </row>
    <row r="21445" spans="1:1" x14ac:dyDescent="0.3">
      <c r="A21445" s="20"/>
    </row>
    <row r="21446" spans="1:1" x14ac:dyDescent="0.3">
      <c r="A21446" s="20"/>
    </row>
    <row r="21447" spans="1:1" x14ac:dyDescent="0.3">
      <c r="A21447" s="20"/>
    </row>
    <row r="21448" spans="1:1" x14ac:dyDescent="0.3">
      <c r="A21448" s="20"/>
    </row>
    <row r="21449" spans="1:1" x14ac:dyDescent="0.3">
      <c r="A21449" s="20"/>
    </row>
    <row r="21450" spans="1:1" x14ac:dyDescent="0.3">
      <c r="A21450" s="20"/>
    </row>
    <row r="21451" spans="1:1" x14ac:dyDescent="0.3">
      <c r="A21451" s="20"/>
    </row>
    <row r="21452" spans="1:1" x14ac:dyDescent="0.3">
      <c r="A21452" s="20"/>
    </row>
    <row r="21453" spans="1:1" x14ac:dyDescent="0.3">
      <c r="A21453" s="20"/>
    </row>
    <row r="21454" spans="1:1" x14ac:dyDescent="0.3">
      <c r="A21454" s="20"/>
    </row>
    <row r="21455" spans="1:1" x14ac:dyDescent="0.3">
      <c r="A21455" s="20"/>
    </row>
    <row r="21456" spans="1:1" x14ac:dyDescent="0.3">
      <c r="A21456" s="20"/>
    </row>
    <row r="21457" spans="1:1" x14ac:dyDescent="0.3">
      <c r="A21457" s="20"/>
    </row>
    <row r="21458" spans="1:1" x14ac:dyDescent="0.3">
      <c r="A21458" s="20"/>
    </row>
    <row r="21459" spans="1:1" x14ac:dyDescent="0.3">
      <c r="A21459" s="20"/>
    </row>
    <row r="21460" spans="1:1" x14ac:dyDescent="0.3">
      <c r="A21460" s="20"/>
    </row>
    <row r="21461" spans="1:1" x14ac:dyDescent="0.3">
      <c r="A21461" s="20"/>
    </row>
    <row r="21462" spans="1:1" x14ac:dyDescent="0.3">
      <c r="A21462" s="20"/>
    </row>
    <row r="21463" spans="1:1" x14ac:dyDescent="0.3">
      <c r="A21463" s="20"/>
    </row>
    <row r="21464" spans="1:1" x14ac:dyDescent="0.3">
      <c r="A21464" s="20"/>
    </row>
    <row r="21465" spans="1:1" x14ac:dyDescent="0.3">
      <c r="A21465" s="20"/>
    </row>
    <row r="21466" spans="1:1" x14ac:dyDescent="0.3">
      <c r="A21466" s="20"/>
    </row>
    <row r="21467" spans="1:1" x14ac:dyDescent="0.3">
      <c r="A21467" s="20"/>
    </row>
    <row r="21468" spans="1:1" x14ac:dyDescent="0.3">
      <c r="A21468" s="20"/>
    </row>
    <row r="21469" spans="1:1" x14ac:dyDescent="0.3">
      <c r="A21469" s="20"/>
    </row>
    <row r="21470" spans="1:1" x14ac:dyDescent="0.3">
      <c r="A21470" s="20"/>
    </row>
    <row r="21471" spans="1:1" x14ac:dyDescent="0.3">
      <c r="A21471" s="20"/>
    </row>
    <row r="21472" spans="1:1" x14ac:dyDescent="0.3">
      <c r="A21472" s="20"/>
    </row>
    <row r="21473" spans="1:1" x14ac:dyDescent="0.3">
      <c r="A21473" s="20"/>
    </row>
    <row r="21474" spans="1:1" x14ac:dyDescent="0.3">
      <c r="A21474" s="20"/>
    </row>
    <row r="21475" spans="1:1" x14ac:dyDescent="0.3">
      <c r="A21475" s="20"/>
    </row>
    <row r="21476" spans="1:1" x14ac:dyDescent="0.3">
      <c r="A21476" s="20"/>
    </row>
    <row r="21477" spans="1:1" x14ac:dyDescent="0.3">
      <c r="A21477" s="20"/>
    </row>
    <row r="21478" spans="1:1" x14ac:dyDescent="0.3">
      <c r="A21478" s="20"/>
    </row>
    <row r="21479" spans="1:1" x14ac:dyDescent="0.3">
      <c r="A21479" s="20"/>
    </row>
    <row r="21480" spans="1:1" x14ac:dyDescent="0.3">
      <c r="A21480" s="20"/>
    </row>
    <row r="21481" spans="1:1" x14ac:dyDescent="0.3">
      <c r="A21481" s="20"/>
    </row>
    <row r="21482" spans="1:1" x14ac:dyDescent="0.3">
      <c r="A21482" s="20"/>
    </row>
    <row r="21483" spans="1:1" x14ac:dyDescent="0.3">
      <c r="A21483" s="20"/>
    </row>
    <row r="21484" spans="1:1" x14ac:dyDescent="0.3">
      <c r="A21484" s="20"/>
    </row>
    <row r="21485" spans="1:1" x14ac:dyDescent="0.3">
      <c r="A21485" s="20"/>
    </row>
    <row r="21486" spans="1:1" x14ac:dyDescent="0.3">
      <c r="A21486" s="20"/>
    </row>
    <row r="21487" spans="1:1" x14ac:dyDescent="0.3">
      <c r="A21487" s="20"/>
    </row>
    <row r="21488" spans="1:1" x14ac:dyDescent="0.3">
      <c r="A21488" s="20"/>
    </row>
    <row r="21489" spans="1:1" x14ac:dyDescent="0.3">
      <c r="A21489" s="20"/>
    </row>
    <row r="21490" spans="1:1" x14ac:dyDescent="0.3">
      <c r="A21490" s="20"/>
    </row>
    <row r="21491" spans="1:1" x14ac:dyDescent="0.3">
      <c r="A21491" s="20"/>
    </row>
    <row r="21492" spans="1:1" x14ac:dyDescent="0.3">
      <c r="A21492" s="20"/>
    </row>
    <row r="21493" spans="1:1" x14ac:dyDescent="0.3">
      <c r="A21493" s="20"/>
    </row>
    <row r="21494" spans="1:1" x14ac:dyDescent="0.3">
      <c r="A21494" s="20"/>
    </row>
    <row r="21495" spans="1:1" x14ac:dyDescent="0.3">
      <c r="A21495" s="20"/>
    </row>
    <row r="21496" spans="1:1" x14ac:dyDescent="0.3">
      <c r="A21496" s="20"/>
    </row>
    <row r="21497" spans="1:1" x14ac:dyDescent="0.3">
      <c r="A21497" s="20"/>
    </row>
    <row r="21498" spans="1:1" x14ac:dyDescent="0.3">
      <c r="A21498" s="20"/>
    </row>
    <row r="21499" spans="1:1" x14ac:dyDescent="0.3">
      <c r="A21499" s="20"/>
    </row>
    <row r="21500" spans="1:1" x14ac:dyDescent="0.3">
      <c r="A21500" s="20"/>
    </row>
    <row r="21501" spans="1:1" x14ac:dyDescent="0.3">
      <c r="A21501" s="20"/>
    </row>
    <row r="21502" spans="1:1" x14ac:dyDescent="0.3">
      <c r="A21502" s="20"/>
    </row>
    <row r="21503" spans="1:1" x14ac:dyDescent="0.3">
      <c r="A21503" s="20"/>
    </row>
    <row r="21504" spans="1:1" x14ac:dyDescent="0.3">
      <c r="A21504" s="20"/>
    </row>
    <row r="21505" spans="1:1" x14ac:dyDescent="0.3">
      <c r="A21505" s="20"/>
    </row>
    <row r="21506" spans="1:1" x14ac:dyDescent="0.3">
      <c r="A21506" s="20"/>
    </row>
    <row r="21507" spans="1:1" x14ac:dyDescent="0.3">
      <c r="A21507" s="20"/>
    </row>
    <row r="21508" spans="1:1" x14ac:dyDescent="0.3">
      <c r="A21508" s="20"/>
    </row>
    <row r="21509" spans="1:1" x14ac:dyDescent="0.3">
      <c r="A21509" s="20"/>
    </row>
    <row r="21510" spans="1:1" x14ac:dyDescent="0.3">
      <c r="A21510" s="20"/>
    </row>
    <row r="21511" spans="1:1" x14ac:dyDescent="0.3">
      <c r="A21511" s="20"/>
    </row>
    <row r="21512" spans="1:1" x14ac:dyDescent="0.3">
      <c r="A21512" s="20"/>
    </row>
    <row r="21513" spans="1:1" x14ac:dyDescent="0.3">
      <c r="A21513" s="20"/>
    </row>
    <row r="21514" spans="1:1" x14ac:dyDescent="0.3">
      <c r="A21514" s="20"/>
    </row>
    <row r="21515" spans="1:1" x14ac:dyDescent="0.3">
      <c r="A21515" s="20"/>
    </row>
    <row r="21516" spans="1:1" x14ac:dyDescent="0.3">
      <c r="A21516" s="20"/>
    </row>
    <row r="21517" spans="1:1" x14ac:dyDescent="0.3">
      <c r="A21517" s="20"/>
    </row>
    <row r="21518" spans="1:1" x14ac:dyDescent="0.3">
      <c r="A21518" s="20"/>
    </row>
    <row r="21519" spans="1:1" x14ac:dyDescent="0.3">
      <c r="A21519" s="20"/>
    </row>
    <row r="21520" spans="1:1" x14ac:dyDescent="0.3">
      <c r="A21520" s="20"/>
    </row>
    <row r="21521" spans="1:1" x14ac:dyDescent="0.3">
      <c r="A21521" s="20"/>
    </row>
    <row r="21522" spans="1:1" x14ac:dyDescent="0.3">
      <c r="A21522" s="20"/>
    </row>
    <row r="21523" spans="1:1" x14ac:dyDescent="0.3">
      <c r="A21523" s="20"/>
    </row>
    <row r="21524" spans="1:1" x14ac:dyDescent="0.3">
      <c r="A21524" s="20"/>
    </row>
    <row r="21525" spans="1:1" x14ac:dyDescent="0.3">
      <c r="A21525" s="20"/>
    </row>
    <row r="21526" spans="1:1" x14ac:dyDescent="0.3">
      <c r="A21526" s="20"/>
    </row>
    <row r="21527" spans="1:1" x14ac:dyDescent="0.3">
      <c r="A21527" s="20"/>
    </row>
    <row r="21528" spans="1:1" x14ac:dyDescent="0.3">
      <c r="A21528" s="20"/>
    </row>
    <row r="21529" spans="1:1" x14ac:dyDescent="0.3">
      <c r="A21529" s="20"/>
    </row>
    <row r="21530" spans="1:1" x14ac:dyDescent="0.3">
      <c r="A21530" s="20"/>
    </row>
    <row r="21531" spans="1:1" x14ac:dyDescent="0.3">
      <c r="A21531" s="20"/>
    </row>
    <row r="21532" spans="1:1" x14ac:dyDescent="0.3">
      <c r="A21532" s="20"/>
    </row>
    <row r="21533" spans="1:1" x14ac:dyDescent="0.3">
      <c r="A21533" s="20"/>
    </row>
    <row r="21534" spans="1:1" x14ac:dyDescent="0.3">
      <c r="A21534" s="20"/>
    </row>
    <row r="21535" spans="1:1" x14ac:dyDescent="0.3">
      <c r="A21535" s="20"/>
    </row>
    <row r="21536" spans="1:1" x14ac:dyDescent="0.3">
      <c r="A21536" s="20"/>
    </row>
    <row r="21537" spans="1:1" x14ac:dyDescent="0.3">
      <c r="A21537" s="20"/>
    </row>
    <row r="21538" spans="1:1" x14ac:dyDescent="0.3">
      <c r="A21538" s="20"/>
    </row>
    <row r="21539" spans="1:1" x14ac:dyDescent="0.3">
      <c r="A21539" s="20"/>
    </row>
    <row r="21540" spans="1:1" x14ac:dyDescent="0.3">
      <c r="A21540" s="20"/>
    </row>
    <row r="21541" spans="1:1" x14ac:dyDescent="0.3">
      <c r="A21541" s="20"/>
    </row>
    <row r="21542" spans="1:1" x14ac:dyDescent="0.3">
      <c r="A21542" s="20"/>
    </row>
    <row r="21543" spans="1:1" x14ac:dyDescent="0.3">
      <c r="A21543" s="20"/>
    </row>
    <row r="21544" spans="1:1" x14ac:dyDescent="0.3">
      <c r="A21544" s="20"/>
    </row>
    <row r="21545" spans="1:1" x14ac:dyDescent="0.3">
      <c r="A21545" s="20"/>
    </row>
    <row r="21546" spans="1:1" x14ac:dyDescent="0.3">
      <c r="A21546" s="20"/>
    </row>
    <row r="21547" spans="1:1" x14ac:dyDescent="0.3">
      <c r="A21547" s="20"/>
    </row>
    <row r="21548" spans="1:1" x14ac:dyDescent="0.3">
      <c r="A21548" s="20"/>
    </row>
    <row r="21549" spans="1:1" x14ac:dyDescent="0.3">
      <c r="A21549" s="20"/>
    </row>
    <row r="21550" spans="1:1" x14ac:dyDescent="0.3">
      <c r="A21550" s="20"/>
    </row>
    <row r="21551" spans="1:1" x14ac:dyDescent="0.3">
      <c r="A21551" s="20"/>
    </row>
    <row r="21552" spans="1:1" x14ac:dyDescent="0.3">
      <c r="A21552" s="20"/>
    </row>
    <row r="21553" spans="1:1" x14ac:dyDescent="0.3">
      <c r="A21553" s="20"/>
    </row>
    <row r="21554" spans="1:1" x14ac:dyDescent="0.3">
      <c r="A21554" s="20"/>
    </row>
    <row r="21555" spans="1:1" x14ac:dyDescent="0.3">
      <c r="A21555" s="20"/>
    </row>
    <row r="21556" spans="1:1" x14ac:dyDescent="0.3">
      <c r="A21556" s="20"/>
    </row>
    <row r="21557" spans="1:1" x14ac:dyDescent="0.3">
      <c r="A21557" s="20"/>
    </row>
    <row r="21558" spans="1:1" x14ac:dyDescent="0.3">
      <c r="A21558" s="20"/>
    </row>
    <row r="21559" spans="1:1" x14ac:dyDescent="0.3">
      <c r="A21559" s="20"/>
    </row>
    <row r="21560" spans="1:1" x14ac:dyDescent="0.3">
      <c r="A21560" s="20"/>
    </row>
    <row r="21561" spans="1:1" x14ac:dyDescent="0.3">
      <c r="A21561" s="20"/>
    </row>
    <row r="21562" spans="1:1" x14ac:dyDescent="0.3">
      <c r="A21562" s="20"/>
    </row>
    <row r="21563" spans="1:1" x14ac:dyDescent="0.3">
      <c r="A21563" s="20"/>
    </row>
    <row r="21564" spans="1:1" x14ac:dyDescent="0.3">
      <c r="A21564" s="20"/>
    </row>
    <row r="21565" spans="1:1" x14ac:dyDescent="0.3">
      <c r="A21565" s="20"/>
    </row>
    <row r="21566" spans="1:1" x14ac:dyDescent="0.3">
      <c r="A21566" s="20"/>
    </row>
    <row r="21567" spans="1:1" x14ac:dyDescent="0.3">
      <c r="A21567" s="20"/>
    </row>
    <row r="21568" spans="1:1" x14ac:dyDescent="0.3">
      <c r="A21568" s="20"/>
    </row>
    <row r="21569" spans="1:1" x14ac:dyDescent="0.3">
      <c r="A21569" s="20"/>
    </row>
    <row r="21570" spans="1:1" x14ac:dyDescent="0.3">
      <c r="A21570" s="20"/>
    </row>
    <row r="21571" spans="1:1" x14ac:dyDescent="0.3">
      <c r="A21571" s="20"/>
    </row>
    <row r="21572" spans="1:1" x14ac:dyDescent="0.3">
      <c r="A21572" s="20"/>
    </row>
    <row r="21573" spans="1:1" x14ac:dyDescent="0.3">
      <c r="A21573" s="20"/>
    </row>
    <row r="21574" spans="1:1" x14ac:dyDescent="0.3">
      <c r="A21574" s="20"/>
    </row>
    <row r="21575" spans="1:1" x14ac:dyDescent="0.3">
      <c r="A21575" s="20"/>
    </row>
    <row r="21576" spans="1:1" x14ac:dyDescent="0.3">
      <c r="A21576" s="20"/>
    </row>
    <row r="21577" spans="1:1" x14ac:dyDescent="0.3">
      <c r="A21577" s="20"/>
    </row>
    <row r="21578" spans="1:1" x14ac:dyDescent="0.3">
      <c r="A21578" s="20"/>
    </row>
    <row r="21579" spans="1:1" x14ac:dyDescent="0.3">
      <c r="A21579" s="20"/>
    </row>
    <row r="21580" spans="1:1" x14ac:dyDescent="0.3">
      <c r="A21580" s="20"/>
    </row>
    <row r="21581" spans="1:1" x14ac:dyDescent="0.3">
      <c r="A21581" s="20"/>
    </row>
    <row r="21582" spans="1:1" x14ac:dyDescent="0.3">
      <c r="A21582" s="20"/>
    </row>
    <row r="21583" spans="1:1" x14ac:dyDescent="0.3">
      <c r="A21583" s="20"/>
    </row>
    <row r="21584" spans="1:1" x14ac:dyDescent="0.3">
      <c r="A21584" s="20"/>
    </row>
    <row r="21585" spans="1:1" x14ac:dyDescent="0.3">
      <c r="A21585" s="20"/>
    </row>
    <row r="21586" spans="1:1" x14ac:dyDescent="0.3">
      <c r="A21586" s="20"/>
    </row>
    <row r="21587" spans="1:1" x14ac:dyDescent="0.3">
      <c r="A21587" s="20"/>
    </row>
    <row r="21588" spans="1:1" x14ac:dyDescent="0.3">
      <c r="A21588" s="20"/>
    </row>
    <row r="21589" spans="1:1" x14ac:dyDescent="0.3">
      <c r="A21589" s="20"/>
    </row>
    <row r="21590" spans="1:1" x14ac:dyDescent="0.3">
      <c r="A21590" s="20"/>
    </row>
    <row r="21591" spans="1:1" x14ac:dyDescent="0.3">
      <c r="A21591" s="20"/>
    </row>
    <row r="21592" spans="1:1" x14ac:dyDescent="0.3">
      <c r="A21592" s="20"/>
    </row>
    <row r="21593" spans="1:1" x14ac:dyDescent="0.3">
      <c r="A21593" s="20"/>
    </row>
    <row r="21594" spans="1:1" x14ac:dyDescent="0.3">
      <c r="A21594" s="20"/>
    </row>
    <row r="21595" spans="1:1" x14ac:dyDescent="0.3">
      <c r="A21595" s="20"/>
    </row>
    <row r="21596" spans="1:1" x14ac:dyDescent="0.3">
      <c r="A21596" s="20"/>
    </row>
    <row r="21597" spans="1:1" x14ac:dyDescent="0.3">
      <c r="A21597" s="20"/>
    </row>
    <row r="21598" spans="1:1" x14ac:dyDescent="0.3">
      <c r="A21598" s="20"/>
    </row>
    <row r="21599" spans="1:1" x14ac:dyDescent="0.3">
      <c r="A21599" s="20"/>
    </row>
    <row r="21600" spans="1:1" x14ac:dyDescent="0.3">
      <c r="A21600" s="20"/>
    </row>
    <row r="21601" spans="1:1" x14ac:dyDescent="0.3">
      <c r="A21601" s="20"/>
    </row>
    <row r="21602" spans="1:1" x14ac:dyDescent="0.3">
      <c r="A21602" s="20"/>
    </row>
    <row r="21603" spans="1:1" x14ac:dyDescent="0.3">
      <c r="A21603" s="20"/>
    </row>
    <row r="21604" spans="1:1" x14ac:dyDescent="0.3">
      <c r="A21604" s="20"/>
    </row>
    <row r="21605" spans="1:1" x14ac:dyDescent="0.3">
      <c r="A21605" s="20"/>
    </row>
    <row r="21606" spans="1:1" x14ac:dyDescent="0.3">
      <c r="A21606" s="20"/>
    </row>
    <row r="21607" spans="1:1" x14ac:dyDescent="0.3">
      <c r="A21607" s="20"/>
    </row>
    <row r="21608" spans="1:1" x14ac:dyDescent="0.3">
      <c r="A21608" s="20"/>
    </row>
    <row r="21609" spans="1:1" x14ac:dyDescent="0.3">
      <c r="A21609" s="20"/>
    </row>
    <row r="21610" spans="1:1" x14ac:dyDescent="0.3">
      <c r="A21610" s="20"/>
    </row>
    <row r="21611" spans="1:1" x14ac:dyDescent="0.3">
      <c r="A21611" s="20"/>
    </row>
    <row r="21612" spans="1:1" x14ac:dyDescent="0.3">
      <c r="A21612" s="20"/>
    </row>
    <row r="21613" spans="1:1" x14ac:dyDescent="0.3">
      <c r="A21613" s="20"/>
    </row>
    <row r="21614" spans="1:1" x14ac:dyDescent="0.3">
      <c r="A21614" s="20"/>
    </row>
    <row r="21615" spans="1:1" x14ac:dyDescent="0.3">
      <c r="A21615" s="20"/>
    </row>
    <row r="21616" spans="1:1" x14ac:dyDescent="0.3">
      <c r="A21616" s="20"/>
    </row>
    <row r="21617" spans="1:1" x14ac:dyDescent="0.3">
      <c r="A21617" s="20"/>
    </row>
    <row r="21618" spans="1:1" x14ac:dyDescent="0.3">
      <c r="A21618" s="20"/>
    </row>
    <row r="21619" spans="1:1" x14ac:dyDescent="0.3">
      <c r="A21619" s="20"/>
    </row>
    <row r="21620" spans="1:1" x14ac:dyDescent="0.3">
      <c r="A21620" s="20"/>
    </row>
    <row r="21621" spans="1:1" x14ac:dyDescent="0.3">
      <c r="A21621" s="20"/>
    </row>
    <row r="21622" spans="1:1" x14ac:dyDescent="0.3">
      <c r="A21622" s="20"/>
    </row>
    <row r="21623" spans="1:1" x14ac:dyDescent="0.3">
      <c r="A21623" s="20"/>
    </row>
    <row r="21624" spans="1:1" x14ac:dyDescent="0.3">
      <c r="A21624" s="20"/>
    </row>
    <row r="21625" spans="1:1" x14ac:dyDescent="0.3">
      <c r="A21625" s="20"/>
    </row>
    <row r="21626" spans="1:1" x14ac:dyDescent="0.3">
      <c r="A21626" s="20"/>
    </row>
    <row r="21627" spans="1:1" x14ac:dyDescent="0.3">
      <c r="A21627" s="20"/>
    </row>
    <row r="21628" spans="1:1" x14ac:dyDescent="0.3">
      <c r="A21628" s="20"/>
    </row>
    <row r="21629" spans="1:1" x14ac:dyDescent="0.3">
      <c r="A21629" s="20"/>
    </row>
    <row r="21630" spans="1:1" x14ac:dyDescent="0.3">
      <c r="A21630" s="20"/>
    </row>
    <row r="21631" spans="1:1" x14ac:dyDescent="0.3">
      <c r="A21631" s="20"/>
    </row>
    <row r="21632" spans="1:1" x14ac:dyDescent="0.3">
      <c r="A21632" s="20"/>
    </row>
    <row r="21633" spans="1:1" x14ac:dyDescent="0.3">
      <c r="A21633" s="20"/>
    </row>
    <row r="21634" spans="1:1" x14ac:dyDescent="0.3">
      <c r="A21634" s="20"/>
    </row>
    <row r="21635" spans="1:1" x14ac:dyDescent="0.3">
      <c r="A21635" s="20"/>
    </row>
    <row r="21636" spans="1:1" x14ac:dyDescent="0.3">
      <c r="A21636" s="20"/>
    </row>
    <row r="21637" spans="1:1" x14ac:dyDescent="0.3">
      <c r="A21637" s="20"/>
    </row>
    <row r="21638" spans="1:1" x14ac:dyDescent="0.3">
      <c r="A21638" s="20"/>
    </row>
    <row r="21639" spans="1:1" x14ac:dyDescent="0.3">
      <c r="A21639" s="20"/>
    </row>
    <row r="21640" spans="1:1" x14ac:dyDescent="0.3">
      <c r="A21640" s="20"/>
    </row>
    <row r="21641" spans="1:1" x14ac:dyDescent="0.3">
      <c r="A21641" s="20"/>
    </row>
    <row r="21642" spans="1:1" x14ac:dyDescent="0.3">
      <c r="A21642" s="20"/>
    </row>
    <row r="21643" spans="1:1" x14ac:dyDescent="0.3">
      <c r="A21643" s="20"/>
    </row>
    <row r="21644" spans="1:1" x14ac:dyDescent="0.3">
      <c r="A21644" s="20"/>
    </row>
    <row r="21645" spans="1:1" x14ac:dyDescent="0.3">
      <c r="A21645" s="20"/>
    </row>
    <row r="21646" spans="1:1" x14ac:dyDescent="0.3">
      <c r="A21646" s="20"/>
    </row>
    <row r="21647" spans="1:1" x14ac:dyDescent="0.3">
      <c r="A21647" s="20"/>
    </row>
    <row r="21648" spans="1:1" x14ac:dyDescent="0.3">
      <c r="A21648" s="20"/>
    </row>
    <row r="21649" spans="1:1" x14ac:dyDescent="0.3">
      <c r="A21649" s="20"/>
    </row>
    <row r="21650" spans="1:1" x14ac:dyDescent="0.3">
      <c r="A21650" s="20"/>
    </row>
    <row r="21651" spans="1:1" x14ac:dyDescent="0.3">
      <c r="A21651" s="20"/>
    </row>
    <row r="21652" spans="1:1" x14ac:dyDescent="0.3">
      <c r="A21652" s="20"/>
    </row>
    <row r="21653" spans="1:1" x14ac:dyDescent="0.3">
      <c r="A21653" s="20"/>
    </row>
    <row r="21654" spans="1:1" x14ac:dyDescent="0.3">
      <c r="A21654" s="20"/>
    </row>
    <row r="21655" spans="1:1" x14ac:dyDescent="0.3">
      <c r="A21655" s="20"/>
    </row>
    <row r="21656" spans="1:1" x14ac:dyDescent="0.3">
      <c r="A21656" s="20"/>
    </row>
    <row r="21657" spans="1:1" x14ac:dyDescent="0.3">
      <c r="A21657" s="20"/>
    </row>
    <row r="21658" spans="1:1" x14ac:dyDescent="0.3">
      <c r="A21658" s="20"/>
    </row>
    <row r="21659" spans="1:1" x14ac:dyDescent="0.3">
      <c r="A21659" s="20"/>
    </row>
    <row r="21660" spans="1:1" x14ac:dyDescent="0.3">
      <c r="A21660" s="20"/>
    </row>
    <row r="21661" spans="1:1" x14ac:dyDescent="0.3">
      <c r="A21661" s="20"/>
    </row>
    <row r="21662" spans="1:1" x14ac:dyDescent="0.3">
      <c r="A21662" s="20"/>
    </row>
    <row r="21663" spans="1:1" x14ac:dyDescent="0.3">
      <c r="A21663" s="20"/>
    </row>
    <row r="21664" spans="1:1" x14ac:dyDescent="0.3">
      <c r="A21664" s="20"/>
    </row>
    <row r="21665" spans="1:1" x14ac:dyDescent="0.3">
      <c r="A21665" s="20"/>
    </row>
    <row r="21666" spans="1:1" x14ac:dyDescent="0.3">
      <c r="A21666" s="20"/>
    </row>
    <row r="21667" spans="1:1" x14ac:dyDescent="0.3">
      <c r="A21667" s="20"/>
    </row>
    <row r="21668" spans="1:1" x14ac:dyDescent="0.3">
      <c r="A21668" s="20"/>
    </row>
    <row r="21669" spans="1:1" x14ac:dyDescent="0.3">
      <c r="A21669" s="20"/>
    </row>
    <row r="21670" spans="1:1" x14ac:dyDescent="0.3">
      <c r="A21670" s="20"/>
    </row>
    <row r="21671" spans="1:1" x14ac:dyDescent="0.3">
      <c r="A21671" s="20"/>
    </row>
    <row r="21672" spans="1:1" x14ac:dyDescent="0.3">
      <c r="A21672" s="20"/>
    </row>
    <row r="21673" spans="1:1" x14ac:dyDescent="0.3">
      <c r="A21673" s="20"/>
    </row>
    <row r="21674" spans="1:1" x14ac:dyDescent="0.3">
      <c r="A21674" s="20"/>
    </row>
    <row r="21675" spans="1:1" x14ac:dyDescent="0.3">
      <c r="A21675" s="20"/>
    </row>
    <row r="21676" spans="1:1" x14ac:dyDescent="0.3">
      <c r="A21676" s="20"/>
    </row>
    <row r="21677" spans="1:1" x14ac:dyDescent="0.3">
      <c r="A21677" s="20"/>
    </row>
    <row r="21678" spans="1:1" x14ac:dyDescent="0.3">
      <c r="A21678" s="20"/>
    </row>
    <row r="21679" spans="1:1" x14ac:dyDescent="0.3">
      <c r="A21679" s="20"/>
    </row>
    <row r="21680" spans="1:1" x14ac:dyDescent="0.3">
      <c r="A21680" s="20"/>
    </row>
    <row r="21681" spans="1:1" x14ac:dyDescent="0.3">
      <c r="A21681" s="20"/>
    </row>
    <row r="21682" spans="1:1" x14ac:dyDescent="0.3">
      <c r="A21682" s="20"/>
    </row>
    <row r="21683" spans="1:1" x14ac:dyDescent="0.3">
      <c r="A21683" s="20"/>
    </row>
    <row r="21684" spans="1:1" x14ac:dyDescent="0.3">
      <c r="A21684" s="20"/>
    </row>
    <row r="21685" spans="1:1" x14ac:dyDescent="0.3">
      <c r="A21685" s="20"/>
    </row>
    <row r="21686" spans="1:1" x14ac:dyDescent="0.3">
      <c r="A21686" s="20"/>
    </row>
    <row r="21687" spans="1:1" x14ac:dyDescent="0.3">
      <c r="A21687" s="20"/>
    </row>
    <row r="21688" spans="1:1" x14ac:dyDescent="0.3">
      <c r="A21688" s="20"/>
    </row>
    <row r="21689" spans="1:1" x14ac:dyDescent="0.3">
      <c r="A21689" s="20"/>
    </row>
    <row r="21690" spans="1:1" x14ac:dyDescent="0.3">
      <c r="A21690" s="20"/>
    </row>
    <row r="21691" spans="1:1" x14ac:dyDescent="0.3">
      <c r="A21691" s="20"/>
    </row>
    <row r="21692" spans="1:1" x14ac:dyDescent="0.3">
      <c r="A21692" s="20"/>
    </row>
    <row r="21693" spans="1:1" x14ac:dyDescent="0.3">
      <c r="A21693" s="20"/>
    </row>
    <row r="21694" spans="1:1" x14ac:dyDescent="0.3">
      <c r="A21694" s="20"/>
    </row>
    <row r="21695" spans="1:1" x14ac:dyDescent="0.3">
      <c r="A21695" s="20"/>
    </row>
    <row r="21696" spans="1:1" x14ac:dyDescent="0.3">
      <c r="A21696" s="20"/>
    </row>
    <row r="21697" spans="1:1" x14ac:dyDescent="0.3">
      <c r="A21697" s="20"/>
    </row>
    <row r="21698" spans="1:1" x14ac:dyDescent="0.3">
      <c r="A21698" s="20"/>
    </row>
    <row r="21699" spans="1:1" x14ac:dyDescent="0.3">
      <c r="A21699" s="20"/>
    </row>
    <row r="21700" spans="1:1" x14ac:dyDescent="0.3">
      <c r="A21700" s="20"/>
    </row>
    <row r="21701" spans="1:1" x14ac:dyDescent="0.3">
      <c r="A21701" s="20"/>
    </row>
    <row r="21702" spans="1:1" x14ac:dyDescent="0.3">
      <c r="A21702" s="20"/>
    </row>
    <row r="21703" spans="1:1" x14ac:dyDescent="0.3">
      <c r="A21703" s="20"/>
    </row>
    <row r="21704" spans="1:1" x14ac:dyDescent="0.3">
      <c r="A21704" s="20"/>
    </row>
    <row r="21705" spans="1:1" x14ac:dyDescent="0.3">
      <c r="A21705" s="20"/>
    </row>
    <row r="21706" spans="1:1" x14ac:dyDescent="0.3">
      <c r="A21706" s="20"/>
    </row>
    <row r="21707" spans="1:1" x14ac:dyDescent="0.3">
      <c r="A21707" s="20"/>
    </row>
    <row r="21708" spans="1:1" x14ac:dyDescent="0.3">
      <c r="A21708" s="20"/>
    </row>
    <row r="21709" spans="1:1" x14ac:dyDescent="0.3">
      <c r="A21709" s="20"/>
    </row>
    <row r="21710" spans="1:1" x14ac:dyDescent="0.3">
      <c r="A21710" s="20"/>
    </row>
    <row r="21711" spans="1:1" x14ac:dyDescent="0.3">
      <c r="A21711" s="20"/>
    </row>
    <row r="21712" spans="1:1" x14ac:dyDescent="0.3">
      <c r="A21712" s="20"/>
    </row>
    <row r="21713" spans="1:1" x14ac:dyDescent="0.3">
      <c r="A21713" s="20"/>
    </row>
    <row r="21714" spans="1:1" x14ac:dyDescent="0.3">
      <c r="A21714" s="20"/>
    </row>
    <row r="21715" spans="1:1" x14ac:dyDescent="0.3">
      <c r="A21715" s="20"/>
    </row>
    <row r="21716" spans="1:1" x14ac:dyDescent="0.3">
      <c r="A21716" s="20"/>
    </row>
    <row r="21717" spans="1:1" x14ac:dyDescent="0.3">
      <c r="A21717" s="20"/>
    </row>
    <row r="21718" spans="1:1" x14ac:dyDescent="0.3">
      <c r="A21718" s="20"/>
    </row>
    <row r="21719" spans="1:1" x14ac:dyDescent="0.3">
      <c r="A21719" s="20"/>
    </row>
    <row r="21720" spans="1:1" x14ac:dyDescent="0.3">
      <c r="A21720" s="20"/>
    </row>
    <row r="21721" spans="1:1" x14ac:dyDescent="0.3">
      <c r="A21721" s="20"/>
    </row>
    <row r="21722" spans="1:1" x14ac:dyDescent="0.3">
      <c r="A21722" s="20"/>
    </row>
    <row r="21723" spans="1:1" x14ac:dyDescent="0.3">
      <c r="A21723" s="20"/>
    </row>
    <row r="21724" spans="1:1" x14ac:dyDescent="0.3">
      <c r="A21724" s="20"/>
    </row>
    <row r="21725" spans="1:1" x14ac:dyDescent="0.3">
      <c r="A21725" s="20"/>
    </row>
    <row r="21726" spans="1:1" x14ac:dyDescent="0.3">
      <c r="A21726" s="20"/>
    </row>
    <row r="21727" spans="1:1" x14ac:dyDescent="0.3">
      <c r="A21727" s="20"/>
    </row>
    <row r="21728" spans="1:1" x14ac:dyDescent="0.3">
      <c r="A21728" s="20"/>
    </row>
    <row r="21729" spans="1:1" x14ac:dyDescent="0.3">
      <c r="A21729" s="20"/>
    </row>
    <row r="21730" spans="1:1" x14ac:dyDescent="0.3">
      <c r="A21730" s="20"/>
    </row>
    <row r="21731" spans="1:1" x14ac:dyDescent="0.3">
      <c r="A21731" s="20"/>
    </row>
    <row r="21732" spans="1:1" x14ac:dyDescent="0.3">
      <c r="A21732" s="20"/>
    </row>
    <row r="21733" spans="1:1" x14ac:dyDescent="0.3">
      <c r="A21733" s="20"/>
    </row>
    <row r="21734" spans="1:1" x14ac:dyDescent="0.3">
      <c r="A21734" s="20"/>
    </row>
    <row r="21735" spans="1:1" x14ac:dyDescent="0.3">
      <c r="A21735" s="20"/>
    </row>
    <row r="21736" spans="1:1" x14ac:dyDescent="0.3">
      <c r="A21736" s="20"/>
    </row>
    <row r="21737" spans="1:1" x14ac:dyDescent="0.3">
      <c r="A21737" s="20"/>
    </row>
    <row r="21738" spans="1:1" x14ac:dyDescent="0.3">
      <c r="A21738" s="20"/>
    </row>
    <row r="21739" spans="1:1" x14ac:dyDescent="0.3">
      <c r="A21739" s="20"/>
    </row>
    <row r="21740" spans="1:1" x14ac:dyDescent="0.3">
      <c r="A21740" s="20"/>
    </row>
    <row r="21741" spans="1:1" x14ac:dyDescent="0.3">
      <c r="A21741" s="20"/>
    </row>
    <row r="21742" spans="1:1" x14ac:dyDescent="0.3">
      <c r="A21742" s="20"/>
    </row>
    <row r="21743" spans="1:1" x14ac:dyDescent="0.3">
      <c r="A21743" s="20"/>
    </row>
    <row r="21744" spans="1:1" x14ac:dyDescent="0.3">
      <c r="A21744" s="20"/>
    </row>
    <row r="21745" spans="1:1" x14ac:dyDescent="0.3">
      <c r="A21745" s="20"/>
    </row>
    <row r="21746" spans="1:1" x14ac:dyDescent="0.3">
      <c r="A21746" s="20"/>
    </row>
    <row r="21747" spans="1:1" x14ac:dyDescent="0.3">
      <c r="A21747" s="20"/>
    </row>
    <row r="21748" spans="1:1" x14ac:dyDescent="0.3">
      <c r="A21748" s="20"/>
    </row>
    <row r="21749" spans="1:1" x14ac:dyDescent="0.3">
      <c r="A21749" s="20"/>
    </row>
    <row r="21750" spans="1:1" x14ac:dyDescent="0.3">
      <c r="A21750" s="20"/>
    </row>
    <row r="21751" spans="1:1" x14ac:dyDescent="0.3">
      <c r="A21751" s="20"/>
    </row>
    <row r="21752" spans="1:1" x14ac:dyDescent="0.3">
      <c r="A21752" s="20"/>
    </row>
    <row r="21753" spans="1:1" x14ac:dyDescent="0.3">
      <c r="A21753" s="20"/>
    </row>
    <row r="21754" spans="1:1" x14ac:dyDescent="0.3">
      <c r="A21754" s="20"/>
    </row>
    <row r="21755" spans="1:1" x14ac:dyDescent="0.3">
      <c r="A21755" s="20"/>
    </row>
    <row r="21756" spans="1:1" x14ac:dyDescent="0.3">
      <c r="A21756" s="20"/>
    </row>
    <row r="21757" spans="1:1" x14ac:dyDescent="0.3">
      <c r="A21757" s="20"/>
    </row>
    <row r="21758" spans="1:1" x14ac:dyDescent="0.3">
      <c r="A21758" s="20"/>
    </row>
    <row r="21759" spans="1:1" x14ac:dyDescent="0.3">
      <c r="A21759" s="20"/>
    </row>
    <row r="21760" spans="1:1" x14ac:dyDescent="0.3">
      <c r="A21760" s="20"/>
    </row>
    <row r="21761" spans="1:1" x14ac:dyDescent="0.3">
      <c r="A21761" s="20"/>
    </row>
    <row r="21762" spans="1:1" x14ac:dyDescent="0.3">
      <c r="A21762" s="20"/>
    </row>
    <row r="21763" spans="1:1" x14ac:dyDescent="0.3">
      <c r="A21763" s="20"/>
    </row>
    <row r="21764" spans="1:1" x14ac:dyDescent="0.3">
      <c r="A21764" s="20"/>
    </row>
    <row r="21765" spans="1:1" x14ac:dyDescent="0.3">
      <c r="A21765" s="20"/>
    </row>
    <row r="21766" spans="1:1" x14ac:dyDescent="0.3">
      <c r="A21766" s="20"/>
    </row>
    <row r="21767" spans="1:1" x14ac:dyDescent="0.3">
      <c r="A21767" s="20"/>
    </row>
    <row r="21768" spans="1:1" x14ac:dyDescent="0.3">
      <c r="A21768" s="20"/>
    </row>
    <row r="21769" spans="1:1" x14ac:dyDescent="0.3">
      <c r="A21769" s="20"/>
    </row>
    <row r="21770" spans="1:1" x14ac:dyDescent="0.3">
      <c r="A21770" s="20"/>
    </row>
    <row r="21771" spans="1:1" x14ac:dyDescent="0.3">
      <c r="A21771" s="20"/>
    </row>
    <row r="21772" spans="1:1" x14ac:dyDescent="0.3">
      <c r="A21772" s="20"/>
    </row>
    <row r="21773" spans="1:1" x14ac:dyDescent="0.3">
      <c r="A21773" s="20"/>
    </row>
    <row r="21774" spans="1:1" x14ac:dyDescent="0.3">
      <c r="A21774" s="20"/>
    </row>
    <row r="21775" spans="1:1" x14ac:dyDescent="0.3">
      <c r="A21775" s="20"/>
    </row>
    <row r="21776" spans="1:1" x14ac:dyDescent="0.3">
      <c r="A21776" s="20"/>
    </row>
    <row r="21777" spans="1:1" x14ac:dyDescent="0.3">
      <c r="A21777" s="20"/>
    </row>
    <row r="21778" spans="1:1" x14ac:dyDescent="0.3">
      <c r="A21778" s="20"/>
    </row>
    <row r="21779" spans="1:1" x14ac:dyDescent="0.3">
      <c r="A21779" s="20"/>
    </row>
    <row r="21780" spans="1:1" x14ac:dyDescent="0.3">
      <c r="A21780" s="20"/>
    </row>
    <row r="21781" spans="1:1" x14ac:dyDescent="0.3">
      <c r="A21781" s="20"/>
    </row>
    <row r="21782" spans="1:1" x14ac:dyDescent="0.3">
      <c r="A21782" s="20"/>
    </row>
    <row r="21783" spans="1:1" x14ac:dyDescent="0.3">
      <c r="A21783" s="20"/>
    </row>
    <row r="21784" spans="1:1" x14ac:dyDescent="0.3">
      <c r="A21784" s="20"/>
    </row>
    <row r="21785" spans="1:1" x14ac:dyDescent="0.3">
      <c r="A21785" s="20"/>
    </row>
    <row r="21786" spans="1:1" x14ac:dyDescent="0.3">
      <c r="A21786" s="20"/>
    </row>
    <row r="21787" spans="1:1" x14ac:dyDescent="0.3">
      <c r="A21787" s="20"/>
    </row>
    <row r="21788" spans="1:1" x14ac:dyDescent="0.3">
      <c r="A21788" s="20"/>
    </row>
    <row r="21789" spans="1:1" x14ac:dyDescent="0.3">
      <c r="A21789" s="20"/>
    </row>
    <row r="21790" spans="1:1" x14ac:dyDescent="0.3">
      <c r="A21790" s="20"/>
    </row>
    <row r="21791" spans="1:1" x14ac:dyDescent="0.3">
      <c r="A21791" s="20"/>
    </row>
    <row r="21792" spans="1:1" x14ac:dyDescent="0.3">
      <c r="A21792" s="20"/>
    </row>
    <row r="21793" spans="1:1" x14ac:dyDescent="0.3">
      <c r="A21793" s="20"/>
    </row>
    <row r="21794" spans="1:1" x14ac:dyDescent="0.3">
      <c r="A21794" s="20"/>
    </row>
    <row r="21795" spans="1:1" x14ac:dyDescent="0.3">
      <c r="A21795" s="20"/>
    </row>
    <row r="21796" spans="1:1" x14ac:dyDescent="0.3">
      <c r="A21796" s="20"/>
    </row>
    <row r="21797" spans="1:1" x14ac:dyDescent="0.3">
      <c r="A21797" s="20"/>
    </row>
    <row r="21798" spans="1:1" x14ac:dyDescent="0.3">
      <c r="A21798" s="20"/>
    </row>
    <row r="21799" spans="1:1" x14ac:dyDescent="0.3">
      <c r="A21799" s="20"/>
    </row>
    <row r="21800" spans="1:1" x14ac:dyDescent="0.3">
      <c r="A21800" s="20"/>
    </row>
    <row r="21801" spans="1:1" x14ac:dyDescent="0.3">
      <c r="A21801" s="20"/>
    </row>
    <row r="21802" spans="1:1" x14ac:dyDescent="0.3">
      <c r="A21802" s="20"/>
    </row>
    <row r="21803" spans="1:1" x14ac:dyDescent="0.3">
      <c r="A21803" s="20"/>
    </row>
    <row r="21804" spans="1:1" x14ac:dyDescent="0.3">
      <c r="A21804" s="20"/>
    </row>
    <row r="21805" spans="1:1" x14ac:dyDescent="0.3">
      <c r="A21805" s="20"/>
    </row>
    <row r="21806" spans="1:1" x14ac:dyDescent="0.3">
      <c r="A21806" s="20"/>
    </row>
    <row r="21807" spans="1:1" x14ac:dyDescent="0.3">
      <c r="A21807" s="20"/>
    </row>
    <row r="21808" spans="1:1" x14ac:dyDescent="0.3">
      <c r="A21808" s="20"/>
    </row>
    <row r="21809" spans="1:1" x14ac:dyDescent="0.3">
      <c r="A21809" s="20"/>
    </row>
    <row r="21810" spans="1:1" x14ac:dyDescent="0.3">
      <c r="A21810" s="20"/>
    </row>
    <row r="21811" spans="1:1" x14ac:dyDescent="0.3">
      <c r="A21811" s="20"/>
    </row>
    <row r="21812" spans="1:1" x14ac:dyDescent="0.3">
      <c r="A21812" s="20"/>
    </row>
    <row r="21813" spans="1:1" x14ac:dyDescent="0.3">
      <c r="A21813" s="20"/>
    </row>
    <row r="21814" spans="1:1" x14ac:dyDescent="0.3">
      <c r="A21814" s="20"/>
    </row>
    <row r="21815" spans="1:1" x14ac:dyDescent="0.3">
      <c r="A21815" s="20"/>
    </row>
    <row r="21816" spans="1:1" x14ac:dyDescent="0.3">
      <c r="A21816" s="20"/>
    </row>
    <row r="21817" spans="1:1" x14ac:dyDescent="0.3">
      <c r="A21817" s="20"/>
    </row>
    <row r="21818" spans="1:1" x14ac:dyDescent="0.3">
      <c r="A21818" s="20"/>
    </row>
    <row r="21819" spans="1:1" x14ac:dyDescent="0.3">
      <c r="A21819" s="20"/>
    </row>
    <row r="21820" spans="1:1" x14ac:dyDescent="0.3">
      <c r="A21820" s="20"/>
    </row>
    <row r="21821" spans="1:1" x14ac:dyDescent="0.3">
      <c r="A21821" s="20"/>
    </row>
    <row r="21822" spans="1:1" x14ac:dyDescent="0.3">
      <c r="A21822" s="20"/>
    </row>
    <row r="21823" spans="1:1" x14ac:dyDescent="0.3">
      <c r="A21823" s="20"/>
    </row>
    <row r="21824" spans="1:1" x14ac:dyDescent="0.3">
      <c r="A21824" s="20"/>
    </row>
    <row r="21825" spans="1:1" x14ac:dyDescent="0.3">
      <c r="A21825" s="20"/>
    </row>
    <row r="21826" spans="1:1" x14ac:dyDescent="0.3">
      <c r="A21826" s="20"/>
    </row>
    <row r="21827" spans="1:1" x14ac:dyDescent="0.3">
      <c r="A21827" s="20"/>
    </row>
    <row r="21828" spans="1:1" x14ac:dyDescent="0.3">
      <c r="A21828" s="20"/>
    </row>
    <row r="21829" spans="1:1" x14ac:dyDescent="0.3">
      <c r="A21829" s="20"/>
    </row>
    <row r="21830" spans="1:1" x14ac:dyDescent="0.3">
      <c r="A21830" s="20"/>
    </row>
    <row r="21831" spans="1:1" x14ac:dyDescent="0.3">
      <c r="A21831" s="20"/>
    </row>
    <row r="21832" spans="1:1" x14ac:dyDescent="0.3">
      <c r="A21832" s="20"/>
    </row>
    <row r="21833" spans="1:1" x14ac:dyDescent="0.3">
      <c r="A21833" s="20"/>
    </row>
    <row r="21834" spans="1:1" x14ac:dyDescent="0.3">
      <c r="A21834" s="20"/>
    </row>
    <row r="21835" spans="1:1" x14ac:dyDescent="0.3">
      <c r="A21835" s="20"/>
    </row>
    <row r="21836" spans="1:1" x14ac:dyDescent="0.3">
      <c r="A21836" s="20"/>
    </row>
    <row r="21837" spans="1:1" x14ac:dyDescent="0.3">
      <c r="A21837" s="20"/>
    </row>
    <row r="21838" spans="1:1" x14ac:dyDescent="0.3">
      <c r="A21838" s="20"/>
    </row>
    <row r="21839" spans="1:1" x14ac:dyDescent="0.3">
      <c r="A21839" s="20"/>
    </row>
    <row r="21840" spans="1:1" x14ac:dyDescent="0.3">
      <c r="A21840" s="20"/>
    </row>
    <row r="21841" spans="1:1" x14ac:dyDescent="0.3">
      <c r="A21841" s="20"/>
    </row>
    <row r="21842" spans="1:1" x14ac:dyDescent="0.3">
      <c r="A21842" s="20"/>
    </row>
    <row r="21843" spans="1:1" x14ac:dyDescent="0.3">
      <c r="A21843" s="20"/>
    </row>
    <row r="21844" spans="1:1" x14ac:dyDescent="0.3">
      <c r="A21844" s="20"/>
    </row>
    <row r="21845" spans="1:1" x14ac:dyDescent="0.3">
      <c r="A21845" s="20"/>
    </row>
    <row r="21846" spans="1:1" x14ac:dyDescent="0.3">
      <c r="A21846" s="20"/>
    </row>
    <row r="21847" spans="1:1" x14ac:dyDescent="0.3">
      <c r="A21847" s="20"/>
    </row>
    <row r="21848" spans="1:1" x14ac:dyDescent="0.3">
      <c r="A21848" s="20"/>
    </row>
    <row r="21849" spans="1:1" x14ac:dyDescent="0.3">
      <c r="A21849" s="20"/>
    </row>
    <row r="21850" spans="1:1" x14ac:dyDescent="0.3">
      <c r="A21850" s="20"/>
    </row>
    <row r="21851" spans="1:1" x14ac:dyDescent="0.3">
      <c r="A21851" s="20"/>
    </row>
    <row r="21852" spans="1:1" x14ac:dyDescent="0.3">
      <c r="A21852" s="20"/>
    </row>
    <row r="21853" spans="1:1" x14ac:dyDescent="0.3">
      <c r="A21853" s="20"/>
    </row>
    <row r="21854" spans="1:1" x14ac:dyDescent="0.3">
      <c r="A21854" s="20"/>
    </row>
    <row r="21855" spans="1:1" x14ac:dyDescent="0.3">
      <c r="A21855" s="20"/>
    </row>
    <row r="21856" spans="1:1" x14ac:dyDescent="0.3">
      <c r="A21856" s="20"/>
    </row>
    <row r="21857" spans="1:1" x14ac:dyDescent="0.3">
      <c r="A21857" s="20"/>
    </row>
    <row r="21858" spans="1:1" x14ac:dyDescent="0.3">
      <c r="A21858" s="20"/>
    </row>
    <row r="21859" spans="1:1" x14ac:dyDescent="0.3">
      <c r="A21859" s="20"/>
    </row>
    <row r="21860" spans="1:1" x14ac:dyDescent="0.3">
      <c r="A21860" s="20"/>
    </row>
    <row r="21861" spans="1:1" x14ac:dyDescent="0.3">
      <c r="A21861" s="20"/>
    </row>
    <row r="21862" spans="1:1" x14ac:dyDescent="0.3">
      <c r="A21862" s="20"/>
    </row>
    <row r="21863" spans="1:1" x14ac:dyDescent="0.3">
      <c r="A21863" s="20"/>
    </row>
    <row r="21864" spans="1:1" x14ac:dyDescent="0.3">
      <c r="A21864" s="20"/>
    </row>
    <row r="21865" spans="1:1" x14ac:dyDescent="0.3">
      <c r="A21865" s="20"/>
    </row>
    <row r="21866" spans="1:1" x14ac:dyDescent="0.3">
      <c r="A21866" s="20"/>
    </row>
    <row r="21867" spans="1:1" x14ac:dyDescent="0.3">
      <c r="A21867" s="20"/>
    </row>
    <row r="21868" spans="1:1" x14ac:dyDescent="0.3">
      <c r="A21868" s="20"/>
    </row>
    <row r="21869" spans="1:1" x14ac:dyDescent="0.3">
      <c r="A21869" s="20"/>
    </row>
    <row r="21870" spans="1:1" x14ac:dyDescent="0.3">
      <c r="A21870" s="20"/>
    </row>
    <row r="21871" spans="1:1" x14ac:dyDescent="0.3">
      <c r="A21871" s="20"/>
    </row>
    <row r="21872" spans="1:1" x14ac:dyDescent="0.3">
      <c r="A21872" s="20"/>
    </row>
    <row r="21873" spans="1:1" x14ac:dyDescent="0.3">
      <c r="A21873" s="20"/>
    </row>
    <row r="21874" spans="1:1" x14ac:dyDescent="0.3">
      <c r="A21874" s="20"/>
    </row>
    <row r="21875" spans="1:1" x14ac:dyDescent="0.3">
      <c r="A21875" s="20"/>
    </row>
    <row r="21876" spans="1:1" x14ac:dyDescent="0.3">
      <c r="A21876" s="20"/>
    </row>
    <row r="21877" spans="1:1" x14ac:dyDescent="0.3">
      <c r="A21877" s="20"/>
    </row>
    <row r="21878" spans="1:1" x14ac:dyDescent="0.3">
      <c r="A21878" s="20"/>
    </row>
    <row r="21879" spans="1:1" x14ac:dyDescent="0.3">
      <c r="A21879" s="20"/>
    </row>
    <row r="21880" spans="1:1" x14ac:dyDescent="0.3">
      <c r="A21880" s="20"/>
    </row>
    <row r="21881" spans="1:1" x14ac:dyDescent="0.3">
      <c r="A21881" s="20"/>
    </row>
    <row r="21882" spans="1:1" x14ac:dyDescent="0.3">
      <c r="A21882" s="20"/>
    </row>
    <row r="21883" spans="1:1" x14ac:dyDescent="0.3">
      <c r="A21883" s="20"/>
    </row>
    <row r="21884" spans="1:1" x14ac:dyDescent="0.3">
      <c r="A21884" s="20"/>
    </row>
    <row r="21885" spans="1:1" x14ac:dyDescent="0.3">
      <c r="A21885" s="20"/>
    </row>
    <row r="21886" spans="1:1" x14ac:dyDescent="0.3">
      <c r="A21886" s="20"/>
    </row>
    <row r="21887" spans="1:1" x14ac:dyDescent="0.3">
      <c r="A21887" s="20"/>
    </row>
    <row r="21888" spans="1:1" x14ac:dyDescent="0.3">
      <c r="A21888" s="20"/>
    </row>
    <row r="21889" spans="1:1" x14ac:dyDescent="0.3">
      <c r="A21889" s="20"/>
    </row>
    <row r="21890" spans="1:1" x14ac:dyDescent="0.3">
      <c r="A21890" s="20"/>
    </row>
    <row r="21891" spans="1:1" x14ac:dyDescent="0.3">
      <c r="A21891" s="20"/>
    </row>
    <row r="21892" spans="1:1" x14ac:dyDescent="0.3">
      <c r="A21892" s="20"/>
    </row>
    <row r="21893" spans="1:1" x14ac:dyDescent="0.3">
      <c r="A21893" s="20"/>
    </row>
    <row r="21894" spans="1:1" x14ac:dyDescent="0.3">
      <c r="A21894" s="20"/>
    </row>
    <row r="21895" spans="1:1" x14ac:dyDescent="0.3">
      <c r="A21895" s="20"/>
    </row>
    <row r="21896" spans="1:1" x14ac:dyDescent="0.3">
      <c r="A21896" s="20"/>
    </row>
    <row r="21897" spans="1:1" x14ac:dyDescent="0.3">
      <c r="A21897" s="20"/>
    </row>
    <row r="21898" spans="1:1" x14ac:dyDescent="0.3">
      <c r="A21898" s="20"/>
    </row>
    <row r="21899" spans="1:1" x14ac:dyDescent="0.3">
      <c r="A21899" s="20"/>
    </row>
    <row r="21900" spans="1:1" x14ac:dyDescent="0.3">
      <c r="A21900" s="20"/>
    </row>
    <row r="21901" spans="1:1" x14ac:dyDescent="0.3">
      <c r="A21901" s="20"/>
    </row>
    <row r="21902" spans="1:1" x14ac:dyDescent="0.3">
      <c r="A21902" s="20"/>
    </row>
    <row r="21903" spans="1:1" x14ac:dyDescent="0.3">
      <c r="A21903" s="20"/>
    </row>
    <row r="21904" spans="1:1" x14ac:dyDescent="0.3">
      <c r="A21904" s="20"/>
    </row>
    <row r="21905" spans="1:1" x14ac:dyDescent="0.3">
      <c r="A21905" s="20"/>
    </row>
    <row r="21906" spans="1:1" x14ac:dyDescent="0.3">
      <c r="A21906" s="20"/>
    </row>
    <row r="21907" spans="1:1" x14ac:dyDescent="0.3">
      <c r="A21907" s="20"/>
    </row>
    <row r="21908" spans="1:1" x14ac:dyDescent="0.3">
      <c r="A21908" s="20"/>
    </row>
    <row r="21909" spans="1:1" x14ac:dyDescent="0.3">
      <c r="A21909" s="20"/>
    </row>
    <row r="21910" spans="1:1" x14ac:dyDescent="0.3">
      <c r="A21910" s="20"/>
    </row>
    <row r="21911" spans="1:1" x14ac:dyDescent="0.3">
      <c r="A21911" s="20"/>
    </row>
    <row r="21912" spans="1:1" x14ac:dyDescent="0.3">
      <c r="A21912" s="20"/>
    </row>
    <row r="21913" spans="1:1" x14ac:dyDescent="0.3">
      <c r="A21913" s="20"/>
    </row>
    <row r="21914" spans="1:1" x14ac:dyDescent="0.3">
      <c r="A21914" s="20"/>
    </row>
    <row r="21915" spans="1:1" x14ac:dyDescent="0.3">
      <c r="A21915" s="20"/>
    </row>
    <row r="21916" spans="1:1" x14ac:dyDescent="0.3">
      <c r="A21916" s="20"/>
    </row>
    <row r="21917" spans="1:1" x14ac:dyDescent="0.3">
      <c r="A21917" s="20"/>
    </row>
    <row r="21918" spans="1:1" x14ac:dyDescent="0.3">
      <c r="A21918" s="20"/>
    </row>
    <row r="21919" spans="1:1" x14ac:dyDescent="0.3">
      <c r="A21919" s="20"/>
    </row>
    <row r="21920" spans="1:1" x14ac:dyDescent="0.3">
      <c r="A21920" s="20"/>
    </row>
    <row r="21921" spans="1:1" x14ac:dyDescent="0.3">
      <c r="A21921" s="20"/>
    </row>
    <row r="21922" spans="1:1" x14ac:dyDescent="0.3">
      <c r="A21922" s="20"/>
    </row>
    <row r="21923" spans="1:1" x14ac:dyDescent="0.3">
      <c r="A21923" s="20"/>
    </row>
    <row r="21924" spans="1:1" x14ac:dyDescent="0.3">
      <c r="A21924" s="20"/>
    </row>
    <row r="21925" spans="1:1" x14ac:dyDescent="0.3">
      <c r="A21925" s="20"/>
    </row>
    <row r="21926" spans="1:1" x14ac:dyDescent="0.3">
      <c r="A21926" s="20"/>
    </row>
    <row r="21927" spans="1:1" x14ac:dyDescent="0.3">
      <c r="A21927" s="20"/>
    </row>
    <row r="21928" spans="1:1" x14ac:dyDescent="0.3">
      <c r="A21928" s="20"/>
    </row>
    <row r="21929" spans="1:1" x14ac:dyDescent="0.3">
      <c r="A21929" s="20"/>
    </row>
    <row r="21930" spans="1:1" x14ac:dyDescent="0.3">
      <c r="A21930" s="20"/>
    </row>
    <row r="21931" spans="1:1" x14ac:dyDescent="0.3">
      <c r="A21931" s="20"/>
    </row>
    <row r="21932" spans="1:1" x14ac:dyDescent="0.3">
      <c r="A21932" s="20"/>
    </row>
    <row r="21933" spans="1:1" x14ac:dyDescent="0.3">
      <c r="A21933" s="20"/>
    </row>
    <row r="21934" spans="1:1" x14ac:dyDescent="0.3">
      <c r="A21934" s="20"/>
    </row>
    <row r="21935" spans="1:1" x14ac:dyDescent="0.3">
      <c r="A21935" s="20"/>
    </row>
    <row r="21936" spans="1:1" x14ac:dyDescent="0.3">
      <c r="A21936" s="20"/>
    </row>
    <row r="21937" spans="1:1" x14ac:dyDescent="0.3">
      <c r="A21937" s="20"/>
    </row>
    <row r="21938" spans="1:1" x14ac:dyDescent="0.3">
      <c r="A21938" s="20"/>
    </row>
    <row r="21939" spans="1:1" x14ac:dyDescent="0.3">
      <c r="A21939" s="20"/>
    </row>
    <row r="21940" spans="1:1" x14ac:dyDescent="0.3">
      <c r="A21940" s="20"/>
    </row>
    <row r="21941" spans="1:1" x14ac:dyDescent="0.3">
      <c r="A21941" s="20"/>
    </row>
    <row r="21942" spans="1:1" x14ac:dyDescent="0.3">
      <c r="A21942" s="20"/>
    </row>
    <row r="21943" spans="1:1" x14ac:dyDescent="0.3">
      <c r="A21943" s="20"/>
    </row>
    <row r="21944" spans="1:1" x14ac:dyDescent="0.3">
      <c r="A21944" s="20"/>
    </row>
    <row r="21945" spans="1:1" x14ac:dyDescent="0.3">
      <c r="A21945" s="20"/>
    </row>
    <row r="21946" spans="1:1" x14ac:dyDescent="0.3">
      <c r="A21946" s="20"/>
    </row>
    <row r="21947" spans="1:1" x14ac:dyDescent="0.3">
      <c r="A21947" s="20"/>
    </row>
    <row r="21948" spans="1:1" x14ac:dyDescent="0.3">
      <c r="A21948" s="20"/>
    </row>
    <row r="21949" spans="1:1" x14ac:dyDescent="0.3">
      <c r="A21949" s="20"/>
    </row>
    <row r="21950" spans="1:1" x14ac:dyDescent="0.3">
      <c r="A21950" s="20"/>
    </row>
    <row r="21951" spans="1:1" x14ac:dyDescent="0.3">
      <c r="A21951" s="20"/>
    </row>
    <row r="21952" spans="1:1" x14ac:dyDescent="0.3">
      <c r="A21952" s="20"/>
    </row>
    <row r="21953" spans="1:1" x14ac:dyDescent="0.3">
      <c r="A21953" s="20"/>
    </row>
    <row r="21954" spans="1:1" x14ac:dyDescent="0.3">
      <c r="A21954" s="20"/>
    </row>
    <row r="21955" spans="1:1" x14ac:dyDescent="0.3">
      <c r="A21955" s="20"/>
    </row>
    <row r="21956" spans="1:1" x14ac:dyDescent="0.3">
      <c r="A21956" s="20"/>
    </row>
    <row r="21957" spans="1:1" x14ac:dyDescent="0.3">
      <c r="A21957" s="20"/>
    </row>
    <row r="21958" spans="1:1" x14ac:dyDescent="0.3">
      <c r="A21958" s="20"/>
    </row>
    <row r="21959" spans="1:1" x14ac:dyDescent="0.3">
      <c r="A21959" s="20"/>
    </row>
    <row r="21960" spans="1:1" x14ac:dyDescent="0.3">
      <c r="A21960" s="20"/>
    </row>
    <row r="21961" spans="1:1" x14ac:dyDescent="0.3">
      <c r="A21961" s="20"/>
    </row>
    <row r="21962" spans="1:1" x14ac:dyDescent="0.3">
      <c r="A21962" s="20"/>
    </row>
    <row r="21963" spans="1:1" x14ac:dyDescent="0.3">
      <c r="A21963" s="20"/>
    </row>
    <row r="21964" spans="1:1" x14ac:dyDescent="0.3">
      <c r="A21964" s="20"/>
    </row>
    <row r="21965" spans="1:1" x14ac:dyDescent="0.3">
      <c r="A21965" s="20"/>
    </row>
    <row r="21966" spans="1:1" x14ac:dyDescent="0.3">
      <c r="A21966" s="20"/>
    </row>
    <row r="21967" spans="1:1" x14ac:dyDescent="0.3">
      <c r="A21967" s="20"/>
    </row>
    <row r="21968" spans="1:1" x14ac:dyDescent="0.3">
      <c r="A21968" s="20"/>
    </row>
    <row r="21969" spans="1:1" x14ac:dyDescent="0.3">
      <c r="A21969" s="20"/>
    </row>
    <row r="21970" spans="1:1" x14ac:dyDescent="0.3">
      <c r="A21970" s="20"/>
    </row>
    <row r="21971" spans="1:1" x14ac:dyDescent="0.3">
      <c r="A21971" s="20"/>
    </row>
    <row r="21972" spans="1:1" x14ac:dyDescent="0.3">
      <c r="A21972" s="20"/>
    </row>
    <row r="21973" spans="1:1" x14ac:dyDescent="0.3">
      <c r="A21973" s="20"/>
    </row>
    <row r="21974" spans="1:1" x14ac:dyDescent="0.3">
      <c r="A21974" s="20"/>
    </row>
    <row r="21975" spans="1:1" x14ac:dyDescent="0.3">
      <c r="A21975" s="20"/>
    </row>
    <row r="21976" spans="1:1" x14ac:dyDescent="0.3">
      <c r="A21976" s="20"/>
    </row>
    <row r="21977" spans="1:1" x14ac:dyDescent="0.3">
      <c r="A21977" s="20"/>
    </row>
    <row r="21978" spans="1:1" x14ac:dyDescent="0.3">
      <c r="A21978" s="20"/>
    </row>
    <row r="21979" spans="1:1" x14ac:dyDescent="0.3">
      <c r="A21979" s="20"/>
    </row>
    <row r="21980" spans="1:1" x14ac:dyDescent="0.3">
      <c r="A21980" s="20"/>
    </row>
    <row r="21981" spans="1:1" x14ac:dyDescent="0.3">
      <c r="A21981" s="20"/>
    </row>
    <row r="21982" spans="1:1" x14ac:dyDescent="0.3">
      <c r="A21982" s="20"/>
    </row>
    <row r="21983" spans="1:1" x14ac:dyDescent="0.3">
      <c r="A21983" s="20"/>
    </row>
    <row r="21984" spans="1:1" x14ac:dyDescent="0.3">
      <c r="A21984" s="20"/>
    </row>
    <row r="21985" spans="1:1" x14ac:dyDescent="0.3">
      <c r="A21985" s="20"/>
    </row>
    <row r="21986" spans="1:1" x14ac:dyDescent="0.3">
      <c r="A21986" s="20"/>
    </row>
    <row r="21987" spans="1:1" x14ac:dyDescent="0.3">
      <c r="A21987" s="20"/>
    </row>
    <row r="21988" spans="1:1" x14ac:dyDescent="0.3">
      <c r="A21988" s="20"/>
    </row>
    <row r="21989" spans="1:1" x14ac:dyDescent="0.3">
      <c r="A21989" s="20"/>
    </row>
    <row r="21990" spans="1:1" x14ac:dyDescent="0.3">
      <c r="A21990" s="20"/>
    </row>
    <row r="21991" spans="1:1" x14ac:dyDescent="0.3">
      <c r="A21991" s="20"/>
    </row>
    <row r="21992" spans="1:1" x14ac:dyDescent="0.3">
      <c r="A21992" s="20"/>
    </row>
    <row r="21993" spans="1:1" x14ac:dyDescent="0.3">
      <c r="A21993" s="20"/>
    </row>
    <row r="21994" spans="1:1" x14ac:dyDescent="0.3">
      <c r="A21994" s="20"/>
    </row>
    <row r="21995" spans="1:1" x14ac:dyDescent="0.3">
      <c r="A21995" s="20"/>
    </row>
    <row r="21996" spans="1:1" x14ac:dyDescent="0.3">
      <c r="A21996" s="20"/>
    </row>
    <row r="21997" spans="1:1" x14ac:dyDescent="0.3">
      <c r="A21997" s="20"/>
    </row>
    <row r="21998" spans="1:1" x14ac:dyDescent="0.3">
      <c r="A21998" s="20"/>
    </row>
    <row r="21999" spans="1:1" x14ac:dyDescent="0.3">
      <c r="A21999" s="20"/>
    </row>
    <row r="22000" spans="1:1" x14ac:dyDescent="0.3">
      <c r="A22000" s="20"/>
    </row>
    <row r="22001" spans="1:1" x14ac:dyDescent="0.3">
      <c r="A22001" s="20"/>
    </row>
    <row r="22002" spans="1:1" x14ac:dyDescent="0.3">
      <c r="A22002" s="20"/>
    </row>
    <row r="22003" spans="1:1" x14ac:dyDescent="0.3">
      <c r="A22003" s="20"/>
    </row>
    <row r="22004" spans="1:1" x14ac:dyDescent="0.3">
      <c r="A22004" s="20"/>
    </row>
    <row r="22005" spans="1:1" x14ac:dyDescent="0.3">
      <c r="A22005" s="20"/>
    </row>
    <row r="22006" spans="1:1" x14ac:dyDescent="0.3">
      <c r="A22006" s="20"/>
    </row>
    <row r="22007" spans="1:1" x14ac:dyDescent="0.3">
      <c r="A22007" s="20"/>
    </row>
    <row r="22008" spans="1:1" x14ac:dyDescent="0.3">
      <c r="A22008" s="20"/>
    </row>
    <row r="22009" spans="1:1" x14ac:dyDescent="0.3">
      <c r="A22009" s="20"/>
    </row>
    <row r="22010" spans="1:1" x14ac:dyDescent="0.3">
      <c r="A22010" s="20"/>
    </row>
    <row r="22011" spans="1:1" x14ac:dyDescent="0.3">
      <c r="A22011" s="20"/>
    </row>
    <row r="22012" spans="1:1" x14ac:dyDescent="0.3">
      <c r="A22012" s="20"/>
    </row>
    <row r="22013" spans="1:1" x14ac:dyDescent="0.3">
      <c r="A22013" s="20"/>
    </row>
    <row r="22014" spans="1:1" x14ac:dyDescent="0.3">
      <c r="A22014" s="20"/>
    </row>
    <row r="22015" spans="1:1" x14ac:dyDescent="0.3">
      <c r="A22015" s="20"/>
    </row>
    <row r="22016" spans="1:1" x14ac:dyDescent="0.3">
      <c r="A22016" s="20"/>
    </row>
    <row r="22017" spans="1:1" x14ac:dyDescent="0.3">
      <c r="A22017" s="20"/>
    </row>
    <row r="22018" spans="1:1" x14ac:dyDescent="0.3">
      <c r="A22018" s="20"/>
    </row>
    <row r="22019" spans="1:1" x14ac:dyDescent="0.3">
      <c r="A22019" s="20"/>
    </row>
    <row r="22020" spans="1:1" x14ac:dyDescent="0.3">
      <c r="A22020" s="20"/>
    </row>
    <row r="22021" spans="1:1" x14ac:dyDescent="0.3">
      <c r="A22021" s="20"/>
    </row>
    <row r="22022" spans="1:1" x14ac:dyDescent="0.3">
      <c r="A22022" s="20"/>
    </row>
    <row r="22023" spans="1:1" x14ac:dyDescent="0.3">
      <c r="A22023" s="20"/>
    </row>
    <row r="22024" spans="1:1" x14ac:dyDescent="0.3">
      <c r="A22024" s="20"/>
    </row>
    <row r="22025" spans="1:1" x14ac:dyDescent="0.3">
      <c r="A22025" s="20"/>
    </row>
    <row r="22026" spans="1:1" x14ac:dyDescent="0.3">
      <c r="A22026" s="20"/>
    </row>
    <row r="22027" spans="1:1" x14ac:dyDescent="0.3">
      <c r="A22027" s="20"/>
    </row>
    <row r="22028" spans="1:1" x14ac:dyDescent="0.3">
      <c r="A22028" s="20"/>
    </row>
    <row r="22029" spans="1:1" x14ac:dyDescent="0.3">
      <c r="A22029" s="20"/>
    </row>
    <row r="22030" spans="1:1" x14ac:dyDescent="0.3">
      <c r="A22030" s="20"/>
    </row>
    <row r="22031" spans="1:1" x14ac:dyDescent="0.3">
      <c r="A22031" s="20"/>
    </row>
    <row r="22032" spans="1:1" x14ac:dyDescent="0.3">
      <c r="A22032" s="20"/>
    </row>
    <row r="22033" spans="1:1" x14ac:dyDescent="0.3">
      <c r="A22033" s="20"/>
    </row>
    <row r="22034" spans="1:1" x14ac:dyDescent="0.3">
      <c r="A22034" s="20"/>
    </row>
    <row r="22035" spans="1:1" x14ac:dyDescent="0.3">
      <c r="A22035" s="20"/>
    </row>
    <row r="22036" spans="1:1" x14ac:dyDescent="0.3">
      <c r="A22036" s="20"/>
    </row>
    <row r="22037" spans="1:1" x14ac:dyDescent="0.3">
      <c r="A22037" s="20"/>
    </row>
    <row r="22038" spans="1:1" x14ac:dyDescent="0.3">
      <c r="A22038" s="20"/>
    </row>
    <row r="22039" spans="1:1" x14ac:dyDescent="0.3">
      <c r="A22039" s="20"/>
    </row>
    <row r="22040" spans="1:1" x14ac:dyDescent="0.3">
      <c r="A22040" s="20"/>
    </row>
    <row r="22041" spans="1:1" x14ac:dyDescent="0.3">
      <c r="A22041" s="20"/>
    </row>
    <row r="22042" spans="1:1" x14ac:dyDescent="0.3">
      <c r="A22042" s="20"/>
    </row>
    <row r="22043" spans="1:1" x14ac:dyDescent="0.3">
      <c r="A22043" s="20"/>
    </row>
    <row r="22044" spans="1:1" x14ac:dyDescent="0.3">
      <c r="A22044" s="20"/>
    </row>
    <row r="22045" spans="1:1" x14ac:dyDescent="0.3">
      <c r="A22045" s="20"/>
    </row>
    <row r="22046" spans="1:1" x14ac:dyDescent="0.3">
      <c r="A22046" s="20"/>
    </row>
    <row r="22047" spans="1:1" x14ac:dyDescent="0.3">
      <c r="A22047" s="20"/>
    </row>
    <row r="22048" spans="1:1" x14ac:dyDescent="0.3">
      <c r="A22048" s="20"/>
    </row>
    <row r="22049" spans="1:1" x14ac:dyDescent="0.3">
      <c r="A22049" s="20"/>
    </row>
    <row r="22050" spans="1:1" x14ac:dyDescent="0.3">
      <c r="A22050" s="20"/>
    </row>
    <row r="22051" spans="1:1" x14ac:dyDescent="0.3">
      <c r="A22051" s="20"/>
    </row>
    <row r="22052" spans="1:1" x14ac:dyDescent="0.3">
      <c r="A22052" s="20"/>
    </row>
    <row r="22053" spans="1:1" x14ac:dyDescent="0.3">
      <c r="A22053" s="20"/>
    </row>
    <row r="22054" spans="1:1" x14ac:dyDescent="0.3">
      <c r="A22054" s="20"/>
    </row>
    <row r="22055" spans="1:1" x14ac:dyDescent="0.3">
      <c r="A22055" s="20"/>
    </row>
    <row r="22056" spans="1:1" x14ac:dyDescent="0.3">
      <c r="A22056" s="20"/>
    </row>
    <row r="22057" spans="1:1" x14ac:dyDescent="0.3">
      <c r="A22057" s="20"/>
    </row>
    <row r="22058" spans="1:1" x14ac:dyDescent="0.3">
      <c r="A22058" s="20"/>
    </row>
    <row r="22059" spans="1:1" x14ac:dyDescent="0.3">
      <c r="A22059" s="20"/>
    </row>
    <row r="22060" spans="1:1" x14ac:dyDescent="0.3">
      <c r="A22060" s="20"/>
    </row>
    <row r="22061" spans="1:1" x14ac:dyDescent="0.3">
      <c r="A22061" s="20"/>
    </row>
    <row r="22062" spans="1:1" x14ac:dyDescent="0.3">
      <c r="A22062" s="20"/>
    </row>
    <row r="22063" spans="1:1" x14ac:dyDescent="0.3">
      <c r="A22063" s="20"/>
    </row>
    <row r="22064" spans="1:1" x14ac:dyDescent="0.3">
      <c r="A22064" s="20"/>
    </row>
    <row r="22065" spans="1:1" x14ac:dyDescent="0.3">
      <c r="A22065" s="20"/>
    </row>
    <row r="22066" spans="1:1" x14ac:dyDescent="0.3">
      <c r="A22066" s="20"/>
    </row>
    <row r="22067" spans="1:1" x14ac:dyDescent="0.3">
      <c r="A22067" s="20"/>
    </row>
    <row r="22068" spans="1:1" x14ac:dyDescent="0.3">
      <c r="A22068" s="20"/>
    </row>
    <row r="22069" spans="1:1" x14ac:dyDescent="0.3">
      <c r="A22069" s="20"/>
    </row>
    <row r="22070" spans="1:1" x14ac:dyDescent="0.3">
      <c r="A22070" s="20"/>
    </row>
    <row r="22071" spans="1:1" x14ac:dyDescent="0.3">
      <c r="A22071" s="20"/>
    </row>
    <row r="22072" spans="1:1" x14ac:dyDescent="0.3">
      <c r="A22072" s="20"/>
    </row>
    <row r="22073" spans="1:1" x14ac:dyDescent="0.3">
      <c r="A22073" s="20"/>
    </row>
    <row r="22074" spans="1:1" x14ac:dyDescent="0.3">
      <c r="A22074" s="20"/>
    </row>
    <row r="22075" spans="1:1" x14ac:dyDescent="0.3">
      <c r="A22075" s="20"/>
    </row>
    <row r="22076" spans="1:1" x14ac:dyDescent="0.3">
      <c r="A22076" s="20"/>
    </row>
    <row r="22077" spans="1:1" x14ac:dyDescent="0.3">
      <c r="A22077" s="20"/>
    </row>
    <row r="22078" spans="1:1" x14ac:dyDescent="0.3">
      <c r="A22078" s="20"/>
    </row>
    <row r="22079" spans="1:1" x14ac:dyDescent="0.3">
      <c r="A22079" s="20"/>
    </row>
    <row r="22080" spans="1:1" x14ac:dyDescent="0.3">
      <c r="A22080" s="20"/>
    </row>
    <row r="22081" spans="1:1" x14ac:dyDescent="0.3">
      <c r="A22081" s="20"/>
    </row>
    <row r="22082" spans="1:1" x14ac:dyDescent="0.3">
      <c r="A22082" s="20"/>
    </row>
    <row r="22083" spans="1:1" x14ac:dyDescent="0.3">
      <c r="A22083" s="20"/>
    </row>
    <row r="22084" spans="1:1" x14ac:dyDescent="0.3">
      <c r="A22084" s="20"/>
    </row>
    <row r="22085" spans="1:1" x14ac:dyDescent="0.3">
      <c r="A22085" s="20"/>
    </row>
    <row r="22086" spans="1:1" x14ac:dyDescent="0.3">
      <c r="A22086" s="20"/>
    </row>
    <row r="22087" spans="1:1" x14ac:dyDescent="0.3">
      <c r="A22087" s="20"/>
    </row>
    <row r="22088" spans="1:1" x14ac:dyDescent="0.3">
      <c r="A22088" s="20"/>
    </row>
    <row r="22089" spans="1:1" x14ac:dyDescent="0.3">
      <c r="A22089" s="20"/>
    </row>
    <row r="22090" spans="1:1" x14ac:dyDescent="0.3">
      <c r="A22090" s="20"/>
    </row>
    <row r="22091" spans="1:1" x14ac:dyDescent="0.3">
      <c r="A22091" s="20"/>
    </row>
    <row r="22092" spans="1:1" x14ac:dyDescent="0.3">
      <c r="A22092" s="20"/>
    </row>
    <row r="22093" spans="1:1" x14ac:dyDescent="0.3">
      <c r="A22093" s="20"/>
    </row>
    <row r="22094" spans="1:1" x14ac:dyDescent="0.3">
      <c r="A22094" s="20"/>
    </row>
    <row r="22095" spans="1:1" x14ac:dyDescent="0.3">
      <c r="A22095" s="20"/>
    </row>
    <row r="22096" spans="1:1" x14ac:dyDescent="0.3">
      <c r="A22096" s="20"/>
    </row>
    <row r="22097" spans="1:1" x14ac:dyDescent="0.3">
      <c r="A22097" s="20"/>
    </row>
    <row r="22098" spans="1:1" x14ac:dyDescent="0.3">
      <c r="A22098" s="20"/>
    </row>
    <row r="22099" spans="1:1" x14ac:dyDescent="0.3">
      <c r="A22099" s="20"/>
    </row>
    <row r="22100" spans="1:1" x14ac:dyDescent="0.3">
      <c r="A22100" s="20"/>
    </row>
    <row r="22101" spans="1:1" x14ac:dyDescent="0.3">
      <c r="A22101" s="20"/>
    </row>
    <row r="22102" spans="1:1" x14ac:dyDescent="0.3">
      <c r="A22102" s="20"/>
    </row>
    <row r="22103" spans="1:1" x14ac:dyDescent="0.3">
      <c r="A22103" s="20"/>
    </row>
    <row r="22104" spans="1:1" x14ac:dyDescent="0.3">
      <c r="A22104" s="20"/>
    </row>
    <row r="22105" spans="1:1" x14ac:dyDescent="0.3">
      <c r="A22105" s="20"/>
    </row>
    <row r="22106" spans="1:1" x14ac:dyDescent="0.3">
      <c r="A22106" s="20"/>
    </row>
    <row r="22107" spans="1:1" x14ac:dyDescent="0.3">
      <c r="A22107" s="20"/>
    </row>
    <row r="22108" spans="1:1" x14ac:dyDescent="0.3">
      <c r="A22108" s="20"/>
    </row>
    <row r="22109" spans="1:1" x14ac:dyDescent="0.3">
      <c r="A22109" s="20"/>
    </row>
    <row r="22110" spans="1:1" x14ac:dyDescent="0.3">
      <c r="A22110" s="20"/>
    </row>
    <row r="22111" spans="1:1" x14ac:dyDescent="0.3">
      <c r="A22111" s="20"/>
    </row>
    <row r="22112" spans="1:1" x14ac:dyDescent="0.3">
      <c r="A22112" s="20"/>
    </row>
    <row r="22113" spans="1:1" x14ac:dyDescent="0.3">
      <c r="A22113" s="20"/>
    </row>
    <row r="22114" spans="1:1" x14ac:dyDescent="0.3">
      <c r="A22114" s="20"/>
    </row>
    <row r="22115" spans="1:1" x14ac:dyDescent="0.3">
      <c r="A22115" s="20"/>
    </row>
    <row r="22116" spans="1:1" x14ac:dyDescent="0.3">
      <c r="A22116" s="20"/>
    </row>
    <row r="22117" spans="1:1" x14ac:dyDescent="0.3">
      <c r="A22117" s="20"/>
    </row>
    <row r="22118" spans="1:1" x14ac:dyDescent="0.3">
      <c r="A22118" s="20"/>
    </row>
    <row r="22119" spans="1:1" x14ac:dyDescent="0.3">
      <c r="A22119" s="20"/>
    </row>
    <row r="22120" spans="1:1" x14ac:dyDescent="0.3">
      <c r="A22120" s="20"/>
    </row>
    <row r="22121" spans="1:1" x14ac:dyDescent="0.3">
      <c r="A22121" s="20"/>
    </row>
    <row r="22122" spans="1:1" x14ac:dyDescent="0.3">
      <c r="A22122" s="20"/>
    </row>
    <row r="22123" spans="1:1" x14ac:dyDescent="0.3">
      <c r="A22123" s="20"/>
    </row>
    <row r="22124" spans="1:1" x14ac:dyDescent="0.3">
      <c r="A22124" s="20"/>
    </row>
    <row r="22125" spans="1:1" x14ac:dyDescent="0.3">
      <c r="A22125" s="20"/>
    </row>
    <row r="22126" spans="1:1" x14ac:dyDescent="0.3">
      <c r="A22126" s="20"/>
    </row>
    <row r="22127" spans="1:1" x14ac:dyDescent="0.3">
      <c r="A22127" s="20"/>
    </row>
    <row r="22128" spans="1:1" x14ac:dyDescent="0.3">
      <c r="A22128" s="20"/>
    </row>
    <row r="22129" spans="1:1" x14ac:dyDescent="0.3">
      <c r="A22129" s="20"/>
    </row>
    <row r="22130" spans="1:1" x14ac:dyDescent="0.3">
      <c r="A22130" s="20"/>
    </row>
    <row r="22131" spans="1:1" x14ac:dyDescent="0.3">
      <c r="A22131" s="20"/>
    </row>
    <row r="22132" spans="1:1" x14ac:dyDescent="0.3">
      <c r="A22132" s="20"/>
    </row>
    <row r="22133" spans="1:1" x14ac:dyDescent="0.3">
      <c r="A22133" s="20"/>
    </row>
    <row r="22134" spans="1:1" x14ac:dyDescent="0.3">
      <c r="A22134" s="20"/>
    </row>
    <row r="22135" spans="1:1" x14ac:dyDescent="0.3">
      <c r="A22135" s="20"/>
    </row>
    <row r="22136" spans="1:1" x14ac:dyDescent="0.3">
      <c r="A22136" s="20"/>
    </row>
    <row r="22137" spans="1:1" x14ac:dyDescent="0.3">
      <c r="A22137" s="20"/>
    </row>
    <row r="22138" spans="1:1" x14ac:dyDescent="0.3">
      <c r="A22138" s="20"/>
    </row>
    <row r="22139" spans="1:1" x14ac:dyDescent="0.3">
      <c r="A22139" s="20"/>
    </row>
    <row r="22140" spans="1:1" x14ac:dyDescent="0.3">
      <c r="A22140" s="20"/>
    </row>
    <row r="22141" spans="1:1" x14ac:dyDescent="0.3">
      <c r="A22141" s="20"/>
    </row>
    <row r="22142" spans="1:1" x14ac:dyDescent="0.3">
      <c r="A22142" s="20"/>
    </row>
    <row r="22143" spans="1:1" x14ac:dyDescent="0.3">
      <c r="A22143" s="20"/>
    </row>
    <row r="22144" spans="1:1" x14ac:dyDescent="0.3">
      <c r="A22144" s="20"/>
    </row>
    <row r="22145" spans="1:1" x14ac:dyDescent="0.3">
      <c r="A22145" s="20"/>
    </row>
    <row r="22146" spans="1:1" x14ac:dyDescent="0.3">
      <c r="A22146" s="20"/>
    </row>
    <row r="22147" spans="1:1" x14ac:dyDescent="0.3">
      <c r="A22147" s="20"/>
    </row>
    <row r="22148" spans="1:1" x14ac:dyDescent="0.3">
      <c r="A22148" s="20"/>
    </row>
    <row r="22149" spans="1:1" x14ac:dyDescent="0.3">
      <c r="A22149" s="20"/>
    </row>
    <row r="22150" spans="1:1" x14ac:dyDescent="0.3">
      <c r="A22150" s="20"/>
    </row>
    <row r="22151" spans="1:1" x14ac:dyDescent="0.3">
      <c r="A22151" s="20"/>
    </row>
    <row r="22152" spans="1:1" x14ac:dyDescent="0.3">
      <c r="A22152" s="20"/>
    </row>
    <row r="22153" spans="1:1" x14ac:dyDescent="0.3">
      <c r="A22153" s="20"/>
    </row>
    <row r="22154" spans="1:1" x14ac:dyDescent="0.3">
      <c r="A22154" s="20"/>
    </row>
    <row r="22155" spans="1:1" x14ac:dyDescent="0.3">
      <c r="A22155" s="20"/>
    </row>
    <row r="22156" spans="1:1" x14ac:dyDescent="0.3">
      <c r="A22156" s="20"/>
    </row>
    <row r="22157" spans="1:1" x14ac:dyDescent="0.3">
      <c r="A22157" s="20"/>
    </row>
    <row r="22158" spans="1:1" x14ac:dyDescent="0.3">
      <c r="A22158" s="20"/>
    </row>
    <row r="22159" spans="1:1" x14ac:dyDescent="0.3">
      <c r="A22159" s="20"/>
    </row>
    <row r="22160" spans="1:1" x14ac:dyDescent="0.3">
      <c r="A22160" s="20"/>
    </row>
    <row r="22161" spans="1:1" x14ac:dyDescent="0.3">
      <c r="A22161" s="20"/>
    </row>
    <row r="22162" spans="1:1" x14ac:dyDescent="0.3">
      <c r="A22162" s="20"/>
    </row>
    <row r="22163" spans="1:1" x14ac:dyDescent="0.3">
      <c r="A22163" s="20"/>
    </row>
    <row r="22164" spans="1:1" x14ac:dyDescent="0.3">
      <c r="A22164" s="20"/>
    </row>
    <row r="22165" spans="1:1" x14ac:dyDescent="0.3">
      <c r="A22165" s="20"/>
    </row>
    <row r="22166" spans="1:1" x14ac:dyDescent="0.3">
      <c r="A22166" s="20"/>
    </row>
    <row r="22167" spans="1:1" x14ac:dyDescent="0.3">
      <c r="A22167" s="20"/>
    </row>
    <row r="22168" spans="1:1" x14ac:dyDescent="0.3">
      <c r="A22168" s="20"/>
    </row>
    <row r="22169" spans="1:1" x14ac:dyDescent="0.3">
      <c r="A22169" s="20"/>
    </row>
    <row r="22170" spans="1:1" x14ac:dyDescent="0.3">
      <c r="A22170" s="20"/>
    </row>
    <row r="22171" spans="1:1" x14ac:dyDescent="0.3">
      <c r="A22171" s="20"/>
    </row>
    <row r="22172" spans="1:1" x14ac:dyDescent="0.3">
      <c r="A22172" s="20"/>
    </row>
    <row r="22173" spans="1:1" x14ac:dyDescent="0.3">
      <c r="A22173" s="20"/>
    </row>
    <row r="22174" spans="1:1" x14ac:dyDescent="0.3">
      <c r="A22174" s="20"/>
    </row>
    <row r="22175" spans="1:1" x14ac:dyDescent="0.3">
      <c r="A22175" s="20"/>
    </row>
    <row r="22176" spans="1:1" x14ac:dyDescent="0.3">
      <c r="A22176" s="20"/>
    </row>
    <row r="22177" spans="1:1" x14ac:dyDescent="0.3">
      <c r="A22177" s="20"/>
    </row>
    <row r="22178" spans="1:1" x14ac:dyDescent="0.3">
      <c r="A22178" s="20"/>
    </row>
    <row r="22179" spans="1:1" x14ac:dyDescent="0.3">
      <c r="A22179" s="20"/>
    </row>
    <row r="22180" spans="1:1" x14ac:dyDescent="0.3">
      <c r="A22180" s="20"/>
    </row>
    <row r="22181" spans="1:1" x14ac:dyDescent="0.3">
      <c r="A22181" s="20"/>
    </row>
    <row r="22182" spans="1:1" x14ac:dyDescent="0.3">
      <c r="A22182" s="20"/>
    </row>
    <row r="22183" spans="1:1" x14ac:dyDescent="0.3">
      <c r="A22183" s="20"/>
    </row>
    <row r="22184" spans="1:1" x14ac:dyDescent="0.3">
      <c r="A22184" s="20"/>
    </row>
    <row r="22185" spans="1:1" x14ac:dyDescent="0.3">
      <c r="A22185" s="20"/>
    </row>
    <row r="22186" spans="1:1" x14ac:dyDescent="0.3">
      <c r="A22186" s="20"/>
    </row>
    <row r="22187" spans="1:1" x14ac:dyDescent="0.3">
      <c r="A22187" s="20"/>
    </row>
    <row r="22188" spans="1:1" x14ac:dyDescent="0.3">
      <c r="A22188" s="20"/>
    </row>
    <row r="22189" spans="1:1" x14ac:dyDescent="0.3">
      <c r="A22189" s="20"/>
    </row>
    <row r="22190" spans="1:1" x14ac:dyDescent="0.3">
      <c r="A22190" s="20"/>
    </row>
    <row r="22191" spans="1:1" x14ac:dyDescent="0.3">
      <c r="A22191" s="20"/>
    </row>
    <row r="22192" spans="1:1" x14ac:dyDescent="0.3">
      <c r="A22192" s="20"/>
    </row>
    <row r="22193" spans="1:1" x14ac:dyDescent="0.3">
      <c r="A22193" s="20"/>
    </row>
    <row r="22194" spans="1:1" x14ac:dyDescent="0.3">
      <c r="A22194" s="20"/>
    </row>
    <row r="22195" spans="1:1" x14ac:dyDescent="0.3">
      <c r="A22195" s="20"/>
    </row>
    <row r="22196" spans="1:1" x14ac:dyDescent="0.3">
      <c r="A22196" s="20"/>
    </row>
    <row r="22197" spans="1:1" x14ac:dyDescent="0.3">
      <c r="A22197" s="20"/>
    </row>
    <row r="22198" spans="1:1" x14ac:dyDescent="0.3">
      <c r="A22198" s="20"/>
    </row>
    <row r="22199" spans="1:1" x14ac:dyDescent="0.3">
      <c r="A22199" s="20"/>
    </row>
    <row r="22200" spans="1:1" x14ac:dyDescent="0.3">
      <c r="A22200" s="20"/>
    </row>
    <row r="22201" spans="1:1" x14ac:dyDescent="0.3">
      <c r="A22201" s="20"/>
    </row>
    <row r="22202" spans="1:1" x14ac:dyDescent="0.3">
      <c r="A22202" s="20"/>
    </row>
    <row r="22203" spans="1:1" x14ac:dyDescent="0.3">
      <c r="A22203" s="20"/>
    </row>
    <row r="22204" spans="1:1" x14ac:dyDescent="0.3">
      <c r="A22204" s="20"/>
    </row>
    <row r="22205" spans="1:1" x14ac:dyDescent="0.3">
      <c r="A22205" s="20"/>
    </row>
    <row r="22206" spans="1:1" x14ac:dyDescent="0.3">
      <c r="A22206" s="20"/>
    </row>
    <row r="22207" spans="1:1" x14ac:dyDescent="0.3">
      <c r="A22207" s="20"/>
    </row>
    <row r="22208" spans="1:1" x14ac:dyDescent="0.3">
      <c r="A22208" s="20"/>
    </row>
    <row r="22209" spans="1:1" x14ac:dyDescent="0.3">
      <c r="A22209" s="20"/>
    </row>
    <row r="22210" spans="1:1" x14ac:dyDescent="0.3">
      <c r="A22210" s="20"/>
    </row>
    <row r="22211" spans="1:1" x14ac:dyDescent="0.3">
      <c r="A22211" s="20"/>
    </row>
    <row r="22212" spans="1:1" x14ac:dyDescent="0.3">
      <c r="A22212" s="20"/>
    </row>
    <row r="22213" spans="1:1" x14ac:dyDescent="0.3">
      <c r="A22213" s="20"/>
    </row>
    <row r="22214" spans="1:1" x14ac:dyDescent="0.3">
      <c r="A22214" s="20"/>
    </row>
    <row r="22215" spans="1:1" x14ac:dyDescent="0.3">
      <c r="A22215" s="20"/>
    </row>
    <row r="22216" spans="1:1" x14ac:dyDescent="0.3">
      <c r="A22216" s="20"/>
    </row>
    <row r="22217" spans="1:1" x14ac:dyDescent="0.3">
      <c r="A22217" s="20"/>
    </row>
    <row r="22218" spans="1:1" x14ac:dyDescent="0.3">
      <c r="A22218" s="20"/>
    </row>
    <row r="22219" spans="1:1" x14ac:dyDescent="0.3">
      <c r="A22219" s="20"/>
    </row>
    <row r="22220" spans="1:1" x14ac:dyDescent="0.3">
      <c r="A22220" s="20"/>
    </row>
    <row r="22221" spans="1:1" x14ac:dyDescent="0.3">
      <c r="A22221" s="20"/>
    </row>
    <row r="22222" spans="1:1" x14ac:dyDescent="0.3">
      <c r="A22222" s="20"/>
    </row>
    <row r="22223" spans="1:1" x14ac:dyDescent="0.3">
      <c r="A22223" s="20"/>
    </row>
    <row r="22224" spans="1:1" x14ac:dyDescent="0.3">
      <c r="A22224" s="20"/>
    </row>
    <row r="22225" spans="1:1" x14ac:dyDescent="0.3">
      <c r="A22225" s="20"/>
    </row>
    <row r="22226" spans="1:1" x14ac:dyDescent="0.3">
      <c r="A22226" s="20"/>
    </row>
    <row r="22227" spans="1:1" x14ac:dyDescent="0.3">
      <c r="A22227" s="20"/>
    </row>
    <row r="22228" spans="1:1" x14ac:dyDescent="0.3">
      <c r="A22228" s="20"/>
    </row>
    <row r="22229" spans="1:1" x14ac:dyDescent="0.3">
      <c r="A22229" s="20"/>
    </row>
    <row r="22230" spans="1:1" x14ac:dyDescent="0.3">
      <c r="A22230" s="20"/>
    </row>
    <row r="22231" spans="1:1" x14ac:dyDescent="0.3">
      <c r="A22231" s="20"/>
    </row>
    <row r="22232" spans="1:1" x14ac:dyDescent="0.3">
      <c r="A22232" s="20"/>
    </row>
    <row r="22233" spans="1:1" x14ac:dyDescent="0.3">
      <c r="A22233" s="20"/>
    </row>
    <row r="22234" spans="1:1" x14ac:dyDescent="0.3">
      <c r="A22234" s="20"/>
    </row>
    <row r="22235" spans="1:1" x14ac:dyDescent="0.3">
      <c r="A22235" s="20"/>
    </row>
    <row r="22236" spans="1:1" x14ac:dyDescent="0.3">
      <c r="A22236" s="20"/>
    </row>
    <row r="22237" spans="1:1" x14ac:dyDescent="0.3">
      <c r="A22237" s="20"/>
    </row>
    <row r="22238" spans="1:1" x14ac:dyDescent="0.3">
      <c r="A22238" s="20"/>
    </row>
    <row r="22239" spans="1:1" x14ac:dyDescent="0.3">
      <c r="A22239" s="20"/>
    </row>
    <row r="22240" spans="1:1" x14ac:dyDescent="0.3">
      <c r="A22240" s="20"/>
    </row>
    <row r="22241" spans="1:1" x14ac:dyDescent="0.3">
      <c r="A22241" s="20"/>
    </row>
    <row r="22242" spans="1:1" x14ac:dyDescent="0.3">
      <c r="A22242" s="20"/>
    </row>
    <row r="22243" spans="1:1" x14ac:dyDescent="0.3">
      <c r="A22243" s="20"/>
    </row>
    <row r="22244" spans="1:1" x14ac:dyDescent="0.3">
      <c r="A22244" s="20"/>
    </row>
    <row r="22245" spans="1:1" x14ac:dyDescent="0.3">
      <c r="A22245" s="20"/>
    </row>
    <row r="22246" spans="1:1" x14ac:dyDescent="0.3">
      <c r="A22246" s="20"/>
    </row>
    <row r="22247" spans="1:1" x14ac:dyDescent="0.3">
      <c r="A22247" s="20"/>
    </row>
    <row r="22248" spans="1:1" x14ac:dyDescent="0.3">
      <c r="A22248" s="20"/>
    </row>
    <row r="22249" spans="1:1" x14ac:dyDescent="0.3">
      <c r="A22249" s="20"/>
    </row>
    <row r="22250" spans="1:1" x14ac:dyDescent="0.3">
      <c r="A22250" s="20"/>
    </row>
    <row r="22251" spans="1:1" x14ac:dyDescent="0.3">
      <c r="A22251" s="20"/>
    </row>
    <row r="22252" spans="1:1" x14ac:dyDescent="0.3">
      <c r="A22252" s="20"/>
    </row>
    <row r="22253" spans="1:1" x14ac:dyDescent="0.3">
      <c r="A22253" s="20"/>
    </row>
    <row r="22254" spans="1:1" x14ac:dyDescent="0.3">
      <c r="A22254" s="20"/>
    </row>
    <row r="22255" spans="1:1" x14ac:dyDescent="0.3">
      <c r="A22255" s="20"/>
    </row>
    <row r="22256" spans="1:1" x14ac:dyDescent="0.3">
      <c r="A22256" s="20"/>
    </row>
    <row r="22257" spans="1:1" x14ac:dyDescent="0.3">
      <c r="A22257" s="20"/>
    </row>
    <row r="22258" spans="1:1" x14ac:dyDescent="0.3">
      <c r="A22258" s="20"/>
    </row>
    <row r="22259" spans="1:1" x14ac:dyDescent="0.3">
      <c r="A22259" s="20"/>
    </row>
    <row r="22260" spans="1:1" x14ac:dyDescent="0.3">
      <c r="A22260" s="20"/>
    </row>
    <row r="22261" spans="1:1" x14ac:dyDescent="0.3">
      <c r="A22261" s="20"/>
    </row>
    <row r="22262" spans="1:1" x14ac:dyDescent="0.3">
      <c r="A22262" s="20"/>
    </row>
    <row r="22263" spans="1:1" x14ac:dyDescent="0.3">
      <c r="A22263" s="20"/>
    </row>
    <row r="22264" spans="1:1" x14ac:dyDescent="0.3">
      <c r="A22264" s="20"/>
    </row>
    <row r="22265" spans="1:1" x14ac:dyDescent="0.3">
      <c r="A22265" s="20"/>
    </row>
    <row r="22266" spans="1:1" x14ac:dyDescent="0.3">
      <c r="A22266" s="20"/>
    </row>
    <row r="22267" spans="1:1" x14ac:dyDescent="0.3">
      <c r="A22267" s="20"/>
    </row>
    <row r="22268" spans="1:1" x14ac:dyDescent="0.3">
      <c r="A22268" s="20"/>
    </row>
    <row r="22269" spans="1:1" x14ac:dyDescent="0.3">
      <c r="A22269" s="20"/>
    </row>
    <row r="22270" spans="1:1" x14ac:dyDescent="0.3">
      <c r="A22270" s="20"/>
    </row>
    <row r="22271" spans="1:1" x14ac:dyDescent="0.3">
      <c r="A22271" s="20"/>
    </row>
    <row r="22272" spans="1:1" x14ac:dyDescent="0.3">
      <c r="A22272" s="20"/>
    </row>
    <row r="22273" spans="1:1" x14ac:dyDescent="0.3">
      <c r="A22273" s="20"/>
    </row>
    <row r="22274" spans="1:1" x14ac:dyDescent="0.3">
      <c r="A22274" s="20"/>
    </row>
    <row r="22275" spans="1:1" x14ac:dyDescent="0.3">
      <c r="A22275" s="20"/>
    </row>
    <row r="22276" spans="1:1" x14ac:dyDescent="0.3">
      <c r="A22276" s="20"/>
    </row>
    <row r="22277" spans="1:1" x14ac:dyDescent="0.3">
      <c r="A22277" s="20"/>
    </row>
    <row r="22278" spans="1:1" x14ac:dyDescent="0.3">
      <c r="A22278" s="20"/>
    </row>
    <row r="22279" spans="1:1" x14ac:dyDescent="0.3">
      <c r="A22279" s="20"/>
    </row>
    <row r="22280" spans="1:1" x14ac:dyDescent="0.3">
      <c r="A22280" s="20"/>
    </row>
    <row r="22281" spans="1:1" x14ac:dyDescent="0.3">
      <c r="A22281" s="20"/>
    </row>
    <row r="22282" spans="1:1" x14ac:dyDescent="0.3">
      <c r="A22282" s="20"/>
    </row>
    <row r="22283" spans="1:1" x14ac:dyDescent="0.3">
      <c r="A22283" s="20"/>
    </row>
    <row r="22284" spans="1:1" x14ac:dyDescent="0.3">
      <c r="A22284" s="20"/>
    </row>
    <row r="22285" spans="1:1" x14ac:dyDescent="0.3">
      <c r="A22285" s="20"/>
    </row>
    <row r="22286" spans="1:1" x14ac:dyDescent="0.3">
      <c r="A22286" s="20"/>
    </row>
    <row r="22287" spans="1:1" x14ac:dyDescent="0.3">
      <c r="A22287" s="20"/>
    </row>
    <row r="22288" spans="1:1" x14ac:dyDescent="0.3">
      <c r="A22288" s="20"/>
    </row>
    <row r="22289" spans="1:1" x14ac:dyDescent="0.3">
      <c r="A22289" s="20"/>
    </row>
    <row r="22290" spans="1:1" x14ac:dyDescent="0.3">
      <c r="A22290" s="20"/>
    </row>
    <row r="22291" spans="1:1" x14ac:dyDescent="0.3">
      <c r="A22291" s="20"/>
    </row>
    <row r="22292" spans="1:1" x14ac:dyDescent="0.3">
      <c r="A22292" s="20"/>
    </row>
    <row r="22293" spans="1:1" x14ac:dyDescent="0.3">
      <c r="A22293" s="20"/>
    </row>
    <row r="22294" spans="1:1" x14ac:dyDescent="0.3">
      <c r="A22294" s="20"/>
    </row>
    <row r="22295" spans="1:1" x14ac:dyDescent="0.3">
      <c r="A22295" s="20"/>
    </row>
    <row r="22296" spans="1:1" x14ac:dyDescent="0.3">
      <c r="A22296" s="20"/>
    </row>
    <row r="22297" spans="1:1" x14ac:dyDescent="0.3">
      <c r="A22297" s="20"/>
    </row>
    <row r="22298" spans="1:1" x14ac:dyDescent="0.3">
      <c r="A22298" s="20"/>
    </row>
    <row r="22299" spans="1:1" x14ac:dyDescent="0.3">
      <c r="A22299" s="20"/>
    </row>
    <row r="22300" spans="1:1" x14ac:dyDescent="0.3">
      <c r="A22300" s="20"/>
    </row>
    <row r="22301" spans="1:1" x14ac:dyDescent="0.3">
      <c r="A22301" s="20"/>
    </row>
    <row r="22302" spans="1:1" x14ac:dyDescent="0.3">
      <c r="A22302" s="20"/>
    </row>
    <row r="22303" spans="1:1" x14ac:dyDescent="0.3">
      <c r="A22303" s="20"/>
    </row>
    <row r="22304" spans="1:1" x14ac:dyDescent="0.3">
      <c r="A22304" s="20"/>
    </row>
    <row r="22305" spans="1:1" x14ac:dyDescent="0.3">
      <c r="A22305" s="20"/>
    </row>
    <row r="22306" spans="1:1" x14ac:dyDescent="0.3">
      <c r="A22306" s="20"/>
    </row>
    <row r="22307" spans="1:1" x14ac:dyDescent="0.3">
      <c r="A22307" s="20"/>
    </row>
    <row r="22308" spans="1:1" x14ac:dyDescent="0.3">
      <c r="A22308" s="20"/>
    </row>
    <row r="22309" spans="1:1" x14ac:dyDescent="0.3">
      <c r="A22309" s="20"/>
    </row>
    <row r="22310" spans="1:1" x14ac:dyDescent="0.3">
      <c r="A22310" s="20"/>
    </row>
    <row r="22311" spans="1:1" x14ac:dyDescent="0.3">
      <c r="A22311" s="20"/>
    </row>
    <row r="22312" spans="1:1" x14ac:dyDescent="0.3">
      <c r="A22312" s="20"/>
    </row>
    <row r="22313" spans="1:1" x14ac:dyDescent="0.3">
      <c r="A22313" s="20"/>
    </row>
    <row r="22314" spans="1:1" x14ac:dyDescent="0.3">
      <c r="A22314" s="20"/>
    </row>
    <row r="22315" spans="1:1" x14ac:dyDescent="0.3">
      <c r="A22315" s="20"/>
    </row>
    <row r="22316" spans="1:1" x14ac:dyDescent="0.3">
      <c r="A22316" s="20"/>
    </row>
    <row r="22317" spans="1:1" x14ac:dyDescent="0.3">
      <c r="A22317" s="20"/>
    </row>
    <row r="22318" spans="1:1" x14ac:dyDescent="0.3">
      <c r="A22318" s="20"/>
    </row>
    <row r="22319" spans="1:1" x14ac:dyDescent="0.3">
      <c r="A22319" s="20"/>
    </row>
    <row r="22320" spans="1:1" x14ac:dyDescent="0.3">
      <c r="A22320" s="20"/>
    </row>
    <row r="22321" spans="1:1" x14ac:dyDescent="0.3">
      <c r="A22321" s="20"/>
    </row>
    <row r="22322" spans="1:1" x14ac:dyDescent="0.3">
      <c r="A22322" s="20"/>
    </row>
    <row r="22323" spans="1:1" x14ac:dyDescent="0.3">
      <c r="A22323" s="20"/>
    </row>
    <row r="22324" spans="1:1" x14ac:dyDescent="0.3">
      <c r="A22324" s="20"/>
    </row>
    <row r="22325" spans="1:1" x14ac:dyDescent="0.3">
      <c r="A22325" s="20"/>
    </row>
    <row r="22326" spans="1:1" x14ac:dyDescent="0.3">
      <c r="A22326" s="20"/>
    </row>
    <row r="22327" spans="1:1" x14ac:dyDescent="0.3">
      <c r="A22327" s="20"/>
    </row>
    <row r="22328" spans="1:1" x14ac:dyDescent="0.3">
      <c r="A22328" s="20"/>
    </row>
    <row r="22329" spans="1:1" x14ac:dyDescent="0.3">
      <c r="A22329" s="20"/>
    </row>
    <row r="22330" spans="1:1" x14ac:dyDescent="0.3">
      <c r="A22330" s="20"/>
    </row>
    <row r="22331" spans="1:1" x14ac:dyDescent="0.3">
      <c r="A22331" s="20"/>
    </row>
    <row r="22332" spans="1:1" x14ac:dyDescent="0.3">
      <c r="A22332" s="20"/>
    </row>
    <row r="22333" spans="1:1" x14ac:dyDescent="0.3">
      <c r="A22333" s="20"/>
    </row>
    <row r="22334" spans="1:1" x14ac:dyDescent="0.3">
      <c r="A22334" s="20"/>
    </row>
    <row r="22335" spans="1:1" x14ac:dyDescent="0.3">
      <c r="A22335" s="20"/>
    </row>
    <row r="22336" spans="1:1" x14ac:dyDescent="0.3">
      <c r="A22336" s="20"/>
    </row>
    <row r="22337" spans="1:1" x14ac:dyDescent="0.3">
      <c r="A22337" s="20"/>
    </row>
    <row r="22338" spans="1:1" x14ac:dyDescent="0.3">
      <c r="A22338" s="20"/>
    </row>
    <row r="22339" spans="1:1" x14ac:dyDescent="0.3">
      <c r="A22339" s="20"/>
    </row>
    <row r="22340" spans="1:1" x14ac:dyDescent="0.3">
      <c r="A22340" s="20"/>
    </row>
    <row r="22341" spans="1:1" x14ac:dyDescent="0.3">
      <c r="A22341" s="20"/>
    </row>
    <row r="22342" spans="1:1" x14ac:dyDescent="0.3">
      <c r="A22342" s="20"/>
    </row>
    <row r="22343" spans="1:1" x14ac:dyDescent="0.3">
      <c r="A22343" s="20"/>
    </row>
    <row r="22344" spans="1:1" x14ac:dyDescent="0.3">
      <c r="A22344" s="20"/>
    </row>
    <row r="22345" spans="1:1" x14ac:dyDescent="0.3">
      <c r="A22345" s="20"/>
    </row>
    <row r="22346" spans="1:1" x14ac:dyDescent="0.3">
      <c r="A22346" s="20"/>
    </row>
    <row r="22347" spans="1:1" x14ac:dyDescent="0.3">
      <c r="A22347" s="20"/>
    </row>
    <row r="22348" spans="1:1" x14ac:dyDescent="0.3">
      <c r="A22348" s="20"/>
    </row>
    <row r="22349" spans="1:1" x14ac:dyDescent="0.3">
      <c r="A22349" s="20"/>
    </row>
    <row r="22350" spans="1:1" x14ac:dyDescent="0.3">
      <c r="A22350" s="20"/>
    </row>
    <row r="22351" spans="1:1" x14ac:dyDescent="0.3">
      <c r="A22351" s="20"/>
    </row>
    <row r="22352" spans="1:1" x14ac:dyDescent="0.3">
      <c r="A22352" s="20"/>
    </row>
    <row r="22353" spans="1:1" x14ac:dyDescent="0.3">
      <c r="A22353" s="20"/>
    </row>
    <row r="22354" spans="1:1" x14ac:dyDescent="0.3">
      <c r="A22354" s="20"/>
    </row>
    <row r="22355" spans="1:1" x14ac:dyDescent="0.3">
      <c r="A22355" s="20"/>
    </row>
    <row r="22356" spans="1:1" x14ac:dyDescent="0.3">
      <c r="A22356" s="20"/>
    </row>
    <row r="22357" spans="1:1" x14ac:dyDescent="0.3">
      <c r="A22357" s="20"/>
    </row>
    <row r="22358" spans="1:1" x14ac:dyDescent="0.3">
      <c r="A22358" s="20"/>
    </row>
    <row r="22359" spans="1:1" x14ac:dyDescent="0.3">
      <c r="A22359" s="20"/>
    </row>
    <row r="22360" spans="1:1" x14ac:dyDescent="0.3">
      <c r="A22360" s="20"/>
    </row>
    <row r="22361" spans="1:1" x14ac:dyDescent="0.3">
      <c r="A22361" s="20"/>
    </row>
    <row r="22362" spans="1:1" x14ac:dyDescent="0.3">
      <c r="A22362" s="20"/>
    </row>
    <row r="22363" spans="1:1" x14ac:dyDescent="0.3">
      <c r="A22363" s="20"/>
    </row>
    <row r="22364" spans="1:1" x14ac:dyDescent="0.3">
      <c r="A22364" s="20"/>
    </row>
    <row r="22365" spans="1:1" x14ac:dyDescent="0.3">
      <c r="A22365" s="20"/>
    </row>
    <row r="22366" spans="1:1" x14ac:dyDescent="0.3">
      <c r="A22366" s="20"/>
    </row>
    <row r="22367" spans="1:1" x14ac:dyDescent="0.3">
      <c r="A22367" s="20"/>
    </row>
    <row r="22368" spans="1:1" x14ac:dyDescent="0.3">
      <c r="A22368" s="20"/>
    </row>
    <row r="22369" spans="1:1" x14ac:dyDescent="0.3">
      <c r="A22369" s="20"/>
    </row>
    <row r="22370" spans="1:1" x14ac:dyDescent="0.3">
      <c r="A22370" s="20"/>
    </row>
    <row r="22371" spans="1:1" x14ac:dyDescent="0.3">
      <c r="A22371" s="20"/>
    </row>
    <row r="22372" spans="1:1" x14ac:dyDescent="0.3">
      <c r="A22372" s="20"/>
    </row>
    <row r="22373" spans="1:1" x14ac:dyDescent="0.3">
      <c r="A22373" s="20"/>
    </row>
    <row r="22374" spans="1:1" x14ac:dyDescent="0.3">
      <c r="A22374" s="20"/>
    </row>
    <row r="22375" spans="1:1" x14ac:dyDescent="0.3">
      <c r="A22375" s="20"/>
    </row>
    <row r="22376" spans="1:1" x14ac:dyDescent="0.3">
      <c r="A22376" s="20"/>
    </row>
    <row r="22377" spans="1:1" x14ac:dyDescent="0.3">
      <c r="A22377" s="20"/>
    </row>
    <row r="22378" spans="1:1" x14ac:dyDescent="0.3">
      <c r="A22378" s="20"/>
    </row>
    <row r="22379" spans="1:1" x14ac:dyDescent="0.3">
      <c r="A22379" s="20"/>
    </row>
    <row r="22380" spans="1:1" x14ac:dyDescent="0.3">
      <c r="A22380" s="20"/>
    </row>
    <row r="22381" spans="1:1" x14ac:dyDescent="0.3">
      <c r="A22381" s="20"/>
    </row>
    <row r="22382" spans="1:1" x14ac:dyDescent="0.3">
      <c r="A22382" s="20"/>
    </row>
    <row r="22383" spans="1:1" x14ac:dyDescent="0.3">
      <c r="A22383" s="20"/>
    </row>
    <row r="22384" spans="1:1" x14ac:dyDescent="0.3">
      <c r="A22384" s="20"/>
    </row>
    <row r="22385" spans="1:1" x14ac:dyDescent="0.3">
      <c r="A22385" s="20"/>
    </row>
    <row r="22386" spans="1:1" x14ac:dyDescent="0.3">
      <c r="A22386" s="20"/>
    </row>
    <row r="22387" spans="1:1" x14ac:dyDescent="0.3">
      <c r="A22387" s="20"/>
    </row>
    <row r="22388" spans="1:1" x14ac:dyDescent="0.3">
      <c r="A22388" s="20"/>
    </row>
    <row r="22389" spans="1:1" x14ac:dyDescent="0.3">
      <c r="A22389" s="20"/>
    </row>
    <row r="22390" spans="1:1" x14ac:dyDescent="0.3">
      <c r="A22390" s="20"/>
    </row>
    <row r="22391" spans="1:1" x14ac:dyDescent="0.3">
      <c r="A22391" s="20"/>
    </row>
    <row r="22392" spans="1:1" x14ac:dyDescent="0.3">
      <c r="A22392" s="20"/>
    </row>
    <row r="22393" spans="1:1" x14ac:dyDescent="0.3">
      <c r="A22393" s="20"/>
    </row>
    <row r="22394" spans="1:1" x14ac:dyDescent="0.3">
      <c r="A22394" s="20"/>
    </row>
    <row r="22395" spans="1:1" x14ac:dyDescent="0.3">
      <c r="A22395" s="20"/>
    </row>
    <row r="22396" spans="1:1" x14ac:dyDescent="0.3">
      <c r="A22396" s="20"/>
    </row>
    <row r="22397" spans="1:1" x14ac:dyDescent="0.3">
      <c r="A22397" s="20"/>
    </row>
    <row r="22398" spans="1:1" x14ac:dyDescent="0.3">
      <c r="A22398" s="20"/>
    </row>
    <row r="22399" spans="1:1" x14ac:dyDescent="0.3">
      <c r="A22399" s="20"/>
    </row>
    <row r="22400" spans="1:1" x14ac:dyDescent="0.3">
      <c r="A22400" s="20"/>
    </row>
    <row r="22401" spans="1:1" x14ac:dyDescent="0.3">
      <c r="A22401" s="20"/>
    </row>
    <row r="22402" spans="1:1" x14ac:dyDescent="0.3">
      <c r="A22402" s="20"/>
    </row>
    <row r="22403" spans="1:1" x14ac:dyDescent="0.3">
      <c r="A22403" s="20"/>
    </row>
    <row r="22404" spans="1:1" x14ac:dyDescent="0.3">
      <c r="A22404" s="20"/>
    </row>
    <row r="22405" spans="1:1" x14ac:dyDescent="0.3">
      <c r="A22405" s="20"/>
    </row>
    <row r="22406" spans="1:1" x14ac:dyDescent="0.3">
      <c r="A22406" s="20"/>
    </row>
    <row r="22407" spans="1:1" x14ac:dyDescent="0.3">
      <c r="A22407" s="20"/>
    </row>
    <row r="22408" spans="1:1" x14ac:dyDescent="0.3">
      <c r="A22408" s="20"/>
    </row>
    <row r="22409" spans="1:1" x14ac:dyDescent="0.3">
      <c r="A22409" s="20"/>
    </row>
    <row r="22410" spans="1:1" x14ac:dyDescent="0.3">
      <c r="A22410" s="20"/>
    </row>
    <row r="22411" spans="1:1" x14ac:dyDescent="0.3">
      <c r="A22411" s="20"/>
    </row>
    <row r="22412" spans="1:1" x14ac:dyDescent="0.3">
      <c r="A22412" s="20"/>
    </row>
    <row r="22413" spans="1:1" x14ac:dyDescent="0.3">
      <c r="A22413" s="20"/>
    </row>
    <row r="22414" spans="1:1" x14ac:dyDescent="0.3">
      <c r="A22414" s="20"/>
    </row>
    <row r="22415" spans="1:1" x14ac:dyDescent="0.3">
      <c r="A22415" s="20"/>
    </row>
    <row r="22416" spans="1:1" x14ac:dyDescent="0.3">
      <c r="A22416" s="20"/>
    </row>
    <row r="22417" spans="1:1" x14ac:dyDescent="0.3">
      <c r="A22417" s="20"/>
    </row>
    <row r="22418" spans="1:1" x14ac:dyDescent="0.3">
      <c r="A22418" s="20"/>
    </row>
    <row r="22419" spans="1:1" x14ac:dyDescent="0.3">
      <c r="A22419" s="20"/>
    </row>
    <row r="22420" spans="1:1" x14ac:dyDescent="0.3">
      <c r="A22420" s="20"/>
    </row>
    <row r="22421" spans="1:1" x14ac:dyDescent="0.3">
      <c r="A22421" s="20"/>
    </row>
    <row r="22422" spans="1:1" x14ac:dyDescent="0.3">
      <c r="A22422" s="20"/>
    </row>
    <row r="22423" spans="1:1" x14ac:dyDescent="0.3">
      <c r="A22423" s="20"/>
    </row>
    <row r="22424" spans="1:1" x14ac:dyDescent="0.3">
      <c r="A22424" s="20"/>
    </row>
    <row r="22425" spans="1:1" x14ac:dyDescent="0.3">
      <c r="A22425" s="20"/>
    </row>
    <row r="22426" spans="1:1" x14ac:dyDescent="0.3">
      <c r="A22426" s="20"/>
    </row>
    <row r="22427" spans="1:1" x14ac:dyDescent="0.3">
      <c r="A22427" s="20"/>
    </row>
    <row r="22428" spans="1:1" x14ac:dyDescent="0.3">
      <c r="A22428" s="20"/>
    </row>
    <row r="22429" spans="1:1" x14ac:dyDescent="0.3">
      <c r="A22429" s="20"/>
    </row>
    <row r="22430" spans="1:1" x14ac:dyDescent="0.3">
      <c r="A22430" s="20"/>
    </row>
    <row r="22431" spans="1:1" x14ac:dyDescent="0.3">
      <c r="A22431" s="20"/>
    </row>
    <row r="22432" spans="1:1" x14ac:dyDescent="0.3">
      <c r="A22432" s="20"/>
    </row>
    <row r="22433" spans="1:1" x14ac:dyDescent="0.3">
      <c r="A22433" s="20"/>
    </row>
    <row r="22434" spans="1:1" x14ac:dyDescent="0.3">
      <c r="A22434" s="20"/>
    </row>
    <row r="22435" spans="1:1" x14ac:dyDescent="0.3">
      <c r="A22435" s="20"/>
    </row>
    <row r="22436" spans="1:1" x14ac:dyDescent="0.3">
      <c r="A22436" s="20"/>
    </row>
    <row r="22437" spans="1:1" x14ac:dyDescent="0.3">
      <c r="A22437" s="20"/>
    </row>
    <row r="22438" spans="1:1" x14ac:dyDescent="0.3">
      <c r="A22438" s="20"/>
    </row>
    <row r="22439" spans="1:1" x14ac:dyDescent="0.3">
      <c r="A22439" s="20"/>
    </row>
    <row r="22440" spans="1:1" x14ac:dyDescent="0.3">
      <c r="A22440" s="20"/>
    </row>
    <row r="22441" spans="1:1" x14ac:dyDescent="0.3">
      <c r="A22441" s="20"/>
    </row>
    <row r="22442" spans="1:1" x14ac:dyDescent="0.3">
      <c r="A22442" s="20"/>
    </row>
    <row r="22443" spans="1:1" x14ac:dyDescent="0.3">
      <c r="A22443" s="20"/>
    </row>
    <row r="22444" spans="1:1" x14ac:dyDescent="0.3">
      <c r="A22444" s="20"/>
    </row>
    <row r="22445" spans="1:1" x14ac:dyDescent="0.3">
      <c r="A22445" s="20"/>
    </row>
    <row r="22446" spans="1:1" x14ac:dyDescent="0.3">
      <c r="A22446" s="20"/>
    </row>
    <row r="22447" spans="1:1" x14ac:dyDescent="0.3">
      <c r="A22447" s="20"/>
    </row>
    <row r="22448" spans="1:1" x14ac:dyDescent="0.3">
      <c r="A22448" s="20"/>
    </row>
    <row r="22449" spans="1:1" x14ac:dyDescent="0.3">
      <c r="A22449" s="20"/>
    </row>
    <row r="22450" spans="1:1" x14ac:dyDescent="0.3">
      <c r="A22450" s="20"/>
    </row>
    <row r="22451" spans="1:1" x14ac:dyDescent="0.3">
      <c r="A22451" s="20"/>
    </row>
    <row r="22452" spans="1:1" x14ac:dyDescent="0.3">
      <c r="A22452" s="20"/>
    </row>
    <row r="22453" spans="1:1" x14ac:dyDescent="0.3">
      <c r="A22453" s="20"/>
    </row>
    <row r="22454" spans="1:1" x14ac:dyDescent="0.3">
      <c r="A22454" s="20"/>
    </row>
    <row r="22455" spans="1:1" x14ac:dyDescent="0.3">
      <c r="A22455" s="20"/>
    </row>
    <row r="22456" spans="1:1" x14ac:dyDescent="0.3">
      <c r="A22456" s="20"/>
    </row>
    <row r="22457" spans="1:1" x14ac:dyDescent="0.3">
      <c r="A22457" s="20"/>
    </row>
    <row r="22458" spans="1:1" x14ac:dyDescent="0.3">
      <c r="A22458" s="20"/>
    </row>
    <row r="22459" spans="1:1" x14ac:dyDescent="0.3">
      <c r="A22459" s="20"/>
    </row>
    <row r="22460" spans="1:1" x14ac:dyDescent="0.3">
      <c r="A22460" s="20"/>
    </row>
    <row r="22461" spans="1:1" x14ac:dyDescent="0.3">
      <c r="A22461" s="20"/>
    </row>
    <row r="22462" spans="1:1" x14ac:dyDescent="0.3">
      <c r="A22462" s="20"/>
    </row>
    <row r="22463" spans="1:1" x14ac:dyDescent="0.3">
      <c r="A22463" s="20"/>
    </row>
    <row r="22464" spans="1:1" x14ac:dyDescent="0.3">
      <c r="A22464" s="20"/>
    </row>
    <row r="22465" spans="1:1" x14ac:dyDescent="0.3">
      <c r="A22465" s="20"/>
    </row>
    <row r="22466" spans="1:1" x14ac:dyDescent="0.3">
      <c r="A22466" s="20"/>
    </row>
    <row r="22467" spans="1:1" x14ac:dyDescent="0.3">
      <c r="A22467" s="20"/>
    </row>
    <row r="22468" spans="1:1" x14ac:dyDescent="0.3">
      <c r="A22468" s="20"/>
    </row>
    <row r="22469" spans="1:1" x14ac:dyDescent="0.3">
      <c r="A22469" s="20"/>
    </row>
    <row r="22470" spans="1:1" x14ac:dyDescent="0.3">
      <c r="A22470" s="20"/>
    </row>
    <row r="22471" spans="1:1" x14ac:dyDescent="0.3">
      <c r="A22471" s="20"/>
    </row>
    <row r="22472" spans="1:1" x14ac:dyDescent="0.3">
      <c r="A22472" s="20"/>
    </row>
    <row r="22473" spans="1:1" x14ac:dyDescent="0.3">
      <c r="A22473" s="20"/>
    </row>
    <row r="22474" spans="1:1" x14ac:dyDescent="0.3">
      <c r="A22474" s="20"/>
    </row>
    <row r="22475" spans="1:1" x14ac:dyDescent="0.3">
      <c r="A22475" s="20"/>
    </row>
    <row r="22476" spans="1:1" x14ac:dyDescent="0.3">
      <c r="A22476" s="20"/>
    </row>
    <row r="22477" spans="1:1" x14ac:dyDescent="0.3">
      <c r="A22477" s="20"/>
    </row>
    <row r="22478" spans="1:1" x14ac:dyDescent="0.3">
      <c r="A22478" s="20"/>
    </row>
    <row r="22479" spans="1:1" x14ac:dyDescent="0.3">
      <c r="A22479" s="20"/>
    </row>
    <row r="22480" spans="1:1" x14ac:dyDescent="0.3">
      <c r="A22480" s="20"/>
    </row>
    <row r="22481" spans="1:1" x14ac:dyDescent="0.3">
      <c r="A22481" s="20"/>
    </row>
    <row r="22482" spans="1:1" x14ac:dyDescent="0.3">
      <c r="A22482" s="20"/>
    </row>
    <row r="22483" spans="1:1" x14ac:dyDescent="0.3">
      <c r="A22483" s="20"/>
    </row>
    <row r="22484" spans="1:1" x14ac:dyDescent="0.3">
      <c r="A22484" s="20"/>
    </row>
    <row r="22485" spans="1:1" x14ac:dyDescent="0.3">
      <c r="A22485" s="20"/>
    </row>
    <row r="22486" spans="1:1" x14ac:dyDescent="0.3">
      <c r="A22486" s="20"/>
    </row>
    <row r="22487" spans="1:1" x14ac:dyDescent="0.3">
      <c r="A22487" s="20"/>
    </row>
    <row r="22488" spans="1:1" x14ac:dyDescent="0.3">
      <c r="A22488" s="20"/>
    </row>
    <row r="22489" spans="1:1" x14ac:dyDescent="0.3">
      <c r="A22489" s="20"/>
    </row>
    <row r="22490" spans="1:1" x14ac:dyDescent="0.3">
      <c r="A22490" s="20"/>
    </row>
    <row r="22491" spans="1:1" x14ac:dyDescent="0.3">
      <c r="A22491" s="20"/>
    </row>
    <row r="22492" spans="1:1" x14ac:dyDescent="0.3">
      <c r="A22492" s="20"/>
    </row>
    <row r="22493" spans="1:1" x14ac:dyDescent="0.3">
      <c r="A22493" s="20"/>
    </row>
    <row r="22494" spans="1:1" x14ac:dyDescent="0.3">
      <c r="A22494" s="20"/>
    </row>
    <row r="22495" spans="1:1" x14ac:dyDescent="0.3">
      <c r="A22495" s="20"/>
    </row>
    <row r="22496" spans="1:1" x14ac:dyDescent="0.3">
      <c r="A22496" s="20"/>
    </row>
    <row r="22497" spans="1:1" x14ac:dyDescent="0.3">
      <c r="A22497" s="20"/>
    </row>
    <row r="22498" spans="1:1" x14ac:dyDescent="0.3">
      <c r="A22498" s="20"/>
    </row>
    <row r="22499" spans="1:1" x14ac:dyDescent="0.3">
      <c r="A22499" s="20"/>
    </row>
    <row r="22500" spans="1:1" x14ac:dyDescent="0.3">
      <c r="A22500" s="20"/>
    </row>
    <row r="22501" spans="1:1" x14ac:dyDescent="0.3">
      <c r="A22501" s="20"/>
    </row>
    <row r="22502" spans="1:1" x14ac:dyDescent="0.3">
      <c r="A22502" s="20"/>
    </row>
    <row r="22503" spans="1:1" x14ac:dyDescent="0.3">
      <c r="A22503" s="20"/>
    </row>
    <row r="22504" spans="1:1" x14ac:dyDescent="0.3">
      <c r="A22504" s="20"/>
    </row>
    <row r="22505" spans="1:1" x14ac:dyDescent="0.3">
      <c r="A22505" s="20"/>
    </row>
    <row r="22506" spans="1:1" x14ac:dyDescent="0.3">
      <c r="A22506" s="20"/>
    </row>
    <row r="22507" spans="1:1" x14ac:dyDescent="0.3">
      <c r="A22507" s="20"/>
    </row>
    <row r="22508" spans="1:1" x14ac:dyDescent="0.3">
      <c r="A22508" s="20"/>
    </row>
    <row r="22509" spans="1:1" x14ac:dyDescent="0.3">
      <c r="A22509" s="20"/>
    </row>
    <row r="22510" spans="1:1" x14ac:dyDescent="0.3">
      <c r="A22510" s="20"/>
    </row>
    <row r="22511" spans="1:1" x14ac:dyDescent="0.3">
      <c r="A22511" s="20"/>
    </row>
    <row r="22512" spans="1:1" x14ac:dyDescent="0.3">
      <c r="A22512" s="20"/>
    </row>
    <row r="22513" spans="1:1" x14ac:dyDescent="0.3">
      <c r="A22513" s="20"/>
    </row>
    <row r="22514" spans="1:1" x14ac:dyDescent="0.3">
      <c r="A22514" s="20"/>
    </row>
    <row r="22515" spans="1:1" x14ac:dyDescent="0.3">
      <c r="A22515" s="20"/>
    </row>
    <row r="22516" spans="1:1" x14ac:dyDescent="0.3">
      <c r="A22516" s="20"/>
    </row>
    <row r="22517" spans="1:1" x14ac:dyDescent="0.3">
      <c r="A22517" s="20"/>
    </row>
    <row r="22518" spans="1:1" x14ac:dyDescent="0.3">
      <c r="A22518" s="20"/>
    </row>
    <row r="22519" spans="1:1" x14ac:dyDescent="0.3">
      <c r="A22519" s="20"/>
    </row>
    <row r="22520" spans="1:1" x14ac:dyDescent="0.3">
      <c r="A22520" s="20"/>
    </row>
    <row r="22521" spans="1:1" x14ac:dyDescent="0.3">
      <c r="A22521" s="20"/>
    </row>
    <row r="22522" spans="1:1" x14ac:dyDescent="0.3">
      <c r="A22522" s="20"/>
    </row>
    <row r="22523" spans="1:1" x14ac:dyDescent="0.3">
      <c r="A22523" s="20"/>
    </row>
    <row r="22524" spans="1:1" x14ac:dyDescent="0.3">
      <c r="A22524" s="20"/>
    </row>
    <row r="22525" spans="1:1" x14ac:dyDescent="0.3">
      <c r="A22525" s="20"/>
    </row>
    <row r="22526" spans="1:1" x14ac:dyDescent="0.3">
      <c r="A22526" s="20"/>
    </row>
    <row r="22527" spans="1:1" x14ac:dyDescent="0.3">
      <c r="A22527" s="20"/>
    </row>
    <row r="22528" spans="1:1" x14ac:dyDescent="0.3">
      <c r="A22528" s="20"/>
    </row>
    <row r="22529" spans="1:1" x14ac:dyDescent="0.3">
      <c r="A22529" s="20"/>
    </row>
    <row r="22530" spans="1:1" x14ac:dyDescent="0.3">
      <c r="A22530" s="20"/>
    </row>
    <row r="22531" spans="1:1" x14ac:dyDescent="0.3">
      <c r="A22531" s="20"/>
    </row>
    <row r="22532" spans="1:1" x14ac:dyDescent="0.3">
      <c r="A22532" s="20"/>
    </row>
    <row r="22533" spans="1:1" x14ac:dyDescent="0.3">
      <c r="A22533" s="20"/>
    </row>
    <row r="22534" spans="1:1" x14ac:dyDescent="0.3">
      <c r="A22534" s="20"/>
    </row>
    <row r="22535" spans="1:1" x14ac:dyDescent="0.3">
      <c r="A22535" s="20"/>
    </row>
    <row r="22536" spans="1:1" x14ac:dyDescent="0.3">
      <c r="A22536" s="20"/>
    </row>
    <row r="22537" spans="1:1" x14ac:dyDescent="0.3">
      <c r="A22537" s="20"/>
    </row>
    <row r="22538" spans="1:1" x14ac:dyDescent="0.3">
      <c r="A22538" s="20"/>
    </row>
    <row r="22539" spans="1:1" x14ac:dyDescent="0.3">
      <c r="A22539" s="20"/>
    </row>
    <row r="22540" spans="1:1" x14ac:dyDescent="0.3">
      <c r="A22540" s="20"/>
    </row>
    <row r="22541" spans="1:1" x14ac:dyDescent="0.3">
      <c r="A22541" s="20"/>
    </row>
    <row r="22542" spans="1:1" x14ac:dyDescent="0.3">
      <c r="A22542" s="20"/>
    </row>
    <row r="22543" spans="1:1" x14ac:dyDescent="0.3">
      <c r="A22543" s="20"/>
    </row>
    <row r="22544" spans="1:1" x14ac:dyDescent="0.3">
      <c r="A22544" s="20"/>
    </row>
    <row r="22545" spans="1:1" x14ac:dyDescent="0.3">
      <c r="A22545" s="20"/>
    </row>
    <row r="22546" spans="1:1" x14ac:dyDescent="0.3">
      <c r="A22546" s="20"/>
    </row>
    <row r="22547" spans="1:1" x14ac:dyDescent="0.3">
      <c r="A22547" s="20"/>
    </row>
    <row r="22548" spans="1:1" x14ac:dyDescent="0.3">
      <c r="A22548" s="20"/>
    </row>
    <row r="22549" spans="1:1" x14ac:dyDescent="0.3">
      <c r="A22549" s="20"/>
    </row>
    <row r="22550" spans="1:1" x14ac:dyDescent="0.3">
      <c r="A22550" s="20"/>
    </row>
    <row r="22551" spans="1:1" x14ac:dyDescent="0.3">
      <c r="A22551" s="20"/>
    </row>
    <row r="22552" spans="1:1" x14ac:dyDescent="0.3">
      <c r="A22552" s="20"/>
    </row>
    <row r="22553" spans="1:1" x14ac:dyDescent="0.3">
      <c r="A22553" s="20"/>
    </row>
    <row r="22554" spans="1:1" x14ac:dyDescent="0.3">
      <c r="A22554" s="20"/>
    </row>
    <row r="22555" spans="1:1" x14ac:dyDescent="0.3">
      <c r="A22555" s="20"/>
    </row>
    <row r="22556" spans="1:1" x14ac:dyDescent="0.3">
      <c r="A22556" s="20"/>
    </row>
    <row r="22557" spans="1:1" x14ac:dyDescent="0.3">
      <c r="A22557" s="20"/>
    </row>
    <row r="22558" spans="1:1" x14ac:dyDescent="0.3">
      <c r="A22558" s="20"/>
    </row>
    <row r="22559" spans="1:1" x14ac:dyDescent="0.3">
      <c r="A22559" s="20"/>
    </row>
    <row r="22560" spans="1:1" x14ac:dyDescent="0.3">
      <c r="A22560" s="20"/>
    </row>
    <row r="22561" spans="1:1" x14ac:dyDescent="0.3">
      <c r="A22561" s="20"/>
    </row>
    <row r="22562" spans="1:1" x14ac:dyDescent="0.3">
      <c r="A22562" s="20"/>
    </row>
    <row r="22563" spans="1:1" x14ac:dyDescent="0.3">
      <c r="A22563" s="20"/>
    </row>
    <row r="22564" spans="1:1" x14ac:dyDescent="0.3">
      <c r="A22564" s="20"/>
    </row>
    <row r="22565" spans="1:1" x14ac:dyDescent="0.3">
      <c r="A22565" s="20"/>
    </row>
    <row r="22566" spans="1:1" x14ac:dyDescent="0.3">
      <c r="A22566" s="20"/>
    </row>
    <row r="22567" spans="1:1" x14ac:dyDescent="0.3">
      <c r="A22567" s="20"/>
    </row>
    <row r="22568" spans="1:1" x14ac:dyDescent="0.3">
      <c r="A22568" s="20"/>
    </row>
    <row r="22569" spans="1:1" x14ac:dyDescent="0.3">
      <c r="A22569" s="20"/>
    </row>
    <row r="22570" spans="1:1" x14ac:dyDescent="0.3">
      <c r="A22570" s="20"/>
    </row>
    <row r="22571" spans="1:1" x14ac:dyDescent="0.3">
      <c r="A22571" s="20"/>
    </row>
    <row r="22572" spans="1:1" x14ac:dyDescent="0.3">
      <c r="A22572" s="20"/>
    </row>
    <row r="22573" spans="1:1" x14ac:dyDescent="0.3">
      <c r="A22573" s="20"/>
    </row>
    <row r="22574" spans="1:1" x14ac:dyDescent="0.3">
      <c r="A22574" s="20"/>
    </row>
    <row r="22575" spans="1:1" x14ac:dyDescent="0.3">
      <c r="A22575" s="20"/>
    </row>
    <row r="22576" spans="1:1" x14ac:dyDescent="0.3">
      <c r="A22576" s="20"/>
    </row>
    <row r="22577" spans="1:1" x14ac:dyDescent="0.3">
      <c r="A22577" s="20"/>
    </row>
    <row r="22578" spans="1:1" x14ac:dyDescent="0.3">
      <c r="A22578" s="20"/>
    </row>
    <row r="22579" spans="1:1" x14ac:dyDescent="0.3">
      <c r="A22579" s="20"/>
    </row>
    <row r="22580" spans="1:1" x14ac:dyDescent="0.3">
      <c r="A22580" s="20"/>
    </row>
    <row r="22581" spans="1:1" x14ac:dyDescent="0.3">
      <c r="A22581" s="20"/>
    </row>
    <row r="22582" spans="1:1" x14ac:dyDescent="0.3">
      <c r="A22582" s="20"/>
    </row>
    <row r="22583" spans="1:1" x14ac:dyDescent="0.3">
      <c r="A22583" s="20"/>
    </row>
    <row r="22584" spans="1:1" x14ac:dyDescent="0.3">
      <c r="A22584" s="20"/>
    </row>
    <row r="22585" spans="1:1" x14ac:dyDescent="0.3">
      <c r="A22585" s="20"/>
    </row>
    <row r="22586" spans="1:1" x14ac:dyDescent="0.3">
      <c r="A22586" s="20"/>
    </row>
    <row r="22587" spans="1:1" x14ac:dyDescent="0.3">
      <c r="A22587" s="20"/>
    </row>
    <row r="22588" spans="1:1" x14ac:dyDescent="0.3">
      <c r="A22588" s="20"/>
    </row>
    <row r="22589" spans="1:1" x14ac:dyDescent="0.3">
      <c r="A22589" s="20"/>
    </row>
    <row r="22590" spans="1:1" x14ac:dyDescent="0.3">
      <c r="A22590" s="20"/>
    </row>
    <row r="22591" spans="1:1" x14ac:dyDescent="0.3">
      <c r="A22591" s="20"/>
    </row>
    <row r="22592" spans="1:1" x14ac:dyDescent="0.3">
      <c r="A22592" s="20"/>
    </row>
    <row r="22593" spans="1:1" x14ac:dyDescent="0.3">
      <c r="A22593" s="20"/>
    </row>
    <row r="22594" spans="1:1" x14ac:dyDescent="0.3">
      <c r="A22594" s="20"/>
    </row>
    <row r="22595" spans="1:1" x14ac:dyDescent="0.3">
      <c r="A22595" s="20"/>
    </row>
    <row r="22596" spans="1:1" x14ac:dyDescent="0.3">
      <c r="A22596" s="20"/>
    </row>
    <row r="22597" spans="1:1" x14ac:dyDescent="0.3">
      <c r="A22597" s="20"/>
    </row>
    <row r="22598" spans="1:1" x14ac:dyDescent="0.3">
      <c r="A22598" s="20"/>
    </row>
    <row r="22599" spans="1:1" x14ac:dyDescent="0.3">
      <c r="A22599" s="20"/>
    </row>
    <row r="22600" spans="1:1" x14ac:dyDescent="0.3">
      <c r="A22600" s="20"/>
    </row>
    <row r="22601" spans="1:1" x14ac:dyDescent="0.3">
      <c r="A22601" s="20"/>
    </row>
    <row r="22602" spans="1:1" x14ac:dyDescent="0.3">
      <c r="A22602" s="20"/>
    </row>
    <row r="22603" spans="1:1" x14ac:dyDescent="0.3">
      <c r="A22603" s="20"/>
    </row>
    <row r="22604" spans="1:1" x14ac:dyDescent="0.3">
      <c r="A22604" s="20"/>
    </row>
    <row r="22605" spans="1:1" x14ac:dyDescent="0.3">
      <c r="A22605" s="20"/>
    </row>
    <row r="22606" spans="1:1" x14ac:dyDescent="0.3">
      <c r="A22606" s="20"/>
    </row>
    <row r="22607" spans="1:1" x14ac:dyDescent="0.3">
      <c r="A22607" s="20"/>
    </row>
    <row r="22608" spans="1:1" x14ac:dyDescent="0.3">
      <c r="A22608" s="20"/>
    </row>
    <row r="22609" spans="1:1" x14ac:dyDescent="0.3">
      <c r="A22609" s="20"/>
    </row>
    <row r="22610" spans="1:1" x14ac:dyDescent="0.3">
      <c r="A22610" s="20"/>
    </row>
    <row r="22611" spans="1:1" x14ac:dyDescent="0.3">
      <c r="A22611" s="20"/>
    </row>
    <row r="22612" spans="1:1" x14ac:dyDescent="0.3">
      <c r="A22612" s="20"/>
    </row>
    <row r="22613" spans="1:1" x14ac:dyDescent="0.3">
      <c r="A22613" s="20"/>
    </row>
    <row r="22614" spans="1:1" x14ac:dyDescent="0.3">
      <c r="A22614" s="20"/>
    </row>
    <row r="22615" spans="1:1" x14ac:dyDescent="0.3">
      <c r="A22615" s="20"/>
    </row>
    <row r="22616" spans="1:1" x14ac:dyDescent="0.3">
      <c r="A22616" s="20"/>
    </row>
    <row r="22617" spans="1:1" x14ac:dyDescent="0.3">
      <c r="A22617" s="20"/>
    </row>
    <row r="22618" spans="1:1" x14ac:dyDescent="0.3">
      <c r="A22618" s="20"/>
    </row>
    <row r="22619" spans="1:1" x14ac:dyDescent="0.3">
      <c r="A22619" s="20"/>
    </row>
    <row r="22620" spans="1:1" x14ac:dyDescent="0.3">
      <c r="A22620" s="20"/>
    </row>
    <row r="22621" spans="1:1" x14ac:dyDescent="0.3">
      <c r="A22621" s="20"/>
    </row>
    <row r="22622" spans="1:1" x14ac:dyDescent="0.3">
      <c r="A22622" s="20"/>
    </row>
    <row r="22623" spans="1:1" x14ac:dyDescent="0.3">
      <c r="A22623" s="20"/>
    </row>
    <row r="22624" spans="1:1" x14ac:dyDescent="0.3">
      <c r="A22624" s="20"/>
    </row>
    <row r="22625" spans="1:1" x14ac:dyDescent="0.3">
      <c r="A22625" s="20"/>
    </row>
    <row r="22626" spans="1:1" x14ac:dyDescent="0.3">
      <c r="A22626" s="20"/>
    </row>
    <row r="22627" spans="1:1" x14ac:dyDescent="0.3">
      <c r="A22627" s="20"/>
    </row>
    <row r="22628" spans="1:1" x14ac:dyDescent="0.3">
      <c r="A22628" s="20"/>
    </row>
    <row r="22629" spans="1:1" x14ac:dyDescent="0.3">
      <c r="A22629" s="20"/>
    </row>
    <row r="22630" spans="1:1" x14ac:dyDescent="0.3">
      <c r="A22630" s="20"/>
    </row>
    <row r="22631" spans="1:1" x14ac:dyDescent="0.3">
      <c r="A22631" s="20"/>
    </row>
    <row r="22632" spans="1:1" x14ac:dyDescent="0.3">
      <c r="A22632" s="20"/>
    </row>
    <row r="22633" spans="1:1" x14ac:dyDescent="0.3">
      <c r="A22633" s="20"/>
    </row>
    <row r="22634" spans="1:1" x14ac:dyDescent="0.3">
      <c r="A22634" s="20"/>
    </row>
    <row r="22635" spans="1:1" x14ac:dyDescent="0.3">
      <c r="A22635" s="20"/>
    </row>
    <row r="22636" spans="1:1" x14ac:dyDescent="0.3">
      <c r="A22636" s="20"/>
    </row>
    <row r="22637" spans="1:1" x14ac:dyDescent="0.3">
      <c r="A22637" s="20"/>
    </row>
    <row r="22638" spans="1:1" x14ac:dyDescent="0.3">
      <c r="A22638" s="20"/>
    </row>
    <row r="22639" spans="1:1" x14ac:dyDescent="0.3">
      <c r="A22639" s="20"/>
    </row>
    <row r="22640" spans="1:1" x14ac:dyDescent="0.3">
      <c r="A22640" s="20"/>
    </row>
    <row r="22641" spans="1:1" x14ac:dyDescent="0.3">
      <c r="A22641" s="20"/>
    </row>
    <row r="22642" spans="1:1" x14ac:dyDescent="0.3">
      <c r="A22642" s="20"/>
    </row>
    <row r="22643" spans="1:1" x14ac:dyDescent="0.3">
      <c r="A22643" s="20"/>
    </row>
    <row r="22644" spans="1:1" x14ac:dyDescent="0.3">
      <c r="A22644" s="20"/>
    </row>
    <row r="22645" spans="1:1" x14ac:dyDescent="0.3">
      <c r="A22645" s="20"/>
    </row>
    <row r="22646" spans="1:1" x14ac:dyDescent="0.3">
      <c r="A22646" s="20"/>
    </row>
    <row r="22647" spans="1:1" x14ac:dyDescent="0.3">
      <c r="A22647" s="20"/>
    </row>
    <row r="22648" spans="1:1" x14ac:dyDescent="0.3">
      <c r="A22648" s="20"/>
    </row>
    <row r="22649" spans="1:1" x14ac:dyDescent="0.3">
      <c r="A22649" s="20"/>
    </row>
    <row r="22650" spans="1:1" x14ac:dyDescent="0.3">
      <c r="A22650" s="20"/>
    </row>
    <row r="22651" spans="1:1" x14ac:dyDescent="0.3">
      <c r="A22651" s="20"/>
    </row>
    <row r="22652" spans="1:1" x14ac:dyDescent="0.3">
      <c r="A22652" s="20"/>
    </row>
    <row r="22653" spans="1:1" x14ac:dyDescent="0.3">
      <c r="A22653" s="20"/>
    </row>
    <row r="22654" spans="1:1" x14ac:dyDescent="0.3">
      <c r="A22654" s="20"/>
    </row>
    <row r="22655" spans="1:1" x14ac:dyDescent="0.3">
      <c r="A22655" s="20"/>
    </row>
    <row r="22656" spans="1:1" x14ac:dyDescent="0.3">
      <c r="A22656" s="20"/>
    </row>
    <row r="22657" spans="1:1" x14ac:dyDescent="0.3">
      <c r="A22657" s="20"/>
    </row>
    <row r="22658" spans="1:1" x14ac:dyDescent="0.3">
      <c r="A22658" s="20"/>
    </row>
    <row r="22659" spans="1:1" x14ac:dyDescent="0.3">
      <c r="A22659" s="20"/>
    </row>
    <row r="22660" spans="1:1" x14ac:dyDescent="0.3">
      <c r="A22660" s="20"/>
    </row>
    <row r="22661" spans="1:1" x14ac:dyDescent="0.3">
      <c r="A22661" s="20"/>
    </row>
    <row r="22662" spans="1:1" x14ac:dyDescent="0.3">
      <c r="A22662" s="20"/>
    </row>
    <row r="22663" spans="1:1" x14ac:dyDescent="0.3">
      <c r="A22663" s="20"/>
    </row>
    <row r="22664" spans="1:1" x14ac:dyDescent="0.3">
      <c r="A22664" s="20"/>
    </row>
    <row r="22665" spans="1:1" x14ac:dyDescent="0.3">
      <c r="A22665" s="20"/>
    </row>
    <row r="22666" spans="1:1" x14ac:dyDescent="0.3">
      <c r="A22666" s="20"/>
    </row>
    <row r="22667" spans="1:1" x14ac:dyDescent="0.3">
      <c r="A22667" s="20"/>
    </row>
    <row r="22668" spans="1:1" x14ac:dyDescent="0.3">
      <c r="A22668" s="20"/>
    </row>
    <row r="22669" spans="1:1" x14ac:dyDescent="0.3">
      <c r="A22669" s="20"/>
    </row>
    <row r="22670" spans="1:1" x14ac:dyDescent="0.3">
      <c r="A22670" s="20"/>
    </row>
    <row r="22671" spans="1:1" x14ac:dyDescent="0.3">
      <c r="A22671" s="20"/>
    </row>
    <row r="22672" spans="1:1" x14ac:dyDescent="0.3">
      <c r="A22672" s="20"/>
    </row>
    <row r="22673" spans="1:1" x14ac:dyDescent="0.3">
      <c r="A22673" s="20"/>
    </row>
    <row r="22674" spans="1:1" x14ac:dyDescent="0.3">
      <c r="A22674" s="20"/>
    </row>
    <row r="22675" spans="1:1" x14ac:dyDescent="0.3">
      <c r="A22675" s="20"/>
    </row>
    <row r="22676" spans="1:1" x14ac:dyDescent="0.3">
      <c r="A22676" s="20"/>
    </row>
    <row r="22677" spans="1:1" x14ac:dyDescent="0.3">
      <c r="A22677" s="20"/>
    </row>
    <row r="22678" spans="1:1" x14ac:dyDescent="0.3">
      <c r="A22678" s="20"/>
    </row>
    <row r="22679" spans="1:1" x14ac:dyDescent="0.3">
      <c r="A22679" s="20"/>
    </row>
    <row r="22680" spans="1:1" x14ac:dyDescent="0.3">
      <c r="A22680" s="20"/>
    </row>
    <row r="22681" spans="1:1" x14ac:dyDescent="0.3">
      <c r="A22681" s="20"/>
    </row>
    <row r="22682" spans="1:1" x14ac:dyDescent="0.3">
      <c r="A22682" s="20"/>
    </row>
    <row r="22683" spans="1:1" x14ac:dyDescent="0.3">
      <c r="A22683" s="20"/>
    </row>
    <row r="22684" spans="1:1" x14ac:dyDescent="0.3">
      <c r="A22684" s="20"/>
    </row>
    <row r="22685" spans="1:1" x14ac:dyDescent="0.3">
      <c r="A22685" s="20"/>
    </row>
    <row r="22686" spans="1:1" x14ac:dyDescent="0.3">
      <c r="A22686" s="20"/>
    </row>
    <row r="22687" spans="1:1" x14ac:dyDescent="0.3">
      <c r="A22687" s="20"/>
    </row>
    <row r="22688" spans="1:1" x14ac:dyDescent="0.3">
      <c r="A22688" s="20"/>
    </row>
    <row r="22689" spans="1:1" x14ac:dyDescent="0.3">
      <c r="A22689" s="20"/>
    </row>
    <row r="22690" spans="1:1" x14ac:dyDescent="0.3">
      <c r="A22690" s="20"/>
    </row>
    <row r="22691" spans="1:1" x14ac:dyDescent="0.3">
      <c r="A22691" s="20"/>
    </row>
    <row r="22692" spans="1:1" x14ac:dyDescent="0.3">
      <c r="A22692" s="20"/>
    </row>
    <row r="22693" spans="1:1" x14ac:dyDescent="0.3">
      <c r="A22693" s="20"/>
    </row>
    <row r="22694" spans="1:1" x14ac:dyDescent="0.3">
      <c r="A22694" s="20"/>
    </row>
    <row r="22695" spans="1:1" x14ac:dyDescent="0.3">
      <c r="A22695" s="20"/>
    </row>
    <row r="22696" spans="1:1" x14ac:dyDescent="0.3">
      <c r="A22696" s="20"/>
    </row>
    <row r="22697" spans="1:1" x14ac:dyDescent="0.3">
      <c r="A22697" s="20"/>
    </row>
    <row r="22698" spans="1:1" x14ac:dyDescent="0.3">
      <c r="A22698" s="20"/>
    </row>
    <row r="22699" spans="1:1" x14ac:dyDescent="0.3">
      <c r="A22699" s="20"/>
    </row>
    <row r="22700" spans="1:1" x14ac:dyDescent="0.3">
      <c r="A22700" s="20"/>
    </row>
    <row r="22701" spans="1:1" x14ac:dyDescent="0.3">
      <c r="A22701" s="20"/>
    </row>
    <row r="22702" spans="1:1" x14ac:dyDescent="0.3">
      <c r="A22702" s="20"/>
    </row>
    <row r="22703" spans="1:1" x14ac:dyDescent="0.3">
      <c r="A22703" s="20"/>
    </row>
    <row r="22704" spans="1:1" x14ac:dyDescent="0.3">
      <c r="A22704" s="20"/>
    </row>
    <row r="22705" spans="1:1" x14ac:dyDescent="0.3">
      <c r="A22705" s="20"/>
    </row>
    <row r="22706" spans="1:1" x14ac:dyDescent="0.3">
      <c r="A22706" s="20"/>
    </row>
    <row r="22707" spans="1:1" x14ac:dyDescent="0.3">
      <c r="A22707" s="20"/>
    </row>
    <row r="22708" spans="1:1" x14ac:dyDescent="0.3">
      <c r="A22708" s="20"/>
    </row>
    <row r="22709" spans="1:1" x14ac:dyDescent="0.3">
      <c r="A22709" s="20"/>
    </row>
    <row r="22710" spans="1:1" x14ac:dyDescent="0.3">
      <c r="A22710" s="20"/>
    </row>
    <row r="22711" spans="1:1" x14ac:dyDescent="0.3">
      <c r="A22711" s="20"/>
    </row>
    <row r="22712" spans="1:1" x14ac:dyDescent="0.3">
      <c r="A22712" s="20"/>
    </row>
    <row r="22713" spans="1:1" x14ac:dyDescent="0.3">
      <c r="A22713" s="20"/>
    </row>
    <row r="22714" spans="1:1" x14ac:dyDescent="0.3">
      <c r="A22714" s="20"/>
    </row>
    <row r="22715" spans="1:1" x14ac:dyDescent="0.3">
      <c r="A22715" s="20"/>
    </row>
    <row r="22716" spans="1:1" x14ac:dyDescent="0.3">
      <c r="A22716" s="20"/>
    </row>
    <row r="22717" spans="1:1" x14ac:dyDescent="0.3">
      <c r="A22717" s="20"/>
    </row>
    <row r="22718" spans="1:1" x14ac:dyDescent="0.3">
      <c r="A22718" s="20"/>
    </row>
    <row r="22719" spans="1:1" x14ac:dyDescent="0.3">
      <c r="A22719" s="20"/>
    </row>
    <row r="22720" spans="1:1" x14ac:dyDescent="0.3">
      <c r="A22720" s="20"/>
    </row>
    <row r="22721" spans="1:1" x14ac:dyDescent="0.3">
      <c r="A22721" s="20"/>
    </row>
    <row r="22722" spans="1:1" x14ac:dyDescent="0.3">
      <c r="A22722" s="20"/>
    </row>
    <row r="22723" spans="1:1" x14ac:dyDescent="0.3">
      <c r="A22723" s="20"/>
    </row>
    <row r="22724" spans="1:1" x14ac:dyDescent="0.3">
      <c r="A22724" s="20"/>
    </row>
    <row r="22725" spans="1:1" x14ac:dyDescent="0.3">
      <c r="A22725" s="20"/>
    </row>
    <row r="22726" spans="1:1" x14ac:dyDescent="0.3">
      <c r="A22726" s="20"/>
    </row>
    <row r="22727" spans="1:1" x14ac:dyDescent="0.3">
      <c r="A22727" s="20"/>
    </row>
    <row r="22728" spans="1:1" x14ac:dyDescent="0.3">
      <c r="A22728" s="20"/>
    </row>
    <row r="22729" spans="1:1" x14ac:dyDescent="0.3">
      <c r="A22729" s="20"/>
    </row>
    <row r="22730" spans="1:1" x14ac:dyDescent="0.3">
      <c r="A22730" s="20"/>
    </row>
    <row r="22731" spans="1:1" x14ac:dyDescent="0.3">
      <c r="A22731" s="20"/>
    </row>
    <row r="22732" spans="1:1" x14ac:dyDescent="0.3">
      <c r="A22732" s="20"/>
    </row>
    <row r="22733" spans="1:1" x14ac:dyDescent="0.3">
      <c r="A22733" s="20"/>
    </row>
    <row r="22734" spans="1:1" x14ac:dyDescent="0.3">
      <c r="A22734" s="20"/>
    </row>
    <row r="22735" spans="1:1" x14ac:dyDescent="0.3">
      <c r="A22735" s="20"/>
    </row>
    <row r="22736" spans="1:1" x14ac:dyDescent="0.3">
      <c r="A22736" s="20"/>
    </row>
    <row r="22737" spans="1:1" x14ac:dyDescent="0.3">
      <c r="A22737" s="20"/>
    </row>
    <row r="22738" spans="1:1" x14ac:dyDescent="0.3">
      <c r="A22738" s="20"/>
    </row>
    <row r="22739" spans="1:1" x14ac:dyDescent="0.3">
      <c r="A22739" s="20"/>
    </row>
    <row r="22740" spans="1:1" x14ac:dyDescent="0.3">
      <c r="A22740" s="20"/>
    </row>
    <row r="22741" spans="1:1" x14ac:dyDescent="0.3">
      <c r="A22741" s="20"/>
    </row>
    <row r="22742" spans="1:1" x14ac:dyDescent="0.3">
      <c r="A22742" s="20"/>
    </row>
    <row r="22743" spans="1:1" x14ac:dyDescent="0.3">
      <c r="A22743" s="20"/>
    </row>
    <row r="22744" spans="1:1" x14ac:dyDescent="0.3">
      <c r="A22744" s="20"/>
    </row>
    <row r="22745" spans="1:1" x14ac:dyDescent="0.3">
      <c r="A22745" s="20"/>
    </row>
    <row r="22746" spans="1:1" x14ac:dyDescent="0.3">
      <c r="A22746" s="20"/>
    </row>
    <row r="22747" spans="1:1" x14ac:dyDescent="0.3">
      <c r="A22747" s="20"/>
    </row>
    <row r="22748" spans="1:1" x14ac:dyDescent="0.3">
      <c r="A22748" s="20"/>
    </row>
    <row r="22749" spans="1:1" x14ac:dyDescent="0.3">
      <c r="A22749" s="20"/>
    </row>
    <row r="22750" spans="1:1" x14ac:dyDescent="0.3">
      <c r="A22750" s="20"/>
    </row>
    <row r="22751" spans="1:1" x14ac:dyDescent="0.3">
      <c r="A22751" s="20"/>
    </row>
    <row r="22752" spans="1:1" x14ac:dyDescent="0.3">
      <c r="A22752" s="20"/>
    </row>
    <row r="22753" spans="1:1" x14ac:dyDescent="0.3">
      <c r="A22753" s="20"/>
    </row>
    <row r="22754" spans="1:1" x14ac:dyDescent="0.3">
      <c r="A22754" s="20"/>
    </row>
    <row r="22755" spans="1:1" x14ac:dyDescent="0.3">
      <c r="A22755" s="20"/>
    </row>
    <row r="22756" spans="1:1" x14ac:dyDescent="0.3">
      <c r="A22756" s="20"/>
    </row>
    <row r="22757" spans="1:1" x14ac:dyDescent="0.3">
      <c r="A22757" s="20"/>
    </row>
    <row r="22758" spans="1:1" x14ac:dyDescent="0.3">
      <c r="A22758" s="20"/>
    </row>
    <row r="22759" spans="1:1" x14ac:dyDescent="0.3">
      <c r="A22759" s="20"/>
    </row>
    <row r="22760" spans="1:1" x14ac:dyDescent="0.3">
      <c r="A22760" s="20"/>
    </row>
    <row r="22761" spans="1:1" x14ac:dyDescent="0.3">
      <c r="A22761" s="20"/>
    </row>
    <row r="22762" spans="1:1" x14ac:dyDescent="0.3">
      <c r="A22762" s="20"/>
    </row>
    <row r="22763" spans="1:1" x14ac:dyDescent="0.3">
      <c r="A22763" s="20"/>
    </row>
    <row r="22764" spans="1:1" x14ac:dyDescent="0.3">
      <c r="A22764" s="20"/>
    </row>
    <row r="22765" spans="1:1" x14ac:dyDescent="0.3">
      <c r="A22765" s="20"/>
    </row>
    <row r="22766" spans="1:1" x14ac:dyDescent="0.3">
      <c r="A22766" s="20"/>
    </row>
    <row r="22767" spans="1:1" x14ac:dyDescent="0.3">
      <c r="A22767" s="20"/>
    </row>
    <row r="22768" spans="1:1" x14ac:dyDescent="0.3">
      <c r="A22768" s="20"/>
    </row>
    <row r="22769" spans="1:1" x14ac:dyDescent="0.3">
      <c r="A22769" s="20"/>
    </row>
    <row r="22770" spans="1:1" x14ac:dyDescent="0.3">
      <c r="A22770" s="20"/>
    </row>
    <row r="22771" spans="1:1" x14ac:dyDescent="0.3">
      <c r="A22771" s="20"/>
    </row>
    <row r="22772" spans="1:1" x14ac:dyDescent="0.3">
      <c r="A22772" s="20"/>
    </row>
    <row r="22773" spans="1:1" x14ac:dyDescent="0.3">
      <c r="A22773" s="20"/>
    </row>
    <row r="22774" spans="1:1" x14ac:dyDescent="0.3">
      <c r="A22774" s="20"/>
    </row>
    <row r="22775" spans="1:1" x14ac:dyDescent="0.3">
      <c r="A22775" s="20"/>
    </row>
    <row r="22776" spans="1:1" x14ac:dyDescent="0.3">
      <c r="A22776" s="20"/>
    </row>
    <row r="22777" spans="1:1" x14ac:dyDescent="0.3">
      <c r="A22777" s="20"/>
    </row>
    <row r="22778" spans="1:1" x14ac:dyDescent="0.3">
      <c r="A22778" s="20"/>
    </row>
    <row r="22779" spans="1:1" x14ac:dyDescent="0.3">
      <c r="A22779" s="20"/>
    </row>
    <row r="22780" spans="1:1" x14ac:dyDescent="0.3">
      <c r="A22780" s="20"/>
    </row>
    <row r="22781" spans="1:1" x14ac:dyDescent="0.3">
      <c r="A22781" s="20"/>
    </row>
    <row r="22782" spans="1:1" x14ac:dyDescent="0.3">
      <c r="A22782" s="20"/>
    </row>
    <row r="22783" spans="1:1" x14ac:dyDescent="0.3">
      <c r="A22783" s="20"/>
    </row>
    <row r="22784" spans="1:1" x14ac:dyDescent="0.3">
      <c r="A22784" s="20"/>
    </row>
    <row r="22785" spans="1:1" x14ac:dyDescent="0.3">
      <c r="A22785" s="20"/>
    </row>
    <row r="22786" spans="1:1" x14ac:dyDescent="0.3">
      <c r="A22786" s="20"/>
    </row>
    <row r="22787" spans="1:1" x14ac:dyDescent="0.3">
      <c r="A22787" s="20"/>
    </row>
    <row r="22788" spans="1:1" x14ac:dyDescent="0.3">
      <c r="A22788" s="20"/>
    </row>
    <row r="22789" spans="1:1" x14ac:dyDescent="0.3">
      <c r="A22789" s="20"/>
    </row>
    <row r="22790" spans="1:1" x14ac:dyDescent="0.3">
      <c r="A22790" s="20"/>
    </row>
    <row r="22791" spans="1:1" x14ac:dyDescent="0.3">
      <c r="A22791" s="20"/>
    </row>
    <row r="22792" spans="1:1" x14ac:dyDescent="0.3">
      <c r="A22792" s="20"/>
    </row>
    <row r="22793" spans="1:1" x14ac:dyDescent="0.3">
      <c r="A22793" s="20"/>
    </row>
    <row r="22794" spans="1:1" x14ac:dyDescent="0.3">
      <c r="A22794" s="20"/>
    </row>
    <row r="22795" spans="1:1" x14ac:dyDescent="0.3">
      <c r="A22795" s="20"/>
    </row>
    <row r="22796" spans="1:1" x14ac:dyDescent="0.3">
      <c r="A22796" s="20"/>
    </row>
    <row r="22797" spans="1:1" x14ac:dyDescent="0.3">
      <c r="A22797" s="20"/>
    </row>
    <row r="22798" spans="1:1" x14ac:dyDescent="0.3">
      <c r="A22798" s="20"/>
    </row>
    <row r="22799" spans="1:1" x14ac:dyDescent="0.3">
      <c r="A22799" s="20"/>
    </row>
    <row r="22800" spans="1:1" x14ac:dyDescent="0.3">
      <c r="A22800" s="20"/>
    </row>
    <row r="22801" spans="1:1" x14ac:dyDescent="0.3">
      <c r="A22801" s="20"/>
    </row>
    <row r="22802" spans="1:1" x14ac:dyDescent="0.3">
      <c r="A22802" s="20"/>
    </row>
    <row r="22803" spans="1:1" x14ac:dyDescent="0.3">
      <c r="A22803" s="20"/>
    </row>
    <row r="22804" spans="1:1" x14ac:dyDescent="0.3">
      <c r="A22804" s="20"/>
    </row>
    <row r="22805" spans="1:1" x14ac:dyDescent="0.3">
      <c r="A22805" s="20"/>
    </row>
    <row r="22806" spans="1:1" x14ac:dyDescent="0.3">
      <c r="A22806" s="20"/>
    </row>
    <row r="22807" spans="1:1" x14ac:dyDescent="0.3">
      <c r="A22807" s="20"/>
    </row>
    <row r="22808" spans="1:1" x14ac:dyDescent="0.3">
      <c r="A22808" s="20"/>
    </row>
    <row r="22809" spans="1:1" x14ac:dyDescent="0.3">
      <c r="A22809" s="20"/>
    </row>
    <row r="22810" spans="1:1" x14ac:dyDescent="0.3">
      <c r="A22810" s="20"/>
    </row>
    <row r="22811" spans="1:1" x14ac:dyDescent="0.3">
      <c r="A22811" s="20"/>
    </row>
    <row r="22812" spans="1:1" x14ac:dyDescent="0.3">
      <c r="A22812" s="20"/>
    </row>
    <row r="22813" spans="1:1" x14ac:dyDescent="0.3">
      <c r="A22813" s="20"/>
    </row>
    <row r="22814" spans="1:1" x14ac:dyDescent="0.3">
      <c r="A22814" s="20"/>
    </row>
    <row r="22815" spans="1:1" x14ac:dyDescent="0.3">
      <c r="A22815" s="20"/>
    </row>
    <row r="22816" spans="1:1" x14ac:dyDescent="0.3">
      <c r="A22816" s="20"/>
    </row>
    <row r="22817" spans="1:1" x14ac:dyDescent="0.3">
      <c r="A22817" s="20"/>
    </row>
    <row r="22818" spans="1:1" x14ac:dyDescent="0.3">
      <c r="A22818" s="20"/>
    </row>
    <row r="22819" spans="1:1" x14ac:dyDescent="0.3">
      <c r="A22819" s="20"/>
    </row>
    <row r="22820" spans="1:1" x14ac:dyDescent="0.3">
      <c r="A22820" s="20"/>
    </row>
    <row r="22821" spans="1:1" x14ac:dyDescent="0.3">
      <c r="A22821" s="20"/>
    </row>
    <row r="22822" spans="1:1" x14ac:dyDescent="0.3">
      <c r="A22822" s="20"/>
    </row>
    <row r="22823" spans="1:1" x14ac:dyDescent="0.3">
      <c r="A22823" s="20"/>
    </row>
    <row r="22824" spans="1:1" x14ac:dyDescent="0.3">
      <c r="A22824" s="20"/>
    </row>
    <row r="22825" spans="1:1" x14ac:dyDescent="0.3">
      <c r="A22825" s="20"/>
    </row>
    <row r="22826" spans="1:1" x14ac:dyDescent="0.3">
      <c r="A22826" s="20"/>
    </row>
    <row r="22827" spans="1:1" x14ac:dyDescent="0.3">
      <c r="A22827" s="20"/>
    </row>
    <row r="22828" spans="1:1" x14ac:dyDescent="0.3">
      <c r="A22828" s="20"/>
    </row>
    <row r="22829" spans="1:1" x14ac:dyDescent="0.3">
      <c r="A22829" s="20"/>
    </row>
    <row r="22830" spans="1:1" x14ac:dyDescent="0.3">
      <c r="A22830" s="20"/>
    </row>
    <row r="22831" spans="1:1" x14ac:dyDescent="0.3">
      <c r="A22831" s="20"/>
    </row>
    <row r="22832" spans="1:1" x14ac:dyDescent="0.3">
      <c r="A22832" s="20"/>
    </row>
    <row r="22833" spans="1:1" x14ac:dyDescent="0.3">
      <c r="A22833" s="20"/>
    </row>
    <row r="22834" spans="1:1" x14ac:dyDescent="0.3">
      <c r="A22834" s="20"/>
    </row>
    <row r="22835" spans="1:1" x14ac:dyDescent="0.3">
      <c r="A22835" s="20"/>
    </row>
    <row r="22836" spans="1:1" x14ac:dyDescent="0.3">
      <c r="A22836" s="20"/>
    </row>
    <row r="22837" spans="1:1" x14ac:dyDescent="0.3">
      <c r="A22837" s="20"/>
    </row>
    <row r="22838" spans="1:1" x14ac:dyDescent="0.3">
      <c r="A22838" s="20"/>
    </row>
    <row r="22839" spans="1:1" x14ac:dyDescent="0.3">
      <c r="A22839" s="20"/>
    </row>
    <row r="22840" spans="1:1" x14ac:dyDescent="0.3">
      <c r="A22840" s="20"/>
    </row>
    <row r="22841" spans="1:1" x14ac:dyDescent="0.3">
      <c r="A22841" s="20"/>
    </row>
    <row r="22842" spans="1:1" x14ac:dyDescent="0.3">
      <c r="A22842" s="20"/>
    </row>
    <row r="22843" spans="1:1" x14ac:dyDescent="0.3">
      <c r="A22843" s="20"/>
    </row>
    <row r="22844" spans="1:1" x14ac:dyDescent="0.3">
      <c r="A22844" s="20"/>
    </row>
    <row r="22845" spans="1:1" x14ac:dyDescent="0.3">
      <c r="A22845" s="20"/>
    </row>
    <row r="22846" spans="1:1" x14ac:dyDescent="0.3">
      <c r="A22846" s="20"/>
    </row>
    <row r="22847" spans="1:1" x14ac:dyDescent="0.3">
      <c r="A22847" s="20"/>
    </row>
    <row r="22848" spans="1:1" x14ac:dyDescent="0.3">
      <c r="A22848" s="20"/>
    </row>
    <row r="22849" spans="1:1" x14ac:dyDescent="0.3">
      <c r="A22849" s="20"/>
    </row>
    <row r="22850" spans="1:1" x14ac:dyDescent="0.3">
      <c r="A22850" s="20"/>
    </row>
    <row r="22851" spans="1:1" x14ac:dyDescent="0.3">
      <c r="A22851" s="20"/>
    </row>
    <row r="22852" spans="1:1" x14ac:dyDescent="0.3">
      <c r="A22852" s="20"/>
    </row>
    <row r="22853" spans="1:1" x14ac:dyDescent="0.3">
      <c r="A22853" s="20"/>
    </row>
    <row r="22854" spans="1:1" x14ac:dyDescent="0.3">
      <c r="A22854" s="20"/>
    </row>
    <row r="22855" spans="1:1" x14ac:dyDescent="0.3">
      <c r="A22855" s="20"/>
    </row>
    <row r="22856" spans="1:1" x14ac:dyDescent="0.3">
      <c r="A22856" s="20"/>
    </row>
    <row r="22857" spans="1:1" x14ac:dyDescent="0.3">
      <c r="A22857" s="20"/>
    </row>
    <row r="22858" spans="1:1" x14ac:dyDescent="0.3">
      <c r="A22858" s="20"/>
    </row>
    <row r="22859" spans="1:1" x14ac:dyDescent="0.3">
      <c r="A22859" s="20"/>
    </row>
    <row r="22860" spans="1:1" x14ac:dyDescent="0.3">
      <c r="A22860" s="20"/>
    </row>
    <row r="22861" spans="1:1" x14ac:dyDescent="0.3">
      <c r="A22861" s="20"/>
    </row>
    <row r="22862" spans="1:1" x14ac:dyDescent="0.3">
      <c r="A22862" s="20"/>
    </row>
    <row r="22863" spans="1:1" x14ac:dyDescent="0.3">
      <c r="A22863" s="20"/>
    </row>
    <row r="22864" spans="1:1" x14ac:dyDescent="0.3">
      <c r="A22864" s="20"/>
    </row>
    <row r="22865" spans="1:1" x14ac:dyDescent="0.3">
      <c r="A22865" s="20"/>
    </row>
    <row r="22866" spans="1:1" x14ac:dyDescent="0.3">
      <c r="A22866" s="20"/>
    </row>
    <row r="22867" spans="1:1" x14ac:dyDescent="0.3">
      <c r="A22867" s="20"/>
    </row>
    <row r="22868" spans="1:1" x14ac:dyDescent="0.3">
      <c r="A22868" s="20"/>
    </row>
    <row r="22869" spans="1:1" x14ac:dyDescent="0.3">
      <c r="A22869" s="20"/>
    </row>
    <row r="22870" spans="1:1" x14ac:dyDescent="0.3">
      <c r="A22870" s="20"/>
    </row>
    <row r="22871" spans="1:1" x14ac:dyDescent="0.3">
      <c r="A22871" s="20"/>
    </row>
    <row r="22872" spans="1:1" x14ac:dyDescent="0.3">
      <c r="A22872" s="20"/>
    </row>
    <row r="22873" spans="1:1" x14ac:dyDescent="0.3">
      <c r="A22873" s="20"/>
    </row>
    <row r="22874" spans="1:1" x14ac:dyDescent="0.3">
      <c r="A22874" s="20"/>
    </row>
    <row r="22875" spans="1:1" x14ac:dyDescent="0.3">
      <c r="A22875" s="20"/>
    </row>
    <row r="22876" spans="1:1" x14ac:dyDescent="0.3">
      <c r="A22876" s="20"/>
    </row>
    <row r="22877" spans="1:1" x14ac:dyDescent="0.3">
      <c r="A22877" s="20"/>
    </row>
    <row r="22878" spans="1:1" x14ac:dyDescent="0.3">
      <c r="A22878" s="20"/>
    </row>
    <row r="22879" spans="1:1" x14ac:dyDescent="0.3">
      <c r="A22879" s="20"/>
    </row>
    <row r="22880" spans="1:1" x14ac:dyDescent="0.3">
      <c r="A22880" s="20"/>
    </row>
    <row r="22881" spans="1:1" x14ac:dyDescent="0.3">
      <c r="A22881" s="20"/>
    </row>
    <row r="22882" spans="1:1" x14ac:dyDescent="0.3">
      <c r="A22882" s="20"/>
    </row>
    <row r="22883" spans="1:1" x14ac:dyDescent="0.3">
      <c r="A22883" s="20"/>
    </row>
    <row r="22884" spans="1:1" x14ac:dyDescent="0.3">
      <c r="A22884" s="20"/>
    </row>
    <row r="22885" spans="1:1" x14ac:dyDescent="0.3">
      <c r="A22885" s="20"/>
    </row>
    <row r="22886" spans="1:1" x14ac:dyDescent="0.3">
      <c r="A22886" s="20"/>
    </row>
    <row r="22887" spans="1:1" x14ac:dyDescent="0.3">
      <c r="A22887" s="20"/>
    </row>
    <row r="22888" spans="1:1" x14ac:dyDescent="0.3">
      <c r="A22888" s="20"/>
    </row>
    <row r="22889" spans="1:1" x14ac:dyDescent="0.3">
      <c r="A22889" s="20"/>
    </row>
    <row r="22890" spans="1:1" x14ac:dyDescent="0.3">
      <c r="A22890" s="20"/>
    </row>
    <row r="22891" spans="1:1" x14ac:dyDescent="0.3">
      <c r="A22891" s="20"/>
    </row>
    <row r="22892" spans="1:1" x14ac:dyDescent="0.3">
      <c r="A22892" s="20"/>
    </row>
    <row r="22893" spans="1:1" x14ac:dyDescent="0.3">
      <c r="A22893" s="20"/>
    </row>
    <row r="22894" spans="1:1" x14ac:dyDescent="0.3">
      <c r="A22894" s="20"/>
    </row>
    <row r="22895" spans="1:1" x14ac:dyDescent="0.3">
      <c r="A22895" s="20"/>
    </row>
    <row r="22896" spans="1:1" x14ac:dyDescent="0.3">
      <c r="A22896" s="20"/>
    </row>
    <row r="22897" spans="1:1" x14ac:dyDescent="0.3">
      <c r="A22897" s="20"/>
    </row>
    <row r="22898" spans="1:1" x14ac:dyDescent="0.3">
      <c r="A22898" s="20"/>
    </row>
    <row r="22899" spans="1:1" x14ac:dyDescent="0.3">
      <c r="A22899" s="20"/>
    </row>
    <row r="22900" spans="1:1" x14ac:dyDescent="0.3">
      <c r="A22900" s="20"/>
    </row>
    <row r="22901" spans="1:1" x14ac:dyDescent="0.3">
      <c r="A22901" s="20"/>
    </row>
    <row r="22902" spans="1:1" x14ac:dyDescent="0.3">
      <c r="A22902" s="20"/>
    </row>
    <row r="22903" spans="1:1" x14ac:dyDescent="0.3">
      <c r="A22903" s="20"/>
    </row>
    <row r="22904" spans="1:1" x14ac:dyDescent="0.3">
      <c r="A22904" s="20"/>
    </row>
    <row r="22905" spans="1:1" x14ac:dyDescent="0.3">
      <c r="A22905" s="20"/>
    </row>
    <row r="22906" spans="1:1" x14ac:dyDescent="0.3">
      <c r="A22906" s="20"/>
    </row>
    <row r="22907" spans="1:1" x14ac:dyDescent="0.3">
      <c r="A22907" s="20"/>
    </row>
    <row r="22908" spans="1:1" x14ac:dyDescent="0.3">
      <c r="A22908" s="20"/>
    </row>
    <row r="22909" spans="1:1" x14ac:dyDescent="0.3">
      <c r="A22909" s="20"/>
    </row>
    <row r="22910" spans="1:1" x14ac:dyDescent="0.3">
      <c r="A22910" s="20"/>
    </row>
    <row r="22911" spans="1:1" x14ac:dyDescent="0.3">
      <c r="A22911" s="20"/>
    </row>
    <row r="22912" spans="1:1" x14ac:dyDescent="0.3">
      <c r="A22912" s="20"/>
    </row>
    <row r="22913" spans="1:1" x14ac:dyDescent="0.3">
      <c r="A22913" s="20"/>
    </row>
    <row r="22914" spans="1:1" x14ac:dyDescent="0.3">
      <c r="A22914" s="20"/>
    </row>
    <row r="22915" spans="1:1" x14ac:dyDescent="0.3">
      <c r="A22915" s="20"/>
    </row>
    <row r="22916" spans="1:1" x14ac:dyDescent="0.3">
      <c r="A22916" s="20"/>
    </row>
    <row r="22917" spans="1:1" x14ac:dyDescent="0.3">
      <c r="A22917" s="20"/>
    </row>
    <row r="22918" spans="1:1" x14ac:dyDescent="0.3">
      <c r="A22918" s="20"/>
    </row>
    <row r="22919" spans="1:1" x14ac:dyDescent="0.3">
      <c r="A22919" s="20"/>
    </row>
    <row r="22920" spans="1:1" x14ac:dyDescent="0.3">
      <c r="A22920" s="20"/>
    </row>
    <row r="22921" spans="1:1" x14ac:dyDescent="0.3">
      <c r="A22921" s="20"/>
    </row>
    <row r="22922" spans="1:1" x14ac:dyDescent="0.3">
      <c r="A22922" s="20"/>
    </row>
    <row r="22923" spans="1:1" x14ac:dyDescent="0.3">
      <c r="A22923" s="20"/>
    </row>
    <row r="22924" spans="1:1" x14ac:dyDescent="0.3">
      <c r="A22924" s="20"/>
    </row>
    <row r="22925" spans="1:1" x14ac:dyDescent="0.3">
      <c r="A22925" s="20"/>
    </row>
    <row r="22926" spans="1:1" x14ac:dyDescent="0.3">
      <c r="A22926" s="20"/>
    </row>
    <row r="22927" spans="1:1" x14ac:dyDescent="0.3">
      <c r="A22927" s="20"/>
    </row>
    <row r="22928" spans="1:1" x14ac:dyDescent="0.3">
      <c r="A22928" s="20"/>
    </row>
    <row r="22929" spans="1:1" x14ac:dyDescent="0.3">
      <c r="A22929" s="20"/>
    </row>
    <row r="22930" spans="1:1" x14ac:dyDescent="0.3">
      <c r="A22930" s="20"/>
    </row>
    <row r="22931" spans="1:1" x14ac:dyDescent="0.3">
      <c r="A22931" s="20"/>
    </row>
    <row r="22932" spans="1:1" x14ac:dyDescent="0.3">
      <c r="A22932" s="20"/>
    </row>
    <row r="22933" spans="1:1" x14ac:dyDescent="0.3">
      <c r="A22933" s="20"/>
    </row>
    <row r="22934" spans="1:1" x14ac:dyDescent="0.3">
      <c r="A22934" s="20"/>
    </row>
    <row r="22935" spans="1:1" x14ac:dyDescent="0.3">
      <c r="A22935" s="20"/>
    </row>
    <row r="22936" spans="1:1" x14ac:dyDescent="0.3">
      <c r="A22936" s="20"/>
    </row>
    <row r="22937" spans="1:1" x14ac:dyDescent="0.3">
      <c r="A22937" s="20"/>
    </row>
    <row r="22938" spans="1:1" x14ac:dyDescent="0.3">
      <c r="A22938" s="20"/>
    </row>
    <row r="22939" spans="1:1" x14ac:dyDescent="0.3">
      <c r="A22939" s="20"/>
    </row>
    <row r="22940" spans="1:1" x14ac:dyDescent="0.3">
      <c r="A22940" s="20"/>
    </row>
    <row r="22941" spans="1:1" x14ac:dyDescent="0.3">
      <c r="A22941" s="20"/>
    </row>
    <row r="22942" spans="1:1" x14ac:dyDescent="0.3">
      <c r="A22942" s="20"/>
    </row>
    <row r="22943" spans="1:1" x14ac:dyDescent="0.3">
      <c r="A22943" s="20"/>
    </row>
    <row r="22944" spans="1:1" x14ac:dyDescent="0.3">
      <c r="A22944" s="20"/>
    </row>
    <row r="22945" spans="1:1" x14ac:dyDescent="0.3">
      <c r="A22945" s="20"/>
    </row>
    <row r="22946" spans="1:1" x14ac:dyDescent="0.3">
      <c r="A22946" s="20"/>
    </row>
    <row r="22947" spans="1:1" x14ac:dyDescent="0.3">
      <c r="A22947" s="20"/>
    </row>
    <row r="22948" spans="1:1" x14ac:dyDescent="0.3">
      <c r="A22948" s="20"/>
    </row>
    <row r="22949" spans="1:1" x14ac:dyDescent="0.3">
      <c r="A22949" s="20"/>
    </row>
    <row r="22950" spans="1:1" x14ac:dyDescent="0.3">
      <c r="A22950" s="20"/>
    </row>
    <row r="22951" spans="1:1" x14ac:dyDescent="0.3">
      <c r="A22951" s="20"/>
    </row>
    <row r="22952" spans="1:1" x14ac:dyDescent="0.3">
      <c r="A22952" s="20"/>
    </row>
    <row r="22953" spans="1:1" x14ac:dyDescent="0.3">
      <c r="A22953" s="20"/>
    </row>
    <row r="22954" spans="1:1" x14ac:dyDescent="0.3">
      <c r="A22954" s="20"/>
    </row>
    <row r="22955" spans="1:1" x14ac:dyDescent="0.3">
      <c r="A22955" s="20"/>
    </row>
    <row r="22956" spans="1:1" x14ac:dyDescent="0.3">
      <c r="A22956" s="20"/>
    </row>
    <row r="22957" spans="1:1" x14ac:dyDescent="0.3">
      <c r="A22957" s="20"/>
    </row>
    <row r="22958" spans="1:1" x14ac:dyDescent="0.3">
      <c r="A22958" s="20"/>
    </row>
    <row r="22959" spans="1:1" x14ac:dyDescent="0.3">
      <c r="A22959" s="20"/>
    </row>
    <row r="22960" spans="1:1" x14ac:dyDescent="0.3">
      <c r="A22960" s="20"/>
    </row>
    <row r="22961" spans="1:1" x14ac:dyDescent="0.3">
      <c r="A22961" s="20"/>
    </row>
    <row r="22962" spans="1:1" x14ac:dyDescent="0.3">
      <c r="A22962" s="20"/>
    </row>
    <row r="22963" spans="1:1" x14ac:dyDescent="0.3">
      <c r="A22963" s="20"/>
    </row>
    <row r="22964" spans="1:1" x14ac:dyDescent="0.3">
      <c r="A22964" s="20"/>
    </row>
    <row r="22965" spans="1:1" x14ac:dyDescent="0.3">
      <c r="A22965" s="20"/>
    </row>
    <row r="22966" spans="1:1" x14ac:dyDescent="0.3">
      <c r="A22966" s="20"/>
    </row>
    <row r="22967" spans="1:1" x14ac:dyDescent="0.3">
      <c r="A22967" s="20"/>
    </row>
    <row r="22968" spans="1:1" x14ac:dyDescent="0.3">
      <c r="A22968" s="20"/>
    </row>
    <row r="22969" spans="1:1" x14ac:dyDescent="0.3">
      <c r="A22969" s="20"/>
    </row>
    <row r="22970" spans="1:1" x14ac:dyDescent="0.3">
      <c r="A22970" s="20"/>
    </row>
    <row r="22971" spans="1:1" x14ac:dyDescent="0.3">
      <c r="A22971" s="20"/>
    </row>
    <row r="22972" spans="1:1" x14ac:dyDescent="0.3">
      <c r="A22972" s="20"/>
    </row>
    <row r="22973" spans="1:1" x14ac:dyDescent="0.3">
      <c r="A22973" s="20"/>
    </row>
    <row r="22974" spans="1:1" x14ac:dyDescent="0.3">
      <c r="A22974" s="20"/>
    </row>
    <row r="22975" spans="1:1" x14ac:dyDescent="0.3">
      <c r="A22975" s="20"/>
    </row>
    <row r="22976" spans="1:1" x14ac:dyDescent="0.3">
      <c r="A22976" s="20"/>
    </row>
    <row r="22977" spans="1:1" x14ac:dyDescent="0.3">
      <c r="A22977" s="20"/>
    </row>
    <row r="22978" spans="1:1" x14ac:dyDescent="0.3">
      <c r="A22978" s="20"/>
    </row>
    <row r="22979" spans="1:1" x14ac:dyDescent="0.3">
      <c r="A22979" s="20"/>
    </row>
    <row r="22980" spans="1:1" x14ac:dyDescent="0.3">
      <c r="A22980" s="20"/>
    </row>
    <row r="22981" spans="1:1" x14ac:dyDescent="0.3">
      <c r="A22981" s="20"/>
    </row>
    <row r="22982" spans="1:1" x14ac:dyDescent="0.3">
      <c r="A22982" s="20"/>
    </row>
    <row r="22983" spans="1:1" x14ac:dyDescent="0.3">
      <c r="A22983" s="20"/>
    </row>
    <row r="22984" spans="1:1" x14ac:dyDescent="0.3">
      <c r="A22984" s="20"/>
    </row>
    <row r="22985" spans="1:1" x14ac:dyDescent="0.3">
      <c r="A22985" s="20"/>
    </row>
    <row r="22986" spans="1:1" x14ac:dyDescent="0.3">
      <c r="A22986" s="20"/>
    </row>
    <row r="22987" spans="1:1" x14ac:dyDescent="0.3">
      <c r="A22987" s="20"/>
    </row>
    <row r="22988" spans="1:1" x14ac:dyDescent="0.3">
      <c r="A22988" s="20"/>
    </row>
    <row r="22989" spans="1:1" x14ac:dyDescent="0.3">
      <c r="A22989" s="20"/>
    </row>
    <row r="22990" spans="1:1" x14ac:dyDescent="0.3">
      <c r="A22990" s="20"/>
    </row>
    <row r="22991" spans="1:1" x14ac:dyDescent="0.3">
      <c r="A22991" s="20"/>
    </row>
    <row r="22992" spans="1:1" x14ac:dyDescent="0.3">
      <c r="A22992" s="20"/>
    </row>
    <row r="22993" spans="1:1" x14ac:dyDescent="0.3">
      <c r="A22993" s="20"/>
    </row>
    <row r="22994" spans="1:1" x14ac:dyDescent="0.3">
      <c r="A22994" s="20"/>
    </row>
    <row r="22995" spans="1:1" x14ac:dyDescent="0.3">
      <c r="A22995" s="20"/>
    </row>
    <row r="22996" spans="1:1" x14ac:dyDescent="0.3">
      <c r="A22996" s="20"/>
    </row>
    <row r="22997" spans="1:1" x14ac:dyDescent="0.3">
      <c r="A22997" s="20"/>
    </row>
    <row r="22998" spans="1:1" x14ac:dyDescent="0.3">
      <c r="A22998" s="20"/>
    </row>
    <row r="22999" spans="1:1" x14ac:dyDescent="0.3">
      <c r="A22999" s="20"/>
    </row>
    <row r="23000" spans="1:1" x14ac:dyDescent="0.3">
      <c r="A23000" s="20"/>
    </row>
    <row r="23001" spans="1:1" x14ac:dyDescent="0.3">
      <c r="A23001" s="20"/>
    </row>
    <row r="23002" spans="1:1" x14ac:dyDescent="0.3">
      <c r="A23002" s="20"/>
    </row>
    <row r="23003" spans="1:1" x14ac:dyDescent="0.3">
      <c r="A23003" s="20"/>
    </row>
    <row r="23004" spans="1:1" x14ac:dyDescent="0.3">
      <c r="A23004" s="20"/>
    </row>
    <row r="23005" spans="1:1" x14ac:dyDescent="0.3">
      <c r="A23005" s="20"/>
    </row>
    <row r="23006" spans="1:1" x14ac:dyDescent="0.3">
      <c r="A23006" s="20"/>
    </row>
    <row r="23007" spans="1:1" x14ac:dyDescent="0.3">
      <c r="A23007" s="20"/>
    </row>
    <row r="23008" spans="1:1" x14ac:dyDescent="0.3">
      <c r="A23008" s="20"/>
    </row>
    <row r="23009" spans="1:1" x14ac:dyDescent="0.3">
      <c r="A23009" s="20"/>
    </row>
    <row r="23010" spans="1:1" x14ac:dyDescent="0.3">
      <c r="A23010" s="20"/>
    </row>
    <row r="23011" spans="1:1" x14ac:dyDescent="0.3">
      <c r="A23011" s="20"/>
    </row>
    <row r="23012" spans="1:1" x14ac:dyDescent="0.3">
      <c r="A23012" s="20"/>
    </row>
    <row r="23013" spans="1:1" x14ac:dyDescent="0.3">
      <c r="A23013" s="20"/>
    </row>
    <row r="23014" spans="1:1" x14ac:dyDescent="0.3">
      <c r="A23014" s="20"/>
    </row>
    <row r="23015" spans="1:1" x14ac:dyDescent="0.3">
      <c r="A23015" s="20"/>
    </row>
    <row r="23016" spans="1:1" x14ac:dyDescent="0.3">
      <c r="A23016" s="20"/>
    </row>
    <row r="23017" spans="1:1" x14ac:dyDescent="0.3">
      <c r="A23017" s="20"/>
    </row>
    <row r="23018" spans="1:1" x14ac:dyDescent="0.3">
      <c r="A23018" s="20"/>
    </row>
    <row r="23019" spans="1:1" x14ac:dyDescent="0.3">
      <c r="A23019" s="20"/>
    </row>
    <row r="23020" spans="1:1" x14ac:dyDescent="0.3">
      <c r="A23020" s="20"/>
    </row>
    <row r="23021" spans="1:1" x14ac:dyDescent="0.3">
      <c r="A23021" s="20"/>
    </row>
    <row r="23022" spans="1:1" x14ac:dyDescent="0.3">
      <c r="A23022" s="20"/>
    </row>
    <row r="23023" spans="1:1" x14ac:dyDescent="0.3">
      <c r="A23023" s="20"/>
    </row>
    <row r="23024" spans="1:1" x14ac:dyDescent="0.3">
      <c r="A23024" s="20"/>
    </row>
    <row r="23025" spans="1:1" x14ac:dyDescent="0.3">
      <c r="A23025" s="20"/>
    </row>
    <row r="23026" spans="1:1" x14ac:dyDescent="0.3">
      <c r="A23026" s="20"/>
    </row>
    <row r="23027" spans="1:1" x14ac:dyDescent="0.3">
      <c r="A23027" s="20"/>
    </row>
    <row r="23028" spans="1:1" x14ac:dyDescent="0.3">
      <c r="A23028" s="20"/>
    </row>
    <row r="23029" spans="1:1" x14ac:dyDescent="0.3">
      <c r="A23029" s="20"/>
    </row>
    <row r="23030" spans="1:1" x14ac:dyDescent="0.3">
      <c r="A23030" s="20"/>
    </row>
    <row r="23031" spans="1:1" x14ac:dyDescent="0.3">
      <c r="A23031" s="20"/>
    </row>
    <row r="23032" spans="1:1" x14ac:dyDescent="0.3">
      <c r="A23032" s="20"/>
    </row>
    <row r="23033" spans="1:1" x14ac:dyDescent="0.3">
      <c r="A23033" s="20"/>
    </row>
    <row r="23034" spans="1:1" x14ac:dyDescent="0.3">
      <c r="A23034" s="20"/>
    </row>
    <row r="23035" spans="1:1" x14ac:dyDescent="0.3">
      <c r="A23035" s="20"/>
    </row>
    <row r="23036" spans="1:1" x14ac:dyDescent="0.3">
      <c r="A23036" s="20"/>
    </row>
    <row r="23037" spans="1:1" x14ac:dyDescent="0.3">
      <c r="A23037" s="20"/>
    </row>
    <row r="23038" spans="1:1" x14ac:dyDescent="0.3">
      <c r="A23038" s="20"/>
    </row>
    <row r="23039" spans="1:1" x14ac:dyDescent="0.3">
      <c r="A23039" s="20"/>
    </row>
    <row r="23040" spans="1:1" x14ac:dyDescent="0.3">
      <c r="A23040" s="20"/>
    </row>
    <row r="23041" spans="1:1" x14ac:dyDescent="0.3">
      <c r="A23041" s="20"/>
    </row>
    <row r="23042" spans="1:1" x14ac:dyDescent="0.3">
      <c r="A23042" s="20"/>
    </row>
    <row r="23043" spans="1:1" x14ac:dyDescent="0.3">
      <c r="A23043" s="20"/>
    </row>
    <row r="23044" spans="1:1" x14ac:dyDescent="0.3">
      <c r="A23044" s="20"/>
    </row>
    <row r="23045" spans="1:1" x14ac:dyDescent="0.3">
      <c r="A23045" s="20"/>
    </row>
    <row r="23046" spans="1:1" x14ac:dyDescent="0.3">
      <c r="A23046" s="20"/>
    </row>
    <row r="23047" spans="1:1" x14ac:dyDescent="0.3">
      <c r="A23047" s="20"/>
    </row>
    <row r="23048" spans="1:1" x14ac:dyDescent="0.3">
      <c r="A23048" s="20"/>
    </row>
    <row r="23049" spans="1:1" x14ac:dyDescent="0.3">
      <c r="A23049" s="20"/>
    </row>
    <row r="23050" spans="1:1" x14ac:dyDescent="0.3">
      <c r="A23050" s="20"/>
    </row>
    <row r="23051" spans="1:1" x14ac:dyDescent="0.3">
      <c r="A23051" s="20"/>
    </row>
    <row r="23052" spans="1:1" x14ac:dyDescent="0.3">
      <c r="A23052" s="20"/>
    </row>
    <row r="23053" spans="1:1" x14ac:dyDescent="0.3">
      <c r="A23053" s="20"/>
    </row>
    <row r="23054" spans="1:1" x14ac:dyDescent="0.3">
      <c r="A23054" s="20"/>
    </row>
    <row r="23055" spans="1:1" x14ac:dyDescent="0.3">
      <c r="A23055" s="20"/>
    </row>
    <row r="23056" spans="1:1" x14ac:dyDescent="0.3">
      <c r="A23056" s="20"/>
    </row>
    <row r="23057" spans="1:1" x14ac:dyDescent="0.3">
      <c r="A23057" s="20"/>
    </row>
    <row r="23058" spans="1:1" x14ac:dyDescent="0.3">
      <c r="A23058" s="20"/>
    </row>
    <row r="23059" spans="1:1" x14ac:dyDescent="0.3">
      <c r="A23059" s="20"/>
    </row>
    <row r="23060" spans="1:1" x14ac:dyDescent="0.3">
      <c r="A23060" s="20"/>
    </row>
    <row r="23061" spans="1:1" x14ac:dyDescent="0.3">
      <c r="A23061" s="20"/>
    </row>
    <row r="23062" spans="1:1" x14ac:dyDescent="0.3">
      <c r="A23062" s="20"/>
    </row>
    <row r="23063" spans="1:1" x14ac:dyDescent="0.3">
      <c r="A23063" s="20"/>
    </row>
    <row r="23064" spans="1:1" x14ac:dyDescent="0.3">
      <c r="A23064" s="20"/>
    </row>
    <row r="23065" spans="1:1" x14ac:dyDescent="0.3">
      <c r="A23065" s="20"/>
    </row>
    <row r="23066" spans="1:1" x14ac:dyDescent="0.3">
      <c r="A23066" s="20"/>
    </row>
    <row r="23067" spans="1:1" x14ac:dyDescent="0.3">
      <c r="A23067" s="20"/>
    </row>
    <row r="23068" spans="1:1" x14ac:dyDescent="0.3">
      <c r="A23068" s="20"/>
    </row>
    <row r="23069" spans="1:1" x14ac:dyDescent="0.3">
      <c r="A23069" s="20"/>
    </row>
    <row r="23070" spans="1:1" x14ac:dyDescent="0.3">
      <c r="A23070" s="20"/>
    </row>
    <row r="23071" spans="1:1" x14ac:dyDescent="0.3">
      <c r="A23071" s="20"/>
    </row>
    <row r="23072" spans="1:1" x14ac:dyDescent="0.3">
      <c r="A23072" s="20"/>
    </row>
    <row r="23073" spans="1:1" x14ac:dyDescent="0.3">
      <c r="A23073" s="20"/>
    </row>
    <row r="23074" spans="1:1" x14ac:dyDescent="0.3">
      <c r="A23074" s="20"/>
    </row>
    <row r="23075" spans="1:1" x14ac:dyDescent="0.3">
      <c r="A23075" s="20"/>
    </row>
    <row r="23076" spans="1:1" x14ac:dyDescent="0.3">
      <c r="A23076" s="20"/>
    </row>
    <row r="23077" spans="1:1" x14ac:dyDescent="0.3">
      <c r="A23077" s="20"/>
    </row>
    <row r="23078" spans="1:1" x14ac:dyDescent="0.3">
      <c r="A23078" s="20"/>
    </row>
    <row r="23079" spans="1:1" x14ac:dyDescent="0.3">
      <c r="A23079" s="20"/>
    </row>
    <row r="23080" spans="1:1" x14ac:dyDescent="0.3">
      <c r="A23080" s="20"/>
    </row>
    <row r="23081" spans="1:1" x14ac:dyDescent="0.3">
      <c r="A23081" s="20"/>
    </row>
    <row r="23082" spans="1:1" x14ac:dyDescent="0.3">
      <c r="A23082" s="20"/>
    </row>
    <row r="23083" spans="1:1" x14ac:dyDescent="0.3">
      <c r="A23083" s="20"/>
    </row>
    <row r="23084" spans="1:1" x14ac:dyDescent="0.3">
      <c r="A23084" s="20"/>
    </row>
    <row r="23085" spans="1:1" x14ac:dyDescent="0.3">
      <c r="A23085" s="20"/>
    </row>
    <row r="23086" spans="1:1" x14ac:dyDescent="0.3">
      <c r="A23086" s="20"/>
    </row>
    <row r="23087" spans="1:1" x14ac:dyDescent="0.3">
      <c r="A23087" s="20"/>
    </row>
    <row r="23088" spans="1:1" x14ac:dyDescent="0.3">
      <c r="A23088" s="20"/>
    </row>
    <row r="23089" spans="1:1" x14ac:dyDescent="0.3">
      <c r="A23089" s="20"/>
    </row>
    <row r="23090" spans="1:1" x14ac:dyDescent="0.3">
      <c r="A23090" s="20"/>
    </row>
    <row r="23091" spans="1:1" x14ac:dyDescent="0.3">
      <c r="A23091" s="20"/>
    </row>
    <row r="23092" spans="1:1" x14ac:dyDescent="0.3">
      <c r="A23092" s="20"/>
    </row>
    <row r="23093" spans="1:1" x14ac:dyDescent="0.3">
      <c r="A23093" s="20"/>
    </row>
    <row r="23094" spans="1:1" x14ac:dyDescent="0.3">
      <c r="A23094" s="20"/>
    </row>
    <row r="23095" spans="1:1" x14ac:dyDescent="0.3">
      <c r="A23095" s="20"/>
    </row>
    <row r="23096" spans="1:1" x14ac:dyDescent="0.3">
      <c r="A23096" s="20"/>
    </row>
    <row r="23097" spans="1:1" x14ac:dyDescent="0.3">
      <c r="A23097" s="20"/>
    </row>
    <row r="23098" spans="1:1" x14ac:dyDescent="0.3">
      <c r="A23098" s="20"/>
    </row>
    <row r="23099" spans="1:1" x14ac:dyDescent="0.3">
      <c r="A23099" s="20"/>
    </row>
    <row r="23100" spans="1:1" x14ac:dyDescent="0.3">
      <c r="A23100" s="20"/>
    </row>
    <row r="23101" spans="1:1" x14ac:dyDescent="0.3">
      <c r="A23101" s="20"/>
    </row>
    <row r="23102" spans="1:1" x14ac:dyDescent="0.3">
      <c r="A23102" s="20"/>
    </row>
    <row r="23103" spans="1:1" x14ac:dyDescent="0.3">
      <c r="A23103" s="20"/>
    </row>
    <row r="23104" spans="1:1" x14ac:dyDescent="0.3">
      <c r="A23104" s="20"/>
    </row>
    <row r="23105" spans="1:1" x14ac:dyDescent="0.3">
      <c r="A23105" s="20"/>
    </row>
    <row r="23106" spans="1:1" x14ac:dyDescent="0.3">
      <c r="A23106" s="20"/>
    </row>
    <row r="23107" spans="1:1" x14ac:dyDescent="0.3">
      <c r="A23107" s="20"/>
    </row>
    <row r="23108" spans="1:1" x14ac:dyDescent="0.3">
      <c r="A23108" s="20"/>
    </row>
    <row r="23109" spans="1:1" x14ac:dyDescent="0.3">
      <c r="A23109" s="20"/>
    </row>
    <row r="23110" spans="1:1" x14ac:dyDescent="0.3">
      <c r="A23110" s="20"/>
    </row>
    <row r="23111" spans="1:1" x14ac:dyDescent="0.3">
      <c r="A23111" s="20"/>
    </row>
    <row r="23112" spans="1:1" x14ac:dyDescent="0.3">
      <c r="A23112" s="20"/>
    </row>
    <row r="23113" spans="1:1" x14ac:dyDescent="0.3">
      <c r="A23113" s="20"/>
    </row>
    <row r="23114" spans="1:1" x14ac:dyDescent="0.3">
      <c r="A23114" s="20"/>
    </row>
    <row r="23115" spans="1:1" x14ac:dyDescent="0.3">
      <c r="A23115" s="20"/>
    </row>
    <row r="23116" spans="1:1" x14ac:dyDescent="0.3">
      <c r="A23116" s="20"/>
    </row>
    <row r="23117" spans="1:1" x14ac:dyDescent="0.3">
      <c r="A23117" s="20"/>
    </row>
    <row r="23118" spans="1:1" x14ac:dyDescent="0.3">
      <c r="A23118" s="20"/>
    </row>
    <row r="23119" spans="1:1" x14ac:dyDescent="0.3">
      <c r="A23119" s="20"/>
    </row>
    <row r="23120" spans="1:1" x14ac:dyDescent="0.3">
      <c r="A23120" s="20"/>
    </row>
    <row r="23121" spans="1:1" x14ac:dyDescent="0.3">
      <c r="A23121" s="20"/>
    </row>
    <row r="23122" spans="1:1" x14ac:dyDescent="0.3">
      <c r="A23122" s="20"/>
    </row>
    <row r="23123" spans="1:1" x14ac:dyDescent="0.3">
      <c r="A23123" s="20"/>
    </row>
    <row r="23124" spans="1:1" x14ac:dyDescent="0.3">
      <c r="A23124" s="20"/>
    </row>
    <row r="23125" spans="1:1" x14ac:dyDescent="0.3">
      <c r="A23125" s="20"/>
    </row>
    <row r="23126" spans="1:1" x14ac:dyDescent="0.3">
      <c r="A23126" s="20"/>
    </row>
    <row r="23127" spans="1:1" x14ac:dyDescent="0.3">
      <c r="A23127" s="20"/>
    </row>
    <row r="23128" spans="1:1" x14ac:dyDescent="0.3">
      <c r="A23128" s="20"/>
    </row>
    <row r="23129" spans="1:1" x14ac:dyDescent="0.3">
      <c r="A23129" s="20"/>
    </row>
    <row r="23130" spans="1:1" x14ac:dyDescent="0.3">
      <c r="A23130" s="20"/>
    </row>
    <row r="23131" spans="1:1" x14ac:dyDescent="0.3">
      <c r="A23131" s="20"/>
    </row>
    <row r="23132" spans="1:1" x14ac:dyDescent="0.3">
      <c r="A23132" s="20"/>
    </row>
    <row r="23133" spans="1:1" x14ac:dyDescent="0.3">
      <c r="A23133" s="20"/>
    </row>
    <row r="23134" spans="1:1" x14ac:dyDescent="0.3">
      <c r="A23134" s="20"/>
    </row>
    <row r="23135" spans="1:1" x14ac:dyDescent="0.3">
      <c r="A23135" s="20"/>
    </row>
    <row r="23136" spans="1:1" x14ac:dyDescent="0.3">
      <c r="A23136" s="20"/>
    </row>
    <row r="23137" spans="1:1" x14ac:dyDescent="0.3">
      <c r="A23137" s="20"/>
    </row>
    <row r="23138" spans="1:1" x14ac:dyDescent="0.3">
      <c r="A23138" s="20"/>
    </row>
    <row r="23139" spans="1:1" x14ac:dyDescent="0.3">
      <c r="A23139" s="20"/>
    </row>
    <row r="23140" spans="1:1" x14ac:dyDescent="0.3">
      <c r="A23140" s="20"/>
    </row>
    <row r="23141" spans="1:1" x14ac:dyDescent="0.3">
      <c r="A23141" s="20"/>
    </row>
    <row r="23142" spans="1:1" x14ac:dyDescent="0.3">
      <c r="A23142" s="20"/>
    </row>
    <row r="23143" spans="1:1" x14ac:dyDescent="0.3">
      <c r="A23143" s="20"/>
    </row>
    <row r="23144" spans="1:1" x14ac:dyDescent="0.3">
      <c r="A23144" s="20"/>
    </row>
    <row r="23145" spans="1:1" x14ac:dyDescent="0.3">
      <c r="A23145" s="20"/>
    </row>
    <row r="23146" spans="1:1" x14ac:dyDescent="0.3">
      <c r="A23146" s="20"/>
    </row>
    <row r="23147" spans="1:1" x14ac:dyDescent="0.3">
      <c r="A23147" s="20"/>
    </row>
    <row r="23148" spans="1:1" x14ac:dyDescent="0.3">
      <c r="A23148" s="20"/>
    </row>
    <row r="23149" spans="1:1" x14ac:dyDescent="0.3">
      <c r="A23149" s="20"/>
    </row>
    <row r="23150" spans="1:1" x14ac:dyDescent="0.3">
      <c r="A23150" s="20"/>
    </row>
    <row r="23151" spans="1:1" x14ac:dyDescent="0.3">
      <c r="A23151" s="20"/>
    </row>
    <row r="23152" spans="1:1" x14ac:dyDescent="0.3">
      <c r="A23152" s="20"/>
    </row>
    <row r="23153" spans="1:1" x14ac:dyDescent="0.3">
      <c r="A23153" s="20"/>
    </row>
    <row r="23154" spans="1:1" x14ac:dyDescent="0.3">
      <c r="A23154" s="20"/>
    </row>
    <row r="23155" spans="1:1" x14ac:dyDescent="0.3">
      <c r="A23155" s="20"/>
    </row>
    <row r="23156" spans="1:1" x14ac:dyDescent="0.3">
      <c r="A23156" s="20"/>
    </row>
    <row r="23157" spans="1:1" x14ac:dyDescent="0.3">
      <c r="A23157" s="20"/>
    </row>
    <row r="23158" spans="1:1" x14ac:dyDescent="0.3">
      <c r="A23158" s="20"/>
    </row>
    <row r="23159" spans="1:1" x14ac:dyDescent="0.3">
      <c r="A23159" s="20"/>
    </row>
    <row r="23160" spans="1:1" x14ac:dyDescent="0.3">
      <c r="A23160" s="20"/>
    </row>
    <row r="23161" spans="1:1" x14ac:dyDescent="0.3">
      <c r="A23161" s="20"/>
    </row>
    <row r="23162" spans="1:1" x14ac:dyDescent="0.3">
      <c r="A23162" s="20"/>
    </row>
    <row r="23163" spans="1:1" x14ac:dyDescent="0.3">
      <c r="A23163" s="20"/>
    </row>
    <row r="23164" spans="1:1" x14ac:dyDescent="0.3">
      <c r="A23164" s="20"/>
    </row>
    <row r="23165" spans="1:1" x14ac:dyDescent="0.3">
      <c r="A23165" s="20"/>
    </row>
    <row r="23166" spans="1:1" x14ac:dyDescent="0.3">
      <c r="A23166" s="20"/>
    </row>
    <row r="23167" spans="1:1" x14ac:dyDescent="0.3">
      <c r="A23167" s="20"/>
    </row>
    <row r="23168" spans="1:1" x14ac:dyDescent="0.3">
      <c r="A23168" s="20"/>
    </row>
    <row r="23169" spans="1:1" x14ac:dyDescent="0.3">
      <c r="A23169" s="20"/>
    </row>
    <row r="23170" spans="1:1" x14ac:dyDescent="0.3">
      <c r="A23170" s="20"/>
    </row>
    <row r="23171" spans="1:1" x14ac:dyDescent="0.3">
      <c r="A23171" s="20"/>
    </row>
    <row r="23172" spans="1:1" x14ac:dyDescent="0.3">
      <c r="A23172" s="20"/>
    </row>
    <row r="23173" spans="1:1" x14ac:dyDescent="0.3">
      <c r="A23173" s="20"/>
    </row>
    <row r="23174" spans="1:1" x14ac:dyDescent="0.3">
      <c r="A23174" s="20"/>
    </row>
    <row r="23175" spans="1:1" x14ac:dyDescent="0.3">
      <c r="A23175" s="20"/>
    </row>
    <row r="23176" spans="1:1" x14ac:dyDescent="0.3">
      <c r="A23176" s="20"/>
    </row>
    <row r="23177" spans="1:1" x14ac:dyDescent="0.3">
      <c r="A23177" s="20"/>
    </row>
    <row r="23178" spans="1:1" x14ac:dyDescent="0.3">
      <c r="A23178" s="20"/>
    </row>
    <row r="23179" spans="1:1" x14ac:dyDescent="0.3">
      <c r="A23179" s="20"/>
    </row>
    <row r="23180" spans="1:1" x14ac:dyDescent="0.3">
      <c r="A23180" s="20"/>
    </row>
    <row r="23181" spans="1:1" x14ac:dyDescent="0.3">
      <c r="A23181" s="20"/>
    </row>
    <row r="23182" spans="1:1" x14ac:dyDescent="0.3">
      <c r="A23182" s="20"/>
    </row>
    <row r="23183" spans="1:1" x14ac:dyDescent="0.3">
      <c r="A23183" s="20"/>
    </row>
    <row r="23184" spans="1:1" x14ac:dyDescent="0.3">
      <c r="A23184" s="20"/>
    </row>
    <row r="23185" spans="1:1" x14ac:dyDescent="0.3">
      <c r="A23185" s="20"/>
    </row>
    <row r="23186" spans="1:1" x14ac:dyDescent="0.3">
      <c r="A23186" s="20"/>
    </row>
    <row r="23187" spans="1:1" x14ac:dyDescent="0.3">
      <c r="A23187" s="20"/>
    </row>
    <row r="23188" spans="1:1" x14ac:dyDescent="0.3">
      <c r="A23188" s="20"/>
    </row>
    <row r="23189" spans="1:1" x14ac:dyDescent="0.3">
      <c r="A23189" s="20"/>
    </row>
    <row r="23190" spans="1:1" x14ac:dyDescent="0.3">
      <c r="A23190" s="20"/>
    </row>
    <row r="23191" spans="1:1" x14ac:dyDescent="0.3">
      <c r="A23191" s="20"/>
    </row>
    <row r="23192" spans="1:1" x14ac:dyDescent="0.3">
      <c r="A23192" s="20"/>
    </row>
    <row r="23193" spans="1:1" x14ac:dyDescent="0.3">
      <c r="A23193" s="20"/>
    </row>
    <row r="23194" spans="1:1" x14ac:dyDescent="0.3">
      <c r="A23194" s="20"/>
    </row>
    <row r="23195" spans="1:1" x14ac:dyDescent="0.3">
      <c r="A23195" s="20"/>
    </row>
    <row r="23196" spans="1:1" x14ac:dyDescent="0.3">
      <c r="A23196" s="20"/>
    </row>
    <row r="23197" spans="1:1" x14ac:dyDescent="0.3">
      <c r="A23197" s="20"/>
    </row>
    <row r="23198" spans="1:1" x14ac:dyDescent="0.3">
      <c r="A23198" s="20"/>
    </row>
    <row r="23199" spans="1:1" x14ac:dyDescent="0.3">
      <c r="A23199" s="20"/>
    </row>
    <row r="23200" spans="1:1" x14ac:dyDescent="0.3">
      <c r="A23200" s="20"/>
    </row>
    <row r="23201" spans="1:1" x14ac:dyDescent="0.3">
      <c r="A23201" s="20"/>
    </row>
    <row r="23202" spans="1:1" x14ac:dyDescent="0.3">
      <c r="A23202" s="20"/>
    </row>
    <row r="23203" spans="1:1" x14ac:dyDescent="0.3">
      <c r="A23203" s="20"/>
    </row>
    <row r="23204" spans="1:1" x14ac:dyDescent="0.3">
      <c r="A23204" s="20"/>
    </row>
    <row r="23205" spans="1:1" x14ac:dyDescent="0.3">
      <c r="A23205" s="20"/>
    </row>
    <row r="23206" spans="1:1" x14ac:dyDescent="0.3">
      <c r="A23206" s="20"/>
    </row>
    <row r="23207" spans="1:1" x14ac:dyDescent="0.3">
      <c r="A23207" s="20"/>
    </row>
    <row r="23208" spans="1:1" x14ac:dyDescent="0.3">
      <c r="A23208" s="20"/>
    </row>
    <row r="23209" spans="1:1" x14ac:dyDescent="0.3">
      <c r="A23209" s="20"/>
    </row>
    <row r="23210" spans="1:1" x14ac:dyDescent="0.3">
      <c r="A23210" s="20"/>
    </row>
    <row r="23211" spans="1:1" x14ac:dyDescent="0.3">
      <c r="A23211" s="20"/>
    </row>
    <row r="23212" spans="1:1" x14ac:dyDescent="0.3">
      <c r="A23212" s="20"/>
    </row>
    <row r="23213" spans="1:1" x14ac:dyDescent="0.3">
      <c r="A23213" s="20"/>
    </row>
    <row r="23214" spans="1:1" x14ac:dyDescent="0.3">
      <c r="A23214" s="20"/>
    </row>
    <row r="23215" spans="1:1" x14ac:dyDescent="0.3">
      <c r="A23215" s="20"/>
    </row>
    <row r="23216" spans="1:1" x14ac:dyDescent="0.3">
      <c r="A23216" s="20"/>
    </row>
    <row r="23217" spans="1:1" x14ac:dyDescent="0.3">
      <c r="A23217" s="20"/>
    </row>
    <row r="23218" spans="1:1" x14ac:dyDescent="0.3">
      <c r="A23218" s="20"/>
    </row>
    <row r="23219" spans="1:1" x14ac:dyDescent="0.3">
      <c r="A23219" s="20"/>
    </row>
    <row r="23220" spans="1:1" x14ac:dyDescent="0.3">
      <c r="A23220" s="20"/>
    </row>
    <row r="23221" spans="1:1" x14ac:dyDescent="0.3">
      <c r="A23221" s="20"/>
    </row>
    <row r="23222" spans="1:1" x14ac:dyDescent="0.3">
      <c r="A23222" s="20"/>
    </row>
    <row r="23223" spans="1:1" x14ac:dyDescent="0.3">
      <c r="A23223" s="20"/>
    </row>
    <row r="23224" spans="1:1" x14ac:dyDescent="0.3">
      <c r="A23224" s="20"/>
    </row>
    <row r="23225" spans="1:1" x14ac:dyDescent="0.3">
      <c r="A23225" s="20"/>
    </row>
    <row r="23226" spans="1:1" x14ac:dyDescent="0.3">
      <c r="A23226" s="20"/>
    </row>
    <row r="23227" spans="1:1" x14ac:dyDescent="0.3">
      <c r="A23227" s="20"/>
    </row>
    <row r="23228" spans="1:1" x14ac:dyDescent="0.3">
      <c r="A23228" s="20"/>
    </row>
    <row r="23229" spans="1:1" x14ac:dyDescent="0.3">
      <c r="A23229" s="20"/>
    </row>
    <row r="23230" spans="1:1" x14ac:dyDescent="0.3">
      <c r="A23230" s="20"/>
    </row>
    <row r="23231" spans="1:1" x14ac:dyDescent="0.3">
      <c r="A23231" s="20"/>
    </row>
    <row r="23232" spans="1:1" x14ac:dyDescent="0.3">
      <c r="A23232" s="20"/>
    </row>
    <row r="23233" spans="1:1" x14ac:dyDescent="0.3">
      <c r="A23233" s="20"/>
    </row>
    <row r="23234" spans="1:1" x14ac:dyDescent="0.3">
      <c r="A23234" s="20"/>
    </row>
    <row r="23235" spans="1:1" x14ac:dyDescent="0.3">
      <c r="A23235" s="20"/>
    </row>
    <row r="23236" spans="1:1" x14ac:dyDescent="0.3">
      <c r="A23236" s="20"/>
    </row>
    <row r="23237" spans="1:1" x14ac:dyDescent="0.3">
      <c r="A23237" s="20"/>
    </row>
    <row r="23238" spans="1:1" x14ac:dyDescent="0.3">
      <c r="A23238" s="20"/>
    </row>
    <row r="23239" spans="1:1" x14ac:dyDescent="0.3">
      <c r="A23239" s="20"/>
    </row>
    <row r="23240" spans="1:1" x14ac:dyDescent="0.3">
      <c r="A23240" s="20"/>
    </row>
    <row r="23241" spans="1:1" x14ac:dyDescent="0.3">
      <c r="A23241" s="20"/>
    </row>
    <row r="23242" spans="1:1" x14ac:dyDescent="0.3">
      <c r="A23242" s="20"/>
    </row>
    <row r="23243" spans="1:1" x14ac:dyDescent="0.3">
      <c r="A23243" s="20"/>
    </row>
    <row r="23244" spans="1:1" x14ac:dyDescent="0.3">
      <c r="A23244" s="20"/>
    </row>
    <row r="23245" spans="1:1" x14ac:dyDescent="0.3">
      <c r="A23245" s="20"/>
    </row>
    <row r="23246" spans="1:1" x14ac:dyDescent="0.3">
      <c r="A23246" s="20"/>
    </row>
    <row r="23247" spans="1:1" x14ac:dyDescent="0.3">
      <c r="A23247" s="20"/>
    </row>
    <row r="23248" spans="1:1" x14ac:dyDescent="0.3">
      <c r="A23248" s="20"/>
    </row>
    <row r="23249" spans="1:1" x14ac:dyDescent="0.3">
      <c r="A23249" s="20"/>
    </row>
    <row r="23250" spans="1:1" x14ac:dyDescent="0.3">
      <c r="A23250" s="20"/>
    </row>
    <row r="23251" spans="1:1" x14ac:dyDescent="0.3">
      <c r="A23251" s="20"/>
    </row>
    <row r="23252" spans="1:1" x14ac:dyDescent="0.3">
      <c r="A23252" s="20"/>
    </row>
    <row r="23253" spans="1:1" x14ac:dyDescent="0.3">
      <c r="A23253" s="20"/>
    </row>
    <row r="23254" spans="1:1" x14ac:dyDescent="0.3">
      <c r="A23254" s="20"/>
    </row>
    <row r="23255" spans="1:1" x14ac:dyDescent="0.3">
      <c r="A23255" s="20"/>
    </row>
    <row r="23256" spans="1:1" x14ac:dyDescent="0.3">
      <c r="A23256" s="20"/>
    </row>
    <row r="23257" spans="1:1" x14ac:dyDescent="0.3">
      <c r="A23257" s="20"/>
    </row>
    <row r="23258" spans="1:1" x14ac:dyDescent="0.3">
      <c r="A23258" s="20"/>
    </row>
    <row r="23259" spans="1:1" x14ac:dyDescent="0.3">
      <c r="A23259" s="20"/>
    </row>
    <row r="23260" spans="1:1" x14ac:dyDescent="0.3">
      <c r="A23260" s="20"/>
    </row>
    <row r="23261" spans="1:1" x14ac:dyDescent="0.3">
      <c r="A23261" s="20"/>
    </row>
    <row r="23262" spans="1:1" x14ac:dyDescent="0.3">
      <c r="A23262" s="20"/>
    </row>
    <row r="23263" spans="1:1" x14ac:dyDescent="0.3">
      <c r="A23263" s="20"/>
    </row>
    <row r="23264" spans="1:1" x14ac:dyDescent="0.3">
      <c r="A23264" s="20"/>
    </row>
    <row r="23265" spans="1:1" x14ac:dyDescent="0.3">
      <c r="A23265" s="20"/>
    </row>
    <row r="23266" spans="1:1" x14ac:dyDescent="0.3">
      <c r="A23266" s="20"/>
    </row>
    <row r="23267" spans="1:1" x14ac:dyDescent="0.3">
      <c r="A23267" s="20"/>
    </row>
    <row r="23268" spans="1:1" x14ac:dyDescent="0.3">
      <c r="A23268" s="20"/>
    </row>
    <row r="23269" spans="1:1" x14ac:dyDescent="0.3">
      <c r="A23269" s="20"/>
    </row>
    <row r="23270" spans="1:1" x14ac:dyDescent="0.3">
      <c r="A23270" s="20"/>
    </row>
    <row r="23271" spans="1:1" x14ac:dyDescent="0.3">
      <c r="A23271" s="20"/>
    </row>
    <row r="23272" spans="1:1" x14ac:dyDescent="0.3">
      <c r="A23272" s="20"/>
    </row>
    <row r="23273" spans="1:1" x14ac:dyDescent="0.3">
      <c r="A23273" s="20"/>
    </row>
    <row r="23274" spans="1:1" x14ac:dyDescent="0.3">
      <c r="A23274" s="20"/>
    </row>
    <row r="23275" spans="1:1" x14ac:dyDescent="0.3">
      <c r="A23275" s="20"/>
    </row>
    <row r="23276" spans="1:1" x14ac:dyDescent="0.3">
      <c r="A23276" s="20"/>
    </row>
    <row r="23277" spans="1:1" x14ac:dyDescent="0.3">
      <c r="A23277" s="20"/>
    </row>
    <row r="23278" spans="1:1" x14ac:dyDescent="0.3">
      <c r="A23278" s="20"/>
    </row>
    <row r="23279" spans="1:1" x14ac:dyDescent="0.3">
      <c r="A23279" s="20"/>
    </row>
    <row r="23280" spans="1:1" x14ac:dyDescent="0.3">
      <c r="A23280" s="20"/>
    </row>
    <row r="23281" spans="1:1" x14ac:dyDescent="0.3">
      <c r="A23281" s="20"/>
    </row>
    <row r="23282" spans="1:1" x14ac:dyDescent="0.3">
      <c r="A23282" s="20"/>
    </row>
    <row r="23283" spans="1:1" x14ac:dyDescent="0.3">
      <c r="A23283" s="20"/>
    </row>
    <row r="23284" spans="1:1" x14ac:dyDescent="0.3">
      <c r="A23284" s="20"/>
    </row>
    <row r="23285" spans="1:1" x14ac:dyDescent="0.3">
      <c r="A23285" s="20"/>
    </row>
    <row r="23286" spans="1:1" x14ac:dyDescent="0.3">
      <c r="A23286" s="20"/>
    </row>
    <row r="23287" spans="1:1" x14ac:dyDescent="0.3">
      <c r="A23287" s="20"/>
    </row>
    <row r="23288" spans="1:1" x14ac:dyDescent="0.3">
      <c r="A23288" s="20"/>
    </row>
    <row r="23289" spans="1:1" x14ac:dyDescent="0.3">
      <c r="A23289" s="20"/>
    </row>
    <row r="23290" spans="1:1" x14ac:dyDescent="0.3">
      <c r="A23290" s="20"/>
    </row>
    <row r="23291" spans="1:1" x14ac:dyDescent="0.3">
      <c r="A23291" s="20"/>
    </row>
    <row r="23292" spans="1:1" x14ac:dyDescent="0.3">
      <c r="A23292" s="20"/>
    </row>
    <row r="23293" spans="1:1" x14ac:dyDescent="0.3">
      <c r="A23293" s="20"/>
    </row>
    <row r="23294" spans="1:1" x14ac:dyDescent="0.3">
      <c r="A23294" s="20"/>
    </row>
    <row r="23295" spans="1:1" x14ac:dyDescent="0.3">
      <c r="A23295" s="20"/>
    </row>
    <row r="23296" spans="1:1" x14ac:dyDescent="0.3">
      <c r="A23296" s="20"/>
    </row>
    <row r="23297" spans="1:1" x14ac:dyDescent="0.3">
      <c r="A23297" s="20"/>
    </row>
    <row r="23298" spans="1:1" x14ac:dyDescent="0.3">
      <c r="A23298" s="20"/>
    </row>
    <row r="23299" spans="1:1" x14ac:dyDescent="0.3">
      <c r="A23299" s="20"/>
    </row>
    <row r="23300" spans="1:1" x14ac:dyDescent="0.3">
      <c r="A23300" s="20"/>
    </row>
    <row r="23301" spans="1:1" x14ac:dyDescent="0.3">
      <c r="A23301" s="20"/>
    </row>
    <row r="23302" spans="1:1" x14ac:dyDescent="0.3">
      <c r="A23302" s="20"/>
    </row>
    <row r="23303" spans="1:1" x14ac:dyDescent="0.3">
      <c r="A23303" s="20"/>
    </row>
    <row r="23304" spans="1:1" x14ac:dyDescent="0.3">
      <c r="A23304" s="20"/>
    </row>
    <row r="23305" spans="1:1" x14ac:dyDescent="0.3">
      <c r="A23305" s="20"/>
    </row>
    <row r="23306" spans="1:1" x14ac:dyDescent="0.3">
      <c r="A23306" s="20"/>
    </row>
    <row r="23307" spans="1:1" x14ac:dyDescent="0.3">
      <c r="A23307" s="20"/>
    </row>
    <row r="23308" spans="1:1" x14ac:dyDescent="0.3">
      <c r="A23308" s="20"/>
    </row>
    <row r="23309" spans="1:1" x14ac:dyDescent="0.3">
      <c r="A23309" s="20"/>
    </row>
    <row r="23310" spans="1:1" x14ac:dyDescent="0.3">
      <c r="A23310" s="20"/>
    </row>
    <row r="23311" spans="1:1" x14ac:dyDescent="0.3">
      <c r="A23311" s="20"/>
    </row>
    <row r="23312" spans="1:1" x14ac:dyDescent="0.3">
      <c r="A23312" s="20"/>
    </row>
    <row r="23313" spans="1:1" x14ac:dyDescent="0.3">
      <c r="A23313" s="20"/>
    </row>
    <row r="23314" spans="1:1" x14ac:dyDescent="0.3">
      <c r="A23314" s="20"/>
    </row>
    <row r="23315" spans="1:1" x14ac:dyDescent="0.3">
      <c r="A23315" s="20"/>
    </row>
    <row r="23316" spans="1:1" x14ac:dyDescent="0.3">
      <c r="A23316" s="20"/>
    </row>
    <row r="23317" spans="1:1" x14ac:dyDescent="0.3">
      <c r="A23317" s="20"/>
    </row>
    <row r="23318" spans="1:1" x14ac:dyDescent="0.3">
      <c r="A23318" s="20"/>
    </row>
    <row r="23319" spans="1:1" x14ac:dyDescent="0.3">
      <c r="A23319" s="20"/>
    </row>
    <row r="23320" spans="1:1" x14ac:dyDescent="0.3">
      <c r="A23320" s="20"/>
    </row>
    <row r="23321" spans="1:1" x14ac:dyDescent="0.3">
      <c r="A23321" s="20"/>
    </row>
    <row r="23322" spans="1:1" x14ac:dyDescent="0.3">
      <c r="A23322" s="20"/>
    </row>
    <row r="23323" spans="1:1" x14ac:dyDescent="0.3">
      <c r="A23323" s="20"/>
    </row>
    <row r="23324" spans="1:1" x14ac:dyDescent="0.3">
      <c r="A23324" s="20"/>
    </row>
    <row r="23325" spans="1:1" x14ac:dyDescent="0.3">
      <c r="A23325" s="20"/>
    </row>
    <row r="23326" spans="1:1" x14ac:dyDescent="0.3">
      <c r="A23326" s="20"/>
    </row>
    <row r="23327" spans="1:1" x14ac:dyDescent="0.3">
      <c r="A23327" s="20"/>
    </row>
    <row r="23328" spans="1:1" x14ac:dyDescent="0.3">
      <c r="A23328" s="20"/>
    </row>
    <row r="23329" spans="1:1" x14ac:dyDescent="0.3">
      <c r="A23329" s="20"/>
    </row>
    <row r="23330" spans="1:1" x14ac:dyDescent="0.3">
      <c r="A23330" s="20"/>
    </row>
    <row r="23331" spans="1:1" x14ac:dyDescent="0.3">
      <c r="A23331" s="20"/>
    </row>
    <row r="23332" spans="1:1" x14ac:dyDescent="0.3">
      <c r="A23332" s="20"/>
    </row>
    <row r="23333" spans="1:1" x14ac:dyDescent="0.3">
      <c r="A23333" s="20"/>
    </row>
    <row r="23334" spans="1:1" x14ac:dyDescent="0.3">
      <c r="A23334" s="20"/>
    </row>
    <row r="23335" spans="1:1" x14ac:dyDescent="0.3">
      <c r="A23335" s="20"/>
    </row>
    <row r="23336" spans="1:1" x14ac:dyDescent="0.3">
      <c r="A23336" s="20"/>
    </row>
    <row r="23337" spans="1:1" x14ac:dyDescent="0.3">
      <c r="A23337" s="20"/>
    </row>
    <row r="23338" spans="1:1" x14ac:dyDescent="0.3">
      <c r="A23338" s="20"/>
    </row>
    <row r="23339" spans="1:1" x14ac:dyDescent="0.3">
      <c r="A23339" s="20"/>
    </row>
    <row r="23340" spans="1:1" x14ac:dyDescent="0.3">
      <c r="A23340" s="20"/>
    </row>
    <row r="23341" spans="1:1" x14ac:dyDescent="0.3">
      <c r="A23341" s="20"/>
    </row>
    <row r="23342" spans="1:1" x14ac:dyDescent="0.3">
      <c r="A23342" s="20"/>
    </row>
    <row r="23343" spans="1:1" x14ac:dyDescent="0.3">
      <c r="A23343" s="20"/>
    </row>
    <row r="23344" spans="1:1" x14ac:dyDescent="0.3">
      <c r="A23344" s="20"/>
    </row>
    <row r="23345" spans="1:1" x14ac:dyDescent="0.3">
      <c r="A23345" s="20"/>
    </row>
    <row r="23346" spans="1:1" x14ac:dyDescent="0.3">
      <c r="A23346" s="20"/>
    </row>
    <row r="23347" spans="1:1" x14ac:dyDescent="0.3">
      <c r="A23347" s="20"/>
    </row>
    <row r="23348" spans="1:1" x14ac:dyDescent="0.3">
      <c r="A23348" s="20"/>
    </row>
    <row r="23349" spans="1:1" x14ac:dyDescent="0.3">
      <c r="A23349" s="20"/>
    </row>
    <row r="23350" spans="1:1" x14ac:dyDescent="0.3">
      <c r="A23350" s="20"/>
    </row>
    <row r="23351" spans="1:1" x14ac:dyDescent="0.3">
      <c r="A23351" s="20"/>
    </row>
    <row r="23352" spans="1:1" x14ac:dyDescent="0.3">
      <c r="A23352" s="20"/>
    </row>
    <row r="23353" spans="1:1" x14ac:dyDescent="0.3">
      <c r="A23353" s="20"/>
    </row>
    <row r="23354" spans="1:1" x14ac:dyDescent="0.3">
      <c r="A23354" s="20"/>
    </row>
    <row r="23355" spans="1:1" x14ac:dyDescent="0.3">
      <c r="A23355" s="20"/>
    </row>
    <row r="23356" spans="1:1" x14ac:dyDescent="0.3">
      <c r="A23356" s="20"/>
    </row>
    <row r="23357" spans="1:1" x14ac:dyDescent="0.3">
      <c r="A23357" s="20"/>
    </row>
    <row r="23358" spans="1:1" x14ac:dyDescent="0.3">
      <c r="A23358" s="20"/>
    </row>
    <row r="23359" spans="1:1" x14ac:dyDescent="0.3">
      <c r="A23359" s="20"/>
    </row>
    <row r="23360" spans="1:1" x14ac:dyDescent="0.3">
      <c r="A23360" s="20"/>
    </row>
    <row r="23361" spans="1:1" x14ac:dyDescent="0.3">
      <c r="A23361" s="20"/>
    </row>
    <row r="23362" spans="1:1" x14ac:dyDescent="0.3">
      <c r="A23362" s="20"/>
    </row>
    <row r="23363" spans="1:1" x14ac:dyDescent="0.3">
      <c r="A23363" s="20"/>
    </row>
    <row r="23364" spans="1:1" x14ac:dyDescent="0.3">
      <c r="A23364" s="20"/>
    </row>
    <row r="23365" spans="1:1" x14ac:dyDescent="0.3">
      <c r="A23365" s="20"/>
    </row>
    <row r="23366" spans="1:1" x14ac:dyDescent="0.3">
      <c r="A23366" s="20"/>
    </row>
    <row r="23367" spans="1:1" x14ac:dyDescent="0.3">
      <c r="A23367" s="20"/>
    </row>
    <row r="23368" spans="1:1" x14ac:dyDescent="0.3">
      <c r="A23368" s="20"/>
    </row>
    <row r="23369" spans="1:1" x14ac:dyDescent="0.3">
      <c r="A23369" s="20"/>
    </row>
    <row r="23370" spans="1:1" x14ac:dyDescent="0.3">
      <c r="A23370" s="20"/>
    </row>
    <row r="23371" spans="1:1" x14ac:dyDescent="0.3">
      <c r="A23371" s="20"/>
    </row>
    <row r="23372" spans="1:1" x14ac:dyDescent="0.3">
      <c r="A23372" s="20"/>
    </row>
    <row r="23373" spans="1:1" x14ac:dyDescent="0.3">
      <c r="A23373" s="20"/>
    </row>
    <row r="23374" spans="1:1" x14ac:dyDescent="0.3">
      <c r="A23374" s="20"/>
    </row>
    <row r="23375" spans="1:1" x14ac:dyDescent="0.3">
      <c r="A23375" s="20"/>
    </row>
    <row r="23376" spans="1:1" x14ac:dyDescent="0.3">
      <c r="A23376" s="20"/>
    </row>
    <row r="23377" spans="1:1" x14ac:dyDescent="0.3">
      <c r="A23377" s="20"/>
    </row>
    <row r="23378" spans="1:1" x14ac:dyDescent="0.3">
      <c r="A23378" s="20"/>
    </row>
    <row r="23379" spans="1:1" x14ac:dyDescent="0.3">
      <c r="A23379" s="20"/>
    </row>
    <row r="23380" spans="1:1" x14ac:dyDescent="0.3">
      <c r="A23380" s="20"/>
    </row>
    <row r="23381" spans="1:1" x14ac:dyDescent="0.3">
      <c r="A23381" s="20"/>
    </row>
    <row r="23382" spans="1:1" x14ac:dyDescent="0.3">
      <c r="A23382" s="20"/>
    </row>
    <row r="23383" spans="1:1" x14ac:dyDescent="0.3">
      <c r="A23383" s="20"/>
    </row>
    <row r="23384" spans="1:1" x14ac:dyDescent="0.3">
      <c r="A23384" s="20"/>
    </row>
    <row r="23385" spans="1:1" x14ac:dyDescent="0.3">
      <c r="A23385" s="20"/>
    </row>
    <row r="23386" spans="1:1" x14ac:dyDescent="0.3">
      <c r="A23386" s="20"/>
    </row>
    <row r="23387" spans="1:1" x14ac:dyDescent="0.3">
      <c r="A23387" s="20"/>
    </row>
    <row r="23388" spans="1:1" x14ac:dyDescent="0.3">
      <c r="A23388" s="20"/>
    </row>
    <row r="23389" spans="1:1" x14ac:dyDescent="0.3">
      <c r="A23389" s="20"/>
    </row>
    <row r="23390" spans="1:1" x14ac:dyDescent="0.3">
      <c r="A23390" s="20"/>
    </row>
    <row r="23391" spans="1:1" x14ac:dyDescent="0.3">
      <c r="A23391" s="20"/>
    </row>
    <row r="23392" spans="1:1" x14ac:dyDescent="0.3">
      <c r="A23392" s="20"/>
    </row>
    <row r="23393" spans="1:1" x14ac:dyDescent="0.3">
      <c r="A23393" s="20"/>
    </row>
    <row r="23394" spans="1:1" x14ac:dyDescent="0.3">
      <c r="A23394" s="20"/>
    </row>
    <row r="23395" spans="1:1" x14ac:dyDescent="0.3">
      <c r="A23395" s="20"/>
    </row>
    <row r="23396" spans="1:1" x14ac:dyDescent="0.3">
      <c r="A23396" s="20"/>
    </row>
    <row r="23397" spans="1:1" x14ac:dyDescent="0.3">
      <c r="A23397" s="20"/>
    </row>
    <row r="23398" spans="1:1" x14ac:dyDescent="0.3">
      <c r="A23398" s="20"/>
    </row>
    <row r="23399" spans="1:1" x14ac:dyDescent="0.3">
      <c r="A23399" s="20"/>
    </row>
    <row r="23400" spans="1:1" x14ac:dyDescent="0.3">
      <c r="A23400" s="20"/>
    </row>
    <row r="23401" spans="1:1" x14ac:dyDescent="0.3">
      <c r="A23401" s="20"/>
    </row>
    <row r="23402" spans="1:1" x14ac:dyDescent="0.3">
      <c r="A23402" s="20"/>
    </row>
    <row r="23403" spans="1:1" x14ac:dyDescent="0.3">
      <c r="A23403" s="20"/>
    </row>
    <row r="23404" spans="1:1" x14ac:dyDescent="0.3">
      <c r="A23404" s="20"/>
    </row>
    <row r="23405" spans="1:1" x14ac:dyDescent="0.3">
      <c r="A23405" s="20"/>
    </row>
    <row r="23406" spans="1:1" x14ac:dyDescent="0.3">
      <c r="A23406" s="20"/>
    </row>
    <row r="23407" spans="1:1" x14ac:dyDescent="0.3">
      <c r="A23407" s="20"/>
    </row>
    <row r="23408" spans="1:1" x14ac:dyDescent="0.3">
      <c r="A23408" s="20"/>
    </row>
    <row r="23409" spans="1:1" x14ac:dyDescent="0.3">
      <c r="A23409" s="20"/>
    </row>
    <row r="23410" spans="1:1" x14ac:dyDescent="0.3">
      <c r="A23410" s="20"/>
    </row>
    <row r="23411" spans="1:1" x14ac:dyDescent="0.3">
      <c r="A23411" s="20"/>
    </row>
    <row r="23412" spans="1:1" x14ac:dyDescent="0.3">
      <c r="A23412" s="20"/>
    </row>
    <row r="23413" spans="1:1" x14ac:dyDescent="0.3">
      <c r="A23413" s="20"/>
    </row>
    <row r="23414" spans="1:1" x14ac:dyDescent="0.3">
      <c r="A23414" s="20"/>
    </row>
    <row r="23415" spans="1:1" x14ac:dyDescent="0.3">
      <c r="A23415" s="20"/>
    </row>
    <row r="23416" spans="1:1" x14ac:dyDescent="0.3">
      <c r="A23416" s="20"/>
    </row>
    <row r="23417" spans="1:1" x14ac:dyDescent="0.3">
      <c r="A23417" s="20"/>
    </row>
    <row r="23418" spans="1:1" x14ac:dyDescent="0.3">
      <c r="A23418" s="20"/>
    </row>
    <row r="23419" spans="1:1" x14ac:dyDescent="0.3">
      <c r="A23419" s="20"/>
    </row>
    <row r="23420" spans="1:1" x14ac:dyDescent="0.3">
      <c r="A23420" s="20"/>
    </row>
    <row r="23421" spans="1:1" x14ac:dyDescent="0.3">
      <c r="A23421" s="20"/>
    </row>
    <row r="23422" spans="1:1" x14ac:dyDescent="0.3">
      <c r="A23422" s="20"/>
    </row>
    <row r="23423" spans="1:1" x14ac:dyDescent="0.3">
      <c r="A23423" s="20"/>
    </row>
    <row r="23424" spans="1:1" x14ac:dyDescent="0.3">
      <c r="A23424" s="20"/>
    </row>
    <row r="23425" spans="1:1" x14ac:dyDescent="0.3">
      <c r="A23425" s="20"/>
    </row>
    <row r="23426" spans="1:1" x14ac:dyDescent="0.3">
      <c r="A23426" s="20"/>
    </row>
    <row r="23427" spans="1:1" x14ac:dyDescent="0.3">
      <c r="A23427" s="20"/>
    </row>
    <row r="23428" spans="1:1" x14ac:dyDescent="0.3">
      <c r="A23428" s="20"/>
    </row>
    <row r="23429" spans="1:1" x14ac:dyDescent="0.3">
      <c r="A23429" s="20"/>
    </row>
    <row r="23430" spans="1:1" x14ac:dyDescent="0.3">
      <c r="A23430" s="20"/>
    </row>
    <row r="23431" spans="1:1" x14ac:dyDescent="0.3">
      <c r="A23431" s="20"/>
    </row>
    <row r="23432" spans="1:1" x14ac:dyDescent="0.3">
      <c r="A23432" s="20"/>
    </row>
    <row r="23433" spans="1:1" x14ac:dyDescent="0.3">
      <c r="A23433" s="20"/>
    </row>
    <row r="23434" spans="1:1" x14ac:dyDescent="0.3">
      <c r="A23434" s="20"/>
    </row>
    <row r="23435" spans="1:1" x14ac:dyDescent="0.3">
      <c r="A23435" s="20"/>
    </row>
    <row r="23436" spans="1:1" x14ac:dyDescent="0.3">
      <c r="A23436" s="20"/>
    </row>
    <row r="23437" spans="1:1" x14ac:dyDescent="0.3">
      <c r="A23437" s="20"/>
    </row>
    <row r="23438" spans="1:1" x14ac:dyDescent="0.3">
      <c r="A23438" s="20"/>
    </row>
    <row r="23439" spans="1:1" x14ac:dyDescent="0.3">
      <c r="A23439" s="20"/>
    </row>
    <row r="23440" spans="1:1" x14ac:dyDescent="0.3">
      <c r="A23440" s="20"/>
    </row>
    <row r="23441" spans="1:1" x14ac:dyDescent="0.3">
      <c r="A23441" s="20"/>
    </row>
    <row r="23442" spans="1:1" x14ac:dyDescent="0.3">
      <c r="A23442" s="20"/>
    </row>
    <row r="23443" spans="1:1" x14ac:dyDescent="0.3">
      <c r="A23443" s="20"/>
    </row>
    <row r="23444" spans="1:1" x14ac:dyDescent="0.3">
      <c r="A23444" s="20"/>
    </row>
    <row r="23445" spans="1:1" x14ac:dyDescent="0.3">
      <c r="A23445" s="20"/>
    </row>
    <row r="23446" spans="1:1" x14ac:dyDescent="0.3">
      <c r="A23446" s="20"/>
    </row>
    <row r="23447" spans="1:1" x14ac:dyDescent="0.3">
      <c r="A23447" s="20"/>
    </row>
    <row r="23448" spans="1:1" x14ac:dyDescent="0.3">
      <c r="A23448" s="20"/>
    </row>
    <row r="23449" spans="1:1" x14ac:dyDescent="0.3">
      <c r="A23449" s="20"/>
    </row>
    <row r="23450" spans="1:1" x14ac:dyDescent="0.3">
      <c r="A23450" s="20"/>
    </row>
    <row r="23451" spans="1:1" x14ac:dyDescent="0.3">
      <c r="A23451" s="20"/>
    </row>
    <row r="23452" spans="1:1" x14ac:dyDescent="0.3">
      <c r="A23452" s="20"/>
    </row>
    <row r="23453" spans="1:1" x14ac:dyDescent="0.3">
      <c r="A23453" s="20"/>
    </row>
    <row r="23454" spans="1:1" x14ac:dyDescent="0.3">
      <c r="A23454" s="20"/>
    </row>
    <row r="23455" spans="1:1" x14ac:dyDescent="0.3">
      <c r="A23455" s="20"/>
    </row>
    <row r="23456" spans="1:1" x14ac:dyDescent="0.3">
      <c r="A23456" s="20"/>
    </row>
    <row r="23457" spans="1:1" x14ac:dyDescent="0.3">
      <c r="A23457" s="20"/>
    </row>
    <row r="23458" spans="1:1" x14ac:dyDescent="0.3">
      <c r="A23458" s="20"/>
    </row>
    <row r="23459" spans="1:1" x14ac:dyDescent="0.3">
      <c r="A23459" s="20"/>
    </row>
    <row r="23460" spans="1:1" x14ac:dyDescent="0.3">
      <c r="A23460" s="20"/>
    </row>
    <row r="23461" spans="1:1" x14ac:dyDescent="0.3">
      <c r="A23461" s="20"/>
    </row>
    <row r="23462" spans="1:1" x14ac:dyDescent="0.3">
      <c r="A23462" s="20"/>
    </row>
    <row r="23463" spans="1:1" x14ac:dyDescent="0.3">
      <c r="A23463" s="20"/>
    </row>
    <row r="23464" spans="1:1" x14ac:dyDescent="0.3">
      <c r="A23464" s="20"/>
    </row>
    <row r="23465" spans="1:1" x14ac:dyDescent="0.3">
      <c r="A23465" s="20"/>
    </row>
    <row r="23466" spans="1:1" x14ac:dyDescent="0.3">
      <c r="A23466" s="20"/>
    </row>
    <row r="23467" spans="1:1" x14ac:dyDescent="0.3">
      <c r="A23467" s="20"/>
    </row>
    <row r="23468" spans="1:1" x14ac:dyDescent="0.3">
      <c r="A23468" s="20"/>
    </row>
    <row r="23469" spans="1:1" x14ac:dyDescent="0.3">
      <c r="A23469" s="20"/>
    </row>
    <row r="23470" spans="1:1" x14ac:dyDescent="0.3">
      <c r="A23470" s="20"/>
    </row>
    <row r="23471" spans="1:1" x14ac:dyDescent="0.3">
      <c r="A23471" s="20"/>
    </row>
    <row r="23472" spans="1:1" x14ac:dyDescent="0.3">
      <c r="A23472" s="20"/>
    </row>
    <row r="23473" spans="1:1" x14ac:dyDescent="0.3">
      <c r="A23473" s="20"/>
    </row>
    <row r="23474" spans="1:1" x14ac:dyDescent="0.3">
      <c r="A23474" s="20"/>
    </row>
    <row r="23475" spans="1:1" x14ac:dyDescent="0.3">
      <c r="A23475" s="20"/>
    </row>
    <row r="23476" spans="1:1" x14ac:dyDescent="0.3">
      <c r="A23476" s="20"/>
    </row>
    <row r="23477" spans="1:1" x14ac:dyDescent="0.3">
      <c r="A23477" s="20"/>
    </row>
    <row r="23478" spans="1:1" x14ac:dyDescent="0.3">
      <c r="A23478" s="20"/>
    </row>
    <row r="23479" spans="1:1" x14ac:dyDescent="0.3">
      <c r="A23479" s="20"/>
    </row>
    <row r="23480" spans="1:1" x14ac:dyDescent="0.3">
      <c r="A23480" s="20"/>
    </row>
    <row r="23481" spans="1:1" x14ac:dyDescent="0.3">
      <c r="A23481" s="20"/>
    </row>
    <row r="23482" spans="1:1" x14ac:dyDescent="0.3">
      <c r="A23482" s="20"/>
    </row>
    <row r="23483" spans="1:1" x14ac:dyDescent="0.3">
      <c r="A23483" s="20"/>
    </row>
    <row r="23484" spans="1:1" x14ac:dyDescent="0.3">
      <c r="A23484" s="20"/>
    </row>
    <row r="23485" spans="1:1" x14ac:dyDescent="0.3">
      <c r="A23485" s="20"/>
    </row>
    <row r="23486" spans="1:1" x14ac:dyDescent="0.3">
      <c r="A23486" s="20"/>
    </row>
    <row r="23487" spans="1:1" x14ac:dyDescent="0.3">
      <c r="A23487" s="20"/>
    </row>
    <row r="23488" spans="1:1" x14ac:dyDescent="0.3">
      <c r="A23488" s="20"/>
    </row>
    <row r="23489" spans="1:1" x14ac:dyDescent="0.3">
      <c r="A23489" s="20"/>
    </row>
    <row r="23490" spans="1:1" x14ac:dyDescent="0.3">
      <c r="A23490" s="20"/>
    </row>
    <row r="23491" spans="1:1" x14ac:dyDescent="0.3">
      <c r="A23491" s="20"/>
    </row>
    <row r="23492" spans="1:1" x14ac:dyDescent="0.3">
      <c r="A23492" s="20"/>
    </row>
    <row r="23493" spans="1:1" x14ac:dyDescent="0.3">
      <c r="A23493" s="20"/>
    </row>
    <row r="23494" spans="1:1" x14ac:dyDescent="0.3">
      <c r="A23494" s="20"/>
    </row>
    <row r="23495" spans="1:1" x14ac:dyDescent="0.3">
      <c r="A23495" s="20"/>
    </row>
    <row r="23496" spans="1:1" x14ac:dyDescent="0.3">
      <c r="A23496" s="20"/>
    </row>
    <row r="23497" spans="1:1" x14ac:dyDescent="0.3">
      <c r="A23497" s="20"/>
    </row>
    <row r="23498" spans="1:1" x14ac:dyDescent="0.3">
      <c r="A23498" s="20"/>
    </row>
    <row r="23499" spans="1:1" x14ac:dyDescent="0.3">
      <c r="A23499" s="20"/>
    </row>
    <row r="23500" spans="1:1" x14ac:dyDescent="0.3">
      <c r="A23500" s="20"/>
    </row>
    <row r="23501" spans="1:1" x14ac:dyDescent="0.3">
      <c r="A23501" s="20"/>
    </row>
    <row r="23502" spans="1:1" x14ac:dyDescent="0.3">
      <c r="A23502" s="20"/>
    </row>
    <row r="23503" spans="1:1" x14ac:dyDescent="0.3">
      <c r="A23503" s="20"/>
    </row>
    <row r="23504" spans="1:1" x14ac:dyDescent="0.3">
      <c r="A23504" s="20"/>
    </row>
    <row r="23505" spans="1:1" x14ac:dyDescent="0.3">
      <c r="A23505" s="20"/>
    </row>
    <row r="23506" spans="1:1" x14ac:dyDescent="0.3">
      <c r="A23506" s="20"/>
    </row>
    <row r="23507" spans="1:1" x14ac:dyDescent="0.3">
      <c r="A23507" s="20"/>
    </row>
    <row r="23508" spans="1:1" x14ac:dyDescent="0.3">
      <c r="A23508" s="20"/>
    </row>
    <row r="23509" spans="1:1" x14ac:dyDescent="0.3">
      <c r="A23509" s="20"/>
    </row>
    <row r="23510" spans="1:1" x14ac:dyDescent="0.3">
      <c r="A23510" s="20"/>
    </row>
    <row r="23511" spans="1:1" x14ac:dyDescent="0.3">
      <c r="A23511" s="20"/>
    </row>
    <row r="23512" spans="1:1" x14ac:dyDescent="0.3">
      <c r="A23512" s="20"/>
    </row>
    <row r="23513" spans="1:1" x14ac:dyDescent="0.3">
      <c r="A23513" s="20"/>
    </row>
    <row r="23514" spans="1:1" x14ac:dyDescent="0.3">
      <c r="A23514" s="20"/>
    </row>
    <row r="23515" spans="1:1" x14ac:dyDescent="0.3">
      <c r="A23515" s="20"/>
    </row>
    <row r="23516" spans="1:1" x14ac:dyDescent="0.3">
      <c r="A23516" s="20"/>
    </row>
    <row r="23517" spans="1:1" x14ac:dyDescent="0.3">
      <c r="A23517" s="20"/>
    </row>
    <row r="23518" spans="1:1" x14ac:dyDescent="0.3">
      <c r="A23518" s="20"/>
    </row>
    <row r="23519" spans="1:1" x14ac:dyDescent="0.3">
      <c r="A23519" s="20"/>
    </row>
    <row r="23520" spans="1:1" x14ac:dyDescent="0.3">
      <c r="A23520" s="20"/>
    </row>
    <row r="23521" spans="1:1" x14ac:dyDescent="0.3">
      <c r="A23521" s="20"/>
    </row>
    <row r="23522" spans="1:1" x14ac:dyDescent="0.3">
      <c r="A23522" s="20"/>
    </row>
    <row r="23523" spans="1:1" x14ac:dyDescent="0.3">
      <c r="A23523" s="20"/>
    </row>
    <row r="23524" spans="1:1" x14ac:dyDescent="0.3">
      <c r="A23524" s="20"/>
    </row>
    <row r="23525" spans="1:1" x14ac:dyDescent="0.3">
      <c r="A23525" s="20"/>
    </row>
    <row r="23526" spans="1:1" x14ac:dyDescent="0.3">
      <c r="A23526" s="20"/>
    </row>
    <row r="23527" spans="1:1" x14ac:dyDescent="0.3">
      <c r="A23527" s="20"/>
    </row>
    <row r="23528" spans="1:1" x14ac:dyDescent="0.3">
      <c r="A23528" s="20"/>
    </row>
    <row r="23529" spans="1:1" x14ac:dyDescent="0.3">
      <c r="A23529" s="20"/>
    </row>
    <row r="23530" spans="1:1" x14ac:dyDescent="0.3">
      <c r="A23530" s="20"/>
    </row>
    <row r="23531" spans="1:1" x14ac:dyDescent="0.3">
      <c r="A23531" s="20"/>
    </row>
    <row r="23532" spans="1:1" x14ac:dyDescent="0.3">
      <c r="A23532" s="20"/>
    </row>
    <row r="23533" spans="1:1" x14ac:dyDescent="0.3">
      <c r="A23533" s="20"/>
    </row>
    <row r="23534" spans="1:1" x14ac:dyDescent="0.3">
      <c r="A23534" s="20"/>
    </row>
    <row r="23535" spans="1:1" x14ac:dyDescent="0.3">
      <c r="A23535" s="20"/>
    </row>
    <row r="23536" spans="1:1" x14ac:dyDescent="0.3">
      <c r="A23536" s="20"/>
    </row>
    <row r="23537" spans="1:1" x14ac:dyDescent="0.3">
      <c r="A23537" s="20"/>
    </row>
    <row r="23538" spans="1:1" x14ac:dyDescent="0.3">
      <c r="A23538" s="20"/>
    </row>
    <row r="23539" spans="1:1" x14ac:dyDescent="0.3">
      <c r="A23539" s="20"/>
    </row>
    <row r="23540" spans="1:1" x14ac:dyDescent="0.3">
      <c r="A23540" s="20"/>
    </row>
    <row r="23541" spans="1:1" x14ac:dyDescent="0.3">
      <c r="A23541" s="20"/>
    </row>
    <row r="23542" spans="1:1" x14ac:dyDescent="0.3">
      <c r="A23542" s="20"/>
    </row>
    <row r="23543" spans="1:1" x14ac:dyDescent="0.3">
      <c r="A23543" s="20"/>
    </row>
    <row r="23544" spans="1:1" x14ac:dyDescent="0.3">
      <c r="A23544" s="20"/>
    </row>
    <row r="23545" spans="1:1" x14ac:dyDescent="0.3">
      <c r="A23545" s="20"/>
    </row>
    <row r="23546" spans="1:1" x14ac:dyDescent="0.3">
      <c r="A23546" s="20"/>
    </row>
    <row r="23547" spans="1:1" x14ac:dyDescent="0.3">
      <c r="A23547" s="20"/>
    </row>
    <row r="23548" spans="1:1" x14ac:dyDescent="0.3">
      <c r="A23548" s="20"/>
    </row>
    <row r="23549" spans="1:1" x14ac:dyDescent="0.3">
      <c r="A23549" s="20"/>
    </row>
    <row r="23550" spans="1:1" x14ac:dyDescent="0.3">
      <c r="A23550" s="20"/>
    </row>
    <row r="23551" spans="1:1" x14ac:dyDescent="0.3">
      <c r="A23551" s="20"/>
    </row>
    <row r="23552" spans="1:1" x14ac:dyDescent="0.3">
      <c r="A23552" s="20"/>
    </row>
    <row r="23553" spans="1:1" x14ac:dyDescent="0.3">
      <c r="A23553" s="20"/>
    </row>
    <row r="23554" spans="1:1" x14ac:dyDescent="0.3">
      <c r="A23554" s="20"/>
    </row>
    <row r="23555" spans="1:1" x14ac:dyDescent="0.3">
      <c r="A23555" s="20"/>
    </row>
    <row r="23556" spans="1:1" x14ac:dyDescent="0.3">
      <c r="A23556" s="20"/>
    </row>
    <row r="23557" spans="1:1" x14ac:dyDescent="0.3">
      <c r="A23557" s="20"/>
    </row>
    <row r="23558" spans="1:1" x14ac:dyDescent="0.3">
      <c r="A23558" s="20"/>
    </row>
    <row r="23559" spans="1:1" x14ac:dyDescent="0.3">
      <c r="A23559" s="20"/>
    </row>
    <row r="23560" spans="1:1" x14ac:dyDescent="0.3">
      <c r="A23560" s="20"/>
    </row>
    <row r="23561" spans="1:1" x14ac:dyDescent="0.3">
      <c r="A23561" s="20"/>
    </row>
    <row r="23562" spans="1:1" x14ac:dyDescent="0.3">
      <c r="A23562" s="20"/>
    </row>
    <row r="23563" spans="1:1" x14ac:dyDescent="0.3">
      <c r="A23563" s="20"/>
    </row>
    <row r="23564" spans="1:1" x14ac:dyDescent="0.3">
      <c r="A23564" s="20"/>
    </row>
    <row r="23565" spans="1:1" x14ac:dyDescent="0.3">
      <c r="A23565" s="20"/>
    </row>
    <row r="23566" spans="1:1" x14ac:dyDescent="0.3">
      <c r="A23566" s="20"/>
    </row>
    <row r="23567" spans="1:1" x14ac:dyDescent="0.3">
      <c r="A23567" s="20"/>
    </row>
    <row r="23568" spans="1:1" x14ac:dyDescent="0.3">
      <c r="A23568" s="20"/>
    </row>
    <row r="23569" spans="1:1" x14ac:dyDescent="0.3">
      <c r="A23569" s="20"/>
    </row>
    <row r="23570" spans="1:1" x14ac:dyDescent="0.3">
      <c r="A23570" s="20"/>
    </row>
    <row r="23571" spans="1:1" x14ac:dyDescent="0.3">
      <c r="A23571" s="20"/>
    </row>
    <row r="23572" spans="1:1" x14ac:dyDescent="0.3">
      <c r="A23572" s="20"/>
    </row>
    <row r="23573" spans="1:1" x14ac:dyDescent="0.3">
      <c r="A23573" s="20"/>
    </row>
    <row r="23574" spans="1:1" x14ac:dyDescent="0.3">
      <c r="A23574" s="20"/>
    </row>
    <row r="23575" spans="1:1" x14ac:dyDescent="0.3">
      <c r="A23575" s="20"/>
    </row>
    <row r="23576" spans="1:1" x14ac:dyDescent="0.3">
      <c r="A23576" s="20"/>
    </row>
    <row r="23577" spans="1:1" x14ac:dyDescent="0.3">
      <c r="A23577" s="20"/>
    </row>
    <row r="23578" spans="1:1" x14ac:dyDescent="0.3">
      <c r="A23578" s="20"/>
    </row>
    <row r="23579" spans="1:1" x14ac:dyDescent="0.3">
      <c r="A23579" s="20"/>
    </row>
    <row r="23580" spans="1:1" x14ac:dyDescent="0.3">
      <c r="A23580" s="20"/>
    </row>
    <row r="23581" spans="1:1" x14ac:dyDescent="0.3">
      <c r="A23581" s="20"/>
    </row>
    <row r="23582" spans="1:1" x14ac:dyDescent="0.3">
      <c r="A23582" s="20"/>
    </row>
    <row r="23583" spans="1:1" x14ac:dyDescent="0.3">
      <c r="A23583" s="20"/>
    </row>
    <row r="23584" spans="1:1" x14ac:dyDescent="0.3">
      <c r="A23584" s="20"/>
    </row>
    <row r="23585" spans="1:1" x14ac:dyDescent="0.3">
      <c r="A23585" s="20"/>
    </row>
    <row r="23586" spans="1:1" x14ac:dyDescent="0.3">
      <c r="A23586" s="20"/>
    </row>
    <row r="23587" spans="1:1" x14ac:dyDescent="0.3">
      <c r="A23587" s="20"/>
    </row>
    <row r="23588" spans="1:1" x14ac:dyDescent="0.3">
      <c r="A23588" s="20"/>
    </row>
    <row r="23589" spans="1:1" x14ac:dyDescent="0.3">
      <c r="A23589" s="20"/>
    </row>
    <row r="23590" spans="1:1" x14ac:dyDescent="0.3">
      <c r="A23590" s="20"/>
    </row>
    <row r="23591" spans="1:1" x14ac:dyDescent="0.3">
      <c r="A23591" s="20"/>
    </row>
    <row r="23592" spans="1:1" x14ac:dyDescent="0.3">
      <c r="A23592" s="20"/>
    </row>
    <row r="23593" spans="1:1" x14ac:dyDescent="0.3">
      <c r="A23593" s="20"/>
    </row>
    <row r="23594" spans="1:1" x14ac:dyDescent="0.3">
      <c r="A23594" s="20"/>
    </row>
    <row r="23595" spans="1:1" x14ac:dyDescent="0.3">
      <c r="A23595" s="20"/>
    </row>
    <row r="23596" spans="1:1" x14ac:dyDescent="0.3">
      <c r="A23596" s="20"/>
    </row>
    <row r="23597" spans="1:1" x14ac:dyDescent="0.3">
      <c r="A23597" s="20"/>
    </row>
    <row r="23598" spans="1:1" x14ac:dyDescent="0.3">
      <c r="A23598" s="20"/>
    </row>
    <row r="23599" spans="1:1" x14ac:dyDescent="0.3">
      <c r="A23599" s="20"/>
    </row>
    <row r="23600" spans="1:1" x14ac:dyDescent="0.3">
      <c r="A23600" s="20"/>
    </row>
    <row r="23601" spans="1:1" x14ac:dyDescent="0.3">
      <c r="A23601" s="20"/>
    </row>
    <row r="23602" spans="1:1" x14ac:dyDescent="0.3">
      <c r="A23602" s="20"/>
    </row>
    <row r="23603" spans="1:1" x14ac:dyDescent="0.3">
      <c r="A23603" s="20"/>
    </row>
    <row r="23604" spans="1:1" x14ac:dyDescent="0.3">
      <c r="A23604" s="20"/>
    </row>
    <row r="23605" spans="1:1" x14ac:dyDescent="0.3">
      <c r="A23605" s="20"/>
    </row>
    <row r="23606" spans="1:1" x14ac:dyDescent="0.3">
      <c r="A23606" s="20"/>
    </row>
    <row r="23607" spans="1:1" x14ac:dyDescent="0.3">
      <c r="A23607" s="20"/>
    </row>
    <row r="23608" spans="1:1" x14ac:dyDescent="0.3">
      <c r="A23608" s="20"/>
    </row>
    <row r="23609" spans="1:1" x14ac:dyDescent="0.3">
      <c r="A23609" s="20"/>
    </row>
    <row r="23610" spans="1:1" x14ac:dyDescent="0.3">
      <c r="A23610" s="20"/>
    </row>
    <row r="23611" spans="1:1" x14ac:dyDescent="0.3">
      <c r="A23611" s="20"/>
    </row>
    <row r="23612" spans="1:1" x14ac:dyDescent="0.3">
      <c r="A23612" s="20"/>
    </row>
    <row r="23613" spans="1:1" x14ac:dyDescent="0.3">
      <c r="A23613" s="20"/>
    </row>
    <row r="23614" spans="1:1" x14ac:dyDescent="0.3">
      <c r="A23614" s="20"/>
    </row>
    <row r="23615" spans="1:1" x14ac:dyDescent="0.3">
      <c r="A23615" s="20"/>
    </row>
    <row r="23616" spans="1:1" x14ac:dyDescent="0.3">
      <c r="A23616" s="20"/>
    </row>
    <row r="23617" spans="1:1" x14ac:dyDescent="0.3">
      <c r="A23617" s="20"/>
    </row>
    <row r="23618" spans="1:1" x14ac:dyDescent="0.3">
      <c r="A23618" s="20"/>
    </row>
    <row r="23619" spans="1:1" x14ac:dyDescent="0.3">
      <c r="A23619" s="20"/>
    </row>
    <row r="23620" spans="1:1" x14ac:dyDescent="0.3">
      <c r="A23620" s="20"/>
    </row>
    <row r="23621" spans="1:1" x14ac:dyDescent="0.3">
      <c r="A23621" s="20"/>
    </row>
    <row r="23622" spans="1:1" x14ac:dyDescent="0.3">
      <c r="A23622" s="20"/>
    </row>
    <row r="23623" spans="1:1" x14ac:dyDescent="0.3">
      <c r="A23623" s="20"/>
    </row>
    <row r="23624" spans="1:1" x14ac:dyDescent="0.3">
      <c r="A23624" s="20"/>
    </row>
    <row r="23625" spans="1:1" x14ac:dyDescent="0.3">
      <c r="A23625" s="20"/>
    </row>
    <row r="23626" spans="1:1" x14ac:dyDescent="0.3">
      <c r="A23626" s="20"/>
    </row>
    <row r="23627" spans="1:1" x14ac:dyDescent="0.3">
      <c r="A23627" s="20"/>
    </row>
    <row r="23628" spans="1:1" x14ac:dyDescent="0.3">
      <c r="A23628" s="20"/>
    </row>
    <row r="23629" spans="1:1" x14ac:dyDescent="0.3">
      <c r="A23629" s="20"/>
    </row>
    <row r="23630" spans="1:1" x14ac:dyDescent="0.3">
      <c r="A23630" s="20"/>
    </row>
    <row r="23631" spans="1:1" x14ac:dyDescent="0.3">
      <c r="A23631" s="20"/>
    </row>
    <row r="23632" spans="1:1" x14ac:dyDescent="0.3">
      <c r="A23632" s="20"/>
    </row>
    <row r="23633" spans="1:1" x14ac:dyDescent="0.3">
      <c r="A23633" s="20"/>
    </row>
    <row r="23634" spans="1:1" x14ac:dyDescent="0.3">
      <c r="A23634" s="20"/>
    </row>
    <row r="23635" spans="1:1" x14ac:dyDescent="0.3">
      <c r="A23635" s="20"/>
    </row>
    <row r="23636" spans="1:1" x14ac:dyDescent="0.3">
      <c r="A23636" s="20"/>
    </row>
    <row r="23637" spans="1:1" x14ac:dyDescent="0.3">
      <c r="A23637" s="20"/>
    </row>
    <row r="23638" spans="1:1" x14ac:dyDescent="0.3">
      <c r="A23638" s="20"/>
    </row>
    <row r="23639" spans="1:1" x14ac:dyDescent="0.3">
      <c r="A23639" s="20"/>
    </row>
    <row r="23640" spans="1:1" x14ac:dyDescent="0.3">
      <c r="A23640" s="20"/>
    </row>
    <row r="23641" spans="1:1" x14ac:dyDescent="0.3">
      <c r="A23641" s="20"/>
    </row>
    <row r="23642" spans="1:1" x14ac:dyDescent="0.3">
      <c r="A23642" s="20"/>
    </row>
    <row r="23643" spans="1:1" x14ac:dyDescent="0.3">
      <c r="A23643" s="20"/>
    </row>
    <row r="23644" spans="1:1" x14ac:dyDescent="0.3">
      <c r="A23644" s="20"/>
    </row>
    <row r="23645" spans="1:1" x14ac:dyDescent="0.3">
      <c r="A23645" s="20"/>
    </row>
    <row r="23646" spans="1:1" x14ac:dyDescent="0.3">
      <c r="A23646" s="20"/>
    </row>
    <row r="23647" spans="1:1" x14ac:dyDescent="0.3">
      <c r="A23647" s="20"/>
    </row>
    <row r="23648" spans="1:1" x14ac:dyDescent="0.3">
      <c r="A23648" s="20"/>
    </row>
    <row r="23649" spans="1:1" x14ac:dyDescent="0.3">
      <c r="A23649" s="20"/>
    </row>
    <row r="23650" spans="1:1" x14ac:dyDescent="0.3">
      <c r="A23650" s="20"/>
    </row>
    <row r="23651" spans="1:1" x14ac:dyDescent="0.3">
      <c r="A23651" s="20"/>
    </row>
    <row r="23652" spans="1:1" x14ac:dyDescent="0.3">
      <c r="A23652" s="20"/>
    </row>
    <row r="23653" spans="1:1" x14ac:dyDescent="0.3">
      <c r="A23653" s="20"/>
    </row>
    <row r="23654" spans="1:1" x14ac:dyDescent="0.3">
      <c r="A23654" s="20"/>
    </row>
    <row r="23655" spans="1:1" x14ac:dyDescent="0.3">
      <c r="A23655" s="20"/>
    </row>
    <row r="23656" spans="1:1" x14ac:dyDescent="0.3">
      <c r="A23656" s="20"/>
    </row>
    <row r="23657" spans="1:1" x14ac:dyDescent="0.3">
      <c r="A23657" s="20"/>
    </row>
    <row r="23658" spans="1:1" x14ac:dyDescent="0.3">
      <c r="A23658" s="20"/>
    </row>
    <row r="23659" spans="1:1" x14ac:dyDescent="0.3">
      <c r="A23659" s="20"/>
    </row>
    <row r="23660" spans="1:1" x14ac:dyDescent="0.3">
      <c r="A23660" s="20"/>
    </row>
    <row r="23661" spans="1:1" x14ac:dyDescent="0.3">
      <c r="A23661" s="20"/>
    </row>
    <row r="23662" spans="1:1" x14ac:dyDescent="0.3">
      <c r="A23662" s="20"/>
    </row>
    <row r="23663" spans="1:1" x14ac:dyDescent="0.3">
      <c r="A23663" s="20"/>
    </row>
    <row r="23664" spans="1:1" x14ac:dyDescent="0.3">
      <c r="A23664" s="20"/>
    </row>
    <row r="23665" spans="1:1" x14ac:dyDescent="0.3">
      <c r="A23665" s="20"/>
    </row>
    <row r="23666" spans="1:1" x14ac:dyDescent="0.3">
      <c r="A23666" s="20"/>
    </row>
    <row r="23667" spans="1:1" x14ac:dyDescent="0.3">
      <c r="A23667" s="20"/>
    </row>
    <row r="23668" spans="1:1" x14ac:dyDescent="0.3">
      <c r="A23668" s="20"/>
    </row>
    <row r="23669" spans="1:1" x14ac:dyDescent="0.3">
      <c r="A23669" s="20"/>
    </row>
    <row r="23670" spans="1:1" x14ac:dyDescent="0.3">
      <c r="A23670" s="20"/>
    </row>
    <row r="23671" spans="1:1" x14ac:dyDescent="0.3">
      <c r="A23671" s="20"/>
    </row>
    <row r="23672" spans="1:1" x14ac:dyDescent="0.3">
      <c r="A23672" s="20"/>
    </row>
    <row r="23673" spans="1:1" x14ac:dyDescent="0.3">
      <c r="A23673" s="20"/>
    </row>
    <row r="23674" spans="1:1" x14ac:dyDescent="0.3">
      <c r="A23674" s="20"/>
    </row>
    <row r="23675" spans="1:1" x14ac:dyDescent="0.3">
      <c r="A23675" s="20"/>
    </row>
    <row r="23676" spans="1:1" x14ac:dyDescent="0.3">
      <c r="A23676" s="20"/>
    </row>
    <row r="23677" spans="1:1" x14ac:dyDescent="0.3">
      <c r="A23677" s="20"/>
    </row>
    <row r="23678" spans="1:1" x14ac:dyDescent="0.3">
      <c r="A23678" s="20"/>
    </row>
    <row r="23679" spans="1:1" x14ac:dyDescent="0.3">
      <c r="A23679" s="20"/>
    </row>
    <row r="23680" spans="1:1" x14ac:dyDescent="0.3">
      <c r="A23680" s="20"/>
    </row>
    <row r="23681" spans="1:1" x14ac:dyDescent="0.3">
      <c r="A23681" s="20"/>
    </row>
    <row r="23682" spans="1:1" x14ac:dyDescent="0.3">
      <c r="A23682" s="20"/>
    </row>
    <row r="23683" spans="1:1" x14ac:dyDescent="0.3">
      <c r="A23683" s="20"/>
    </row>
    <row r="23684" spans="1:1" x14ac:dyDescent="0.3">
      <c r="A23684" s="20"/>
    </row>
    <row r="23685" spans="1:1" x14ac:dyDescent="0.3">
      <c r="A23685" s="20"/>
    </row>
    <row r="23686" spans="1:1" x14ac:dyDescent="0.3">
      <c r="A23686" s="20"/>
    </row>
    <row r="23687" spans="1:1" x14ac:dyDescent="0.3">
      <c r="A23687" s="20"/>
    </row>
    <row r="23688" spans="1:1" x14ac:dyDescent="0.3">
      <c r="A23688" s="20"/>
    </row>
    <row r="23689" spans="1:1" x14ac:dyDescent="0.3">
      <c r="A23689" s="20"/>
    </row>
    <row r="23690" spans="1:1" x14ac:dyDescent="0.3">
      <c r="A23690" s="20"/>
    </row>
    <row r="23691" spans="1:1" x14ac:dyDescent="0.3">
      <c r="A23691" s="20"/>
    </row>
    <row r="23692" spans="1:1" x14ac:dyDescent="0.3">
      <c r="A23692" s="20"/>
    </row>
    <row r="23693" spans="1:1" x14ac:dyDescent="0.3">
      <c r="A23693" s="20"/>
    </row>
    <row r="23694" spans="1:1" x14ac:dyDescent="0.3">
      <c r="A23694" s="20"/>
    </row>
    <row r="23695" spans="1:1" x14ac:dyDescent="0.3">
      <c r="A23695" s="20"/>
    </row>
    <row r="23696" spans="1:1" x14ac:dyDescent="0.3">
      <c r="A23696" s="20"/>
    </row>
    <row r="23697" spans="1:1" x14ac:dyDescent="0.3">
      <c r="A23697" s="20"/>
    </row>
    <row r="23698" spans="1:1" x14ac:dyDescent="0.3">
      <c r="A23698" s="20"/>
    </row>
    <row r="23699" spans="1:1" x14ac:dyDescent="0.3">
      <c r="A23699" s="20"/>
    </row>
    <row r="23700" spans="1:1" x14ac:dyDescent="0.3">
      <c r="A23700" s="20"/>
    </row>
    <row r="23701" spans="1:1" x14ac:dyDescent="0.3">
      <c r="A23701" s="20"/>
    </row>
    <row r="23702" spans="1:1" x14ac:dyDescent="0.3">
      <c r="A23702" s="20"/>
    </row>
    <row r="23703" spans="1:1" x14ac:dyDescent="0.3">
      <c r="A23703" s="20"/>
    </row>
    <row r="23704" spans="1:1" x14ac:dyDescent="0.3">
      <c r="A23704" s="20"/>
    </row>
    <row r="23705" spans="1:1" x14ac:dyDescent="0.3">
      <c r="A23705" s="20"/>
    </row>
    <row r="23706" spans="1:1" x14ac:dyDescent="0.3">
      <c r="A23706" s="20"/>
    </row>
    <row r="23707" spans="1:1" x14ac:dyDescent="0.3">
      <c r="A23707" s="20"/>
    </row>
    <row r="23708" spans="1:1" x14ac:dyDescent="0.3">
      <c r="A23708" s="20"/>
    </row>
    <row r="23709" spans="1:1" x14ac:dyDescent="0.3">
      <c r="A23709" s="20"/>
    </row>
    <row r="23710" spans="1:1" x14ac:dyDescent="0.3">
      <c r="A23710" s="20"/>
    </row>
    <row r="23711" spans="1:1" x14ac:dyDescent="0.3">
      <c r="A23711" s="20"/>
    </row>
    <row r="23712" spans="1:1" x14ac:dyDescent="0.3">
      <c r="A23712" s="20"/>
    </row>
    <row r="23713" spans="1:1" x14ac:dyDescent="0.3">
      <c r="A23713" s="20"/>
    </row>
    <row r="23714" spans="1:1" x14ac:dyDescent="0.3">
      <c r="A23714" s="20"/>
    </row>
    <row r="23715" spans="1:1" x14ac:dyDescent="0.3">
      <c r="A23715" s="20"/>
    </row>
    <row r="23716" spans="1:1" x14ac:dyDescent="0.3">
      <c r="A23716" s="20"/>
    </row>
    <row r="23717" spans="1:1" x14ac:dyDescent="0.3">
      <c r="A23717" s="20"/>
    </row>
    <row r="23718" spans="1:1" x14ac:dyDescent="0.3">
      <c r="A23718" s="20"/>
    </row>
    <row r="23719" spans="1:1" x14ac:dyDescent="0.3">
      <c r="A23719" s="20"/>
    </row>
    <row r="23720" spans="1:1" x14ac:dyDescent="0.3">
      <c r="A23720" s="20"/>
    </row>
    <row r="23721" spans="1:1" x14ac:dyDescent="0.3">
      <c r="A23721" s="20"/>
    </row>
    <row r="23722" spans="1:1" x14ac:dyDescent="0.3">
      <c r="A23722" s="20"/>
    </row>
    <row r="23723" spans="1:1" x14ac:dyDescent="0.3">
      <c r="A23723" s="20"/>
    </row>
    <row r="23724" spans="1:1" x14ac:dyDescent="0.3">
      <c r="A23724" s="20"/>
    </row>
    <row r="23725" spans="1:1" x14ac:dyDescent="0.3">
      <c r="A23725" s="20"/>
    </row>
    <row r="23726" spans="1:1" x14ac:dyDescent="0.3">
      <c r="A23726" s="20"/>
    </row>
    <row r="23727" spans="1:1" x14ac:dyDescent="0.3">
      <c r="A23727" s="20"/>
    </row>
    <row r="23728" spans="1:1" x14ac:dyDescent="0.3">
      <c r="A23728" s="20"/>
    </row>
    <row r="23729" spans="1:1" x14ac:dyDescent="0.3">
      <c r="A23729" s="20"/>
    </row>
    <row r="23730" spans="1:1" x14ac:dyDescent="0.3">
      <c r="A23730" s="20"/>
    </row>
    <row r="23731" spans="1:1" x14ac:dyDescent="0.3">
      <c r="A23731" s="20"/>
    </row>
    <row r="23732" spans="1:1" x14ac:dyDescent="0.3">
      <c r="A23732" s="20"/>
    </row>
    <row r="23733" spans="1:1" x14ac:dyDescent="0.3">
      <c r="A23733" s="20"/>
    </row>
    <row r="23734" spans="1:1" x14ac:dyDescent="0.3">
      <c r="A23734" s="20"/>
    </row>
    <row r="23735" spans="1:1" x14ac:dyDescent="0.3">
      <c r="A23735" s="20"/>
    </row>
    <row r="23736" spans="1:1" x14ac:dyDescent="0.3">
      <c r="A23736" s="20"/>
    </row>
    <row r="23737" spans="1:1" x14ac:dyDescent="0.3">
      <c r="A23737" s="20"/>
    </row>
    <row r="23738" spans="1:1" x14ac:dyDescent="0.3">
      <c r="A23738" s="20"/>
    </row>
    <row r="23739" spans="1:1" x14ac:dyDescent="0.3">
      <c r="A23739" s="20"/>
    </row>
    <row r="23740" spans="1:1" x14ac:dyDescent="0.3">
      <c r="A23740" s="20"/>
    </row>
    <row r="23741" spans="1:1" x14ac:dyDescent="0.3">
      <c r="A23741" s="20"/>
    </row>
    <row r="23742" spans="1:1" x14ac:dyDescent="0.3">
      <c r="A23742" s="20"/>
    </row>
    <row r="23743" spans="1:1" x14ac:dyDescent="0.3">
      <c r="A23743" s="20"/>
    </row>
    <row r="23744" spans="1:1" x14ac:dyDescent="0.3">
      <c r="A23744" s="20"/>
    </row>
    <row r="23745" spans="1:1" x14ac:dyDescent="0.3">
      <c r="A23745" s="20"/>
    </row>
    <row r="23746" spans="1:1" x14ac:dyDescent="0.3">
      <c r="A23746" s="20"/>
    </row>
    <row r="23747" spans="1:1" x14ac:dyDescent="0.3">
      <c r="A23747" s="20"/>
    </row>
    <row r="23748" spans="1:1" x14ac:dyDescent="0.3">
      <c r="A23748" s="20"/>
    </row>
    <row r="23749" spans="1:1" x14ac:dyDescent="0.3">
      <c r="A23749" s="20"/>
    </row>
    <row r="23750" spans="1:1" x14ac:dyDescent="0.3">
      <c r="A23750" s="20"/>
    </row>
    <row r="23751" spans="1:1" x14ac:dyDescent="0.3">
      <c r="A23751" s="20"/>
    </row>
    <row r="23752" spans="1:1" x14ac:dyDescent="0.3">
      <c r="A23752" s="20"/>
    </row>
    <row r="23753" spans="1:1" x14ac:dyDescent="0.3">
      <c r="A23753" s="20"/>
    </row>
    <row r="23754" spans="1:1" x14ac:dyDescent="0.3">
      <c r="A23754" s="20"/>
    </row>
    <row r="23755" spans="1:1" x14ac:dyDescent="0.3">
      <c r="A23755" s="20"/>
    </row>
    <row r="23756" spans="1:1" x14ac:dyDescent="0.3">
      <c r="A23756" s="20"/>
    </row>
    <row r="23757" spans="1:1" x14ac:dyDescent="0.3">
      <c r="A23757" s="20"/>
    </row>
    <row r="23758" spans="1:1" x14ac:dyDescent="0.3">
      <c r="A23758" s="20"/>
    </row>
    <row r="23759" spans="1:1" x14ac:dyDescent="0.3">
      <c r="A23759" s="20"/>
    </row>
    <row r="23760" spans="1:1" x14ac:dyDescent="0.3">
      <c r="A23760" s="20"/>
    </row>
    <row r="23761" spans="1:1" x14ac:dyDescent="0.3">
      <c r="A23761" s="20"/>
    </row>
    <row r="23762" spans="1:1" x14ac:dyDescent="0.3">
      <c r="A23762" s="20"/>
    </row>
    <row r="23763" spans="1:1" x14ac:dyDescent="0.3">
      <c r="A23763" s="20"/>
    </row>
    <row r="23764" spans="1:1" x14ac:dyDescent="0.3">
      <c r="A23764" s="20"/>
    </row>
    <row r="23765" spans="1:1" x14ac:dyDescent="0.3">
      <c r="A23765" s="20"/>
    </row>
    <row r="23766" spans="1:1" x14ac:dyDescent="0.3">
      <c r="A23766" s="20"/>
    </row>
    <row r="23767" spans="1:1" x14ac:dyDescent="0.3">
      <c r="A23767" s="20"/>
    </row>
    <row r="23768" spans="1:1" x14ac:dyDescent="0.3">
      <c r="A23768" s="20"/>
    </row>
    <row r="23769" spans="1:1" x14ac:dyDescent="0.3">
      <c r="A23769" s="20"/>
    </row>
    <row r="23770" spans="1:1" x14ac:dyDescent="0.3">
      <c r="A23770" s="20"/>
    </row>
    <row r="23771" spans="1:1" x14ac:dyDescent="0.3">
      <c r="A23771" s="20"/>
    </row>
    <row r="23772" spans="1:1" x14ac:dyDescent="0.3">
      <c r="A23772" s="20"/>
    </row>
    <row r="23773" spans="1:1" x14ac:dyDescent="0.3">
      <c r="A23773" s="20"/>
    </row>
    <row r="23774" spans="1:1" x14ac:dyDescent="0.3">
      <c r="A23774" s="20"/>
    </row>
    <row r="23775" spans="1:1" x14ac:dyDescent="0.3">
      <c r="A23775" s="20"/>
    </row>
    <row r="23776" spans="1:1" x14ac:dyDescent="0.3">
      <c r="A23776" s="20"/>
    </row>
    <row r="23777" spans="1:1" x14ac:dyDescent="0.3">
      <c r="A23777" s="20"/>
    </row>
    <row r="23778" spans="1:1" x14ac:dyDescent="0.3">
      <c r="A23778" s="20"/>
    </row>
    <row r="23779" spans="1:1" x14ac:dyDescent="0.3">
      <c r="A23779" s="20"/>
    </row>
    <row r="23780" spans="1:1" x14ac:dyDescent="0.3">
      <c r="A23780" s="20"/>
    </row>
    <row r="23781" spans="1:1" x14ac:dyDescent="0.3">
      <c r="A23781" s="20"/>
    </row>
    <row r="23782" spans="1:1" x14ac:dyDescent="0.3">
      <c r="A23782" s="20"/>
    </row>
    <row r="23783" spans="1:1" x14ac:dyDescent="0.3">
      <c r="A23783" s="20"/>
    </row>
    <row r="23784" spans="1:1" x14ac:dyDescent="0.3">
      <c r="A23784" s="20"/>
    </row>
    <row r="23785" spans="1:1" x14ac:dyDescent="0.3">
      <c r="A23785" s="20"/>
    </row>
    <row r="23786" spans="1:1" x14ac:dyDescent="0.3">
      <c r="A23786" s="20"/>
    </row>
    <row r="23787" spans="1:1" x14ac:dyDescent="0.3">
      <c r="A23787" s="20"/>
    </row>
    <row r="23788" spans="1:1" x14ac:dyDescent="0.3">
      <c r="A23788" s="20"/>
    </row>
    <row r="23789" spans="1:1" x14ac:dyDescent="0.3">
      <c r="A23789" s="20"/>
    </row>
    <row r="23790" spans="1:1" x14ac:dyDescent="0.3">
      <c r="A23790" s="20"/>
    </row>
    <row r="23791" spans="1:1" x14ac:dyDescent="0.3">
      <c r="A23791" s="20"/>
    </row>
    <row r="23792" spans="1:1" x14ac:dyDescent="0.3">
      <c r="A23792" s="20"/>
    </row>
    <row r="23793" spans="1:1" x14ac:dyDescent="0.3">
      <c r="A23793" s="20"/>
    </row>
    <row r="23794" spans="1:1" x14ac:dyDescent="0.3">
      <c r="A23794" s="20"/>
    </row>
    <row r="23795" spans="1:1" x14ac:dyDescent="0.3">
      <c r="A23795" s="20"/>
    </row>
    <row r="23796" spans="1:1" x14ac:dyDescent="0.3">
      <c r="A23796" s="20"/>
    </row>
    <row r="23797" spans="1:1" x14ac:dyDescent="0.3">
      <c r="A23797" s="20"/>
    </row>
    <row r="23798" spans="1:1" x14ac:dyDescent="0.3">
      <c r="A23798" s="20"/>
    </row>
    <row r="23799" spans="1:1" x14ac:dyDescent="0.3">
      <c r="A23799" s="20"/>
    </row>
    <row r="23800" spans="1:1" x14ac:dyDescent="0.3">
      <c r="A23800" s="20"/>
    </row>
    <row r="23801" spans="1:1" x14ac:dyDescent="0.3">
      <c r="A23801" s="20"/>
    </row>
    <row r="23802" spans="1:1" x14ac:dyDescent="0.3">
      <c r="A23802" s="20"/>
    </row>
    <row r="23803" spans="1:1" x14ac:dyDescent="0.3">
      <c r="A23803" s="20"/>
    </row>
    <row r="23804" spans="1:1" x14ac:dyDescent="0.3">
      <c r="A23804" s="20"/>
    </row>
    <row r="23805" spans="1:1" x14ac:dyDescent="0.3">
      <c r="A23805" s="20"/>
    </row>
    <row r="23806" spans="1:1" x14ac:dyDescent="0.3">
      <c r="A23806" s="20"/>
    </row>
    <row r="23807" spans="1:1" x14ac:dyDescent="0.3">
      <c r="A23807" s="20"/>
    </row>
    <row r="23808" spans="1:1" x14ac:dyDescent="0.3">
      <c r="A23808" s="20"/>
    </row>
    <row r="23809" spans="1:1" x14ac:dyDescent="0.3">
      <c r="A23809" s="20"/>
    </row>
    <row r="23810" spans="1:1" x14ac:dyDescent="0.3">
      <c r="A23810" s="20"/>
    </row>
    <row r="23811" spans="1:1" x14ac:dyDescent="0.3">
      <c r="A23811" s="20"/>
    </row>
    <row r="23812" spans="1:1" x14ac:dyDescent="0.3">
      <c r="A23812" s="20"/>
    </row>
    <row r="23813" spans="1:1" x14ac:dyDescent="0.3">
      <c r="A23813" s="20"/>
    </row>
    <row r="23814" spans="1:1" x14ac:dyDescent="0.3">
      <c r="A23814" s="20"/>
    </row>
    <row r="23815" spans="1:1" x14ac:dyDescent="0.3">
      <c r="A23815" s="20"/>
    </row>
    <row r="23816" spans="1:1" x14ac:dyDescent="0.3">
      <c r="A23816" s="20"/>
    </row>
    <row r="23817" spans="1:1" x14ac:dyDescent="0.3">
      <c r="A23817" s="20"/>
    </row>
    <row r="23818" spans="1:1" x14ac:dyDescent="0.3">
      <c r="A23818" s="20"/>
    </row>
    <row r="23819" spans="1:1" x14ac:dyDescent="0.3">
      <c r="A23819" s="20"/>
    </row>
    <row r="23820" spans="1:1" x14ac:dyDescent="0.3">
      <c r="A23820" s="20"/>
    </row>
    <row r="23821" spans="1:1" x14ac:dyDescent="0.3">
      <c r="A23821" s="20"/>
    </row>
    <row r="23822" spans="1:1" x14ac:dyDescent="0.3">
      <c r="A23822" s="20"/>
    </row>
    <row r="23823" spans="1:1" x14ac:dyDescent="0.3">
      <c r="A23823" s="20"/>
    </row>
    <row r="23824" spans="1:1" x14ac:dyDescent="0.3">
      <c r="A23824" s="20"/>
    </row>
    <row r="23825" spans="1:1" x14ac:dyDescent="0.3">
      <c r="A23825" s="20"/>
    </row>
    <row r="23826" spans="1:1" x14ac:dyDescent="0.3">
      <c r="A23826" s="20"/>
    </row>
    <row r="23827" spans="1:1" x14ac:dyDescent="0.3">
      <c r="A23827" s="20"/>
    </row>
    <row r="23828" spans="1:1" x14ac:dyDescent="0.3">
      <c r="A23828" s="20"/>
    </row>
    <row r="23829" spans="1:1" x14ac:dyDescent="0.3">
      <c r="A23829" s="20"/>
    </row>
    <row r="23830" spans="1:1" x14ac:dyDescent="0.3">
      <c r="A23830" s="20"/>
    </row>
    <row r="23831" spans="1:1" x14ac:dyDescent="0.3">
      <c r="A23831" s="20"/>
    </row>
    <row r="23832" spans="1:1" x14ac:dyDescent="0.3">
      <c r="A23832" s="20"/>
    </row>
    <row r="23833" spans="1:1" x14ac:dyDescent="0.3">
      <c r="A23833" s="20"/>
    </row>
    <row r="23834" spans="1:1" x14ac:dyDescent="0.3">
      <c r="A23834" s="20"/>
    </row>
    <row r="23835" spans="1:1" x14ac:dyDescent="0.3">
      <c r="A23835" s="20"/>
    </row>
    <row r="23836" spans="1:1" x14ac:dyDescent="0.3">
      <c r="A23836" s="20"/>
    </row>
    <row r="23837" spans="1:1" x14ac:dyDescent="0.3">
      <c r="A23837" s="20"/>
    </row>
    <row r="23838" spans="1:1" x14ac:dyDescent="0.3">
      <c r="A23838" s="20"/>
    </row>
    <row r="23839" spans="1:1" x14ac:dyDescent="0.3">
      <c r="A23839" s="20"/>
    </row>
    <row r="23840" spans="1:1" x14ac:dyDescent="0.3">
      <c r="A23840" s="20"/>
    </row>
    <row r="23841" spans="1:1" x14ac:dyDescent="0.3">
      <c r="A23841" s="20"/>
    </row>
    <row r="23842" spans="1:1" x14ac:dyDescent="0.3">
      <c r="A23842" s="20"/>
    </row>
    <row r="23843" spans="1:1" x14ac:dyDescent="0.3">
      <c r="A23843" s="20"/>
    </row>
    <row r="23844" spans="1:1" x14ac:dyDescent="0.3">
      <c r="A23844" s="20"/>
    </row>
    <row r="23845" spans="1:1" x14ac:dyDescent="0.3">
      <c r="A23845" s="20"/>
    </row>
    <row r="23846" spans="1:1" x14ac:dyDescent="0.3">
      <c r="A23846" s="20"/>
    </row>
    <row r="23847" spans="1:1" x14ac:dyDescent="0.3">
      <c r="A23847" s="20"/>
    </row>
    <row r="23848" spans="1:1" x14ac:dyDescent="0.3">
      <c r="A23848" s="20"/>
    </row>
    <row r="23849" spans="1:1" x14ac:dyDescent="0.3">
      <c r="A23849" s="20"/>
    </row>
    <row r="23850" spans="1:1" x14ac:dyDescent="0.3">
      <c r="A23850" s="20"/>
    </row>
    <row r="23851" spans="1:1" x14ac:dyDescent="0.3">
      <c r="A23851" s="20"/>
    </row>
    <row r="23852" spans="1:1" x14ac:dyDescent="0.3">
      <c r="A23852" s="20"/>
    </row>
    <row r="23853" spans="1:1" x14ac:dyDescent="0.3">
      <c r="A23853" s="20"/>
    </row>
    <row r="23854" spans="1:1" x14ac:dyDescent="0.3">
      <c r="A23854" s="20"/>
    </row>
    <row r="23855" spans="1:1" x14ac:dyDescent="0.3">
      <c r="A23855" s="20"/>
    </row>
    <row r="23856" spans="1:1" x14ac:dyDescent="0.3">
      <c r="A23856" s="20"/>
    </row>
    <row r="23857" spans="1:1" x14ac:dyDescent="0.3">
      <c r="A23857" s="20"/>
    </row>
    <row r="23858" spans="1:1" x14ac:dyDescent="0.3">
      <c r="A23858" s="20"/>
    </row>
    <row r="23859" spans="1:1" x14ac:dyDescent="0.3">
      <c r="A23859" s="20"/>
    </row>
    <row r="23860" spans="1:1" x14ac:dyDescent="0.3">
      <c r="A23860" s="20"/>
    </row>
    <row r="23861" spans="1:1" x14ac:dyDescent="0.3">
      <c r="A23861" s="20"/>
    </row>
    <row r="23862" spans="1:1" x14ac:dyDescent="0.3">
      <c r="A23862" s="20"/>
    </row>
    <row r="23863" spans="1:1" x14ac:dyDescent="0.3">
      <c r="A23863" s="20"/>
    </row>
    <row r="23864" spans="1:1" x14ac:dyDescent="0.3">
      <c r="A23864" s="20"/>
    </row>
    <row r="23865" spans="1:1" x14ac:dyDescent="0.3">
      <c r="A23865" s="20"/>
    </row>
    <row r="23866" spans="1:1" x14ac:dyDescent="0.3">
      <c r="A23866" s="20"/>
    </row>
    <row r="23867" spans="1:1" x14ac:dyDescent="0.3">
      <c r="A23867" s="20"/>
    </row>
    <row r="23868" spans="1:1" x14ac:dyDescent="0.3">
      <c r="A23868" s="20"/>
    </row>
    <row r="23869" spans="1:1" x14ac:dyDescent="0.3">
      <c r="A23869" s="20"/>
    </row>
    <row r="23870" spans="1:1" x14ac:dyDescent="0.3">
      <c r="A23870" s="20"/>
    </row>
    <row r="23871" spans="1:1" x14ac:dyDescent="0.3">
      <c r="A23871" s="20"/>
    </row>
    <row r="23872" spans="1:1" x14ac:dyDescent="0.3">
      <c r="A23872" s="20"/>
    </row>
    <row r="23873" spans="1:1" x14ac:dyDescent="0.3">
      <c r="A23873" s="20"/>
    </row>
    <row r="23874" spans="1:1" x14ac:dyDescent="0.3">
      <c r="A23874" s="20"/>
    </row>
    <row r="23875" spans="1:1" x14ac:dyDescent="0.3">
      <c r="A23875" s="20"/>
    </row>
    <row r="23876" spans="1:1" x14ac:dyDescent="0.3">
      <c r="A23876" s="20"/>
    </row>
    <row r="23877" spans="1:1" x14ac:dyDescent="0.3">
      <c r="A23877" s="20"/>
    </row>
    <row r="23878" spans="1:1" x14ac:dyDescent="0.3">
      <c r="A23878" s="20"/>
    </row>
    <row r="23879" spans="1:1" x14ac:dyDescent="0.3">
      <c r="A23879" s="20"/>
    </row>
    <row r="23880" spans="1:1" x14ac:dyDescent="0.3">
      <c r="A23880" s="20"/>
    </row>
    <row r="23881" spans="1:1" x14ac:dyDescent="0.3">
      <c r="A23881" s="20"/>
    </row>
    <row r="23882" spans="1:1" x14ac:dyDescent="0.3">
      <c r="A23882" s="20"/>
    </row>
    <row r="23883" spans="1:1" x14ac:dyDescent="0.3">
      <c r="A23883" s="20"/>
    </row>
    <row r="23884" spans="1:1" x14ac:dyDescent="0.3">
      <c r="A23884" s="20"/>
    </row>
    <row r="23885" spans="1:1" x14ac:dyDescent="0.3">
      <c r="A23885" s="20"/>
    </row>
    <row r="23886" spans="1:1" x14ac:dyDescent="0.3">
      <c r="A23886" s="20"/>
    </row>
    <row r="23887" spans="1:1" x14ac:dyDescent="0.3">
      <c r="A23887" s="20"/>
    </row>
    <row r="23888" spans="1:1" x14ac:dyDescent="0.3">
      <c r="A23888" s="20"/>
    </row>
    <row r="23889" spans="1:1" x14ac:dyDescent="0.3">
      <c r="A23889" s="20"/>
    </row>
    <row r="23890" spans="1:1" x14ac:dyDescent="0.3">
      <c r="A23890" s="20"/>
    </row>
    <row r="23891" spans="1:1" x14ac:dyDescent="0.3">
      <c r="A23891" s="20"/>
    </row>
    <row r="23892" spans="1:1" x14ac:dyDescent="0.3">
      <c r="A23892" s="20"/>
    </row>
    <row r="23893" spans="1:1" x14ac:dyDescent="0.3">
      <c r="A23893" s="20"/>
    </row>
    <row r="23894" spans="1:1" x14ac:dyDescent="0.3">
      <c r="A23894" s="20"/>
    </row>
    <row r="23895" spans="1:1" x14ac:dyDescent="0.3">
      <c r="A23895" s="20"/>
    </row>
    <row r="23896" spans="1:1" x14ac:dyDescent="0.3">
      <c r="A23896" s="20"/>
    </row>
    <row r="23897" spans="1:1" x14ac:dyDescent="0.3">
      <c r="A23897" s="20"/>
    </row>
    <row r="23898" spans="1:1" x14ac:dyDescent="0.3">
      <c r="A23898" s="20"/>
    </row>
    <row r="23899" spans="1:1" x14ac:dyDescent="0.3">
      <c r="A23899" s="20"/>
    </row>
    <row r="23900" spans="1:1" x14ac:dyDescent="0.3">
      <c r="A23900" s="20"/>
    </row>
    <row r="23901" spans="1:1" x14ac:dyDescent="0.3">
      <c r="A23901" s="20"/>
    </row>
    <row r="23902" spans="1:1" x14ac:dyDescent="0.3">
      <c r="A23902" s="20"/>
    </row>
    <row r="23903" spans="1:1" x14ac:dyDescent="0.3">
      <c r="A23903" s="20"/>
    </row>
    <row r="23904" spans="1:1" x14ac:dyDescent="0.3">
      <c r="A23904" s="20"/>
    </row>
    <row r="23905" spans="1:1" x14ac:dyDescent="0.3">
      <c r="A23905" s="20"/>
    </row>
    <row r="23906" spans="1:1" x14ac:dyDescent="0.3">
      <c r="A23906" s="20"/>
    </row>
    <row r="23907" spans="1:1" x14ac:dyDescent="0.3">
      <c r="A23907" s="20"/>
    </row>
    <row r="23908" spans="1:1" x14ac:dyDescent="0.3">
      <c r="A23908" s="20"/>
    </row>
    <row r="23909" spans="1:1" x14ac:dyDescent="0.3">
      <c r="A23909" s="20"/>
    </row>
    <row r="23910" spans="1:1" x14ac:dyDescent="0.3">
      <c r="A23910" s="20"/>
    </row>
    <row r="23911" spans="1:1" x14ac:dyDescent="0.3">
      <c r="A23911" s="20"/>
    </row>
    <row r="23912" spans="1:1" x14ac:dyDescent="0.3">
      <c r="A23912" s="20"/>
    </row>
    <row r="23913" spans="1:1" x14ac:dyDescent="0.3">
      <c r="A23913" s="20"/>
    </row>
    <row r="23914" spans="1:1" x14ac:dyDescent="0.3">
      <c r="A23914" s="20"/>
    </row>
    <row r="23915" spans="1:1" x14ac:dyDescent="0.3">
      <c r="A23915" s="20"/>
    </row>
    <row r="23916" spans="1:1" x14ac:dyDescent="0.3">
      <c r="A23916" s="20"/>
    </row>
    <row r="23917" spans="1:1" x14ac:dyDescent="0.3">
      <c r="A23917" s="20"/>
    </row>
    <row r="23918" spans="1:1" x14ac:dyDescent="0.3">
      <c r="A23918" s="20"/>
    </row>
    <row r="23919" spans="1:1" x14ac:dyDescent="0.3">
      <c r="A23919" s="20"/>
    </row>
    <row r="23920" spans="1:1" x14ac:dyDescent="0.3">
      <c r="A23920" s="20"/>
    </row>
    <row r="23921" spans="1:1" x14ac:dyDescent="0.3">
      <c r="A23921" s="20"/>
    </row>
    <row r="23922" spans="1:1" x14ac:dyDescent="0.3">
      <c r="A23922" s="20"/>
    </row>
    <row r="23923" spans="1:1" x14ac:dyDescent="0.3">
      <c r="A23923" s="20"/>
    </row>
    <row r="23924" spans="1:1" x14ac:dyDescent="0.3">
      <c r="A23924" s="20"/>
    </row>
    <row r="23925" spans="1:1" x14ac:dyDescent="0.3">
      <c r="A23925" s="20"/>
    </row>
    <row r="23926" spans="1:1" x14ac:dyDescent="0.3">
      <c r="A23926" s="20"/>
    </row>
    <row r="23927" spans="1:1" x14ac:dyDescent="0.3">
      <c r="A23927" s="20"/>
    </row>
    <row r="23928" spans="1:1" x14ac:dyDescent="0.3">
      <c r="A23928" s="20"/>
    </row>
    <row r="23929" spans="1:1" x14ac:dyDescent="0.3">
      <c r="A23929" s="20"/>
    </row>
    <row r="23930" spans="1:1" x14ac:dyDescent="0.3">
      <c r="A23930" s="20"/>
    </row>
    <row r="23931" spans="1:1" x14ac:dyDescent="0.3">
      <c r="A23931" s="20"/>
    </row>
    <row r="23932" spans="1:1" x14ac:dyDescent="0.3">
      <c r="A23932" s="20"/>
    </row>
    <row r="23933" spans="1:1" x14ac:dyDescent="0.3">
      <c r="A23933" s="20"/>
    </row>
    <row r="23934" spans="1:1" x14ac:dyDescent="0.3">
      <c r="A23934" s="20"/>
    </row>
    <row r="23935" spans="1:1" x14ac:dyDescent="0.3">
      <c r="A23935" s="20"/>
    </row>
    <row r="23936" spans="1:1" x14ac:dyDescent="0.3">
      <c r="A23936" s="20"/>
    </row>
    <row r="23937" spans="1:1" x14ac:dyDescent="0.3">
      <c r="A23937" s="20"/>
    </row>
    <row r="23938" spans="1:1" x14ac:dyDescent="0.3">
      <c r="A23938" s="20"/>
    </row>
    <row r="23939" spans="1:1" x14ac:dyDescent="0.3">
      <c r="A23939" s="20"/>
    </row>
    <row r="23940" spans="1:1" x14ac:dyDescent="0.3">
      <c r="A23940" s="20"/>
    </row>
    <row r="23941" spans="1:1" x14ac:dyDescent="0.3">
      <c r="A23941" s="20"/>
    </row>
    <row r="23942" spans="1:1" x14ac:dyDescent="0.3">
      <c r="A23942" s="20"/>
    </row>
    <row r="23943" spans="1:1" x14ac:dyDescent="0.3">
      <c r="A23943" s="20"/>
    </row>
    <row r="23944" spans="1:1" x14ac:dyDescent="0.3">
      <c r="A23944" s="20"/>
    </row>
    <row r="23945" spans="1:1" x14ac:dyDescent="0.3">
      <c r="A23945" s="20"/>
    </row>
    <row r="23946" spans="1:1" x14ac:dyDescent="0.3">
      <c r="A23946" s="20"/>
    </row>
    <row r="23947" spans="1:1" x14ac:dyDescent="0.3">
      <c r="A23947" s="20"/>
    </row>
    <row r="23948" spans="1:1" x14ac:dyDescent="0.3">
      <c r="A23948" s="20"/>
    </row>
    <row r="23949" spans="1:1" x14ac:dyDescent="0.3">
      <c r="A23949" s="20"/>
    </row>
    <row r="23950" spans="1:1" x14ac:dyDescent="0.3">
      <c r="A23950" s="20"/>
    </row>
    <row r="23951" spans="1:1" x14ac:dyDescent="0.3">
      <c r="A23951" s="20"/>
    </row>
    <row r="23952" spans="1:1" x14ac:dyDescent="0.3">
      <c r="A23952" s="20"/>
    </row>
    <row r="23953" spans="1:1" x14ac:dyDescent="0.3">
      <c r="A23953" s="20"/>
    </row>
    <row r="23954" spans="1:1" x14ac:dyDescent="0.3">
      <c r="A23954" s="20"/>
    </row>
    <row r="23955" spans="1:1" x14ac:dyDescent="0.3">
      <c r="A23955" s="20"/>
    </row>
    <row r="23956" spans="1:1" x14ac:dyDescent="0.3">
      <c r="A23956" s="20"/>
    </row>
    <row r="23957" spans="1:1" x14ac:dyDescent="0.3">
      <c r="A23957" s="20"/>
    </row>
    <row r="23958" spans="1:1" x14ac:dyDescent="0.3">
      <c r="A23958" s="20"/>
    </row>
    <row r="23959" spans="1:1" x14ac:dyDescent="0.3">
      <c r="A23959" s="20"/>
    </row>
    <row r="23960" spans="1:1" x14ac:dyDescent="0.3">
      <c r="A23960" s="20"/>
    </row>
    <row r="23961" spans="1:1" x14ac:dyDescent="0.3">
      <c r="A23961" s="20"/>
    </row>
    <row r="23962" spans="1:1" x14ac:dyDescent="0.3">
      <c r="A23962" s="20"/>
    </row>
    <row r="23963" spans="1:1" x14ac:dyDescent="0.3">
      <c r="A23963" s="20"/>
    </row>
    <row r="23964" spans="1:1" x14ac:dyDescent="0.3">
      <c r="A23964" s="20"/>
    </row>
    <row r="23965" spans="1:1" x14ac:dyDescent="0.3">
      <c r="A23965" s="20"/>
    </row>
    <row r="23966" spans="1:1" x14ac:dyDescent="0.3">
      <c r="A23966" s="20"/>
    </row>
    <row r="23967" spans="1:1" x14ac:dyDescent="0.3">
      <c r="A23967" s="20"/>
    </row>
    <row r="23968" spans="1:1" x14ac:dyDescent="0.3">
      <c r="A23968" s="20"/>
    </row>
    <row r="23969" spans="1:1" x14ac:dyDescent="0.3">
      <c r="A23969" s="20"/>
    </row>
    <row r="23970" spans="1:1" x14ac:dyDescent="0.3">
      <c r="A23970" s="20"/>
    </row>
    <row r="23971" spans="1:1" x14ac:dyDescent="0.3">
      <c r="A23971" s="20"/>
    </row>
    <row r="23972" spans="1:1" x14ac:dyDescent="0.3">
      <c r="A23972" s="20"/>
    </row>
    <row r="23973" spans="1:1" x14ac:dyDescent="0.3">
      <c r="A23973" s="20"/>
    </row>
    <row r="23974" spans="1:1" x14ac:dyDescent="0.3">
      <c r="A23974" s="20"/>
    </row>
    <row r="23975" spans="1:1" x14ac:dyDescent="0.3">
      <c r="A23975" s="20"/>
    </row>
    <row r="23976" spans="1:1" x14ac:dyDescent="0.3">
      <c r="A23976" s="20"/>
    </row>
    <row r="23977" spans="1:1" x14ac:dyDescent="0.3">
      <c r="A23977" s="20"/>
    </row>
    <row r="23978" spans="1:1" x14ac:dyDescent="0.3">
      <c r="A23978" s="20"/>
    </row>
    <row r="23979" spans="1:1" x14ac:dyDescent="0.3">
      <c r="A23979" s="20"/>
    </row>
    <row r="23980" spans="1:1" x14ac:dyDescent="0.3">
      <c r="A23980" s="20"/>
    </row>
    <row r="23981" spans="1:1" x14ac:dyDescent="0.3">
      <c r="A23981" s="20"/>
    </row>
    <row r="23982" spans="1:1" x14ac:dyDescent="0.3">
      <c r="A23982" s="20"/>
    </row>
    <row r="23983" spans="1:1" x14ac:dyDescent="0.3">
      <c r="A23983" s="20"/>
    </row>
    <row r="23984" spans="1:1" x14ac:dyDescent="0.3">
      <c r="A23984" s="20"/>
    </row>
    <row r="23985" spans="1:1" x14ac:dyDescent="0.3">
      <c r="A23985" s="20"/>
    </row>
    <row r="23986" spans="1:1" x14ac:dyDescent="0.3">
      <c r="A23986" s="20"/>
    </row>
    <row r="23987" spans="1:1" x14ac:dyDescent="0.3">
      <c r="A23987" s="20"/>
    </row>
    <row r="23988" spans="1:1" x14ac:dyDescent="0.3">
      <c r="A23988" s="20"/>
    </row>
    <row r="23989" spans="1:1" x14ac:dyDescent="0.3">
      <c r="A23989" s="20"/>
    </row>
    <row r="23990" spans="1:1" x14ac:dyDescent="0.3">
      <c r="A23990" s="20"/>
    </row>
    <row r="23991" spans="1:1" x14ac:dyDescent="0.3">
      <c r="A23991" s="20"/>
    </row>
    <row r="23992" spans="1:1" x14ac:dyDescent="0.3">
      <c r="A23992" s="20"/>
    </row>
    <row r="23993" spans="1:1" x14ac:dyDescent="0.3">
      <c r="A23993" s="20"/>
    </row>
    <row r="23994" spans="1:1" x14ac:dyDescent="0.3">
      <c r="A23994" s="20"/>
    </row>
    <row r="23995" spans="1:1" x14ac:dyDescent="0.3">
      <c r="A23995" s="20"/>
    </row>
    <row r="23996" spans="1:1" x14ac:dyDescent="0.3">
      <c r="A23996" s="20"/>
    </row>
    <row r="23997" spans="1:1" x14ac:dyDescent="0.3">
      <c r="A23997" s="20"/>
    </row>
    <row r="23998" spans="1:1" x14ac:dyDescent="0.3">
      <c r="A23998" s="20"/>
    </row>
    <row r="23999" spans="1:1" x14ac:dyDescent="0.3">
      <c r="A23999" s="20"/>
    </row>
    <row r="24000" spans="1:1" x14ac:dyDescent="0.3">
      <c r="A24000" s="20"/>
    </row>
    <row r="24001" spans="1:1" x14ac:dyDescent="0.3">
      <c r="A24001" s="20"/>
    </row>
    <row r="24002" spans="1:1" x14ac:dyDescent="0.3">
      <c r="A24002" s="20"/>
    </row>
    <row r="24003" spans="1:1" x14ac:dyDescent="0.3">
      <c r="A24003" s="20"/>
    </row>
    <row r="24004" spans="1:1" x14ac:dyDescent="0.3">
      <c r="A24004" s="20"/>
    </row>
    <row r="24005" spans="1:1" x14ac:dyDescent="0.3">
      <c r="A24005" s="20"/>
    </row>
    <row r="24006" spans="1:1" x14ac:dyDescent="0.3">
      <c r="A24006" s="20"/>
    </row>
    <row r="24007" spans="1:1" x14ac:dyDescent="0.3">
      <c r="A24007" s="20"/>
    </row>
    <row r="24008" spans="1:1" x14ac:dyDescent="0.3">
      <c r="A24008" s="20"/>
    </row>
    <row r="24009" spans="1:1" x14ac:dyDescent="0.3">
      <c r="A24009" s="20"/>
    </row>
    <row r="24010" spans="1:1" x14ac:dyDescent="0.3">
      <c r="A24010" s="20"/>
    </row>
    <row r="24011" spans="1:1" x14ac:dyDescent="0.3">
      <c r="A24011" s="20"/>
    </row>
    <row r="24012" spans="1:1" x14ac:dyDescent="0.3">
      <c r="A24012" s="20"/>
    </row>
    <row r="24013" spans="1:1" x14ac:dyDescent="0.3">
      <c r="A24013" s="20"/>
    </row>
    <row r="24014" spans="1:1" x14ac:dyDescent="0.3">
      <c r="A24014" s="20"/>
    </row>
    <row r="24015" spans="1:1" x14ac:dyDescent="0.3">
      <c r="A24015" s="20"/>
    </row>
    <row r="24016" spans="1:1" x14ac:dyDescent="0.3">
      <c r="A24016" s="20"/>
    </row>
    <row r="24017" spans="1:1" x14ac:dyDescent="0.3">
      <c r="A24017" s="20"/>
    </row>
    <row r="24018" spans="1:1" x14ac:dyDescent="0.3">
      <c r="A24018" s="20"/>
    </row>
    <row r="24019" spans="1:1" x14ac:dyDescent="0.3">
      <c r="A24019" s="20"/>
    </row>
    <row r="24020" spans="1:1" x14ac:dyDescent="0.3">
      <c r="A24020" s="20"/>
    </row>
    <row r="24021" spans="1:1" x14ac:dyDescent="0.3">
      <c r="A24021" s="20"/>
    </row>
    <row r="24022" spans="1:1" x14ac:dyDescent="0.3">
      <c r="A24022" s="20"/>
    </row>
    <row r="24023" spans="1:1" x14ac:dyDescent="0.3">
      <c r="A24023" s="20"/>
    </row>
    <row r="24024" spans="1:1" x14ac:dyDescent="0.3">
      <c r="A24024" s="20"/>
    </row>
    <row r="24025" spans="1:1" x14ac:dyDescent="0.3">
      <c r="A24025" s="20"/>
    </row>
    <row r="24026" spans="1:1" x14ac:dyDescent="0.3">
      <c r="A24026" s="20"/>
    </row>
    <row r="24027" spans="1:1" x14ac:dyDescent="0.3">
      <c r="A24027" s="20"/>
    </row>
    <row r="24028" spans="1:1" x14ac:dyDescent="0.3">
      <c r="A24028" s="20"/>
    </row>
    <row r="24029" spans="1:1" x14ac:dyDescent="0.3">
      <c r="A24029" s="20"/>
    </row>
    <row r="24030" spans="1:1" x14ac:dyDescent="0.3">
      <c r="A24030" s="20"/>
    </row>
    <row r="24031" spans="1:1" x14ac:dyDescent="0.3">
      <c r="A24031" s="20"/>
    </row>
    <row r="24032" spans="1:1" x14ac:dyDescent="0.3">
      <c r="A24032" s="20"/>
    </row>
    <row r="24033" spans="1:1" x14ac:dyDescent="0.3">
      <c r="A24033" s="20"/>
    </row>
    <row r="24034" spans="1:1" x14ac:dyDescent="0.3">
      <c r="A24034" s="20"/>
    </row>
    <row r="24035" spans="1:1" x14ac:dyDescent="0.3">
      <c r="A24035" s="20"/>
    </row>
    <row r="24036" spans="1:1" x14ac:dyDescent="0.3">
      <c r="A24036" s="20"/>
    </row>
    <row r="24037" spans="1:1" x14ac:dyDescent="0.3">
      <c r="A24037" s="20"/>
    </row>
    <row r="24038" spans="1:1" x14ac:dyDescent="0.3">
      <c r="A24038" s="20"/>
    </row>
    <row r="24039" spans="1:1" x14ac:dyDescent="0.3">
      <c r="A24039" s="20"/>
    </row>
    <row r="24040" spans="1:1" x14ac:dyDescent="0.3">
      <c r="A24040" s="20"/>
    </row>
    <row r="24041" spans="1:1" x14ac:dyDescent="0.3">
      <c r="A24041" s="20"/>
    </row>
    <row r="24042" spans="1:1" x14ac:dyDescent="0.3">
      <c r="A24042" s="20"/>
    </row>
    <row r="24043" spans="1:1" x14ac:dyDescent="0.3">
      <c r="A24043" s="20"/>
    </row>
    <row r="24044" spans="1:1" x14ac:dyDescent="0.3">
      <c r="A24044" s="20"/>
    </row>
    <row r="24045" spans="1:1" x14ac:dyDescent="0.3">
      <c r="A24045" s="20"/>
    </row>
    <row r="24046" spans="1:1" x14ac:dyDescent="0.3">
      <c r="A24046" s="20"/>
    </row>
    <row r="24047" spans="1:1" x14ac:dyDescent="0.3">
      <c r="A24047" s="20"/>
    </row>
    <row r="24048" spans="1:1" x14ac:dyDescent="0.3">
      <c r="A24048" s="20"/>
    </row>
    <row r="24049" spans="1:1" x14ac:dyDescent="0.3">
      <c r="A24049" s="20"/>
    </row>
    <row r="24050" spans="1:1" x14ac:dyDescent="0.3">
      <c r="A24050" s="20"/>
    </row>
    <row r="24051" spans="1:1" x14ac:dyDescent="0.3">
      <c r="A24051" s="20"/>
    </row>
    <row r="24052" spans="1:1" x14ac:dyDescent="0.3">
      <c r="A24052" s="20"/>
    </row>
    <row r="24053" spans="1:1" x14ac:dyDescent="0.3">
      <c r="A24053" s="20"/>
    </row>
    <row r="24054" spans="1:1" x14ac:dyDescent="0.3">
      <c r="A24054" s="20"/>
    </row>
    <row r="24055" spans="1:1" x14ac:dyDescent="0.3">
      <c r="A24055" s="20"/>
    </row>
    <row r="24056" spans="1:1" x14ac:dyDescent="0.3">
      <c r="A24056" s="20"/>
    </row>
    <row r="24057" spans="1:1" x14ac:dyDescent="0.3">
      <c r="A24057" s="20"/>
    </row>
    <row r="24058" spans="1:1" x14ac:dyDescent="0.3">
      <c r="A24058" s="20"/>
    </row>
    <row r="24059" spans="1:1" x14ac:dyDescent="0.3">
      <c r="A24059" s="20"/>
    </row>
    <row r="24060" spans="1:1" x14ac:dyDescent="0.3">
      <c r="A24060" s="20"/>
    </row>
    <row r="24061" spans="1:1" x14ac:dyDescent="0.3">
      <c r="A24061" s="20"/>
    </row>
    <row r="24062" spans="1:1" x14ac:dyDescent="0.3">
      <c r="A24062" s="20"/>
    </row>
    <row r="24063" spans="1:1" x14ac:dyDescent="0.3">
      <c r="A24063" s="20"/>
    </row>
    <row r="24064" spans="1:1" x14ac:dyDescent="0.3">
      <c r="A24064" s="20"/>
    </row>
    <row r="24065" spans="1:1" x14ac:dyDescent="0.3">
      <c r="A24065" s="20"/>
    </row>
    <row r="24066" spans="1:1" x14ac:dyDescent="0.3">
      <c r="A24066" s="20"/>
    </row>
    <row r="24067" spans="1:1" x14ac:dyDescent="0.3">
      <c r="A24067" s="20"/>
    </row>
    <row r="24068" spans="1:1" x14ac:dyDescent="0.3">
      <c r="A24068" s="20"/>
    </row>
    <row r="24069" spans="1:1" x14ac:dyDescent="0.3">
      <c r="A24069" s="20"/>
    </row>
    <row r="24070" spans="1:1" x14ac:dyDescent="0.3">
      <c r="A24070" s="20"/>
    </row>
    <row r="24071" spans="1:1" x14ac:dyDescent="0.3">
      <c r="A24071" s="20"/>
    </row>
    <row r="24072" spans="1:1" x14ac:dyDescent="0.3">
      <c r="A24072" s="20"/>
    </row>
    <row r="24073" spans="1:1" x14ac:dyDescent="0.3">
      <c r="A24073" s="20"/>
    </row>
    <row r="24074" spans="1:1" x14ac:dyDescent="0.3">
      <c r="A24074" s="20"/>
    </row>
    <row r="24075" spans="1:1" x14ac:dyDescent="0.3">
      <c r="A24075" s="20"/>
    </row>
    <row r="24076" spans="1:1" x14ac:dyDescent="0.3">
      <c r="A24076" s="20"/>
    </row>
    <row r="24077" spans="1:1" x14ac:dyDescent="0.3">
      <c r="A24077" s="20"/>
    </row>
    <row r="24078" spans="1:1" x14ac:dyDescent="0.3">
      <c r="A24078" s="20"/>
    </row>
    <row r="24079" spans="1:1" x14ac:dyDescent="0.3">
      <c r="A24079" s="20"/>
    </row>
    <row r="24080" spans="1:1" x14ac:dyDescent="0.3">
      <c r="A24080" s="20"/>
    </row>
    <row r="24081" spans="1:1" x14ac:dyDescent="0.3">
      <c r="A24081" s="20"/>
    </row>
    <row r="24082" spans="1:1" x14ac:dyDescent="0.3">
      <c r="A24082" s="20"/>
    </row>
    <row r="24083" spans="1:1" x14ac:dyDescent="0.3">
      <c r="A24083" s="20"/>
    </row>
    <row r="24084" spans="1:1" x14ac:dyDescent="0.3">
      <c r="A24084" s="20"/>
    </row>
    <row r="24085" spans="1:1" x14ac:dyDescent="0.3">
      <c r="A24085" s="20"/>
    </row>
    <row r="24086" spans="1:1" x14ac:dyDescent="0.3">
      <c r="A24086" s="20"/>
    </row>
    <row r="24087" spans="1:1" x14ac:dyDescent="0.3">
      <c r="A24087" s="20"/>
    </row>
    <row r="24088" spans="1:1" x14ac:dyDescent="0.3">
      <c r="A24088" s="20"/>
    </row>
    <row r="24089" spans="1:1" x14ac:dyDescent="0.3">
      <c r="A24089" s="20"/>
    </row>
    <row r="24090" spans="1:1" x14ac:dyDescent="0.3">
      <c r="A24090" s="20"/>
    </row>
    <row r="24091" spans="1:1" x14ac:dyDescent="0.3">
      <c r="A24091" s="20"/>
    </row>
    <row r="24092" spans="1:1" x14ac:dyDescent="0.3">
      <c r="A24092" s="20"/>
    </row>
    <row r="24093" spans="1:1" x14ac:dyDescent="0.3">
      <c r="A24093" s="20"/>
    </row>
    <row r="24094" spans="1:1" x14ac:dyDescent="0.3">
      <c r="A24094" s="20"/>
    </row>
    <row r="24095" spans="1:1" x14ac:dyDescent="0.3">
      <c r="A24095" s="20"/>
    </row>
    <row r="24096" spans="1:1" x14ac:dyDescent="0.3">
      <c r="A24096" s="20"/>
    </row>
    <row r="24097" spans="1:1" x14ac:dyDescent="0.3">
      <c r="A24097" s="20"/>
    </row>
    <row r="24098" spans="1:1" x14ac:dyDescent="0.3">
      <c r="A24098" s="20"/>
    </row>
    <row r="24099" spans="1:1" x14ac:dyDescent="0.3">
      <c r="A24099" s="20"/>
    </row>
    <row r="24100" spans="1:1" x14ac:dyDescent="0.3">
      <c r="A24100" s="20"/>
    </row>
    <row r="24101" spans="1:1" x14ac:dyDescent="0.3">
      <c r="A24101" s="20"/>
    </row>
    <row r="24102" spans="1:1" x14ac:dyDescent="0.3">
      <c r="A24102" s="20"/>
    </row>
    <row r="24103" spans="1:1" x14ac:dyDescent="0.3">
      <c r="A24103" s="20"/>
    </row>
    <row r="24104" spans="1:1" x14ac:dyDescent="0.3">
      <c r="A24104" s="20"/>
    </row>
    <row r="24105" spans="1:1" x14ac:dyDescent="0.3">
      <c r="A24105" s="20"/>
    </row>
    <row r="24106" spans="1:1" x14ac:dyDescent="0.3">
      <c r="A24106" s="20"/>
    </row>
    <row r="24107" spans="1:1" x14ac:dyDescent="0.3">
      <c r="A24107" s="20"/>
    </row>
    <row r="24108" spans="1:1" x14ac:dyDescent="0.3">
      <c r="A24108" s="20"/>
    </row>
    <row r="24109" spans="1:1" x14ac:dyDescent="0.3">
      <c r="A24109" s="20"/>
    </row>
    <row r="24110" spans="1:1" x14ac:dyDescent="0.3">
      <c r="A24110" s="20"/>
    </row>
    <row r="24111" spans="1:1" x14ac:dyDescent="0.3">
      <c r="A24111" s="20"/>
    </row>
    <row r="24112" spans="1:1" x14ac:dyDescent="0.3">
      <c r="A24112" s="20"/>
    </row>
    <row r="24113" spans="1:1" x14ac:dyDescent="0.3">
      <c r="A24113" s="20"/>
    </row>
    <row r="24114" spans="1:1" x14ac:dyDescent="0.3">
      <c r="A24114" s="20"/>
    </row>
    <row r="24115" spans="1:1" x14ac:dyDescent="0.3">
      <c r="A24115" s="20"/>
    </row>
    <row r="24116" spans="1:1" x14ac:dyDescent="0.3">
      <c r="A24116" s="20"/>
    </row>
    <row r="24117" spans="1:1" x14ac:dyDescent="0.3">
      <c r="A24117" s="20"/>
    </row>
    <row r="24118" spans="1:1" x14ac:dyDescent="0.3">
      <c r="A24118" s="20"/>
    </row>
    <row r="24119" spans="1:1" x14ac:dyDescent="0.3">
      <c r="A24119" s="20"/>
    </row>
    <row r="24120" spans="1:1" x14ac:dyDescent="0.3">
      <c r="A24120" s="20"/>
    </row>
    <row r="24121" spans="1:1" x14ac:dyDescent="0.3">
      <c r="A24121" s="20"/>
    </row>
    <row r="24122" spans="1:1" x14ac:dyDescent="0.3">
      <c r="A24122" s="20"/>
    </row>
    <row r="24123" spans="1:1" x14ac:dyDescent="0.3">
      <c r="A24123" s="20"/>
    </row>
    <row r="24124" spans="1:1" x14ac:dyDescent="0.3">
      <c r="A24124" s="20"/>
    </row>
    <row r="24125" spans="1:1" x14ac:dyDescent="0.3">
      <c r="A24125" s="20"/>
    </row>
    <row r="24126" spans="1:1" x14ac:dyDescent="0.3">
      <c r="A24126" s="20"/>
    </row>
    <row r="24127" spans="1:1" x14ac:dyDescent="0.3">
      <c r="A24127" s="20"/>
    </row>
    <row r="24128" spans="1:1" x14ac:dyDescent="0.3">
      <c r="A24128" s="20"/>
    </row>
    <row r="24129" spans="1:1" x14ac:dyDescent="0.3">
      <c r="A24129" s="20"/>
    </row>
    <row r="24130" spans="1:1" x14ac:dyDescent="0.3">
      <c r="A24130" s="20"/>
    </row>
    <row r="24131" spans="1:1" x14ac:dyDescent="0.3">
      <c r="A24131" s="20"/>
    </row>
    <row r="24132" spans="1:1" x14ac:dyDescent="0.3">
      <c r="A24132" s="20"/>
    </row>
    <row r="24133" spans="1:1" x14ac:dyDescent="0.3">
      <c r="A24133" s="20"/>
    </row>
    <row r="24134" spans="1:1" x14ac:dyDescent="0.3">
      <c r="A24134" s="20"/>
    </row>
    <row r="24135" spans="1:1" x14ac:dyDescent="0.3">
      <c r="A24135" s="20"/>
    </row>
    <row r="24136" spans="1:1" x14ac:dyDescent="0.3">
      <c r="A24136" s="20"/>
    </row>
    <row r="24137" spans="1:1" x14ac:dyDescent="0.3">
      <c r="A24137" s="20"/>
    </row>
    <row r="24138" spans="1:1" x14ac:dyDescent="0.3">
      <c r="A24138" s="20"/>
    </row>
    <row r="24139" spans="1:1" x14ac:dyDescent="0.3">
      <c r="A24139" s="20"/>
    </row>
    <row r="24140" spans="1:1" x14ac:dyDescent="0.3">
      <c r="A24140" s="20"/>
    </row>
    <row r="24141" spans="1:1" x14ac:dyDescent="0.3">
      <c r="A24141" s="20"/>
    </row>
    <row r="24142" spans="1:1" x14ac:dyDescent="0.3">
      <c r="A24142" s="20"/>
    </row>
    <row r="24143" spans="1:1" x14ac:dyDescent="0.3">
      <c r="A24143" s="20"/>
    </row>
    <row r="24144" spans="1:1" x14ac:dyDescent="0.3">
      <c r="A24144" s="20"/>
    </row>
    <row r="24145" spans="1:1" x14ac:dyDescent="0.3">
      <c r="A24145" s="20"/>
    </row>
    <row r="24146" spans="1:1" x14ac:dyDescent="0.3">
      <c r="A24146" s="20"/>
    </row>
    <row r="24147" spans="1:1" x14ac:dyDescent="0.3">
      <c r="A24147" s="20"/>
    </row>
    <row r="24148" spans="1:1" x14ac:dyDescent="0.3">
      <c r="A24148" s="20"/>
    </row>
    <row r="24149" spans="1:1" x14ac:dyDescent="0.3">
      <c r="A24149" s="20"/>
    </row>
    <row r="24150" spans="1:1" x14ac:dyDescent="0.3">
      <c r="A24150" s="20"/>
    </row>
    <row r="24151" spans="1:1" x14ac:dyDescent="0.3">
      <c r="A24151" s="20"/>
    </row>
    <row r="24152" spans="1:1" x14ac:dyDescent="0.3">
      <c r="A24152" s="20"/>
    </row>
    <row r="24153" spans="1:1" x14ac:dyDescent="0.3">
      <c r="A24153" s="20"/>
    </row>
    <row r="24154" spans="1:1" x14ac:dyDescent="0.3">
      <c r="A24154" s="20"/>
    </row>
    <row r="24155" spans="1:1" x14ac:dyDescent="0.3">
      <c r="A24155" s="20"/>
    </row>
    <row r="24156" spans="1:1" x14ac:dyDescent="0.3">
      <c r="A24156" s="20"/>
    </row>
    <row r="24157" spans="1:1" x14ac:dyDescent="0.3">
      <c r="A24157" s="20"/>
    </row>
    <row r="24158" spans="1:1" x14ac:dyDescent="0.3">
      <c r="A24158" s="20"/>
    </row>
    <row r="24159" spans="1:1" x14ac:dyDescent="0.3">
      <c r="A24159" s="20"/>
    </row>
    <row r="24160" spans="1:1" x14ac:dyDescent="0.3">
      <c r="A24160" s="20"/>
    </row>
    <row r="24161" spans="1:1" x14ac:dyDescent="0.3">
      <c r="A24161" s="20"/>
    </row>
    <row r="24162" spans="1:1" x14ac:dyDescent="0.3">
      <c r="A24162" s="20"/>
    </row>
    <row r="24163" spans="1:1" x14ac:dyDescent="0.3">
      <c r="A24163" s="20"/>
    </row>
    <row r="24164" spans="1:1" x14ac:dyDescent="0.3">
      <c r="A24164" s="20"/>
    </row>
    <row r="24165" spans="1:1" x14ac:dyDescent="0.3">
      <c r="A24165" s="20"/>
    </row>
    <row r="24166" spans="1:1" x14ac:dyDescent="0.3">
      <c r="A24166" s="20"/>
    </row>
    <row r="24167" spans="1:1" x14ac:dyDescent="0.3">
      <c r="A24167" s="20"/>
    </row>
    <row r="24168" spans="1:1" x14ac:dyDescent="0.3">
      <c r="A24168" s="20"/>
    </row>
    <row r="24169" spans="1:1" x14ac:dyDescent="0.3">
      <c r="A24169" s="20"/>
    </row>
    <row r="24170" spans="1:1" x14ac:dyDescent="0.3">
      <c r="A24170" s="20"/>
    </row>
    <row r="24171" spans="1:1" x14ac:dyDescent="0.3">
      <c r="A24171" s="20"/>
    </row>
    <row r="24172" spans="1:1" x14ac:dyDescent="0.3">
      <c r="A24172" s="20"/>
    </row>
    <row r="24173" spans="1:1" x14ac:dyDescent="0.3">
      <c r="A24173" s="20"/>
    </row>
    <row r="24174" spans="1:1" x14ac:dyDescent="0.3">
      <c r="A24174" s="20"/>
    </row>
    <row r="24175" spans="1:1" x14ac:dyDescent="0.3">
      <c r="A24175" s="20"/>
    </row>
    <row r="24176" spans="1:1" x14ac:dyDescent="0.3">
      <c r="A24176" s="20"/>
    </row>
    <row r="24177" spans="1:1" x14ac:dyDescent="0.3">
      <c r="A24177" s="20"/>
    </row>
    <row r="24178" spans="1:1" x14ac:dyDescent="0.3">
      <c r="A24178" s="20"/>
    </row>
    <row r="24179" spans="1:1" x14ac:dyDescent="0.3">
      <c r="A24179" s="20"/>
    </row>
    <row r="24180" spans="1:1" x14ac:dyDescent="0.3">
      <c r="A24180" s="20"/>
    </row>
    <row r="24181" spans="1:1" x14ac:dyDescent="0.3">
      <c r="A24181" s="20"/>
    </row>
    <row r="24182" spans="1:1" x14ac:dyDescent="0.3">
      <c r="A24182" s="20"/>
    </row>
    <row r="24183" spans="1:1" x14ac:dyDescent="0.3">
      <c r="A24183" s="20"/>
    </row>
    <row r="24184" spans="1:1" x14ac:dyDescent="0.3">
      <c r="A24184" s="20"/>
    </row>
    <row r="24185" spans="1:1" x14ac:dyDescent="0.3">
      <c r="A24185" s="20"/>
    </row>
    <row r="24186" spans="1:1" x14ac:dyDescent="0.3">
      <c r="A24186" s="20"/>
    </row>
    <row r="24187" spans="1:1" x14ac:dyDescent="0.3">
      <c r="A24187" s="20"/>
    </row>
    <row r="24188" spans="1:1" x14ac:dyDescent="0.3">
      <c r="A24188" s="20"/>
    </row>
    <row r="24189" spans="1:1" x14ac:dyDescent="0.3">
      <c r="A24189" s="20"/>
    </row>
    <row r="24190" spans="1:1" x14ac:dyDescent="0.3">
      <c r="A24190" s="20"/>
    </row>
    <row r="24191" spans="1:1" x14ac:dyDescent="0.3">
      <c r="A24191" s="20"/>
    </row>
    <row r="24192" spans="1:1" x14ac:dyDescent="0.3">
      <c r="A24192" s="20"/>
    </row>
    <row r="24193" spans="1:1" x14ac:dyDescent="0.3">
      <c r="A24193" s="20"/>
    </row>
    <row r="24194" spans="1:1" x14ac:dyDescent="0.3">
      <c r="A24194" s="20"/>
    </row>
    <row r="24195" spans="1:1" x14ac:dyDescent="0.3">
      <c r="A24195" s="20"/>
    </row>
    <row r="24196" spans="1:1" x14ac:dyDescent="0.3">
      <c r="A24196" s="20"/>
    </row>
    <row r="24197" spans="1:1" x14ac:dyDescent="0.3">
      <c r="A24197" s="20"/>
    </row>
    <row r="24198" spans="1:1" x14ac:dyDescent="0.3">
      <c r="A24198" s="20"/>
    </row>
    <row r="24199" spans="1:1" x14ac:dyDescent="0.3">
      <c r="A24199" s="20"/>
    </row>
    <row r="24200" spans="1:1" x14ac:dyDescent="0.3">
      <c r="A24200" s="20"/>
    </row>
    <row r="24201" spans="1:1" x14ac:dyDescent="0.3">
      <c r="A24201" s="20"/>
    </row>
    <row r="24202" spans="1:1" x14ac:dyDescent="0.3">
      <c r="A24202" s="20"/>
    </row>
    <row r="24203" spans="1:1" x14ac:dyDescent="0.3">
      <c r="A24203" s="20"/>
    </row>
    <row r="24204" spans="1:1" x14ac:dyDescent="0.3">
      <c r="A24204" s="20"/>
    </row>
    <row r="24205" spans="1:1" x14ac:dyDescent="0.3">
      <c r="A24205" s="20"/>
    </row>
    <row r="24206" spans="1:1" x14ac:dyDescent="0.3">
      <c r="A24206" s="20"/>
    </row>
    <row r="24207" spans="1:1" x14ac:dyDescent="0.3">
      <c r="A24207" s="20"/>
    </row>
    <row r="24208" spans="1:1" x14ac:dyDescent="0.3">
      <c r="A24208" s="20"/>
    </row>
    <row r="24209" spans="1:1" x14ac:dyDescent="0.3">
      <c r="A24209" s="20"/>
    </row>
    <row r="24210" spans="1:1" x14ac:dyDescent="0.3">
      <c r="A24210" s="20"/>
    </row>
    <row r="24211" spans="1:1" x14ac:dyDescent="0.3">
      <c r="A24211" s="20"/>
    </row>
    <row r="24212" spans="1:1" x14ac:dyDescent="0.3">
      <c r="A24212" s="20"/>
    </row>
    <row r="24213" spans="1:1" x14ac:dyDescent="0.3">
      <c r="A24213" s="20"/>
    </row>
    <row r="24214" spans="1:1" x14ac:dyDescent="0.3">
      <c r="A24214" s="20"/>
    </row>
    <row r="24215" spans="1:1" x14ac:dyDescent="0.3">
      <c r="A24215" s="20"/>
    </row>
    <row r="24216" spans="1:1" x14ac:dyDescent="0.3">
      <c r="A24216" s="20"/>
    </row>
    <row r="24217" spans="1:1" x14ac:dyDescent="0.3">
      <c r="A24217" s="20"/>
    </row>
    <row r="24218" spans="1:1" x14ac:dyDescent="0.3">
      <c r="A24218" s="20"/>
    </row>
    <row r="24219" spans="1:1" x14ac:dyDescent="0.3">
      <c r="A24219" s="20"/>
    </row>
    <row r="24220" spans="1:1" x14ac:dyDescent="0.3">
      <c r="A24220" s="20"/>
    </row>
    <row r="24221" spans="1:1" x14ac:dyDescent="0.3">
      <c r="A24221" s="20"/>
    </row>
    <row r="24222" spans="1:1" x14ac:dyDescent="0.3">
      <c r="A24222" s="20"/>
    </row>
    <row r="24223" spans="1:1" x14ac:dyDescent="0.3">
      <c r="A24223" s="20"/>
    </row>
    <row r="24224" spans="1:1" x14ac:dyDescent="0.3">
      <c r="A24224" s="20"/>
    </row>
    <row r="24225" spans="1:1" x14ac:dyDescent="0.3">
      <c r="A24225" s="20"/>
    </row>
    <row r="24226" spans="1:1" x14ac:dyDescent="0.3">
      <c r="A24226" s="20"/>
    </row>
    <row r="24227" spans="1:1" x14ac:dyDescent="0.3">
      <c r="A24227" s="20"/>
    </row>
    <row r="24228" spans="1:1" x14ac:dyDescent="0.3">
      <c r="A24228" s="20"/>
    </row>
    <row r="24229" spans="1:1" x14ac:dyDescent="0.3">
      <c r="A24229" s="20"/>
    </row>
    <row r="24230" spans="1:1" x14ac:dyDescent="0.3">
      <c r="A24230" s="20"/>
    </row>
    <row r="24231" spans="1:1" x14ac:dyDescent="0.3">
      <c r="A24231" s="20"/>
    </row>
    <row r="24232" spans="1:1" x14ac:dyDescent="0.3">
      <c r="A24232" s="20"/>
    </row>
    <row r="24233" spans="1:1" x14ac:dyDescent="0.3">
      <c r="A24233" s="20"/>
    </row>
    <row r="24234" spans="1:1" x14ac:dyDescent="0.3">
      <c r="A24234" s="20"/>
    </row>
    <row r="24235" spans="1:1" x14ac:dyDescent="0.3">
      <c r="A24235" s="20"/>
    </row>
    <row r="24236" spans="1:1" x14ac:dyDescent="0.3">
      <c r="A24236" s="20"/>
    </row>
    <row r="24237" spans="1:1" x14ac:dyDescent="0.3">
      <c r="A24237" s="20"/>
    </row>
    <row r="24238" spans="1:1" x14ac:dyDescent="0.3">
      <c r="A24238" s="20"/>
    </row>
    <row r="24239" spans="1:1" x14ac:dyDescent="0.3">
      <c r="A24239" s="20"/>
    </row>
    <row r="24240" spans="1:1" x14ac:dyDescent="0.3">
      <c r="A24240" s="20"/>
    </row>
    <row r="24241" spans="1:1" x14ac:dyDescent="0.3">
      <c r="A24241" s="20"/>
    </row>
    <row r="24242" spans="1:1" x14ac:dyDescent="0.3">
      <c r="A24242" s="20"/>
    </row>
    <row r="24243" spans="1:1" x14ac:dyDescent="0.3">
      <c r="A24243" s="20"/>
    </row>
    <row r="24244" spans="1:1" x14ac:dyDescent="0.3">
      <c r="A24244" s="20"/>
    </row>
    <row r="24245" spans="1:1" x14ac:dyDescent="0.3">
      <c r="A24245" s="20"/>
    </row>
    <row r="24246" spans="1:1" x14ac:dyDescent="0.3">
      <c r="A24246" s="20"/>
    </row>
    <row r="24247" spans="1:1" x14ac:dyDescent="0.3">
      <c r="A24247" s="20"/>
    </row>
    <row r="24248" spans="1:1" x14ac:dyDescent="0.3">
      <c r="A24248" s="20"/>
    </row>
    <row r="24249" spans="1:1" x14ac:dyDescent="0.3">
      <c r="A24249" s="20"/>
    </row>
    <row r="24250" spans="1:1" x14ac:dyDescent="0.3">
      <c r="A24250" s="20"/>
    </row>
    <row r="24251" spans="1:1" x14ac:dyDescent="0.3">
      <c r="A24251" s="20"/>
    </row>
    <row r="24252" spans="1:1" x14ac:dyDescent="0.3">
      <c r="A24252" s="20"/>
    </row>
    <row r="24253" spans="1:1" x14ac:dyDescent="0.3">
      <c r="A24253" s="20"/>
    </row>
    <row r="24254" spans="1:1" x14ac:dyDescent="0.3">
      <c r="A24254" s="20"/>
    </row>
    <row r="24255" spans="1:1" x14ac:dyDescent="0.3">
      <c r="A24255" s="20"/>
    </row>
    <row r="24256" spans="1:1" x14ac:dyDescent="0.3">
      <c r="A24256" s="20"/>
    </row>
    <row r="24257" spans="1:1" x14ac:dyDescent="0.3">
      <c r="A24257" s="20"/>
    </row>
    <row r="24258" spans="1:1" x14ac:dyDescent="0.3">
      <c r="A24258" s="20"/>
    </row>
    <row r="24259" spans="1:1" x14ac:dyDescent="0.3">
      <c r="A24259" s="20"/>
    </row>
    <row r="24260" spans="1:1" x14ac:dyDescent="0.3">
      <c r="A24260" s="20"/>
    </row>
    <row r="24261" spans="1:1" x14ac:dyDescent="0.3">
      <c r="A24261" s="20"/>
    </row>
    <row r="24262" spans="1:1" x14ac:dyDescent="0.3">
      <c r="A24262" s="20"/>
    </row>
    <row r="24263" spans="1:1" x14ac:dyDescent="0.3">
      <c r="A24263" s="20"/>
    </row>
    <row r="24264" spans="1:1" x14ac:dyDescent="0.3">
      <c r="A24264" s="20"/>
    </row>
    <row r="24265" spans="1:1" x14ac:dyDescent="0.3">
      <c r="A24265" s="20"/>
    </row>
    <row r="24266" spans="1:1" x14ac:dyDescent="0.3">
      <c r="A24266" s="20"/>
    </row>
    <row r="24267" spans="1:1" x14ac:dyDescent="0.3">
      <c r="A24267" s="20"/>
    </row>
    <row r="24268" spans="1:1" x14ac:dyDescent="0.3">
      <c r="A24268" s="20"/>
    </row>
    <row r="24269" spans="1:1" x14ac:dyDescent="0.3">
      <c r="A24269" s="20"/>
    </row>
    <row r="24270" spans="1:1" x14ac:dyDescent="0.3">
      <c r="A24270" s="20"/>
    </row>
    <row r="24271" spans="1:1" x14ac:dyDescent="0.3">
      <c r="A24271" s="20"/>
    </row>
    <row r="24272" spans="1:1" x14ac:dyDescent="0.3">
      <c r="A24272" s="20"/>
    </row>
    <row r="24273" spans="1:1" x14ac:dyDescent="0.3">
      <c r="A24273" s="20"/>
    </row>
    <row r="24274" spans="1:1" x14ac:dyDescent="0.3">
      <c r="A24274" s="20"/>
    </row>
    <row r="24275" spans="1:1" x14ac:dyDescent="0.3">
      <c r="A24275" s="20"/>
    </row>
    <row r="24276" spans="1:1" x14ac:dyDescent="0.3">
      <c r="A24276" s="20"/>
    </row>
    <row r="24277" spans="1:1" x14ac:dyDescent="0.3">
      <c r="A24277" s="20"/>
    </row>
    <row r="24278" spans="1:1" x14ac:dyDescent="0.3">
      <c r="A24278" s="20"/>
    </row>
    <row r="24279" spans="1:1" x14ac:dyDescent="0.3">
      <c r="A24279" s="20"/>
    </row>
    <row r="24280" spans="1:1" x14ac:dyDescent="0.3">
      <c r="A24280" s="20"/>
    </row>
    <row r="24281" spans="1:1" x14ac:dyDescent="0.3">
      <c r="A24281" s="20"/>
    </row>
    <row r="24282" spans="1:1" x14ac:dyDescent="0.3">
      <c r="A24282" s="20"/>
    </row>
    <row r="24283" spans="1:1" x14ac:dyDescent="0.3">
      <c r="A24283" s="20"/>
    </row>
    <row r="24284" spans="1:1" x14ac:dyDescent="0.3">
      <c r="A24284" s="20"/>
    </row>
    <row r="24285" spans="1:1" x14ac:dyDescent="0.3">
      <c r="A24285" s="20"/>
    </row>
    <row r="24286" spans="1:1" x14ac:dyDescent="0.3">
      <c r="A24286" s="20"/>
    </row>
    <row r="24287" spans="1:1" x14ac:dyDescent="0.3">
      <c r="A24287" s="20"/>
    </row>
    <row r="24288" spans="1:1" x14ac:dyDescent="0.3">
      <c r="A24288" s="20"/>
    </row>
    <row r="24289" spans="1:1" x14ac:dyDescent="0.3">
      <c r="A24289" s="20"/>
    </row>
    <row r="24290" spans="1:1" x14ac:dyDescent="0.3">
      <c r="A24290" s="20"/>
    </row>
    <row r="24291" spans="1:1" x14ac:dyDescent="0.3">
      <c r="A24291" s="20"/>
    </row>
    <row r="24292" spans="1:1" x14ac:dyDescent="0.3">
      <c r="A24292" s="20"/>
    </row>
    <row r="24293" spans="1:1" x14ac:dyDescent="0.3">
      <c r="A24293" s="20"/>
    </row>
    <row r="24294" spans="1:1" x14ac:dyDescent="0.3">
      <c r="A24294" s="20"/>
    </row>
    <row r="24295" spans="1:1" x14ac:dyDescent="0.3">
      <c r="A24295" s="20"/>
    </row>
    <row r="24296" spans="1:1" x14ac:dyDescent="0.3">
      <c r="A24296" s="20"/>
    </row>
    <row r="24297" spans="1:1" x14ac:dyDescent="0.3">
      <c r="A24297" s="20"/>
    </row>
    <row r="24298" spans="1:1" x14ac:dyDescent="0.3">
      <c r="A24298" s="20"/>
    </row>
    <row r="24299" spans="1:1" x14ac:dyDescent="0.3">
      <c r="A24299" s="20"/>
    </row>
    <row r="24300" spans="1:1" x14ac:dyDescent="0.3">
      <c r="A24300" s="20"/>
    </row>
    <row r="24301" spans="1:1" x14ac:dyDescent="0.3">
      <c r="A24301" s="20"/>
    </row>
    <row r="24302" spans="1:1" x14ac:dyDescent="0.3">
      <c r="A24302" s="20"/>
    </row>
    <row r="24303" spans="1:1" x14ac:dyDescent="0.3">
      <c r="A24303" s="20"/>
    </row>
    <row r="24304" spans="1:1" x14ac:dyDescent="0.3">
      <c r="A24304" s="20"/>
    </row>
    <row r="24305" spans="1:1" x14ac:dyDescent="0.3">
      <c r="A24305" s="20"/>
    </row>
    <row r="24306" spans="1:1" x14ac:dyDescent="0.3">
      <c r="A24306" s="20"/>
    </row>
    <row r="24307" spans="1:1" x14ac:dyDescent="0.3">
      <c r="A24307" s="20"/>
    </row>
    <row r="24308" spans="1:1" x14ac:dyDescent="0.3">
      <c r="A24308" s="20"/>
    </row>
    <row r="24309" spans="1:1" x14ac:dyDescent="0.3">
      <c r="A24309" s="20"/>
    </row>
    <row r="24310" spans="1:1" x14ac:dyDescent="0.3">
      <c r="A24310" s="20"/>
    </row>
    <row r="24311" spans="1:1" x14ac:dyDescent="0.3">
      <c r="A24311" s="20"/>
    </row>
    <row r="24312" spans="1:1" x14ac:dyDescent="0.3">
      <c r="A24312" s="20"/>
    </row>
    <row r="24313" spans="1:1" x14ac:dyDescent="0.3">
      <c r="A24313" s="20"/>
    </row>
    <row r="24314" spans="1:1" x14ac:dyDescent="0.3">
      <c r="A24314" s="20"/>
    </row>
    <row r="24315" spans="1:1" x14ac:dyDescent="0.3">
      <c r="A24315" s="20"/>
    </row>
    <row r="24316" spans="1:1" x14ac:dyDescent="0.3">
      <c r="A24316" s="20"/>
    </row>
    <row r="24317" spans="1:1" x14ac:dyDescent="0.3">
      <c r="A24317" s="20"/>
    </row>
    <row r="24318" spans="1:1" x14ac:dyDescent="0.3">
      <c r="A24318" s="20"/>
    </row>
    <row r="24319" spans="1:1" x14ac:dyDescent="0.3">
      <c r="A24319" s="20"/>
    </row>
    <row r="24320" spans="1:1" x14ac:dyDescent="0.3">
      <c r="A24320" s="20"/>
    </row>
    <row r="24321" spans="1:1" x14ac:dyDescent="0.3">
      <c r="A24321" s="20"/>
    </row>
    <row r="24322" spans="1:1" x14ac:dyDescent="0.3">
      <c r="A24322" s="20"/>
    </row>
    <row r="24323" spans="1:1" x14ac:dyDescent="0.3">
      <c r="A24323" s="20"/>
    </row>
    <row r="24324" spans="1:1" x14ac:dyDescent="0.3">
      <c r="A24324" s="20"/>
    </row>
    <row r="24325" spans="1:1" x14ac:dyDescent="0.3">
      <c r="A24325" s="20"/>
    </row>
    <row r="24326" spans="1:1" x14ac:dyDescent="0.3">
      <c r="A24326" s="20"/>
    </row>
    <row r="24327" spans="1:1" x14ac:dyDescent="0.3">
      <c r="A24327" s="20"/>
    </row>
    <row r="24328" spans="1:1" x14ac:dyDescent="0.3">
      <c r="A24328" s="20"/>
    </row>
    <row r="24329" spans="1:1" x14ac:dyDescent="0.3">
      <c r="A24329" s="20"/>
    </row>
    <row r="24330" spans="1:1" x14ac:dyDescent="0.3">
      <c r="A24330" s="20"/>
    </row>
    <row r="24331" spans="1:1" x14ac:dyDescent="0.3">
      <c r="A24331" s="20"/>
    </row>
    <row r="24332" spans="1:1" x14ac:dyDescent="0.3">
      <c r="A24332" s="20"/>
    </row>
    <row r="24333" spans="1:1" x14ac:dyDescent="0.3">
      <c r="A24333" s="20"/>
    </row>
    <row r="24334" spans="1:1" x14ac:dyDescent="0.3">
      <c r="A24334" s="20"/>
    </row>
    <row r="24335" spans="1:1" x14ac:dyDescent="0.3">
      <c r="A24335" s="20"/>
    </row>
    <row r="24336" spans="1:1" x14ac:dyDescent="0.3">
      <c r="A24336" s="20"/>
    </row>
    <row r="24337" spans="1:1" x14ac:dyDescent="0.3">
      <c r="A24337" s="20"/>
    </row>
    <row r="24338" spans="1:1" x14ac:dyDescent="0.3">
      <c r="A24338" s="20"/>
    </row>
    <row r="24339" spans="1:1" x14ac:dyDescent="0.3">
      <c r="A24339" s="20"/>
    </row>
    <row r="24340" spans="1:1" x14ac:dyDescent="0.3">
      <c r="A24340" s="20"/>
    </row>
    <row r="24341" spans="1:1" x14ac:dyDescent="0.3">
      <c r="A24341" s="20"/>
    </row>
    <row r="24342" spans="1:1" x14ac:dyDescent="0.3">
      <c r="A24342" s="20"/>
    </row>
    <row r="24343" spans="1:1" x14ac:dyDescent="0.3">
      <c r="A24343" s="20"/>
    </row>
    <row r="24344" spans="1:1" x14ac:dyDescent="0.3">
      <c r="A24344" s="20"/>
    </row>
    <row r="24345" spans="1:1" x14ac:dyDescent="0.3">
      <c r="A24345" s="20"/>
    </row>
    <row r="24346" spans="1:1" x14ac:dyDescent="0.3">
      <c r="A24346" s="20"/>
    </row>
    <row r="24347" spans="1:1" x14ac:dyDescent="0.3">
      <c r="A24347" s="20"/>
    </row>
    <row r="24348" spans="1:1" x14ac:dyDescent="0.3">
      <c r="A24348" s="20"/>
    </row>
    <row r="24349" spans="1:1" x14ac:dyDescent="0.3">
      <c r="A24349" s="20"/>
    </row>
    <row r="24350" spans="1:1" x14ac:dyDescent="0.3">
      <c r="A24350" s="20"/>
    </row>
    <row r="24351" spans="1:1" x14ac:dyDescent="0.3">
      <c r="A24351" s="20"/>
    </row>
    <row r="24352" spans="1:1" x14ac:dyDescent="0.3">
      <c r="A24352" s="20"/>
    </row>
    <row r="24353" spans="1:1" x14ac:dyDescent="0.3">
      <c r="A24353" s="20"/>
    </row>
    <row r="24354" spans="1:1" x14ac:dyDescent="0.3">
      <c r="A24354" s="20"/>
    </row>
    <row r="24355" spans="1:1" x14ac:dyDescent="0.3">
      <c r="A24355" s="20"/>
    </row>
    <row r="24356" spans="1:1" x14ac:dyDescent="0.3">
      <c r="A24356" s="20"/>
    </row>
    <row r="24357" spans="1:1" x14ac:dyDescent="0.3">
      <c r="A24357" s="20"/>
    </row>
    <row r="24358" spans="1:1" x14ac:dyDescent="0.3">
      <c r="A24358" s="20"/>
    </row>
    <row r="24359" spans="1:1" x14ac:dyDescent="0.3">
      <c r="A24359" s="20"/>
    </row>
    <row r="24360" spans="1:1" x14ac:dyDescent="0.3">
      <c r="A24360" s="20"/>
    </row>
    <row r="24361" spans="1:1" x14ac:dyDescent="0.3">
      <c r="A24361" s="20"/>
    </row>
    <row r="24362" spans="1:1" x14ac:dyDescent="0.3">
      <c r="A24362" s="20"/>
    </row>
    <row r="24363" spans="1:1" x14ac:dyDescent="0.3">
      <c r="A24363" s="20"/>
    </row>
    <row r="24364" spans="1:1" x14ac:dyDescent="0.3">
      <c r="A24364" s="20"/>
    </row>
    <row r="24365" spans="1:1" x14ac:dyDescent="0.3">
      <c r="A24365" s="20"/>
    </row>
    <row r="24366" spans="1:1" x14ac:dyDescent="0.3">
      <c r="A24366" s="20"/>
    </row>
    <row r="24367" spans="1:1" x14ac:dyDescent="0.3">
      <c r="A24367" s="20"/>
    </row>
    <row r="24368" spans="1:1" x14ac:dyDescent="0.3">
      <c r="A24368" s="20"/>
    </row>
    <row r="24369" spans="1:1" x14ac:dyDescent="0.3">
      <c r="A24369" s="20"/>
    </row>
    <row r="24370" spans="1:1" x14ac:dyDescent="0.3">
      <c r="A24370" s="20"/>
    </row>
    <row r="24371" spans="1:1" x14ac:dyDescent="0.3">
      <c r="A24371" s="20"/>
    </row>
    <row r="24372" spans="1:1" x14ac:dyDescent="0.3">
      <c r="A24372" s="20"/>
    </row>
    <row r="24373" spans="1:1" x14ac:dyDescent="0.3">
      <c r="A24373" s="20"/>
    </row>
    <row r="24374" spans="1:1" x14ac:dyDescent="0.3">
      <c r="A24374" s="20"/>
    </row>
    <row r="24375" spans="1:1" x14ac:dyDescent="0.3">
      <c r="A24375" s="20"/>
    </row>
    <row r="24376" spans="1:1" x14ac:dyDescent="0.3">
      <c r="A24376" s="20"/>
    </row>
    <row r="24377" spans="1:1" x14ac:dyDescent="0.3">
      <c r="A24377" s="20"/>
    </row>
    <row r="24378" spans="1:1" x14ac:dyDescent="0.3">
      <c r="A24378" s="20"/>
    </row>
    <row r="24379" spans="1:1" x14ac:dyDescent="0.3">
      <c r="A24379" s="20"/>
    </row>
    <row r="24380" spans="1:1" x14ac:dyDescent="0.3">
      <c r="A24380" s="20"/>
    </row>
    <row r="24381" spans="1:1" x14ac:dyDescent="0.3">
      <c r="A24381" s="20"/>
    </row>
    <row r="24382" spans="1:1" x14ac:dyDescent="0.3">
      <c r="A24382" s="20"/>
    </row>
    <row r="24383" spans="1:1" x14ac:dyDescent="0.3">
      <c r="A24383" s="20"/>
    </row>
    <row r="24384" spans="1:1" x14ac:dyDescent="0.3">
      <c r="A24384" s="20"/>
    </row>
    <row r="24385" spans="1:1" x14ac:dyDescent="0.3">
      <c r="A24385" s="20"/>
    </row>
    <row r="24386" spans="1:1" x14ac:dyDescent="0.3">
      <c r="A24386" s="20"/>
    </row>
    <row r="24387" spans="1:1" x14ac:dyDescent="0.3">
      <c r="A24387" s="20"/>
    </row>
    <row r="24388" spans="1:1" x14ac:dyDescent="0.3">
      <c r="A24388" s="20"/>
    </row>
    <row r="24389" spans="1:1" x14ac:dyDescent="0.3">
      <c r="A24389" s="20"/>
    </row>
    <row r="24390" spans="1:1" x14ac:dyDescent="0.3">
      <c r="A24390" s="20"/>
    </row>
    <row r="24391" spans="1:1" x14ac:dyDescent="0.3">
      <c r="A24391" s="20"/>
    </row>
    <row r="24392" spans="1:1" x14ac:dyDescent="0.3">
      <c r="A24392" s="20"/>
    </row>
    <row r="24393" spans="1:1" x14ac:dyDescent="0.3">
      <c r="A24393" s="20"/>
    </row>
    <row r="24394" spans="1:1" x14ac:dyDescent="0.3">
      <c r="A24394" s="20"/>
    </row>
    <row r="24395" spans="1:1" x14ac:dyDescent="0.3">
      <c r="A24395" s="20"/>
    </row>
    <row r="24396" spans="1:1" x14ac:dyDescent="0.3">
      <c r="A24396" s="20"/>
    </row>
    <row r="24397" spans="1:1" x14ac:dyDescent="0.3">
      <c r="A24397" s="20"/>
    </row>
    <row r="24398" spans="1:1" x14ac:dyDescent="0.3">
      <c r="A24398" s="20"/>
    </row>
    <row r="24399" spans="1:1" x14ac:dyDescent="0.3">
      <c r="A24399" s="20"/>
    </row>
    <row r="24400" spans="1:1" x14ac:dyDescent="0.3">
      <c r="A24400" s="20"/>
    </row>
    <row r="24401" spans="1:1" x14ac:dyDescent="0.3">
      <c r="A24401" s="20"/>
    </row>
    <row r="24402" spans="1:1" x14ac:dyDescent="0.3">
      <c r="A24402" s="20"/>
    </row>
    <row r="24403" spans="1:1" x14ac:dyDescent="0.3">
      <c r="A24403" s="20"/>
    </row>
    <row r="24404" spans="1:1" x14ac:dyDescent="0.3">
      <c r="A24404" s="20"/>
    </row>
    <row r="24405" spans="1:1" x14ac:dyDescent="0.3">
      <c r="A24405" s="20"/>
    </row>
    <row r="24406" spans="1:1" x14ac:dyDescent="0.3">
      <c r="A24406" s="20"/>
    </row>
    <row r="24407" spans="1:1" x14ac:dyDescent="0.3">
      <c r="A24407" s="20"/>
    </row>
    <row r="24408" spans="1:1" x14ac:dyDescent="0.3">
      <c r="A24408" s="20"/>
    </row>
    <row r="24409" spans="1:1" x14ac:dyDescent="0.3">
      <c r="A24409" s="20"/>
    </row>
    <row r="24410" spans="1:1" x14ac:dyDescent="0.3">
      <c r="A24410" s="20"/>
    </row>
    <row r="24411" spans="1:1" x14ac:dyDescent="0.3">
      <c r="A24411" s="20"/>
    </row>
    <row r="24412" spans="1:1" x14ac:dyDescent="0.3">
      <c r="A24412" s="20"/>
    </row>
    <row r="24413" spans="1:1" x14ac:dyDescent="0.3">
      <c r="A24413" s="20"/>
    </row>
    <row r="24414" spans="1:1" x14ac:dyDescent="0.3">
      <c r="A24414" s="20"/>
    </row>
    <row r="24415" spans="1:1" x14ac:dyDescent="0.3">
      <c r="A24415" s="20"/>
    </row>
    <row r="24416" spans="1:1" x14ac:dyDescent="0.3">
      <c r="A24416" s="20"/>
    </row>
    <row r="24417" spans="1:1" x14ac:dyDescent="0.3">
      <c r="A24417" s="20"/>
    </row>
    <row r="24418" spans="1:1" x14ac:dyDescent="0.3">
      <c r="A24418" s="20"/>
    </row>
    <row r="24419" spans="1:1" x14ac:dyDescent="0.3">
      <c r="A24419" s="20"/>
    </row>
    <row r="24420" spans="1:1" x14ac:dyDescent="0.3">
      <c r="A24420" s="20"/>
    </row>
    <row r="24421" spans="1:1" x14ac:dyDescent="0.3">
      <c r="A24421" s="20"/>
    </row>
    <row r="24422" spans="1:1" x14ac:dyDescent="0.3">
      <c r="A24422" s="20"/>
    </row>
    <row r="24423" spans="1:1" x14ac:dyDescent="0.3">
      <c r="A24423" s="20"/>
    </row>
    <row r="24424" spans="1:1" x14ac:dyDescent="0.3">
      <c r="A24424" s="20"/>
    </row>
    <row r="24425" spans="1:1" x14ac:dyDescent="0.3">
      <c r="A24425" s="20"/>
    </row>
    <row r="24426" spans="1:1" x14ac:dyDescent="0.3">
      <c r="A24426" s="20"/>
    </row>
    <row r="24427" spans="1:1" x14ac:dyDescent="0.3">
      <c r="A24427" s="20"/>
    </row>
    <row r="24428" spans="1:1" x14ac:dyDescent="0.3">
      <c r="A24428" s="20"/>
    </row>
    <row r="24429" spans="1:1" x14ac:dyDescent="0.3">
      <c r="A24429" s="20"/>
    </row>
    <row r="24430" spans="1:1" x14ac:dyDescent="0.3">
      <c r="A24430" s="20"/>
    </row>
    <row r="24431" spans="1:1" x14ac:dyDescent="0.3">
      <c r="A24431" s="20"/>
    </row>
    <row r="24432" spans="1:1" x14ac:dyDescent="0.3">
      <c r="A24432" s="20"/>
    </row>
    <row r="24433" spans="1:1" x14ac:dyDescent="0.3">
      <c r="A24433" s="20"/>
    </row>
    <row r="24434" spans="1:1" x14ac:dyDescent="0.3">
      <c r="A24434" s="20"/>
    </row>
    <row r="24435" spans="1:1" x14ac:dyDescent="0.3">
      <c r="A24435" s="20"/>
    </row>
    <row r="24436" spans="1:1" x14ac:dyDescent="0.3">
      <c r="A24436" s="20"/>
    </row>
    <row r="24437" spans="1:1" x14ac:dyDescent="0.3">
      <c r="A24437" s="20"/>
    </row>
    <row r="24438" spans="1:1" x14ac:dyDescent="0.3">
      <c r="A24438" s="20"/>
    </row>
    <row r="24439" spans="1:1" x14ac:dyDescent="0.3">
      <c r="A24439" s="20"/>
    </row>
    <row r="24440" spans="1:1" x14ac:dyDescent="0.3">
      <c r="A24440" s="20"/>
    </row>
    <row r="24441" spans="1:1" x14ac:dyDescent="0.3">
      <c r="A24441" s="20"/>
    </row>
    <row r="24442" spans="1:1" x14ac:dyDescent="0.3">
      <c r="A24442" s="20"/>
    </row>
    <row r="24443" spans="1:1" x14ac:dyDescent="0.3">
      <c r="A24443" s="20"/>
    </row>
    <row r="24444" spans="1:1" x14ac:dyDescent="0.3">
      <c r="A24444" s="20"/>
    </row>
    <row r="24445" spans="1:1" x14ac:dyDescent="0.3">
      <c r="A24445" s="20"/>
    </row>
    <row r="24446" spans="1:1" x14ac:dyDescent="0.3">
      <c r="A24446" s="20"/>
    </row>
    <row r="24447" spans="1:1" x14ac:dyDescent="0.3">
      <c r="A24447" s="20"/>
    </row>
    <row r="24448" spans="1:1" x14ac:dyDescent="0.3">
      <c r="A24448" s="20"/>
    </row>
    <row r="24449" spans="1:1" x14ac:dyDescent="0.3">
      <c r="A24449" s="20"/>
    </row>
    <row r="24450" spans="1:1" x14ac:dyDescent="0.3">
      <c r="A24450" s="20"/>
    </row>
    <row r="24451" spans="1:1" x14ac:dyDescent="0.3">
      <c r="A24451" s="20"/>
    </row>
    <row r="24452" spans="1:1" x14ac:dyDescent="0.3">
      <c r="A24452" s="20"/>
    </row>
    <row r="24453" spans="1:1" x14ac:dyDescent="0.3">
      <c r="A24453" s="20"/>
    </row>
    <row r="24454" spans="1:1" x14ac:dyDescent="0.3">
      <c r="A24454" s="20"/>
    </row>
    <row r="24455" spans="1:1" x14ac:dyDescent="0.3">
      <c r="A24455" s="20"/>
    </row>
    <row r="24456" spans="1:1" x14ac:dyDescent="0.3">
      <c r="A24456" s="20"/>
    </row>
    <row r="24457" spans="1:1" x14ac:dyDescent="0.3">
      <c r="A24457" s="20"/>
    </row>
    <row r="24458" spans="1:1" x14ac:dyDescent="0.3">
      <c r="A24458" s="20"/>
    </row>
    <row r="24459" spans="1:1" x14ac:dyDescent="0.3">
      <c r="A24459" s="20"/>
    </row>
    <row r="24460" spans="1:1" x14ac:dyDescent="0.3">
      <c r="A24460" s="20"/>
    </row>
    <row r="24461" spans="1:1" x14ac:dyDescent="0.3">
      <c r="A24461" s="20"/>
    </row>
    <row r="24462" spans="1:1" x14ac:dyDescent="0.3">
      <c r="A24462" s="20"/>
    </row>
    <row r="24463" spans="1:1" x14ac:dyDescent="0.3">
      <c r="A24463" s="20"/>
    </row>
    <row r="24464" spans="1:1" x14ac:dyDescent="0.3">
      <c r="A24464" s="20"/>
    </row>
    <row r="24465" spans="1:1" x14ac:dyDescent="0.3">
      <c r="A24465" s="20"/>
    </row>
    <row r="24466" spans="1:1" x14ac:dyDescent="0.3">
      <c r="A24466" s="20"/>
    </row>
    <row r="24467" spans="1:1" x14ac:dyDescent="0.3">
      <c r="A24467" s="20"/>
    </row>
    <row r="24468" spans="1:1" x14ac:dyDescent="0.3">
      <c r="A24468" s="20"/>
    </row>
    <row r="24469" spans="1:1" x14ac:dyDescent="0.3">
      <c r="A24469" s="20"/>
    </row>
    <row r="24470" spans="1:1" x14ac:dyDescent="0.3">
      <c r="A24470" s="20"/>
    </row>
    <row r="24471" spans="1:1" x14ac:dyDescent="0.3">
      <c r="A24471" s="20"/>
    </row>
    <row r="24472" spans="1:1" x14ac:dyDescent="0.3">
      <c r="A24472" s="20"/>
    </row>
    <row r="24473" spans="1:1" x14ac:dyDescent="0.3">
      <c r="A24473" s="20"/>
    </row>
    <row r="24474" spans="1:1" x14ac:dyDescent="0.3">
      <c r="A24474" s="20"/>
    </row>
    <row r="24475" spans="1:1" x14ac:dyDescent="0.3">
      <c r="A24475" s="20"/>
    </row>
    <row r="24476" spans="1:1" x14ac:dyDescent="0.3">
      <c r="A24476" s="20"/>
    </row>
    <row r="24477" spans="1:1" x14ac:dyDescent="0.3">
      <c r="A24477" s="20"/>
    </row>
    <row r="24478" spans="1:1" x14ac:dyDescent="0.3">
      <c r="A24478" s="20"/>
    </row>
    <row r="24479" spans="1:1" x14ac:dyDescent="0.3">
      <c r="A24479" s="20"/>
    </row>
    <row r="24480" spans="1:1" x14ac:dyDescent="0.3">
      <c r="A24480" s="20"/>
    </row>
    <row r="24481" spans="1:1" x14ac:dyDescent="0.3">
      <c r="A24481" s="20"/>
    </row>
    <row r="24482" spans="1:1" x14ac:dyDescent="0.3">
      <c r="A24482" s="20"/>
    </row>
    <row r="24483" spans="1:1" x14ac:dyDescent="0.3">
      <c r="A24483" s="20"/>
    </row>
    <row r="24484" spans="1:1" x14ac:dyDescent="0.3">
      <c r="A24484" s="20"/>
    </row>
    <row r="24485" spans="1:1" x14ac:dyDescent="0.3">
      <c r="A24485" s="20"/>
    </row>
    <row r="24486" spans="1:1" x14ac:dyDescent="0.3">
      <c r="A24486" s="20"/>
    </row>
    <row r="24487" spans="1:1" x14ac:dyDescent="0.3">
      <c r="A24487" s="20"/>
    </row>
    <row r="24488" spans="1:1" x14ac:dyDescent="0.3">
      <c r="A24488" s="20"/>
    </row>
    <row r="24489" spans="1:1" x14ac:dyDescent="0.3">
      <c r="A24489" s="20"/>
    </row>
    <row r="24490" spans="1:1" x14ac:dyDescent="0.3">
      <c r="A24490" s="20"/>
    </row>
    <row r="24491" spans="1:1" x14ac:dyDescent="0.3">
      <c r="A24491" s="20"/>
    </row>
    <row r="24492" spans="1:1" x14ac:dyDescent="0.3">
      <c r="A24492" s="20"/>
    </row>
    <row r="24493" spans="1:1" x14ac:dyDescent="0.3">
      <c r="A24493" s="20"/>
    </row>
    <row r="24494" spans="1:1" x14ac:dyDescent="0.3">
      <c r="A24494" s="20"/>
    </row>
    <row r="24495" spans="1:1" x14ac:dyDescent="0.3">
      <c r="A24495" s="20"/>
    </row>
    <row r="24496" spans="1:1" x14ac:dyDescent="0.3">
      <c r="A24496" s="20"/>
    </row>
    <row r="24497" spans="1:1" x14ac:dyDescent="0.3">
      <c r="A24497" s="20"/>
    </row>
    <row r="24498" spans="1:1" x14ac:dyDescent="0.3">
      <c r="A24498" s="20"/>
    </row>
    <row r="24499" spans="1:1" x14ac:dyDescent="0.3">
      <c r="A24499" s="20"/>
    </row>
    <row r="24500" spans="1:1" x14ac:dyDescent="0.3">
      <c r="A24500" s="20"/>
    </row>
    <row r="24501" spans="1:1" x14ac:dyDescent="0.3">
      <c r="A24501" s="20"/>
    </row>
    <row r="24502" spans="1:1" x14ac:dyDescent="0.3">
      <c r="A24502" s="20"/>
    </row>
    <row r="24503" spans="1:1" x14ac:dyDescent="0.3">
      <c r="A24503" s="20"/>
    </row>
    <row r="24504" spans="1:1" x14ac:dyDescent="0.3">
      <c r="A24504" s="20"/>
    </row>
    <row r="24505" spans="1:1" x14ac:dyDescent="0.3">
      <c r="A24505" s="20"/>
    </row>
    <row r="24506" spans="1:1" x14ac:dyDescent="0.3">
      <c r="A24506" s="20"/>
    </row>
    <row r="24507" spans="1:1" x14ac:dyDescent="0.3">
      <c r="A24507" s="20"/>
    </row>
    <row r="24508" spans="1:1" x14ac:dyDescent="0.3">
      <c r="A24508" s="20"/>
    </row>
    <row r="24509" spans="1:1" x14ac:dyDescent="0.3">
      <c r="A24509" s="20"/>
    </row>
    <row r="24510" spans="1:1" x14ac:dyDescent="0.3">
      <c r="A24510" s="20"/>
    </row>
    <row r="24511" spans="1:1" x14ac:dyDescent="0.3">
      <c r="A24511" s="20"/>
    </row>
    <row r="24512" spans="1:1" x14ac:dyDescent="0.3">
      <c r="A24512" s="20"/>
    </row>
    <row r="24513" spans="1:1" x14ac:dyDescent="0.3">
      <c r="A24513" s="20"/>
    </row>
    <row r="24514" spans="1:1" x14ac:dyDescent="0.3">
      <c r="A24514" s="20"/>
    </row>
    <row r="24515" spans="1:1" x14ac:dyDescent="0.3">
      <c r="A24515" s="20"/>
    </row>
    <row r="24516" spans="1:1" x14ac:dyDescent="0.3">
      <c r="A24516" s="20"/>
    </row>
    <row r="24517" spans="1:1" x14ac:dyDescent="0.3">
      <c r="A24517" s="20"/>
    </row>
    <row r="24518" spans="1:1" x14ac:dyDescent="0.3">
      <c r="A24518" s="20"/>
    </row>
    <row r="24519" spans="1:1" x14ac:dyDescent="0.3">
      <c r="A24519" s="20"/>
    </row>
    <row r="24520" spans="1:1" x14ac:dyDescent="0.3">
      <c r="A24520" s="20"/>
    </row>
    <row r="24521" spans="1:1" x14ac:dyDescent="0.3">
      <c r="A24521" s="20"/>
    </row>
    <row r="24522" spans="1:1" x14ac:dyDescent="0.3">
      <c r="A24522" s="20"/>
    </row>
    <row r="24523" spans="1:1" x14ac:dyDescent="0.3">
      <c r="A24523" s="20"/>
    </row>
    <row r="24524" spans="1:1" x14ac:dyDescent="0.3">
      <c r="A24524" s="20"/>
    </row>
    <row r="24525" spans="1:1" x14ac:dyDescent="0.3">
      <c r="A24525" s="20"/>
    </row>
    <row r="24526" spans="1:1" x14ac:dyDescent="0.3">
      <c r="A24526" s="20"/>
    </row>
    <row r="24527" spans="1:1" x14ac:dyDescent="0.3">
      <c r="A24527" s="20"/>
    </row>
    <row r="24528" spans="1:1" x14ac:dyDescent="0.3">
      <c r="A24528" s="20"/>
    </row>
    <row r="24529" spans="1:1" x14ac:dyDescent="0.3">
      <c r="A24529" s="20"/>
    </row>
    <row r="24530" spans="1:1" x14ac:dyDescent="0.3">
      <c r="A24530" s="20"/>
    </row>
    <row r="24531" spans="1:1" x14ac:dyDescent="0.3">
      <c r="A24531" s="20"/>
    </row>
    <row r="24532" spans="1:1" x14ac:dyDescent="0.3">
      <c r="A24532" s="20"/>
    </row>
    <row r="24533" spans="1:1" x14ac:dyDescent="0.3">
      <c r="A24533" s="20"/>
    </row>
    <row r="24534" spans="1:1" x14ac:dyDescent="0.3">
      <c r="A24534" s="20"/>
    </row>
    <row r="24535" spans="1:1" x14ac:dyDescent="0.3">
      <c r="A24535" s="20"/>
    </row>
    <row r="24536" spans="1:1" x14ac:dyDescent="0.3">
      <c r="A24536" s="20"/>
    </row>
    <row r="24537" spans="1:1" x14ac:dyDescent="0.3">
      <c r="A24537" s="20"/>
    </row>
    <row r="24538" spans="1:1" x14ac:dyDescent="0.3">
      <c r="A24538" s="20"/>
    </row>
    <row r="24539" spans="1:1" x14ac:dyDescent="0.3">
      <c r="A24539" s="20"/>
    </row>
    <row r="24540" spans="1:1" x14ac:dyDescent="0.3">
      <c r="A24540" s="20"/>
    </row>
    <row r="24541" spans="1:1" x14ac:dyDescent="0.3">
      <c r="A24541" s="20"/>
    </row>
    <row r="24542" spans="1:1" x14ac:dyDescent="0.3">
      <c r="A24542" s="20"/>
    </row>
    <row r="24543" spans="1:1" x14ac:dyDescent="0.3">
      <c r="A24543" s="20"/>
    </row>
    <row r="24544" spans="1:1" x14ac:dyDescent="0.3">
      <c r="A24544" s="20"/>
    </row>
    <row r="24545" spans="1:1" x14ac:dyDescent="0.3">
      <c r="A24545" s="20"/>
    </row>
    <row r="24546" spans="1:1" x14ac:dyDescent="0.3">
      <c r="A24546" s="20"/>
    </row>
    <row r="24547" spans="1:1" x14ac:dyDescent="0.3">
      <c r="A24547" s="20"/>
    </row>
    <row r="24548" spans="1:1" x14ac:dyDescent="0.3">
      <c r="A24548" s="20"/>
    </row>
    <row r="24549" spans="1:1" x14ac:dyDescent="0.3">
      <c r="A24549" s="20"/>
    </row>
    <row r="24550" spans="1:1" x14ac:dyDescent="0.3">
      <c r="A24550" s="20"/>
    </row>
    <row r="24551" spans="1:1" x14ac:dyDescent="0.3">
      <c r="A24551" s="20"/>
    </row>
    <row r="24552" spans="1:1" x14ac:dyDescent="0.3">
      <c r="A24552" s="20"/>
    </row>
    <row r="24553" spans="1:1" x14ac:dyDescent="0.3">
      <c r="A24553" s="20"/>
    </row>
    <row r="24554" spans="1:1" x14ac:dyDescent="0.3">
      <c r="A24554" s="20"/>
    </row>
    <row r="24555" spans="1:1" x14ac:dyDescent="0.3">
      <c r="A24555" s="20"/>
    </row>
    <row r="24556" spans="1:1" x14ac:dyDescent="0.3">
      <c r="A24556" s="20"/>
    </row>
    <row r="24557" spans="1:1" x14ac:dyDescent="0.3">
      <c r="A24557" s="20"/>
    </row>
    <row r="24558" spans="1:1" x14ac:dyDescent="0.3">
      <c r="A24558" s="20"/>
    </row>
    <row r="24559" spans="1:1" x14ac:dyDescent="0.3">
      <c r="A24559" s="20"/>
    </row>
    <row r="24560" spans="1:1" x14ac:dyDescent="0.3">
      <c r="A24560" s="20"/>
    </row>
    <row r="24561" spans="1:1" x14ac:dyDescent="0.3">
      <c r="A24561" s="20"/>
    </row>
    <row r="24562" spans="1:1" x14ac:dyDescent="0.3">
      <c r="A24562" s="20"/>
    </row>
    <row r="24563" spans="1:1" x14ac:dyDescent="0.3">
      <c r="A24563" s="20"/>
    </row>
    <row r="24564" spans="1:1" x14ac:dyDescent="0.3">
      <c r="A24564" s="20"/>
    </row>
    <row r="24565" spans="1:1" x14ac:dyDescent="0.3">
      <c r="A24565" s="20"/>
    </row>
    <row r="24566" spans="1:1" x14ac:dyDescent="0.3">
      <c r="A24566" s="20"/>
    </row>
    <row r="24567" spans="1:1" x14ac:dyDescent="0.3">
      <c r="A24567" s="20"/>
    </row>
    <row r="24568" spans="1:1" x14ac:dyDescent="0.3">
      <c r="A24568" s="20"/>
    </row>
    <row r="24569" spans="1:1" x14ac:dyDescent="0.3">
      <c r="A24569" s="20"/>
    </row>
    <row r="24570" spans="1:1" x14ac:dyDescent="0.3">
      <c r="A24570" s="20"/>
    </row>
    <row r="24571" spans="1:1" x14ac:dyDescent="0.3">
      <c r="A24571" s="20"/>
    </row>
    <row r="24572" spans="1:1" x14ac:dyDescent="0.3">
      <c r="A24572" s="20"/>
    </row>
    <row r="24573" spans="1:1" x14ac:dyDescent="0.3">
      <c r="A24573" s="20"/>
    </row>
    <row r="24574" spans="1:1" x14ac:dyDescent="0.3">
      <c r="A24574" s="20"/>
    </row>
    <row r="24575" spans="1:1" x14ac:dyDescent="0.3">
      <c r="A24575" s="20"/>
    </row>
    <row r="24576" spans="1:1" x14ac:dyDescent="0.3">
      <c r="A24576" s="20"/>
    </row>
    <row r="24577" spans="1:1" x14ac:dyDescent="0.3">
      <c r="A24577" s="20"/>
    </row>
    <row r="24578" spans="1:1" x14ac:dyDescent="0.3">
      <c r="A24578" s="20"/>
    </row>
    <row r="24579" spans="1:1" x14ac:dyDescent="0.3">
      <c r="A24579" s="20"/>
    </row>
    <row r="24580" spans="1:1" x14ac:dyDescent="0.3">
      <c r="A24580" s="20"/>
    </row>
    <row r="24581" spans="1:1" x14ac:dyDescent="0.3">
      <c r="A24581" s="20"/>
    </row>
    <row r="24582" spans="1:1" x14ac:dyDescent="0.3">
      <c r="A24582" s="20"/>
    </row>
    <row r="24583" spans="1:1" x14ac:dyDescent="0.3">
      <c r="A24583" s="20"/>
    </row>
    <row r="24584" spans="1:1" x14ac:dyDescent="0.3">
      <c r="A24584" s="20"/>
    </row>
    <row r="24585" spans="1:1" x14ac:dyDescent="0.3">
      <c r="A24585" s="20"/>
    </row>
    <row r="24586" spans="1:1" x14ac:dyDescent="0.3">
      <c r="A24586" s="20"/>
    </row>
    <row r="24587" spans="1:1" x14ac:dyDescent="0.3">
      <c r="A24587" s="20"/>
    </row>
    <row r="24588" spans="1:1" x14ac:dyDescent="0.3">
      <c r="A24588" s="20"/>
    </row>
    <row r="24589" spans="1:1" x14ac:dyDescent="0.3">
      <c r="A24589" s="20"/>
    </row>
    <row r="24590" spans="1:1" x14ac:dyDescent="0.3">
      <c r="A24590" s="20"/>
    </row>
    <row r="24591" spans="1:1" x14ac:dyDescent="0.3">
      <c r="A24591" s="20"/>
    </row>
    <row r="24592" spans="1:1" x14ac:dyDescent="0.3">
      <c r="A24592" s="20"/>
    </row>
    <row r="24593" spans="1:1" x14ac:dyDescent="0.3">
      <c r="A24593" s="20"/>
    </row>
    <row r="24594" spans="1:1" x14ac:dyDescent="0.3">
      <c r="A24594" s="20"/>
    </row>
    <row r="24595" spans="1:1" x14ac:dyDescent="0.3">
      <c r="A24595" s="20"/>
    </row>
    <row r="24596" spans="1:1" x14ac:dyDescent="0.3">
      <c r="A24596" s="20"/>
    </row>
    <row r="24597" spans="1:1" x14ac:dyDescent="0.3">
      <c r="A24597" s="20"/>
    </row>
    <row r="24598" spans="1:1" x14ac:dyDescent="0.3">
      <c r="A24598" s="20"/>
    </row>
    <row r="24599" spans="1:1" x14ac:dyDescent="0.3">
      <c r="A24599" s="20"/>
    </row>
    <row r="24600" spans="1:1" x14ac:dyDescent="0.3">
      <c r="A24600" s="20"/>
    </row>
    <row r="24601" spans="1:1" x14ac:dyDescent="0.3">
      <c r="A24601" s="20"/>
    </row>
    <row r="24602" spans="1:1" x14ac:dyDescent="0.3">
      <c r="A24602" s="20"/>
    </row>
    <row r="24603" spans="1:1" x14ac:dyDescent="0.3">
      <c r="A24603" s="20"/>
    </row>
    <row r="24604" spans="1:1" x14ac:dyDescent="0.3">
      <c r="A24604" s="20"/>
    </row>
    <row r="24605" spans="1:1" x14ac:dyDescent="0.3">
      <c r="A24605" s="20"/>
    </row>
    <row r="24606" spans="1:1" x14ac:dyDescent="0.3">
      <c r="A24606" s="20"/>
    </row>
    <row r="24607" spans="1:1" x14ac:dyDescent="0.3">
      <c r="A24607" s="20"/>
    </row>
    <row r="24608" spans="1:1" x14ac:dyDescent="0.3">
      <c r="A24608" s="20"/>
    </row>
    <row r="24609" spans="1:1" x14ac:dyDescent="0.3">
      <c r="A24609" s="20"/>
    </row>
    <row r="24610" spans="1:1" x14ac:dyDescent="0.3">
      <c r="A24610" s="20"/>
    </row>
    <row r="24611" spans="1:1" x14ac:dyDescent="0.3">
      <c r="A24611" s="20"/>
    </row>
    <row r="24612" spans="1:1" x14ac:dyDescent="0.3">
      <c r="A24612" s="20"/>
    </row>
    <row r="24613" spans="1:1" x14ac:dyDescent="0.3">
      <c r="A24613" s="20"/>
    </row>
    <row r="24614" spans="1:1" x14ac:dyDescent="0.3">
      <c r="A24614" s="20"/>
    </row>
    <row r="24615" spans="1:1" x14ac:dyDescent="0.3">
      <c r="A24615" s="20"/>
    </row>
    <row r="24616" spans="1:1" x14ac:dyDescent="0.3">
      <c r="A24616" s="20"/>
    </row>
    <row r="24617" spans="1:1" x14ac:dyDescent="0.3">
      <c r="A24617" s="20"/>
    </row>
    <row r="24618" spans="1:1" x14ac:dyDescent="0.3">
      <c r="A24618" s="20"/>
    </row>
    <row r="24619" spans="1:1" x14ac:dyDescent="0.3">
      <c r="A24619" s="20"/>
    </row>
    <row r="24620" spans="1:1" x14ac:dyDescent="0.3">
      <c r="A24620" s="20"/>
    </row>
    <row r="24621" spans="1:1" x14ac:dyDescent="0.3">
      <c r="A24621" s="20"/>
    </row>
    <row r="24622" spans="1:1" x14ac:dyDescent="0.3">
      <c r="A24622" s="20"/>
    </row>
    <row r="24623" spans="1:1" x14ac:dyDescent="0.3">
      <c r="A24623" s="20"/>
    </row>
    <row r="24624" spans="1:1" x14ac:dyDescent="0.3">
      <c r="A24624" s="20"/>
    </row>
    <row r="24625" spans="1:1" x14ac:dyDescent="0.3">
      <c r="A24625" s="20"/>
    </row>
    <row r="24626" spans="1:1" x14ac:dyDescent="0.3">
      <c r="A24626" s="20"/>
    </row>
    <row r="24627" spans="1:1" x14ac:dyDescent="0.3">
      <c r="A24627" s="20"/>
    </row>
    <row r="24628" spans="1:1" x14ac:dyDescent="0.3">
      <c r="A24628" s="20"/>
    </row>
    <row r="24629" spans="1:1" x14ac:dyDescent="0.3">
      <c r="A24629" s="20"/>
    </row>
    <row r="24630" spans="1:1" x14ac:dyDescent="0.3">
      <c r="A24630" s="20"/>
    </row>
    <row r="24631" spans="1:1" x14ac:dyDescent="0.3">
      <c r="A24631" s="20"/>
    </row>
    <row r="24632" spans="1:1" x14ac:dyDescent="0.3">
      <c r="A24632" s="20"/>
    </row>
    <row r="24633" spans="1:1" x14ac:dyDescent="0.3">
      <c r="A24633" s="20"/>
    </row>
    <row r="24634" spans="1:1" x14ac:dyDescent="0.3">
      <c r="A24634" s="20"/>
    </row>
    <row r="24635" spans="1:1" x14ac:dyDescent="0.3">
      <c r="A24635" s="20"/>
    </row>
    <row r="24636" spans="1:1" x14ac:dyDescent="0.3">
      <c r="A24636" s="20"/>
    </row>
    <row r="24637" spans="1:1" x14ac:dyDescent="0.3">
      <c r="A24637" s="20"/>
    </row>
    <row r="24638" spans="1:1" x14ac:dyDescent="0.3">
      <c r="A24638" s="20"/>
    </row>
    <row r="24639" spans="1:1" x14ac:dyDescent="0.3">
      <c r="A24639" s="20"/>
    </row>
    <row r="24640" spans="1:1" x14ac:dyDescent="0.3">
      <c r="A24640" s="20"/>
    </row>
    <row r="24641" spans="1:1" x14ac:dyDescent="0.3">
      <c r="A24641" s="20"/>
    </row>
    <row r="24642" spans="1:1" x14ac:dyDescent="0.3">
      <c r="A24642" s="20"/>
    </row>
    <row r="24643" spans="1:1" x14ac:dyDescent="0.3">
      <c r="A24643" s="20"/>
    </row>
    <row r="24644" spans="1:1" x14ac:dyDescent="0.3">
      <c r="A24644" s="20"/>
    </row>
    <row r="24645" spans="1:1" x14ac:dyDescent="0.3">
      <c r="A24645" s="20"/>
    </row>
    <row r="24646" spans="1:1" x14ac:dyDescent="0.3">
      <c r="A24646" s="20"/>
    </row>
    <row r="24647" spans="1:1" x14ac:dyDescent="0.3">
      <c r="A24647" s="20"/>
    </row>
    <row r="24648" spans="1:1" x14ac:dyDescent="0.3">
      <c r="A24648" s="20"/>
    </row>
    <row r="24649" spans="1:1" x14ac:dyDescent="0.3">
      <c r="A24649" s="20"/>
    </row>
    <row r="24650" spans="1:1" x14ac:dyDescent="0.3">
      <c r="A24650" s="20"/>
    </row>
    <row r="24651" spans="1:1" x14ac:dyDescent="0.3">
      <c r="A24651" s="20"/>
    </row>
    <row r="24652" spans="1:1" x14ac:dyDescent="0.3">
      <c r="A24652" s="20"/>
    </row>
    <row r="24653" spans="1:1" x14ac:dyDescent="0.3">
      <c r="A24653" s="20"/>
    </row>
    <row r="24654" spans="1:1" x14ac:dyDescent="0.3">
      <c r="A24654" s="20"/>
    </row>
    <row r="24655" spans="1:1" x14ac:dyDescent="0.3">
      <c r="A24655" s="20"/>
    </row>
    <row r="24656" spans="1:1" x14ac:dyDescent="0.3">
      <c r="A24656" s="20"/>
    </row>
    <row r="24657" spans="1:1" x14ac:dyDescent="0.3">
      <c r="A24657" s="20"/>
    </row>
    <row r="24658" spans="1:1" x14ac:dyDescent="0.3">
      <c r="A24658" s="20"/>
    </row>
    <row r="24659" spans="1:1" x14ac:dyDescent="0.3">
      <c r="A24659" s="20"/>
    </row>
    <row r="24660" spans="1:1" x14ac:dyDescent="0.3">
      <c r="A24660" s="20"/>
    </row>
    <row r="24661" spans="1:1" x14ac:dyDescent="0.3">
      <c r="A24661" s="20"/>
    </row>
    <row r="24662" spans="1:1" x14ac:dyDescent="0.3">
      <c r="A24662" s="20"/>
    </row>
    <row r="24663" spans="1:1" x14ac:dyDescent="0.3">
      <c r="A24663" s="20"/>
    </row>
    <row r="24664" spans="1:1" x14ac:dyDescent="0.3">
      <c r="A24664" s="20"/>
    </row>
    <row r="24665" spans="1:1" x14ac:dyDescent="0.3">
      <c r="A24665" s="20"/>
    </row>
    <row r="24666" spans="1:1" x14ac:dyDescent="0.3">
      <c r="A24666" s="20"/>
    </row>
    <row r="24667" spans="1:1" x14ac:dyDescent="0.3">
      <c r="A24667" s="20"/>
    </row>
    <row r="24668" spans="1:1" x14ac:dyDescent="0.3">
      <c r="A24668" s="20"/>
    </row>
    <row r="24669" spans="1:1" x14ac:dyDescent="0.3">
      <c r="A24669" s="20"/>
    </row>
    <row r="24670" spans="1:1" x14ac:dyDescent="0.3">
      <c r="A24670" s="20"/>
    </row>
    <row r="24671" spans="1:1" x14ac:dyDescent="0.3">
      <c r="A24671" s="20"/>
    </row>
    <row r="24672" spans="1:1" x14ac:dyDescent="0.3">
      <c r="A24672" s="20"/>
    </row>
    <row r="24673" spans="1:1" x14ac:dyDescent="0.3">
      <c r="A24673" s="20"/>
    </row>
    <row r="24674" spans="1:1" x14ac:dyDescent="0.3">
      <c r="A24674" s="20"/>
    </row>
    <row r="24675" spans="1:1" x14ac:dyDescent="0.3">
      <c r="A24675" s="20"/>
    </row>
    <row r="24676" spans="1:1" x14ac:dyDescent="0.3">
      <c r="A24676" s="20"/>
    </row>
    <row r="24677" spans="1:1" x14ac:dyDescent="0.3">
      <c r="A24677" s="20"/>
    </row>
    <row r="24678" spans="1:1" x14ac:dyDescent="0.3">
      <c r="A24678" s="20"/>
    </row>
    <row r="24679" spans="1:1" x14ac:dyDescent="0.3">
      <c r="A24679" s="20"/>
    </row>
    <row r="24680" spans="1:1" x14ac:dyDescent="0.3">
      <c r="A24680" s="20"/>
    </row>
    <row r="24681" spans="1:1" x14ac:dyDescent="0.3">
      <c r="A24681" s="20"/>
    </row>
    <row r="24682" spans="1:1" x14ac:dyDescent="0.3">
      <c r="A24682" s="20"/>
    </row>
    <row r="24683" spans="1:1" x14ac:dyDescent="0.3">
      <c r="A24683" s="20"/>
    </row>
    <row r="24684" spans="1:1" x14ac:dyDescent="0.3">
      <c r="A24684" s="20"/>
    </row>
    <row r="24685" spans="1:1" x14ac:dyDescent="0.3">
      <c r="A24685" s="20"/>
    </row>
    <row r="24686" spans="1:1" x14ac:dyDescent="0.3">
      <c r="A24686" s="20"/>
    </row>
    <row r="24687" spans="1:1" x14ac:dyDescent="0.3">
      <c r="A24687" s="20"/>
    </row>
    <row r="24688" spans="1:1" x14ac:dyDescent="0.3">
      <c r="A24688" s="20"/>
    </row>
    <row r="24689" spans="1:1" x14ac:dyDescent="0.3">
      <c r="A24689" s="20"/>
    </row>
    <row r="24690" spans="1:1" x14ac:dyDescent="0.3">
      <c r="A24690" s="20"/>
    </row>
    <row r="24691" spans="1:1" x14ac:dyDescent="0.3">
      <c r="A24691" s="20"/>
    </row>
    <row r="24692" spans="1:1" x14ac:dyDescent="0.3">
      <c r="A24692" s="20"/>
    </row>
    <row r="24693" spans="1:1" x14ac:dyDescent="0.3">
      <c r="A24693" s="20"/>
    </row>
    <row r="24694" spans="1:1" x14ac:dyDescent="0.3">
      <c r="A24694" s="20"/>
    </row>
    <row r="24695" spans="1:1" x14ac:dyDescent="0.3">
      <c r="A24695" s="20"/>
    </row>
    <row r="24696" spans="1:1" x14ac:dyDescent="0.3">
      <c r="A24696" s="20"/>
    </row>
    <row r="24697" spans="1:1" x14ac:dyDescent="0.3">
      <c r="A24697" s="20"/>
    </row>
    <row r="24698" spans="1:1" x14ac:dyDescent="0.3">
      <c r="A24698" s="20"/>
    </row>
    <row r="24699" spans="1:1" x14ac:dyDescent="0.3">
      <c r="A24699" s="20"/>
    </row>
    <row r="24700" spans="1:1" x14ac:dyDescent="0.3">
      <c r="A24700" s="20"/>
    </row>
    <row r="24701" spans="1:1" x14ac:dyDescent="0.3">
      <c r="A24701" s="20"/>
    </row>
    <row r="24702" spans="1:1" x14ac:dyDescent="0.3">
      <c r="A24702" s="20"/>
    </row>
    <row r="24703" spans="1:1" x14ac:dyDescent="0.3">
      <c r="A24703" s="20"/>
    </row>
    <row r="24704" spans="1:1" x14ac:dyDescent="0.3">
      <c r="A24704" s="20"/>
    </row>
    <row r="24705" spans="1:1" x14ac:dyDescent="0.3">
      <c r="A24705" s="20"/>
    </row>
    <row r="24706" spans="1:1" x14ac:dyDescent="0.3">
      <c r="A24706" s="20"/>
    </row>
    <row r="24707" spans="1:1" x14ac:dyDescent="0.3">
      <c r="A24707" s="20"/>
    </row>
    <row r="24708" spans="1:1" x14ac:dyDescent="0.3">
      <c r="A24708" s="20"/>
    </row>
    <row r="24709" spans="1:1" x14ac:dyDescent="0.3">
      <c r="A24709" s="20"/>
    </row>
    <row r="24710" spans="1:1" x14ac:dyDescent="0.3">
      <c r="A24710" s="20"/>
    </row>
    <row r="24711" spans="1:1" x14ac:dyDescent="0.3">
      <c r="A24711" s="20"/>
    </row>
    <row r="24712" spans="1:1" x14ac:dyDescent="0.3">
      <c r="A24712" s="20"/>
    </row>
    <row r="24713" spans="1:1" x14ac:dyDescent="0.3">
      <c r="A24713" s="20"/>
    </row>
    <row r="24714" spans="1:1" x14ac:dyDescent="0.3">
      <c r="A24714" s="20"/>
    </row>
    <row r="24715" spans="1:1" x14ac:dyDescent="0.3">
      <c r="A24715" s="20"/>
    </row>
    <row r="24716" spans="1:1" x14ac:dyDescent="0.3">
      <c r="A24716" s="20"/>
    </row>
    <row r="24717" spans="1:1" x14ac:dyDescent="0.3">
      <c r="A24717" s="20"/>
    </row>
    <row r="24718" spans="1:1" x14ac:dyDescent="0.3">
      <c r="A24718" s="20"/>
    </row>
    <row r="24719" spans="1:1" x14ac:dyDescent="0.3">
      <c r="A24719" s="20"/>
    </row>
    <row r="24720" spans="1:1" x14ac:dyDescent="0.3">
      <c r="A24720" s="20"/>
    </row>
    <row r="24721" spans="1:1" x14ac:dyDescent="0.3">
      <c r="A24721" s="20"/>
    </row>
    <row r="24722" spans="1:1" x14ac:dyDescent="0.3">
      <c r="A24722" s="20"/>
    </row>
    <row r="24723" spans="1:1" x14ac:dyDescent="0.3">
      <c r="A24723" s="20"/>
    </row>
    <row r="24724" spans="1:1" x14ac:dyDescent="0.3">
      <c r="A24724" s="20"/>
    </row>
    <row r="24725" spans="1:1" x14ac:dyDescent="0.3">
      <c r="A24725" s="20"/>
    </row>
    <row r="24726" spans="1:1" x14ac:dyDescent="0.3">
      <c r="A24726" s="20"/>
    </row>
    <row r="24727" spans="1:1" x14ac:dyDescent="0.3">
      <c r="A24727" s="20"/>
    </row>
    <row r="24728" spans="1:1" x14ac:dyDescent="0.3">
      <c r="A24728" s="20"/>
    </row>
    <row r="24729" spans="1:1" x14ac:dyDescent="0.3">
      <c r="A24729" s="20"/>
    </row>
    <row r="24730" spans="1:1" x14ac:dyDescent="0.3">
      <c r="A24730" s="20"/>
    </row>
    <row r="24731" spans="1:1" x14ac:dyDescent="0.3">
      <c r="A24731" s="20"/>
    </row>
    <row r="24732" spans="1:1" x14ac:dyDescent="0.3">
      <c r="A24732" s="20"/>
    </row>
    <row r="24733" spans="1:1" x14ac:dyDescent="0.3">
      <c r="A24733" s="20"/>
    </row>
    <row r="24734" spans="1:1" x14ac:dyDescent="0.3">
      <c r="A24734" s="20"/>
    </row>
    <row r="24735" spans="1:1" x14ac:dyDescent="0.3">
      <c r="A24735" s="20"/>
    </row>
    <row r="24736" spans="1:1" x14ac:dyDescent="0.3">
      <c r="A24736" s="20"/>
    </row>
    <row r="24737" spans="1:1" x14ac:dyDescent="0.3">
      <c r="A24737" s="20"/>
    </row>
    <row r="24738" spans="1:1" x14ac:dyDescent="0.3">
      <c r="A24738" s="20"/>
    </row>
    <row r="24739" spans="1:1" x14ac:dyDescent="0.3">
      <c r="A24739" s="20"/>
    </row>
    <row r="24740" spans="1:1" x14ac:dyDescent="0.3">
      <c r="A24740" s="20"/>
    </row>
    <row r="24741" spans="1:1" x14ac:dyDescent="0.3">
      <c r="A24741" s="20"/>
    </row>
    <row r="24742" spans="1:1" x14ac:dyDescent="0.3">
      <c r="A24742" s="20"/>
    </row>
    <row r="24743" spans="1:1" x14ac:dyDescent="0.3">
      <c r="A24743" s="20"/>
    </row>
    <row r="24744" spans="1:1" x14ac:dyDescent="0.3">
      <c r="A24744" s="20"/>
    </row>
    <row r="24745" spans="1:1" x14ac:dyDescent="0.3">
      <c r="A24745" s="20"/>
    </row>
    <row r="24746" spans="1:1" x14ac:dyDescent="0.3">
      <c r="A24746" s="20"/>
    </row>
    <row r="24747" spans="1:1" x14ac:dyDescent="0.3">
      <c r="A24747" s="20"/>
    </row>
    <row r="24748" spans="1:1" x14ac:dyDescent="0.3">
      <c r="A24748" s="20"/>
    </row>
    <row r="24749" spans="1:1" x14ac:dyDescent="0.3">
      <c r="A24749" s="20"/>
    </row>
    <row r="24750" spans="1:1" x14ac:dyDescent="0.3">
      <c r="A24750" s="20"/>
    </row>
    <row r="24751" spans="1:1" x14ac:dyDescent="0.3">
      <c r="A24751" s="20"/>
    </row>
    <row r="24752" spans="1:1" x14ac:dyDescent="0.3">
      <c r="A24752" s="20"/>
    </row>
    <row r="24753" spans="1:1" x14ac:dyDescent="0.3">
      <c r="A24753" s="20"/>
    </row>
    <row r="24754" spans="1:1" x14ac:dyDescent="0.3">
      <c r="A24754" s="20"/>
    </row>
    <row r="24755" spans="1:1" x14ac:dyDescent="0.3">
      <c r="A24755" s="20"/>
    </row>
    <row r="24756" spans="1:1" x14ac:dyDescent="0.3">
      <c r="A24756" s="20"/>
    </row>
    <row r="24757" spans="1:1" x14ac:dyDescent="0.3">
      <c r="A24757" s="20"/>
    </row>
    <row r="24758" spans="1:1" x14ac:dyDescent="0.3">
      <c r="A24758" s="20"/>
    </row>
    <row r="24759" spans="1:1" x14ac:dyDescent="0.3">
      <c r="A24759" s="20"/>
    </row>
    <row r="24760" spans="1:1" x14ac:dyDescent="0.3">
      <c r="A24760" s="20"/>
    </row>
    <row r="24761" spans="1:1" x14ac:dyDescent="0.3">
      <c r="A24761" s="20"/>
    </row>
    <row r="24762" spans="1:1" x14ac:dyDescent="0.3">
      <c r="A24762" s="20"/>
    </row>
    <row r="24763" spans="1:1" x14ac:dyDescent="0.3">
      <c r="A24763" s="20"/>
    </row>
    <row r="24764" spans="1:1" x14ac:dyDescent="0.3">
      <c r="A24764" s="20"/>
    </row>
    <row r="24765" spans="1:1" x14ac:dyDescent="0.3">
      <c r="A24765" s="20"/>
    </row>
    <row r="24766" spans="1:1" x14ac:dyDescent="0.3">
      <c r="A24766" s="20"/>
    </row>
    <row r="24767" spans="1:1" x14ac:dyDescent="0.3">
      <c r="A24767" s="20"/>
    </row>
    <row r="24768" spans="1:1" x14ac:dyDescent="0.3">
      <c r="A24768" s="20"/>
    </row>
    <row r="24769" spans="1:1" x14ac:dyDescent="0.3">
      <c r="A24769" s="20"/>
    </row>
    <row r="24770" spans="1:1" x14ac:dyDescent="0.3">
      <c r="A24770" s="20"/>
    </row>
    <row r="24771" spans="1:1" x14ac:dyDescent="0.3">
      <c r="A24771" s="20"/>
    </row>
    <row r="24772" spans="1:1" x14ac:dyDescent="0.3">
      <c r="A24772" s="20"/>
    </row>
    <row r="24773" spans="1:1" x14ac:dyDescent="0.3">
      <c r="A24773" s="20"/>
    </row>
    <row r="24774" spans="1:1" x14ac:dyDescent="0.3">
      <c r="A24774" s="20"/>
    </row>
    <row r="24775" spans="1:1" x14ac:dyDescent="0.3">
      <c r="A24775" s="20"/>
    </row>
    <row r="24776" spans="1:1" x14ac:dyDescent="0.3">
      <c r="A24776" s="20"/>
    </row>
    <row r="24777" spans="1:1" x14ac:dyDescent="0.3">
      <c r="A24777" s="20"/>
    </row>
    <row r="24778" spans="1:1" x14ac:dyDescent="0.3">
      <c r="A24778" s="20"/>
    </row>
    <row r="24779" spans="1:1" x14ac:dyDescent="0.3">
      <c r="A24779" s="20"/>
    </row>
    <row r="24780" spans="1:1" x14ac:dyDescent="0.3">
      <c r="A24780" s="20"/>
    </row>
    <row r="24781" spans="1:1" x14ac:dyDescent="0.3">
      <c r="A24781" s="20"/>
    </row>
    <row r="24782" spans="1:1" x14ac:dyDescent="0.3">
      <c r="A24782" s="20"/>
    </row>
    <row r="24783" spans="1:1" x14ac:dyDescent="0.3">
      <c r="A24783" s="20"/>
    </row>
    <row r="24784" spans="1:1" x14ac:dyDescent="0.3">
      <c r="A24784" s="20"/>
    </row>
    <row r="24785" spans="1:1" x14ac:dyDescent="0.3">
      <c r="A24785" s="20"/>
    </row>
    <row r="24786" spans="1:1" x14ac:dyDescent="0.3">
      <c r="A24786" s="20"/>
    </row>
    <row r="24787" spans="1:1" x14ac:dyDescent="0.3">
      <c r="A24787" s="20"/>
    </row>
    <row r="24788" spans="1:1" x14ac:dyDescent="0.3">
      <c r="A24788" s="20"/>
    </row>
    <row r="24789" spans="1:1" x14ac:dyDescent="0.3">
      <c r="A24789" s="20"/>
    </row>
    <row r="24790" spans="1:1" x14ac:dyDescent="0.3">
      <c r="A24790" s="20"/>
    </row>
    <row r="24791" spans="1:1" x14ac:dyDescent="0.3">
      <c r="A24791" s="20"/>
    </row>
    <row r="24792" spans="1:1" x14ac:dyDescent="0.3">
      <c r="A24792" s="20"/>
    </row>
    <row r="24793" spans="1:1" x14ac:dyDescent="0.3">
      <c r="A24793" s="20"/>
    </row>
    <row r="24794" spans="1:1" x14ac:dyDescent="0.3">
      <c r="A24794" s="20"/>
    </row>
    <row r="24795" spans="1:1" x14ac:dyDescent="0.3">
      <c r="A24795" s="20"/>
    </row>
    <row r="24796" spans="1:1" x14ac:dyDescent="0.3">
      <c r="A24796" s="20"/>
    </row>
    <row r="24797" spans="1:1" x14ac:dyDescent="0.3">
      <c r="A24797" s="20"/>
    </row>
    <row r="24798" spans="1:1" x14ac:dyDescent="0.3">
      <c r="A24798" s="20"/>
    </row>
    <row r="24799" spans="1:1" x14ac:dyDescent="0.3">
      <c r="A24799" s="20"/>
    </row>
    <row r="24800" spans="1:1" x14ac:dyDescent="0.3">
      <c r="A24800" s="20"/>
    </row>
    <row r="24801" spans="1:1" x14ac:dyDescent="0.3">
      <c r="A24801" s="20"/>
    </row>
    <row r="24802" spans="1:1" x14ac:dyDescent="0.3">
      <c r="A24802" s="20"/>
    </row>
    <row r="24803" spans="1:1" x14ac:dyDescent="0.3">
      <c r="A24803" s="20"/>
    </row>
    <row r="24804" spans="1:1" x14ac:dyDescent="0.3">
      <c r="A24804" s="20"/>
    </row>
    <row r="24805" spans="1:1" x14ac:dyDescent="0.3">
      <c r="A24805" s="20"/>
    </row>
    <row r="24806" spans="1:1" x14ac:dyDescent="0.3">
      <c r="A24806" s="20"/>
    </row>
    <row r="24807" spans="1:1" x14ac:dyDescent="0.3">
      <c r="A24807" s="20"/>
    </row>
    <row r="24808" spans="1:1" x14ac:dyDescent="0.3">
      <c r="A24808" s="20"/>
    </row>
    <row r="24809" spans="1:1" x14ac:dyDescent="0.3">
      <c r="A24809" s="20"/>
    </row>
    <row r="24810" spans="1:1" x14ac:dyDescent="0.3">
      <c r="A24810" s="20"/>
    </row>
    <row r="24811" spans="1:1" x14ac:dyDescent="0.3">
      <c r="A24811" s="20"/>
    </row>
    <row r="24812" spans="1:1" x14ac:dyDescent="0.3">
      <c r="A24812" s="20"/>
    </row>
    <row r="24813" spans="1:1" x14ac:dyDescent="0.3">
      <c r="A24813" s="20"/>
    </row>
    <row r="24814" spans="1:1" x14ac:dyDescent="0.3">
      <c r="A24814" s="20"/>
    </row>
    <row r="24815" spans="1:1" x14ac:dyDescent="0.3">
      <c r="A24815" s="20"/>
    </row>
    <row r="24816" spans="1:1" x14ac:dyDescent="0.3">
      <c r="A24816" s="20"/>
    </row>
    <row r="24817" spans="1:1" x14ac:dyDescent="0.3">
      <c r="A24817" s="20"/>
    </row>
    <row r="24818" spans="1:1" x14ac:dyDescent="0.3">
      <c r="A24818" s="20"/>
    </row>
    <row r="24819" spans="1:1" x14ac:dyDescent="0.3">
      <c r="A24819" s="20"/>
    </row>
    <row r="24820" spans="1:1" x14ac:dyDescent="0.3">
      <c r="A24820" s="20"/>
    </row>
    <row r="24821" spans="1:1" x14ac:dyDescent="0.3">
      <c r="A24821" s="20"/>
    </row>
    <row r="24822" spans="1:1" x14ac:dyDescent="0.3">
      <c r="A24822" s="20"/>
    </row>
    <row r="24823" spans="1:1" x14ac:dyDescent="0.3">
      <c r="A24823" s="20"/>
    </row>
    <row r="24824" spans="1:1" x14ac:dyDescent="0.3">
      <c r="A24824" s="20"/>
    </row>
    <row r="24825" spans="1:1" x14ac:dyDescent="0.3">
      <c r="A24825" s="20"/>
    </row>
    <row r="24826" spans="1:1" x14ac:dyDescent="0.3">
      <c r="A24826" s="20"/>
    </row>
    <row r="24827" spans="1:1" x14ac:dyDescent="0.3">
      <c r="A24827" s="20"/>
    </row>
    <row r="24828" spans="1:1" x14ac:dyDescent="0.3">
      <c r="A24828" s="20"/>
    </row>
    <row r="24829" spans="1:1" x14ac:dyDescent="0.3">
      <c r="A24829" s="20"/>
    </row>
    <row r="24830" spans="1:1" x14ac:dyDescent="0.3">
      <c r="A24830" s="20"/>
    </row>
    <row r="24831" spans="1:1" x14ac:dyDescent="0.3">
      <c r="A24831" s="20"/>
    </row>
    <row r="24832" spans="1:1" x14ac:dyDescent="0.3">
      <c r="A24832" s="20"/>
    </row>
    <row r="24833" spans="1:1" x14ac:dyDescent="0.3">
      <c r="A24833" s="20"/>
    </row>
    <row r="24834" spans="1:1" x14ac:dyDescent="0.3">
      <c r="A24834" s="20"/>
    </row>
    <row r="24835" spans="1:1" x14ac:dyDescent="0.3">
      <c r="A24835" s="20"/>
    </row>
    <row r="24836" spans="1:1" x14ac:dyDescent="0.3">
      <c r="A24836" s="20"/>
    </row>
    <row r="24837" spans="1:1" x14ac:dyDescent="0.3">
      <c r="A24837" s="20"/>
    </row>
    <row r="24838" spans="1:1" x14ac:dyDescent="0.3">
      <c r="A24838" s="20"/>
    </row>
    <row r="24839" spans="1:1" x14ac:dyDescent="0.3">
      <c r="A24839" s="20"/>
    </row>
    <row r="24840" spans="1:1" x14ac:dyDescent="0.3">
      <c r="A24840" s="20"/>
    </row>
    <row r="24841" spans="1:1" x14ac:dyDescent="0.3">
      <c r="A24841" s="20"/>
    </row>
    <row r="24842" spans="1:1" x14ac:dyDescent="0.3">
      <c r="A24842" s="20"/>
    </row>
    <row r="24843" spans="1:1" x14ac:dyDescent="0.3">
      <c r="A24843" s="20"/>
    </row>
    <row r="24844" spans="1:1" x14ac:dyDescent="0.3">
      <c r="A24844" s="20"/>
    </row>
    <row r="24845" spans="1:1" x14ac:dyDescent="0.3">
      <c r="A24845" s="20"/>
    </row>
    <row r="24846" spans="1:1" x14ac:dyDescent="0.3">
      <c r="A24846" s="20"/>
    </row>
    <row r="24847" spans="1:1" x14ac:dyDescent="0.3">
      <c r="A24847" s="20"/>
    </row>
    <row r="24848" spans="1:1" x14ac:dyDescent="0.3">
      <c r="A24848" s="20"/>
    </row>
    <row r="24849" spans="1:1" x14ac:dyDescent="0.3">
      <c r="A24849" s="20"/>
    </row>
    <row r="24850" spans="1:1" x14ac:dyDescent="0.3">
      <c r="A24850" s="20"/>
    </row>
    <row r="24851" spans="1:1" x14ac:dyDescent="0.3">
      <c r="A24851" s="20"/>
    </row>
    <row r="24852" spans="1:1" x14ac:dyDescent="0.3">
      <c r="A24852" s="20"/>
    </row>
    <row r="24853" spans="1:1" x14ac:dyDescent="0.3">
      <c r="A24853" s="20"/>
    </row>
    <row r="24854" spans="1:1" x14ac:dyDescent="0.3">
      <c r="A24854" s="20"/>
    </row>
    <row r="24855" spans="1:1" x14ac:dyDescent="0.3">
      <c r="A24855" s="20"/>
    </row>
    <row r="24856" spans="1:1" x14ac:dyDescent="0.3">
      <c r="A24856" s="20"/>
    </row>
    <row r="24857" spans="1:1" x14ac:dyDescent="0.3">
      <c r="A24857" s="20"/>
    </row>
    <row r="24858" spans="1:1" x14ac:dyDescent="0.3">
      <c r="A24858" s="20"/>
    </row>
    <row r="24859" spans="1:1" x14ac:dyDescent="0.3">
      <c r="A24859" s="20"/>
    </row>
    <row r="24860" spans="1:1" x14ac:dyDescent="0.3">
      <c r="A24860" s="20"/>
    </row>
    <row r="24861" spans="1:1" x14ac:dyDescent="0.3">
      <c r="A24861" s="20"/>
    </row>
    <row r="24862" spans="1:1" x14ac:dyDescent="0.3">
      <c r="A24862" s="20"/>
    </row>
    <row r="24863" spans="1:1" x14ac:dyDescent="0.3">
      <c r="A24863" s="20"/>
    </row>
    <row r="24864" spans="1:1" x14ac:dyDescent="0.3">
      <c r="A24864" s="20"/>
    </row>
    <row r="24865" spans="1:1" x14ac:dyDescent="0.3">
      <c r="A24865" s="20"/>
    </row>
    <row r="24866" spans="1:1" x14ac:dyDescent="0.3">
      <c r="A24866" s="20"/>
    </row>
    <row r="24867" spans="1:1" x14ac:dyDescent="0.3">
      <c r="A24867" s="20"/>
    </row>
    <row r="24868" spans="1:1" x14ac:dyDescent="0.3">
      <c r="A24868" s="20"/>
    </row>
    <row r="24869" spans="1:1" x14ac:dyDescent="0.3">
      <c r="A24869" s="20"/>
    </row>
    <row r="24870" spans="1:1" x14ac:dyDescent="0.3">
      <c r="A24870" s="20"/>
    </row>
    <row r="24871" spans="1:1" x14ac:dyDescent="0.3">
      <c r="A24871" s="20"/>
    </row>
    <row r="24872" spans="1:1" x14ac:dyDescent="0.3">
      <c r="A24872" s="20"/>
    </row>
    <row r="24873" spans="1:1" x14ac:dyDescent="0.3">
      <c r="A24873" s="20"/>
    </row>
    <row r="24874" spans="1:1" x14ac:dyDescent="0.3">
      <c r="A24874" s="20"/>
    </row>
    <row r="24875" spans="1:1" x14ac:dyDescent="0.3">
      <c r="A24875" s="20"/>
    </row>
    <row r="24876" spans="1:1" x14ac:dyDescent="0.3">
      <c r="A24876" s="20"/>
    </row>
    <row r="24877" spans="1:1" x14ac:dyDescent="0.3">
      <c r="A24877" s="20"/>
    </row>
    <row r="24878" spans="1:1" x14ac:dyDescent="0.3">
      <c r="A24878" s="20"/>
    </row>
    <row r="24879" spans="1:1" x14ac:dyDescent="0.3">
      <c r="A24879" s="20"/>
    </row>
    <row r="24880" spans="1:1" x14ac:dyDescent="0.3">
      <c r="A24880" s="20"/>
    </row>
    <row r="24881" spans="1:1" x14ac:dyDescent="0.3">
      <c r="A24881" s="20"/>
    </row>
    <row r="24882" spans="1:1" x14ac:dyDescent="0.3">
      <c r="A24882" s="20"/>
    </row>
    <row r="24883" spans="1:1" x14ac:dyDescent="0.3">
      <c r="A24883" s="20"/>
    </row>
    <row r="24884" spans="1:1" x14ac:dyDescent="0.3">
      <c r="A24884" s="20"/>
    </row>
    <row r="24885" spans="1:1" x14ac:dyDescent="0.3">
      <c r="A24885" s="20"/>
    </row>
    <row r="24886" spans="1:1" x14ac:dyDescent="0.3">
      <c r="A24886" s="20"/>
    </row>
    <row r="24887" spans="1:1" x14ac:dyDescent="0.3">
      <c r="A24887" s="20"/>
    </row>
    <row r="24888" spans="1:1" x14ac:dyDescent="0.3">
      <c r="A24888" s="20"/>
    </row>
    <row r="24889" spans="1:1" x14ac:dyDescent="0.3">
      <c r="A24889" s="20"/>
    </row>
    <row r="24890" spans="1:1" x14ac:dyDescent="0.3">
      <c r="A24890" s="20"/>
    </row>
    <row r="24891" spans="1:1" x14ac:dyDescent="0.3">
      <c r="A24891" s="20"/>
    </row>
    <row r="24892" spans="1:1" x14ac:dyDescent="0.3">
      <c r="A24892" s="20"/>
    </row>
    <row r="24893" spans="1:1" x14ac:dyDescent="0.3">
      <c r="A24893" s="20"/>
    </row>
    <row r="24894" spans="1:1" x14ac:dyDescent="0.3">
      <c r="A24894" s="20"/>
    </row>
    <row r="24895" spans="1:1" x14ac:dyDescent="0.3">
      <c r="A24895" s="20"/>
    </row>
    <row r="24896" spans="1:1" x14ac:dyDescent="0.3">
      <c r="A24896" s="20"/>
    </row>
    <row r="24897" spans="1:1" x14ac:dyDescent="0.3">
      <c r="A24897" s="20"/>
    </row>
    <row r="24898" spans="1:1" x14ac:dyDescent="0.3">
      <c r="A24898" s="20"/>
    </row>
    <row r="24899" spans="1:1" x14ac:dyDescent="0.3">
      <c r="A24899" s="20"/>
    </row>
    <row r="24900" spans="1:1" x14ac:dyDescent="0.3">
      <c r="A24900" s="20"/>
    </row>
    <row r="24901" spans="1:1" x14ac:dyDescent="0.3">
      <c r="A24901" s="20"/>
    </row>
    <row r="24902" spans="1:1" x14ac:dyDescent="0.3">
      <c r="A24902" s="20"/>
    </row>
    <row r="24903" spans="1:1" x14ac:dyDescent="0.3">
      <c r="A24903" s="20"/>
    </row>
    <row r="24904" spans="1:1" x14ac:dyDescent="0.3">
      <c r="A24904" s="20"/>
    </row>
    <row r="24905" spans="1:1" x14ac:dyDescent="0.3">
      <c r="A24905" s="20"/>
    </row>
    <row r="24906" spans="1:1" x14ac:dyDescent="0.3">
      <c r="A24906" s="20"/>
    </row>
    <row r="24907" spans="1:1" x14ac:dyDescent="0.3">
      <c r="A24907" s="20"/>
    </row>
    <row r="24908" spans="1:1" x14ac:dyDescent="0.3">
      <c r="A24908" s="20"/>
    </row>
    <row r="24909" spans="1:1" x14ac:dyDescent="0.3">
      <c r="A24909" s="20"/>
    </row>
    <row r="24910" spans="1:1" x14ac:dyDescent="0.3">
      <c r="A24910" s="20"/>
    </row>
    <row r="24911" spans="1:1" x14ac:dyDescent="0.3">
      <c r="A24911" s="20"/>
    </row>
    <row r="24912" spans="1:1" x14ac:dyDescent="0.3">
      <c r="A24912" s="20"/>
    </row>
    <row r="24913" spans="1:1" x14ac:dyDescent="0.3">
      <c r="A24913" s="20"/>
    </row>
    <row r="24914" spans="1:1" x14ac:dyDescent="0.3">
      <c r="A24914" s="20"/>
    </row>
    <row r="24915" spans="1:1" x14ac:dyDescent="0.3">
      <c r="A24915" s="20"/>
    </row>
    <row r="24916" spans="1:1" x14ac:dyDescent="0.3">
      <c r="A24916" s="20"/>
    </row>
    <row r="24917" spans="1:1" x14ac:dyDescent="0.3">
      <c r="A24917" s="20"/>
    </row>
    <row r="24918" spans="1:1" x14ac:dyDescent="0.3">
      <c r="A24918" s="20"/>
    </row>
    <row r="24919" spans="1:1" x14ac:dyDescent="0.3">
      <c r="A24919" s="20"/>
    </row>
    <row r="24920" spans="1:1" x14ac:dyDescent="0.3">
      <c r="A24920" s="20"/>
    </row>
    <row r="24921" spans="1:1" x14ac:dyDescent="0.3">
      <c r="A24921" s="20"/>
    </row>
    <row r="24922" spans="1:1" x14ac:dyDescent="0.3">
      <c r="A24922" s="20"/>
    </row>
    <row r="24923" spans="1:1" x14ac:dyDescent="0.3">
      <c r="A24923" s="20"/>
    </row>
    <row r="24924" spans="1:1" x14ac:dyDescent="0.3">
      <c r="A24924" s="20"/>
    </row>
    <row r="24925" spans="1:1" x14ac:dyDescent="0.3">
      <c r="A24925" s="20"/>
    </row>
    <row r="24926" spans="1:1" x14ac:dyDescent="0.3">
      <c r="A24926" s="20"/>
    </row>
    <row r="24927" spans="1:1" x14ac:dyDescent="0.3">
      <c r="A24927" s="20"/>
    </row>
    <row r="24928" spans="1:1" x14ac:dyDescent="0.3">
      <c r="A24928" s="20"/>
    </row>
    <row r="24929" spans="1:1" x14ac:dyDescent="0.3">
      <c r="A24929" s="20"/>
    </row>
    <row r="24930" spans="1:1" x14ac:dyDescent="0.3">
      <c r="A24930" s="20"/>
    </row>
    <row r="24931" spans="1:1" x14ac:dyDescent="0.3">
      <c r="A24931" s="20"/>
    </row>
    <row r="24932" spans="1:1" x14ac:dyDescent="0.3">
      <c r="A24932" s="20"/>
    </row>
    <row r="24933" spans="1:1" x14ac:dyDescent="0.3">
      <c r="A24933" s="20"/>
    </row>
    <row r="24934" spans="1:1" x14ac:dyDescent="0.3">
      <c r="A24934" s="20"/>
    </row>
    <row r="24935" spans="1:1" x14ac:dyDescent="0.3">
      <c r="A24935" s="20"/>
    </row>
    <row r="24936" spans="1:1" x14ac:dyDescent="0.3">
      <c r="A24936" s="20"/>
    </row>
    <row r="24937" spans="1:1" x14ac:dyDescent="0.3">
      <c r="A24937" s="20"/>
    </row>
    <row r="24938" spans="1:1" x14ac:dyDescent="0.3">
      <c r="A24938" s="20"/>
    </row>
    <row r="24939" spans="1:1" x14ac:dyDescent="0.3">
      <c r="A24939" s="20"/>
    </row>
    <row r="24940" spans="1:1" x14ac:dyDescent="0.3">
      <c r="A24940" s="20"/>
    </row>
    <row r="24941" spans="1:1" x14ac:dyDescent="0.3">
      <c r="A24941" s="20"/>
    </row>
    <row r="24942" spans="1:1" x14ac:dyDescent="0.3">
      <c r="A24942" s="20"/>
    </row>
    <row r="24943" spans="1:1" x14ac:dyDescent="0.3">
      <c r="A24943" s="20"/>
    </row>
    <row r="24944" spans="1:1" x14ac:dyDescent="0.3">
      <c r="A24944" s="20"/>
    </row>
    <row r="24945" spans="1:1" x14ac:dyDescent="0.3">
      <c r="A24945" s="20"/>
    </row>
    <row r="24946" spans="1:1" x14ac:dyDescent="0.3">
      <c r="A24946" s="20"/>
    </row>
    <row r="24947" spans="1:1" x14ac:dyDescent="0.3">
      <c r="A24947" s="20"/>
    </row>
    <row r="24948" spans="1:1" x14ac:dyDescent="0.3">
      <c r="A24948" s="20"/>
    </row>
    <row r="24949" spans="1:1" x14ac:dyDescent="0.3">
      <c r="A24949" s="20"/>
    </row>
    <row r="24950" spans="1:1" x14ac:dyDescent="0.3">
      <c r="A24950" s="20"/>
    </row>
    <row r="24951" spans="1:1" x14ac:dyDescent="0.3">
      <c r="A24951" s="20"/>
    </row>
    <row r="24952" spans="1:1" x14ac:dyDescent="0.3">
      <c r="A24952" s="20"/>
    </row>
    <row r="24953" spans="1:1" x14ac:dyDescent="0.3">
      <c r="A24953" s="20"/>
    </row>
    <row r="24954" spans="1:1" x14ac:dyDescent="0.3">
      <c r="A24954" s="20"/>
    </row>
    <row r="24955" spans="1:1" x14ac:dyDescent="0.3">
      <c r="A24955" s="20"/>
    </row>
    <row r="24956" spans="1:1" x14ac:dyDescent="0.3">
      <c r="A24956" s="20"/>
    </row>
    <row r="24957" spans="1:1" x14ac:dyDescent="0.3">
      <c r="A24957" s="20"/>
    </row>
    <row r="24958" spans="1:1" x14ac:dyDescent="0.3">
      <c r="A24958" s="20"/>
    </row>
    <row r="24959" spans="1:1" x14ac:dyDescent="0.3">
      <c r="A24959" s="20"/>
    </row>
    <row r="24960" spans="1:1" x14ac:dyDescent="0.3">
      <c r="A24960" s="20"/>
    </row>
    <row r="24961" spans="1:1" x14ac:dyDescent="0.3">
      <c r="A24961" s="20"/>
    </row>
    <row r="24962" spans="1:1" x14ac:dyDescent="0.3">
      <c r="A24962" s="20"/>
    </row>
    <row r="24963" spans="1:1" x14ac:dyDescent="0.3">
      <c r="A24963" s="20"/>
    </row>
    <row r="24964" spans="1:1" x14ac:dyDescent="0.3">
      <c r="A24964" s="20"/>
    </row>
    <row r="24965" spans="1:1" x14ac:dyDescent="0.3">
      <c r="A24965" s="20"/>
    </row>
    <row r="24966" spans="1:1" x14ac:dyDescent="0.3">
      <c r="A24966" s="20"/>
    </row>
    <row r="24967" spans="1:1" x14ac:dyDescent="0.3">
      <c r="A24967" s="20"/>
    </row>
    <row r="24968" spans="1:1" x14ac:dyDescent="0.3">
      <c r="A24968" s="20"/>
    </row>
    <row r="24969" spans="1:1" x14ac:dyDescent="0.3">
      <c r="A24969" s="20"/>
    </row>
    <row r="24970" spans="1:1" x14ac:dyDescent="0.3">
      <c r="A24970" s="20"/>
    </row>
    <row r="24971" spans="1:1" x14ac:dyDescent="0.3">
      <c r="A24971" s="20"/>
    </row>
    <row r="24972" spans="1:1" x14ac:dyDescent="0.3">
      <c r="A24972" s="20"/>
    </row>
    <row r="24973" spans="1:1" x14ac:dyDescent="0.3">
      <c r="A24973" s="20"/>
    </row>
    <row r="24974" spans="1:1" x14ac:dyDescent="0.3">
      <c r="A24974" s="20"/>
    </row>
    <row r="24975" spans="1:1" x14ac:dyDescent="0.3">
      <c r="A24975" s="20"/>
    </row>
    <row r="24976" spans="1:1" x14ac:dyDescent="0.3">
      <c r="A24976" s="20"/>
    </row>
    <row r="24977" spans="1:1" x14ac:dyDescent="0.3">
      <c r="A24977" s="20"/>
    </row>
    <row r="24978" spans="1:1" x14ac:dyDescent="0.3">
      <c r="A24978" s="20"/>
    </row>
    <row r="24979" spans="1:1" x14ac:dyDescent="0.3">
      <c r="A24979" s="20"/>
    </row>
    <row r="24980" spans="1:1" x14ac:dyDescent="0.3">
      <c r="A24980" s="20"/>
    </row>
    <row r="24981" spans="1:1" x14ac:dyDescent="0.3">
      <c r="A24981" s="20"/>
    </row>
    <row r="24982" spans="1:1" x14ac:dyDescent="0.3">
      <c r="A24982" s="20"/>
    </row>
    <row r="24983" spans="1:1" x14ac:dyDescent="0.3">
      <c r="A24983" s="20"/>
    </row>
    <row r="24984" spans="1:1" x14ac:dyDescent="0.3">
      <c r="A24984" s="20"/>
    </row>
    <row r="24985" spans="1:1" x14ac:dyDescent="0.3">
      <c r="A24985" s="20"/>
    </row>
    <row r="24986" spans="1:1" x14ac:dyDescent="0.3">
      <c r="A24986" s="20"/>
    </row>
    <row r="24987" spans="1:1" x14ac:dyDescent="0.3">
      <c r="A24987" s="20"/>
    </row>
    <row r="24988" spans="1:1" x14ac:dyDescent="0.3">
      <c r="A24988" s="20"/>
    </row>
    <row r="24989" spans="1:1" x14ac:dyDescent="0.3">
      <c r="A24989" s="20"/>
    </row>
    <row r="24990" spans="1:1" x14ac:dyDescent="0.3">
      <c r="A24990" s="20"/>
    </row>
    <row r="24991" spans="1:1" x14ac:dyDescent="0.3">
      <c r="A24991" s="20"/>
    </row>
    <row r="24992" spans="1:1" x14ac:dyDescent="0.3">
      <c r="A24992" s="20"/>
    </row>
    <row r="24993" spans="1:1" x14ac:dyDescent="0.3">
      <c r="A24993" s="20"/>
    </row>
    <row r="24994" spans="1:1" x14ac:dyDescent="0.3">
      <c r="A24994" s="20"/>
    </row>
    <row r="24995" spans="1:1" x14ac:dyDescent="0.3">
      <c r="A24995" s="20"/>
    </row>
    <row r="24996" spans="1:1" x14ac:dyDescent="0.3">
      <c r="A24996" s="20"/>
    </row>
    <row r="24997" spans="1:1" x14ac:dyDescent="0.3">
      <c r="A24997" s="20"/>
    </row>
    <row r="24998" spans="1:1" x14ac:dyDescent="0.3">
      <c r="A24998" s="20"/>
    </row>
    <row r="24999" spans="1:1" x14ac:dyDescent="0.3">
      <c r="A24999" s="20"/>
    </row>
    <row r="25000" spans="1:1" x14ac:dyDescent="0.3">
      <c r="A25000" s="20"/>
    </row>
    <row r="25001" spans="1:1" x14ac:dyDescent="0.3">
      <c r="A25001" s="20"/>
    </row>
    <row r="25002" spans="1:1" x14ac:dyDescent="0.3">
      <c r="A25002" s="20"/>
    </row>
    <row r="25003" spans="1:1" x14ac:dyDescent="0.3">
      <c r="A25003" s="20"/>
    </row>
    <row r="25004" spans="1:1" x14ac:dyDescent="0.3">
      <c r="A25004" s="20"/>
    </row>
    <row r="25005" spans="1:1" x14ac:dyDescent="0.3">
      <c r="A25005" s="20"/>
    </row>
    <row r="25006" spans="1:1" x14ac:dyDescent="0.3">
      <c r="A25006" s="20"/>
    </row>
    <row r="25007" spans="1:1" x14ac:dyDescent="0.3">
      <c r="A25007" s="20"/>
    </row>
    <row r="25008" spans="1:1" x14ac:dyDescent="0.3">
      <c r="A25008" s="20"/>
    </row>
    <row r="25009" spans="1:1" x14ac:dyDescent="0.3">
      <c r="A25009" s="20"/>
    </row>
    <row r="25010" spans="1:1" x14ac:dyDescent="0.3">
      <c r="A25010" s="20"/>
    </row>
    <row r="25011" spans="1:1" x14ac:dyDescent="0.3">
      <c r="A25011" s="20"/>
    </row>
    <row r="25012" spans="1:1" x14ac:dyDescent="0.3">
      <c r="A25012" s="20"/>
    </row>
    <row r="25013" spans="1:1" x14ac:dyDescent="0.3">
      <c r="A25013" s="20"/>
    </row>
    <row r="25014" spans="1:1" x14ac:dyDescent="0.3">
      <c r="A25014" s="20"/>
    </row>
    <row r="25015" spans="1:1" x14ac:dyDescent="0.3">
      <c r="A25015" s="20"/>
    </row>
    <row r="25016" spans="1:1" x14ac:dyDescent="0.3">
      <c r="A25016" s="20"/>
    </row>
    <row r="25017" spans="1:1" x14ac:dyDescent="0.3">
      <c r="A25017" s="20"/>
    </row>
    <row r="25018" spans="1:1" x14ac:dyDescent="0.3">
      <c r="A25018" s="20"/>
    </row>
    <row r="25019" spans="1:1" x14ac:dyDescent="0.3">
      <c r="A25019" s="20"/>
    </row>
    <row r="25020" spans="1:1" x14ac:dyDescent="0.3">
      <c r="A25020" s="20"/>
    </row>
    <row r="25021" spans="1:1" x14ac:dyDescent="0.3">
      <c r="A25021" s="20"/>
    </row>
    <row r="25022" spans="1:1" x14ac:dyDescent="0.3">
      <c r="A25022" s="20"/>
    </row>
    <row r="25023" spans="1:1" x14ac:dyDescent="0.3">
      <c r="A25023" s="20"/>
    </row>
    <row r="25024" spans="1:1" x14ac:dyDescent="0.3">
      <c r="A25024" s="20"/>
    </row>
    <row r="25025" spans="1:1" x14ac:dyDescent="0.3">
      <c r="A25025" s="20"/>
    </row>
    <row r="25026" spans="1:1" x14ac:dyDescent="0.3">
      <c r="A25026" s="20"/>
    </row>
    <row r="25027" spans="1:1" x14ac:dyDescent="0.3">
      <c r="A25027" s="20"/>
    </row>
    <row r="25028" spans="1:1" x14ac:dyDescent="0.3">
      <c r="A25028" s="20"/>
    </row>
    <row r="25029" spans="1:1" x14ac:dyDescent="0.3">
      <c r="A25029" s="20"/>
    </row>
    <row r="25030" spans="1:1" x14ac:dyDescent="0.3">
      <c r="A25030" s="20"/>
    </row>
    <row r="25031" spans="1:1" x14ac:dyDescent="0.3">
      <c r="A25031" s="20"/>
    </row>
    <row r="25032" spans="1:1" x14ac:dyDescent="0.3">
      <c r="A25032" s="20"/>
    </row>
    <row r="25033" spans="1:1" x14ac:dyDescent="0.3">
      <c r="A25033" s="20"/>
    </row>
    <row r="25034" spans="1:1" x14ac:dyDescent="0.3">
      <c r="A25034" s="20"/>
    </row>
    <row r="25035" spans="1:1" x14ac:dyDescent="0.3">
      <c r="A25035" s="20"/>
    </row>
    <row r="25036" spans="1:1" x14ac:dyDescent="0.3">
      <c r="A25036" s="20"/>
    </row>
    <row r="25037" spans="1:1" x14ac:dyDescent="0.3">
      <c r="A25037" s="20"/>
    </row>
    <row r="25038" spans="1:1" x14ac:dyDescent="0.3">
      <c r="A25038" s="20"/>
    </row>
    <row r="25039" spans="1:1" x14ac:dyDescent="0.3">
      <c r="A25039" s="20"/>
    </row>
    <row r="25040" spans="1:1" x14ac:dyDescent="0.3">
      <c r="A25040" s="20"/>
    </row>
    <row r="25041" spans="1:1" x14ac:dyDescent="0.3">
      <c r="A25041" s="20"/>
    </row>
    <row r="25042" spans="1:1" x14ac:dyDescent="0.3">
      <c r="A25042" s="20"/>
    </row>
    <row r="25043" spans="1:1" x14ac:dyDescent="0.3">
      <c r="A25043" s="20"/>
    </row>
    <row r="25044" spans="1:1" x14ac:dyDescent="0.3">
      <c r="A25044" s="20"/>
    </row>
    <row r="25045" spans="1:1" x14ac:dyDescent="0.3">
      <c r="A25045" s="20"/>
    </row>
    <row r="25046" spans="1:1" x14ac:dyDescent="0.3">
      <c r="A25046" s="20"/>
    </row>
    <row r="25047" spans="1:1" x14ac:dyDescent="0.3">
      <c r="A25047" s="20"/>
    </row>
    <row r="25048" spans="1:1" x14ac:dyDescent="0.3">
      <c r="A25048" s="20"/>
    </row>
    <row r="25049" spans="1:1" x14ac:dyDescent="0.3">
      <c r="A25049" s="20"/>
    </row>
    <row r="25050" spans="1:1" x14ac:dyDescent="0.3">
      <c r="A25050" s="20"/>
    </row>
    <row r="25051" spans="1:1" x14ac:dyDescent="0.3">
      <c r="A25051" s="20"/>
    </row>
    <row r="25052" spans="1:1" x14ac:dyDescent="0.3">
      <c r="A25052" s="20"/>
    </row>
    <row r="25053" spans="1:1" x14ac:dyDescent="0.3">
      <c r="A25053" s="20"/>
    </row>
    <row r="25054" spans="1:1" x14ac:dyDescent="0.3">
      <c r="A25054" s="20"/>
    </row>
    <row r="25055" spans="1:1" x14ac:dyDescent="0.3">
      <c r="A25055" s="20"/>
    </row>
    <row r="25056" spans="1:1" x14ac:dyDescent="0.3">
      <c r="A25056" s="20"/>
    </row>
    <row r="25057" spans="1:1" x14ac:dyDescent="0.3">
      <c r="A25057" s="20"/>
    </row>
    <row r="25058" spans="1:1" x14ac:dyDescent="0.3">
      <c r="A25058" s="20"/>
    </row>
    <row r="25059" spans="1:1" x14ac:dyDescent="0.3">
      <c r="A25059" s="20"/>
    </row>
    <row r="25060" spans="1:1" x14ac:dyDescent="0.3">
      <c r="A25060" s="20"/>
    </row>
    <row r="25061" spans="1:1" x14ac:dyDescent="0.3">
      <c r="A25061" s="20"/>
    </row>
    <row r="25062" spans="1:1" x14ac:dyDescent="0.3">
      <c r="A25062" s="20"/>
    </row>
    <row r="25063" spans="1:1" x14ac:dyDescent="0.3">
      <c r="A25063" s="20"/>
    </row>
    <row r="25064" spans="1:1" x14ac:dyDescent="0.3">
      <c r="A25064" s="20"/>
    </row>
    <row r="25065" spans="1:1" x14ac:dyDescent="0.3">
      <c r="A25065" s="20"/>
    </row>
    <row r="25066" spans="1:1" x14ac:dyDescent="0.3">
      <c r="A25066" s="20"/>
    </row>
    <row r="25067" spans="1:1" x14ac:dyDescent="0.3">
      <c r="A25067" s="20"/>
    </row>
    <row r="25068" spans="1:1" x14ac:dyDescent="0.3">
      <c r="A25068" s="20"/>
    </row>
    <row r="25069" spans="1:1" x14ac:dyDescent="0.3">
      <c r="A25069" s="20"/>
    </row>
    <row r="25070" spans="1:1" x14ac:dyDescent="0.3">
      <c r="A25070" s="20"/>
    </row>
    <row r="25071" spans="1:1" x14ac:dyDescent="0.3">
      <c r="A25071" s="20"/>
    </row>
    <row r="25072" spans="1:1" x14ac:dyDescent="0.3">
      <c r="A25072" s="20"/>
    </row>
    <row r="25073" spans="1:1" x14ac:dyDescent="0.3">
      <c r="A25073" s="20"/>
    </row>
    <row r="25074" spans="1:1" x14ac:dyDescent="0.3">
      <c r="A25074" s="20"/>
    </row>
    <row r="25075" spans="1:1" x14ac:dyDescent="0.3">
      <c r="A25075" s="20"/>
    </row>
    <row r="25076" spans="1:1" x14ac:dyDescent="0.3">
      <c r="A25076" s="20"/>
    </row>
    <row r="25077" spans="1:1" x14ac:dyDescent="0.3">
      <c r="A25077" s="20"/>
    </row>
    <row r="25078" spans="1:1" x14ac:dyDescent="0.3">
      <c r="A25078" s="20"/>
    </row>
    <row r="25079" spans="1:1" x14ac:dyDescent="0.3">
      <c r="A25079" s="20"/>
    </row>
    <row r="25080" spans="1:1" x14ac:dyDescent="0.3">
      <c r="A25080" s="20"/>
    </row>
    <row r="25081" spans="1:1" x14ac:dyDescent="0.3">
      <c r="A25081" s="20"/>
    </row>
    <row r="25082" spans="1:1" x14ac:dyDescent="0.3">
      <c r="A25082" s="20"/>
    </row>
    <row r="25083" spans="1:1" x14ac:dyDescent="0.3">
      <c r="A25083" s="20"/>
    </row>
    <row r="25084" spans="1:1" x14ac:dyDescent="0.3">
      <c r="A25084" s="20"/>
    </row>
    <row r="25085" spans="1:1" x14ac:dyDescent="0.3">
      <c r="A25085" s="20"/>
    </row>
    <row r="25086" spans="1:1" x14ac:dyDescent="0.3">
      <c r="A25086" s="20"/>
    </row>
    <row r="25087" spans="1:1" x14ac:dyDescent="0.3">
      <c r="A25087" s="20"/>
    </row>
    <row r="25088" spans="1:1" x14ac:dyDescent="0.3">
      <c r="A25088" s="20"/>
    </row>
    <row r="25089" spans="1:1" x14ac:dyDescent="0.3">
      <c r="A25089" s="20"/>
    </row>
    <row r="25090" spans="1:1" x14ac:dyDescent="0.3">
      <c r="A25090" s="20"/>
    </row>
    <row r="25091" spans="1:1" x14ac:dyDescent="0.3">
      <c r="A25091" s="20"/>
    </row>
    <row r="25092" spans="1:1" x14ac:dyDescent="0.3">
      <c r="A25092" s="20"/>
    </row>
    <row r="25093" spans="1:1" x14ac:dyDescent="0.3">
      <c r="A25093" s="20"/>
    </row>
    <row r="25094" spans="1:1" x14ac:dyDescent="0.3">
      <c r="A25094" s="20"/>
    </row>
    <row r="25095" spans="1:1" x14ac:dyDescent="0.3">
      <c r="A25095" s="20"/>
    </row>
    <row r="25096" spans="1:1" x14ac:dyDescent="0.3">
      <c r="A25096" s="20"/>
    </row>
    <row r="25097" spans="1:1" x14ac:dyDescent="0.3">
      <c r="A25097" s="20"/>
    </row>
    <row r="25098" spans="1:1" x14ac:dyDescent="0.3">
      <c r="A25098" s="20"/>
    </row>
    <row r="25099" spans="1:1" x14ac:dyDescent="0.3">
      <c r="A25099" s="20"/>
    </row>
    <row r="25100" spans="1:1" x14ac:dyDescent="0.3">
      <c r="A25100" s="20"/>
    </row>
    <row r="25101" spans="1:1" x14ac:dyDescent="0.3">
      <c r="A25101" s="20"/>
    </row>
    <row r="25102" spans="1:1" x14ac:dyDescent="0.3">
      <c r="A25102" s="20"/>
    </row>
    <row r="25103" spans="1:1" x14ac:dyDescent="0.3">
      <c r="A25103" s="20"/>
    </row>
    <row r="25104" spans="1:1" x14ac:dyDescent="0.3">
      <c r="A25104" s="20"/>
    </row>
    <row r="25105" spans="1:1" x14ac:dyDescent="0.3">
      <c r="A25105" s="20"/>
    </row>
    <row r="25106" spans="1:1" x14ac:dyDescent="0.3">
      <c r="A25106" s="20"/>
    </row>
    <row r="25107" spans="1:1" x14ac:dyDescent="0.3">
      <c r="A25107" s="20"/>
    </row>
    <row r="25108" spans="1:1" x14ac:dyDescent="0.3">
      <c r="A25108" s="20"/>
    </row>
    <row r="25109" spans="1:1" x14ac:dyDescent="0.3">
      <c r="A25109" s="20"/>
    </row>
    <row r="25110" spans="1:1" x14ac:dyDescent="0.3">
      <c r="A25110" s="20"/>
    </row>
    <row r="25111" spans="1:1" x14ac:dyDescent="0.3">
      <c r="A25111" s="20"/>
    </row>
    <row r="25112" spans="1:1" x14ac:dyDescent="0.3">
      <c r="A25112" s="20"/>
    </row>
    <row r="25113" spans="1:1" x14ac:dyDescent="0.3">
      <c r="A25113" s="20"/>
    </row>
    <row r="25114" spans="1:1" x14ac:dyDescent="0.3">
      <c r="A25114" s="20"/>
    </row>
    <row r="25115" spans="1:1" x14ac:dyDescent="0.3">
      <c r="A25115" s="20"/>
    </row>
    <row r="25116" spans="1:1" x14ac:dyDescent="0.3">
      <c r="A25116" s="20"/>
    </row>
    <row r="25117" spans="1:1" x14ac:dyDescent="0.3">
      <c r="A25117" s="20"/>
    </row>
    <row r="25118" spans="1:1" x14ac:dyDescent="0.3">
      <c r="A25118" s="20"/>
    </row>
    <row r="25119" spans="1:1" x14ac:dyDescent="0.3">
      <c r="A25119" s="20"/>
    </row>
    <row r="25120" spans="1:1" x14ac:dyDescent="0.3">
      <c r="A25120" s="20"/>
    </row>
    <row r="25121" spans="1:1" x14ac:dyDescent="0.3">
      <c r="A25121" s="20"/>
    </row>
    <row r="25122" spans="1:1" x14ac:dyDescent="0.3">
      <c r="A25122" s="20"/>
    </row>
    <row r="25123" spans="1:1" x14ac:dyDescent="0.3">
      <c r="A25123" s="20"/>
    </row>
    <row r="25124" spans="1:1" x14ac:dyDescent="0.3">
      <c r="A25124" s="20"/>
    </row>
    <row r="25125" spans="1:1" x14ac:dyDescent="0.3">
      <c r="A25125" s="20"/>
    </row>
    <row r="25126" spans="1:1" x14ac:dyDescent="0.3">
      <c r="A25126" s="20"/>
    </row>
    <row r="25127" spans="1:1" x14ac:dyDescent="0.3">
      <c r="A25127" s="20"/>
    </row>
    <row r="25128" spans="1:1" x14ac:dyDescent="0.3">
      <c r="A25128" s="20"/>
    </row>
    <row r="25129" spans="1:1" x14ac:dyDescent="0.3">
      <c r="A25129" s="20"/>
    </row>
    <row r="25130" spans="1:1" x14ac:dyDescent="0.3">
      <c r="A25130" s="20"/>
    </row>
    <row r="25131" spans="1:1" x14ac:dyDescent="0.3">
      <c r="A25131" s="20"/>
    </row>
    <row r="25132" spans="1:1" x14ac:dyDescent="0.3">
      <c r="A25132" s="20"/>
    </row>
    <row r="25133" spans="1:1" x14ac:dyDescent="0.3">
      <c r="A25133" s="20"/>
    </row>
    <row r="25134" spans="1:1" x14ac:dyDescent="0.3">
      <c r="A25134" s="20"/>
    </row>
    <row r="25135" spans="1:1" x14ac:dyDescent="0.3">
      <c r="A25135" s="20"/>
    </row>
    <row r="25136" spans="1:1" x14ac:dyDescent="0.3">
      <c r="A25136" s="20"/>
    </row>
    <row r="25137" spans="1:1" x14ac:dyDescent="0.3">
      <c r="A25137" s="20"/>
    </row>
    <row r="25138" spans="1:1" x14ac:dyDescent="0.3">
      <c r="A25138" s="20"/>
    </row>
    <row r="25139" spans="1:1" x14ac:dyDescent="0.3">
      <c r="A25139" s="20"/>
    </row>
    <row r="25140" spans="1:1" x14ac:dyDescent="0.3">
      <c r="A25140" s="20"/>
    </row>
    <row r="25141" spans="1:1" x14ac:dyDescent="0.3">
      <c r="A25141" s="20"/>
    </row>
    <row r="25142" spans="1:1" x14ac:dyDescent="0.3">
      <c r="A25142" s="20"/>
    </row>
    <row r="25143" spans="1:1" x14ac:dyDescent="0.3">
      <c r="A25143" s="20"/>
    </row>
    <row r="25144" spans="1:1" x14ac:dyDescent="0.3">
      <c r="A25144" s="20"/>
    </row>
    <row r="25145" spans="1:1" x14ac:dyDescent="0.3">
      <c r="A25145" s="20"/>
    </row>
    <row r="25146" spans="1:1" x14ac:dyDescent="0.3">
      <c r="A25146" s="20"/>
    </row>
    <row r="25147" spans="1:1" x14ac:dyDescent="0.3">
      <c r="A25147" s="20"/>
    </row>
    <row r="25148" spans="1:1" x14ac:dyDescent="0.3">
      <c r="A25148" s="20"/>
    </row>
    <row r="25149" spans="1:1" x14ac:dyDescent="0.3">
      <c r="A25149" s="20"/>
    </row>
    <row r="25150" spans="1:1" x14ac:dyDescent="0.3">
      <c r="A25150" s="20"/>
    </row>
    <row r="25151" spans="1:1" x14ac:dyDescent="0.3">
      <c r="A25151" s="20"/>
    </row>
    <row r="25152" spans="1:1" x14ac:dyDescent="0.3">
      <c r="A25152" s="20"/>
    </row>
    <row r="25153" spans="1:1" x14ac:dyDescent="0.3">
      <c r="A25153" s="20"/>
    </row>
    <row r="25154" spans="1:1" x14ac:dyDescent="0.3">
      <c r="A25154" s="20"/>
    </row>
    <row r="25155" spans="1:1" x14ac:dyDescent="0.3">
      <c r="A25155" s="20"/>
    </row>
    <row r="25156" spans="1:1" x14ac:dyDescent="0.3">
      <c r="A25156" s="20"/>
    </row>
    <row r="25157" spans="1:1" x14ac:dyDescent="0.3">
      <c r="A25157" s="20"/>
    </row>
    <row r="25158" spans="1:1" x14ac:dyDescent="0.3">
      <c r="A25158" s="20"/>
    </row>
    <row r="25159" spans="1:1" x14ac:dyDescent="0.3">
      <c r="A25159" s="20"/>
    </row>
    <row r="25160" spans="1:1" x14ac:dyDescent="0.3">
      <c r="A25160" s="20"/>
    </row>
    <row r="25161" spans="1:1" x14ac:dyDescent="0.3">
      <c r="A25161" s="20"/>
    </row>
    <row r="25162" spans="1:1" x14ac:dyDescent="0.3">
      <c r="A25162" s="20"/>
    </row>
    <row r="25163" spans="1:1" x14ac:dyDescent="0.3">
      <c r="A25163" s="20"/>
    </row>
    <row r="25164" spans="1:1" x14ac:dyDescent="0.3">
      <c r="A25164" s="20"/>
    </row>
    <row r="25165" spans="1:1" x14ac:dyDescent="0.3">
      <c r="A25165" s="20"/>
    </row>
    <row r="25166" spans="1:1" x14ac:dyDescent="0.3">
      <c r="A25166" s="20"/>
    </row>
    <row r="25167" spans="1:1" x14ac:dyDescent="0.3">
      <c r="A25167" s="20"/>
    </row>
    <row r="25168" spans="1:1" x14ac:dyDescent="0.3">
      <c r="A25168" s="20"/>
    </row>
    <row r="25169" spans="1:1" x14ac:dyDescent="0.3">
      <c r="A25169" s="20"/>
    </row>
    <row r="25170" spans="1:1" x14ac:dyDescent="0.3">
      <c r="A25170" s="20"/>
    </row>
    <row r="25171" spans="1:1" x14ac:dyDescent="0.3">
      <c r="A25171" s="20"/>
    </row>
    <row r="25172" spans="1:1" x14ac:dyDescent="0.3">
      <c r="A25172" s="20"/>
    </row>
    <row r="25173" spans="1:1" x14ac:dyDescent="0.3">
      <c r="A25173" s="20"/>
    </row>
    <row r="25174" spans="1:1" x14ac:dyDescent="0.3">
      <c r="A25174" s="20"/>
    </row>
    <row r="25175" spans="1:1" x14ac:dyDescent="0.3">
      <c r="A25175" s="20"/>
    </row>
    <row r="25176" spans="1:1" x14ac:dyDescent="0.3">
      <c r="A25176" s="20"/>
    </row>
    <row r="25177" spans="1:1" x14ac:dyDescent="0.3">
      <c r="A25177" s="20"/>
    </row>
    <row r="25178" spans="1:1" x14ac:dyDescent="0.3">
      <c r="A25178" s="20"/>
    </row>
    <row r="25179" spans="1:1" x14ac:dyDescent="0.3">
      <c r="A25179" s="20"/>
    </row>
    <row r="25180" spans="1:1" x14ac:dyDescent="0.3">
      <c r="A25180" s="20"/>
    </row>
    <row r="25181" spans="1:1" x14ac:dyDescent="0.3">
      <c r="A25181" s="20"/>
    </row>
    <row r="25182" spans="1:1" x14ac:dyDescent="0.3">
      <c r="A25182" s="20"/>
    </row>
    <row r="25183" spans="1:1" x14ac:dyDescent="0.3">
      <c r="A25183" s="20"/>
    </row>
    <row r="25184" spans="1:1" x14ac:dyDescent="0.3">
      <c r="A25184" s="20"/>
    </row>
    <row r="25185" spans="1:1" x14ac:dyDescent="0.3">
      <c r="A25185" s="20"/>
    </row>
    <row r="25186" spans="1:1" x14ac:dyDescent="0.3">
      <c r="A25186" s="20"/>
    </row>
    <row r="25187" spans="1:1" x14ac:dyDescent="0.3">
      <c r="A25187" s="20"/>
    </row>
    <row r="25188" spans="1:1" x14ac:dyDescent="0.3">
      <c r="A25188" s="20"/>
    </row>
    <row r="25189" spans="1:1" x14ac:dyDescent="0.3">
      <c r="A25189" s="20"/>
    </row>
    <row r="25190" spans="1:1" x14ac:dyDescent="0.3">
      <c r="A25190" s="20"/>
    </row>
    <row r="25191" spans="1:1" x14ac:dyDescent="0.3">
      <c r="A25191" s="20"/>
    </row>
    <row r="25192" spans="1:1" x14ac:dyDescent="0.3">
      <c r="A25192" s="20"/>
    </row>
    <row r="25193" spans="1:1" x14ac:dyDescent="0.3">
      <c r="A25193" s="20"/>
    </row>
    <row r="25194" spans="1:1" x14ac:dyDescent="0.3">
      <c r="A25194" s="20"/>
    </row>
    <row r="25195" spans="1:1" x14ac:dyDescent="0.3">
      <c r="A25195" s="20"/>
    </row>
    <row r="25196" spans="1:1" x14ac:dyDescent="0.3">
      <c r="A25196" s="20"/>
    </row>
    <row r="25197" spans="1:1" x14ac:dyDescent="0.3">
      <c r="A25197" s="20"/>
    </row>
    <row r="25198" spans="1:1" x14ac:dyDescent="0.3">
      <c r="A25198" s="20"/>
    </row>
    <row r="25199" spans="1:1" x14ac:dyDescent="0.3">
      <c r="A25199" s="20"/>
    </row>
    <row r="25200" spans="1:1" x14ac:dyDescent="0.3">
      <c r="A25200" s="20"/>
    </row>
    <row r="25201" spans="1:1" x14ac:dyDescent="0.3">
      <c r="A25201" s="20"/>
    </row>
    <row r="25202" spans="1:1" x14ac:dyDescent="0.3">
      <c r="A25202" s="20"/>
    </row>
    <row r="25203" spans="1:1" x14ac:dyDescent="0.3">
      <c r="A25203" s="20"/>
    </row>
    <row r="25204" spans="1:1" x14ac:dyDescent="0.3">
      <c r="A25204" s="20"/>
    </row>
    <row r="25205" spans="1:1" x14ac:dyDescent="0.3">
      <c r="A25205" s="20"/>
    </row>
    <row r="25206" spans="1:1" x14ac:dyDescent="0.3">
      <c r="A25206" s="20"/>
    </row>
    <row r="25207" spans="1:1" x14ac:dyDescent="0.3">
      <c r="A25207" s="20"/>
    </row>
    <row r="25208" spans="1:1" x14ac:dyDescent="0.3">
      <c r="A25208" s="20"/>
    </row>
    <row r="25209" spans="1:1" x14ac:dyDescent="0.3">
      <c r="A25209" s="20"/>
    </row>
    <row r="25210" spans="1:1" x14ac:dyDescent="0.3">
      <c r="A25210" s="20"/>
    </row>
    <row r="25211" spans="1:1" x14ac:dyDescent="0.3">
      <c r="A25211" s="20"/>
    </row>
    <row r="25212" spans="1:1" x14ac:dyDescent="0.3">
      <c r="A25212" s="20"/>
    </row>
    <row r="25213" spans="1:1" x14ac:dyDescent="0.3">
      <c r="A25213" s="20"/>
    </row>
    <row r="25214" spans="1:1" x14ac:dyDescent="0.3">
      <c r="A25214" s="20"/>
    </row>
    <row r="25215" spans="1:1" x14ac:dyDescent="0.3">
      <c r="A25215" s="20"/>
    </row>
    <row r="25216" spans="1:1" x14ac:dyDescent="0.3">
      <c r="A25216" s="20"/>
    </row>
    <row r="25217" spans="1:1" x14ac:dyDescent="0.3">
      <c r="A25217" s="20"/>
    </row>
    <row r="25218" spans="1:1" x14ac:dyDescent="0.3">
      <c r="A25218" s="20"/>
    </row>
    <row r="25219" spans="1:1" x14ac:dyDescent="0.3">
      <c r="A25219" s="20"/>
    </row>
    <row r="25220" spans="1:1" x14ac:dyDescent="0.3">
      <c r="A25220" s="20"/>
    </row>
    <row r="25221" spans="1:1" x14ac:dyDescent="0.3">
      <c r="A25221" s="20"/>
    </row>
    <row r="25222" spans="1:1" x14ac:dyDescent="0.3">
      <c r="A25222" s="20"/>
    </row>
    <row r="25223" spans="1:1" x14ac:dyDescent="0.3">
      <c r="A25223" s="20"/>
    </row>
    <row r="25224" spans="1:1" x14ac:dyDescent="0.3">
      <c r="A25224" s="20"/>
    </row>
    <row r="25225" spans="1:1" x14ac:dyDescent="0.3">
      <c r="A25225" s="20"/>
    </row>
    <row r="25226" spans="1:1" x14ac:dyDescent="0.3">
      <c r="A25226" s="20"/>
    </row>
    <row r="25227" spans="1:1" x14ac:dyDescent="0.3">
      <c r="A25227" s="20"/>
    </row>
    <row r="25228" spans="1:1" x14ac:dyDescent="0.3">
      <c r="A25228" s="20"/>
    </row>
    <row r="25229" spans="1:1" x14ac:dyDescent="0.3">
      <c r="A25229" s="20"/>
    </row>
    <row r="25230" spans="1:1" x14ac:dyDescent="0.3">
      <c r="A25230" s="20"/>
    </row>
    <row r="25231" spans="1:1" x14ac:dyDescent="0.3">
      <c r="A25231" s="20"/>
    </row>
    <row r="25232" spans="1:1" x14ac:dyDescent="0.3">
      <c r="A25232" s="20"/>
    </row>
    <row r="25233" spans="1:1" x14ac:dyDescent="0.3">
      <c r="A25233" s="20"/>
    </row>
    <row r="25234" spans="1:1" x14ac:dyDescent="0.3">
      <c r="A25234" s="20"/>
    </row>
    <row r="25235" spans="1:1" x14ac:dyDescent="0.3">
      <c r="A25235" s="20"/>
    </row>
    <row r="25236" spans="1:1" x14ac:dyDescent="0.3">
      <c r="A25236" s="20"/>
    </row>
    <row r="25237" spans="1:1" x14ac:dyDescent="0.3">
      <c r="A25237" s="20"/>
    </row>
    <row r="25238" spans="1:1" x14ac:dyDescent="0.3">
      <c r="A25238" s="20"/>
    </row>
    <row r="25239" spans="1:1" x14ac:dyDescent="0.3">
      <c r="A25239" s="20"/>
    </row>
    <row r="25240" spans="1:1" x14ac:dyDescent="0.3">
      <c r="A25240" s="20"/>
    </row>
    <row r="25241" spans="1:1" x14ac:dyDescent="0.3">
      <c r="A25241" s="20"/>
    </row>
    <row r="25242" spans="1:1" x14ac:dyDescent="0.3">
      <c r="A25242" s="20"/>
    </row>
    <row r="25243" spans="1:1" x14ac:dyDescent="0.3">
      <c r="A25243" s="20"/>
    </row>
    <row r="25244" spans="1:1" x14ac:dyDescent="0.3">
      <c r="A25244" s="20"/>
    </row>
    <row r="25245" spans="1:1" x14ac:dyDescent="0.3">
      <c r="A25245" s="20"/>
    </row>
    <row r="25246" spans="1:1" x14ac:dyDescent="0.3">
      <c r="A25246" s="20"/>
    </row>
    <row r="25247" spans="1:1" x14ac:dyDescent="0.3">
      <c r="A25247" s="20"/>
    </row>
    <row r="25248" spans="1:1" x14ac:dyDescent="0.3">
      <c r="A25248" s="20"/>
    </row>
    <row r="25249" spans="1:1" x14ac:dyDescent="0.3">
      <c r="A25249" s="20"/>
    </row>
    <row r="25250" spans="1:1" x14ac:dyDescent="0.3">
      <c r="A25250" s="20"/>
    </row>
    <row r="25251" spans="1:1" x14ac:dyDescent="0.3">
      <c r="A25251" s="20"/>
    </row>
    <row r="25252" spans="1:1" x14ac:dyDescent="0.3">
      <c r="A25252" s="20"/>
    </row>
    <row r="25253" spans="1:1" x14ac:dyDescent="0.3">
      <c r="A25253" s="20"/>
    </row>
    <row r="25254" spans="1:1" x14ac:dyDescent="0.3">
      <c r="A25254" s="20"/>
    </row>
    <row r="25255" spans="1:1" x14ac:dyDescent="0.3">
      <c r="A25255" s="20"/>
    </row>
    <row r="25256" spans="1:1" x14ac:dyDescent="0.3">
      <c r="A25256" s="20"/>
    </row>
    <row r="25257" spans="1:1" x14ac:dyDescent="0.3">
      <c r="A25257" s="20"/>
    </row>
    <row r="25258" spans="1:1" x14ac:dyDescent="0.3">
      <c r="A25258" s="20"/>
    </row>
    <row r="25259" spans="1:1" x14ac:dyDescent="0.3">
      <c r="A25259" s="20"/>
    </row>
    <row r="25260" spans="1:1" x14ac:dyDescent="0.3">
      <c r="A25260" s="20"/>
    </row>
    <row r="25261" spans="1:1" x14ac:dyDescent="0.3">
      <c r="A25261" s="20"/>
    </row>
    <row r="25262" spans="1:1" x14ac:dyDescent="0.3">
      <c r="A25262" s="20"/>
    </row>
    <row r="25263" spans="1:1" x14ac:dyDescent="0.3">
      <c r="A25263" s="20"/>
    </row>
    <row r="25264" spans="1:1" x14ac:dyDescent="0.3">
      <c r="A25264" s="20"/>
    </row>
    <row r="25265" spans="1:1" x14ac:dyDescent="0.3">
      <c r="A25265" s="20"/>
    </row>
    <row r="25266" spans="1:1" x14ac:dyDescent="0.3">
      <c r="A25266" s="20"/>
    </row>
    <row r="25267" spans="1:1" x14ac:dyDescent="0.3">
      <c r="A25267" s="20"/>
    </row>
    <row r="25268" spans="1:1" x14ac:dyDescent="0.3">
      <c r="A25268" s="20"/>
    </row>
    <row r="25269" spans="1:1" x14ac:dyDescent="0.3">
      <c r="A25269" s="20"/>
    </row>
    <row r="25270" spans="1:1" x14ac:dyDescent="0.3">
      <c r="A25270" s="20"/>
    </row>
    <row r="25271" spans="1:1" x14ac:dyDescent="0.3">
      <c r="A25271" s="20"/>
    </row>
    <row r="25272" spans="1:1" x14ac:dyDescent="0.3">
      <c r="A25272" s="20"/>
    </row>
    <row r="25273" spans="1:1" x14ac:dyDescent="0.3">
      <c r="A25273" s="20"/>
    </row>
    <row r="25274" spans="1:1" x14ac:dyDescent="0.3">
      <c r="A25274" s="20"/>
    </row>
    <row r="25275" spans="1:1" x14ac:dyDescent="0.3">
      <c r="A25275" s="20"/>
    </row>
    <row r="25276" spans="1:1" x14ac:dyDescent="0.3">
      <c r="A25276" s="20"/>
    </row>
    <row r="25277" spans="1:1" x14ac:dyDescent="0.3">
      <c r="A25277" s="20"/>
    </row>
    <row r="25278" spans="1:1" x14ac:dyDescent="0.3">
      <c r="A25278" s="20"/>
    </row>
    <row r="25279" spans="1:1" x14ac:dyDescent="0.3">
      <c r="A25279" s="20"/>
    </row>
    <row r="25280" spans="1:1" x14ac:dyDescent="0.3">
      <c r="A25280" s="20"/>
    </row>
    <row r="25281" spans="1:1" x14ac:dyDescent="0.3">
      <c r="A25281" s="20"/>
    </row>
    <row r="25282" spans="1:1" x14ac:dyDescent="0.3">
      <c r="A25282" s="20"/>
    </row>
    <row r="25283" spans="1:1" x14ac:dyDescent="0.3">
      <c r="A25283" s="20"/>
    </row>
    <row r="25284" spans="1:1" x14ac:dyDescent="0.3">
      <c r="A25284" s="20"/>
    </row>
    <row r="25285" spans="1:1" x14ac:dyDescent="0.3">
      <c r="A25285" s="20"/>
    </row>
    <row r="25286" spans="1:1" x14ac:dyDescent="0.3">
      <c r="A25286" s="20"/>
    </row>
    <row r="25287" spans="1:1" x14ac:dyDescent="0.3">
      <c r="A25287" s="20"/>
    </row>
    <row r="25288" spans="1:1" x14ac:dyDescent="0.3">
      <c r="A25288" s="20"/>
    </row>
    <row r="25289" spans="1:1" x14ac:dyDescent="0.3">
      <c r="A25289" s="20"/>
    </row>
    <row r="25290" spans="1:1" x14ac:dyDescent="0.3">
      <c r="A25290" s="20"/>
    </row>
    <row r="25291" spans="1:1" x14ac:dyDescent="0.3">
      <c r="A25291" s="20"/>
    </row>
    <row r="25292" spans="1:1" x14ac:dyDescent="0.3">
      <c r="A25292" s="20"/>
    </row>
    <row r="25293" spans="1:1" x14ac:dyDescent="0.3">
      <c r="A25293" s="20"/>
    </row>
    <row r="25294" spans="1:1" x14ac:dyDescent="0.3">
      <c r="A25294" s="20"/>
    </row>
    <row r="25295" spans="1:1" x14ac:dyDescent="0.3">
      <c r="A25295" s="20"/>
    </row>
    <row r="25296" spans="1:1" x14ac:dyDescent="0.3">
      <c r="A25296" s="20"/>
    </row>
    <row r="25297" spans="1:1" x14ac:dyDescent="0.3">
      <c r="A25297" s="20"/>
    </row>
    <row r="25298" spans="1:1" x14ac:dyDescent="0.3">
      <c r="A25298" s="20"/>
    </row>
    <row r="25299" spans="1:1" x14ac:dyDescent="0.3">
      <c r="A25299" s="20"/>
    </row>
    <row r="25300" spans="1:1" x14ac:dyDescent="0.3">
      <c r="A25300" s="20"/>
    </row>
    <row r="25301" spans="1:1" x14ac:dyDescent="0.3">
      <c r="A25301" s="20"/>
    </row>
    <row r="25302" spans="1:1" x14ac:dyDescent="0.3">
      <c r="A25302" s="20"/>
    </row>
    <row r="25303" spans="1:1" x14ac:dyDescent="0.3">
      <c r="A25303" s="20"/>
    </row>
    <row r="25304" spans="1:1" x14ac:dyDescent="0.3">
      <c r="A25304" s="20"/>
    </row>
    <row r="25305" spans="1:1" x14ac:dyDescent="0.3">
      <c r="A25305" s="20"/>
    </row>
    <row r="25306" spans="1:1" x14ac:dyDescent="0.3">
      <c r="A25306" s="20"/>
    </row>
    <row r="25307" spans="1:1" x14ac:dyDescent="0.3">
      <c r="A25307" s="20"/>
    </row>
    <row r="25308" spans="1:1" x14ac:dyDescent="0.3">
      <c r="A25308" s="20"/>
    </row>
    <row r="25309" spans="1:1" x14ac:dyDescent="0.3">
      <c r="A25309" s="20"/>
    </row>
    <row r="25310" spans="1:1" x14ac:dyDescent="0.3">
      <c r="A25310" s="20"/>
    </row>
    <row r="25311" spans="1:1" x14ac:dyDescent="0.3">
      <c r="A25311" s="20"/>
    </row>
    <row r="25312" spans="1:1" x14ac:dyDescent="0.3">
      <c r="A25312" s="20"/>
    </row>
    <row r="25313" spans="1:1" x14ac:dyDescent="0.3">
      <c r="A25313" s="20"/>
    </row>
    <row r="25314" spans="1:1" x14ac:dyDescent="0.3">
      <c r="A25314" s="20"/>
    </row>
    <row r="25315" spans="1:1" x14ac:dyDescent="0.3">
      <c r="A25315" s="20"/>
    </row>
    <row r="25316" spans="1:1" x14ac:dyDescent="0.3">
      <c r="A25316" s="20"/>
    </row>
    <row r="25317" spans="1:1" x14ac:dyDescent="0.3">
      <c r="A25317" s="20"/>
    </row>
    <row r="25318" spans="1:1" x14ac:dyDescent="0.3">
      <c r="A25318" s="20"/>
    </row>
    <row r="25319" spans="1:1" x14ac:dyDescent="0.3">
      <c r="A25319" s="20"/>
    </row>
    <row r="25320" spans="1:1" x14ac:dyDescent="0.3">
      <c r="A25320" s="20"/>
    </row>
    <row r="25321" spans="1:1" x14ac:dyDescent="0.3">
      <c r="A25321" s="20"/>
    </row>
    <row r="25322" spans="1:1" x14ac:dyDescent="0.3">
      <c r="A25322" s="20"/>
    </row>
    <row r="25323" spans="1:1" x14ac:dyDescent="0.3">
      <c r="A25323" s="20"/>
    </row>
    <row r="25324" spans="1:1" x14ac:dyDescent="0.3">
      <c r="A25324" s="20"/>
    </row>
    <row r="25325" spans="1:1" x14ac:dyDescent="0.3">
      <c r="A25325" s="20"/>
    </row>
    <row r="25326" spans="1:1" x14ac:dyDescent="0.3">
      <c r="A25326" s="20"/>
    </row>
    <row r="25327" spans="1:1" x14ac:dyDescent="0.3">
      <c r="A25327" s="20"/>
    </row>
    <row r="25328" spans="1:1" x14ac:dyDescent="0.3">
      <c r="A25328" s="20"/>
    </row>
    <row r="25329" spans="1:1" x14ac:dyDescent="0.3">
      <c r="A25329" s="20"/>
    </row>
    <row r="25330" spans="1:1" x14ac:dyDescent="0.3">
      <c r="A25330" s="20"/>
    </row>
    <row r="25331" spans="1:1" x14ac:dyDescent="0.3">
      <c r="A25331" s="20"/>
    </row>
    <row r="25332" spans="1:1" x14ac:dyDescent="0.3">
      <c r="A25332" s="20"/>
    </row>
    <row r="25333" spans="1:1" x14ac:dyDescent="0.3">
      <c r="A25333" s="20"/>
    </row>
    <row r="25334" spans="1:1" x14ac:dyDescent="0.3">
      <c r="A25334" s="20"/>
    </row>
    <row r="25335" spans="1:1" x14ac:dyDescent="0.3">
      <c r="A25335" s="20"/>
    </row>
    <row r="25336" spans="1:1" x14ac:dyDescent="0.3">
      <c r="A25336" s="20"/>
    </row>
    <row r="25337" spans="1:1" x14ac:dyDescent="0.3">
      <c r="A25337" s="20"/>
    </row>
    <row r="25338" spans="1:1" x14ac:dyDescent="0.3">
      <c r="A25338" s="20"/>
    </row>
    <row r="25339" spans="1:1" x14ac:dyDescent="0.3">
      <c r="A25339" s="20"/>
    </row>
    <row r="25340" spans="1:1" x14ac:dyDescent="0.3">
      <c r="A25340" s="20"/>
    </row>
    <row r="25341" spans="1:1" x14ac:dyDescent="0.3">
      <c r="A25341" s="20"/>
    </row>
    <row r="25342" spans="1:1" x14ac:dyDescent="0.3">
      <c r="A25342" s="20"/>
    </row>
    <row r="25343" spans="1:1" x14ac:dyDescent="0.3">
      <c r="A25343" s="20"/>
    </row>
    <row r="25344" spans="1:1" x14ac:dyDescent="0.3">
      <c r="A25344" s="20"/>
    </row>
    <row r="25345" spans="1:1" x14ac:dyDescent="0.3">
      <c r="A25345" s="20"/>
    </row>
    <row r="25346" spans="1:1" x14ac:dyDescent="0.3">
      <c r="A25346" s="20"/>
    </row>
    <row r="25347" spans="1:1" x14ac:dyDescent="0.3">
      <c r="A25347" s="20"/>
    </row>
    <row r="25348" spans="1:1" x14ac:dyDescent="0.3">
      <c r="A25348" s="20"/>
    </row>
    <row r="25349" spans="1:1" x14ac:dyDescent="0.3">
      <c r="A25349" s="20"/>
    </row>
    <row r="25350" spans="1:1" x14ac:dyDescent="0.3">
      <c r="A25350" s="20"/>
    </row>
    <row r="25351" spans="1:1" x14ac:dyDescent="0.3">
      <c r="A25351" s="20"/>
    </row>
    <row r="25352" spans="1:1" x14ac:dyDescent="0.3">
      <c r="A25352" s="20"/>
    </row>
    <row r="25353" spans="1:1" x14ac:dyDescent="0.3">
      <c r="A25353" s="20"/>
    </row>
    <row r="25354" spans="1:1" x14ac:dyDescent="0.3">
      <c r="A25354" s="20"/>
    </row>
    <row r="25355" spans="1:1" x14ac:dyDescent="0.3">
      <c r="A25355" s="20"/>
    </row>
    <row r="25356" spans="1:1" x14ac:dyDescent="0.3">
      <c r="A25356" s="20"/>
    </row>
    <row r="25357" spans="1:1" x14ac:dyDescent="0.3">
      <c r="A25357" s="20"/>
    </row>
    <row r="25358" spans="1:1" x14ac:dyDescent="0.3">
      <c r="A25358" s="20"/>
    </row>
    <row r="25359" spans="1:1" x14ac:dyDescent="0.3">
      <c r="A25359" s="20"/>
    </row>
    <row r="25360" spans="1:1" x14ac:dyDescent="0.3">
      <c r="A25360" s="20"/>
    </row>
    <row r="25361" spans="1:1" x14ac:dyDescent="0.3">
      <c r="A25361" s="20"/>
    </row>
    <row r="25362" spans="1:1" x14ac:dyDescent="0.3">
      <c r="A25362" s="20"/>
    </row>
    <row r="25363" spans="1:1" x14ac:dyDescent="0.3">
      <c r="A25363" s="20"/>
    </row>
    <row r="25364" spans="1:1" x14ac:dyDescent="0.3">
      <c r="A25364" s="20"/>
    </row>
    <row r="25365" spans="1:1" x14ac:dyDescent="0.3">
      <c r="A25365" s="20"/>
    </row>
    <row r="25366" spans="1:1" x14ac:dyDescent="0.3">
      <c r="A25366" s="20"/>
    </row>
    <row r="25367" spans="1:1" x14ac:dyDescent="0.3">
      <c r="A25367" s="20"/>
    </row>
    <row r="25368" spans="1:1" x14ac:dyDescent="0.3">
      <c r="A25368" s="20"/>
    </row>
    <row r="25369" spans="1:1" x14ac:dyDescent="0.3">
      <c r="A25369" s="20"/>
    </row>
    <row r="25370" spans="1:1" x14ac:dyDescent="0.3">
      <c r="A25370" s="20"/>
    </row>
    <row r="25371" spans="1:1" x14ac:dyDescent="0.3">
      <c r="A25371" s="20"/>
    </row>
    <row r="25372" spans="1:1" x14ac:dyDescent="0.3">
      <c r="A25372" s="20"/>
    </row>
    <row r="25373" spans="1:1" x14ac:dyDescent="0.3">
      <c r="A25373" s="20"/>
    </row>
    <row r="25374" spans="1:1" x14ac:dyDescent="0.3">
      <c r="A25374" s="20"/>
    </row>
    <row r="25375" spans="1:1" x14ac:dyDescent="0.3">
      <c r="A25375" s="20"/>
    </row>
    <row r="25376" spans="1:1" x14ac:dyDescent="0.3">
      <c r="A25376" s="20"/>
    </row>
    <row r="25377" spans="1:1" x14ac:dyDescent="0.3">
      <c r="A25377" s="20"/>
    </row>
    <row r="25378" spans="1:1" x14ac:dyDescent="0.3">
      <c r="A25378" s="20"/>
    </row>
    <row r="25379" spans="1:1" x14ac:dyDescent="0.3">
      <c r="A25379" s="20"/>
    </row>
    <row r="25380" spans="1:1" x14ac:dyDescent="0.3">
      <c r="A25380" s="20"/>
    </row>
    <row r="25381" spans="1:1" x14ac:dyDescent="0.3">
      <c r="A25381" s="20"/>
    </row>
    <row r="25382" spans="1:1" x14ac:dyDescent="0.3">
      <c r="A25382" s="20"/>
    </row>
    <row r="25383" spans="1:1" x14ac:dyDescent="0.3">
      <c r="A25383" s="20"/>
    </row>
    <row r="25384" spans="1:1" x14ac:dyDescent="0.3">
      <c r="A25384" s="20"/>
    </row>
    <row r="25385" spans="1:1" x14ac:dyDescent="0.3">
      <c r="A25385" s="20"/>
    </row>
    <row r="25386" spans="1:1" x14ac:dyDescent="0.3">
      <c r="A25386" s="20"/>
    </row>
    <row r="25387" spans="1:1" x14ac:dyDescent="0.3">
      <c r="A25387" s="20"/>
    </row>
    <row r="25388" spans="1:1" x14ac:dyDescent="0.3">
      <c r="A25388" s="20"/>
    </row>
    <row r="25389" spans="1:1" x14ac:dyDescent="0.3">
      <c r="A25389" s="20"/>
    </row>
    <row r="25390" spans="1:1" x14ac:dyDescent="0.3">
      <c r="A25390" s="20"/>
    </row>
    <row r="25391" spans="1:1" x14ac:dyDescent="0.3">
      <c r="A25391" s="20"/>
    </row>
    <row r="25392" spans="1:1" x14ac:dyDescent="0.3">
      <c r="A25392" s="20"/>
    </row>
    <row r="25393" spans="1:1" x14ac:dyDescent="0.3">
      <c r="A25393" s="20"/>
    </row>
    <row r="25394" spans="1:1" x14ac:dyDescent="0.3">
      <c r="A25394" s="20"/>
    </row>
    <row r="25395" spans="1:1" x14ac:dyDescent="0.3">
      <c r="A25395" s="20"/>
    </row>
    <row r="25396" spans="1:1" x14ac:dyDescent="0.3">
      <c r="A25396" s="20"/>
    </row>
    <row r="25397" spans="1:1" x14ac:dyDescent="0.3">
      <c r="A25397" s="20"/>
    </row>
    <row r="25398" spans="1:1" x14ac:dyDescent="0.3">
      <c r="A25398" s="20"/>
    </row>
    <row r="25399" spans="1:1" x14ac:dyDescent="0.3">
      <c r="A25399" s="20"/>
    </row>
    <row r="25400" spans="1:1" x14ac:dyDescent="0.3">
      <c r="A25400" s="20"/>
    </row>
    <row r="25401" spans="1:1" x14ac:dyDescent="0.3">
      <c r="A25401" s="20"/>
    </row>
    <row r="25402" spans="1:1" x14ac:dyDescent="0.3">
      <c r="A25402" s="20"/>
    </row>
    <row r="25403" spans="1:1" x14ac:dyDescent="0.3">
      <c r="A25403" s="20"/>
    </row>
    <row r="25404" spans="1:1" x14ac:dyDescent="0.3">
      <c r="A25404" s="20"/>
    </row>
    <row r="25405" spans="1:1" x14ac:dyDescent="0.3">
      <c r="A25405" s="20"/>
    </row>
    <row r="25406" spans="1:1" x14ac:dyDescent="0.3">
      <c r="A25406" s="20"/>
    </row>
    <row r="25407" spans="1:1" x14ac:dyDescent="0.3">
      <c r="A25407" s="20"/>
    </row>
    <row r="25408" spans="1:1" x14ac:dyDescent="0.3">
      <c r="A25408" s="20"/>
    </row>
    <row r="25409" spans="1:1" x14ac:dyDescent="0.3">
      <c r="A25409" s="20"/>
    </row>
    <row r="25410" spans="1:1" x14ac:dyDescent="0.3">
      <c r="A25410" s="20"/>
    </row>
    <row r="25411" spans="1:1" x14ac:dyDescent="0.3">
      <c r="A25411" s="20"/>
    </row>
    <row r="25412" spans="1:1" x14ac:dyDescent="0.3">
      <c r="A25412" s="20"/>
    </row>
    <row r="25413" spans="1:1" x14ac:dyDescent="0.3">
      <c r="A25413" s="20"/>
    </row>
    <row r="25414" spans="1:1" x14ac:dyDescent="0.3">
      <c r="A25414" s="20"/>
    </row>
    <row r="25415" spans="1:1" x14ac:dyDescent="0.3">
      <c r="A25415" s="20"/>
    </row>
    <row r="25416" spans="1:1" x14ac:dyDescent="0.3">
      <c r="A25416" s="20"/>
    </row>
    <row r="25417" spans="1:1" x14ac:dyDescent="0.3">
      <c r="A25417" s="20"/>
    </row>
    <row r="25418" spans="1:1" x14ac:dyDescent="0.3">
      <c r="A25418" s="20"/>
    </row>
    <row r="25419" spans="1:1" x14ac:dyDescent="0.3">
      <c r="A25419" s="20"/>
    </row>
    <row r="25420" spans="1:1" x14ac:dyDescent="0.3">
      <c r="A25420" s="20"/>
    </row>
    <row r="25421" spans="1:1" x14ac:dyDescent="0.3">
      <c r="A25421" s="20"/>
    </row>
    <row r="25422" spans="1:1" x14ac:dyDescent="0.3">
      <c r="A25422" s="20"/>
    </row>
    <row r="25423" spans="1:1" x14ac:dyDescent="0.3">
      <c r="A25423" s="20"/>
    </row>
    <row r="25424" spans="1:1" x14ac:dyDescent="0.3">
      <c r="A25424" s="20"/>
    </row>
    <row r="25425" spans="1:1" x14ac:dyDescent="0.3">
      <c r="A25425" s="20"/>
    </row>
    <row r="25426" spans="1:1" x14ac:dyDescent="0.3">
      <c r="A25426" s="20"/>
    </row>
    <row r="25427" spans="1:1" x14ac:dyDescent="0.3">
      <c r="A25427" s="20"/>
    </row>
    <row r="25428" spans="1:1" x14ac:dyDescent="0.3">
      <c r="A25428" s="20"/>
    </row>
    <row r="25429" spans="1:1" x14ac:dyDescent="0.3">
      <c r="A25429" s="20"/>
    </row>
    <row r="25430" spans="1:1" x14ac:dyDescent="0.3">
      <c r="A25430" s="20"/>
    </row>
    <row r="25431" spans="1:1" x14ac:dyDescent="0.3">
      <c r="A25431" s="20"/>
    </row>
    <row r="25432" spans="1:1" x14ac:dyDescent="0.3">
      <c r="A25432" s="20"/>
    </row>
    <row r="25433" spans="1:1" x14ac:dyDescent="0.3">
      <c r="A25433" s="20"/>
    </row>
    <row r="25434" spans="1:1" x14ac:dyDescent="0.3">
      <c r="A25434" s="20"/>
    </row>
    <row r="25435" spans="1:1" x14ac:dyDescent="0.3">
      <c r="A25435" s="20"/>
    </row>
    <row r="25436" spans="1:1" x14ac:dyDescent="0.3">
      <c r="A25436" s="20"/>
    </row>
    <row r="25437" spans="1:1" x14ac:dyDescent="0.3">
      <c r="A25437" s="20"/>
    </row>
    <row r="25438" spans="1:1" x14ac:dyDescent="0.3">
      <c r="A25438" s="20"/>
    </row>
    <row r="25439" spans="1:1" x14ac:dyDescent="0.3">
      <c r="A25439" s="20"/>
    </row>
    <row r="25440" spans="1:1" x14ac:dyDescent="0.3">
      <c r="A25440" s="20"/>
    </row>
    <row r="25441" spans="1:1" x14ac:dyDescent="0.3">
      <c r="A25441" s="20"/>
    </row>
    <row r="25442" spans="1:1" x14ac:dyDescent="0.3">
      <c r="A25442" s="20"/>
    </row>
    <row r="25443" spans="1:1" x14ac:dyDescent="0.3">
      <c r="A25443" s="20"/>
    </row>
    <row r="25444" spans="1:1" x14ac:dyDescent="0.3">
      <c r="A25444" s="20"/>
    </row>
    <row r="25445" spans="1:1" x14ac:dyDescent="0.3">
      <c r="A25445" s="20"/>
    </row>
    <row r="25446" spans="1:1" x14ac:dyDescent="0.3">
      <c r="A25446" s="20"/>
    </row>
    <row r="25447" spans="1:1" x14ac:dyDescent="0.3">
      <c r="A25447" s="20"/>
    </row>
    <row r="25448" spans="1:1" x14ac:dyDescent="0.3">
      <c r="A25448" s="20"/>
    </row>
    <row r="25449" spans="1:1" x14ac:dyDescent="0.3">
      <c r="A25449" s="20"/>
    </row>
    <row r="25450" spans="1:1" x14ac:dyDescent="0.3">
      <c r="A25450" s="20"/>
    </row>
    <row r="25451" spans="1:1" x14ac:dyDescent="0.3">
      <c r="A25451" s="20"/>
    </row>
    <row r="25452" spans="1:1" x14ac:dyDescent="0.3">
      <c r="A25452" s="20"/>
    </row>
    <row r="25453" spans="1:1" x14ac:dyDescent="0.3">
      <c r="A25453" s="20"/>
    </row>
    <row r="25454" spans="1:1" x14ac:dyDescent="0.3">
      <c r="A25454" s="20"/>
    </row>
    <row r="25455" spans="1:1" x14ac:dyDescent="0.3">
      <c r="A25455" s="20"/>
    </row>
    <row r="25456" spans="1:1" x14ac:dyDescent="0.3">
      <c r="A25456" s="20"/>
    </row>
    <row r="25457" spans="1:1" x14ac:dyDescent="0.3">
      <c r="A25457" s="20"/>
    </row>
    <row r="25458" spans="1:1" x14ac:dyDescent="0.3">
      <c r="A25458" s="20"/>
    </row>
    <row r="25459" spans="1:1" x14ac:dyDescent="0.3">
      <c r="A25459" s="20"/>
    </row>
    <row r="25460" spans="1:1" x14ac:dyDescent="0.3">
      <c r="A25460" s="20"/>
    </row>
    <row r="25461" spans="1:1" x14ac:dyDescent="0.3">
      <c r="A25461" s="20"/>
    </row>
    <row r="25462" spans="1:1" x14ac:dyDescent="0.3">
      <c r="A25462" s="20"/>
    </row>
    <row r="25463" spans="1:1" x14ac:dyDescent="0.3">
      <c r="A25463" s="20"/>
    </row>
    <row r="25464" spans="1:1" x14ac:dyDescent="0.3">
      <c r="A25464" s="20"/>
    </row>
    <row r="25465" spans="1:1" x14ac:dyDescent="0.3">
      <c r="A25465" s="20"/>
    </row>
    <row r="25466" spans="1:1" x14ac:dyDescent="0.3">
      <c r="A25466" s="20"/>
    </row>
    <row r="25467" spans="1:1" x14ac:dyDescent="0.3">
      <c r="A25467" s="20"/>
    </row>
    <row r="25468" spans="1:1" x14ac:dyDescent="0.3">
      <c r="A25468" s="20"/>
    </row>
    <row r="25469" spans="1:1" x14ac:dyDescent="0.3">
      <c r="A25469" s="20"/>
    </row>
    <row r="25470" spans="1:1" x14ac:dyDescent="0.3">
      <c r="A25470" s="20"/>
    </row>
    <row r="25471" spans="1:1" x14ac:dyDescent="0.3">
      <c r="A25471" s="20"/>
    </row>
    <row r="25472" spans="1:1" x14ac:dyDescent="0.3">
      <c r="A25472" s="20"/>
    </row>
    <row r="25473" spans="1:1" x14ac:dyDescent="0.3">
      <c r="A25473" s="20"/>
    </row>
    <row r="25474" spans="1:1" x14ac:dyDescent="0.3">
      <c r="A25474" s="20"/>
    </row>
    <row r="25475" spans="1:1" x14ac:dyDescent="0.3">
      <c r="A25475" s="20"/>
    </row>
    <row r="25476" spans="1:1" x14ac:dyDescent="0.3">
      <c r="A25476" s="20"/>
    </row>
    <row r="25477" spans="1:1" x14ac:dyDescent="0.3">
      <c r="A25477" s="20"/>
    </row>
    <row r="25478" spans="1:1" x14ac:dyDescent="0.3">
      <c r="A25478" s="20"/>
    </row>
    <row r="25479" spans="1:1" x14ac:dyDescent="0.3">
      <c r="A25479" s="20"/>
    </row>
    <row r="25480" spans="1:1" x14ac:dyDescent="0.3">
      <c r="A25480" s="20"/>
    </row>
    <row r="25481" spans="1:1" x14ac:dyDescent="0.3">
      <c r="A25481" s="20"/>
    </row>
    <row r="25482" spans="1:1" x14ac:dyDescent="0.3">
      <c r="A25482" s="20"/>
    </row>
    <row r="25483" spans="1:1" x14ac:dyDescent="0.3">
      <c r="A25483" s="20"/>
    </row>
    <row r="25484" spans="1:1" x14ac:dyDescent="0.3">
      <c r="A25484" s="20"/>
    </row>
    <row r="25485" spans="1:1" x14ac:dyDescent="0.3">
      <c r="A25485" s="20"/>
    </row>
    <row r="25486" spans="1:1" x14ac:dyDescent="0.3">
      <c r="A25486" s="20"/>
    </row>
    <row r="25487" spans="1:1" x14ac:dyDescent="0.3">
      <c r="A25487" s="20"/>
    </row>
    <row r="25488" spans="1:1" x14ac:dyDescent="0.3">
      <c r="A25488" s="20"/>
    </row>
    <row r="25489" spans="1:1" x14ac:dyDescent="0.3">
      <c r="A25489" s="20"/>
    </row>
    <row r="25490" spans="1:1" x14ac:dyDescent="0.3">
      <c r="A25490" s="20"/>
    </row>
    <row r="25491" spans="1:1" x14ac:dyDescent="0.3">
      <c r="A25491" s="20"/>
    </row>
    <row r="25492" spans="1:1" x14ac:dyDescent="0.3">
      <c r="A25492" s="20"/>
    </row>
    <row r="25493" spans="1:1" x14ac:dyDescent="0.3">
      <c r="A25493" s="20"/>
    </row>
    <row r="25494" spans="1:1" x14ac:dyDescent="0.3">
      <c r="A25494" s="20"/>
    </row>
    <row r="25495" spans="1:1" x14ac:dyDescent="0.3">
      <c r="A25495" s="20"/>
    </row>
    <row r="25496" spans="1:1" x14ac:dyDescent="0.3">
      <c r="A25496" s="20"/>
    </row>
    <row r="25497" spans="1:1" x14ac:dyDescent="0.3">
      <c r="A25497" s="20"/>
    </row>
    <row r="25498" spans="1:1" x14ac:dyDescent="0.3">
      <c r="A25498" s="20"/>
    </row>
    <row r="25499" spans="1:1" x14ac:dyDescent="0.3">
      <c r="A25499" s="20"/>
    </row>
    <row r="25500" spans="1:1" x14ac:dyDescent="0.3">
      <c r="A25500" s="20"/>
    </row>
    <row r="25501" spans="1:1" x14ac:dyDescent="0.3">
      <c r="A25501" s="20"/>
    </row>
    <row r="25502" spans="1:1" x14ac:dyDescent="0.3">
      <c r="A25502" s="20"/>
    </row>
    <row r="25503" spans="1:1" x14ac:dyDescent="0.3">
      <c r="A25503" s="20"/>
    </row>
    <row r="25504" spans="1:1" x14ac:dyDescent="0.3">
      <c r="A25504" s="20"/>
    </row>
    <row r="25505" spans="1:1" x14ac:dyDescent="0.3">
      <c r="A25505" s="20"/>
    </row>
    <row r="25506" spans="1:1" x14ac:dyDescent="0.3">
      <c r="A25506" s="20"/>
    </row>
    <row r="25507" spans="1:1" x14ac:dyDescent="0.3">
      <c r="A25507" s="20"/>
    </row>
    <row r="25508" spans="1:1" x14ac:dyDescent="0.3">
      <c r="A25508" s="20"/>
    </row>
    <row r="25509" spans="1:1" x14ac:dyDescent="0.3">
      <c r="A25509" s="20"/>
    </row>
    <row r="25510" spans="1:1" x14ac:dyDescent="0.3">
      <c r="A25510" s="20"/>
    </row>
    <row r="25511" spans="1:1" x14ac:dyDescent="0.3">
      <c r="A25511" s="20"/>
    </row>
    <row r="25512" spans="1:1" x14ac:dyDescent="0.3">
      <c r="A25512" s="20"/>
    </row>
    <row r="25513" spans="1:1" x14ac:dyDescent="0.3">
      <c r="A25513" s="20"/>
    </row>
    <row r="25514" spans="1:1" x14ac:dyDescent="0.3">
      <c r="A25514" s="20"/>
    </row>
    <row r="25515" spans="1:1" x14ac:dyDescent="0.3">
      <c r="A25515" s="20"/>
    </row>
    <row r="25516" spans="1:1" x14ac:dyDescent="0.3">
      <c r="A25516" s="20"/>
    </row>
    <row r="25517" spans="1:1" x14ac:dyDescent="0.3">
      <c r="A25517" s="20"/>
    </row>
    <row r="25518" spans="1:1" x14ac:dyDescent="0.3">
      <c r="A25518" s="20"/>
    </row>
    <row r="25519" spans="1:1" x14ac:dyDescent="0.3">
      <c r="A25519" s="20"/>
    </row>
    <row r="25520" spans="1:1" x14ac:dyDescent="0.3">
      <c r="A25520" s="20"/>
    </row>
    <row r="25521" spans="1:1" x14ac:dyDescent="0.3">
      <c r="A25521" s="20"/>
    </row>
    <row r="25522" spans="1:1" x14ac:dyDescent="0.3">
      <c r="A25522" s="20"/>
    </row>
    <row r="25523" spans="1:1" x14ac:dyDescent="0.3">
      <c r="A25523" s="20"/>
    </row>
    <row r="25524" spans="1:1" x14ac:dyDescent="0.3">
      <c r="A25524" s="20"/>
    </row>
    <row r="25525" spans="1:1" x14ac:dyDescent="0.3">
      <c r="A25525" s="20"/>
    </row>
    <row r="25526" spans="1:1" x14ac:dyDescent="0.3">
      <c r="A25526" s="20"/>
    </row>
    <row r="25527" spans="1:1" x14ac:dyDescent="0.3">
      <c r="A25527" s="20"/>
    </row>
    <row r="25528" spans="1:1" x14ac:dyDescent="0.3">
      <c r="A25528" s="20"/>
    </row>
    <row r="25529" spans="1:1" x14ac:dyDescent="0.3">
      <c r="A25529" s="20"/>
    </row>
    <row r="25530" spans="1:1" x14ac:dyDescent="0.3">
      <c r="A25530" s="20"/>
    </row>
    <row r="25531" spans="1:1" x14ac:dyDescent="0.3">
      <c r="A25531" s="20"/>
    </row>
    <row r="25532" spans="1:1" x14ac:dyDescent="0.3">
      <c r="A25532" s="20"/>
    </row>
    <row r="25533" spans="1:1" x14ac:dyDescent="0.3">
      <c r="A25533" s="20"/>
    </row>
    <row r="25534" spans="1:1" x14ac:dyDescent="0.3">
      <c r="A25534" s="20"/>
    </row>
    <row r="25535" spans="1:1" x14ac:dyDescent="0.3">
      <c r="A25535" s="20"/>
    </row>
    <row r="25536" spans="1:1" x14ac:dyDescent="0.3">
      <c r="A25536" s="20"/>
    </row>
    <row r="25537" spans="1:1" x14ac:dyDescent="0.3">
      <c r="A25537" s="20"/>
    </row>
    <row r="25538" spans="1:1" x14ac:dyDescent="0.3">
      <c r="A25538" s="20"/>
    </row>
    <row r="25539" spans="1:1" x14ac:dyDescent="0.3">
      <c r="A25539" s="20"/>
    </row>
    <row r="25540" spans="1:1" x14ac:dyDescent="0.3">
      <c r="A25540" s="20"/>
    </row>
    <row r="25541" spans="1:1" x14ac:dyDescent="0.3">
      <c r="A25541" s="20"/>
    </row>
    <row r="25542" spans="1:1" x14ac:dyDescent="0.3">
      <c r="A25542" s="20"/>
    </row>
    <row r="25543" spans="1:1" x14ac:dyDescent="0.3">
      <c r="A25543" s="20"/>
    </row>
    <row r="25544" spans="1:1" x14ac:dyDescent="0.3">
      <c r="A25544" s="20"/>
    </row>
    <row r="25545" spans="1:1" x14ac:dyDescent="0.3">
      <c r="A25545" s="20"/>
    </row>
    <row r="25546" spans="1:1" x14ac:dyDescent="0.3">
      <c r="A25546" s="20"/>
    </row>
    <row r="25547" spans="1:1" x14ac:dyDescent="0.3">
      <c r="A25547" s="20"/>
    </row>
    <row r="25548" spans="1:1" x14ac:dyDescent="0.3">
      <c r="A25548" s="20"/>
    </row>
    <row r="25549" spans="1:1" x14ac:dyDescent="0.3">
      <c r="A25549" s="20"/>
    </row>
    <row r="25550" spans="1:1" x14ac:dyDescent="0.3">
      <c r="A25550" s="20"/>
    </row>
    <row r="25551" spans="1:1" x14ac:dyDescent="0.3">
      <c r="A25551" s="20"/>
    </row>
    <row r="25552" spans="1:1" x14ac:dyDescent="0.3">
      <c r="A25552" s="20"/>
    </row>
    <row r="25553" spans="1:1" x14ac:dyDescent="0.3">
      <c r="A25553" s="20"/>
    </row>
    <row r="25554" spans="1:1" x14ac:dyDescent="0.3">
      <c r="A25554" s="20"/>
    </row>
    <row r="25555" spans="1:1" x14ac:dyDescent="0.3">
      <c r="A25555" s="20"/>
    </row>
    <row r="25556" spans="1:1" x14ac:dyDescent="0.3">
      <c r="A25556" s="20"/>
    </row>
    <row r="25557" spans="1:1" x14ac:dyDescent="0.3">
      <c r="A25557" s="20"/>
    </row>
    <row r="25558" spans="1:1" x14ac:dyDescent="0.3">
      <c r="A25558" s="20"/>
    </row>
    <row r="25559" spans="1:1" x14ac:dyDescent="0.3">
      <c r="A25559" s="20"/>
    </row>
    <row r="25560" spans="1:1" x14ac:dyDescent="0.3">
      <c r="A25560" s="20"/>
    </row>
    <row r="25561" spans="1:1" x14ac:dyDescent="0.3">
      <c r="A25561" s="20"/>
    </row>
    <row r="25562" spans="1:1" x14ac:dyDescent="0.3">
      <c r="A25562" s="20"/>
    </row>
    <row r="25563" spans="1:1" x14ac:dyDescent="0.3">
      <c r="A25563" s="20"/>
    </row>
    <row r="25564" spans="1:1" x14ac:dyDescent="0.3">
      <c r="A25564" s="20"/>
    </row>
    <row r="25565" spans="1:1" x14ac:dyDescent="0.3">
      <c r="A25565" s="20"/>
    </row>
    <row r="25566" spans="1:1" x14ac:dyDescent="0.3">
      <c r="A25566" s="20"/>
    </row>
    <row r="25567" spans="1:1" x14ac:dyDescent="0.3">
      <c r="A25567" s="20"/>
    </row>
    <row r="25568" spans="1:1" x14ac:dyDescent="0.3">
      <c r="A25568" s="20"/>
    </row>
    <row r="25569" spans="1:1" x14ac:dyDescent="0.3">
      <c r="A25569" s="20"/>
    </row>
    <row r="25570" spans="1:1" x14ac:dyDescent="0.3">
      <c r="A25570" s="20"/>
    </row>
    <row r="25571" spans="1:1" x14ac:dyDescent="0.3">
      <c r="A25571" s="20"/>
    </row>
    <row r="25572" spans="1:1" x14ac:dyDescent="0.3">
      <c r="A25572" s="20"/>
    </row>
    <row r="25573" spans="1:1" x14ac:dyDescent="0.3">
      <c r="A25573" s="20"/>
    </row>
    <row r="25574" spans="1:1" x14ac:dyDescent="0.3">
      <c r="A25574" s="20"/>
    </row>
    <row r="25575" spans="1:1" x14ac:dyDescent="0.3">
      <c r="A25575" s="20"/>
    </row>
    <row r="25576" spans="1:1" x14ac:dyDescent="0.3">
      <c r="A25576" s="20"/>
    </row>
    <row r="25577" spans="1:1" x14ac:dyDescent="0.3">
      <c r="A25577" s="20"/>
    </row>
    <row r="25578" spans="1:1" x14ac:dyDescent="0.3">
      <c r="A25578" s="20"/>
    </row>
    <row r="25579" spans="1:1" x14ac:dyDescent="0.3">
      <c r="A25579" s="20"/>
    </row>
    <row r="25580" spans="1:1" x14ac:dyDescent="0.3">
      <c r="A25580" s="20"/>
    </row>
    <row r="25581" spans="1:1" x14ac:dyDescent="0.3">
      <c r="A25581" s="20"/>
    </row>
    <row r="25582" spans="1:1" x14ac:dyDescent="0.3">
      <c r="A25582" s="20"/>
    </row>
    <row r="25583" spans="1:1" x14ac:dyDescent="0.3">
      <c r="A25583" s="20"/>
    </row>
    <row r="25584" spans="1:1" x14ac:dyDescent="0.3">
      <c r="A25584" s="20"/>
    </row>
    <row r="25585" spans="1:1" x14ac:dyDescent="0.3">
      <c r="A25585" s="20"/>
    </row>
    <row r="25586" spans="1:1" x14ac:dyDescent="0.3">
      <c r="A25586" s="20"/>
    </row>
    <row r="25587" spans="1:1" x14ac:dyDescent="0.3">
      <c r="A25587" s="20"/>
    </row>
    <row r="25588" spans="1:1" x14ac:dyDescent="0.3">
      <c r="A25588" s="20"/>
    </row>
    <row r="25589" spans="1:1" x14ac:dyDescent="0.3">
      <c r="A25589" s="20"/>
    </row>
    <row r="25590" spans="1:1" x14ac:dyDescent="0.3">
      <c r="A25590" s="20"/>
    </row>
    <row r="25591" spans="1:1" x14ac:dyDescent="0.3">
      <c r="A25591" s="20"/>
    </row>
    <row r="25592" spans="1:1" x14ac:dyDescent="0.3">
      <c r="A25592" s="20"/>
    </row>
    <row r="25593" spans="1:1" x14ac:dyDescent="0.3">
      <c r="A25593" s="20"/>
    </row>
    <row r="25594" spans="1:1" x14ac:dyDescent="0.3">
      <c r="A25594" s="20"/>
    </row>
    <row r="25595" spans="1:1" x14ac:dyDescent="0.3">
      <c r="A25595" s="20"/>
    </row>
    <row r="25596" spans="1:1" x14ac:dyDescent="0.3">
      <c r="A25596" s="20"/>
    </row>
    <row r="25597" spans="1:1" x14ac:dyDescent="0.3">
      <c r="A25597" s="20"/>
    </row>
    <row r="25598" spans="1:1" x14ac:dyDescent="0.3">
      <c r="A25598" s="20"/>
    </row>
    <row r="25599" spans="1:1" x14ac:dyDescent="0.3">
      <c r="A25599" s="20"/>
    </row>
    <row r="25600" spans="1:1" x14ac:dyDescent="0.3">
      <c r="A25600" s="20"/>
    </row>
    <row r="25601" spans="1:1" x14ac:dyDescent="0.3">
      <c r="A25601" s="20"/>
    </row>
    <row r="25602" spans="1:1" x14ac:dyDescent="0.3">
      <c r="A25602" s="20"/>
    </row>
    <row r="25603" spans="1:1" x14ac:dyDescent="0.3">
      <c r="A25603" s="20"/>
    </row>
    <row r="25604" spans="1:1" x14ac:dyDescent="0.3">
      <c r="A25604" s="20"/>
    </row>
    <row r="25605" spans="1:1" x14ac:dyDescent="0.3">
      <c r="A25605" s="20"/>
    </row>
    <row r="25606" spans="1:1" x14ac:dyDescent="0.3">
      <c r="A25606" s="20"/>
    </row>
    <row r="25607" spans="1:1" x14ac:dyDescent="0.3">
      <c r="A25607" s="20"/>
    </row>
    <row r="25608" spans="1:1" x14ac:dyDescent="0.3">
      <c r="A25608" s="20"/>
    </row>
    <row r="25609" spans="1:1" x14ac:dyDescent="0.3">
      <c r="A25609" s="20"/>
    </row>
    <row r="25610" spans="1:1" x14ac:dyDescent="0.3">
      <c r="A25610" s="20"/>
    </row>
    <row r="25611" spans="1:1" x14ac:dyDescent="0.3">
      <c r="A25611" s="20"/>
    </row>
    <row r="25612" spans="1:1" x14ac:dyDescent="0.3">
      <c r="A25612" s="20"/>
    </row>
    <row r="25613" spans="1:1" x14ac:dyDescent="0.3">
      <c r="A25613" s="20"/>
    </row>
    <row r="25614" spans="1:1" x14ac:dyDescent="0.3">
      <c r="A25614" s="20"/>
    </row>
    <row r="25615" spans="1:1" x14ac:dyDescent="0.3">
      <c r="A25615" s="20"/>
    </row>
    <row r="25616" spans="1:1" x14ac:dyDescent="0.3">
      <c r="A25616" s="20"/>
    </row>
    <row r="25617" spans="1:1" x14ac:dyDescent="0.3">
      <c r="A25617" s="20"/>
    </row>
    <row r="25618" spans="1:1" x14ac:dyDescent="0.3">
      <c r="A25618" s="20"/>
    </row>
    <row r="25619" spans="1:1" x14ac:dyDescent="0.3">
      <c r="A25619" s="20"/>
    </row>
    <row r="25620" spans="1:1" x14ac:dyDescent="0.3">
      <c r="A25620" s="20"/>
    </row>
    <row r="25621" spans="1:1" x14ac:dyDescent="0.3">
      <c r="A25621" s="20"/>
    </row>
    <row r="25622" spans="1:1" x14ac:dyDescent="0.3">
      <c r="A25622" s="20"/>
    </row>
    <row r="25623" spans="1:1" x14ac:dyDescent="0.3">
      <c r="A25623" s="20"/>
    </row>
    <row r="25624" spans="1:1" x14ac:dyDescent="0.3">
      <c r="A25624" s="20"/>
    </row>
    <row r="25625" spans="1:1" x14ac:dyDescent="0.3">
      <c r="A25625" s="20"/>
    </row>
    <row r="25626" spans="1:1" x14ac:dyDescent="0.3">
      <c r="A25626" s="20"/>
    </row>
    <row r="25627" spans="1:1" x14ac:dyDescent="0.3">
      <c r="A25627" s="20"/>
    </row>
    <row r="25628" spans="1:1" x14ac:dyDescent="0.3">
      <c r="A25628" s="20"/>
    </row>
    <row r="25629" spans="1:1" x14ac:dyDescent="0.3">
      <c r="A25629" s="20"/>
    </row>
    <row r="25630" spans="1:1" x14ac:dyDescent="0.3">
      <c r="A25630" s="20"/>
    </row>
    <row r="25631" spans="1:1" x14ac:dyDescent="0.3">
      <c r="A25631" s="20"/>
    </row>
    <row r="25632" spans="1:1" x14ac:dyDescent="0.3">
      <c r="A25632" s="20"/>
    </row>
    <row r="25633" spans="1:1" x14ac:dyDescent="0.3">
      <c r="A25633" s="20"/>
    </row>
    <row r="25634" spans="1:1" x14ac:dyDescent="0.3">
      <c r="A25634" s="20"/>
    </row>
    <row r="25635" spans="1:1" x14ac:dyDescent="0.3">
      <c r="A25635" s="20"/>
    </row>
    <row r="25636" spans="1:1" x14ac:dyDescent="0.3">
      <c r="A25636" s="20"/>
    </row>
    <row r="25637" spans="1:1" x14ac:dyDescent="0.3">
      <c r="A25637" s="20"/>
    </row>
    <row r="25638" spans="1:1" x14ac:dyDescent="0.3">
      <c r="A25638" s="20"/>
    </row>
    <row r="25639" spans="1:1" x14ac:dyDescent="0.3">
      <c r="A25639" s="20"/>
    </row>
    <row r="25640" spans="1:1" x14ac:dyDescent="0.3">
      <c r="A25640" s="20"/>
    </row>
    <row r="25641" spans="1:1" x14ac:dyDescent="0.3">
      <c r="A25641" s="20"/>
    </row>
    <row r="25642" spans="1:1" x14ac:dyDescent="0.3">
      <c r="A25642" s="20"/>
    </row>
    <row r="25643" spans="1:1" x14ac:dyDescent="0.3">
      <c r="A25643" s="20"/>
    </row>
    <row r="25644" spans="1:1" x14ac:dyDescent="0.3">
      <c r="A25644" s="20"/>
    </row>
    <row r="25645" spans="1:1" x14ac:dyDescent="0.3">
      <c r="A25645" s="20"/>
    </row>
    <row r="25646" spans="1:1" x14ac:dyDescent="0.3">
      <c r="A25646" s="20"/>
    </row>
    <row r="25647" spans="1:1" x14ac:dyDescent="0.3">
      <c r="A25647" s="20"/>
    </row>
    <row r="25648" spans="1:1" x14ac:dyDescent="0.3">
      <c r="A25648" s="20"/>
    </row>
    <row r="25649" spans="1:1" x14ac:dyDescent="0.3">
      <c r="A25649" s="20"/>
    </row>
    <row r="25650" spans="1:1" x14ac:dyDescent="0.3">
      <c r="A25650" s="20"/>
    </row>
    <row r="25651" spans="1:1" x14ac:dyDescent="0.3">
      <c r="A25651" s="20"/>
    </row>
    <row r="25652" spans="1:1" x14ac:dyDescent="0.3">
      <c r="A25652" s="20"/>
    </row>
    <row r="25653" spans="1:1" x14ac:dyDescent="0.3">
      <c r="A25653" s="20"/>
    </row>
    <row r="25654" spans="1:1" x14ac:dyDescent="0.3">
      <c r="A25654" s="20"/>
    </row>
    <row r="25655" spans="1:1" x14ac:dyDescent="0.3">
      <c r="A25655" s="20"/>
    </row>
    <row r="25656" spans="1:1" x14ac:dyDescent="0.3">
      <c r="A25656" s="20"/>
    </row>
    <row r="25657" spans="1:1" x14ac:dyDescent="0.3">
      <c r="A25657" s="20"/>
    </row>
    <row r="25658" spans="1:1" x14ac:dyDescent="0.3">
      <c r="A25658" s="20"/>
    </row>
    <row r="25659" spans="1:1" x14ac:dyDescent="0.3">
      <c r="A25659" s="20"/>
    </row>
    <row r="25660" spans="1:1" x14ac:dyDescent="0.3">
      <c r="A25660" s="20"/>
    </row>
    <row r="25661" spans="1:1" x14ac:dyDescent="0.3">
      <c r="A25661" s="20"/>
    </row>
    <row r="25662" spans="1:1" x14ac:dyDescent="0.3">
      <c r="A25662" s="20"/>
    </row>
    <row r="25663" spans="1:1" x14ac:dyDescent="0.3">
      <c r="A25663" s="20"/>
    </row>
    <row r="25664" spans="1:1" x14ac:dyDescent="0.3">
      <c r="A25664" s="20"/>
    </row>
    <row r="25665" spans="1:1" x14ac:dyDescent="0.3">
      <c r="A25665" s="20"/>
    </row>
    <row r="25666" spans="1:1" x14ac:dyDescent="0.3">
      <c r="A25666" s="20"/>
    </row>
    <row r="25667" spans="1:1" x14ac:dyDescent="0.3">
      <c r="A25667" s="20"/>
    </row>
    <row r="25668" spans="1:1" x14ac:dyDescent="0.3">
      <c r="A25668" s="20"/>
    </row>
    <row r="25669" spans="1:1" x14ac:dyDescent="0.3">
      <c r="A25669" s="20"/>
    </row>
    <row r="25670" spans="1:1" x14ac:dyDescent="0.3">
      <c r="A25670" s="20"/>
    </row>
    <row r="25671" spans="1:1" x14ac:dyDescent="0.3">
      <c r="A25671" s="20"/>
    </row>
    <row r="25672" spans="1:1" x14ac:dyDescent="0.3">
      <c r="A25672" s="20"/>
    </row>
    <row r="25673" spans="1:1" x14ac:dyDescent="0.3">
      <c r="A25673" s="20"/>
    </row>
    <row r="25674" spans="1:1" x14ac:dyDescent="0.3">
      <c r="A25674" s="20"/>
    </row>
    <row r="25675" spans="1:1" x14ac:dyDescent="0.3">
      <c r="A25675" s="20"/>
    </row>
    <row r="25676" spans="1:1" x14ac:dyDescent="0.3">
      <c r="A25676" s="20"/>
    </row>
    <row r="25677" spans="1:1" x14ac:dyDescent="0.3">
      <c r="A25677" s="20"/>
    </row>
    <row r="25678" spans="1:1" x14ac:dyDescent="0.3">
      <c r="A25678" s="20"/>
    </row>
    <row r="25679" spans="1:1" x14ac:dyDescent="0.3">
      <c r="A25679" s="20"/>
    </row>
    <row r="25680" spans="1:1" x14ac:dyDescent="0.3">
      <c r="A25680" s="20"/>
    </row>
    <row r="25681" spans="1:1" x14ac:dyDescent="0.3">
      <c r="A25681" s="20"/>
    </row>
    <row r="25682" spans="1:1" x14ac:dyDescent="0.3">
      <c r="A25682" s="20"/>
    </row>
    <row r="25683" spans="1:1" x14ac:dyDescent="0.3">
      <c r="A25683" s="20"/>
    </row>
    <row r="25684" spans="1:1" x14ac:dyDescent="0.3">
      <c r="A25684" s="20"/>
    </row>
    <row r="25685" spans="1:1" x14ac:dyDescent="0.3">
      <c r="A25685" s="20"/>
    </row>
    <row r="25686" spans="1:1" x14ac:dyDescent="0.3">
      <c r="A25686" s="20"/>
    </row>
    <row r="25687" spans="1:1" x14ac:dyDescent="0.3">
      <c r="A25687" s="20"/>
    </row>
    <row r="25688" spans="1:1" x14ac:dyDescent="0.3">
      <c r="A25688" s="20"/>
    </row>
    <row r="25689" spans="1:1" x14ac:dyDescent="0.3">
      <c r="A25689" s="20"/>
    </row>
    <row r="25690" spans="1:1" x14ac:dyDescent="0.3">
      <c r="A25690" s="20"/>
    </row>
    <row r="25691" spans="1:1" x14ac:dyDescent="0.3">
      <c r="A25691" s="20"/>
    </row>
    <row r="25692" spans="1:1" x14ac:dyDescent="0.3">
      <c r="A25692" s="20"/>
    </row>
    <row r="25693" spans="1:1" x14ac:dyDescent="0.3">
      <c r="A25693" s="20"/>
    </row>
    <row r="25694" spans="1:1" x14ac:dyDescent="0.3">
      <c r="A25694" s="20"/>
    </row>
    <row r="25695" spans="1:1" x14ac:dyDescent="0.3">
      <c r="A25695" s="20"/>
    </row>
    <row r="25696" spans="1:1" x14ac:dyDescent="0.3">
      <c r="A25696" s="20"/>
    </row>
    <row r="25697" spans="1:1" x14ac:dyDescent="0.3">
      <c r="A25697" s="20"/>
    </row>
    <row r="25698" spans="1:1" x14ac:dyDescent="0.3">
      <c r="A25698" s="20"/>
    </row>
    <row r="25699" spans="1:1" x14ac:dyDescent="0.3">
      <c r="A25699" s="20"/>
    </row>
    <row r="25700" spans="1:1" x14ac:dyDescent="0.3">
      <c r="A25700" s="20"/>
    </row>
    <row r="25701" spans="1:1" x14ac:dyDescent="0.3">
      <c r="A25701" s="20"/>
    </row>
    <row r="25702" spans="1:1" x14ac:dyDescent="0.3">
      <c r="A25702" s="20"/>
    </row>
    <row r="25703" spans="1:1" x14ac:dyDescent="0.3">
      <c r="A25703" s="20"/>
    </row>
    <row r="25704" spans="1:1" x14ac:dyDescent="0.3">
      <c r="A25704" s="20"/>
    </row>
    <row r="25705" spans="1:1" x14ac:dyDescent="0.3">
      <c r="A25705" s="20"/>
    </row>
    <row r="25706" spans="1:1" x14ac:dyDescent="0.3">
      <c r="A25706" s="20"/>
    </row>
    <row r="25707" spans="1:1" x14ac:dyDescent="0.3">
      <c r="A25707" s="20"/>
    </row>
    <row r="25708" spans="1:1" x14ac:dyDescent="0.3">
      <c r="A25708" s="20"/>
    </row>
    <row r="25709" spans="1:1" x14ac:dyDescent="0.3">
      <c r="A25709" s="20"/>
    </row>
    <row r="25710" spans="1:1" x14ac:dyDescent="0.3">
      <c r="A25710" s="20"/>
    </row>
    <row r="25711" spans="1:1" x14ac:dyDescent="0.3">
      <c r="A25711" s="20"/>
    </row>
    <row r="25712" spans="1:1" x14ac:dyDescent="0.3">
      <c r="A25712" s="20"/>
    </row>
    <row r="25713" spans="1:1" x14ac:dyDescent="0.3">
      <c r="A25713" s="20"/>
    </row>
    <row r="25714" spans="1:1" x14ac:dyDescent="0.3">
      <c r="A25714" s="20"/>
    </row>
    <row r="25715" spans="1:1" x14ac:dyDescent="0.3">
      <c r="A25715" s="20"/>
    </row>
    <row r="25716" spans="1:1" x14ac:dyDescent="0.3">
      <c r="A25716" s="20"/>
    </row>
    <row r="25717" spans="1:1" x14ac:dyDescent="0.3">
      <c r="A25717" s="20"/>
    </row>
    <row r="25718" spans="1:1" x14ac:dyDescent="0.3">
      <c r="A25718" s="20"/>
    </row>
    <row r="25719" spans="1:1" x14ac:dyDescent="0.3">
      <c r="A25719" s="20"/>
    </row>
    <row r="25720" spans="1:1" x14ac:dyDescent="0.3">
      <c r="A25720" s="20"/>
    </row>
    <row r="25721" spans="1:1" x14ac:dyDescent="0.3">
      <c r="A25721" s="20"/>
    </row>
    <row r="25722" spans="1:1" x14ac:dyDescent="0.3">
      <c r="A25722" s="20"/>
    </row>
    <row r="25723" spans="1:1" x14ac:dyDescent="0.3">
      <c r="A25723" s="20"/>
    </row>
    <row r="25724" spans="1:1" x14ac:dyDescent="0.3">
      <c r="A25724" s="20"/>
    </row>
    <row r="25725" spans="1:1" x14ac:dyDescent="0.3">
      <c r="A25725" s="20"/>
    </row>
    <row r="25726" spans="1:1" x14ac:dyDescent="0.3">
      <c r="A25726" s="20"/>
    </row>
    <row r="25727" spans="1:1" x14ac:dyDescent="0.3">
      <c r="A25727" s="20"/>
    </row>
    <row r="25728" spans="1:1" x14ac:dyDescent="0.3">
      <c r="A25728" s="20"/>
    </row>
    <row r="25729" spans="1:1" x14ac:dyDescent="0.3">
      <c r="A25729" s="20"/>
    </row>
    <row r="25730" spans="1:1" x14ac:dyDescent="0.3">
      <c r="A25730" s="20"/>
    </row>
    <row r="25731" spans="1:1" x14ac:dyDescent="0.3">
      <c r="A25731" s="20"/>
    </row>
    <row r="25732" spans="1:1" x14ac:dyDescent="0.3">
      <c r="A25732" s="20"/>
    </row>
    <row r="25733" spans="1:1" x14ac:dyDescent="0.3">
      <c r="A25733" s="20"/>
    </row>
    <row r="25734" spans="1:1" x14ac:dyDescent="0.3">
      <c r="A25734" s="20"/>
    </row>
    <row r="25735" spans="1:1" x14ac:dyDescent="0.3">
      <c r="A25735" s="20"/>
    </row>
    <row r="25736" spans="1:1" x14ac:dyDescent="0.3">
      <c r="A25736" s="20"/>
    </row>
    <row r="25737" spans="1:1" x14ac:dyDescent="0.3">
      <c r="A25737" s="20"/>
    </row>
    <row r="25738" spans="1:1" x14ac:dyDescent="0.3">
      <c r="A25738" s="20"/>
    </row>
    <row r="25739" spans="1:1" x14ac:dyDescent="0.3">
      <c r="A25739" s="20"/>
    </row>
    <row r="25740" spans="1:1" x14ac:dyDescent="0.3">
      <c r="A25740" s="20"/>
    </row>
    <row r="25741" spans="1:1" x14ac:dyDescent="0.3">
      <c r="A25741" s="20"/>
    </row>
    <row r="25742" spans="1:1" x14ac:dyDescent="0.3">
      <c r="A25742" s="20"/>
    </row>
    <row r="25743" spans="1:1" x14ac:dyDescent="0.3">
      <c r="A25743" s="20"/>
    </row>
    <row r="25744" spans="1:1" x14ac:dyDescent="0.3">
      <c r="A25744" s="20"/>
    </row>
    <row r="25745" spans="1:1" x14ac:dyDescent="0.3">
      <c r="A25745" s="20"/>
    </row>
    <row r="25746" spans="1:1" x14ac:dyDescent="0.3">
      <c r="A25746" s="20"/>
    </row>
    <row r="25747" spans="1:1" x14ac:dyDescent="0.3">
      <c r="A25747" s="20"/>
    </row>
    <row r="25748" spans="1:1" x14ac:dyDescent="0.3">
      <c r="A25748" s="20"/>
    </row>
    <row r="25749" spans="1:1" x14ac:dyDescent="0.3">
      <c r="A25749" s="20"/>
    </row>
    <row r="25750" spans="1:1" x14ac:dyDescent="0.3">
      <c r="A25750" s="20"/>
    </row>
    <row r="25751" spans="1:1" x14ac:dyDescent="0.3">
      <c r="A25751" s="20"/>
    </row>
    <row r="25752" spans="1:1" x14ac:dyDescent="0.3">
      <c r="A25752" s="20"/>
    </row>
    <row r="25753" spans="1:1" x14ac:dyDescent="0.3">
      <c r="A25753" s="20"/>
    </row>
    <row r="25754" spans="1:1" x14ac:dyDescent="0.3">
      <c r="A25754" s="20"/>
    </row>
    <row r="25755" spans="1:1" x14ac:dyDescent="0.3">
      <c r="A25755" s="20"/>
    </row>
    <row r="25756" spans="1:1" x14ac:dyDescent="0.3">
      <c r="A25756" s="20"/>
    </row>
    <row r="25757" spans="1:1" x14ac:dyDescent="0.3">
      <c r="A25757" s="20"/>
    </row>
    <row r="25758" spans="1:1" x14ac:dyDescent="0.3">
      <c r="A25758" s="20"/>
    </row>
    <row r="25759" spans="1:1" x14ac:dyDescent="0.3">
      <c r="A25759" s="20"/>
    </row>
    <row r="25760" spans="1:1" x14ac:dyDescent="0.3">
      <c r="A25760" s="20"/>
    </row>
    <row r="25761" spans="1:1" x14ac:dyDescent="0.3">
      <c r="A25761" s="20"/>
    </row>
    <row r="25762" spans="1:1" x14ac:dyDescent="0.3">
      <c r="A25762" s="20"/>
    </row>
    <row r="25763" spans="1:1" x14ac:dyDescent="0.3">
      <c r="A25763" s="20"/>
    </row>
    <row r="25764" spans="1:1" x14ac:dyDescent="0.3">
      <c r="A25764" s="20"/>
    </row>
    <row r="25765" spans="1:1" x14ac:dyDescent="0.3">
      <c r="A25765" s="20"/>
    </row>
    <row r="25766" spans="1:1" x14ac:dyDescent="0.3">
      <c r="A25766" s="20"/>
    </row>
    <row r="25767" spans="1:1" x14ac:dyDescent="0.3">
      <c r="A25767" s="20"/>
    </row>
    <row r="25768" spans="1:1" x14ac:dyDescent="0.3">
      <c r="A25768" s="20"/>
    </row>
    <row r="25769" spans="1:1" x14ac:dyDescent="0.3">
      <c r="A25769" s="20"/>
    </row>
    <row r="25770" spans="1:1" x14ac:dyDescent="0.3">
      <c r="A25770" s="20"/>
    </row>
    <row r="25771" spans="1:1" x14ac:dyDescent="0.3">
      <c r="A25771" s="20"/>
    </row>
    <row r="25772" spans="1:1" x14ac:dyDescent="0.3">
      <c r="A25772" s="20"/>
    </row>
    <row r="25773" spans="1:1" x14ac:dyDescent="0.3">
      <c r="A25773" s="20"/>
    </row>
    <row r="25774" spans="1:1" x14ac:dyDescent="0.3">
      <c r="A25774" s="20"/>
    </row>
    <row r="25775" spans="1:1" x14ac:dyDescent="0.3">
      <c r="A25775" s="20"/>
    </row>
    <row r="25776" spans="1:1" x14ac:dyDescent="0.3">
      <c r="A25776" s="20"/>
    </row>
    <row r="25777" spans="1:1" x14ac:dyDescent="0.3">
      <c r="A25777" s="20"/>
    </row>
    <row r="25778" spans="1:1" x14ac:dyDescent="0.3">
      <c r="A25778" s="20"/>
    </row>
    <row r="25779" spans="1:1" x14ac:dyDescent="0.3">
      <c r="A25779" s="20"/>
    </row>
    <row r="25780" spans="1:1" x14ac:dyDescent="0.3">
      <c r="A25780" s="20"/>
    </row>
    <row r="25781" spans="1:1" x14ac:dyDescent="0.3">
      <c r="A25781" s="20"/>
    </row>
    <row r="25782" spans="1:1" x14ac:dyDescent="0.3">
      <c r="A25782" s="20"/>
    </row>
    <row r="25783" spans="1:1" x14ac:dyDescent="0.3">
      <c r="A25783" s="20"/>
    </row>
    <row r="25784" spans="1:1" x14ac:dyDescent="0.3">
      <c r="A25784" s="20"/>
    </row>
    <row r="25785" spans="1:1" x14ac:dyDescent="0.3">
      <c r="A25785" s="20"/>
    </row>
    <row r="25786" spans="1:1" x14ac:dyDescent="0.3">
      <c r="A25786" s="20"/>
    </row>
    <row r="25787" spans="1:1" x14ac:dyDescent="0.3">
      <c r="A25787" s="20"/>
    </row>
    <row r="25788" spans="1:1" x14ac:dyDescent="0.3">
      <c r="A25788" s="20"/>
    </row>
    <row r="25789" spans="1:1" x14ac:dyDescent="0.3">
      <c r="A25789" s="20"/>
    </row>
    <row r="25790" spans="1:1" x14ac:dyDescent="0.3">
      <c r="A25790" s="20"/>
    </row>
    <row r="25791" spans="1:1" x14ac:dyDescent="0.3">
      <c r="A25791" s="20"/>
    </row>
    <row r="25792" spans="1:1" x14ac:dyDescent="0.3">
      <c r="A25792" s="20"/>
    </row>
    <row r="25793" spans="1:1" x14ac:dyDescent="0.3">
      <c r="A25793" s="20"/>
    </row>
    <row r="25794" spans="1:1" x14ac:dyDescent="0.3">
      <c r="A25794" s="20"/>
    </row>
    <row r="25795" spans="1:1" x14ac:dyDescent="0.3">
      <c r="A25795" s="20"/>
    </row>
    <row r="25796" spans="1:1" x14ac:dyDescent="0.3">
      <c r="A25796" s="20"/>
    </row>
    <row r="25797" spans="1:1" x14ac:dyDescent="0.3">
      <c r="A25797" s="20"/>
    </row>
    <row r="25798" spans="1:1" x14ac:dyDescent="0.3">
      <c r="A25798" s="20"/>
    </row>
    <row r="25799" spans="1:1" x14ac:dyDescent="0.3">
      <c r="A25799" s="20"/>
    </row>
    <row r="25800" spans="1:1" x14ac:dyDescent="0.3">
      <c r="A25800" s="20"/>
    </row>
    <row r="25801" spans="1:1" x14ac:dyDescent="0.3">
      <c r="A25801" s="20"/>
    </row>
    <row r="25802" spans="1:1" x14ac:dyDescent="0.3">
      <c r="A25802" s="20"/>
    </row>
    <row r="25803" spans="1:1" x14ac:dyDescent="0.3">
      <c r="A25803" s="20"/>
    </row>
    <row r="25804" spans="1:1" x14ac:dyDescent="0.3">
      <c r="A25804" s="20"/>
    </row>
    <row r="25805" spans="1:1" x14ac:dyDescent="0.3">
      <c r="A25805" s="20"/>
    </row>
    <row r="25806" spans="1:1" x14ac:dyDescent="0.3">
      <c r="A25806" s="20"/>
    </row>
    <row r="25807" spans="1:1" x14ac:dyDescent="0.3">
      <c r="A25807" s="20"/>
    </row>
    <row r="25808" spans="1:1" x14ac:dyDescent="0.3">
      <c r="A25808" s="20"/>
    </row>
    <row r="25809" spans="1:1" x14ac:dyDescent="0.3">
      <c r="A25809" s="20"/>
    </row>
    <row r="25810" spans="1:1" x14ac:dyDescent="0.3">
      <c r="A25810" s="20"/>
    </row>
    <row r="25811" spans="1:1" x14ac:dyDescent="0.3">
      <c r="A25811" s="20"/>
    </row>
    <row r="25812" spans="1:1" x14ac:dyDescent="0.3">
      <c r="A25812" s="20"/>
    </row>
    <row r="25813" spans="1:1" x14ac:dyDescent="0.3">
      <c r="A25813" s="20"/>
    </row>
    <row r="25814" spans="1:1" x14ac:dyDescent="0.3">
      <c r="A25814" s="20"/>
    </row>
    <row r="25815" spans="1:1" x14ac:dyDescent="0.3">
      <c r="A25815" s="20"/>
    </row>
    <row r="25816" spans="1:1" x14ac:dyDescent="0.3">
      <c r="A25816" s="20"/>
    </row>
    <row r="25817" spans="1:1" x14ac:dyDescent="0.3">
      <c r="A25817" s="20"/>
    </row>
    <row r="25818" spans="1:1" x14ac:dyDescent="0.3">
      <c r="A25818" s="20"/>
    </row>
    <row r="25819" spans="1:1" x14ac:dyDescent="0.3">
      <c r="A25819" s="20"/>
    </row>
    <row r="25820" spans="1:1" x14ac:dyDescent="0.3">
      <c r="A25820" s="20"/>
    </row>
    <row r="25821" spans="1:1" x14ac:dyDescent="0.3">
      <c r="A25821" s="20"/>
    </row>
    <row r="25822" spans="1:1" x14ac:dyDescent="0.3">
      <c r="A25822" s="20"/>
    </row>
    <row r="25823" spans="1:1" x14ac:dyDescent="0.3">
      <c r="A25823" s="20"/>
    </row>
    <row r="25824" spans="1:1" x14ac:dyDescent="0.3">
      <c r="A25824" s="20"/>
    </row>
    <row r="25825" spans="1:1" x14ac:dyDescent="0.3">
      <c r="A25825" s="20"/>
    </row>
    <row r="25826" spans="1:1" x14ac:dyDescent="0.3">
      <c r="A25826" s="20"/>
    </row>
    <row r="25827" spans="1:1" x14ac:dyDescent="0.3">
      <c r="A25827" s="20"/>
    </row>
    <row r="25828" spans="1:1" x14ac:dyDescent="0.3">
      <c r="A25828" s="20"/>
    </row>
    <row r="25829" spans="1:1" x14ac:dyDescent="0.3">
      <c r="A25829" s="20"/>
    </row>
    <row r="25830" spans="1:1" x14ac:dyDescent="0.3">
      <c r="A25830" s="20"/>
    </row>
    <row r="25831" spans="1:1" x14ac:dyDescent="0.3">
      <c r="A25831" s="20"/>
    </row>
    <row r="25832" spans="1:1" x14ac:dyDescent="0.3">
      <c r="A25832" s="20"/>
    </row>
    <row r="25833" spans="1:1" x14ac:dyDescent="0.3">
      <c r="A25833" s="20"/>
    </row>
    <row r="25834" spans="1:1" x14ac:dyDescent="0.3">
      <c r="A25834" s="20"/>
    </row>
    <row r="25835" spans="1:1" x14ac:dyDescent="0.3">
      <c r="A25835" s="20"/>
    </row>
    <row r="25836" spans="1:1" x14ac:dyDescent="0.3">
      <c r="A25836" s="20"/>
    </row>
    <row r="25837" spans="1:1" x14ac:dyDescent="0.3">
      <c r="A25837" s="20"/>
    </row>
    <row r="25838" spans="1:1" x14ac:dyDescent="0.3">
      <c r="A25838" s="20"/>
    </row>
    <row r="25839" spans="1:1" x14ac:dyDescent="0.3">
      <c r="A25839" s="20"/>
    </row>
    <row r="25840" spans="1:1" x14ac:dyDescent="0.3">
      <c r="A25840" s="20"/>
    </row>
    <row r="25841" spans="1:1" x14ac:dyDescent="0.3">
      <c r="A25841" s="20"/>
    </row>
    <row r="25842" spans="1:1" x14ac:dyDescent="0.3">
      <c r="A25842" s="20"/>
    </row>
    <row r="25843" spans="1:1" x14ac:dyDescent="0.3">
      <c r="A25843" s="20"/>
    </row>
    <row r="25844" spans="1:1" x14ac:dyDescent="0.3">
      <c r="A25844" s="20"/>
    </row>
    <row r="25845" spans="1:1" x14ac:dyDescent="0.3">
      <c r="A25845" s="20"/>
    </row>
    <row r="25846" spans="1:1" x14ac:dyDescent="0.3">
      <c r="A25846" s="20"/>
    </row>
    <row r="25847" spans="1:1" x14ac:dyDescent="0.3">
      <c r="A25847" s="20"/>
    </row>
    <row r="25848" spans="1:1" x14ac:dyDescent="0.3">
      <c r="A25848" s="20"/>
    </row>
    <row r="25849" spans="1:1" x14ac:dyDescent="0.3">
      <c r="A25849" s="20"/>
    </row>
    <row r="25850" spans="1:1" x14ac:dyDescent="0.3">
      <c r="A25850" s="20"/>
    </row>
    <row r="25851" spans="1:1" x14ac:dyDescent="0.3">
      <c r="A25851" s="20"/>
    </row>
    <row r="25852" spans="1:1" x14ac:dyDescent="0.3">
      <c r="A25852" s="20"/>
    </row>
    <row r="25853" spans="1:1" x14ac:dyDescent="0.3">
      <c r="A25853" s="20"/>
    </row>
    <row r="25854" spans="1:1" x14ac:dyDescent="0.3">
      <c r="A25854" s="20"/>
    </row>
    <row r="25855" spans="1:1" x14ac:dyDescent="0.3">
      <c r="A25855" s="20"/>
    </row>
    <row r="25856" spans="1:1" x14ac:dyDescent="0.3">
      <c r="A25856" s="20"/>
    </row>
    <row r="25857" spans="1:1" x14ac:dyDescent="0.3">
      <c r="A25857" s="20"/>
    </row>
    <row r="25858" spans="1:1" x14ac:dyDescent="0.3">
      <c r="A25858" s="20"/>
    </row>
    <row r="25859" spans="1:1" x14ac:dyDescent="0.3">
      <c r="A25859" s="20"/>
    </row>
    <row r="25860" spans="1:1" x14ac:dyDescent="0.3">
      <c r="A25860" s="20"/>
    </row>
    <row r="25861" spans="1:1" x14ac:dyDescent="0.3">
      <c r="A25861" s="20"/>
    </row>
    <row r="25862" spans="1:1" x14ac:dyDescent="0.3">
      <c r="A25862" s="20"/>
    </row>
    <row r="25863" spans="1:1" x14ac:dyDescent="0.3">
      <c r="A25863" s="20"/>
    </row>
    <row r="25864" spans="1:1" x14ac:dyDescent="0.3">
      <c r="A25864" s="20"/>
    </row>
    <row r="25865" spans="1:1" x14ac:dyDescent="0.3">
      <c r="A25865" s="20"/>
    </row>
    <row r="25866" spans="1:1" x14ac:dyDescent="0.3">
      <c r="A25866" s="20"/>
    </row>
    <row r="25867" spans="1:1" x14ac:dyDescent="0.3">
      <c r="A25867" s="20"/>
    </row>
    <row r="25868" spans="1:1" x14ac:dyDescent="0.3">
      <c r="A25868" s="20"/>
    </row>
    <row r="25869" spans="1:1" x14ac:dyDescent="0.3">
      <c r="A25869" s="20"/>
    </row>
    <row r="25870" spans="1:1" x14ac:dyDescent="0.3">
      <c r="A25870" s="20"/>
    </row>
    <row r="25871" spans="1:1" x14ac:dyDescent="0.3">
      <c r="A25871" s="20"/>
    </row>
    <row r="25872" spans="1:1" x14ac:dyDescent="0.3">
      <c r="A25872" s="20"/>
    </row>
    <row r="25873" spans="1:1" x14ac:dyDescent="0.3">
      <c r="A25873" s="20"/>
    </row>
    <row r="25874" spans="1:1" x14ac:dyDescent="0.3">
      <c r="A25874" s="20"/>
    </row>
    <row r="25875" spans="1:1" x14ac:dyDescent="0.3">
      <c r="A25875" s="20"/>
    </row>
    <row r="25876" spans="1:1" x14ac:dyDescent="0.3">
      <c r="A25876" s="20"/>
    </row>
    <row r="25877" spans="1:1" x14ac:dyDescent="0.3">
      <c r="A25877" s="20"/>
    </row>
    <row r="25878" spans="1:1" x14ac:dyDescent="0.3">
      <c r="A25878" s="20"/>
    </row>
    <row r="25879" spans="1:1" x14ac:dyDescent="0.3">
      <c r="A25879" s="20"/>
    </row>
    <row r="25880" spans="1:1" x14ac:dyDescent="0.3">
      <c r="A25880" s="20"/>
    </row>
    <row r="25881" spans="1:1" x14ac:dyDescent="0.3">
      <c r="A25881" s="20"/>
    </row>
    <row r="25882" spans="1:1" x14ac:dyDescent="0.3">
      <c r="A25882" s="20"/>
    </row>
    <row r="25883" spans="1:1" x14ac:dyDescent="0.3">
      <c r="A25883" s="20"/>
    </row>
    <row r="25884" spans="1:1" x14ac:dyDescent="0.3">
      <c r="A25884" s="20"/>
    </row>
    <row r="25885" spans="1:1" x14ac:dyDescent="0.3">
      <c r="A25885" s="20"/>
    </row>
    <row r="25886" spans="1:1" x14ac:dyDescent="0.3">
      <c r="A25886" s="20"/>
    </row>
    <row r="25887" spans="1:1" x14ac:dyDescent="0.3">
      <c r="A25887" s="20"/>
    </row>
    <row r="25888" spans="1:1" x14ac:dyDescent="0.3">
      <c r="A25888" s="20"/>
    </row>
    <row r="25889" spans="1:1" x14ac:dyDescent="0.3">
      <c r="A25889" s="20"/>
    </row>
    <row r="25890" spans="1:1" x14ac:dyDescent="0.3">
      <c r="A25890" s="20"/>
    </row>
    <row r="25891" spans="1:1" x14ac:dyDescent="0.3">
      <c r="A25891" s="20"/>
    </row>
    <row r="25892" spans="1:1" x14ac:dyDescent="0.3">
      <c r="A25892" s="20"/>
    </row>
    <row r="25893" spans="1:1" x14ac:dyDescent="0.3">
      <c r="A25893" s="20"/>
    </row>
    <row r="25894" spans="1:1" x14ac:dyDescent="0.3">
      <c r="A25894" s="20"/>
    </row>
    <row r="25895" spans="1:1" x14ac:dyDescent="0.3">
      <c r="A25895" s="20"/>
    </row>
    <row r="25896" spans="1:1" x14ac:dyDescent="0.3">
      <c r="A25896" s="20"/>
    </row>
    <row r="25897" spans="1:1" x14ac:dyDescent="0.3">
      <c r="A25897" s="20"/>
    </row>
    <row r="25898" spans="1:1" x14ac:dyDescent="0.3">
      <c r="A25898" s="20"/>
    </row>
    <row r="25899" spans="1:1" x14ac:dyDescent="0.3">
      <c r="A25899" s="20"/>
    </row>
    <row r="25900" spans="1:1" x14ac:dyDescent="0.3">
      <c r="A25900" s="20"/>
    </row>
    <row r="25901" spans="1:1" x14ac:dyDescent="0.3">
      <c r="A25901" s="20"/>
    </row>
    <row r="25902" spans="1:1" x14ac:dyDescent="0.3">
      <c r="A25902" s="20"/>
    </row>
    <row r="25903" spans="1:1" x14ac:dyDescent="0.3">
      <c r="A25903" s="20"/>
    </row>
    <row r="25904" spans="1:1" x14ac:dyDescent="0.3">
      <c r="A25904" s="20"/>
    </row>
    <row r="25905" spans="1:1" x14ac:dyDescent="0.3">
      <c r="A25905" s="20"/>
    </row>
    <row r="25906" spans="1:1" x14ac:dyDescent="0.3">
      <c r="A25906" s="20"/>
    </row>
    <row r="25907" spans="1:1" x14ac:dyDescent="0.3">
      <c r="A25907" s="20"/>
    </row>
    <row r="25908" spans="1:1" x14ac:dyDescent="0.3">
      <c r="A25908" s="20"/>
    </row>
    <row r="25909" spans="1:1" x14ac:dyDescent="0.3">
      <c r="A25909" s="20"/>
    </row>
    <row r="25910" spans="1:1" x14ac:dyDescent="0.3">
      <c r="A25910" s="20"/>
    </row>
    <row r="25911" spans="1:1" x14ac:dyDescent="0.3">
      <c r="A25911" s="20"/>
    </row>
    <row r="25912" spans="1:1" x14ac:dyDescent="0.3">
      <c r="A25912" s="20"/>
    </row>
    <row r="25913" spans="1:1" x14ac:dyDescent="0.3">
      <c r="A25913" s="20"/>
    </row>
    <row r="25914" spans="1:1" x14ac:dyDescent="0.3">
      <c r="A25914" s="20"/>
    </row>
    <row r="25915" spans="1:1" x14ac:dyDescent="0.3">
      <c r="A25915" s="20"/>
    </row>
    <row r="25916" spans="1:1" x14ac:dyDescent="0.3">
      <c r="A25916" s="20"/>
    </row>
    <row r="25917" spans="1:1" x14ac:dyDescent="0.3">
      <c r="A25917" s="20"/>
    </row>
    <row r="25918" spans="1:1" x14ac:dyDescent="0.3">
      <c r="A25918" s="20"/>
    </row>
    <row r="25919" spans="1:1" x14ac:dyDescent="0.3">
      <c r="A25919" s="20"/>
    </row>
    <row r="25920" spans="1:1" x14ac:dyDescent="0.3">
      <c r="A25920" s="20"/>
    </row>
    <row r="25921" spans="1:1" x14ac:dyDescent="0.3">
      <c r="A25921" s="20"/>
    </row>
    <row r="25922" spans="1:1" x14ac:dyDescent="0.3">
      <c r="A25922" s="20"/>
    </row>
    <row r="25923" spans="1:1" x14ac:dyDescent="0.3">
      <c r="A25923" s="20"/>
    </row>
    <row r="25924" spans="1:1" x14ac:dyDescent="0.3">
      <c r="A25924" s="20"/>
    </row>
    <row r="25925" spans="1:1" x14ac:dyDescent="0.3">
      <c r="A25925" s="20"/>
    </row>
    <row r="25926" spans="1:1" x14ac:dyDescent="0.3">
      <c r="A25926" s="20"/>
    </row>
    <row r="25927" spans="1:1" x14ac:dyDescent="0.3">
      <c r="A25927" s="20"/>
    </row>
    <row r="25928" spans="1:1" x14ac:dyDescent="0.3">
      <c r="A25928" s="20"/>
    </row>
    <row r="25929" spans="1:1" x14ac:dyDescent="0.3">
      <c r="A25929" s="20"/>
    </row>
    <row r="25930" spans="1:1" x14ac:dyDescent="0.3">
      <c r="A25930" s="20"/>
    </row>
    <row r="25931" spans="1:1" x14ac:dyDescent="0.3">
      <c r="A25931" s="20"/>
    </row>
    <row r="25932" spans="1:1" x14ac:dyDescent="0.3">
      <c r="A25932" s="20"/>
    </row>
    <row r="25933" spans="1:1" x14ac:dyDescent="0.3">
      <c r="A25933" s="20"/>
    </row>
    <row r="25934" spans="1:1" x14ac:dyDescent="0.3">
      <c r="A25934" s="20"/>
    </row>
    <row r="25935" spans="1:1" x14ac:dyDescent="0.3">
      <c r="A25935" s="20"/>
    </row>
    <row r="25936" spans="1:1" x14ac:dyDescent="0.3">
      <c r="A25936" s="20"/>
    </row>
    <row r="25937" spans="1:1" x14ac:dyDescent="0.3">
      <c r="A25937" s="20"/>
    </row>
    <row r="25938" spans="1:1" x14ac:dyDescent="0.3">
      <c r="A25938" s="20"/>
    </row>
    <row r="25939" spans="1:1" x14ac:dyDescent="0.3">
      <c r="A25939" s="20"/>
    </row>
    <row r="25940" spans="1:1" x14ac:dyDescent="0.3">
      <c r="A25940" s="20"/>
    </row>
    <row r="25941" spans="1:1" x14ac:dyDescent="0.3">
      <c r="A25941" s="20"/>
    </row>
    <row r="25942" spans="1:1" x14ac:dyDescent="0.3">
      <c r="A25942" s="20"/>
    </row>
    <row r="25943" spans="1:1" x14ac:dyDescent="0.3">
      <c r="A25943" s="20"/>
    </row>
    <row r="25944" spans="1:1" x14ac:dyDescent="0.3">
      <c r="A25944" s="20"/>
    </row>
    <row r="25945" spans="1:1" x14ac:dyDescent="0.3">
      <c r="A25945" s="20"/>
    </row>
    <row r="25946" spans="1:1" x14ac:dyDescent="0.3">
      <c r="A25946" s="20"/>
    </row>
    <row r="25947" spans="1:1" x14ac:dyDescent="0.3">
      <c r="A25947" s="20"/>
    </row>
    <row r="25948" spans="1:1" x14ac:dyDescent="0.3">
      <c r="A25948" s="20"/>
    </row>
    <row r="25949" spans="1:1" x14ac:dyDescent="0.3">
      <c r="A25949" s="20"/>
    </row>
    <row r="25950" spans="1:1" x14ac:dyDescent="0.3">
      <c r="A25950" s="20"/>
    </row>
    <row r="25951" spans="1:1" x14ac:dyDescent="0.3">
      <c r="A25951" s="20"/>
    </row>
    <row r="25952" spans="1:1" x14ac:dyDescent="0.3">
      <c r="A25952" s="20"/>
    </row>
    <row r="25953" spans="1:1" x14ac:dyDescent="0.3">
      <c r="A25953" s="20"/>
    </row>
    <row r="25954" spans="1:1" x14ac:dyDescent="0.3">
      <c r="A25954" s="20"/>
    </row>
    <row r="25955" spans="1:1" x14ac:dyDescent="0.3">
      <c r="A25955" s="20"/>
    </row>
    <row r="25956" spans="1:1" x14ac:dyDescent="0.3">
      <c r="A25956" s="20"/>
    </row>
    <row r="25957" spans="1:1" x14ac:dyDescent="0.3">
      <c r="A25957" s="20"/>
    </row>
    <row r="25958" spans="1:1" x14ac:dyDescent="0.3">
      <c r="A25958" s="20"/>
    </row>
    <row r="25959" spans="1:1" x14ac:dyDescent="0.3">
      <c r="A25959" s="20"/>
    </row>
    <row r="25960" spans="1:1" x14ac:dyDescent="0.3">
      <c r="A25960" s="20"/>
    </row>
    <row r="25961" spans="1:1" x14ac:dyDescent="0.3">
      <c r="A25961" s="20"/>
    </row>
    <row r="25962" spans="1:1" x14ac:dyDescent="0.3">
      <c r="A25962" s="20"/>
    </row>
    <row r="25963" spans="1:1" x14ac:dyDescent="0.3">
      <c r="A25963" s="20"/>
    </row>
    <row r="25964" spans="1:1" x14ac:dyDescent="0.3">
      <c r="A25964" s="20"/>
    </row>
    <row r="25965" spans="1:1" x14ac:dyDescent="0.3">
      <c r="A25965" s="20"/>
    </row>
    <row r="25966" spans="1:1" x14ac:dyDescent="0.3">
      <c r="A25966" s="20"/>
    </row>
    <row r="25967" spans="1:1" x14ac:dyDescent="0.3">
      <c r="A25967" s="20"/>
    </row>
    <row r="25968" spans="1:1" x14ac:dyDescent="0.3">
      <c r="A25968" s="20"/>
    </row>
    <row r="25969" spans="1:1" x14ac:dyDescent="0.3">
      <c r="A25969" s="20"/>
    </row>
    <row r="25970" spans="1:1" x14ac:dyDescent="0.3">
      <c r="A25970" s="20"/>
    </row>
    <row r="25971" spans="1:1" x14ac:dyDescent="0.3">
      <c r="A25971" s="20"/>
    </row>
    <row r="25972" spans="1:1" x14ac:dyDescent="0.3">
      <c r="A25972" s="20"/>
    </row>
    <row r="25973" spans="1:1" x14ac:dyDescent="0.3">
      <c r="A25973" s="20"/>
    </row>
    <row r="25974" spans="1:1" x14ac:dyDescent="0.3">
      <c r="A25974" s="20"/>
    </row>
    <row r="25975" spans="1:1" x14ac:dyDescent="0.3">
      <c r="A25975" s="20"/>
    </row>
    <row r="25976" spans="1:1" x14ac:dyDescent="0.3">
      <c r="A25976" s="20"/>
    </row>
    <row r="25977" spans="1:1" x14ac:dyDescent="0.3">
      <c r="A25977" s="20"/>
    </row>
    <row r="25978" spans="1:1" x14ac:dyDescent="0.3">
      <c r="A25978" s="20"/>
    </row>
    <row r="25979" spans="1:1" x14ac:dyDescent="0.3">
      <c r="A25979" s="20"/>
    </row>
    <row r="25980" spans="1:1" x14ac:dyDescent="0.3">
      <c r="A25980" s="20"/>
    </row>
    <row r="25981" spans="1:1" x14ac:dyDescent="0.3">
      <c r="A25981" s="20"/>
    </row>
    <row r="25982" spans="1:1" x14ac:dyDescent="0.3">
      <c r="A25982" s="20"/>
    </row>
    <row r="25983" spans="1:1" x14ac:dyDescent="0.3">
      <c r="A25983" s="20"/>
    </row>
    <row r="25984" spans="1:1" x14ac:dyDescent="0.3">
      <c r="A25984" s="20"/>
    </row>
    <row r="25985" spans="1:1" x14ac:dyDescent="0.3">
      <c r="A25985" s="20"/>
    </row>
    <row r="25986" spans="1:1" x14ac:dyDescent="0.3">
      <c r="A25986" s="20"/>
    </row>
    <row r="25987" spans="1:1" x14ac:dyDescent="0.3">
      <c r="A25987" s="20"/>
    </row>
    <row r="25988" spans="1:1" x14ac:dyDescent="0.3">
      <c r="A25988" s="20"/>
    </row>
    <row r="25989" spans="1:1" x14ac:dyDescent="0.3">
      <c r="A25989" s="20"/>
    </row>
    <row r="25990" spans="1:1" x14ac:dyDescent="0.3">
      <c r="A25990" s="20"/>
    </row>
    <row r="25991" spans="1:1" x14ac:dyDescent="0.3">
      <c r="A25991" s="20"/>
    </row>
    <row r="25992" spans="1:1" x14ac:dyDescent="0.3">
      <c r="A25992" s="20"/>
    </row>
    <row r="25993" spans="1:1" x14ac:dyDescent="0.3">
      <c r="A25993" s="20"/>
    </row>
    <row r="25994" spans="1:1" x14ac:dyDescent="0.3">
      <c r="A25994" s="20"/>
    </row>
    <row r="25995" spans="1:1" x14ac:dyDescent="0.3">
      <c r="A25995" s="20"/>
    </row>
    <row r="25996" spans="1:1" x14ac:dyDescent="0.3">
      <c r="A25996" s="20"/>
    </row>
    <row r="25997" spans="1:1" x14ac:dyDescent="0.3">
      <c r="A25997" s="20"/>
    </row>
    <row r="25998" spans="1:1" x14ac:dyDescent="0.3">
      <c r="A25998" s="20"/>
    </row>
    <row r="25999" spans="1:1" x14ac:dyDescent="0.3">
      <c r="A25999" s="20"/>
    </row>
    <row r="26000" spans="1:1" x14ac:dyDescent="0.3">
      <c r="A26000" s="20"/>
    </row>
    <row r="26001" spans="1:1" x14ac:dyDescent="0.3">
      <c r="A26001" s="20"/>
    </row>
    <row r="26002" spans="1:1" x14ac:dyDescent="0.3">
      <c r="A26002" s="20"/>
    </row>
    <row r="26003" spans="1:1" x14ac:dyDescent="0.3">
      <c r="A26003" s="20"/>
    </row>
    <row r="26004" spans="1:1" x14ac:dyDescent="0.3">
      <c r="A26004" s="20"/>
    </row>
    <row r="26005" spans="1:1" x14ac:dyDescent="0.3">
      <c r="A26005" s="20"/>
    </row>
    <row r="26006" spans="1:1" x14ac:dyDescent="0.3">
      <c r="A26006" s="20"/>
    </row>
    <row r="26007" spans="1:1" x14ac:dyDescent="0.3">
      <c r="A26007" s="20"/>
    </row>
    <row r="26008" spans="1:1" x14ac:dyDescent="0.3">
      <c r="A26008" s="20"/>
    </row>
    <row r="26009" spans="1:1" x14ac:dyDescent="0.3">
      <c r="A26009" s="20"/>
    </row>
    <row r="26010" spans="1:1" x14ac:dyDescent="0.3">
      <c r="A26010" s="20"/>
    </row>
    <row r="26011" spans="1:1" x14ac:dyDescent="0.3">
      <c r="A26011" s="20"/>
    </row>
    <row r="26012" spans="1:1" x14ac:dyDescent="0.3">
      <c r="A26012" s="20"/>
    </row>
    <row r="26013" spans="1:1" x14ac:dyDescent="0.3">
      <c r="A26013" s="20"/>
    </row>
    <row r="26014" spans="1:1" x14ac:dyDescent="0.3">
      <c r="A26014" s="20"/>
    </row>
    <row r="26015" spans="1:1" x14ac:dyDescent="0.3">
      <c r="A26015" s="20"/>
    </row>
    <row r="26016" spans="1:1" x14ac:dyDescent="0.3">
      <c r="A26016" s="20"/>
    </row>
    <row r="26017" spans="1:1" x14ac:dyDescent="0.3">
      <c r="A26017" s="20"/>
    </row>
    <row r="26018" spans="1:1" x14ac:dyDescent="0.3">
      <c r="A26018" s="20"/>
    </row>
    <row r="26019" spans="1:1" x14ac:dyDescent="0.3">
      <c r="A26019" s="20"/>
    </row>
    <row r="26020" spans="1:1" x14ac:dyDescent="0.3">
      <c r="A26020" s="20"/>
    </row>
    <row r="26021" spans="1:1" x14ac:dyDescent="0.3">
      <c r="A26021" s="20"/>
    </row>
    <row r="26022" spans="1:1" x14ac:dyDescent="0.3">
      <c r="A26022" s="20"/>
    </row>
    <row r="26023" spans="1:1" x14ac:dyDescent="0.3">
      <c r="A26023" s="20"/>
    </row>
    <row r="26024" spans="1:1" x14ac:dyDescent="0.3">
      <c r="A26024" s="20"/>
    </row>
    <row r="26025" spans="1:1" x14ac:dyDescent="0.3">
      <c r="A26025" s="20"/>
    </row>
    <row r="26026" spans="1:1" x14ac:dyDescent="0.3">
      <c r="A26026" s="20"/>
    </row>
    <row r="26027" spans="1:1" x14ac:dyDescent="0.3">
      <c r="A26027" s="20"/>
    </row>
    <row r="26028" spans="1:1" x14ac:dyDescent="0.3">
      <c r="A26028" s="20"/>
    </row>
    <row r="26029" spans="1:1" x14ac:dyDescent="0.3">
      <c r="A26029" s="20"/>
    </row>
    <row r="26030" spans="1:1" x14ac:dyDescent="0.3">
      <c r="A26030" s="20"/>
    </row>
    <row r="26031" spans="1:1" x14ac:dyDescent="0.3">
      <c r="A26031" s="20"/>
    </row>
    <row r="26032" spans="1:1" x14ac:dyDescent="0.3">
      <c r="A26032" s="20"/>
    </row>
    <row r="26033" spans="1:1" x14ac:dyDescent="0.3">
      <c r="A26033" s="20"/>
    </row>
    <row r="26034" spans="1:1" x14ac:dyDescent="0.3">
      <c r="A26034" s="20"/>
    </row>
    <row r="26035" spans="1:1" x14ac:dyDescent="0.3">
      <c r="A26035" s="20"/>
    </row>
    <row r="26036" spans="1:1" x14ac:dyDescent="0.3">
      <c r="A26036" s="20"/>
    </row>
    <row r="26037" spans="1:1" x14ac:dyDescent="0.3">
      <c r="A26037" s="20"/>
    </row>
    <row r="26038" spans="1:1" x14ac:dyDescent="0.3">
      <c r="A26038" s="20"/>
    </row>
    <row r="26039" spans="1:1" x14ac:dyDescent="0.3">
      <c r="A26039" s="20"/>
    </row>
    <row r="26040" spans="1:1" x14ac:dyDescent="0.3">
      <c r="A26040" s="20"/>
    </row>
    <row r="26041" spans="1:1" x14ac:dyDescent="0.3">
      <c r="A26041" s="20"/>
    </row>
    <row r="26042" spans="1:1" x14ac:dyDescent="0.3">
      <c r="A26042" s="20"/>
    </row>
    <row r="26043" spans="1:1" x14ac:dyDescent="0.3">
      <c r="A26043" s="20"/>
    </row>
    <row r="26044" spans="1:1" x14ac:dyDescent="0.3">
      <c r="A26044" s="20"/>
    </row>
    <row r="26045" spans="1:1" x14ac:dyDescent="0.3">
      <c r="A26045" s="20"/>
    </row>
    <row r="26046" spans="1:1" x14ac:dyDescent="0.3">
      <c r="A26046" s="20"/>
    </row>
    <row r="26047" spans="1:1" x14ac:dyDescent="0.3">
      <c r="A26047" s="20"/>
    </row>
    <row r="26048" spans="1:1" x14ac:dyDescent="0.3">
      <c r="A26048" s="20"/>
    </row>
    <row r="26049" spans="1:1" x14ac:dyDescent="0.3">
      <c r="A26049" s="20"/>
    </row>
    <row r="26050" spans="1:1" x14ac:dyDescent="0.3">
      <c r="A26050" s="20"/>
    </row>
    <row r="26051" spans="1:1" x14ac:dyDescent="0.3">
      <c r="A26051" s="20"/>
    </row>
    <row r="26052" spans="1:1" x14ac:dyDescent="0.3">
      <c r="A26052" s="20"/>
    </row>
    <row r="26053" spans="1:1" x14ac:dyDescent="0.3">
      <c r="A26053" s="20"/>
    </row>
    <row r="26054" spans="1:1" x14ac:dyDescent="0.3">
      <c r="A26054" s="20"/>
    </row>
    <row r="26055" spans="1:1" x14ac:dyDescent="0.3">
      <c r="A26055" s="20"/>
    </row>
    <row r="26056" spans="1:1" x14ac:dyDescent="0.3">
      <c r="A26056" s="20"/>
    </row>
    <row r="26057" spans="1:1" x14ac:dyDescent="0.3">
      <c r="A26057" s="20"/>
    </row>
    <row r="26058" spans="1:1" x14ac:dyDescent="0.3">
      <c r="A26058" s="20"/>
    </row>
    <row r="26059" spans="1:1" x14ac:dyDescent="0.3">
      <c r="A26059" s="20"/>
    </row>
    <row r="26060" spans="1:1" x14ac:dyDescent="0.3">
      <c r="A26060" s="20"/>
    </row>
    <row r="26061" spans="1:1" x14ac:dyDescent="0.3">
      <c r="A26061" s="20"/>
    </row>
    <row r="26062" spans="1:1" x14ac:dyDescent="0.3">
      <c r="A26062" s="20"/>
    </row>
    <row r="26063" spans="1:1" x14ac:dyDescent="0.3">
      <c r="A26063" s="20"/>
    </row>
    <row r="26064" spans="1:1" x14ac:dyDescent="0.3">
      <c r="A26064" s="20"/>
    </row>
    <row r="26065" spans="1:1" x14ac:dyDescent="0.3">
      <c r="A26065" s="20"/>
    </row>
    <row r="26066" spans="1:1" x14ac:dyDescent="0.3">
      <c r="A26066" s="20"/>
    </row>
    <row r="26067" spans="1:1" x14ac:dyDescent="0.3">
      <c r="A26067" s="20"/>
    </row>
    <row r="26068" spans="1:1" x14ac:dyDescent="0.3">
      <c r="A26068" s="20"/>
    </row>
    <row r="26069" spans="1:1" x14ac:dyDescent="0.3">
      <c r="A26069" s="20"/>
    </row>
    <row r="26070" spans="1:1" x14ac:dyDescent="0.3">
      <c r="A26070" s="20"/>
    </row>
    <row r="26071" spans="1:1" x14ac:dyDescent="0.3">
      <c r="A26071" s="20"/>
    </row>
    <row r="26072" spans="1:1" x14ac:dyDescent="0.3">
      <c r="A26072" s="20"/>
    </row>
    <row r="26073" spans="1:1" x14ac:dyDescent="0.3">
      <c r="A26073" s="20"/>
    </row>
    <row r="26074" spans="1:1" x14ac:dyDescent="0.3">
      <c r="A26074" s="20"/>
    </row>
    <row r="26075" spans="1:1" x14ac:dyDescent="0.3">
      <c r="A26075" s="20"/>
    </row>
    <row r="26076" spans="1:1" x14ac:dyDescent="0.3">
      <c r="A26076" s="20"/>
    </row>
    <row r="26077" spans="1:1" x14ac:dyDescent="0.3">
      <c r="A26077" s="20"/>
    </row>
    <row r="26078" spans="1:1" x14ac:dyDescent="0.3">
      <c r="A26078" s="20"/>
    </row>
    <row r="26079" spans="1:1" x14ac:dyDescent="0.3">
      <c r="A26079" s="20"/>
    </row>
    <row r="26080" spans="1:1" x14ac:dyDescent="0.3">
      <c r="A26080" s="20"/>
    </row>
    <row r="26081" spans="1:1" x14ac:dyDescent="0.3">
      <c r="A26081" s="20"/>
    </row>
    <row r="26082" spans="1:1" x14ac:dyDescent="0.3">
      <c r="A26082" s="20"/>
    </row>
    <row r="26083" spans="1:1" x14ac:dyDescent="0.3">
      <c r="A26083" s="20"/>
    </row>
    <row r="26084" spans="1:1" x14ac:dyDescent="0.3">
      <c r="A26084" s="20"/>
    </row>
    <row r="26085" spans="1:1" x14ac:dyDescent="0.3">
      <c r="A26085" s="20"/>
    </row>
    <row r="26086" spans="1:1" x14ac:dyDescent="0.3">
      <c r="A26086" s="20"/>
    </row>
    <row r="26087" spans="1:1" x14ac:dyDescent="0.3">
      <c r="A26087" s="20"/>
    </row>
    <row r="26088" spans="1:1" x14ac:dyDescent="0.3">
      <c r="A26088" s="20"/>
    </row>
    <row r="26089" spans="1:1" x14ac:dyDescent="0.3">
      <c r="A26089" s="20"/>
    </row>
    <row r="26090" spans="1:1" x14ac:dyDescent="0.3">
      <c r="A26090" s="20"/>
    </row>
    <row r="26091" spans="1:1" x14ac:dyDescent="0.3">
      <c r="A26091" s="20"/>
    </row>
    <row r="26092" spans="1:1" x14ac:dyDescent="0.3">
      <c r="A26092" s="20"/>
    </row>
    <row r="26093" spans="1:1" x14ac:dyDescent="0.3">
      <c r="A26093" s="20"/>
    </row>
    <row r="26094" spans="1:1" x14ac:dyDescent="0.3">
      <c r="A26094" s="20"/>
    </row>
    <row r="26095" spans="1:1" x14ac:dyDescent="0.3">
      <c r="A26095" s="20"/>
    </row>
    <row r="26096" spans="1:1" x14ac:dyDescent="0.3">
      <c r="A26096" s="20"/>
    </row>
    <row r="26097" spans="1:1" x14ac:dyDescent="0.3">
      <c r="A26097" s="20"/>
    </row>
    <row r="26098" spans="1:1" x14ac:dyDescent="0.3">
      <c r="A26098" s="20"/>
    </row>
    <row r="26099" spans="1:1" x14ac:dyDescent="0.3">
      <c r="A26099" s="20"/>
    </row>
    <row r="26100" spans="1:1" x14ac:dyDescent="0.3">
      <c r="A26100" s="20"/>
    </row>
    <row r="26101" spans="1:1" x14ac:dyDescent="0.3">
      <c r="A26101" s="20"/>
    </row>
    <row r="26102" spans="1:1" x14ac:dyDescent="0.3">
      <c r="A26102" s="20"/>
    </row>
    <row r="26103" spans="1:1" x14ac:dyDescent="0.3">
      <c r="A26103" s="20"/>
    </row>
    <row r="26104" spans="1:1" x14ac:dyDescent="0.3">
      <c r="A26104" s="20"/>
    </row>
    <row r="26105" spans="1:1" x14ac:dyDescent="0.3">
      <c r="A26105" s="20"/>
    </row>
    <row r="26106" spans="1:1" x14ac:dyDescent="0.3">
      <c r="A26106" s="20"/>
    </row>
    <row r="26107" spans="1:1" x14ac:dyDescent="0.3">
      <c r="A26107" s="20"/>
    </row>
    <row r="26108" spans="1:1" x14ac:dyDescent="0.3">
      <c r="A26108" s="20"/>
    </row>
    <row r="26109" spans="1:1" x14ac:dyDescent="0.3">
      <c r="A26109" s="20"/>
    </row>
    <row r="26110" spans="1:1" x14ac:dyDescent="0.3">
      <c r="A26110" s="20"/>
    </row>
    <row r="26111" spans="1:1" x14ac:dyDescent="0.3">
      <c r="A26111" s="20"/>
    </row>
    <row r="26112" spans="1:1" x14ac:dyDescent="0.3">
      <c r="A26112" s="20"/>
    </row>
    <row r="26113" spans="1:1" x14ac:dyDescent="0.3">
      <c r="A26113" s="20"/>
    </row>
    <row r="26114" spans="1:1" x14ac:dyDescent="0.3">
      <c r="A26114" s="20"/>
    </row>
    <row r="26115" spans="1:1" x14ac:dyDescent="0.3">
      <c r="A26115" s="20"/>
    </row>
    <row r="26116" spans="1:1" x14ac:dyDescent="0.3">
      <c r="A26116" s="20"/>
    </row>
    <row r="26117" spans="1:1" x14ac:dyDescent="0.3">
      <c r="A26117" s="20"/>
    </row>
    <row r="26118" spans="1:1" x14ac:dyDescent="0.3">
      <c r="A26118" s="20"/>
    </row>
    <row r="26119" spans="1:1" x14ac:dyDescent="0.3">
      <c r="A26119" s="20"/>
    </row>
    <row r="26120" spans="1:1" x14ac:dyDescent="0.3">
      <c r="A26120" s="20"/>
    </row>
    <row r="26121" spans="1:1" x14ac:dyDescent="0.3">
      <c r="A26121" s="20"/>
    </row>
    <row r="26122" spans="1:1" x14ac:dyDescent="0.3">
      <c r="A26122" s="20"/>
    </row>
    <row r="26123" spans="1:1" x14ac:dyDescent="0.3">
      <c r="A26123" s="20"/>
    </row>
    <row r="26124" spans="1:1" x14ac:dyDescent="0.3">
      <c r="A26124" s="20"/>
    </row>
    <row r="26125" spans="1:1" x14ac:dyDescent="0.3">
      <c r="A26125" s="20"/>
    </row>
    <row r="26126" spans="1:1" x14ac:dyDescent="0.3">
      <c r="A26126" s="20"/>
    </row>
    <row r="26127" spans="1:1" x14ac:dyDescent="0.3">
      <c r="A26127" s="20"/>
    </row>
    <row r="26128" spans="1:1" x14ac:dyDescent="0.3">
      <c r="A26128" s="20"/>
    </row>
    <row r="26129" spans="1:1" x14ac:dyDescent="0.3">
      <c r="A26129" s="20"/>
    </row>
    <row r="26130" spans="1:1" x14ac:dyDescent="0.3">
      <c r="A26130" s="20"/>
    </row>
    <row r="26131" spans="1:1" x14ac:dyDescent="0.3">
      <c r="A26131" s="20"/>
    </row>
    <row r="26132" spans="1:1" x14ac:dyDescent="0.3">
      <c r="A26132" s="20"/>
    </row>
    <row r="26133" spans="1:1" x14ac:dyDescent="0.3">
      <c r="A26133" s="20"/>
    </row>
    <row r="26134" spans="1:1" x14ac:dyDescent="0.3">
      <c r="A26134" s="20"/>
    </row>
    <row r="26135" spans="1:1" x14ac:dyDescent="0.3">
      <c r="A26135" s="20"/>
    </row>
    <row r="26136" spans="1:1" x14ac:dyDescent="0.3">
      <c r="A26136" s="20"/>
    </row>
    <row r="26137" spans="1:1" x14ac:dyDescent="0.3">
      <c r="A26137" s="20"/>
    </row>
    <row r="26138" spans="1:1" x14ac:dyDescent="0.3">
      <c r="A26138" s="20"/>
    </row>
    <row r="26139" spans="1:1" x14ac:dyDescent="0.3">
      <c r="A26139" s="20"/>
    </row>
    <row r="26140" spans="1:1" x14ac:dyDescent="0.3">
      <c r="A26140" s="20"/>
    </row>
    <row r="26141" spans="1:1" x14ac:dyDescent="0.3">
      <c r="A26141" s="20"/>
    </row>
    <row r="26142" spans="1:1" x14ac:dyDescent="0.3">
      <c r="A26142" s="20"/>
    </row>
    <row r="26143" spans="1:1" x14ac:dyDescent="0.3">
      <c r="A26143" s="20"/>
    </row>
    <row r="26144" spans="1:1" x14ac:dyDescent="0.3">
      <c r="A26144" s="20"/>
    </row>
    <row r="26145" spans="1:1" x14ac:dyDescent="0.3">
      <c r="A26145" s="20"/>
    </row>
    <row r="26146" spans="1:1" x14ac:dyDescent="0.3">
      <c r="A26146" s="20"/>
    </row>
    <row r="26147" spans="1:1" x14ac:dyDescent="0.3">
      <c r="A26147" s="20"/>
    </row>
    <row r="26148" spans="1:1" x14ac:dyDescent="0.3">
      <c r="A26148" s="20"/>
    </row>
    <row r="26149" spans="1:1" x14ac:dyDescent="0.3">
      <c r="A26149" s="20"/>
    </row>
    <row r="26150" spans="1:1" x14ac:dyDescent="0.3">
      <c r="A26150" s="20"/>
    </row>
    <row r="26151" spans="1:1" x14ac:dyDescent="0.3">
      <c r="A26151" s="20"/>
    </row>
    <row r="26152" spans="1:1" x14ac:dyDescent="0.3">
      <c r="A26152" s="20"/>
    </row>
    <row r="26153" spans="1:1" x14ac:dyDescent="0.3">
      <c r="A26153" s="20"/>
    </row>
    <row r="26154" spans="1:1" x14ac:dyDescent="0.3">
      <c r="A26154" s="20"/>
    </row>
    <row r="26155" spans="1:1" x14ac:dyDescent="0.3">
      <c r="A26155" s="20"/>
    </row>
    <row r="26156" spans="1:1" x14ac:dyDescent="0.3">
      <c r="A26156" s="20"/>
    </row>
    <row r="26157" spans="1:1" x14ac:dyDescent="0.3">
      <c r="A26157" s="20"/>
    </row>
    <row r="26158" spans="1:1" x14ac:dyDescent="0.3">
      <c r="A26158" s="20"/>
    </row>
    <row r="26159" spans="1:1" x14ac:dyDescent="0.3">
      <c r="A26159" s="20"/>
    </row>
    <row r="26160" spans="1:1" x14ac:dyDescent="0.3">
      <c r="A26160" s="20"/>
    </row>
    <row r="26161" spans="1:1" x14ac:dyDescent="0.3">
      <c r="A26161" s="20"/>
    </row>
    <row r="26162" spans="1:1" x14ac:dyDescent="0.3">
      <c r="A26162" s="20"/>
    </row>
    <row r="26163" spans="1:1" x14ac:dyDescent="0.3">
      <c r="A26163" s="20"/>
    </row>
    <row r="26164" spans="1:1" x14ac:dyDescent="0.3">
      <c r="A26164" s="20"/>
    </row>
    <row r="26165" spans="1:1" x14ac:dyDescent="0.3">
      <c r="A26165" s="20"/>
    </row>
    <row r="26166" spans="1:1" x14ac:dyDescent="0.3">
      <c r="A26166" s="20"/>
    </row>
    <row r="26167" spans="1:1" x14ac:dyDescent="0.3">
      <c r="A26167" s="20"/>
    </row>
    <row r="26168" spans="1:1" x14ac:dyDescent="0.3">
      <c r="A26168" s="20"/>
    </row>
    <row r="26169" spans="1:1" x14ac:dyDescent="0.3">
      <c r="A26169" s="20"/>
    </row>
    <row r="26170" spans="1:1" x14ac:dyDescent="0.3">
      <c r="A26170" s="20"/>
    </row>
    <row r="26171" spans="1:1" x14ac:dyDescent="0.3">
      <c r="A26171" s="20"/>
    </row>
    <row r="26172" spans="1:1" x14ac:dyDescent="0.3">
      <c r="A26172" s="20"/>
    </row>
    <row r="26173" spans="1:1" x14ac:dyDescent="0.3">
      <c r="A26173" s="20"/>
    </row>
    <row r="26174" spans="1:1" x14ac:dyDescent="0.3">
      <c r="A26174" s="20"/>
    </row>
    <row r="26175" spans="1:1" x14ac:dyDescent="0.3">
      <c r="A26175" s="20"/>
    </row>
    <row r="26176" spans="1:1" x14ac:dyDescent="0.3">
      <c r="A26176" s="20"/>
    </row>
    <row r="26177" spans="1:1" x14ac:dyDescent="0.3">
      <c r="A26177" s="20"/>
    </row>
    <row r="26178" spans="1:1" x14ac:dyDescent="0.3">
      <c r="A26178" s="20"/>
    </row>
    <row r="26179" spans="1:1" x14ac:dyDescent="0.3">
      <c r="A26179" s="20"/>
    </row>
    <row r="26180" spans="1:1" x14ac:dyDescent="0.3">
      <c r="A26180" s="20"/>
    </row>
    <row r="26181" spans="1:1" x14ac:dyDescent="0.3">
      <c r="A26181" s="20"/>
    </row>
    <row r="26182" spans="1:1" x14ac:dyDescent="0.3">
      <c r="A26182" s="20"/>
    </row>
    <row r="26183" spans="1:1" x14ac:dyDescent="0.3">
      <c r="A26183" s="20"/>
    </row>
    <row r="26184" spans="1:1" x14ac:dyDescent="0.3">
      <c r="A26184" s="20"/>
    </row>
    <row r="26185" spans="1:1" x14ac:dyDescent="0.3">
      <c r="A26185" s="20"/>
    </row>
    <row r="26186" spans="1:1" x14ac:dyDescent="0.3">
      <c r="A26186" s="20"/>
    </row>
    <row r="26187" spans="1:1" x14ac:dyDescent="0.3">
      <c r="A26187" s="20"/>
    </row>
    <row r="26188" spans="1:1" x14ac:dyDescent="0.3">
      <c r="A26188" s="20"/>
    </row>
    <row r="26189" spans="1:1" x14ac:dyDescent="0.3">
      <c r="A26189" s="20"/>
    </row>
    <row r="26190" spans="1:1" x14ac:dyDescent="0.3">
      <c r="A26190" s="20"/>
    </row>
    <row r="26191" spans="1:1" x14ac:dyDescent="0.3">
      <c r="A26191" s="20"/>
    </row>
    <row r="26192" spans="1:1" x14ac:dyDescent="0.3">
      <c r="A26192" s="20"/>
    </row>
    <row r="26193" spans="1:1" x14ac:dyDescent="0.3">
      <c r="A26193" s="20"/>
    </row>
    <row r="26194" spans="1:1" x14ac:dyDescent="0.3">
      <c r="A26194" s="20"/>
    </row>
    <row r="26195" spans="1:1" x14ac:dyDescent="0.3">
      <c r="A26195" s="20"/>
    </row>
    <row r="26196" spans="1:1" x14ac:dyDescent="0.3">
      <c r="A26196" s="20"/>
    </row>
    <row r="26197" spans="1:1" x14ac:dyDescent="0.3">
      <c r="A26197" s="20"/>
    </row>
    <row r="26198" spans="1:1" x14ac:dyDescent="0.3">
      <c r="A26198" s="20"/>
    </row>
    <row r="26199" spans="1:1" x14ac:dyDescent="0.3">
      <c r="A26199" s="20"/>
    </row>
    <row r="26200" spans="1:1" x14ac:dyDescent="0.3">
      <c r="A26200" s="20"/>
    </row>
    <row r="26201" spans="1:1" x14ac:dyDescent="0.3">
      <c r="A26201" s="20"/>
    </row>
    <row r="26202" spans="1:1" x14ac:dyDescent="0.3">
      <c r="A26202" s="20"/>
    </row>
    <row r="26203" spans="1:1" x14ac:dyDescent="0.3">
      <c r="A26203" s="20"/>
    </row>
    <row r="26204" spans="1:1" x14ac:dyDescent="0.3">
      <c r="A26204" s="20"/>
    </row>
    <row r="26205" spans="1:1" x14ac:dyDescent="0.3">
      <c r="A26205" s="20"/>
    </row>
    <row r="26206" spans="1:1" x14ac:dyDescent="0.3">
      <c r="A26206" s="20"/>
    </row>
    <row r="26207" spans="1:1" x14ac:dyDescent="0.3">
      <c r="A26207" s="20"/>
    </row>
    <row r="26208" spans="1:1" x14ac:dyDescent="0.3">
      <c r="A26208" s="20"/>
    </row>
    <row r="26209" spans="1:1" x14ac:dyDescent="0.3">
      <c r="A26209" s="20"/>
    </row>
    <row r="26210" spans="1:1" x14ac:dyDescent="0.3">
      <c r="A26210" s="20"/>
    </row>
    <row r="26211" spans="1:1" x14ac:dyDescent="0.3">
      <c r="A26211" s="20"/>
    </row>
    <row r="26212" spans="1:1" x14ac:dyDescent="0.3">
      <c r="A26212" s="20"/>
    </row>
    <row r="26213" spans="1:1" x14ac:dyDescent="0.3">
      <c r="A26213" s="20"/>
    </row>
    <row r="26214" spans="1:1" x14ac:dyDescent="0.3">
      <c r="A26214" s="20"/>
    </row>
    <row r="26215" spans="1:1" x14ac:dyDescent="0.3">
      <c r="A26215" s="20"/>
    </row>
    <row r="26216" spans="1:1" x14ac:dyDescent="0.3">
      <c r="A26216" s="20"/>
    </row>
    <row r="26217" spans="1:1" x14ac:dyDescent="0.3">
      <c r="A26217" s="20"/>
    </row>
    <row r="26218" spans="1:1" x14ac:dyDescent="0.3">
      <c r="A26218" s="20"/>
    </row>
    <row r="26219" spans="1:1" x14ac:dyDescent="0.3">
      <c r="A26219" s="20"/>
    </row>
    <row r="26220" spans="1:1" x14ac:dyDescent="0.3">
      <c r="A26220" s="20"/>
    </row>
    <row r="26221" spans="1:1" x14ac:dyDescent="0.3">
      <c r="A26221" s="20"/>
    </row>
    <row r="26222" spans="1:1" x14ac:dyDescent="0.3">
      <c r="A26222" s="20"/>
    </row>
    <row r="26223" spans="1:1" x14ac:dyDescent="0.3">
      <c r="A26223" s="20"/>
    </row>
    <row r="26224" spans="1:1" x14ac:dyDescent="0.3">
      <c r="A26224" s="20"/>
    </row>
    <row r="26225" spans="1:1" x14ac:dyDescent="0.3">
      <c r="A26225" s="20"/>
    </row>
    <row r="26226" spans="1:1" x14ac:dyDescent="0.3">
      <c r="A26226" s="20"/>
    </row>
    <row r="26227" spans="1:1" x14ac:dyDescent="0.3">
      <c r="A26227" s="20"/>
    </row>
    <row r="26228" spans="1:1" x14ac:dyDescent="0.3">
      <c r="A26228" s="20"/>
    </row>
    <row r="26229" spans="1:1" x14ac:dyDescent="0.3">
      <c r="A26229" s="20"/>
    </row>
    <row r="26230" spans="1:1" x14ac:dyDescent="0.3">
      <c r="A26230" s="20"/>
    </row>
    <row r="26231" spans="1:1" x14ac:dyDescent="0.3">
      <c r="A26231" s="20"/>
    </row>
    <row r="26232" spans="1:1" x14ac:dyDescent="0.3">
      <c r="A26232" s="20"/>
    </row>
    <row r="26233" spans="1:1" x14ac:dyDescent="0.3">
      <c r="A26233" s="20"/>
    </row>
    <row r="26234" spans="1:1" x14ac:dyDescent="0.3">
      <c r="A26234" s="20"/>
    </row>
    <row r="26235" spans="1:1" x14ac:dyDescent="0.3">
      <c r="A26235" s="20"/>
    </row>
    <row r="26236" spans="1:1" x14ac:dyDescent="0.3">
      <c r="A26236" s="20"/>
    </row>
    <row r="26237" spans="1:1" x14ac:dyDescent="0.3">
      <c r="A26237" s="20"/>
    </row>
    <row r="26238" spans="1:1" x14ac:dyDescent="0.3">
      <c r="A26238" s="20"/>
    </row>
    <row r="26239" spans="1:1" x14ac:dyDescent="0.3">
      <c r="A26239" s="20"/>
    </row>
    <row r="26240" spans="1:1" x14ac:dyDescent="0.3">
      <c r="A26240" s="20"/>
    </row>
    <row r="26241" spans="1:1" x14ac:dyDescent="0.3">
      <c r="A26241" s="20"/>
    </row>
    <row r="26242" spans="1:1" x14ac:dyDescent="0.3">
      <c r="A26242" s="20"/>
    </row>
    <row r="26243" spans="1:1" x14ac:dyDescent="0.3">
      <c r="A26243" s="20"/>
    </row>
    <row r="26244" spans="1:1" x14ac:dyDescent="0.3">
      <c r="A26244" s="20"/>
    </row>
    <row r="26245" spans="1:1" x14ac:dyDescent="0.3">
      <c r="A26245" s="20"/>
    </row>
    <row r="26246" spans="1:1" x14ac:dyDescent="0.3">
      <c r="A26246" s="20"/>
    </row>
    <row r="26247" spans="1:1" x14ac:dyDescent="0.3">
      <c r="A26247" s="20"/>
    </row>
    <row r="26248" spans="1:1" x14ac:dyDescent="0.3">
      <c r="A26248" s="20"/>
    </row>
    <row r="26249" spans="1:1" x14ac:dyDescent="0.3">
      <c r="A26249" s="20"/>
    </row>
    <row r="26250" spans="1:1" x14ac:dyDescent="0.3">
      <c r="A26250" s="20"/>
    </row>
    <row r="26251" spans="1:1" x14ac:dyDescent="0.3">
      <c r="A26251" s="20"/>
    </row>
    <row r="26252" spans="1:1" x14ac:dyDescent="0.3">
      <c r="A26252" s="20"/>
    </row>
    <row r="26253" spans="1:1" x14ac:dyDescent="0.3">
      <c r="A26253" s="20"/>
    </row>
    <row r="26254" spans="1:1" x14ac:dyDescent="0.3">
      <c r="A26254" s="20"/>
    </row>
    <row r="26255" spans="1:1" x14ac:dyDescent="0.3">
      <c r="A26255" s="20"/>
    </row>
    <row r="26256" spans="1:1" x14ac:dyDescent="0.3">
      <c r="A26256" s="20"/>
    </row>
    <row r="26257" spans="1:1" x14ac:dyDescent="0.3">
      <c r="A26257" s="20"/>
    </row>
    <row r="26258" spans="1:1" x14ac:dyDescent="0.3">
      <c r="A26258" s="20"/>
    </row>
    <row r="26259" spans="1:1" x14ac:dyDescent="0.3">
      <c r="A26259" s="20"/>
    </row>
    <row r="26260" spans="1:1" x14ac:dyDescent="0.3">
      <c r="A26260" s="20"/>
    </row>
    <row r="26261" spans="1:1" x14ac:dyDescent="0.3">
      <c r="A26261" s="20"/>
    </row>
    <row r="26262" spans="1:1" x14ac:dyDescent="0.3">
      <c r="A26262" s="20"/>
    </row>
    <row r="26263" spans="1:1" x14ac:dyDescent="0.3">
      <c r="A26263" s="20"/>
    </row>
    <row r="26264" spans="1:1" x14ac:dyDescent="0.3">
      <c r="A26264" s="20"/>
    </row>
    <row r="26265" spans="1:1" x14ac:dyDescent="0.3">
      <c r="A26265" s="20"/>
    </row>
    <row r="26266" spans="1:1" x14ac:dyDescent="0.3">
      <c r="A26266" s="20"/>
    </row>
    <row r="26267" spans="1:1" x14ac:dyDescent="0.3">
      <c r="A26267" s="20"/>
    </row>
    <row r="26268" spans="1:1" x14ac:dyDescent="0.3">
      <c r="A26268" s="20"/>
    </row>
    <row r="26269" spans="1:1" x14ac:dyDescent="0.3">
      <c r="A26269" s="20"/>
    </row>
    <row r="26270" spans="1:1" x14ac:dyDescent="0.3">
      <c r="A26270" s="20"/>
    </row>
    <row r="26271" spans="1:1" x14ac:dyDescent="0.3">
      <c r="A26271" s="20"/>
    </row>
    <row r="26272" spans="1:1" x14ac:dyDescent="0.3">
      <c r="A26272" s="20"/>
    </row>
    <row r="26273" spans="1:1" x14ac:dyDescent="0.3">
      <c r="A26273" s="20"/>
    </row>
    <row r="26274" spans="1:1" x14ac:dyDescent="0.3">
      <c r="A26274" s="20"/>
    </row>
    <row r="26275" spans="1:1" x14ac:dyDescent="0.3">
      <c r="A26275" s="20"/>
    </row>
    <row r="26276" spans="1:1" x14ac:dyDescent="0.3">
      <c r="A26276" s="20"/>
    </row>
    <row r="26277" spans="1:1" x14ac:dyDescent="0.3">
      <c r="A26277" s="20"/>
    </row>
    <row r="26278" spans="1:1" x14ac:dyDescent="0.3">
      <c r="A26278" s="20"/>
    </row>
    <row r="26279" spans="1:1" x14ac:dyDescent="0.3">
      <c r="A26279" s="20"/>
    </row>
    <row r="26280" spans="1:1" x14ac:dyDescent="0.3">
      <c r="A26280" s="20"/>
    </row>
    <row r="26281" spans="1:1" x14ac:dyDescent="0.3">
      <c r="A26281" s="20"/>
    </row>
    <row r="26282" spans="1:1" x14ac:dyDescent="0.3">
      <c r="A26282" s="20"/>
    </row>
    <row r="26283" spans="1:1" x14ac:dyDescent="0.3">
      <c r="A26283" s="20"/>
    </row>
    <row r="26284" spans="1:1" x14ac:dyDescent="0.3">
      <c r="A26284" s="20"/>
    </row>
    <row r="26285" spans="1:1" x14ac:dyDescent="0.3">
      <c r="A26285" s="20"/>
    </row>
    <row r="26286" spans="1:1" x14ac:dyDescent="0.3">
      <c r="A26286" s="20"/>
    </row>
    <row r="26287" spans="1:1" x14ac:dyDescent="0.3">
      <c r="A26287" s="20"/>
    </row>
    <row r="26288" spans="1:1" x14ac:dyDescent="0.3">
      <c r="A26288" s="20"/>
    </row>
    <row r="26289" spans="1:1" x14ac:dyDescent="0.3">
      <c r="A26289" s="20"/>
    </row>
    <row r="26290" spans="1:1" x14ac:dyDescent="0.3">
      <c r="A26290" s="20"/>
    </row>
    <row r="26291" spans="1:1" x14ac:dyDescent="0.3">
      <c r="A26291" s="20"/>
    </row>
    <row r="26292" spans="1:1" x14ac:dyDescent="0.3">
      <c r="A26292" s="20"/>
    </row>
    <row r="26293" spans="1:1" x14ac:dyDescent="0.3">
      <c r="A26293" s="20"/>
    </row>
    <row r="26294" spans="1:1" x14ac:dyDescent="0.3">
      <c r="A26294" s="20"/>
    </row>
    <row r="26295" spans="1:1" x14ac:dyDescent="0.3">
      <c r="A26295" s="20"/>
    </row>
    <row r="26296" spans="1:1" x14ac:dyDescent="0.3">
      <c r="A26296" s="20"/>
    </row>
    <row r="26297" spans="1:1" x14ac:dyDescent="0.3">
      <c r="A26297" s="20"/>
    </row>
    <row r="26298" spans="1:1" x14ac:dyDescent="0.3">
      <c r="A26298" s="20"/>
    </row>
    <row r="26299" spans="1:1" x14ac:dyDescent="0.3">
      <c r="A26299" s="20"/>
    </row>
    <row r="26300" spans="1:1" x14ac:dyDescent="0.3">
      <c r="A26300" s="20"/>
    </row>
    <row r="26301" spans="1:1" x14ac:dyDescent="0.3">
      <c r="A26301" s="20"/>
    </row>
    <row r="26302" spans="1:1" x14ac:dyDescent="0.3">
      <c r="A26302" s="20"/>
    </row>
    <row r="26303" spans="1:1" x14ac:dyDescent="0.3">
      <c r="A26303" s="20"/>
    </row>
    <row r="26304" spans="1:1" x14ac:dyDescent="0.3">
      <c r="A26304" s="20"/>
    </row>
    <row r="26305" spans="1:1" x14ac:dyDescent="0.3">
      <c r="A26305" s="20"/>
    </row>
    <row r="26306" spans="1:1" x14ac:dyDescent="0.3">
      <c r="A26306" s="20"/>
    </row>
    <row r="26307" spans="1:1" x14ac:dyDescent="0.3">
      <c r="A26307" s="20"/>
    </row>
    <row r="26308" spans="1:1" x14ac:dyDescent="0.3">
      <c r="A26308" s="20"/>
    </row>
    <row r="26309" spans="1:1" x14ac:dyDescent="0.3">
      <c r="A26309" s="20"/>
    </row>
    <row r="26310" spans="1:1" x14ac:dyDescent="0.3">
      <c r="A26310" s="20"/>
    </row>
    <row r="26311" spans="1:1" x14ac:dyDescent="0.3">
      <c r="A26311" s="20"/>
    </row>
    <row r="26312" spans="1:1" x14ac:dyDescent="0.3">
      <c r="A26312" s="20"/>
    </row>
    <row r="26313" spans="1:1" x14ac:dyDescent="0.3">
      <c r="A26313" s="20"/>
    </row>
    <row r="26314" spans="1:1" x14ac:dyDescent="0.3">
      <c r="A26314" s="20"/>
    </row>
    <row r="26315" spans="1:1" x14ac:dyDescent="0.3">
      <c r="A26315" s="20"/>
    </row>
    <row r="26316" spans="1:1" x14ac:dyDescent="0.3">
      <c r="A26316" s="20"/>
    </row>
    <row r="26317" spans="1:1" x14ac:dyDescent="0.3">
      <c r="A26317" s="20"/>
    </row>
    <row r="26318" spans="1:1" x14ac:dyDescent="0.3">
      <c r="A26318" s="20"/>
    </row>
    <row r="26319" spans="1:1" x14ac:dyDescent="0.3">
      <c r="A26319" s="20"/>
    </row>
    <row r="26320" spans="1:1" x14ac:dyDescent="0.3">
      <c r="A26320" s="20"/>
    </row>
    <row r="26321" spans="1:1" x14ac:dyDescent="0.3">
      <c r="A26321" s="20"/>
    </row>
    <row r="26322" spans="1:1" x14ac:dyDescent="0.3">
      <c r="A26322" s="20"/>
    </row>
    <row r="26323" spans="1:1" x14ac:dyDescent="0.3">
      <c r="A26323" s="20"/>
    </row>
    <row r="26324" spans="1:1" x14ac:dyDescent="0.3">
      <c r="A26324" s="20"/>
    </row>
    <row r="26325" spans="1:1" x14ac:dyDescent="0.3">
      <c r="A26325" s="20"/>
    </row>
    <row r="26326" spans="1:1" x14ac:dyDescent="0.3">
      <c r="A26326" s="20"/>
    </row>
    <row r="26327" spans="1:1" x14ac:dyDescent="0.3">
      <c r="A26327" s="20"/>
    </row>
    <row r="26328" spans="1:1" x14ac:dyDescent="0.3">
      <c r="A26328" s="20"/>
    </row>
    <row r="26329" spans="1:1" x14ac:dyDescent="0.3">
      <c r="A26329" s="20"/>
    </row>
    <row r="26330" spans="1:1" x14ac:dyDescent="0.3">
      <c r="A26330" s="20"/>
    </row>
    <row r="26331" spans="1:1" x14ac:dyDescent="0.3">
      <c r="A26331" s="20"/>
    </row>
    <row r="26332" spans="1:1" x14ac:dyDescent="0.3">
      <c r="A26332" s="20"/>
    </row>
    <row r="26333" spans="1:1" x14ac:dyDescent="0.3">
      <c r="A26333" s="20"/>
    </row>
    <row r="26334" spans="1:1" x14ac:dyDescent="0.3">
      <c r="A26334" s="20"/>
    </row>
    <row r="26335" spans="1:1" x14ac:dyDescent="0.3">
      <c r="A26335" s="20"/>
    </row>
    <row r="26336" spans="1:1" x14ac:dyDescent="0.3">
      <c r="A26336" s="20"/>
    </row>
    <row r="26337" spans="1:1" x14ac:dyDescent="0.3">
      <c r="A26337" s="20"/>
    </row>
    <row r="26338" spans="1:1" x14ac:dyDescent="0.3">
      <c r="A26338" s="20"/>
    </row>
    <row r="26339" spans="1:1" x14ac:dyDescent="0.3">
      <c r="A26339" s="20"/>
    </row>
    <row r="26340" spans="1:1" x14ac:dyDescent="0.3">
      <c r="A26340" s="20"/>
    </row>
    <row r="26341" spans="1:1" x14ac:dyDescent="0.3">
      <c r="A26341" s="20"/>
    </row>
    <row r="26342" spans="1:1" x14ac:dyDescent="0.3">
      <c r="A26342" s="20"/>
    </row>
    <row r="26343" spans="1:1" x14ac:dyDescent="0.3">
      <c r="A26343" s="20"/>
    </row>
    <row r="26344" spans="1:1" x14ac:dyDescent="0.3">
      <c r="A26344" s="20"/>
    </row>
    <row r="26345" spans="1:1" x14ac:dyDescent="0.3">
      <c r="A26345" s="20"/>
    </row>
    <row r="26346" spans="1:1" x14ac:dyDescent="0.3">
      <c r="A26346" s="20"/>
    </row>
    <row r="26347" spans="1:1" x14ac:dyDescent="0.3">
      <c r="A26347" s="20"/>
    </row>
    <row r="26348" spans="1:1" x14ac:dyDescent="0.3">
      <c r="A26348" s="20"/>
    </row>
    <row r="26349" spans="1:1" x14ac:dyDescent="0.3">
      <c r="A26349" s="20"/>
    </row>
    <row r="26350" spans="1:1" x14ac:dyDescent="0.3">
      <c r="A26350" s="20"/>
    </row>
    <row r="26351" spans="1:1" x14ac:dyDescent="0.3">
      <c r="A26351" s="20"/>
    </row>
    <row r="26352" spans="1:1" x14ac:dyDescent="0.3">
      <c r="A26352" s="20"/>
    </row>
    <row r="26353" spans="1:1" x14ac:dyDescent="0.3">
      <c r="A26353" s="20"/>
    </row>
    <row r="26354" spans="1:1" x14ac:dyDescent="0.3">
      <c r="A26354" s="20"/>
    </row>
    <row r="26355" spans="1:1" x14ac:dyDescent="0.3">
      <c r="A26355" s="20"/>
    </row>
    <row r="26356" spans="1:1" x14ac:dyDescent="0.3">
      <c r="A26356" s="20"/>
    </row>
    <row r="26357" spans="1:1" x14ac:dyDescent="0.3">
      <c r="A26357" s="20"/>
    </row>
    <row r="26358" spans="1:1" x14ac:dyDescent="0.3">
      <c r="A26358" s="20"/>
    </row>
    <row r="26359" spans="1:1" x14ac:dyDescent="0.3">
      <c r="A26359" s="20"/>
    </row>
    <row r="26360" spans="1:1" x14ac:dyDescent="0.3">
      <c r="A26360" s="20"/>
    </row>
    <row r="26361" spans="1:1" x14ac:dyDescent="0.3">
      <c r="A26361" s="20"/>
    </row>
    <row r="26362" spans="1:1" x14ac:dyDescent="0.3">
      <c r="A26362" s="20"/>
    </row>
    <row r="26363" spans="1:1" x14ac:dyDescent="0.3">
      <c r="A26363" s="20"/>
    </row>
    <row r="26364" spans="1:1" x14ac:dyDescent="0.3">
      <c r="A26364" s="20"/>
    </row>
    <row r="26365" spans="1:1" x14ac:dyDescent="0.3">
      <c r="A26365" s="20"/>
    </row>
    <row r="26366" spans="1:1" x14ac:dyDescent="0.3">
      <c r="A26366" s="20"/>
    </row>
    <row r="26367" spans="1:1" x14ac:dyDescent="0.3">
      <c r="A26367" s="20"/>
    </row>
    <row r="26368" spans="1:1" x14ac:dyDescent="0.3">
      <c r="A26368" s="20"/>
    </row>
    <row r="26369" spans="1:1" x14ac:dyDescent="0.3">
      <c r="A26369" s="20"/>
    </row>
    <row r="26370" spans="1:1" x14ac:dyDescent="0.3">
      <c r="A26370" s="20"/>
    </row>
    <row r="26371" spans="1:1" x14ac:dyDescent="0.3">
      <c r="A26371" s="20"/>
    </row>
    <row r="26372" spans="1:1" x14ac:dyDescent="0.3">
      <c r="A26372" s="20"/>
    </row>
    <row r="26373" spans="1:1" x14ac:dyDescent="0.3">
      <c r="A26373" s="20"/>
    </row>
    <row r="26374" spans="1:1" x14ac:dyDescent="0.3">
      <c r="A26374" s="20"/>
    </row>
    <row r="26375" spans="1:1" x14ac:dyDescent="0.3">
      <c r="A26375" s="20"/>
    </row>
    <row r="26376" spans="1:1" x14ac:dyDescent="0.3">
      <c r="A26376" s="20"/>
    </row>
    <row r="26377" spans="1:1" x14ac:dyDescent="0.3">
      <c r="A26377" s="20"/>
    </row>
    <row r="26378" spans="1:1" x14ac:dyDescent="0.3">
      <c r="A26378" s="20"/>
    </row>
    <row r="26379" spans="1:1" x14ac:dyDescent="0.3">
      <c r="A26379" s="20"/>
    </row>
    <row r="26380" spans="1:1" x14ac:dyDescent="0.3">
      <c r="A26380" s="20"/>
    </row>
    <row r="26381" spans="1:1" x14ac:dyDescent="0.3">
      <c r="A26381" s="20"/>
    </row>
    <row r="26382" spans="1:1" x14ac:dyDescent="0.3">
      <c r="A26382" s="20"/>
    </row>
    <row r="26383" spans="1:1" x14ac:dyDescent="0.3">
      <c r="A26383" s="20"/>
    </row>
    <row r="26384" spans="1:1" x14ac:dyDescent="0.3">
      <c r="A26384" s="20"/>
    </row>
    <row r="26385" spans="1:1" x14ac:dyDescent="0.3">
      <c r="A26385" s="20"/>
    </row>
    <row r="26386" spans="1:1" x14ac:dyDescent="0.3">
      <c r="A26386" s="20"/>
    </row>
    <row r="26387" spans="1:1" x14ac:dyDescent="0.3">
      <c r="A26387" s="20"/>
    </row>
    <row r="26388" spans="1:1" x14ac:dyDescent="0.3">
      <c r="A26388" s="20"/>
    </row>
    <row r="26389" spans="1:1" x14ac:dyDescent="0.3">
      <c r="A26389" s="20"/>
    </row>
    <row r="26390" spans="1:1" x14ac:dyDescent="0.3">
      <c r="A26390" s="20"/>
    </row>
    <row r="26391" spans="1:1" x14ac:dyDescent="0.3">
      <c r="A26391" s="20"/>
    </row>
    <row r="26392" spans="1:1" x14ac:dyDescent="0.3">
      <c r="A26392" s="20"/>
    </row>
    <row r="26393" spans="1:1" x14ac:dyDescent="0.3">
      <c r="A26393" s="20"/>
    </row>
    <row r="26394" spans="1:1" x14ac:dyDescent="0.3">
      <c r="A26394" s="20"/>
    </row>
    <row r="26395" spans="1:1" x14ac:dyDescent="0.3">
      <c r="A26395" s="20"/>
    </row>
    <row r="26396" spans="1:1" x14ac:dyDescent="0.3">
      <c r="A26396" s="20"/>
    </row>
    <row r="26397" spans="1:1" x14ac:dyDescent="0.3">
      <c r="A26397" s="20"/>
    </row>
    <row r="26398" spans="1:1" x14ac:dyDescent="0.3">
      <c r="A26398" s="20"/>
    </row>
    <row r="26399" spans="1:1" x14ac:dyDescent="0.3">
      <c r="A26399" s="20"/>
    </row>
    <row r="26400" spans="1:1" x14ac:dyDescent="0.3">
      <c r="A26400" s="20"/>
    </row>
    <row r="26401" spans="1:1" x14ac:dyDescent="0.3">
      <c r="A26401" s="20"/>
    </row>
    <row r="26402" spans="1:1" x14ac:dyDescent="0.3">
      <c r="A26402" s="20"/>
    </row>
    <row r="26403" spans="1:1" x14ac:dyDescent="0.3">
      <c r="A26403" s="20"/>
    </row>
    <row r="26404" spans="1:1" x14ac:dyDescent="0.3">
      <c r="A26404" s="20"/>
    </row>
    <row r="26405" spans="1:1" x14ac:dyDescent="0.3">
      <c r="A26405" s="20"/>
    </row>
    <row r="26406" spans="1:1" x14ac:dyDescent="0.3">
      <c r="A26406" s="20"/>
    </row>
    <row r="26407" spans="1:1" x14ac:dyDescent="0.3">
      <c r="A26407" s="20"/>
    </row>
    <row r="26408" spans="1:1" x14ac:dyDescent="0.3">
      <c r="A26408" s="20"/>
    </row>
    <row r="26409" spans="1:1" x14ac:dyDescent="0.3">
      <c r="A26409" s="20"/>
    </row>
    <row r="26410" spans="1:1" x14ac:dyDescent="0.3">
      <c r="A26410" s="20"/>
    </row>
    <row r="26411" spans="1:1" x14ac:dyDescent="0.3">
      <c r="A26411" s="20"/>
    </row>
    <row r="26412" spans="1:1" x14ac:dyDescent="0.3">
      <c r="A26412" s="20"/>
    </row>
    <row r="26413" spans="1:1" x14ac:dyDescent="0.3">
      <c r="A26413" s="20"/>
    </row>
    <row r="26414" spans="1:1" x14ac:dyDescent="0.3">
      <c r="A26414" s="20"/>
    </row>
    <row r="26415" spans="1:1" x14ac:dyDescent="0.3">
      <c r="A26415" s="20"/>
    </row>
    <row r="26416" spans="1:1" x14ac:dyDescent="0.3">
      <c r="A26416" s="20"/>
    </row>
    <row r="26417" spans="1:1" x14ac:dyDescent="0.3">
      <c r="A26417" s="20"/>
    </row>
    <row r="26418" spans="1:1" x14ac:dyDescent="0.3">
      <c r="A26418" s="20"/>
    </row>
    <row r="26419" spans="1:1" x14ac:dyDescent="0.3">
      <c r="A26419" s="20"/>
    </row>
    <row r="26420" spans="1:1" x14ac:dyDescent="0.3">
      <c r="A26420" s="20"/>
    </row>
    <row r="26421" spans="1:1" x14ac:dyDescent="0.3">
      <c r="A26421" s="20"/>
    </row>
    <row r="26422" spans="1:1" x14ac:dyDescent="0.3">
      <c r="A26422" s="20"/>
    </row>
    <row r="26423" spans="1:1" x14ac:dyDescent="0.3">
      <c r="A26423" s="20"/>
    </row>
    <row r="26424" spans="1:1" x14ac:dyDescent="0.3">
      <c r="A26424" s="20"/>
    </row>
    <row r="26425" spans="1:1" x14ac:dyDescent="0.3">
      <c r="A26425" s="20"/>
    </row>
    <row r="26426" spans="1:1" x14ac:dyDescent="0.3">
      <c r="A26426" s="20"/>
    </row>
    <row r="26427" spans="1:1" x14ac:dyDescent="0.3">
      <c r="A26427" s="20"/>
    </row>
    <row r="26428" spans="1:1" x14ac:dyDescent="0.3">
      <c r="A26428" s="20"/>
    </row>
    <row r="26429" spans="1:1" x14ac:dyDescent="0.3">
      <c r="A26429" s="20"/>
    </row>
    <row r="26430" spans="1:1" x14ac:dyDescent="0.3">
      <c r="A26430" s="20"/>
    </row>
    <row r="26431" spans="1:1" x14ac:dyDescent="0.3">
      <c r="A26431" s="20"/>
    </row>
    <row r="26432" spans="1:1" x14ac:dyDescent="0.3">
      <c r="A26432" s="20"/>
    </row>
    <row r="26433" spans="1:1" x14ac:dyDescent="0.3">
      <c r="A26433" s="20"/>
    </row>
    <row r="26434" spans="1:1" x14ac:dyDescent="0.3">
      <c r="A26434" s="20"/>
    </row>
    <row r="26435" spans="1:1" x14ac:dyDescent="0.3">
      <c r="A26435" s="20"/>
    </row>
    <row r="26436" spans="1:1" x14ac:dyDescent="0.3">
      <c r="A26436" s="20"/>
    </row>
    <row r="26437" spans="1:1" x14ac:dyDescent="0.3">
      <c r="A26437" s="20"/>
    </row>
    <row r="26438" spans="1:1" x14ac:dyDescent="0.3">
      <c r="A26438" s="20"/>
    </row>
    <row r="26439" spans="1:1" x14ac:dyDescent="0.3">
      <c r="A26439" s="20"/>
    </row>
    <row r="26440" spans="1:1" x14ac:dyDescent="0.3">
      <c r="A26440" s="20"/>
    </row>
    <row r="26441" spans="1:1" x14ac:dyDescent="0.3">
      <c r="A26441" s="20"/>
    </row>
    <row r="26442" spans="1:1" x14ac:dyDescent="0.3">
      <c r="A26442" s="20"/>
    </row>
    <row r="26443" spans="1:1" x14ac:dyDescent="0.3">
      <c r="A26443" s="20"/>
    </row>
    <row r="26444" spans="1:1" x14ac:dyDescent="0.3">
      <c r="A26444" s="20"/>
    </row>
    <row r="26445" spans="1:1" x14ac:dyDescent="0.3">
      <c r="A26445" s="20"/>
    </row>
    <row r="26446" spans="1:1" x14ac:dyDescent="0.3">
      <c r="A26446" s="20"/>
    </row>
    <row r="26447" spans="1:1" x14ac:dyDescent="0.3">
      <c r="A26447" s="20"/>
    </row>
    <row r="26448" spans="1:1" x14ac:dyDescent="0.3">
      <c r="A26448" s="20"/>
    </row>
    <row r="26449" spans="1:1" x14ac:dyDescent="0.3">
      <c r="A26449" s="20"/>
    </row>
    <row r="26450" spans="1:1" x14ac:dyDescent="0.3">
      <c r="A26450" s="20"/>
    </row>
    <row r="26451" spans="1:1" x14ac:dyDescent="0.3">
      <c r="A26451" s="20"/>
    </row>
    <row r="26452" spans="1:1" x14ac:dyDescent="0.3">
      <c r="A26452" s="20"/>
    </row>
    <row r="26453" spans="1:1" x14ac:dyDescent="0.3">
      <c r="A26453" s="20"/>
    </row>
    <row r="26454" spans="1:1" x14ac:dyDescent="0.3">
      <c r="A26454" s="20"/>
    </row>
    <row r="26455" spans="1:1" x14ac:dyDescent="0.3">
      <c r="A26455" s="20"/>
    </row>
    <row r="26456" spans="1:1" x14ac:dyDescent="0.3">
      <c r="A26456" s="20"/>
    </row>
    <row r="26457" spans="1:1" x14ac:dyDescent="0.3">
      <c r="A26457" s="20"/>
    </row>
    <row r="26458" spans="1:1" x14ac:dyDescent="0.3">
      <c r="A26458" s="20"/>
    </row>
    <row r="26459" spans="1:1" x14ac:dyDescent="0.3">
      <c r="A26459" s="20"/>
    </row>
    <row r="26460" spans="1:1" x14ac:dyDescent="0.3">
      <c r="A26460" s="20"/>
    </row>
    <row r="26461" spans="1:1" x14ac:dyDescent="0.3">
      <c r="A26461" s="20"/>
    </row>
    <row r="26462" spans="1:1" x14ac:dyDescent="0.3">
      <c r="A26462" s="20"/>
    </row>
    <row r="26463" spans="1:1" x14ac:dyDescent="0.3">
      <c r="A26463" s="20"/>
    </row>
    <row r="26464" spans="1:1" x14ac:dyDescent="0.3">
      <c r="A26464" s="20"/>
    </row>
    <row r="26465" spans="1:1" x14ac:dyDescent="0.3">
      <c r="A26465" s="20"/>
    </row>
    <row r="26466" spans="1:1" x14ac:dyDescent="0.3">
      <c r="A26466" s="20"/>
    </row>
    <row r="26467" spans="1:1" x14ac:dyDescent="0.3">
      <c r="A26467" s="20"/>
    </row>
    <row r="26468" spans="1:1" x14ac:dyDescent="0.3">
      <c r="A26468" s="20"/>
    </row>
    <row r="26469" spans="1:1" x14ac:dyDescent="0.3">
      <c r="A26469" s="20"/>
    </row>
    <row r="26470" spans="1:1" x14ac:dyDescent="0.3">
      <c r="A26470" s="20"/>
    </row>
    <row r="26471" spans="1:1" x14ac:dyDescent="0.3">
      <c r="A26471" s="20"/>
    </row>
    <row r="26472" spans="1:1" x14ac:dyDescent="0.3">
      <c r="A26472" s="20"/>
    </row>
    <row r="26473" spans="1:1" x14ac:dyDescent="0.3">
      <c r="A26473" s="20"/>
    </row>
    <row r="26474" spans="1:1" x14ac:dyDescent="0.3">
      <c r="A26474" s="20"/>
    </row>
    <row r="26475" spans="1:1" x14ac:dyDescent="0.3">
      <c r="A26475" s="20"/>
    </row>
    <row r="26476" spans="1:1" x14ac:dyDescent="0.3">
      <c r="A26476" s="20"/>
    </row>
    <row r="26477" spans="1:1" x14ac:dyDescent="0.3">
      <c r="A26477" s="20"/>
    </row>
    <row r="26478" spans="1:1" x14ac:dyDescent="0.3">
      <c r="A26478" s="20"/>
    </row>
    <row r="26479" spans="1:1" x14ac:dyDescent="0.3">
      <c r="A26479" s="20"/>
    </row>
    <row r="26480" spans="1:1" x14ac:dyDescent="0.3">
      <c r="A26480" s="20"/>
    </row>
    <row r="26481" spans="1:1" x14ac:dyDescent="0.3">
      <c r="A26481" s="20"/>
    </row>
    <row r="26482" spans="1:1" x14ac:dyDescent="0.3">
      <c r="A26482" s="20"/>
    </row>
    <row r="26483" spans="1:1" x14ac:dyDescent="0.3">
      <c r="A26483" s="20"/>
    </row>
    <row r="26484" spans="1:1" x14ac:dyDescent="0.3">
      <c r="A26484" s="20"/>
    </row>
    <row r="26485" spans="1:1" x14ac:dyDescent="0.3">
      <c r="A26485" s="20"/>
    </row>
    <row r="26486" spans="1:1" x14ac:dyDescent="0.3">
      <c r="A26486" s="20"/>
    </row>
    <row r="26487" spans="1:1" x14ac:dyDescent="0.3">
      <c r="A26487" s="20"/>
    </row>
    <row r="26488" spans="1:1" x14ac:dyDescent="0.3">
      <c r="A26488" s="20"/>
    </row>
    <row r="26489" spans="1:1" x14ac:dyDescent="0.3">
      <c r="A26489" s="20"/>
    </row>
    <row r="26490" spans="1:1" x14ac:dyDescent="0.3">
      <c r="A26490" s="20"/>
    </row>
    <row r="26491" spans="1:1" x14ac:dyDescent="0.3">
      <c r="A26491" s="20"/>
    </row>
    <row r="26492" spans="1:1" x14ac:dyDescent="0.3">
      <c r="A26492" s="20"/>
    </row>
    <row r="26493" spans="1:1" x14ac:dyDescent="0.3">
      <c r="A26493" s="20"/>
    </row>
    <row r="26494" spans="1:1" x14ac:dyDescent="0.3">
      <c r="A26494" s="20"/>
    </row>
    <row r="26495" spans="1:1" x14ac:dyDescent="0.3">
      <c r="A26495" s="20"/>
    </row>
    <row r="26496" spans="1:1" x14ac:dyDescent="0.3">
      <c r="A26496" s="20"/>
    </row>
    <row r="26497" spans="1:1" x14ac:dyDescent="0.3">
      <c r="A26497" s="20"/>
    </row>
    <row r="26498" spans="1:1" x14ac:dyDescent="0.3">
      <c r="A26498" s="20"/>
    </row>
    <row r="26499" spans="1:1" x14ac:dyDescent="0.3">
      <c r="A26499" s="20"/>
    </row>
    <row r="26500" spans="1:1" x14ac:dyDescent="0.3">
      <c r="A26500" s="20"/>
    </row>
    <row r="26501" spans="1:1" x14ac:dyDescent="0.3">
      <c r="A26501" s="20"/>
    </row>
    <row r="26502" spans="1:1" x14ac:dyDescent="0.3">
      <c r="A26502" s="20"/>
    </row>
    <row r="26503" spans="1:1" x14ac:dyDescent="0.3">
      <c r="A26503" s="20"/>
    </row>
    <row r="26504" spans="1:1" x14ac:dyDescent="0.3">
      <c r="A26504" s="20"/>
    </row>
    <row r="26505" spans="1:1" x14ac:dyDescent="0.3">
      <c r="A26505" s="20"/>
    </row>
    <row r="26506" spans="1:1" x14ac:dyDescent="0.3">
      <c r="A26506" s="20"/>
    </row>
    <row r="26507" spans="1:1" x14ac:dyDescent="0.3">
      <c r="A26507" s="20"/>
    </row>
    <row r="26508" spans="1:1" x14ac:dyDescent="0.3">
      <c r="A26508" s="20"/>
    </row>
    <row r="26509" spans="1:1" x14ac:dyDescent="0.3">
      <c r="A26509" s="20"/>
    </row>
    <row r="26510" spans="1:1" x14ac:dyDescent="0.3">
      <c r="A26510" s="20"/>
    </row>
    <row r="26511" spans="1:1" x14ac:dyDescent="0.3">
      <c r="A26511" s="20"/>
    </row>
    <row r="26512" spans="1:1" x14ac:dyDescent="0.3">
      <c r="A26512" s="20"/>
    </row>
    <row r="26513" spans="1:1" x14ac:dyDescent="0.3">
      <c r="A26513" s="20"/>
    </row>
    <row r="26514" spans="1:1" x14ac:dyDescent="0.3">
      <c r="A26514" s="20"/>
    </row>
    <row r="26515" spans="1:1" x14ac:dyDescent="0.3">
      <c r="A26515" s="20"/>
    </row>
    <row r="26516" spans="1:1" x14ac:dyDescent="0.3">
      <c r="A26516" s="20"/>
    </row>
    <row r="26517" spans="1:1" x14ac:dyDescent="0.3">
      <c r="A26517" s="20"/>
    </row>
    <row r="26518" spans="1:1" x14ac:dyDescent="0.3">
      <c r="A26518" s="20"/>
    </row>
    <row r="26519" spans="1:1" x14ac:dyDescent="0.3">
      <c r="A26519" s="20"/>
    </row>
    <row r="26520" spans="1:1" x14ac:dyDescent="0.3">
      <c r="A26520" s="20"/>
    </row>
    <row r="26521" spans="1:1" x14ac:dyDescent="0.3">
      <c r="A26521" s="20"/>
    </row>
    <row r="26522" spans="1:1" x14ac:dyDescent="0.3">
      <c r="A26522" s="20"/>
    </row>
    <row r="26523" spans="1:1" x14ac:dyDescent="0.3">
      <c r="A26523" s="20"/>
    </row>
    <row r="26524" spans="1:1" x14ac:dyDescent="0.3">
      <c r="A26524" s="20"/>
    </row>
    <row r="26525" spans="1:1" x14ac:dyDescent="0.3">
      <c r="A26525" s="20"/>
    </row>
    <row r="26526" spans="1:1" x14ac:dyDescent="0.3">
      <c r="A26526" s="20"/>
    </row>
    <row r="26527" spans="1:1" x14ac:dyDescent="0.3">
      <c r="A26527" s="20"/>
    </row>
    <row r="26528" spans="1:1" x14ac:dyDescent="0.3">
      <c r="A26528" s="20"/>
    </row>
    <row r="26529" spans="1:1" x14ac:dyDescent="0.3">
      <c r="A26529" s="20"/>
    </row>
    <row r="26530" spans="1:1" x14ac:dyDescent="0.3">
      <c r="A26530" s="20"/>
    </row>
    <row r="26531" spans="1:1" x14ac:dyDescent="0.3">
      <c r="A26531" s="20"/>
    </row>
    <row r="26532" spans="1:1" x14ac:dyDescent="0.3">
      <c r="A26532" s="20"/>
    </row>
    <row r="26533" spans="1:1" x14ac:dyDescent="0.3">
      <c r="A26533" s="20"/>
    </row>
    <row r="26534" spans="1:1" x14ac:dyDescent="0.3">
      <c r="A26534" s="20"/>
    </row>
    <row r="26535" spans="1:1" x14ac:dyDescent="0.3">
      <c r="A26535" s="20"/>
    </row>
    <row r="26536" spans="1:1" x14ac:dyDescent="0.3">
      <c r="A26536" s="20"/>
    </row>
    <row r="26537" spans="1:1" x14ac:dyDescent="0.3">
      <c r="A26537" s="20"/>
    </row>
    <row r="26538" spans="1:1" x14ac:dyDescent="0.3">
      <c r="A26538" s="20"/>
    </row>
    <row r="26539" spans="1:1" x14ac:dyDescent="0.3">
      <c r="A26539" s="20"/>
    </row>
    <row r="26540" spans="1:1" x14ac:dyDescent="0.3">
      <c r="A26540" s="20"/>
    </row>
    <row r="26541" spans="1:1" x14ac:dyDescent="0.3">
      <c r="A26541" s="20"/>
    </row>
    <row r="26542" spans="1:1" x14ac:dyDescent="0.3">
      <c r="A26542" s="20"/>
    </row>
    <row r="26543" spans="1:1" x14ac:dyDescent="0.3">
      <c r="A26543" s="20"/>
    </row>
    <row r="26544" spans="1:1" x14ac:dyDescent="0.3">
      <c r="A26544" s="20"/>
    </row>
    <row r="26545" spans="1:1" x14ac:dyDescent="0.3">
      <c r="A26545" s="20"/>
    </row>
    <row r="26546" spans="1:1" x14ac:dyDescent="0.3">
      <c r="A26546" s="20"/>
    </row>
    <row r="26547" spans="1:1" x14ac:dyDescent="0.3">
      <c r="A26547" s="20"/>
    </row>
    <row r="26548" spans="1:1" x14ac:dyDescent="0.3">
      <c r="A26548" s="20"/>
    </row>
    <row r="26549" spans="1:1" x14ac:dyDescent="0.3">
      <c r="A26549" s="20"/>
    </row>
    <row r="26550" spans="1:1" x14ac:dyDescent="0.3">
      <c r="A26550" s="20"/>
    </row>
    <row r="26551" spans="1:1" x14ac:dyDescent="0.3">
      <c r="A26551" s="20"/>
    </row>
    <row r="26552" spans="1:1" x14ac:dyDescent="0.3">
      <c r="A26552" s="20"/>
    </row>
    <row r="26553" spans="1:1" x14ac:dyDescent="0.3">
      <c r="A26553" s="20"/>
    </row>
    <row r="26554" spans="1:1" x14ac:dyDescent="0.3">
      <c r="A26554" s="20"/>
    </row>
    <row r="26555" spans="1:1" x14ac:dyDescent="0.3">
      <c r="A26555" s="20"/>
    </row>
    <row r="26556" spans="1:1" x14ac:dyDescent="0.3">
      <c r="A26556" s="20"/>
    </row>
    <row r="26557" spans="1:1" x14ac:dyDescent="0.3">
      <c r="A26557" s="20"/>
    </row>
    <row r="26558" spans="1:1" x14ac:dyDescent="0.3">
      <c r="A26558" s="20"/>
    </row>
    <row r="26559" spans="1:1" x14ac:dyDescent="0.3">
      <c r="A26559" s="20"/>
    </row>
    <row r="26560" spans="1:1" x14ac:dyDescent="0.3">
      <c r="A26560" s="20"/>
    </row>
    <row r="26561" spans="1:1" x14ac:dyDescent="0.3">
      <c r="A26561" s="20"/>
    </row>
    <row r="26562" spans="1:1" x14ac:dyDescent="0.3">
      <c r="A26562" s="20"/>
    </row>
    <row r="26563" spans="1:1" x14ac:dyDescent="0.3">
      <c r="A26563" s="20"/>
    </row>
    <row r="26564" spans="1:1" x14ac:dyDescent="0.3">
      <c r="A26564" s="20"/>
    </row>
    <row r="26565" spans="1:1" x14ac:dyDescent="0.3">
      <c r="A26565" s="20"/>
    </row>
    <row r="26566" spans="1:1" x14ac:dyDescent="0.3">
      <c r="A26566" s="20"/>
    </row>
    <row r="26567" spans="1:1" x14ac:dyDescent="0.3">
      <c r="A26567" s="20"/>
    </row>
    <row r="26568" spans="1:1" x14ac:dyDescent="0.3">
      <c r="A26568" s="20"/>
    </row>
    <row r="26569" spans="1:1" x14ac:dyDescent="0.3">
      <c r="A26569" s="20"/>
    </row>
    <row r="26570" spans="1:1" x14ac:dyDescent="0.3">
      <c r="A26570" s="20"/>
    </row>
    <row r="26571" spans="1:1" x14ac:dyDescent="0.3">
      <c r="A26571" s="20"/>
    </row>
    <row r="26572" spans="1:1" x14ac:dyDescent="0.3">
      <c r="A26572" s="20"/>
    </row>
    <row r="26573" spans="1:1" x14ac:dyDescent="0.3">
      <c r="A26573" s="20"/>
    </row>
    <row r="26574" spans="1:1" x14ac:dyDescent="0.3">
      <c r="A26574" s="20"/>
    </row>
    <row r="26575" spans="1:1" x14ac:dyDescent="0.3">
      <c r="A26575" s="20"/>
    </row>
    <row r="26576" spans="1:1" x14ac:dyDescent="0.3">
      <c r="A26576" s="20"/>
    </row>
    <row r="26577" spans="1:1" x14ac:dyDescent="0.3">
      <c r="A26577" s="20"/>
    </row>
    <row r="26578" spans="1:1" x14ac:dyDescent="0.3">
      <c r="A26578" s="20"/>
    </row>
    <row r="26579" spans="1:1" x14ac:dyDescent="0.3">
      <c r="A26579" s="20"/>
    </row>
    <row r="26580" spans="1:1" x14ac:dyDescent="0.3">
      <c r="A26580" s="20"/>
    </row>
    <row r="26581" spans="1:1" x14ac:dyDescent="0.3">
      <c r="A26581" s="20"/>
    </row>
    <row r="26582" spans="1:1" x14ac:dyDescent="0.3">
      <c r="A26582" s="20"/>
    </row>
    <row r="26583" spans="1:1" x14ac:dyDescent="0.3">
      <c r="A26583" s="20"/>
    </row>
    <row r="26584" spans="1:1" x14ac:dyDescent="0.3">
      <c r="A26584" s="20"/>
    </row>
    <row r="26585" spans="1:1" x14ac:dyDescent="0.3">
      <c r="A26585" s="20"/>
    </row>
    <row r="26586" spans="1:1" x14ac:dyDescent="0.3">
      <c r="A26586" s="20"/>
    </row>
    <row r="26587" spans="1:1" x14ac:dyDescent="0.3">
      <c r="A26587" s="20"/>
    </row>
    <row r="26588" spans="1:1" x14ac:dyDescent="0.3">
      <c r="A26588" s="20"/>
    </row>
    <row r="26589" spans="1:1" x14ac:dyDescent="0.3">
      <c r="A26589" s="20"/>
    </row>
    <row r="26590" spans="1:1" x14ac:dyDescent="0.3">
      <c r="A26590" s="20"/>
    </row>
    <row r="26591" spans="1:1" x14ac:dyDescent="0.3">
      <c r="A26591" s="20"/>
    </row>
    <row r="26592" spans="1:1" x14ac:dyDescent="0.3">
      <c r="A26592" s="20"/>
    </row>
    <row r="26593" spans="1:1" x14ac:dyDescent="0.3">
      <c r="A26593" s="20"/>
    </row>
    <row r="26594" spans="1:1" x14ac:dyDescent="0.3">
      <c r="A26594" s="20"/>
    </row>
    <row r="26595" spans="1:1" x14ac:dyDescent="0.3">
      <c r="A26595" s="20"/>
    </row>
    <row r="26596" spans="1:1" x14ac:dyDescent="0.3">
      <c r="A26596" s="20"/>
    </row>
    <row r="26597" spans="1:1" x14ac:dyDescent="0.3">
      <c r="A26597" s="20"/>
    </row>
    <row r="26598" spans="1:1" x14ac:dyDescent="0.3">
      <c r="A26598" s="20"/>
    </row>
    <row r="26599" spans="1:1" x14ac:dyDescent="0.3">
      <c r="A26599" s="20"/>
    </row>
    <row r="26600" spans="1:1" x14ac:dyDescent="0.3">
      <c r="A26600" s="20"/>
    </row>
    <row r="26601" spans="1:1" x14ac:dyDescent="0.3">
      <c r="A26601" s="20"/>
    </row>
    <row r="26602" spans="1:1" x14ac:dyDescent="0.3">
      <c r="A26602" s="20"/>
    </row>
    <row r="26603" spans="1:1" x14ac:dyDescent="0.3">
      <c r="A26603" s="20"/>
    </row>
    <row r="26604" spans="1:1" x14ac:dyDescent="0.3">
      <c r="A26604" s="20"/>
    </row>
    <row r="26605" spans="1:1" x14ac:dyDescent="0.3">
      <c r="A26605" s="20"/>
    </row>
    <row r="26606" spans="1:1" x14ac:dyDescent="0.3">
      <c r="A26606" s="20"/>
    </row>
    <row r="26607" spans="1:1" x14ac:dyDescent="0.3">
      <c r="A26607" s="20"/>
    </row>
    <row r="26608" spans="1:1" x14ac:dyDescent="0.3">
      <c r="A26608" s="20"/>
    </row>
    <row r="26609" spans="1:1" x14ac:dyDescent="0.3">
      <c r="A26609" s="20"/>
    </row>
    <row r="26610" spans="1:1" x14ac:dyDescent="0.3">
      <c r="A26610" s="20"/>
    </row>
    <row r="26611" spans="1:1" x14ac:dyDescent="0.3">
      <c r="A26611" s="20"/>
    </row>
    <row r="26612" spans="1:1" x14ac:dyDescent="0.3">
      <c r="A26612" s="20"/>
    </row>
    <row r="26613" spans="1:1" x14ac:dyDescent="0.3">
      <c r="A26613" s="20"/>
    </row>
    <row r="26614" spans="1:1" x14ac:dyDescent="0.3">
      <c r="A26614" s="20"/>
    </row>
    <row r="26615" spans="1:1" x14ac:dyDescent="0.3">
      <c r="A26615" s="20"/>
    </row>
    <row r="26616" spans="1:1" x14ac:dyDescent="0.3">
      <c r="A26616" s="20"/>
    </row>
    <row r="26617" spans="1:1" x14ac:dyDescent="0.3">
      <c r="A26617" s="20"/>
    </row>
    <row r="26618" spans="1:1" x14ac:dyDescent="0.3">
      <c r="A26618" s="20"/>
    </row>
    <row r="26619" spans="1:1" x14ac:dyDescent="0.3">
      <c r="A26619" s="20"/>
    </row>
    <row r="26620" spans="1:1" x14ac:dyDescent="0.3">
      <c r="A26620" s="20"/>
    </row>
    <row r="26621" spans="1:1" x14ac:dyDescent="0.3">
      <c r="A26621" s="20"/>
    </row>
    <row r="26622" spans="1:1" x14ac:dyDescent="0.3">
      <c r="A26622" s="20"/>
    </row>
    <row r="26623" spans="1:1" x14ac:dyDescent="0.3">
      <c r="A26623" s="20"/>
    </row>
    <row r="26624" spans="1:1" x14ac:dyDescent="0.3">
      <c r="A26624" s="20"/>
    </row>
    <row r="26625" spans="1:1" x14ac:dyDescent="0.3">
      <c r="A26625" s="20"/>
    </row>
    <row r="26626" spans="1:1" x14ac:dyDescent="0.3">
      <c r="A26626" s="20"/>
    </row>
    <row r="26627" spans="1:1" x14ac:dyDescent="0.3">
      <c r="A26627" s="20"/>
    </row>
    <row r="26628" spans="1:1" x14ac:dyDescent="0.3">
      <c r="A26628" s="20"/>
    </row>
    <row r="26629" spans="1:1" x14ac:dyDescent="0.3">
      <c r="A26629" s="20"/>
    </row>
    <row r="26630" spans="1:1" x14ac:dyDescent="0.3">
      <c r="A26630" s="20"/>
    </row>
    <row r="26631" spans="1:1" x14ac:dyDescent="0.3">
      <c r="A26631" s="20"/>
    </row>
    <row r="26632" spans="1:1" x14ac:dyDescent="0.3">
      <c r="A26632" s="20"/>
    </row>
    <row r="26633" spans="1:1" x14ac:dyDescent="0.3">
      <c r="A26633" s="20"/>
    </row>
    <row r="26634" spans="1:1" x14ac:dyDescent="0.3">
      <c r="A26634" s="20"/>
    </row>
    <row r="26635" spans="1:1" x14ac:dyDescent="0.3">
      <c r="A26635" s="20"/>
    </row>
    <row r="26636" spans="1:1" x14ac:dyDescent="0.3">
      <c r="A26636" s="20"/>
    </row>
    <row r="26637" spans="1:1" x14ac:dyDescent="0.3">
      <c r="A26637" s="20"/>
    </row>
    <row r="26638" spans="1:1" x14ac:dyDescent="0.3">
      <c r="A26638" s="20"/>
    </row>
    <row r="26639" spans="1:1" x14ac:dyDescent="0.3">
      <c r="A26639" s="20"/>
    </row>
    <row r="26640" spans="1:1" x14ac:dyDescent="0.3">
      <c r="A26640" s="20"/>
    </row>
    <row r="26641" spans="1:1" x14ac:dyDescent="0.3">
      <c r="A26641" s="20"/>
    </row>
    <row r="26642" spans="1:1" x14ac:dyDescent="0.3">
      <c r="A26642" s="20"/>
    </row>
    <row r="26643" spans="1:1" x14ac:dyDescent="0.3">
      <c r="A26643" s="20"/>
    </row>
    <row r="26644" spans="1:1" x14ac:dyDescent="0.3">
      <c r="A26644" s="20"/>
    </row>
    <row r="26645" spans="1:1" x14ac:dyDescent="0.3">
      <c r="A26645" s="20"/>
    </row>
    <row r="26646" spans="1:1" x14ac:dyDescent="0.3">
      <c r="A26646" s="20"/>
    </row>
    <row r="26647" spans="1:1" x14ac:dyDescent="0.3">
      <c r="A26647" s="20"/>
    </row>
    <row r="26648" spans="1:1" x14ac:dyDescent="0.3">
      <c r="A26648" s="20"/>
    </row>
    <row r="26649" spans="1:1" x14ac:dyDescent="0.3">
      <c r="A26649" s="20"/>
    </row>
    <row r="26650" spans="1:1" x14ac:dyDescent="0.3">
      <c r="A26650" s="20"/>
    </row>
    <row r="26651" spans="1:1" x14ac:dyDescent="0.3">
      <c r="A26651" s="20"/>
    </row>
    <row r="26652" spans="1:1" x14ac:dyDescent="0.3">
      <c r="A26652" s="20"/>
    </row>
    <row r="26653" spans="1:1" x14ac:dyDescent="0.3">
      <c r="A26653" s="20"/>
    </row>
    <row r="26654" spans="1:1" x14ac:dyDescent="0.3">
      <c r="A26654" s="20"/>
    </row>
    <row r="26655" spans="1:1" x14ac:dyDescent="0.3">
      <c r="A26655" s="20"/>
    </row>
    <row r="26656" spans="1:1" x14ac:dyDescent="0.3">
      <c r="A26656" s="20"/>
    </row>
    <row r="26657" spans="1:1" x14ac:dyDescent="0.3">
      <c r="A26657" s="20"/>
    </row>
    <row r="26658" spans="1:1" x14ac:dyDescent="0.3">
      <c r="A26658" s="20"/>
    </row>
    <row r="26659" spans="1:1" x14ac:dyDescent="0.3">
      <c r="A26659" s="20"/>
    </row>
    <row r="26660" spans="1:1" x14ac:dyDescent="0.3">
      <c r="A26660" s="20"/>
    </row>
    <row r="26661" spans="1:1" x14ac:dyDescent="0.3">
      <c r="A26661" s="20"/>
    </row>
    <row r="26662" spans="1:1" x14ac:dyDescent="0.3">
      <c r="A26662" s="20"/>
    </row>
    <row r="26663" spans="1:1" x14ac:dyDescent="0.3">
      <c r="A26663" s="20"/>
    </row>
    <row r="26664" spans="1:1" x14ac:dyDescent="0.3">
      <c r="A26664" s="20"/>
    </row>
    <row r="26665" spans="1:1" x14ac:dyDescent="0.3">
      <c r="A26665" s="20"/>
    </row>
    <row r="26666" spans="1:1" x14ac:dyDescent="0.3">
      <c r="A26666" s="20"/>
    </row>
    <row r="26667" spans="1:1" x14ac:dyDescent="0.3">
      <c r="A26667" s="20"/>
    </row>
    <row r="26668" spans="1:1" x14ac:dyDescent="0.3">
      <c r="A26668" s="20"/>
    </row>
    <row r="26669" spans="1:1" x14ac:dyDescent="0.3">
      <c r="A26669" s="20"/>
    </row>
    <row r="26670" spans="1:1" x14ac:dyDescent="0.3">
      <c r="A26670" s="20"/>
    </row>
    <row r="26671" spans="1:1" x14ac:dyDescent="0.3">
      <c r="A26671" s="20"/>
    </row>
    <row r="26672" spans="1:1" x14ac:dyDescent="0.3">
      <c r="A26672" s="20"/>
    </row>
    <row r="26673" spans="1:1" x14ac:dyDescent="0.3">
      <c r="A26673" s="20"/>
    </row>
    <row r="26674" spans="1:1" x14ac:dyDescent="0.3">
      <c r="A26674" s="20"/>
    </row>
    <row r="26675" spans="1:1" x14ac:dyDescent="0.3">
      <c r="A26675" s="20"/>
    </row>
    <row r="26676" spans="1:1" x14ac:dyDescent="0.3">
      <c r="A26676" s="20"/>
    </row>
    <row r="26677" spans="1:1" x14ac:dyDescent="0.3">
      <c r="A26677" s="20"/>
    </row>
    <row r="26678" spans="1:1" x14ac:dyDescent="0.3">
      <c r="A26678" s="20"/>
    </row>
    <row r="26679" spans="1:1" x14ac:dyDescent="0.3">
      <c r="A26679" s="20"/>
    </row>
    <row r="26680" spans="1:1" x14ac:dyDescent="0.3">
      <c r="A26680" s="20"/>
    </row>
    <row r="26681" spans="1:1" x14ac:dyDescent="0.3">
      <c r="A26681" s="20"/>
    </row>
    <row r="26682" spans="1:1" x14ac:dyDescent="0.3">
      <c r="A26682" s="20"/>
    </row>
    <row r="26683" spans="1:1" x14ac:dyDescent="0.3">
      <c r="A26683" s="20"/>
    </row>
    <row r="26684" spans="1:1" x14ac:dyDescent="0.3">
      <c r="A26684" s="20"/>
    </row>
    <row r="26685" spans="1:1" x14ac:dyDescent="0.3">
      <c r="A26685" s="20"/>
    </row>
    <row r="26686" spans="1:1" x14ac:dyDescent="0.3">
      <c r="A26686" s="20"/>
    </row>
    <row r="26687" spans="1:1" x14ac:dyDescent="0.3">
      <c r="A26687" s="20"/>
    </row>
    <row r="26688" spans="1:1" x14ac:dyDescent="0.3">
      <c r="A26688" s="20"/>
    </row>
    <row r="26689" spans="1:1" x14ac:dyDescent="0.3">
      <c r="A26689" s="20"/>
    </row>
    <row r="26690" spans="1:1" x14ac:dyDescent="0.3">
      <c r="A26690" s="20"/>
    </row>
    <row r="26691" spans="1:1" x14ac:dyDescent="0.3">
      <c r="A26691" s="20"/>
    </row>
    <row r="26692" spans="1:1" x14ac:dyDescent="0.3">
      <c r="A26692" s="20"/>
    </row>
    <row r="26693" spans="1:1" x14ac:dyDescent="0.3">
      <c r="A26693" s="20"/>
    </row>
    <row r="26694" spans="1:1" x14ac:dyDescent="0.3">
      <c r="A26694" s="20"/>
    </row>
    <row r="26695" spans="1:1" x14ac:dyDescent="0.3">
      <c r="A26695" s="20"/>
    </row>
    <row r="26696" spans="1:1" x14ac:dyDescent="0.3">
      <c r="A26696" s="20"/>
    </row>
    <row r="26697" spans="1:1" x14ac:dyDescent="0.3">
      <c r="A26697" s="20"/>
    </row>
    <row r="26698" spans="1:1" x14ac:dyDescent="0.3">
      <c r="A26698" s="20"/>
    </row>
    <row r="26699" spans="1:1" x14ac:dyDescent="0.3">
      <c r="A26699" s="20"/>
    </row>
    <row r="26700" spans="1:1" x14ac:dyDescent="0.3">
      <c r="A26700" s="20"/>
    </row>
    <row r="26701" spans="1:1" x14ac:dyDescent="0.3">
      <c r="A26701" s="20"/>
    </row>
    <row r="26702" spans="1:1" x14ac:dyDescent="0.3">
      <c r="A26702" s="20"/>
    </row>
    <row r="26703" spans="1:1" x14ac:dyDescent="0.3">
      <c r="A26703" s="20"/>
    </row>
    <row r="26704" spans="1:1" x14ac:dyDescent="0.3">
      <c r="A26704" s="20"/>
    </row>
    <row r="26705" spans="1:1" x14ac:dyDescent="0.3">
      <c r="A26705" s="20"/>
    </row>
    <row r="26706" spans="1:1" x14ac:dyDescent="0.3">
      <c r="A26706" s="20"/>
    </row>
    <row r="26707" spans="1:1" x14ac:dyDescent="0.3">
      <c r="A26707" s="20"/>
    </row>
    <row r="26708" spans="1:1" x14ac:dyDescent="0.3">
      <c r="A26708" s="20"/>
    </row>
    <row r="26709" spans="1:1" x14ac:dyDescent="0.3">
      <c r="A26709" s="20"/>
    </row>
    <row r="26710" spans="1:1" x14ac:dyDescent="0.3">
      <c r="A26710" s="20"/>
    </row>
    <row r="26711" spans="1:1" x14ac:dyDescent="0.3">
      <c r="A26711" s="20"/>
    </row>
    <row r="26712" spans="1:1" x14ac:dyDescent="0.3">
      <c r="A26712" s="20"/>
    </row>
    <row r="26713" spans="1:1" x14ac:dyDescent="0.3">
      <c r="A26713" s="20"/>
    </row>
    <row r="26714" spans="1:1" x14ac:dyDescent="0.3">
      <c r="A26714" s="20"/>
    </row>
    <row r="26715" spans="1:1" x14ac:dyDescent="0.3">
      <c r="A26715" s="20"/>
    </row>
    <row r="26716" spans="1:1" x14ac:dyDescent="0.3">
      <c r="A26716" s="20"/>
    </row>
    <row r="26717" spans="1:1" x14ac:dyDescent="0.3">
      <c r="A26717" s="20"/>
    </row>
    <row r="26718" spans="1:1" x14ac:dyDescent="0.3">
      <c r="A26718" s="20"/>
    </row>
    <row r="26719" spans="1:1" x14ac:dyDescent="0.3">
      <c r="A26719" s="20"/>
    </row>
    <row r="26720" spans="1:1" x14ac:dyDescent="0.3">
      <c r="A26720" s="20"/>
    </row>
    <row r="26721" spans="1:1" x14ac:dyDescent="0.3">
      <c r="A26721" s="20"/>
    </row>
    <row r="26722" spans="1:1" x14ac:dyDescent="0.3">
      <c r="A26722" s="20"/>
    </row>
    <row r="26723" spans="1:1" x14ac:dyDescent="0.3">
      <c r="A26723" s="20"/>
    </row>
    <row r="26724" spans="1:1" x14ac:dyDescent="0.3">
      <c r="A26724" s="20"/>
    </row>
    <row r="26725" spans="1:1" x14ac:dyDescent="0.3">
      <c r="A26725" s="20"/>
    </row>
    <row r="26726" spans="1:1" x14ac:dyDescent="0.3">
      <c r="A26726" s="20"/>
    </row>
    <row r="26727" spans="1:1" x14ac:dyDescent="0.3">
      <c r="A26727" s="20"/>
    </row>
    <row r="26728" spans="1:1" x14ac:dyDescent="0.3">
      <c r="A26728" s="20"/>
    </row>
    <row r="26729" spans="1:1" x14ac:dyDescent="0.3">
      <c r="A26729" s="20"/>
    </row>
    <row r="26730" spans="1:1" x14ac:dyDescent="0.3">
      <c r="A26730" s="20"/>
    </row>
    <row r="26731" spans="1:1" x14ac:dyDescent="0.3">
      <c r="A26731" s="20"/>
    </row>
    <row r="26732" spans="1:1" x14ac:dyDescent="0.3">
      <c r="A26732" s="20"/>
    </row>
    <row r="26733" spans="1:1" x14ac:dyDescent="0.3">
      <c r="A26733" s="20"/>
    </row>
    <row r="26734" spans="1:1" x14ac:dyDescent="0.3">
      <c r="A26734" s="20"/>
    </row>
    <row r="26735" spans="1:1" x14ac:dyDescent="0.3">
      <c r="A26735" s="20"/>
    </row>
    <row r="26736" spans="1:1" x14ac:dyDescent="0.3">
      <c r="A26736" s="20"/>
    </row>
    <row r="26737" spans="1:1" x14ac:dyDescent="0.3">
      <c r="A26737" s="20"/>
    </row>
    <row r="26738" spans="1:1" x14ac:dyDescent="0.3">
      <c r="A26738" s="20"/>
    </row>
    <row r="26739" spans="1:1" x14ac:dyDescent="0.3">
      <c r="A26739" s="20"/>
    </row>
    <row r="26740" spans="1:1" x14ac:dyDescent="0.3">
      <c r="A26740" s="20"/>
    </row>
    <row r="26741" spans="1:1" x14ac:dyDescent="0.3">
      <c r="A26741" s="20"/>
    </row>
    <row r="26742" spans="1:1" x14ac:dyDescent="0.3">
      <c r="A26742" s="20"/>
    </row>
    <row r="26743" spans="1:1" x14ac:dyDescent="0.3">
      <c r="A26743" s="20"/>
    </row>
    <row r="26744" spans="1:1" x14ac:dyDescent="0.3">
      <c r="A26744" s="20"/>
    </row>
    <row r="26745" spans="1:1" x14ac:dyDescent="0.3">
      <c r="A26745" s="20"/>
    </row>
    <row r="26746" spans="1:1" x14ac:dyDescent="0.3">
      <c r="A26746" s="20"/>
    </row>
    <row r="26747" spans="1:1" x14ac:dyDescent="0.3">
      <c r="A26747" s="20"/>
    </row>
    <row r="26748" spans="1:1" x14ac:dyDescent="0.3">
      <c r="A26748" s="20"/>
    </row>
    <row r="26749" spans="1:1" x14ac:dyDescent="0.3">
      <c r="A26749" s="20"/>
    </row>
    <row r="26750" spans="1:1" x14ac:dyDescent="0.3">
      <c r="A26750" s="20"/>
    </row>
    <row r="26751" spans="1:1" x14ac:dyDescent="0.3">
      <c r="A26751" s="20"/>
    </row>
    <row r="26752" spans="1:1" x14ac:dyDescent="0.3">
      <c r="A26752" s="20"/>
    </row>
    <row r="26753" spans="1:1" x14ac:dyDescent="0.3">
      <c r="A26753" s="20"/>
    </row>
    <row r="26754" spans="1:1" x14ac:dyDescent="0.3">
      <c r="A26754" s="20"/>
    </row>
    <row r="26755" spans="1:1" x14ac:dyDescent="0.3">
      <c r="A26755" s="20"/>
    </row>
    <row r="26756" spans="1:1" x14ac:dyDescent="0.3">
      <c r="A26756" s="20"/>
    </row>
    <row r="26757" spans="1:1" x14ac:dyDescent="0.3">
      <c r="A26757" s="20"/>
    </row>
    <row r="26758" spans="1:1" x14ac:dyDescent="0.3">
      <c r="A26758" s="20"/>
    </row>
    <row r="26759" spans="1:1" x14ac:dyDescent="0.3">
      <c r="A26759" s="20"/>
    </row>
    <row r="26760" spans="1:1" x14ac:dyDescent="0.3">
      <c r="A26760" s="20"/>
    </row>
    <row r="26761" spans="1:1" x14ac:dyDescent="0.3">
      <c r="A26761" s="20"/>
    </row>
    <row r="26762" spans="1:1" x14ac:dyDescent="0.3">
      <c r="A26762" s="20"/>
    </row>
    <row r="26763" spans="1:1" x14ac:dyDescent="0.3">
      <c r="A26763" s="20"/>
    </row>
    <row r="26764" spans="1:1" x14ac:dyDescent="0.3">
      <c r="A26764" s="20"/>
    </row>
    <row r="26765" spans="1:1" x14ac:dyDescent="0.3">
      <c r="A26765" s="20"/>
    </row>
    <row r="26766" spans="1:1" x14ac:dyDescent="0.3">
      <c r="A26766" s="20"/>
    </row>
    <row r="26767" spans="1:1" x14ac:dyDescent="0.3">
      <c r="A26767" s="20"/>
    </row>
    <row r="26768" spans="1:1" x14ac:dyDescent="0.3">
      <c r="A26768" s="20"/>
    </row>
    <row r="26769" spans="1:1" x14ac:dyDescent="0.3">
      <c r="A26769" s="20"/>
    </row>
    <row r="26770" spans="1:1" x14ac:dyDescent="0.3">
      <c r="A26770" s="20"/>
    </row>
    <row r="26771" spans="1:1" x14ac:dyDescent="0.3">
      <c r="A26771" s="20"/>
    </row>
    <row r="26772" spans="1:1" x14ac:dyDescent="0.3">
      <c r="A26772" s="20"/>
    </row>
    <row r="26773" spans="1:1" x14ac:dyDescent="0.3">
      <c r="A26773" s="20"/>
    </row>
    <row r="26774" spans="1:1" x14ac:dyDescent="0.3">
      <c r="A26774" s="20"/>
    </row>
    <row r="26775" spans="1:1" x14ac:dyDescent="0.3">
      <c r="A26775" s="20"/>
    </row>
    <row r="26776" spans="1:1" x14ac:dyDescent="0.3">
      <c r="A26776" s="20"/>
    </row>
    <row r="26777" spans="1:1" x14ac:dyDescent="0.3">
      <c r="A26777" s="20"/>
    </row>
    <row r="26778" spans="1:1" x14ac:dyDescent="0.3">
      <c r="A26778" s="20"/>
    </row>
    <row r="26779" spans="1:1" x14ac:dyDescent="0.3">
      <c r="A26779" s="20"/>
    </row>
    <row r="26780" spans="1:1" x14ac:dyDescent="0.3">
      <c r="A26780" s="20"/>
    </row>
    <row r="26781" spans="1:1" x14ac:dyDescent="0.3">
      <c r="A26781" s="20"/>
    </row>
    <row r="26782" spans="1:1" x14ac:dyDescent="0.3">
      <c r="A26782" s="20"/>
    </row>
    <row r="26783" spans="1:1" x14ac:dyDescent="0.3">
      <c r="A26783" s="20"/>
    </row>
    <row r="26784" spans="1:1" x14ac:dyDescent="0.3">
      <c r="A26784" s="20"/>
    </row>
    <row r="26785" spans="1:1" x14ac:dyDescent="0.3">
      <c r="A26785" s="20"/>
    </row>
    <row r="26786" spans="1:1" x14ac:dyDescent="0.3">
      <c r="A26786" s="20"/>
    </row>
    <row r="26787" spans="1:1" x14ac:dyDescent="0.3">
      <c r="A26787" s="20"/>
    </row>
    <row r="26788" spans="1:1" x14ac:dyDescent="0.3">
      <c r="A26788" s="20"/>
    </row>
    <row r="26789" spans="1:1" x14ac:dyDescent="0.3">
      <c r="A26789" s="20"/>
    </row>
    <row r="26790" spans="1:1" x14ac:dyDescent="0.3">
      <c r="A26790" s="20"/>
    </row>
    <row r="26791" spans="1:1" x14ac:dyDescent="0.3">
      <c r="A26791" s="20"/>
    </row>
    <row r="26792" spans="1:1" x14ac:dyDescent="0.3">
      <c r="A26792" s="20"/>
    </row>
    <row r="26793" spans="1:1" x14ac:dyDescent="0.3">
      <c r="A26793" s="20"/>
    </row>
    <row r="26794" spans="1:1" x14ac:dyDescent="0.3">
      <c r="A26794" s="20"/>
    </row>
    <row r="26795" spans="1:1" x14ac:dyDescent="0.3">
      <c r="A26795" s="20"/>
    </row>
    <row r="26796" spans="1:1" x14ac:dyDescent="0.3">
      <c r="A26796" s="20"/>
    </row>
    <row r="26797" spans="1:1" x14ac:dyDescent="0.3">
      <c r="A26797" s="20"/>
    </row>
    <row r="26798" spans="1:1" x14ac:dyDescent="0.3">
      <c r="A26798" s="20"/>
    </row>
    <row r="26799" spans="1:1" x14ac:dyDescent="0.3">
      <c r="A26799" s="20"/>
    </row>
    <row r="26800" spans="1:1" x14ac:dyDescent="0.3">
      <c r="A26800" s="20"/>
    </row>
    <row r="26801" spans="1:1" x14ac:dyDescent="0.3">
      <c r="A26801" s="20"/>
    </row>
    <row r="26802" spans="1:1" x14ac:dyDescent="0.3">
      <c r="A26802" s="20"/>
    </row>
    <row r="26803" spans="1:1" x14ac:dyDescent="0.3">
      <c r="A26803" s="20"/>
    </row>
    <row r="26804" spans="1:1" x14ac:dyDescent="0.3">
      <c r="A26804" s="20"/>
    </row>
    <row r="26805" spans="1:1" x14ac:dyDescent="0.3">
      <c r="A26805" s="20"/>
    </row>
    <row r="26806" spans="1:1" x14ac:dyDescent="0.3">
      <c r="A26806" s="20"/>
    </row>
    <row r="26807" spans="1:1" x14ac:dyDescent="0.3">
      <c r="A26807" s="20"/>
    </row>
    <row r="26808" spans="1:1" x14ac:dyDescent="0.3">
      <c r="A26808" s="20"/>
    </row>
    <row r="26809" spans="1:1" x14ac:dyDescent="0.3">
      <c r="A26809" s="20"/>
    </row>
    <row r="26810" spans="1:1" x14ac:dyDescent="0.3">
      <c r="A26810" s="20"/>
    </row>
    <row r="26811" spans="1:1" x14ac:dyDescent="0.3">
      <c r="A26811" s="20"/>
    </row>
    <row r="26812" spans="1:1" x14ac:dyDescent="0.3">
      <c r="A26812" s="20"/>
    </row>
    <row r="26813" spans="1:1" x14ac:dyDescent="0.3">
      <c r="A26813" s="20"/>
    </row>
    <row r="26814" spans="1:1" x14ac:dyDescent="0.3">
      <c r="A26814" s="20"/>
    </row>
    <row r="26815" spans="1:1" x14ac:dyDescent="0.3">
      <c r="A26815" s="20"/>
    </row>
    <row r="26816" spans="1:1" x14ac:dyDescent="0.3">
      <c r="A26816" s="20"/>
    </row>
    <row r="26817" spans="1:1" x14ac:dyDescent="0.3">
      <c r="A26817" s="20"/>
    </row>
    <row r="26818" spans="1:1" x14ac:dyDescent="0.3">
      <c r="A26818" s="20"/>
    </row>
    <row r="26819" spans="1:1" x14ac:dyDescent="0.3">
      <c r="A26819" s="20"/>
    </row>
    <row r="26820" spans="1:1" x14ac:dyDescent="0.3">
      <c r="A26820" s="20"/>
    </row>
    <row r="26821" spans="1:1" x14ac:dyDescent="0.3">
      <c r="A26821" s="20"/>
    </row>
    <row r="26822" spans="1:1" x14ac:dyDescent="0.3">
      <c r="A26822" s="20"/>
    </row>
    <row r="26823" spans="1:1" x14ac:dyDescent="0.3">
      <c r="A26823" s="20"/>
    </row>
    <row r="26824" spans="1:1" x14ac:dyDescent="0.3">
      <c r="A26824" s="20"/>
    </row>
    <row r="26825" spans="1:1" x14ac:dyDescent="0.3">
      <c r="A26825" s="20"/>
    </row>
    <row r="26826" spans="1:1" x14ac:dyDescent="0.3">
      <c r="A26826" s="20"/>
    </row>
    <row r="26827" spans="1:1" x14ac:dyDescent="0.3">
      <c r="A26827" s="20"/>
    </row>
    <row r="26828" spans="1:1" x14ac:dyDescent="0.3">
      <c r="A26828" s="20"/>
    </row>
    <row r="26829" spans="1:1" x14ac:dyDescent="0.3">
      <c r="A26829" s="20"/>
    </row>
    <row r="26830" spans="1:1" x14ac:dyDescent="0.3">
      <c r="A26830" s="20"/>
    </row>
    <row r="26831" spans="1:1" x14ac:dyDescent="0.3">
      <c r="A26831" s="20"/>
    </row>
    <row r="26832" spans="1:1" x14ac:dyDescent="0.3">
      <c r="A26832" s="20"/>
    </row>
    <row r="26833" spans="1:1" x14ac:dyDescent="0.3">
      <c r="A26833" s="20"/>
    </row>
    <row r="26834" spans="1:1" x14ac:dyDescent="0.3">
      <c r="A26834" s="20"/>
    </row>
    <row r="26835" spans="1:1" x14ac:dyDescent="0.3">
      <c r="A26835" s="20"/>
    </row>
    <row r="26836" spans="1:1" x14ac:dyDescent="0.3">
      <c r="A26836" s="20"/>
    </row>
    <row r="26837" spans="1:1" x14ac:dyDescent="0.3">
      <c r="A26837" s="20"/>
    </row>
    <row r="26838" spans="1:1" x14ac:dyDescent="0.3">
      <c r="A26838" s="20"/>
    </row>
    <row r="26839" spans="1:1" x14ac:dyDescent="0.3">
      <c r="A26839" s="20"/>
    </row>
    <row r="26840" spans="1:1" x14ac:dyDescent="0.3">
      <c r="A26840" s="20"/>
    </row>
    <row r="26841" spans="1:1" x14ac:dyDescent="0.3">
      <c r="A26841" s="20"/>
    </row>
    <row r="26842" spans="1:1" x14ac:dyDescent="0.3">
      <c r="A26842" s="20"/>
    </row>
    <row r="26843" spans="1:1" x14ac:dyDescent="0.3">
      <c r="A26843" s="20"/>
    </row>
    <row r="26844" spans="1:1" x14ac:dyDescent="0.3">
      <c r="A26844" s="20"/>
    </row>
    <row r="26845" spans="1:1" x14ac:dyDescent="0.3">
      <c r="A26845" s="20"/>
    </row>
    <row r="26846" spans="1:1" x14ac:dyDescent="0.3">
      <c r="A26846" s="20"/>
    </row>
    <row r="26847" spans="1:1" x14ac:dyDescent="0.3">
      <c r="A26847" s="20"/>
    </row>
    <row r="26848" spans="1:1" x14ac:dyDescent="0.3">
      <c r="A26848" s="20"/>
    </row>
    <row r="26849" spans="1:1" x14ac:dyDescent="0.3">
      <c r="A26849" s="20"/>
    </row>
    <row r="26850" spans="1:1" x14ac:dyDescent="0.3">
      <c r="A26850" s="20"/>
    </row>
    <row r="26851" spans="1:1" x14ac:dyDescent="0.3">
      <c r="A26851" s="20"/>
    </row>
    <row r="26852" spans="1:1" x14ac:dyDescent="0.3">
      <c r="A26852" s="20"/>
    </row>
    <row r="26853" spans="1:1" x14ac:dyDescent="0.3">
      <c r="A26853" s="20"/>
    </row>
    <row r="26854" spans="1:1" x14ac:dyDescent="0.3">
      <c r="A26854" s="20"/>
    </row>
    <row r="26855" spans="1:1" x14ac:dyDescent="0.3">
      <c r="A26855" s="20"/>
    </row>
    <row r="26856" spans="1:1" x14ac:dyDescent="0.3">
      <c r="A26856" s="20"/>
    </row>
    <row r="26857" spans="1:1" x14ac:dyDescent="0.3">
      <c r="A26857" s="20"/>
    </row>
    <row r="26858" spans="1:1" x14ac:dyDescent="0.3">
      <c r="A26858" s="20"/>
    </row>
    <row r="26859" spans="1:1" x14ac:dyDescent="0.3">
      <c r="A26859" s="20"/>
    </row>
    <row r="26860" spans="1:1" x14ac:dyDescent="0.3">
      <c r="A26860" s="20"/>
    </row>
    <row r="26861" spans="1:1" x14ac:dyDescent="0.3">
      <c r="A26861" s="20"/>
    </row>
    <row r="26862" spans="1:1" x14ac:dyDescent="0.3">
      <c r="A26862" s="20"/>
    </row>
    <row r="26863" spans="1:1" x14ac:dyDescent="0.3">
      <c r="A26863" s="20"/>
    </row>
    <row r="26864" spans="1:1" x14ac:dyDescent="0.3">
      <c r="A26864" s="20"/>
    </row>
    <row r="26865" spans="1:1" x14ac:dyDescent="0.3">
      <c r="A26865" s="20"/>
    </row>
    <row r="26866" spans="1:1" x14ac:dyDescent="0.3">
      <c r="A26866" s="20"/>
    </row>
    <row r="26867" spans="1:1" x14ac:dyDescent="0.3">
      <c r="A26867" s="20"/>
    </row>
    <row r="26868" spans="1:1" x14ac:dyDescent="0.3">
      <c r="A26868" s="20"/>
    </row>
    <row r="26869" spans="1:1" x14ac:dyDescent="0.3">
      <c r="A26869" s="20"/>
    </row>
    <row r="26870" spans="1:1" x14ac:dyDescent="0.3">
      <c r="A26870" s="20"/>
    </row>
    <row r="26871" spans="1:1" x14ac:dyDescent="0.3">
      <c r="A26871" s="20"/>
    </row>
    <row r="26872" spans="1:1" x14ac:dyDescent="0.3">
      <c r="A26872" s="20"/>
    </row>
    <row r="26873" spans="1:1" x14ac:dyDescent="0.3">
      <c r="A26873" s="20"/>
    </row>
    <row r="26874" spans="1:1" x14ac:dyDescent="0.3">
      <c r="A26874" s="20"/>
    </row>
    <row r="26875" spans="1:1" x14ac:dyDescent="0.3">
      <c r="A26875" s="20"/>
    </row>
    <row r="26876" spans="1:1" x14ac:dyDescent="0.3">
      <c r="A26876" s="20"/>
    </row>
    <row r="26877" spans="1:1" x14ac:dyDescent="0.3">
      <c r="A26877" s="20"/>
    </row>
    <row r="26878" spans="1:1" x14ac:dyDescent="0.3">
      <c r="A26878" s="20"/>
    </row>
    <row r="26879" spans="1:1" x14ac:dyDescent="0.3">
      <c r="A26879" s="20"/>
    </row>
    <row r="26880" spans="1:1" x14ac:dyDescent="0.3">
      <c r="A26880" s="20"/>
    </row>
    <row r="26881" spans="1:1" x14ac:dyDescent="0.3">
      <c r="A26881" s="20"/>
    </row>
    <row r="26882" spans="1:1" x14ac:dyDescent="0.3">
      <c r="A26882" s="20"/>
    </row>
    <row r="26883" spans="1:1" x14ac:dyDescent="0.3">
      <c r="A26883" s="20"/>
    </row>
    <row r="26884" spans="1:1" x14ac:dyDescent="0.3">
      <c r="A26884" s="20"/>
    </row>
    <row r="26885" spans="1:1" x14ac:dyDescent="0.3">
      <c r="A26885" s="20"/>
    </row>
    <row r="26886" spans="1:1" x14ac:dyDescent="0.3">
      <c r="A26886" s="20"/>
    </row>
    <row r="26887" spans="1:1" x14ac:dyDescent="0.3">
      <c r="A26887" s="20"/>
    </row>
    <row r="26888" spans="1:1" x14ac:dyDescent="0.3">
      <c r="A26888" s="20"/>
    </row>
    <row r="26889" spans="1:1" x14ac:dyDescent="0.3">
      <c r="A26889" s="20"/>
    </row>
    <row r="26890" spans="1:1" x14ac:dyDescent="0.3">
      <c r="A26890" s="20"/>
    </row>
    <row r="26891" spans="1:1" x14ac:dyDescent="0.3">
      <c r="A26891" s="20"/>
    </row>
    <row r="26892" spans="1:1" x14ac:dyDescent="0.3">
      <c r="A26892" s="20"/>
    </row>
    <row r="26893" spans="1:1" x14ac:dyDescent="0.3">
      <c r="A26893" s="20"/>
    </row>
    <row r="26894" spans="1:1" x14ac:dyDescent="0.3">
      <c r="A26894" s="20"/>
    </row>
    <row r="26895" spans="1:1" x14ac:dyDescent="0.3">
      <c r="A26895" s="20"/>
    </row>
    <row r="26896" spans="1:1" x14ac:dyDescent="0.3">
      <c r="A26896" s="20"/>
    </row>
    <row r="26897" spans="1:1" x14ac:dyDescent="0.3">
      <c r="A26897" s="20"/>
    </row>
    <row r="26898" spans="1:1" x14ac:dyDescent="0.3">
      <c r="A26898" s="20"/>
    </row>
    <row r="26899" spans="1:1" x14ac:dyDescent="0.3">
      <c r="A26899" s="20"/>
    </row>
    <row r="26900" spans="1:1" x14ac:dyDescent="0.3">
      <c r="A26900" s="20"/>
    </row>
    <row r="26901" spans="1:1" x14ac:dyDescent="0.3">
      <c r="A26901" s="20"/>
    </row>
    <row r="26902" spans="1:1" x14ac:dyDescent="0.3">
      <c r="A26902" s="20"/>
    </row>
    <row r="26903" spans="1:1" x14ac:dyDescent="0.3">
      <c r="A26903" s="20"/>
    </row>
    <row r="26904" spans="1:1" x14ac:dyDescent="0.3">
      <c r="A26904" s="20"/>
    </row>
    <row r="26905" spans="1:1" x14ac:dyDescent="0.3">
      <c r="A26905" s="20"/>
    </row>
    <row r="26906" spans="1:1" x14ac:dyDescent="0.3">
      <c r="A26906" s="20"/>
    </row>
    <row r="26907" spans="1:1" x14ac:dyDescent="0.3">
      <c r="A26907" s="20"/>
    </row>
    <row r="26908" spans="1:1" x14ac:dyDescent="0.3">
      <c r="A26908" s="20"/>
    </row>
    <row r="26909" spans="1:1" x14ac:dyDescent="0.3">
      <c r="A26909" s="20"/>
    </row>
    <row r="26910" spans="1:1" x14ac:dyDescent="0.3">
      <c r="A26910" s="20"/>
    </row>
    <row r="26911" spans="1:1" x14ac:dyDescent="0.3">
      <c r="A26911" s="20"/>
    </row>
    <row r="26912" spans="1:1" x14ac:dyDescent="0.3">
      <c r="A26912" s="20"/>
    </row>
    <row r="26913" spans="1:1" x14ac:dyDescent="0.3">
      <c r="A26913" s="20"/>
    </row>
    <row r="26914" spans="1:1" x14ac:dyDescent="0.3">
      <c r="A26914" s="20"/>
    </row>
    <row r="26915" spans="1:1" x14ac:dyDescent="0.3">
      <c r="A26915" s="20"/>
    </row>
    <row r="26916" spans="1:1" x14ac:dyDescent="0.3">
      <c r="A26916" s="20"/>
    </row>
    <row r="26917" spans="1:1" x14ac:dyDescent="0.3">
      <c r="A26917" s="20"/>
    </row>
    <row r="26918" spans="1:1" x14ac:dyDescent="0.3">
      <c r="A26918" s="20"/>
    </row>
    <row r="26919" spans="1:1" x14ac:dyDescent="0.3">
      <c r="A26919" s="20"/>
    </row>
    <row r="26920" spans="1:1" x14ac:dyDescent="0.3">
      <c r="A26920" s="20"/>
    </row>
    <row r="26921" spans="1:1" x14ac:dyDescent="0.3">
      <c r="A26921" s="20"/>
    </row>
    <row r="26922" spans="1:1" x14ac:dyDescent="0.3">
      <c r="A26922" s="20"/>
    </row>
    <row r="26923" spans="1:1" x14ac:dyDescent="0.3">
      <c r="A26923" s="20"/>
    </row>
    <row r="26924" spans="1:1" x14ac:dyDescent="0.3">
      <c r="A26924" s="20"/>
    </row>
    <row r="26925" spans="1:1" x14ac:dyDescent="0.3">
      <c r="A26925" s="20"/>
    </row>
    <row r="26926" spans="1:1" x14ac:dyDescent="0.3">
      <c r="A26926" s="20"/>
    </row>
    <row r="26927" spans="1:1" x14ac:dyDescent="0.3">
      <c r="A26927" s="20"/>
    </row>
    <row r="26928" spans="1:1" x14ac:dyDescent="0.3">
      <c r="A26928" s="20"/>
    </row>
    <row r="26929" spans="1:1" x14ac:dyDescent="0.3">
      <c r="A26929" s="20"/>
    </row>
    <row r="26930" spans="1:1" x14ac:dyDescent="0.3">
      <c r="A26930" s="20"/>
    </row>
    <row r="26931" spans="1:1" x14ac:dyDescent="0.3">
      <c r="A26931" s="20"/>
    </row>
    <row r="26932" spans="1:1" x14ac:dyDescent="0.3">
      <c r="A26932" s="20"/>
    </row>
    <row r="26933" spans="1:1" x14ac:dyDescent="0.3">
      <c r="A26933" s="20"/>
    </row>
    <row r="26934" spans="1:1" x14ac:dyDescent="0.3">
      <c r="A26934" s="20"/>
    </row>
    <row r="26935" spans="1:1" x14ac:dyDescent="0.3">
      <c r="A26935" s="20"/>
    </row>
    <row r="26936" spans="1:1" x14ac:dyDescent="0.3">
      <c r="A26936" s="20"/>
    </row>
    <row r="26937" spans="1:1" x14ac:dyDescent="0.3">
      <c r="A26937" s="20"/>
    </row>
    <row r="26938" spans="1:1" x14ac:dyDescent="0.3">
      <c r="A26938" s="20"/>
    </row>
    <row r="26939" spans="1:1" x14ac:dyDescent="0.3">
      <c r="A26939" s="20"/>
    </row>
    <row r="26940" spans="1:1" x14ac:dyDescent="0.3">
      <c r="A26940" s="20"/>
    </row>
    <row r="26941" spans="1:1" x14ac:dyDescent="0.3">
      <c r="A26941" s="20"/>
    </row>
    <row r="26942" spans="1:1" x14ac:dyDescent="0.3">
      <c r="A26942" s="20"/>
    </row>
    <row r="26943" spans="1:1" x14ac:dyDescent="0.3">
      <c r="A26943" s="20"/>
    </row>
    <row r="26944" spans="1:1" x14ac:dyDescent="0.3">
      <c r="A26944" s="20"/>
    </row>
    <row r="26945" spans="1:1" x14ac:dyDescent="0.3">
      <c r="A26945" s="20"/>
    </row>
    <row r="26946" spans="1:1" x14ac:dyDescent="0.3">
      <c r="A26946" s="20"/>
    </row>
    <row r="26947" spans="1:1" x14ac:dyDescent="0.3">
      <c r="A26947" s="20"/>
    </row>
    <row r="26948" spans="1:1" x14ac:dyDescent="0.3">
      <c r="A26948" s="20"/>
    </row>
    <row r="26949" spans="1:1" x14ac:dyDescent="0.3">
      <c r="A26949" s="20"/>
    </row>
    <row r="26950" spans="1:1" x14ac:dyDescent="0.3">
      <c r="A26950" s="20"/>
    </row>
    <row r="26951" spans="1:1" x14ac:dyDescent="0.3">
      <c r="A26951" s="20"/>
    </row>
    <row r="26952" spans="1:1" x14ac:dyDescent="0.3">
      <c r="A26952" s="20"/>
    </row>
    <row r="26953" spans="1:1" x14ac:dyDescent="0.3">
      <c r="A26953" s="20"/>
    </row>
    <row r="26954" spans="1:1" x14ac:dyDescent="0.3">
      <c r="A26954" s="20"/>
    </row>
    <row r="26955" spans="1:1" x14ac:dyDescent="0.3">
      <c r="A26955" s="20"/>
    </row>
    <row r="26956" spans="1:1" x14ac:dyDescent="0.3">
      <c r="A26956" s="20"/>
    </row>
    <row r="26957" spans="1:1" x14ac:dyDescent="0.3">
      <c r="A26957" s="20"/>
    </row>
    <row r="26958" spans="1:1" x14ac:dyDescent="0.3">
      <c r="A26958" s="20"/>
    </row>
    <row r="26959" spans="1:1" x14ac:dyDescent="0.3">
      <c r="A26959" s="20"/>
    </row>
    <row r="26960" spans="1:1" x14ac:dyDescent="0.3">
      <c r="A26960" s="20"/>
    </row>
    <row r="26961" spans="1:1" x14ac:dyDescent="0.3">
      <c r="A26961" s="20"/>
    </row>
    <row r="26962" spans="1:1" x14ac:dyDescent="0.3">
      <c r="A26962" s="20"/>
    </row>
    <row r="26963" spans="1:1" x14ac:dyDescent="0.3">
      <c r="A26963" s="20"/>
    </row>
    <row r="26964" spans="1:1" x14ac:dyDescent="0.3">
      <c r="A26964" s="20"/>
    </row>
    <row r="26965" spans="1:1" x14ac:dyDescent="0.3">
      <c r="A26965" s="20"/>
    </row>
    <row r="26966" spans="1:1" x14ac:dyDescent="0.3">
      <c r="A26966" s="20"/>
    </row>
    <row r="26967" spans="1:1" x14ac:dyDescent="0.3">
      <c r="A26967" s="20"/>
    </row>
    <row r="26968" spans="1:1" x14ac:dyDescent="0.3">
      <c r="A26968" s="20"/>
    </row>
    <row r="26969" spans="1:1" x14ac:dyDescent="0.3">
      <c r="A26969" s="20"/>
    </row>
    <row r="26970" spans="1:1" x14ac:dyDescent="0.3">
      <c r="A26970" s="20"/>
    </row>
    <row r="26971" spans="1:1" x14ac:dyDescent="0.3">
      <c r="A26971" s="20"/>
    </row>
    <row r="26972" spans="1:1" x14ac:dyDescent="0.3">
      <c r="A26972" s="20"/>
    </row>
    <row r="26973" spans="1:1" x14ac:dyDescent="0.3">
      <c r="A26973" s="20"/>
    </row>
    <row r="26974" spans="1:1" x14ac:dyDescent="0.3">
      <c r="A26974" s="20"/>
    </row>
    <row r="26975" spans="1:1" x14ac:dyDescent="0.3">
      <c r="A26975" s="20"/>
    </row>
    <row r="26976" spans="1:1" x14ac:dyDescent="0.3">
      <c r="A26976" s="20"/>
    </row>
    <row r="26977" spans="1:1" x14ac:dyDescent="0.3">
      <c r="A26977" s="20"/>
    </row>
    <row r="26978" spans="1:1" x14ac:dyDescent="0.3">
      <c r="A26978" s="20"/>
    </row>
    <row r="26979" spans="1:1" x14ac:dyDescent="0.3">
      <c r="A26979" s="20"/>
    </row>
    <row r="26980" spans="1:1" x14ac:dyDescent="0.3">
      <c r="A26980" s="20"/>
    </row>
    <row r="26981" spans="1:1" x14ac:dyDescent="0.3">
      <c r="A26981" s="20"/>
    </row>
    <row r="26982" spans="1:1" x14ac:dyDescent="0.3">
      <c r="A26982" s="20"/>
    </row>
    <row r="26983" spans="1:1" x14ac:dyDescent="0.3">
      <c r="A26983" s="20"/>
    </row>
    <row r="26984" spans="1:1" x14ac:dyDescent="0.3">
      <c r="A26984" s="20"/>
    </row>
    <row r="26985" spans="1:1" x14ac:dyDescent="0.3">
      <c r="A26985" s="20"/>
    </row>
    <row r="26986" spans="1:1" x14ac:dyDescent="0.3">
      <c r="A26986" s="20"/>
    </row>
    <row r="26987" spans="1:1" x14ac:dyDescent="0.3">
      <c r="A26987" s="20"/>
    </row>
    <row r="26988" spans="1:1" x14ac:dyDescent="0.3">
      <c r="A26988" s="20"/>
    </row>
    <row r="26989" spans="1:1" x14ac:dyDescent="0.3">
      <c r="A26989" s="20"/>
    </row>
    <row r="26990" spans="1:1" x14ac:dyDescent="0.3">
      <c r="A26990" s="20"/>
    </row>
    <row r="26991" spans="1:1" x14ac:dyDescent="0.3">
      <c r="A26991" s="20"/>
    </row>
    <row r="26992" spans="1:1" x14ac:dyDescent="0.3">
      <c r="A26992" s="20"/>
    </row>
    <row r="26993" spans="1:1" x14ac:dyDescent="0.3">
      <c r="A26993" s="20"/>
    </row>
    <row r="26994" spans="1:1" x14ac:dyDescent="0.3">
      <c r="A26994" s="20"/>
    </row>
    <row r="26995" spans="1:1" x14ac:dyDescent="0.3">
      <c r="A26995" s="20"/>
    </row>
    <row r="26996" spans="1:1" x14ac:dyDescent="0.3">
      <c r="A26996" s="20"/>
    </row>
    <row r="26997" spans="1:1" x14ac:dyDescent="0.3">
      <c r="A26997" s="20"/>
    </row>
    <row r="26998" spans="1:1" x14ac:dyDescent="0.3">
      <c r="A26998" s="20"/>
    </row>
    <row r="26999" spans="1:1" x14ac:dyDescent="0.3">
      <c r="A26999" s="20"/>
    </row>
    <row r="27000" spans="1:1" x14ac:dyDescent="0.3">
      <c r="A27000" s="20"/>
    </row>
    <row r="27001" spans="1:1" x14ac:dyDescent="0.3">
      <c r="A27001" s="20"/>
    </row>
    <row r="27002" spans="1:1" x14ac:dyDescent="0.3">
      <c r="A27002" s="20"/>
    </row>
    <row r="27003" spans="1:1" x14ac:dyDescent="0.3">
      <c r="A27003" s="20"/>
    </row>
    <row r="27004" spans="1:1" x14ac:dyDescent="0.3">
      <c r="A27004" s="20"/>
    </row>
    <row r="27005" spans="1:1" x14ac:dyDescent="0.3">
      <c r="A27005" s="20"/>
    </row>
    <row r="27006" spans="1:1" x14ac:dyDescent="0.3">
      <c r="A27006" s="20"/>
    </row>
    <row r="27007" spans="1:1" x14ac:dyDescent="0.3">
      <c r="A27007" s="20"/>
    </row>
    <row r="27008" spans="1:1" x14ac:dyDescent="0.3">
      <c r="A27008" s="20"/>
    </row>
    <row r="27009" spans="1:1" x14ac:dyDescent="0.3">
      <c r="A27009" s="20"/>
    </row>
    <row r="27010" spans="1:1" x14ac:dyDescent="0.3">
      <c r="A27010" s="20"/>
    </row>
    <row r="27011" spans="1:1" x14ac:dyDescent="0.3">
      <c r="A27011" s="20"/>
    </row>
    <row r="27012" spans="1:1" x14ac:dyDescent="0.3">
      <c r="A27012" s="20"/>
    </row>
    <row r="27013" spans="1:1" x14ac:dyDescent="0.3">
      <c r="A27013" s="20"/>
    </row>
    <row r="27014" spans="1:1" x14ac:dyDescent="0.3">
      <c r="A27014" s="20"/>
    </row>
    <row r="27015" spans="1:1" x14ac:dyDescent="0.3">
      <c r="A27015" s="20"/>
    </row>
    <row r="27016" spans="1:1" x14ac:dyDescent="0.3">
      <c r="A27016" s="20"/>
    </row>
    <row r="27017" spans="1:1" x14ac:dyDescent="0.3">
      <c r="A27017" s="20"/>
    </row>
    <row r="27018" spans="1:1" x14ac:dyDescent="0.3">
      <c r="A27018" s="20"/>
    </row>
    <row r="27019" spans="1:1" x14ac:dyDescent="0.3">
      <c r="A27019" s="20"/>
    </row>
    <row r="27020" spans="1:1" x14ac:dyDescent="0.3">
      <c r="A27020" s="20"/>
    </row>
    <row r="27021" spans="1:1" x14ac:dyDescent="0.3">
      <c r="A27021" s="20"/>
    </row>
    <row r="27022" spans="1:1" x14ac:dyDescent="0.3">
      <c r="A27022" s="20"/>
    </row>
    <row r="27023" spans="1:1" x14ac:dyDescent="0.3">
      <c r="A27023" s="20"/>
    </row>
    <row r="27024" spans="1:1" x14ac:dyDescent="0.3">
      <c r="A27024" s="20"/>
    </row>
    <row r="27025" spans="1:1" x14ac:dyDescent="0.3">
      <c r="A27025" s="20"/>
    </row>
    <row r="27026" spans="1:1" x14ac:dyDescent="0.3">
      <c r="A27026" s="20"/>
    </row>
    <row r="27027" spans="1:1" x14ac:dyDescent="0.3">
      <c r="A27027" s="20"/>
    </row>
    <row r="27028" spans="1:1" x14ac:dyDescent="0.3">
      <c r="A27028" s="20"/>
    </row>
    <row r="27029" spans="1:1" x14ac:dyDescent="0.3">
      <c r="A27029" s="20"/>
    </row>
    <row r="27030" spans="1:1" x14ac:dyDescent="0.3">
      <c r="A27030" s="20"/>
    </row>
    <row r="27031" spans="1:1" x14ac:dyDescent="0.3">
      <c r="A27031" s="20"/>
    </row>
    <row r="27032" spans="1:1" x14ac:dyDescent="0.3">
      <c r="A27032" s="20"/>
    </row>
    <row r="27033" spans="1:1" x14ac:dyDescent="0.3">
      <c r="A27033" s="20"/>
    </row>
    <row r="27034" spans="1:1" x14ac:dyDescent="0.3">
      <c r="A27034" s="20"/>
    </row>
    <row r="27035" spans="1:1" x14ac:dyDescent="0.3">
      <c r="A27035" s="20"/>
    </row>
    <row r="27036" spans="1:1" x14ac:dyDescent="0.3">
      <c r="A27036" s="20"/>
    </row>
    <row r="27037" spans="1:1" x14ac:dyDescent="0.3">
      <c r="A27037" s="20"/>
    </row>
    <row r="27038" spans="1:1" x14ac:dyDescent="0.3">
      <c r="A27038" s="20"/>
    </row>
    <row r="27039" spans="1:1" x14ac:dyDescent="0.3">
      <c r="A27039" s="20"/>
    </row>
    <row r="27040" spans="1:1" x14ac:dyDescent="0.3">
      <c r="A27040" s="20"/>
    </row>
    <row r="27041" spans="1:1" x14ac:dyDescent="0.3">
      <c r="A27041" s="20"/>
    </row>
    <row r="27042" spans="1:1" x14ac:dyDescent="0.3">
      <c r="A27042" s="20"/>
    </row>
    <row r="27043" spans="1:1" x14ac:dyDescent="0.3">
      <c r="A27043" s="20"/>
    </row>
    <row r="27044" spans="1:1" x14ac:dyDescent="0.3">
      <c r="A27044" s="20"/>
    </row>
    <row r="27045" spans="1:1" x14ac:dyDescent="0.3">
      <c r="A27045" s="20"/>
    </row>
    <row r="27046" spans="1:1" x14ac:dyDescent="0.3">
      <c r="A27046" s="20"/>
    </row>
    <row r="27047" spans="1:1" x14ac:dyDescent="0.3">
      <c r="A27047" s="20"/>
    </row>
    <row r="27048" spans="1:1" x14ac:dyDescent="0.3">
      <c r="A27048" s="20"/>
    </row>
    <row r="27049" spans="1:1" x14ac:dyDescent="0.3">
      <c r="A27049" s="20"/>
    </row>
    <row r="27050" spans="1:1" x14ac:dyDescent="0.3">
      <c r="A27050" s="20"/>
    </row>
    <row r="27051" spans="1:1" x14ac:dyDescent="0.3">
      <c r="A27051" s="20"/>
    </row>
    <row r="27052" spans="1:1" x14ac:dyDescent="0.3">
      <c r="A27052" s="20"/>
    </row>
    <row r="27053" spans="1:1" x14ac:dyDescent="0.3">
      <c r="A27053" s="20"/>
    </row>
    <row r="27054" spans="1:1" x14ac:dyDescent="0.3">
      <c r="A27054" s="20"/>
    </row>
    <row r="27055" spans="1:1" x14ac:dyDescent="0.3">
      <c r="A27055" s="20"/>
    </row>
    <row r="27056" spans="1:1" x14ac:dyDescent="0.3">
      <c r="A27056" s="20"/>
    </row>
    <row r="27057" spans="1:1" x14ac:dyDescent="0.3">
      <c r="A27057" s="20"/>
    </row>
    <row r="27058" spans="1:1" x14ac:dyDescent="0.3">
      <c r="A27058" s="20"/>
    </row>
    <row r="27059" spans="1:1" x14ac:dyDescent="0.3">
      <c r="A27059" s="20"/>
    </row>
    <row r="27060" spans="1:1" x14ac:dyDescent="0.3">
      <c r="A27060" s="20"/>
    </row>
    <row r="27061" spans="1:1" x14ac:dyDescent="0.3">
      <c r="A27061" s="20"/>
    </row>
    <row r="27062" spans="1:1" x14ac:dyDescent="0.3">
      <c r="A27062" s="20"/>
    </row>
    <row r="27063" spans="1:1" x14ac:dyDescent="0.3">
      <c r="A27063" s="20"/>
    </row>
    <row r="27064" spans="1:1" x14ac:dyDescent="0.3">
      <c r="A27064" s="20"/>
    </row>
    <row r="27065" spans="1:1" x14ac:dyDescent="0.3">
      <c r="A27065" s="20"/>
    </row>
    <row r="27066" spans="1:1" x14ac:dyDescent="0.3">
      <c r="A27066" s="20"/>
    </row>
    <row r="27067" spans="1:1" x14ac:dyDescent="0.3">
      <c r="A27067" s="20"/>
    </row>
    <row r="27068" spans="1:1" x14ac:dyDescent="0.3">
      <c r="A27068" s="20"/>
    </row>
    <row r="27069" spans="1:1" x14ac:dyDescent="0.3">
      <c r="A27069" s="20"/>
    </row>
    <row r="27070" spans="1:1" x14ac:dyDescent="0.3">
      <c r="A27070" s="20"/>
    </row>
    <row r="27071" spans="1:1" x14ac:dyDescent="0.3">
      <c r="A27071" s="20"/>
    </row>
    <row r="27072" spans="1:1" x14ac:dyDescent="0.3">
      <c r="A27072" s="20"/>
    </row>
    <row r="27073" spans="1:1" x14ac:dyDescent="0.3">
      <c r="A27073" s="20"/>
    </row>
    <row r="27074" spans="1:1" x14ac:dyDescent="0.3">
      <c r="A27074" s="20"/>
    </row>
    <row r="27075" spans="1:1" x14ac:dyDescent="0.3">
      <c r="A27075" s="20"/>
    </row>
    <row r="27076" spans="1:1" x14ac:dyDescent="0.3">
      <c r="A27076" s="20"/>
    </row>
    <row r="27077" spans="1:1" x14ac:dyDescent="0.3">
      <c r="A27077" s="20"/>
    </row>
    <row r="27078" spans="1:1" x14ac:dyDescent="0.3">
      <c r="A27078" s="20"/>
    </row>
    <row r="27079" spans="1:1" x14ac:dyDescent="0.3">
      <c r="A27079" s="20"/>
    </row>
    <row r="27080" spans="1:1" x14ac:dyDescent="0.3">
      <c r="A27080" s="20"/>
    </row>
    <row r="27081" spans="1:1" x14ac:dyDescent="0.3">
      <c r="A27081" s="20"/>
    </row>
    <row r="27082" spans="1:1" x14ac:dyDescent="0.3">
      <c r="A27082" s="20"/>
    </row>
    <row r="27083" spans="1:1" x14ac:dyDescent="0.3">
      <c r="A27083" s="20"/>
    </row>
    <row r="27084" spans="1:1" x14ac:dyDescent="0.3">
      <c r="A27084" s="20"/>
    </row>
    <row r="27085" spans="1:1" x14ac:dyDescent="0.3">
      <c r="A27085" s="20"/>
    </row>
    <row r="27086" spans="1:1" x14ac:dyDescent="0.3">
      <c r="A27086" s="20"/>
    </row>
    <row r="27087" spans="1:1" x14ac:dyDescent="0.3">
      <c r="A27087" s="20"/>
    </row>
    <row r="27088" spans="1:1" x14ac:dyDescent="0.3">
      <c r="A27088" s="20"/>
    </row>
    <row r="27089" spans="1:1" x14ac:dyDescent="0.3">
      <c r="A27089" s="20"/>
    </row>
    <row r="27090" spans="1:1" x14ac:dyDescent="0.3">
      <c r="A27090" s="20"/>
    </row>
    <row r="27091" spans="1:1" x14ac:dyDescent="0.3">
      <c r="A27091" s="20"/>
    </row>
    <row r="27092" spans="1:1" x14ac:dyDescent="0.3">
      <c r="A27092" s="20"/>
    </row>
    <row r="27093" spans="1:1" x14ac:dyDescent="0.3">
      <c r="A27093" s="20"/>
    </row>
    <row r="27094" spans="1:1" x14ac:dyDescent="0.3">
      <c r="A27094" s="20"/>
    </row>
    <row r="27095" spans="1:1" x14ac:dyDescent="0.3">
      <c r="A27095" s="20"/>
    </row>
    <row r="27096" spans="1:1" x14ac:dyDescent="0.3">
      <c r="A27096" s="20"/>
    </row>
    <row r="27097" spans="1:1" x14ac:dyDescent="0.3">
      <c r="A27097" s="20"/>
    </row>
    <row r="27098" spans="1:1" x14ac:dyDescent="0.3">
      <c r="A27098" s="20"/>
    </row>
    <row r="27099" spans="1:1" x14ac:dyDescent="0.3">
      <c r="A27099" s="20"/>
    </row>
    <row r="27100" spans="1:1" x14ac:dyDescent="0.3">
      <c r="A27100" s="20"/>
    </row>
    <row r="27101" spans="1:1" x14ac:dyDescent="0.3">
      <c r="A27101" s="20"/>
    </row>
    <row r="27102" spans="1:1" x14ac:dyDescent="0.3">
      <c r="A27102" s="20"/>
    </row>
    <row r="27103" spans="1:1" x14ac:dyDescent="0.3">
      <c r="A27103" s="20"/>
    </row>
    <row r="27104" spans="1:1" x14ac:dyDescent="0.3">
      <c r="A27104" s="20"/>
    </row>
    <row r="27105" spans="1:1" x14ac:dyDescent="0.3">
      <c r="A27105" s="20"/>
    </row>
    <row r="27106" spans="1:1" x14ac:dyDescent="0.3">
      <c r="A27106" s="20"/>
    </row>
    <row r="27107" spans="1:1" x14ac:dyDescent="0.3">
      <c r="A27107" s="20"/>
    </row>
    <row r="27108" spans="1:1" x14ac:dyDescent="0.3">
      <c r="A27108" s="20"/>
    </row>
    <row r="27109" spans="1:1" x14ac:dyDescent="0.3">
      <c r="A27109" s="20"/>
    </row>
    <row r="27110" spans="1:1" x14ac:dyDescent="0.3">
      <c r="A27110" s="20"/>
    </row>
    <row r="27111" spans="1:1" x14ac:dyDescent="0.3">
      <c r="A27111" s="20"/>
    </row>
    <row r="27112" spans="1:1" x14ac:dyDescent="0.3">
      <c r="A27112" s="20"/>
    </row>
    <row r="27113" spans="1:1" x14ac:dyDescent="0.3">
      <c r="A27113" s="20"/>
    </row>
    <row r="27114" spans="1:1" x14ac:dyDescent="0.3">
      <c r="A27114" s="20"/>
    </row>
    <row r="27115" spans="1:1" x14ac:dyDescent="0.3">
      <c r="A27115" s="20"/>
    </row>
    <row r="27116" spans="1:1" x14ac:dyDescent="0.3">
      <c r="A27116" s="20"/>
    </row>
    <row r="27117" spans="1:1" x14ac:dyDescent="0.3">
      <c r="A27117" s="20"/>
    </row>
    <row r="27118" spans="1:1" x14ac:dyDescent="0.3">
      <c r="A27118" s="20"/>
    </row>
    <row r="27119" spans="1:1" x14ac:dyDescent="0.3">
      <c r="A27119" s="20"/>
    </row>
    <row r="27120" spans="1:1" x14ac:dyDescent="0.3">
      <c r="A27120" s="20"/>
    </row>
    <row r="27121" spans="1:1" x14ac:dyDescent="0.3">
      <c r="A27121" s="20"/>
    </row>
    <row r="27122" spans="1:1" x14ac:dyDescent="0.3">
      <c r="A27122" s="20"/>
    </row>
    <row r="27123" spans="1:1" x14ac:dyDescent="0.3">
      <c r="A27123" s="20"/>
    </row>
    <row r="27124" spans="1:1" x14ac:dyDescent="0.3">
      <c r="A27124" s="20"/>
    </row>
    <row r="27125" spans="1:1" x14ac:dyDescent="0.3">
      <c r="A27125" s="20"/>
    </row>
    <row r="27126" spans="1:1" x14ac:dyDescent="0.3">
      <c r="A27126" s="20"/>
    </row>
    <row r="27127" spans="1:1" x14ac:dyDescent="0.3">
      <c r="A27127" s="20"/>
    </row>
    <row r="27128" spans="1:1" x14ac:dyDescent="0.3">
      <c r="A27128" s="20"/>
    </row>
    <row r="27129" spans="1:1" x14ac:dyDescent="0.3">
      <c r="A27129" s="20"/>
    </row>
    <row r="27130" spans="1:1" x14ac:dyDescent="0.3">
      <c r="A27130" s="20"/>
    </row>
    <row r="27131" spans="1:1" x14ac:dyDescent="0.3">
      <c r="A27131" s="20"/>
    </row>
    <row r="27132" spans="1:1" x14ac:dyDescent="0.3">
      <c r="A27132" s="20"/>
    </row>
    <row r="27133" spans="1:1" x14ac:dyDescent="0.3">
      <c r="A27133" s="20"/>
    </row>
    <row r="27134" spans="1:1" x14ac:dyDescent="0.3">
      <c r="A27134" s="20"/>
    </row>
    <row r="27135" spans="1:1" x14ac:dyDescent="0.3">
      <c r="A27135" s="20"/>
    </row>
    <row r="27136" spans="1:1" x14ac:dyDescent="0.3">
      <c r="A27136" s="20"/>
    </row>
    <row r="27137" spans="1:1" x14ac:dyDescent="0.3">
      <c r="A27137" s="20"/>
    </row>
    <row r="27138" spans="1:1" x14ac:dyDescent="0.3">
      <c r="A27138" s="20"/>
    </row>
    <row r="27139" spans="1:1" x14ac:dyDescent="0.3">
      <c r="A27139" s="20"/>
    </row>
    <row r="27140" spans="1:1" x14ac:dyDescent="0.3">
      <c r="A27140" s="20"/>
    </row>
    <row r="27141" spans="1:1" x14ac:dyDescent="0.3">
      <c r="A27141" s="20"/>
    </row>
    <row r="27142" spans="1:1" x14ac:dyDescent="0.3">
      <c r="A27142" s="20"/>
    </row>
    <row r="27143" spans="1:1" x14ac:dyDescent="0.3">
      <c r="A27143" s="20"/>
    </row>
    <row r="27144" spans="1:1" x14ac:dyDescent="0.3">
      <c r="A27144" s="20"/>
    </row>
    <row r="27145" spans="1:1" x14ac:dyDescent="0.3">
      <c r="A27145" s="20"/>
    </row>
    <row r="27146" spans="1:1" x14ac:dyDescent="0.3">
      <c r="A27146" s="20"/>
    </row>
    <row r="27147" spans="1:1" x14ac:dyDescent="0.3">
      <c r="A27147" s="20"/>
    </row>
    <row r="27148" spans="1:1" x14ac:dyDescent="0.3">
      <c r="A27148" s="20"/>
    </row>
    <row r="27149" spans="1:1" x14ac:dyDescent="0.3">
      <c r="A27149" s="20"/>
    </row>
    <row r="27150" spans="1:1" x14ac:dyDescent="0.3">
      <c r="A27150" s="20"/>
    </row>
    <row r="27151" spans="1:1" x14ac:dyDescent="0.3">
      <c r="A27151" s="20"/>
    </row>
    <row r="27152" spans="1:1" x14ac:dyDescent="0.3">
      <c r="A27152" s="20"/>
    </row>
    <row r="27153" spans="1:1" x14ac:dyDescent="0.3">
      <c r="A27153" s="20"/>
    </row>
    <row r="27154" spans="1:1" x14ac:dyDescent="0.3">
      <c r="A27154" s="20"/>
    </row>
    <row r="27155" spans="1:1" x14ac:dyDescent="0.3">
      <c r="A27155" s="20"/>
    </row>
    <row r="27156" spans="1:1" x14ac:dyDescent="0.3">
      <c r="A27156" s="20"/>
    </row>
    <row r="27157" spans="1:1" x14ac:dyDescent="0.3">
      <c r="A27157" s="20"/>
    </row>
    <row r="27158" spans="1:1" x14ac:dyDescent="0.3">
      <c r="A27158" s="20"/>
    </row>
    <row r="27159" spans="1:1" x14ac:dyDescent="0.3">
      <c r="A27159" s="20"/>
    </row>
    <row r="27160" spans="1:1" x14ac:dyDescent="0.3">
      <c r="A27160" s="20"/>
    </row>
    <row r="27161" spans="1:1" x14ac:dyDescent="0.3">
      <c r="A27161" s="20"/>
    </row>
    <row r="27162" spans="1:1" x14ac:dyDescent="0.3">
      <c r="A27162" s="20"/>
    </row>
    <row r="27163" spans="1:1" x14ac:dyDescent="0.3">
      <c r="A27163" s="20"/>
    </row>
    <row r="27164" spans="1:1" x14ac:dyDescent="0.3">
      <c r="A27164" s="20"/>
    </row>
    <row r="27165" spans="1:1" x14ac:dyDescent="0.3">
      <c r="A27165" s="20"/>
    </row>
    <row r="27166" spans="1:1" x14ac:dyDescent="0.3">
      <c r="A27166" s="20"/>
    </row>
    <row r="27167" spans="1:1" x14ac:dyDescent="0.3">
      <c r="A27167" s="20"/>
    </row>
    <row r="27168" spans="1:1" x14ac:dyDescent="0.3">
      <c r="A27168" s="20"/>
    </row>
    <row r="27169" spans="1:1" x14ac:dyDescent="0.3">
      <c r="A27169" s="20"/>
    </row>
    <row r="27170" spans="1:1" x14ac:dyDescent="0.3">
      <c r="A27170" s="20"/>
    </row>
    <row r="27171" spans="1:1" x14ac:dyDescent="0.3">
      <c r="A27171" s="20"/>
    </row>
    <row r="27172" spans="1:1" x14ac:dyDescent="0.3">
      <c r="A27172" s="20"/>
    </row>
    <row r="27173" spans="1:1" x14ac:dyDescent="0.3">
      <c r="A27173" s="20"/>
    </row>
    <row r="27174" spans="1:1" x14ac:dyDescent="0.3">
      <c r="A27174" s="20"/>
    </row>
    <row r="27175" spans="1:1" x14ac:dyDescent="0.3">
      <c r="A27175" s="20"/>
    </row>
    <row r="27176" spans="1:1" x14ac:dyDescent="0.3">
      <c r="A27176" s="20"/>
    </row>
    <row r="27177" spans="1:1" x14ac:dyDescent="0.3">
      <c r="A27177" s="20"/>
    </row>
    <row r="27178" spans="1:1" x14ac:dyDescent="0.3">
      <c r="A27178" s="20"/>
    </row>
    <row r="27179" spans="1:1" x14ac:dyDescent="0.3">
      <c r="A27179" s="20"/>
    </row>
    <row r="27180" spans="1:1" x14ac:dyDescent="0.3">
      <c r="A27180" s="20"/>
    </row>
    <row r="27181" spans="1:1" x14ac:dyDescent="0.3">
      <c r="A27181" s="20"/>
    </row>
    <row r="27182" spans="1:1" x14ac:dyDescent="0.3">
      <c r="A27182" s="20"/>
    </row>
    <row r="27183" spans="1:1" x14ac:dyDescent="0.3">
      <c r="A27183" s="20"/>
    </row>
    <row r="27184" spans="1:1" x14ac:dyDescent="0.3">
      <c r="A27184" s="20"/>
    </row>
    <row r="27185" spans="1:1" x14ac:dyDescent="0.3">
      <c r="A27185" s="20"/>
    </row>
    <row r="27186" spans="1:1" x14ac:dyDescent="0.3">
      <c r="A27186" s="20"/>
    </row>
    <row r="27187" spans="1:1" x14ac:dyDescent="0.3">
      <c r="A27187" s="20"/>
    </row>
    <row r="27188" spans="1:1" x14ac:dyDescent="0.3">
      <c r="A27188" s="20"/>
    </row>
    <row r="27189" spans="1:1" x14ac:dyDescent="0.3">
      <c r="A27189" s="20"/>
    </row>
    <row r="27190" spans="1:1" x14ac:dyDescent="0.3">
      <c r="A27190" s="20"/>
    </row>
    <row r="27191" spans="1:1" x14ac:dyDescent="0.3">
      <c r="A27191" s="20"/>
    </row>
    <row r="27192" spans="1:1" x14ac:dyDescent="0.3">
      <c r="A27192" s="20"/>
    </row>
    <row r="27193" spans="1:1" x14ac:dyDescent="0.3">
      <c r="A27193" s="20"/>
    </row>
    <row r="27194" spans="1:1" x14ac:dyDescent="0.3">
      <c r="A27194" s="20"/>
    </row>
    <row r="27195" spans="1:1" x14ac:dyDescent="0.3">
      <c r="A27195" s="20"/>
    </row>
    <row r="27196" spans="1:1" x14ac:dyDescent="0.3">
      <c r="A27196" s="20"/>
    </row>
    <row r="27197" spans="1:1" x14ac:dyDescent="0.3">
      <c r="A27197" s="20"/>
    </row>
    <row r="27198" spans="1:1" x14ac:dyDescent="0.3">
      <c r="A27198" s="20"/>
    </row>
    <row r="27199" spans="1:1" x14ac:dyDescent="0.3">
      <c r="A27199" s="20"/>
    </row>
    <row r="27200" spans="1:1" x14ac:dyDescent="0.3">
      <c r="A27200" s="20"/>
    </row>
    <row r="27201" spans="1:1" x14ac:dyDescent="0.3">
      <c r="A27201" s="20"/>
    </row>
    <row r="27202" spans="1:1" x14ac:dyDescent="0.3">
      <c r="A27202" s="20"/>
    </row>
    <row r="27203" spans="1:1" x14ac:dyDescent="0.3">
      <c r="A27203" s="20"/>
    </row>
    <row r="27204" spans="1:1" x14ac:dyDescent="0.3">
      <c r="A27204" s="20"/>
    </row>
    <row r="27205" spans="1:1" x14ac:dyDescent="0.3">
      <c r="A27205" s="20"/>
    </row>
    <row r="27206" spans="1:1" x14ac:dyDescent="0.3">
      <c r="A27206" s="20"/>
    </row>
    <row r="27207" spans="1:1" x14ac:dyDescent="0.3">
      <c r="A27207" s="20"/>
    </row>
    <row r="27208" spans="1:1" x14ac:dyDescent="0.3">
      <c r="A27208" s="20"/>
    </row>
    <row r="27209" spans="1:1" x14ac:dyDescent="0.3">
      <c r="A27209" s="20"/>
    </row>
    <row r="27210" spans="1:1" x14ac:dyDescent="0.3">
      <c r="A27210" s="20"/>
    </row>
    <row r="27211" spans="1:1" x14ac:dyDescent="0.3">
      <c r="A27211" s="20"/>
    </row>
    <row r="27212" spans="1:1" x14ac:dyDescent="0.3">
      <c r="A27212" s="20"/>
    </row>
    <row r="27213" spans="1:1" x14ac:dyDescent="0.3">
      <c r="A27213" s="20"/>
    </row>
    <row r="27214" spans="1:1" x14ac:dyDescent="0.3">
      <c r="A27214" s="20"/>
    </row>
    <row r="27215" spans="1:1" x14ac:dyDescent="0.3">
      <c r="A27215" s="20"/>
    </row>
    <row r="27216" spans="1:1" x14ac:dyDescent="0.3">
      <c r="A27216" s="20"/>
    </row>
    <row r="27217" spans="1:1" x14ac:dyDescent="0.3">
      <c r="A27217" s="20"/>
    </row>
    <row r="27218" spans="1:1" x14ac:dyDescent="0.3">
      <c r="A27218" s="20"/>
    </row>
    <row r="27219" spans="1:1" x14ac:dyDescent="0.3">
      <c r="A27219" s="20"/>
    </row>
    <row r="27220" spans="1:1" x14ac:dyDescent="0.3">
      <c r="A27220" s="20"/>
    </row>
    <row r="27221" spans="1:1" x14ac:dyDescent="0.3">
      <c r="A27221" s="20"/>
    </row>
    <row r="27222" spans="1:1" x14ac:dyDescent="0.3">
      <c r="A27222" s="20"/>
    </row>
    <row r="27223" spans="1:1" x14ac:dyDescent="0.3">
      <c r="A27223" s="20"/>
    </row>
    <row r="27224" spans="1:1" x14ac:dyDescent="0.3">
      <c r="A27224" s="20"/>
    </row>
    <row r="27225" spans="1:1" x14ac:dyDescent="0.3">
      <c r="A27225" s="20"/>
    </row>
    <row r="27226" spans="1:1" x14ac:dyDescent="0.3">
      <c r="A27226" s="20"/>
    </row>
    <row r="27227" spans="1:1" x14ac:dyDescent="0.3">
      <c r="A27227" s="20"/>
    </row>
    <row r="27228" spans="1:1" x14ac:dyDescent="0.3">
      <c r="A27228" s="20"/>
    </row>
    <row r="27229" spans="1:1" x14ac:dyDescent="0.3">
      <c r="A27229" s="20"/>
    </row>
    <row r="27230" spans="1:1" x14ac:dyDescent="0.3">
      <c r="A27230" s="20"/>
    </row>
    <row r="27231" spans="1:1" x14ac:dyDescent="0.3">
      <c r="A27231" s="20"/>
    </row>
    <row r="27232" spans="1:1" x14ac:dyDescent="0.3">
      <c r="A27232" s="20"/>
    </row>
    <row r="27233" spans="1:1" x14ac:dyDescent="0.3">
      <c r="A27233" s="20"/>
    </row>
    <row r="27234" spans="1:1" x14ac:dyDescent="0.3">
      <c r="A27234" s="20"/>
    </row>
    <row r="27235" spans="1:1" x14ac:dyDescent="0.3">
      <c r="A27235" s="20"/>
    </row>
    <row r="27236" spans="1:1" x14ac:dyDescent="0.3">
      <c r="A27236" s="20"/>
    </row>
    <row r="27237" spans="1:1" x14ac:dyDescent="0.3">
      <c r="A27237" s="20"/>
    </row>
    <row r="27238" spans="1:1" x14ac:dyDescent="0.3">
      <c r="A27238" s="20"/>
    </row>
    <row r="27239" spans="1:1" x14ac:dyDescent="0.3">
      <c r="A27239" s="20"/>
    </row>
    <row r="27240" spans="1:1" x14ac:dyDescent="0.3">
      <c r="A27240" s="20"/>
    </row>
    <row r="27241" spans="1:1" x14ac:dyDescent="0.3">
      <c r="A27241" s="20"/>
    </row>
    <row r="27242" spans="1:1" x14ac:dyDescent="0.3">
      <c r="A27242" s="20"/>
    </row>
    <row r="27243" spans="1:1" x14ac:dyDescent="0.3">
      <c r="A27243" s="20"/>
    </row>
    <row r="27244" spans="1:1" x14ac:dyDescent="0.3">
      <c r="A27244" s="20"/>
    </row>
    <row r="27245" spans="1:1" x14ac:dyDescent="0.3">
      <c r="A27245" s="20"/>
    </row>
    <row r="27246" spans="1:1" x14ac:dyDescent="0.3">
      <c r="A27246" s="20"/>
    </row>
    <row r="27247" spans="1:1" x14ac:dyDescent="0.3">
      <c r="A27247" s="20"/>
    </row>
    <row r="27248" spans="1:1" x14ac:dyDescent="0.3">
      <c r="A27248" s="20"/>
    </row>
    <row r="27249" spans="1:1" x14ac:dyDescent="0.3">
      <c r="A27249" s="20"/>
    </row>
    <row r="27250" spans="1:1" x14ac:dyDescent="0.3">
      <c r="A27250" s="20"/>
    </row>
    <row r="27251" spans="1:1" x14ac:dyDescent="0.3">
      <c r="A27251" s="20"/>
    </row>
    <row r="27252" spans="1:1" x14ac:dyDescent="0.3">
      <c r="A27252" s="20"/>
    </row>
    <row r="27253" spans="1:1" x14ac:dyDescent="0.3">
      <c r="A27253" s="20"/>
    </row>
    <row r="27254" spans="1:1" x14ac:dyDescent="0.3">
      <c r="A27254" s="20"/>
    </row>
    <row r="27255" spans="1:1" x14ac:dyDescent="0.3">
      <c r="A27255" s="20"/>
    </row>
    <row r="27256" spans="1:1" x14ac:dyDescent="0.3">
      <c r="A27256" s="20"/>
    </row>
    <row r="27257" spans="1:1" x14ac:dyDescent="0.3">
      <c r="A27257" s="20"/>
    </row>
    <row r="27258" spans="1:1" x14ac:dyDescent="0.3">
      <c r="A27258" s="20"/>
    </row>
    <row r="27259" spans="1:1" x14ac:dyDescent="0.3">
      <c r="A27259" s="20"/>
    </row>
    <row r="27260" spans="1:1" x14ac:dyDescent="0.3">
      <c r="A27260" s="20"/>
    </row>
    <row r="27261" spans="1:1" x14ac:dyDescent="0.3">
      <c r="A27261" s="20"/>
    </row>
    <row r="27262" spans="1:1" x14ac:dyDescent="0.3">
      <c r="A27262" s="20"/>
    </row>
    <row r="27263" spans="1:1" x14ac:dyDescent="0.3">
      <c r="A27263" s="20"/>
    </row>
    <row r="27264" spans="1:1" x14ac:dyDescent="0.3">
      <c r="A27264" s="20"/>
    </row>
    <row r="27265" spans="1:1" x14ac:dyDescent="0.3">
      <c r="A27265" s="20"/>
    </row>
    <row r="27266" spans="1:1" x14ac:dyDescent="0.3">
      <c r="A27266" s="20"/>
    </row>
    <row r="27267" spans="1:1" x14ac:dyDescent="0.3">
      <c r="A27267" s="20"/>
    </row>
    <row r="27268" spans="1:1" x14ac:dyDescent="0.3">
      <c r="A27268" s="20"/>
    </row>
    <row r="27269" spans="1:1" x14ac:dyDescent="0.3">
      <c r="A27269" s="20"/>
    </row>
    <row r="27270" spans="1:1" x14ac:dyDescent="0.3">
      <c r="A27270" s="20"/>
    </row>
    <row r="27271" spans="1:1" x14ac:dyDescent="0.3">
      <c r="A27271" s="20"/>
    </row>
    <row r="27272" spans="1:1" x14ac:dyDescent="0.3">
      <c r="A27272" s="20"/>
    </row>
    <row r="27273" spans="1:1" x14ac:dyDescent="0.3">
      <c r="A27273" s="20"/>
    </row>
    <row r="27274" spans="1:1" x14ac:dyDescent="0.3">
      <c r="A27274" s="20"/>
    </row>
    <row r="27275" spans="1:1" x14ac:dyDescent="0.3">
      <c r="A27275" s="20"/>
    </row>
    <row r="27276" spans="1:1" x14ac:dyDescent="0.3">
      <c r="A27276" s="20"/>
    </row>
    <row r="27277" spans="1:1" x14ac:dyDescent="0.3">
      <c r="A27277" s="20"/>
    </row>
    <row r="27278" spans="1:1" x14ac:dyDescent="0.3">
      <c r="A27278" s="20"/>
    </row>
    <row r="27279" spans="1:1" x14ac:dyDescent="0.3">
      <c r="A27279" s="20"/>
    </row>
    <row r="27280" spans="1:1" x14ac:dyDescent="0.3">
      <c r="A27280" s="20"/>
    </row>
    <row r="27281" spans="1:1" x14ac:dyDescent="0.3">
      <c r="A27281" s="20"/>
    </row>
    <row r="27282" spans="1:1" x14ac:dyDescent="0.3">
      <c r="A27282" s="20"/>
    </row>
    <row r="27283" spans="1:1" x14ac:dyDescent="0.3">
      <c r="A27283" s="20"/>
    </row>
    <row r="27284" spans="1:1" x14ac:dyDescent="0.3">
      <c r="A27284" s="20"/>
    </row>
    <row r="27285" spans="1:1" x14ac:dyDescent="0.3">
      <c r="A27285" s="20"/>
    </row>
    <row r="27286" spans="1:1" x14ac:dyDescent="0.3">
      <c r="A27286" s="20"/>
    </row>
    <row r="27287" spans="1:1" x14ac:dyDescent="0.3">
      <c r="A27287" s="20"/>
    </row>
    <row r="27288" spans="1:1" x14ac:dyDescent="0.3">
      <c r="A27288" s="20"/>
    </row>
    <row r="27289" spans="1:1" x14ac:dyDescent="0.3">
      <c r="A27289" s="20"/>
    </row>
    <row r="27290" spans="1:1" x14ac:dyDescent="0.3">
      <c r="A27290" s="20"/>
    </row>
    <row r="27291" spans="1:1" x14ac:dyDescent="0.3">
      <c r="A27291" s="20"/>
    </row>
    <row r="27292" spans="1:1" x14ac:dyDescent="0.3">
      <c r="A27292" s="20"/>
    </row>
    <row r="27293" spans="1:1" x14ac:dyDescent="0.3">
      <c r="A27293" s="20"/>
    </row>
    <row r="27294" spans="1:1" x14ac:dyDescent="0.3">
      <c r="A27294" s="20"/>
    </row>
    <row r="27295" spans="1:1" x14ac:dyDescent="0.3">
      <c r="A27295" s="20"/>
    </row>
    <row r="27296" spans="1:1" x14ac:dyDescent="0.3">
      <c r="A27296" s="20"/>
    </row>
    <row r="27297" spans="1:1" x14ac:dyDescent="0.3">
      <c r="A27297" s="20"/>
    </row>
    <row r="27298" spans="1:1" x14ac:dyDescent="0.3">
      <c r="A27298" s="20"/>
    </row>
    <row r="27299" spans="1:1" x14ac:dyDescent="0.3">
      <c r="A27299" s="20"/>
    </row>
    <row r="27300" spans="1:1" x14ac:dyDescent="0.3">
      <c r="A27300" s="20"/>
    </row>
    <row r="27301" spans="1:1" x14ac:dyDescent="0.3">
      <c r="A27301" s="20"/>
    </row>
    <row r="27302" spans="1:1" x14ac:dyDescent="0.3">
      <c r="A27302" s="20"/>
    </row>
    <row r="27303" spans="1:1" x14ac:dyDescent="0.3">
      <c r="A27303" s="20"/>
    </row>
    <row r="27304" spans="1:1" x14ac:dyDescent="0.3">
      <c r="A27304" s="20"/>
    </row>
    <row r="27305" spans="1:1" x14ac:dyDescent="0.3">
      <c r="A27305" s="20"/>
    </row>
    <row r="27306" spans="1:1" x14ac:dyDescent="0.3">
      <c r="A27306" s="20"/>
    </row>
    <row r="27307" spans="1:1" x14ac:dyDescent="0.3">
      <c r="A27307" s="20"/>
    </row>
    <row r="27308" spans="1:1" x14ac:dyDescent="0.3">
      <c r="A27308" s="20"/>
    </row>
    <row r="27309" spans="1:1" x14ac:dyDescent="0.3">
      <c r="A27309" s="20"/>
    </row>
    <row r="27310" spans="1:1" x14ac:dyDescent="0.3">
      <c r="A27310" s="20"/>
    </row>
    <row r="27311" spans="1:1" x14ac:dyDescent="0.3">
      <c r="A27311" s="20"/>
    </row>
    <row r="27312" spans="1:1" x14ac:dyDescent="0.3">
      <c r="A27312" s="20"/>
    </row>
    <row r="27313" spans="1:1" x14ac:dyDescent="0.3">
      <c r="A27313" s="20"/>
    </row>
    <row r="27314" spans="1:1" x14ac:dyDescent="0.3">
      <c r="A27314" s="20"/>
    </row>
    <row r="27315" spans="1:1" x14ac:dyDescent="0.3">
      <c r="A27315" s="20"/>
    </row>
    <row r="27316" spans="1:1" x14ac:dyDescent="0.3">
      <c r="A27316" s="20"/>
    </row>
    <row r="27317" spans="1:1" x14ac:dyDescent="0.3">
      <c r="A27317" s="20"/>
    </row>
    <row r="27318" spans="1:1" x14ac:dyDescent="0.3">
      <c r="A27318" s="20"/>
    </row>
    <row r="27319" spans="1:1" x14ac:dyDescent="0.3">
      <c r="A27319" s="20"/>
    </row>
    <row r="27320" spans="1:1" x14ac:dyDescent="0.3">
      <c r="A27320" s="20"/>
    </row>
    <row r="27321" spans="1:1" x14ac:dyDescent="0.3">
      <c r="A27321" s="20"/>
    </row>
    <row r="27322" spans="1:1" x14ac:dyDescent="0.3">
      <c r="A27322" s="20"/>
    </row>
    <row r="27323" spans="1:1" x14ac:dyDescent="0.3">
      <c r="A27323" s="20"/>
    </row>
    <row r="27324" spans="1:1" x14ac:dyDescent="0.3">
      <c r="A27324" s="20"/>
    </row>
    <row r="27325" spans="1:1" x14ac:dyDescent="0.3">
      <c r="A27325" s="20"/>
    </row>
    <row r="27326" spans="1:1" x14ac:dyDescent="0.3">
      <c r="A27326" s="20"/>
    </row>
    <row r="27327" spans="1:1" x14ac:dyDescent="0.3">
      <c r="A27327" s="20"/>
    </row>
    <row r="27328" spans="1:1" x14ac:dyDescent="0.3">
      <c r="A27328" s="20"/>
    </row>
    <row r="27329" spans="1:1" x14ac:dyDescent="0.3">
      <c r="A27329" s="20"/>
    </row>
    <row r="27330" spans="1:1" x14ac:dyDescent="0.3">
      <c r="A27330" s="20"/>
    </row>
    <row r="27331" spans="1:1" x14ac:dyDescent="0.3">
      <c r="A27331" s="20"/>
    </row>
    <row r="27332" spans="1:1" x14ac:dyDescent="0.3">
      <c r="A27332" s="20"/>
    </row>
    <row r="27333" spans="1:1" x14ac:dyDescent="0.3">
      <c r="A27333" s="20"/>
    </row>
    <row r="27334" spans="1:1" x14ac:dyDescent="0.3">
      <c r="A27334" s="20"/>
    </row>
    <row r="27335" spans="1:1" x14ac:dyDescent="0.3">
      <c r="A27335" s="20"/>
    </row>
    <row r="27336" spans="1:1" x14ac:dyDescent="0.3">
      <c r="A27336" s="20"/>
    </row>
    <row r="27337" spans="1:1" x14ac:dyDescent="0.3">
      <c r="A27337" s="20"/>
    </row>
    <row r="27338" spans="1:1" x14ac:dyDescent="0.3">
      <c r="A27338" s="20"/>
    </row>
    <row r="27339" spans="1:1" x14ac:dyDescent="0.3">
      <c r="A27339" s="20"/>
    </row>
    <row r="27340" spans="1:1" x14ac:dyDescent="0.3">
      <c r="A27340" s="20"/>
    </row>
    <row r="27341" spans="1:1" x14ac:dyDescent="0.3">
      <c r="A27341" s="20"/>
    </row>
    <row r="27342" spans="1:1" x14ac:dyDescent="0.3">
      <c r="A27342" s="20"/>
    </row>
    <row r="27343" spans="1:1" x14ac:dyDescent="0.3">
      <c r="A27343" s="20"/>
    </row>
    <row r="27344" spans="1:1" x14ac:dyDescent="0.3">
      <c r="A27344" s="20"/>
    </row>
    <row r="27345" spans="1:1" x14ac:dyDescent="0.3">
      <c r="A27345" s="20"/>
    </row>
    <row r="27346" spans="1:1" x14ac:dyDescent="0.3">
      <c r="A27346" s="20"/>
    </row>
    <row r="27347" spans="1:1" x14ac:dyDescent="0.3">
      <c r="A27347" s="20"/>
    </row>
    <row r="27348" spans="1:1" x14ac:dyDescent="0.3">
      <c r="A27348" s="20"/>
    </row>
    <row r="27349" spans="1:1" x14ac:dyDescent="0.3">
      <c r="A27349" s="20"/>
    </row>
    <row r="27350" spans="1:1" x14ac:dyDescent="0.3">
      <c r="A27350" s="20"/>
    </row>
    <row r="27351" spans="1:1" x14ac:dyDescent="0.3">
      <c r="A27351" s="20"/>
    </row>
    <row r="27352" spans="1:1" x14ac:dyDescent="0.3">
      <c r="A27352" s="20"/>
    </row>
    <row r="27353" spans="1:1" x14ac:dyDescent="0.3">
      <c r="A27353" s="20"/>
    </row>
    <row r="27354" spans="1:1" x14ac:dyDescent="0.3">
      <c r="A27354" s="20"/>
    </row>
    <row r="27355" spans="1:1" x14ac:dyDescent="0.3">
      <c r="A27355" s="20"/>
    </row>
    <row r="27356" spans="1:1" x14ac:dyDescent="0.3">
      <c r="A27356" s="20"/>
    </row>
    <row r="27357" spans="1:1" x14ac:dyDescent="0.3">
      <c r="A27357" s="20"/>
    </row>
    <row r="27358" spans="1:1" x14ac:dyDescent="0.3">
      <c r="A27358" s="20"/>
    </row>
    <row r="27359" spans="1:1" x14ac:dyDescent="0.3">
      <c r="A27359" s="20"/>
    </row>
    <row r="27360" spans="1:1" x14ac:dyDescent="0.3">
      <c r="A27360" s="20"/>
    </row>
    <row r="27361" spans="1:1" x14ac:dyDescent="0.3">
      <c r="A27361" s="20"/>
    </row>
    <row r="27362" spans="1:1" x14ac:dyDescent="0.3">
      <c r="A27362" s="20"/>
    </row>
    <row r="27363" spans="1:1" x14ac:dyDescent="0.3">
      <c r="A27363" s="20"/>
    </row>
    <row r="27364" spans="1:1" x14ac:dyDescent="0.3">
      <c r="A27364" s="20"/>
    </row>
    <row r="27365" spans="1:1" x14ac:dyDescent="0.3">
      <c r="A27365" s="20"/>
    </row>
    <row r="27366" spans="1:1" x14ac:dyDescent="0.3">
      <c r="A27366" s="20"/>
    </row>
    <row r="27367" spans="1:1" x14ac:dyDescent="0.3">
      <c r="A27367" s="20"/>
    </row>
    <row r="27368" spans="1:1" x14ac:dyDescent="0.3">
      <c r="A27368" s="20"/>
    </row>
    <row r="27369" spans="1:1" x14ac:dyDescent="0.3">
      <c r="A27369" s="20"/>
    </row>
    <row r="27370" spans="1:1" x14ac:dyDescent="0.3">
      <c r="A27370" s="20"/>
    </row>
    <row r="27371" spans="1:1" x14ac:dyDescent="0.3">
      <c r="A27371" s="20"/>
    </row>
    <row r="27372" spans="1:1" x14ac:dyDescent="0.3">
      <c r="A27372" s="20"/>
    </row>
    <row r="27373" spans="1:1" x14ac:dyDescent="0.3">
      <c r="A27373" s="20"/>
    </row>
    <row r="27374" spans="1:1" x14ac:dyDescent="0.3">
      <c r="A27374" s="20"/>
    </row>
    <row r="27375" spans="1:1" x14ac:dyDescent="0.3">
      <c r="A27375" s="20"/>
    </row>
    <row r="27376" spans="1:1" x14ac:dyDescent="0.3">
      <c r="A27376" s="20"/>
    </row>
    <row r="27377" spans="1:1" x14ac:dyDescent="0.3">
      <c r="A27377" s="20"/>
    </row>
    <row r="27378" spans="1:1" x14ac:dyDescent="0.3">
      <c r="A27378" s="20"/>
    </row>
    <row r="27379" spans="1:1" x14ac:dyDescent="0.3">
      <c r="A27379" s="20"/>
    </row>
    <row r="27380" spans="1:1" x14ac:dyDescent="0.3">
      <c r="A27380" s="20"/>
    </row>
    <row r="27381" spans="1:1" x14ac:dyDescent="0.3">
      <c r="A27381" s="20"/>
    </row>
    <row r="27382" spans="1:1" x14ac:dyDescent="0.3">
      <c r="A27382" s="20"/>
    </row>
    <row r="27383" spans="1:1" x14ac:dyDescent="0.3">
      <c r="A27383" s="20"/>
    </row>
    <row r="27384" spans="1:1" x14ac:dyDescent="0.3">
      <c r="A27384" s="20"/>
    </row>
    <row r="27385" spans="1:1" x14ac:dyDescent="0.3">
      <c r="A27385" s="20"/>
    </row>
    <row r="27386" spans="1:1" x14ac:dyDescent="0.3">
      <c r="A27386" s="20"/>
    </row>
    <row r="27387" spans="1:1" x14ac:dyDescent="0.3">
      <c r="A27387" s="20"/>
    </row>
    <row r="27388" spans="1:1" x14ac:dyDescent="0.3">
      <c r="A27388" s="20"/>
    </row>
    <row r="27389" spans="1:1" x14ac:dyDescent="0.3">
      <c r="A27389" s="20"/>
    </row>
    <row r="27390" spans="1:1" x14ac:dyDescent="0.3">
      <c r="A27390" s="20"/>
    </row>
    <row r="27391" spans="1:1" x14ac:dyDescent="0.3">
      <c r="A27391" s="20"/>
    </row>
    <row r="27392" spans="1:1" x14ac:dyDescent="0.3">
      <c r="A27392" s="20"/>
    </row>
    <row r="27393" spans="1:1" x14ac:dyDescent="0.3">
      <c r="A27393" s="20"/>
    </row>
    <row r="27394" spans="1:1" x14ac:dyDescent="0.3">
      <c r="A27394" s="20"/>
    </row>
    <row r="27395" spans="1:1" x14ac:dyDescent="0.3">
      <c r="A27395" s="20"/>
    </row>
    <row r="27396" spans="1:1" x14ac:dyDescent="0.3">
      <c r="A27396" s="20"/>
    </row>
    <row r="27397" spans="1:1" x14ac:dyDescent="0.3">
      <c r="A27397" s="20"/>
    </row>
    <row r="27398" spans="1:1" x14ac:dyDescent="0.3">
      <c r="A27398" s="20"/>
    </row>
    <row r="27399" spans="1:1" x14ac:dyDescent="0.3">
      <c r="A27399" s="20"/>
    </row>
    <row r="27400" spans="1:1" x14ac:dyDescent="0.3">
      <c r="A27400" s="20"/>
    </row>
    <row r="27401" spans="1:1" x14ac:dyDescent="0.3">
      <c r="A27401" s="20"/>
    </row>
    <row r="27402" spans="1:1" x14ac:dyDescent="0.3">
      <c r="A27402" s="20"/>
    </row>
    <row r="27403" spans="1:1" x14ac:dyDescent="0.3">
      <c r="A27403" s="20"/>
    </row>
    <row r="27404" spans="1:1" x14ac:dyDescent="0.3">
      <c r="A27404" s="20"/>
    </row>
    <row r="27405" spans="1:1" x14ac:dyDescent="0.3">
      <c r="A27405" s="20"/>
    </row>
    <row r="27406" spans="1:1" x14ac:dyDescent="0.3">
      <c r="A27406" s="20"/>
    </row>
    <row r="27407" spans="1:1" x14ac:dyDescent="0.3">
      <c r="A27407" s="20"/>
    </row>
    <row r="27408" spans="1:1" x14ac:dyDescent="0.3">
      <c r="A27408" s="20"/>
    </row>
    <row r="27409" spans="1:1" x14ac:dyDescent="0.3">
      <c r="A27409" s="20"/>
    </row>
    <row r="27410" spans="1:1" x14ac:dyDescent="0.3">
      <c r="A27410" s="20"/>
    </row>
    <row r="27411" spans="1:1" x14ac:dyDescent="0.3">
      <c r="A27411" s="20"/>
    </row>
    <row r="27412" spans="1:1" x14ac:dyDescent="0.3">
      <c r="A27412" s="20"/>
    </row>
    <row r="27413" spans="1:1" x14ac:dyDescent="0.3">
      <c r="A27413" s="20"/>
    </row>
    <row r="27414" spans="1:1" x14ac:dyDescent="0.3">
      <c r="A27414" s="20"/>
    </row>
    <row r="27415" spans="1:1" x14ac:dyDescent="0.3">
      <c r="A27415" s="20"/>
    </row>
    <row r="27416" spans="1:1" x14ac:dyDescent="0.3">
      <c r="A27416" s="20"/>
    </row>
    <row r="27417" spans="1:1" x14ac:dyDescent="0.3">
      <c r="A27417" s="20"/>
    </row>
    <row r="27418" spans="1:1" x14ac:dyDescent="0.3">
      <c r="A27418" s="20"/>
    </row>
    <row r="27419" spans="1:1" x14ac:dyDescent="0.3">
      <c r="A27419" s="20"/>
    </row>
    <row r="27420" spans="1:1" x14ac:dyDescent="0.3">
      <c r="A27420" s="20"/>
    </row>
    <row r="27421" spans="1:1" x14ac:dyDescent="0.3">
      <c r="A27421" s="20"/>
    </row>
    <row r="27422" spans="1:1" x14ac:dyDescent="0.3">
      <c r="A27422" s="20"/>
    </row>
    <row r="27423" spans="1:1" x14ac:dyDescent="0.3">
      <c r="A27423" s="20"/>
    </row>
    <row r="27424" spans="1:1" x14ac:dyDescent="0.3">
      <c r="A27424" s="20"/>
    </row>
    <row r="27425" spans="1:1" x14ac:dyDescent="0.3">
      <c r="A27425" s="20"/>
    </row>
    <row r="27426" spans="1:1" x14ac:dyDescent="0.3">
      <c r="A27426" s="20"/>
    </row>
    <row r="27427" spans="1:1" x14ac:dyDescent="0.3">
      <c r="A27427" s="20"/>
    </row>
    <row r="27428" spans="1:1" x14ac:dyDescent="0.3">
      <c r="A27428" s="20"/>
    </row>
    <row r="27429" spans="1:1" x14ac:dyDescent="0.3">
      <c r="A27429" s="20"/>
    </row>
    <row r="27430" spans="1:1" x14ac:dyDescent="0.3">
      <c r="A27430" s="20"/>
    </row>
    <row r="27431" spans="1:1" x14ac:dyDescent="0.3">
      <c r="A27431" s="20"/>
    </row>
    <row r="27432" spans="1:1" x14ac:dyDescent="0.3">
      <c r="A27432" s="20"/>
    </row>
    <row r="27433" spans="1:1" x14ac:dyDescent="0.3">
      <c r="A27433" s="20"/>
    </row>
    <row r="27434" spans="1:1" x14ac:dyDescent="0.3">
      <c r="A27434" s="20"/>
    </row>
    <row r="27435" spans="1:1" x14ac:dyDescent="0.3">
      <c r="A27435" s="20"/>
    </row>
    <row r="27436" spans="1:1" x14ac:dyDescent="0.3">
      <c r="A27436" s="20"/>
    </row>
    <row r="27437" spans="1:1" x14ac:dyDescent="0.3">
      <c r="A27437" s="20"/>
    </row>
    <row r="27438" spans="1:1" x14ac:dyDescent="0.3">
      <c r="A27438" s="20"/>
    </row>
    <row r="27439" spans="1:1" x14ac:dyDescent="0.3">
      <c r="A27439" s="20"/>
    </row>
    <row r="27440" spans="1:1" x14ac:dyDescent="0.3">
      <c r="A27440" s="20"/>
    </row>
    <row r="27441" spans="1:1" x14ac:dyDescent="0.3">
      <c r="A27441" s="20"/>
    </row>
    <row r="27442" spans="1:1" x14ac:dyDescent="0.3">
      <c r="A27442" s="20"/>
    </row>
    <row r="27443" spans="1:1" x14ac:dyDescent="0.3">
      <c r="A27443" s="20"/>
    </row>
    <row r="27444" spans="1:1" x14ac:dyDescent="0.3">
      <c r="A27444" s="20"/>
    </row>
    <row r="27445" spans="1:1" x14ac:dyDescent="0.3">
      <c r="A27445" s="20"/>
    </row>
    <row r="27446" spans="1:1" x14ac:dyDescent="0.3">
      <c r="A27446" s="20"/>
    </row>
    <row r="27447" spans="1:1" x14ac:dyDescent="0.3">
      <c r="A27447" s="20"/>
    </row>
    <row r="27448" spans="1:1" x14ac:dyDescent="0.3">
      <c r="A27448" s="20"/>
    </row>
    <row r="27449" spans="1:1" x14ac:dyDescent="0.3">
      <c r="A27449" s="20"/>
    </row>
    <row r="27450" spans="1:1" x14ac:dyDescent="0.3">
      <c r="A27450" s="20"/>
    </row>
    <row r="27451" spans="1:1" x14ac:dyDescent="0.3">
      <c r="A27451" s="20"/>
    </row>
    <row r="27452" spans="1:1" x14ac:dyDescent="0.3">
      <c r="A27452" s="20"/>
    </row>
    <row r="27453" spans="1:1" x14ac:dyDescent="0.3">
      <c r="A27453" s="20"/>
    </row>
    <row r="27454" spans="1:1" x14ac:dyDescent="0.3">
      <c r="A27454" s="20"/>
    </row>
    <row r="27455" spans="1:1" x14ac:dyDescent="0.3">
      <c r="A27455" s="20"/>
    </row>
    <row r="27456" spans="1:1" x14ac:dyDescent="0.3">
      <c r="A27456" s="20"/>
    </row>
    <row r="27457" spans="1:1" x14ac:dyDescent="0.3">
      <c r="A27457" s="20"/>
    </row>
    <row r="27458" spans="1:1" x14ac:dyDescent="0.3">
      <c r="A27458" s="20"/>
    </row>
    <row r="27459" spans="1:1" x14ac:dyDescent="0.3">
      <c r="A27459" s="20"/>
    </row>
    <row r="27460" spans="1:1" x14ac:dyDescent="0.3">
      <c r="A27460" s="20"/>
    </row>
    <row r="27461" spans="1:1" x14ac:dyDescent="0.3">
      <c r="A27461" s="20"/>
    </row>
    <row r="27462" spans="1:1" x14ac:dyDescent="0.3">
      <c r="A27462" s="20"/>
    </row>
    <row r="27463" spans="1:1" x14ac:dyDescent="0.3">
      <c r="A27463" s="20"/>
    </row>
    <row r="27464" spans="1:1" x14ac:dyDescent="0.3">
      <c r="A27464" s="20"/>
    </row>
    <row r="27465" spans="1:1" x14ac:dyDescent="0.3">
      <c r="A27465" s="20"/>
    </row>
    <row r="27466" spans="1:1" x14ac:dyDescent="0.3">
      <c r="A27466" s="20"/>
    </row>
    <row r="27467" spans="1:1" x14ac:dyDescent="0.3">
      <c r="A27467" s="20"/>
    </row>
    <row r="27468" spans="1:1" x14ac:dyDescent="0.3">
      <c r="A27468" s="20"/>
    </row>
    <row r="27469" spans="1:1" x14ac:dyDescent="0.3">
      <c r="A27469" s="20"/>
    </row>
    <row r="27470" spans="1:1" x14ac:dyDescent="0.3">
      <c r="A27470" s="20"/>
    </row>
    <row r="27471" spans="1:1" x14ac:dyDescent="0.3">
      <c r="A27471" s="20"/>
    </row>
    <row r="27472" spans="1:1" x14ac:dyDescent="0.3">
      <c r="A27472" s="20"/>
    </row>
    <row r="27473" spans="1:1" x14ac:dyDescent="0.3">
      <c r="A27473" s="20"/>
    </row>
    <row r="27474" spans="1:1" x14ac:dyDescent="0.3">
      <c r="A27474" s="20"/>
    </row>
    <row r="27475" spans="1:1" x14ac:dyDescent="0.3">
      <c r="A27475" s="20"/>
    </row>
    <row r="27476" spans="1:1" x14ac:dyDescent="0.3">
      <c r="A27476" s="20"/>
    </row>
    <row r="27477" spans="1:1" x14ac:dyDescent="0.3">
      <c r="A27477" s="20"/>
    </row>
    <row r="27478" spans="1:1" x14ac:dyDescent="0.3">
      <c r="A27478" s="20"/>
    </row>
    <row r="27479" spans="1:1" x14ac:dyDescent="0.3">
      <c r="A27479" s="20"/>
    </row>
    <row r="27480" spans="1:1" x14ac:dyDescent="0.3">
      <c r="A27480" s="20"/>
    </row>
    <row r="27481" spans="1:1" x14ac:dyDescent="0.3">
      <c r="A27481" s="20"/>
    </row>
    <row r="27482" spans="1:1" x14ac:dyDescent="0.3">
      <c r="A27482" s="20"/>
    </row>
    <row r="27483" spans="1:1" x14ac:dyDescent="0.3">
      <c r="A27483" s="20"/>
    </row>
    <row r="27484" spans="1:1" x14ac:dyDescent="0.3">
      <c r="A27484" s="20"/>
    </row>
    <row r="27485" spans="1:1" x14ac:dyDescent="0.3">
      <c r="A27485" s="20"/>
    </row>
    <row r="27486" spans="1:1" x14ac:dyDescent="0.3">
      <c r="A27486" s="20"/>
    </row>
    <row r="27487" spans="1:1" x14ac:dyDescent="0.3">
      <c r="A27487" s="20"/>
    </row>
    <row r="27488" spans="1:1" x14ac:dyDescent="0.3">
      <c r="A27488" s="20"/>
    </row>
    <row r="27489" spans="1:1" x14ac:dyDescent="0.3">
      <c r="A27489" s="20"/>
    </row>
    <row r="27490" spans="1:1" x14ac:dyDescent="0.3">
      <c r="A27490" s="20"/>
    </row>
    <row r="27491" spans="1:1" x14ac:dyDescent="0.3">
      <c r="A27491" s="20"/>
    </row>
    <row r="27492" spans="1:1" x14ac:dyDescent="0.3">
      <c r="A27492" s="20"/>
    </row>
    <row r="27493" spans="1:1" x14ac:dyDescent="0.3">
      <c r="A27493" s="20"/>
    </row>
    <row r="27494" spans="1:1" x14ac:dyDescent="0.3">
      <c r="A27494" s="20"/>
    </row>
    <row r="27495" spans="1:1" x14ac:dyDescent="0.3">
      <c r="A27495" s="20"/>
    </row>
    <row r="27496" spans="1:1" x14ac:dyDescent="0.3">
      <c r="A27496" s="20"/>
    </row>
    <row r="27497" spans="1:1" x14ac:dyDescent="0.3">
      <c r="A27497" s="20"/>
    </row>
    <row r="27498" spans="1:1" x14ac:dyDescent="0.3">
      <c r="A27498" s="20"/>
    </row>
    <row r="27499" spans="1:1" x14ac:dyDescent="0.3">
      <c r="A27499" s="20"/>
    </row>
    <row r="27500" spans="1:1" x14ac:dyDescent="0.3">
      <c r="A27500" s="20"/>
    </row>
    <row r="27501" spans="1:1" x14ac:dyDescent="0.3">
      <c r="A27501" s="20"/>
    </row>
    <row r="27502" spans="1:1" x14ac:dyDescent="0.3">
      <c r="A27502" s="20"/>
    </row>
    <row r="27503" spans="1:1" x14ac:dyDescent="0.3">
      <c r="A27503" s="20"/>
    </row>
    <row r="27504" spans="1:1" x14ac:dyDescent="0.3">
      <c r="A27504" s="20"/>
    </row>
    <row r="27505" spans="1:1" x14ac:dyDescent="0.3">
      <c r="A27505" s="20"/>
    </row>
    <row r="27506" spans="1:1" x14ac:dyDescent="0.3">
      <c r="A27506" s="20"/>
    </row>
    <row r="27507" spans="1:1" x14ac:dyDescent="0.3">
      <c r="A27507" s="20"/>
    </row>
    <row r="27508" spans="1:1" x14ac:dyDescent="0.3">
      <c r="A27508" s="20"/>
    </row>
    <row r="27509" spans="1:1" x14ac:dyDescent="0.3">
      <c r="A27509" s="20"/>
    </row>
    <row r="27510" spans="1:1" x14ac:dyDescent="0.3">
      <c r="A27510" s="20"/>
    </row>
    <row r="27511" spans="1:1" x14ac:dyDescent="0.3">
      <c r="A27511" s="20"/>
    </row>
    <row r="27512" spans="1:1" x14ac:dyDescent="0.3">
      <c r="A27512" s="20"/>
    </row>
    <row r="27513" spans="1:1" x14ac:dyDescent="0.3">
      <c r="A27513" s="20"/>
    </row>
    <row r="27514" spans="1:1" x14ac:dyDescent="0.3">
      <c r="A27514" s="20"/>
    </row>
    <row r="27515" spans="1:1" x14ac:dyDescent="0.3">
      <c r="A27515" s="20"/>
    </row>
    <row r="27516" spans="1:1" x14ac:dyDescent="0.3">
      <c r="A27516" s="20"/>
    </row>
    <row r="27517" spans="1:1" x14ac:dyDescent="0.3">
      <c r="A27517" s="20"/>
    </row>
    <row r="27518" spans="1:1" x14ac:dyDescent="0.3">
      <c r="A27518" s="20"/>
    </row>
    <row r="27519" spans="1:1" x14ac:dyDescent="0.3">
      <c r="A27519" s="20"/>
    </row>
    <row r="27520" spans="1:1" x14ac:dyDescent="0.3">
      <c r="A27520" s="20"/>
    </row>
    <row r="27521" spans="1:1" x14ac:dyDescent="0.3">
      <c r="A27521" s="20"/>
    </row>
    <row r="27522" spans="1:1" x14ac:dyDescent="0.3">
      <c r="A27522" s="20"/>
    </row>
    <row r="27523" spans="1:1" x14ac:dyDescent="0.3">
      <c r="A27523" s="20"/>
    </row>
    <row r="27524" spans="1:1" x14ac:dyDescent="0.3">
      <c r="A27524" s="20"/>
    </row>
    <row r="27525" spans="1:1" x14ac:dyDescent="0.3">
      <c r="A27525" s="20"/>
    </row>
    <row r="27526" spans="1:1" x14ac:dyDescent="0.3">
      <c r="A27526" s="20"/>
    </row>
    <row r="27527" spans="1:1" x14ac:dyDescent="0.3">
      <c r="A27527" s="20"/>
    </row>
    <row r="27528" spans="1:1" x14ac:dyDescent="0.3">
      <c r="A27528" s="20"/>
    </row>
    <row r="27529" spans="1:1" x14ac:dyDescent="0.3">
      <c r="A27529" s="20"/>
    </row>
    <row r="27530" spans="1:1" x14ac:dyDescent="0.3">
      <c r="A27530" s="20"/>
    </row>
    <row r="27531" spans="1:1" x14ac:dyDescent="0.3">
      <c r="A27531" s="20"/>
    </row>
    <row r="27532" spans="1:1" x14ac:dyDescent="0.3">
      <c r="A27532" s="20"/>
    </row>
    <row r="27533" spans="1:1" x14ac:dyDescent="0.3">
      <c r="A27533" s="20"/>
    </row>
    <row r="27534" spans="1:1" x14ac:dyDescent="0.3">
      <c r="A27534" s="20"/>
    </row>
    <row r="27535" spans="1:1" x14ac:dyDescent="0.3">
      <c r="A27535" s="20"/>
    </row>
    <row r="27536" spans="1:1" x14ac:dyDescent="0.3">
      <c r="A27536" s="20"/>
    </row>
    <row r="27537" spans="1:1" x14ac:dyDescent="0.3">
      <c r="A27537" s="20"/>
    </row>
    <row r="27538" spans="1:1" x14ac:dyDescent="0.3">
      <c r="A27538" s="20"/>
    </row>
    <row r="27539" spans="1:1" x14ac:dyDescent="0.3">
      <c r="A27539" s="20"/>
    </row>
    <row r="27540" spans="1:1" x14ac:dyDescent="0.3">
      <c r="A27540" s="20"/>
    </row>
    <row r="27541" spans="1:1" x14ac:dyDescent="0.3">
      <c r="A27541" s="20"/>
    </row>
    <row r="27542" spans="1:1" x14ac:dyDescent="0.3">
      <c r="A27542" s="20"/>
    </row>
    <row r="27543" spans="1:1" x14ac:dyDescent="0.3">
      <c r="A27543" s="20"/>
    </row>
    <row r="27544" spans="1:1" x14ac:dyDescent="0.3">
      <c r="A27544" s="20"/>
    </row>
    <row r="27545" spans="1:1" x14ac:dyDescent="0.3">
      <c r="A27545" s="20"/>
    </row>
    <row r="27546" spans="1:1" x14ac:dyDescent="0.3">
      <c r="A27546" s="20"/>
    </row>
    <row r="27547" spans="1:1" x14ac:dyDescent="0.3">
      <c r="A27547" s="20"/>
    </row>
    <row r="27548" spans="1:1" x14ac:dyDescent="0.3">
      <c r="A27548" s="20"/>
    </row>
    <row r="27549" spans="1:1" x14ac:dyDescent="0.3">
      <c r="A27549" s="20"/>
    </row>
    <row r="27550" spans="1:1" x14ac:dyDescent="0.3">
      <c r="A27550" s="20"/>
    </row>
    <row r="27551" spans="1:1" x14ac:dyDescent="0.3">
      <c r="A27551" s="20"/>
    </row>
    <row r="27552" spans="1:1" x14ac:dyDescent="0.3">
      <c r="A27552" s="20"/>
    </row>
    <row r="27553" spans="1:1" x14ac:dyDescent="0.3">
      <c r="A27553" s="20"/>
    </row>
    <row r="27554" spans="1:1" x14ac:dyDescent="0.3">
      <c r="A27554" s="20"/>
    </row>
    <row r="27555" spans="1:1" x14ac:dyDescent="0.3">
      <c r="A27555" s="20"/>
    </row>
    <row r="27556" spans="1:1" x14ac:dyDescent="0.3">
      <c r="A27556" s="20"/>
    </row>
    <row r="27557" spans="1:1" x14ac:dyDescent="0.3">
      <c r="A27557" s="20"/>
    </row>
    <row r="27558" spans="1:1" x14ac:dyDescent="0.3">
      <c r="A27558" s="20"/>
    </row>
    <row r="27559" spans="1:1" x14ac:dyDescent="0.3">
      <c r="A27559" s="20"/>
    </row>
    <row r="27560" spans="1:1" x14ac:dyDescent="0.3">
      <c r="A27560" s="20"/>
    </row>
    <row r="27561" spans="1:1" x14ac:dyDescent="0.3">
      <c r="A27561" s="20"/>
    </row>
    <row r="27562" spans="1:1" x14ac:dyDescent="0.3">
      <c r="A27562" s="20"/>
    </row>
    <row r="27563" spans="1:1" x14ac:dyDescent="0.3">
      <c r="A27563" s="20"/>
    </row>
    <row r="27564" spans="1:1" x14ac:dyDescent="0.3">
      <c r="A27564" s="20"/>
    </row>
    <row r="27565" spans="1:1" x14ac:dyDescent="0.3">
      <c r="A27565" s="20"/>
    </row>
    <row r="27566" spans="1:1" x14ac:dyDescent="0.3">
      <c r="A27566" s="20"/>
    </row>
    <row r="27567" spans="1:1" x14ac:dyDescent="0.3">
      <c r="A27567" s="20"/>
    </row>
    <row r="27568" spans="1:1" x14ac:dyDescent="0.3">
      <c r="A27568" s="20"/>
    </row>
    <row r="27569" spans="1:1" x14ac:dyDescent="0.3">
      <c r="A27569" s="20"/>
    </row>
    <row r="27570" spans="1:1" x14ac:dyDescent="0.3">
      <c r="A27570" s="20"/>
    </row>
    <row r="27571" spans="1:1" x14ac:dyDescent="0.3">
      <c r="A27571" s="20"/>
    </row>
    <row r="27572" spans="1:1" x14ac:dyDescent="0.3">
      <c r="A27572" s="20"/>
    </row>
    <row r="27573" spans="1:1" x14ac:dyDescent="0.3">
      <c r="A27573" s="20"/>
    </row>
    <row r="27574" spans="1:1" x14ac:dyDescent="0.3">
      <c r="A27574" s="20"/>
    </row>
    <row r="27575" spans="1:1" x14ac:dyDescent="0.3">
      <c r="A27575" s="20"/>
    </row>
    <row r="27576" spans="1:1" x14ac:dyDescent="0.3">
      <c r="A27576" s="20"/>
    </row>
    <row r="27577" spans="1:1" x14ac:dyDescent="0.3">
      <c r="A27577" s="20"/>
    </row>
    <row r="27578" spans="1:1" x14ac:dyDescent="0.3">
      <c r="A27578" s="20"/>
    </row>
    <row r="27579" spans="1:1" x14ac:dyDescent="0.3">
      <c r="A27579" s="20"/>
    </row>
    <row r="27580" spans="1:1" x14ac:dyDescent="0.3">
      <c r="A27580" s="20"/>
    </row>
    <row r="27581" spans="1:1" x14ac:dyDescent="0.3">
      <c r="A27581" s="20"/>
    </row>
    <row r="27582" spans="1:1" x14ac:dyDescent="0.3">
      <c r="A27582" s="20"/>
    </row>
    <row r="27583" spans="1:1" x14ac:dyDescent="0.3">
      <c r="A27583" s="20"/>
    </row>
    <row r="27584" spans="1:1" x14ac:dyDescent="0.3">
      <c r="A27584" s="20"/>
    </row>
    <row r="27585" spans="1:1" x14ac:dyDescent="0.3">
      <c r="A27585" s="20"/>
    </row>
    <row r="27586" spans="1:1" x14ac:dyDescent="0.3">
      <c r="A27586" s="20"/>
    </row>
    <row r="27587" spans="1:1" x14ac:dyDescent="0.3">
      <c r="A27587" s="20"/>
    </row>
    <row r="27588" spans="1:1" x14ac:dyDescent="0.3">
      <c r="A27588" s="20"/>
    </row>
    <row r="27589" spans="1:1" x14ac:dyDescent="0.3">
      <c r="A27589" s="20"/>
    </row>
    <row r="27590" spans="1:1" x14ac:dyDescent="0.3">
      <c r="A27590" s="20"/>
    </row>
    <row r="27591" spans="1:1" x14ac:dyDescent="0.3">
      <c r="A27591" s="20"/>
    </row>
    <row r="27592" spans="1:1" x14ac:dyDescent="0.3">
      <c r="A27592" s="20"/>
    </row>
    <row r="27593" spans="1:1" x14ac:dyDescent="0.3">
      <c r="A27593" s="20"/>
    </row>
    <row r="27594" spans="1:1" x14ac:dyDescent="0.3">
      <c r="A27594" s="20"/>
    </row>
    <row r="27595" spans="1:1" x14ac:dyDescent="0.3">
      <c r="A27595" s="20"/>
    </row>
    <row r="27596" spans="1:1" x14ac:dyDescent="0.3">
      <c r="A27596" s="20"/>
    </row>
    <row r="27597" spans="1:1" x14ac:dyDescent="0.3">
      <c r="A27597" s="20"/>
    </row>
    <row r="27598" spans="1:1" x14ac:dyDescent="0.3">
      <c r="A27598" s="20"/>
    </row>
    <row r="27599" spans="1:1" x14ac:dyDescent="0.3">
      <c r="A27599" s="20"/>
    </row>
    <row r="27600" spans="1:1" x14ac:dyDescent="0.3">
      <c r="A27600" s="20"/>
    </row>
    <row r="27601" spans="1:1" x14ac:dyDescent="0.3">
      <c r="A27601" s="20"/>
    </row>
    <row r="27602" spans="1:1" x14ac:dyDescent="0.3">
      <c r="A27602" s="20"/>
    </row>
    <row r="27603" spans="1:1" x14ac:dyDescent="0.3">
      <c r="A27603" s="20"/>
    </row>
    <row r="27604" spans="1:1" x14ac:dyDescent="0.3">
      <c r="A27604" s="20"/>
    </row>
    <row r="27605" spans="1:1" x14ac:dyDescent="0.3">
      <c r="A27605" s="20"/>
    </row>
    <row r="27606" spans="1:1" x14ac:dyDescent="0.3">
      <c r="A27606" s="20"/>
    </row>
    <row r="27607" spans="1:1" x14ac:dyDescent="0.3">
      <c r="A27607" s="20"/>
    </row>
    <row r="27608" spans="1:1" x14ac:dyDescent="0.3">
      <c r="A27608" s="20"/>
    </row>
    <row r="27609" spans="1:1" x14ac:dyDescent="0.3">
      <c r="A27609" s="20"/>
    </row>
    <row r="27610" spans="1:1" x14ac:dyDescent="0.3">
      <c r="A27610" s="20"/>
    </row>
    <row r="27611" spans="1:1" x14ac:dyDescent="0.3">
      <c r="A27611" s="20"/>
    </row>
    <row r="27612" spans="1:1" x14ac:dyDescent="0.3">
      <c r="A27612" s="20"/>
    </row>
    <row r="27613" spans="1:1" x14ac:dyDescent="0.3">
      <c r="A27613" s="20"/>
    </row>
    <row r="27614" spans="1:1" x14ac:dyDescent="0.3">
      <c r="A27614" s="20"/>
    </row>
    <row r="27615" spans="1:1" x14ac:dyDescent="0.3">
      <c r="A27615" s="20"/>
    </row>
    <row r="27616" spans="1:1" x14ac:dyDescent="0.3">
      <c r="A27616" s="20"/>
    </row>
    <row r="27617" spans="1:1" x14ac:dyDescent="0.3">
      <c r="A27617" s="20"/>
    </row>
    <row r="27618" spans="1:1" x14ac:dyDescent="0.3">
      <c r="A27618" s="20"/>
    </row>
    <row r="27619" spans="1:1" x14ac:dyDescent="0.3">
      <c r="A27619" s="20"/>
    </row>
    <row r="27620" spans="1:1" x14ac:dyDescent="0.3">
      <c r="A27620" s="20"/>
    </row>
    <row r="27621" spans="1:1" x14ac:dyDescent="0.3">
      <c r="A27621" s="20"/>
    </row>
    <row r="27622" spans="1:1" x14ac:dyDescent="0.3">
      <c r="A27622" s="20"/>
    </row>
    <row r="27623" spans="1:1" x14ac:dyDescent="0.3">
      <c r="A27623" s="20"/>
    </row>
    <row r="27624" spans="1:1" x14ac:dyDescent="0.3">
      <c r="A27624" s="20"/>
    </row>
    <row r="27625" spans="1:1" x14ac:dyDescent="0.3">
      <c r="A27625" s="20"/>
    </row>
    <row r="27626" spans="1:1" x14ac:dyDescent="0.3">
      <c r="A27626" s="20"/>
    </row>
    <row r="27627" spans="1:1" x14ac:dyDescent="0.3">
      <c r="A27627" s="20"/>
    </row>
    <row r="27628" spans="1:1" x14ac:dyDescent="0.3">
      <c r="A27628" s="20"/>
    </row>
    <row r="27629" spans="1:1" x14ac:dyDescent="0.3">
      <c r="A27629" s="20"/>
    </row>
    <row r="27630" spans="1:1" x14ac:dyDescent="0.3">
      <c r="A27630" s="20"/>
    </row>
    <row r="27631" spans="1:1" x14ac:dyDescent="0.3">
      <c r="A27631" s="20"/>
    </row>
    <row r="27632" spans="1:1" x14ac:dyDescent="0.3">
      <c r="A27632" s="20"/>
    </row>
    <row r="27633" spans="1:1" x14ac:dyDescent="0.3">
      <c r="A27633" s="20"/>
    </row>
    <row r="27634" spans="1:1" x14ac:dyDescent="0.3">
      <c r="A27634" s="20"/>
    </row>
    <row r="27635" spans="1:1" x14ac:dyDescent="0.3">
      <c r="A27635" s="20"/>
    </row>
    <row r="27636" spans="1:1" x14ac:dyDescent="0.3">
      <c r="A27636" s="20"/>
    </row>
    <row r="27637" spans="1:1" x14ac:dyDescent="0.3">
      <c r="A27637" s="20"/>
    </row>
    <row r="27638" spans="1:1" x14ac:dyDescent="0.3">
      <c r="A27638" s="20"/>
    </row>
    <row r="27639" spans="1:1" x14ac:dyDescent="0.3">
      <c r="A27639" s="20"/>
    </row>
    <row r="27640" spans="1:1" x14ac:dyDescent="0.3">
      <c r="A27640" s="20"/>
    </row>
    <row r="27641" spans="1:1" x14ac:dyDescent="0.3">
      <c r="A27641" s="20"/>
    </row>
    <row r="27642" spans="1:1" x14ac:dyDescent="0.3">
      <c r="A27642" s="20"/>
    </row>
    <row r="27643" spans="1:1" x14ac:dyDescent="0.3">
      <c r="A27643" s="20"/>
    </row>
    <row r="27644" spans="1:1" x14ac:dyDescent="0.3">
      <c r="A27644" s="20"/>
    </row>
    <row r="27645" spans="1:1" x14ac:dyDescent="0.3">
      <c r="A27645" s="20"/>
    </row>
    <row r="27646" spans="1:1" x14ac:dyDescent="0.3">
      <c r="A27646" s="20"/>
    </row>
    <row r="27647" spans="1:1" x14ac:dyDescent="0.3">
      <c r="A27647" s="20"/>
    </row>
    <row r="27648" spans="1:1" x14ac:dyDescent="0.3">
      <c r="A27648" s="20"/>
    </row>
    <row r="27649" spans="1:1" x14ac:dyDescent="0.3">
      <c r="A27649" s="20"/>
    </row>
    <row r="27650" spans="1:1" x14ac:dyDescent="0.3">
      <c r="A27650" s="20"/>
    </row>
    <row r="27651" spans="1:1" x14ac:dyDescent="0.3">
      <c r="A27651" s="20"/>
    </row>
    <row r="27652" spans="1:1" x14ac:dyDescent="0.3">
      <c r="A27652" s="20"/>
    </row>
    <row r="27653" spans="1:1" x14ac:dyDescent="0.3">
      <c r="A27653" s="20"/>
    </row>
    <row r="27654" spans="1:1" x14ac:dyDescent="0.3">
      <c r="A27654" s="20"/>
    </row>
    <row r="27655" spans="1:1" x14ac:dyDescent="0.3">
      <c r="A27655" s="20"/>
    </row>
    <row r="27656" spans="1:1" x14ac:dyDescent="0.3">
      <c r="A27656" s="20"/>
    </row>
    <row r="27657" spans="1:1" x14ac:dyDescent="0.3">
      <c r="A27657" s="20"/>
    </row>
    <row r="27658" spans="1:1" x14ac:dyDescent="0.3">
      <c r="A27658" s="20"/>
    </row>
    <row r="27659" spans="1:1" x14ac:dyDescent="0.3">
      <c r="A27659" s="20"/>
    </row>
    <row r="27660" spans="1:1" x14ac:dyDescent="0.3">
      <c r="A27660" s="20"/>
    </row>
    <row r="27661" spans="1:1" x14ac:dyDescent="0.3">
      <c r="A27661" s="20"/>
    </row>
    <row r="27662" spans="1:1" x14ac:dyDescent="0.3">
      <c r="A27662" s="20"/>
    </row>
    <row r="27663" spans="1:1" x14ac:dyDescent="0.3">
      <c r="A27663" s="20"/>
    </row>
    <row r="27664" spans="1:1" x14ac:dyDescent="0.3">
      <c r="A27664" s="20"/>
    </row>
    <row r="27665" spans="1:1" x14ac:dyDescent="0.3">
      <c r="A27665" s="20"/>
    </row>
    <row r="27666" spans="1:1" x14ac:dyDescent="0.3">
      <c r="A27666" s="20"/>
    </row>
    <row r="27667" spans="1:1" x14ac:dyDescent="0.3">
      <c r="A27667" s="20"/>
    </row>
    <row r="27668" spans="1:1" x14ac:dyDescent="0.3">
      <c r="A27668" s="20"/>
    </row>
    <row r="27669" spans="1:1" x14ac:dyDescent="0.3">
      <c r="A27669" s="20"/>
    </row>
    <row r="27670" spans="1:1" x14ac:dyDescent="0.3">
      <c r="A27670" s="20"/>
    </row>
    <row r="27671" spans="1:1" x14ac:dyDescent="0.3">
      <c r="A27671" s="20"/>
    </row>
    <row r="27672" spans="1:1" x14ac:dyDescent="0.3">
      <c r="A27672" s="20"/>
    </row>
    <row r="27673" spans="1:1" x14ac:dyDescent="0.3">
      <c r="A27673" s="20"/>
    </row>
    <row r="27674" spans="1:1" x14ac:dyDescent="0.3">
      <c r="A27674" s="20"/>
    </row>
    <row r="27675" spans="1:1" x14ac:dyDescent="0.3">
      <c r="A27675" s="20"/>
    </row>
    <row r="27676" spans="1:1" x14ac:dyDescent="0.3">
      <c r="A27676" s="20"/>
    </row>
    <row r="27677" spans="1:1" x14ac:dyDescent="0.3">
      <c r="A27677" s="20"/>
    </row>
    <row r="27678" spans="1:1" x14ac:dyDescent="0.3">
      <c r="A27678" s="20"/>
    </row>
    <row r="27679" spans="1:1" x14ac:dyDescent="0.3">
      <c r="A27679" s="20"/>
    </row>
    <row r="27680" spans="1:1" x14ac:dyDescent="0.3">
      <c r="A27680" s="20"/>
    </row>
    <row r="27681" spans="1:1" x14ac:dyDescent="0.3">
      <c r="A27681" s="20"/>
    </row>
    <row r="27682" spans="1:1" x14ac:dyDescent="0.3">
      <c r="A27682" s="20"/>
    </row>
    <row r="27683" spans="1:1" x14ac:dyDescent="0.3">
      <c r="A27683" s="20"/>
    </row>
    <row r="27684" spans="1:1" x14ac:dyDescent="0.3">
      <c r="A27684" s="20"/>
    </row>
    <row r="27685" spans="1:1" x14ac:dyDescent="0.3">
      <c r="A27685" s="20"/>
    </row>
    <row r="27686" spans="1:1" x14ac:dyDescent="0.3">
      <c r="A27686" s="20"/>
    </row>
    <row r="27687" spans="1:1" x14ac:dyDescent="0.3">
      <c r="A27687" s="20"/>
    </row>
    <row r="27688" spans="1:1" x14ac:dyDescent="0.3">
      <c r="A27688" s="20"/>
    </row>
    <row r="27689" spans="1:1" x14ac:dyDescent="0.3">
      <c r="A27689" s="20"/>
    </row>
    <row r="27690" spans="1:1" x14ac:dyDescent="0.3">
      <c r="A27690" s="20"/>
    </row>
    <row r="27691" spans="1:1" x14ac:dyDescent="0.3">
      <c r="A27691" s="20"/>
    </row>
    <row r="27692" spans="1:1" x14ac:dyDescent="0.3">
      <c r="A27692" s="20"/>
    </row>
    <row r="27693" spans="1:1" x14ac:dyDescent="0.3">
      <c r="A27693" s="20"/>
    </row>
    <row r="27694" spans="1:1" x14ac:dyDescent="0.3">
      <c r="A27694" s="20"/>
    </row>
    <row r="27695" spans="1:1" x14ac:dyDescent="0.3">
      <c r="A27695" s="20"/>
    </row>
    <row r="27696" spans="1:1" x14ac:dyDescent="0.3">
      <c r="A27696" s="20"/>
    </row>
    <row r="27697" spans="1:1" x14ac:dyDescent="0.3">
      <c r="A27697" s="20"/>
    </row>
    <row r="27698" spans="1:1" x14ac:dyDescent="0.3">
      <c r="A27698" s="20"/>
    </row>
    <row r="27699" spans="1:1" x14ac:dyDescent="0.3">
      <c r="A27699" s="20"/>
    </row>
    <row r="27700" spans="1:1" x14ac:dyDescent="0.3">
      <c r="A27700" s="20"/>
    </row>
    <row r="27701" spans="1:1" x14ac:dyDescent="0.3">
      <c r="A27701" s="20"/>
    </row>
    <row r="27702" spans="1:1" x14ac:dyDescent="0.3">
      <c r="A27702" s="20"/>
    </row>
    <row r="27703" spans="1:1" x14ac:dyDescent="0.3">
      <c r="A27703" s="20"/>
    </row>
    <row r="27704" spans="1:1" x14ac:dyDescent="0.3">
      <c r="A27704" s="20"/>
    </row>
    <row r="27705" spans="1:1" x14ac:dyDescent="0.3">
      <c r="A27705" s="20"/>
    </row>
    <row r="27706" spans="1:1" x14ac:dyDescent="0.3">
      <c r="A27706" s="20"/>
    </row>
    <row r="27707" spans="1:1" x14ac:dyDescent="0.3">
      <c r="A27707" s="20"/>
    </row>
    <row r="27708" spans="1:1" x14ac:dyDescent="0.3">
      <c r="A27708" s="20"/>
    </row>
    <row r="27709" spans="1:1" x14ac:dyDescent="0.3">
      <c r="A27709" s="20"/>
    </row>
    <row r="27710" spans="1:1" x14ac:dyDescent="0.3">
      <c r="A27710" s="20"/>
    </row>
    <row r="27711" spans="1:1" x14ac:dyDescent="0.3">
      <c r="A27711" s="20"/>
    </row>
    <row r="27712" spans="1:1" x14ac:dyDescent="0.3">
      <c r="A27712" s="20"/>
    </row>
    <row r="27713" spans="1:1" x14ac:dyDescent="0.3">
      <c r="A27713" s="20"/>
    </row>
    <row r="27714" spans="1:1" x14ac:dyDescent="0.3">
      <c r="A27714" s="20"/>
    </row>
    <row r="27715" spans="1:1" x14ac:dyDescent="0.3">
      <c r="A27715" s="20"/>
    </row>
    <row r="27716" spans="1:1" x14ac:dyDescent="0.3">
      <c r="A27716" s="20"/>
    </row>
    <row r="27717" spans="1:1" x14ac:dyDescent="0.3">
      <c r="A27717" s="20"/>
    </row>
    <row r="27718" spans="1:1" x14ac:dyDescent="0.3">
      <c r="A27718" s="20"/>
    </row>
    <row r="27719" spans="1:1" x14ac:dyDescent="0.3">
      <c r="A27719" s="20"/>
    </row>
    <row r="27720" spans="1:1" x14ac:dyDescent="0.3">
      <c r="A27720" s="20"/>
    </row>
    <row r="27721" spans="1:1" x14ac:dyDescent="0.3">
      <c r="A27721" s="20"/>
    </row>
    <row r="27722" spans="1:1" x14ac:dyDescent="0.3">
      <c r="A27722" s="20"/>
    </row>
    <row r="27723" spans="1:1" x14ac:dyDescent="0.3">
      <c r="A27723" s="20"/>
    </row>
    <row r="27724" spans="1:1" x14ac:dyDescent="0.3">
      <c r="A27724" s="20"/>
    </row>
    <row r="27725" spans="1:1" x14ac:dyDescent="0.3">
      <c r="A27725" s="20"/>
    </row>
    <row r="27726" spans="1:1" x14ac:dyDescent="0.3">
      <c r="A27726" s="20"/>
    </row>
    <row r="27727" spans="1:1" x14ac:dyDescent="0.3">
      <c r="A27727" s="20"/>
    </row>
    <row r="27728" spans="1:1" x14ac:dyDescent="0.3">
      <c r="A27728" s="20"/>
    </row>
    <row r="27729" spans="1:1" x14ac:dyDescent="0.3">
      <c r="A27729" s="20"/>
    </row>
    <row r="27730" spans="1:1" x14ac:dyDescent="0.3">
      <c r="A27730" s="20"/>
    </row>
    <row r="27731" spans="1:1" x14ac:dyDescent="0.3">
      <c r="A27731" s="20"/>
    </row>
    <row r="27732" spans="1:1" x14ac:dyDescent="0.3">
      <c r="A27732" s="20"/>
    </row>
    <row r="27733" spans="1:1" x14ac:dyDescent="0.3">
      <c r="A27733" s="20"/>
    </row>
    <row r="27734" spans="1:1" x14ac:dyDescent="0.3">
      <c r="A27734" s="20"/>
    </row>
    <row r="27735" spans="1:1" x14ac:dyDescent="0.3">
      <c r="A27735" s="20"/>
    </row>
    <row r="27736" spans="1:1" x14ac:dyDescent="0.3">
      <c r="A27736" s="20"/>
    </row>
    <row r="27737" spans="1:1" x14ac:dyDescent="0.3">
      <c r="A27737" s="20"/>
    </row>
    <row r="27738" spans="1:1" x14ac:dyDescent="0.3">
      <c r="A27738" s="20"/>
    </row>
    <row r="27739" spans="1:1" x14ac:dyDescent="0.3">
      <c r="A27739" s="20"/>
    </row>
    <row r="27740" spans="1:1" x14ac:dyDescent="0.3">
      <c r="A27740" s="20"/>
    </row>
    <row r="27741" spans="1:1" x14ac:dyDescent="0.3">
      <c r="A27741" s="20"/>
    </row>
    <row r="27742" spans="1:1" x14ac:dyDescent="0.3">
      <c r="A27742" s="20"/>
    </row>
    <row r="27743" spans="1:1" x14ac:dyDescent="0.3">
      <c r="A27743" s="20"/>
    </row>
    <row r="27744" spans="1:1" x14ac:dyDescent="0.3">
      <c r="A27744" s="20"/>
    </row>
    <row r="27745" spans="1:1" x14ac:dyDescent="0.3">
      <c r="A27745" s="20"/>
    </row>
    <row r="27746" spans="1:1" x14ac:dyDescent="0.3">
      <c r="A27746" s="20"/>
    </row>
    <row r="27747" spans="1:1" x14ac:dyDescent="0.3">
      <c r="A27747" s="20"/>
    </row>
    <row r="27748" spans="1:1" x14ac:dyDescent="0.3">
      <c r="A27748" s="20"/>
    </row>
    <row r="27749" spans="1:1" x14ac:dyDescent="0.3">
      <c r="A27749" s="20"/>
    </row>
    <row r="27750" spans="1:1" x14ac:dyDescent="0.3">
      <c r="A27750" s="20"/>
    </row>
    <row r="27751" spans="1:1" x14ac:dyDescent="0.3">
      <c r="A27751" s="20"/>
    </row>
    <row r="27752" spans="1:1" x14ac:dyDescent="0.3">
      <c r="A27752" s="20"/>
    </row>
    <row r="27753" spans="1:1" x14ac:dyDescent="0.3">
      <c r="A27753" s="20"/>
    </row>
    <row r="27754" spans="1:1" x14ac:dyDescent="0.3">
      <c r="A27754" s="20"/>
    </row>
    <row r="27755" spans="1:1" x14ac:dyDescent="0.3">
      <c r="A27755" s="20"/>
    </row>
    <row r="27756" spans="1:1" x14ac:dyDescent="0.3">
      <c r="A27756" s="20"/>
    </row>
    <row r="27757" spans="1:1" x14ac:dyDescent="0.3">
      <c r="A27757" s="20"/>
    </row>
    <row r="27758" spans="1:1" x14ac:dyDescent="0.3">
      <c r="A27758" s="20"/>
    </row>
    <row r="27759" spans="1:1" x14ac:dyDescent="0.3">
      <c r="A27759" s="20"/>
    </row>
    <row r="27760" spans="1:1" x14ac:dyDescent="0.3">
      <c r="A27760" s="20"/>
    </row>
    <row r="27761" spans="1:1" x14ac:dyDescent="0.3">
      <c r="A27761" s="20"/>
    </row>
    <row r="27762" spans="1:1" x14ac:dyDescent="0.3">
      <c r="A27762" s="20"/>
    </row>
    <row r="27763" spans="1:1" x14ac:dyDescent="0.3">
      <c r="A27763" s="20"/>
    </row>
    <row r="27764" spans="1:1" x14ac:dyDescent="0.3">
      <c r="A27764" s="20"/>
    </row>
    <row r="27765" spans="1:1" x14ac:dyDescent="0.3">
      <c r="A27765" s="20"/>
    </row>
    <row r="27766" spans="1:1" x14ac:dyDescent="0.3">
      <c r="A27766" s="20"/>
    </row>
    <row r="27767" spans="1:1" x14ac:dyDescent="0.3">
      <c r="A27767" s="20"/>
    </row>
    <row r="27768" spans="1:1" x14ac:dyDescent="0.3">
      <c r="A27768" s="20"/>
    </row>
    <row r="27769" spans="1:1" x14ac:dyDescent="0.3">
      <c r="A27769" s="20"/>
    </row>
    <row r="27770" spans="1:1" x14ac:dyDescent="0.3">
      <c r="A27770" s="20"/>
    </row>
    <row r="27771" spans="1:1" x14ac:dyDescent="0.3">
      <c r="A27771" s="20"/>
    </row>
    <row r="27772" spans="1:1" x14ac:dyDescent="0.3">
      <c r="A27772" s="20"/>
    </row>
    <row r="27773" spans="1:1" x14ac:dyDescent="0.3">
      <c r="A27773" s="20"/>
    </row>
    <row r="27774" spans="1:1" x14ac:dyDescent="0.3">
      <c r="A27774" s="20"/>
    </row>
    <row r="27775" spans="1:1" x14ac:dyDescent="0.3">
      <c r="A27775" s="20"/>
    </row>
    <row r="27776" spans="1:1" x14ac:dyDescent="0.3">
      <c r="A27776" s="20"/>
    </row>
    <row r="27777" spans="1:1" x14ac:dyDescent="0.3">
      <c r="A27777" s="20"/>
    </row>
    <row r="27778" spans="1:1" x14ac:dyDescent="0.3">
      <c r="A27778" s="20"/>
    </row>
    <row r="27779" spans="1:1" x14ac:dyDescent="0.3">
      <c r="A27779" s="20"/>
    </row>
    <row r="27780" spans="1:1" x14ac:dyDescent="0.3">
      <c r="A27780" s="20"/>
    </row>
    <row r="27781" spans="1:1" x14ac:dyDescent="0.3">
      <c r="A27781" s="20"/>
    </row>
    <row r="27782" spans="1:1" x14ac:dyDescent="0.3">
      <c r="A27782" s="20"/>
    </row>
    <row r="27783" spans="1:1" x14ac:dyDescent="0.3">
      <c r="A27783" s="20"/>
    </row>
    <row r="27784" spans="1:1" x14ac:dyDescent="0.3">
      <c r="A27784" s="20"/>
    </row>
    <row r="27785" spans="1:1" x14ac:dyDescent="0.3">
      <c r="A27785" s="20"/>
    </row>
    <row r="27786" spans="1:1" x14ac:dyDescent="0.3">
      <c r="A27786" s="20"/>
    </row>
    <row r="27787" spans="1:1" x14ac:dyDescent="0.3">
      <c r="A27787" s="20"/>
    </row>
    <row r="27788" spans="1:1" x14ac:dyDescent="0.3">
      <c r="A27788" s="20"/>
    </row>
    <row r="27789" spans="1:1" x14ac:dyDescent="0.3">
      <c r="A27789" s="20"/>
    </row>
    <row r="27790" spans="1:1" x14ac:dyDescent="0.3">
      <c r="A27790" s="20"/>
    </row>
    <row r="27791" spans="1:1" x14ac:dyDescent="0.3">
      <c r="A27791" s="20"/>
    </row>
    <row r="27792" spans="1:1" x14ac:dyDescent="0.3">
      <c r="A27792" s="20"/>
    </row>
    <row r="27793" spans="1:1" x14ac:dyDescent="0.3">
      <c r="A27793" s="20"/>
    </row>
    <row r="27794" spans="1:1" x14ac:dyDescent="0.3">
      <c r="A27794" s="20"/>
    </row>
    <row r="27795" spans="1:1" x14ac:dyDescent="0.3">
      <c r="A27795" s="20"/>
    </row>
    <row r="27796" spans="1:1" x14ac:dyDescent="0.3">
      <c r="A27796" s="20"/>
    </row>
    <row r="27797" spans="1:1" x14ac:dyDescent="0.3">
      <c r="A27797" s="20"/>
    </row>
    <row r="27798" spans="1:1" x14ac:dyDescent="0.3">
      <c r="A27798" s="20"/>
    </row>
    <row r="27799" spans="1:1" x14ac:dyDescent="0.3">
      <c r="A27799" s="20"/>
    </row>
    <row r="27800" spans="1:1" x14ac:dyDescent="0.3">
      <c r="A27800" s="20"/>
    </row>
    <row r="27801" spans="1:1" x14ac:dyDescent="0.3">
      <c r="A27801" s="20"/>
    </row>
    <row r="27802" spans="1:1" x14ac:dyDescent="0.3">
      <c r="A27802" s="20"/>
    </row>
    <row r="27803" spans="1:1" x14ac:dyDescent="0.3">
      <c r="A27803" s="20"/>
    </row>
    <row r="27804" spans="1:1" x14ac:dyDescent="0.3">
      <c r="A27804" s="20"/>
    </row>
    <row r="27805" spans="1:1" x14ac:dyDescent="0.3">
      <c r="A27805" s="20"/>
    </row>
    <row r="27806" spans="1:1" x14ac:dyDescent="0.3">
      <c r="A27806" s="20"/>
    </row>
    <row r="27807" spans="1:1" x14ac:dyDescent="0.3">
      <c r="A27807" s="20"/>
    </row>
    <row r="27808" spans="1:1" x14ac:dyDescent="0.3">
      <c r="A27808" s="20"/>
    </row>
    <row r="27809" spans="1:1" x14ac:dyDescent="0.3">
      <c r="A27809" s="20"/>
    </row>
    <row r="27810" spans="1:1" x14ac:dyDescent="0.3">
      <c r="A27810" s="20"/>
    </row>
    <row r="27811" spans="1:1" x14ac:dyDescent="0.3">
      <c r="A27811" s="20"/>
    </row>
    <row r="27812" spans="1:1" x14ac:dyDescent="0.3">
      <c r="A27812" s="20"/>
    </row>
    <row r="27813" spans="1:1" x14ac:dyDescent="0.3">
      <c r="A27813" s="20"/>
    </row>
    <row r="27814" spans="1:1" x14ac:dyDescent="0.3">
      <c r="A27814" s="20"/>
    </row>
    <row r="27815" spans="1:1" x14ac:dyDescent="0.3">
      <c r="A27815" s="20"/>
    </row>
    <row r="27816" spans="1:1" x14ac:dyDescent="0.3">
      <c r="A27816" s="20"/>
    </row>
    <row r="27817" spans="1:1" x14ac:dyDescent="0.3">
      <c r="A27817" s="20"/>
    </row>
    <row r="27818" spans="1:1" x14ac:dyDescent="0.3">
      <c r="A27818" s="20"/>
    </row>
    <row r="27819" spans="1:1" x14ac:dyDescent="0.3">
      <c r="A27819" s="20"/>
    </row>
    <row r="27820" spans="1:1" x14ac:dyDescent="0.3">
      <c r="A27820" s="20"/>
    </row>
    <row r="27821" spans="1:1" x14ac:dyDescent="0.3">
      <c r="A27821" s="20"/>
    </row>
    <row r="27822" spans="1:1" x14ac:dyDescent="0.3">
      <c r="A27822" s="20"/>
    </row>
    <row r="27823" spans="1:1" x14ac:dyDescent="0.3">
      <c r="A27823" s="20"/>
    </row>
    <row r="27824" spans="1:1" x14ac:dyDescent="0.3">
      <c r="A27824" s="20"/>
    </row>
    <row r="27825" spans="1:1" x14ac:dyDescent="0.3">
      <c r="A27825" s="20"/>
    </row>
    <row r="27826" spans="1:1" x14ac:dyDescent="0.3">
      <c r="A27826" s="20"/>
    </row>
    <row r="27827" spans="1:1" x14ac:dyDescent="0.3">
      <c r="A27827" s="20"/>
    </row>
    <row r="27828" spans="1:1" x14ac:dyDescent="0.3">
      <c r="A27828" s="20"/>
    </row>
    <row r="27829" spans="1:1" x14ac:dyDescent="0.3">
      <c r="A27829" s="20"/>
    </row>
    <row r="27830" spans="1:1" x14ac:dyDescent="0.3">
      <c r="A27830" s="20"/>
    </row>
    <row r="27831" spans="1:1" x14ac:dyDescent="0.3">
      <c r="A27831" s="20"/>
    </row>
    <row r="27832" spans="1:1" x14ac:dyDescent="0.3">
      <c r="A27832" s="20"/>
    </row>
    <row r="27833" spans="1:1" x14ac:dyDescent="0.3">
      <c r="A27833" s="20"/>
    </row>
    <row r="27834" spans="1:1" x14ac:dyDescent="0.3">
      <c r="A27834" s="20"/>
    </row>
    <row r="27835" spans="1:1" x14ac:dyDescent="0.3">
      <c r="A27835" s="20"/>
    </row>
    <row r="27836" spans="1:1" x14ac:dyDescent="0.3">
      <c r="A27836" s="20"/>
    </row>
    <row r="27837" spans="1:1" x14ac:dyDescent="0.3">
      <c r="A27837" s="20"/>
    </row>
    <row r="27838" spans="1:1" x14ac:dyDescent="0.3">
      <c r="A27838" s="20"/>
    </row>
    <row r="27839" spans="1:1" x14ac:dyDescent="0.3">
      <c r="A27839" s="20"/>
    </row>
    <row r="27840" spans="1:1" x14ac:dyDescent="0.3">
      <c r="A27840" s="20"/>
    </row>
    <row r="27841" spans="1:1" x14ac:dyDescent="0.3">
      <c r="A27841" s="20"/>
    </row>
    <row r="27842" spans="1:1" x14ac:dyDescent="0.3">
      <c r="A27842" s="20"/>
    </row>
    <row r="27843" spans="1:1" x14ac:dyDescent="0.3">
      <c r="A27843" s="20"/>
    </row>
    <row r="27844" spans="1:1" x14ac:dyDescent="0.3">
      <c r="A27844" s="20"/>
    </row>
    <row r="27845" spans="1:1" x14ac:dyDescent="0.3">
      <c r="A27845" s="20"/>
    </row>
    <row r="27846" spans="1:1" x14ac:dyDescent="0.3">
      <c r="A27846" s="20"/>
    </row>
    <row r="27847" spans="1:1" x14ac:dyDescent="0.3">
      <c r="A27847" s="20"/>
    </row>
    <row r="27848" spans="1:1" x14ac:dyDescent="0.3">
      <c r="A27848" s="20"/>
    </row>
    <row r="27849" spans="1:1" x14ac:dyDescent="0.3">
      <c r="A27849" s="20"/>
    </row>
    <row r="27850" spans="1:1" x14ac:dyDescent="0.3">
      <c r="A27850" s="20"/>
    </row>
    <row r="27851" spans="1:1" x14ac:dyDescent="0.3">
      <c r="A27851" s="20"/>
    </row>
    <row r="27852" spans="1:1" x14ac:dyDescent="0.3">
      <c r="A27852" s="20"/>
    </row>
    <row r="27853" spans="1:1" x14ac:dyDescent="0.3">
      <c r="A27853" s="20"/>
    </row>
    <row r="27854" spans="1:1" x14ac:dyDescent="0.3">
      <c r="A27854" s="20"/>
    </row>
    <row r="27855" spans="1:1" x14ac:dyDescent="0.3">
      <c r="A27855" s="20"/>
    </row>
    <row r="27856" spans="1:1" x14ac:dyDescent="0.3">
      <c r="A27856" s="20"/>
    </row>
    <row r="27857" spans="1:1" x14ac:dyDescent="0.3">
      <c r="A27857" s="20"/>
    </row>
    <row r="27858" spans="1:1" x14ac:dyDescent="0.3">
      <c r="A27858" s="20"/>
    </row>
    <row r="27859" spans="1:1" x14ac:dyDescent="0.3">
      <c r="A27859" s="20"/>
    </row>
    <row r="27860" spans="1:1" x14ac:dyDescent="0.3">
      <c r="A27860" s="20"/>
    </row>
    <row r="27861" spans="1:1" x14ac:dyDescent="0.3">
      <c r="A27861" s="20"/>
    </row>
    <row r="27862" spans="1:1" x14ac:dyDescent="0.3">
      <c r="A27862" s="20"/>
    </row>
    <row r="27863" spans="1:1" x14ac:dyDescent="0.3">
      <c r="A27863" s="20"/>
    </row>
    <row r="27864" spans="1:1" x14ac:dyDescent="0.3">
      <c r="A27864" s="20"/>
    </row>
    <row r="27865" spans="1:1" x14ac:dyDescent="0.3">
      <c r="A27865" s="20"/>
    </row>
    <row r="27866" spans="1:1" x14ac:dyDescent="0.3">
      <c r="A27866" s="20"/>
    </row>
    <row r="27867" spans="1:1" x14ac:dyDescent="0.3">
      <c r="A27867" s="20"/>
    </row>
    <row r="27868" spans="1:1" x14ac:dyDescent="0.3">
      <c r="A27868" s="20"/>
    </row>
    <row r="27869" spans="1:1" x14ac:dyDescent="0.3">
      <c r="A27869" s="20"/>
    </row>
    <row r="27870" spans="1:1" x14ac:dyDescent="0.3">
      <c r="A27870" s="20"/>
    </row>
    <row r="27871" spans="1:1" x14ac:dyDescent="0.3">
      <c r="A27871" s="20"/>
    </row>
    <row r="27872" spans="1:1" x14ac:dyDescent="0.3">
      <c r="A27872" s="20"/>
    </row>
    <row r="27873" spans="1:1" x14ac:dyDescent="0.3">
      <c r="A27873" s="20"/>
    </row>
    <row r="27874" spans="1:1" x14ac:dyDescent="0.3">
      <c r="A27874" s="20"/>
    </row>
    <row r="27875" spans="1:1" x14ac:dyDescent="0.3">
      <c r="A27875" s="20"/>
    </row>
    <row r="27876" spans="1:1" x14ac:dyDescent="0.3">
      <c r="A27876" s="20"/>
    </row>
    <row r="27877" spans="1:1" x14ac:dyDescent="0.3">
      <c r="A27877" s="20"/>
    </row>
    <row r="27878" spans="1:1" x14ac:dyDescent="0.3">
      <c r="A27878" s="20"/>
    </row>
    <row r="27879" spans="1:1" x14ac:dyDescent="0.3">
      <c r="A27879" s="20"/>
    </row>
    <row r="27880" spans="1:1" x14ac:dyDescent="0.3">
      <c r="A27880" s="20"/>
    </row>
    <row r="27881" spans="1:1" x14ac:dyDescent="0.3">
      <c r="A27881" s="20"/>
    </row>
    <row r="27882" spans="1:1" x14ac:dyDescent="0.3">
      <c r="A27882" s="20"/>
    </row>
    <row r="27883" spans="1:1" x14ac:dyDescent="0.3">
      <c r="A27883" s="20"/>
    </row>
    <row r="27884" spans="1:1" x14ac:dyDescent="0.3">
      <c r="A27884" s="20"/>
    </row>
    <row r="27885" spans="1:1" x14ac:dyDescent="0.3">
      <c r="A27885" s="20"/>
    </row>
    <row r="27886" spans="1:1" x14ac:dyDescent="0.3">
      <c r="A27886" s="20"/>
    </row>
    <row r="27887" spans="1:1" x14ac:dyDescent="0.3">
      <c r="A27887" s="20"/>
    </row>
    <row r="27888" spans="1:1" x14ac:dyDescent="0.3">
      <c r="A27888" s="20"/>
    </row>
    <row r="27889" spans="1:1" x14ac:dyDescent="0.3">
      <c r="A27889" s="20"/>
    </row>
    <row r="27890" spans="1:1" x14ac:dyDescent="0.3">
      <c r="A27890" s="20"/>
    </row>
    <row r="27891" spans="1:1" x14ac:dyDescent="0.3">
      <c r="A27891" s="20"/>
    </row>
    <row r="27892" spans="1:1" x14ac:dyDescent="0.3">
      <c r="A27892" s="20"/>
    </row>
    <row r="27893" spans="1:1" x14ac:dyDescent="0.3">
      <c r="A27893" s="20"/>
    </row>
    <row r="27894" spans="1:1" x14ac:dyDescent="0.3">
      <c r="A27894" s="20"/>
    </row>
    <row r="27895" spans="1:1" x14ac:dyDescent="0.3">
      <c r="A27895" s="20"/>
    </row>
    <row r="27896" spans="1:1" x14ac:dyDescent="0.3">
      <c r="A27896" s="20"/>
    </row>
    <row r="27897" spans="1:1" x14ac:dyDescent="0.3">
      <c r="A27897" s="20"/>
    </row>
    <row r="27898" spans="1:1" x14ac:dyDescent="0.3">
      <c r="A27898" s="20"/>
    </row>
    <row r="27899" spans="1:1" x14ac:dyDescent="0.3">
      <c r="A27899" s="20"/>
    </row>
    <row r="27900" spans="1:1" x14ac:dyDescent="0.3">
      <c r="A27900" s="20"/>
    </row>
    <row r="27901" spans="1:1" x14ac:dyDescent="0.3">
      <c r="A27901" s="20"/>
    </row>
    <row r="27902" spans="1:1" x14ac:dyDescent="0.3">
      <c r="A27902" s="20"/>
    </row>
    <row r="27903" spans="1:1" x14ac:dyDescent="0.3">
      <c r="A27903" s="20"/>
    </row>
    <row r="27904" spans="1:1" x14ac:dyDescent="0.3">
      <c r="A27904" s="20"/>
    </row>
    <row r="27905" spans="1:1" x14ac:dyDescent="0.3">
      <c r="A27905" s="20"/>
    </row>
    <row r="27906" spans="1:1" x14ac:dyDescent="0.3">
      <c r="A27906" s="20"/>
    </row>
    <row r="27907" spans="1:1" x14ac:dyDescent="0.3">
      <c r="A27907" s="20"/>
    </row>
    <row r="27908" spans="1:1" x14ac:dyDescent="0.3">
      <c r="A27908" s="20"/>
    </row>
    <row r="27909" spans="1:1" x14ac:dyDescent="0.3">
      <c r="A27909" s="20"/>
    </row>
    <row r="27910" spans="1:1" x14ac:dyDescent="0.3">
      <c r="A27910" s="20"/>
    </row>
    <row r="27911" spans="1:1" x14ac:dyDescent="0.3">
      <c r="A27911" s="20"/>
    </row>
    <row r="27912" spans="1:1" x14ac:dyDescent="0.3">
      <c r="A27912" s="20"/>
    </row>
    <row r="27913" spans="1:1" x14ac:dyDescent="0.3">
      <c r="A27913" s="20"/>
    </row>
    <row r="27914" spans="1:1" x14ac:dyDescent="0.3">
      <c r="A27914" s="20"/>
    </row>
    <row r="27915" spans="1:1" x14ac:dyDescent="0.3">
      <c r="A27915" s="20"/>
    </row>
    <row r="27916" spans="1:1" x14ac:dyDescent="0.3">
      <c r="A27916" s="20"/>
    </row>
    <row r="27917" spans="1:1" x14ac:dyDescent="0.3">
      <c r="A27917" s="20"/>
    </row>
    <row r="27918" spans="1:1" x14ac:dyDescent="0.3">
      <c r="A27918" s="20"/>
    </row>
    <row r="27919" spans="1:1" x14ac:dyDescent="0.3">
      <c r="A27919" s="20"/>
    </row>
    <row r="27920" spans="1:1" x14ac:dyDescent="0.3">
      <c r="A27920" s="20"/>
    </row>
    <row r="27921" spans="1:1" x14ac:dyDescent="0.3">
      <c r="A27921" s="20"/>
    </row>
    <row r="27922" spans="1:1" x14ac:dyDescent="0.3">
      <c r="A27922" s="20"/>
    </row>
    <row r="27923" spans="1:1" x14ac:dyDescent="0.3">
      <c r="A27923" s="20"/>
    </row>
    <row r="27924" spans="1:1" x14ac:dyDescent="0.3">
      <c r="A27924" s="20"/>
    </row>
    <row r="27925" spans="1:1" x14ac:dyDescent="0.3">
      <c r="A27925" s="20"/>
    </row>
    <row r="27926" spans="1:1" x14ac:dyDescent="0.3">
      <c r="A27926" s="20"/>
    </row>
    <row r="27927" spans="1:1" x14ac:dyDescent="0.3">
      <c r="A27927" s="20"/>
    </row>
    <row r="27928" spans="1:1" x14ac:dyDescent="0.3">
      <c r="A27928" s="20"/>
    </row>
    <row r="27929" spans="1:1" x14ac:dyDescent="0.3">
      <c r="A27929" s="20"/>
    </row>
    <row r="27930" spans="1:1" x14ac:dyDescent="0.3">
      <c r="A27930" s="20"/>
    </row>
    <row r="27931" spans="1:1" x14ac:dyDescent="0.3">
      <c r="A27931" s="20"/>
    </row>
    <row r="27932" spans="1:1" x14ac:dyDescent="0.3">
      <c r="A27932" s="20"/>
    </row>
    <row r="27933" spans="1:1" x14ac:dyDescent="0.3">
      <c r="A27933" s="20"/>
    </row>
    <row r="27934" spans="1:1" x14ac:dyDescent="0.3">
      <c r="A27934" s="20"/>
    </row>
    <row r="27935" spans="1:1" x14ac:dyDescent="0.3">
      <c r="A27935" s="20"/>
    </row>
    <row r="27936" spans="1:1" x14ac:dyDescent="0.3">
      <c r="A27936" s="20"/>
    </row>
    <row r="27937" spans="1:1" x14ac:dyDescent="0.3">
      <c r="A27937" s="20"/>
    </row>
    <row r="27938" spans="1:1" x14ac:dyDescent="0.3">
      <c r="A27938" s="20"/>
    </row>
    <row r="27939" spans="1:1" x14ac:dyDescent="0.3">
      <c r="A27939" s="20"/>
    </row>
    <row r="27940" spans="1:1" x14ac:dyDescent="0.3">
      <c r="A27940" s="20"/>
    </row>
    <row r="27941" spans="1:1" x14ac:dyDescent="0.3">
      <c r="A27941" s="20"/>
    </row>
    <row r="27942" spans="1:1" x14ac:dyDescent="0.3">
      <c r="A27942" s="20"/>
    </row>
    <row r="27943" spans="1:1" x14ac:dyDescent="0.3">
      <c r="A27943" s="20"/>
    </row>
    <row r="27944" spans="1:1" x14ac:dyDescent="0.3">
      <c r="A27944" s="20"/>
    </row>
    <row r="27945" spans="1:1" x14ac:dyDescent="0.3">
      <c r="A27945" s="20"/>
    </row>
    <row r="27946" spans="1:1" x14ac:dyDescent="0.3">
      <c r="A27946" s="20"/>
    </row>
    <row r="27947" spans="1:1" x14ac:dyDescent="0.3">
      <c r="A27947" s="20"/>
    </row>
    <row r="27948" spans="1:1" x14ac:dyDescent="0.3">
      <c r="A27948" s="20"/>
    </row>
    <row r="27949" spans="1:1" x14ac:dyDescent="0.3">
      <c r="A27949" s="20"/>
    </row>
    <row r="27950" spans="1:1" x14ac:dyDescent="0.3">
      <c r="A27950" s="20"/>
    </row>
    <row r="27951" spans="1:1" x14ac:dyDescent="0.3">
      <c r="A27951" s="20"/>
    </row>
    <row r="27952" spans="1:1" x14ac:dyDescent="0.3">
      <c r="A27952" s="20"/>
    </row>
    <row r="27953" spans="1:1" x14ac:dyDescent="0.3">
      <c r="A27953" s="20"/>
    </row>
    <row r="27954" spans="1:1" x14ac:dyDescent="0.3">
      <c r="A27954" s="20"/>
    </row>
    <row r="27955" spans="1:1" x14ac:dyDescent="0.3">
      <c r="A27955" s="20"/>
    </row>
    <row r="27956" spans="1:1" x14ac:dyDescent="0.3">
      <c r="A27956" s="20"/>
    </row>
    <row r="27957" spans="1:1" x14ac:dyDescent="0.3">
      <c r="A27957" s="20"/>
    </row>
    <row r="27958" spans="1:1" x14ac:dyDescent="0.3">
      <c r="A27958" s="20"/>
    </row>
    <row r="27959" spans="1:1" x14ac:dyDescent="0.3">
      <c r="A27959" s="20"/>
    </row>
    <row r="27960" spans="1:1" x14ac:dyDescent="0.3">
      <c r="A27960" s="20"/>
    </row>
    <row r="27961" spans="1:1" x14ac:dyDescent="0.3">
      <c r="A27961" s="20"/>
    </row>
    <row r="27962" spans="1:1" x14ac:dyDescent="0.3">
      <c r="A27962" s="20"/>
    </row>
    <row r="27963" spans="1:1" x14ac:dyDescent="0.3">
      <c r="A27963" s="20"/>
    </row>
    <row r="27964" spans="1:1" x14ac:dyDescent="0.3">
      <c r="A27964" s="20"/>
    </row>
    <row r="27965" spans="1:1" x14ac:dyDescent="0.3">
      <c r="A27965" s="20"/>
    </row>
    <row r="27966" spans="1:1" x14ac:dyDescent="0.3">
      <c r="A27966" s="20"/>
    </row>
    <row r="27967" spans="1:1" x14ac:dyDescent="0.3">
      <c r="A27967" s="20"/>
    </row>
    <row r="27968" spans="1:1" x14ac:dyDescent="0.3">
      <c r="A27968" s="20"/>
    </row>
    <row r="27969" spans="1:1" x14ac:dyDescent="0.3">
      <c r="A27969" s="20"/>
    </row>
    <row r="27970" spans="1:1" x14ac:dyDescent="0.3">
      <c r="A27970" s="20"/>
    </row>
    <row r="27971" spans="1:1" x14ac:dyDescent="0.3">
      <c r="A27971" s="20"/>
    </row>
    <row r="27972" spans="1:1" x14ac:dyDescent="0.3">
      <c r="A27972" s="20"/>
    </row>
    <row r="27973" spans="1:1" x14ac:dyDescent="0.3">
      <c r="A27973" s="20"/>
    </row>
    <row r="27974" spans="1:1" x14ac:dyDescent="0.3">
      <c r="A27974" s="20"/>
    </row>
    <row r="27975" spans="1:1" x14ac:dyDescent="0.3">
      <c r="A27975" s="20"/>
    </row>
    <row r="27976" spans="1:1" x14ac:dyDescent="0.3">
      <c r="A27976" s="20"/>
    </row>
    <row r="27977" spans="1:1" x14ac:dyDescent="0.3">
      <c r="A27977" s="20"/>
    </row>
    <row r="27978" spans="1:1" x14ac:dyDescent="0.3">
      <c r="A27978" s="20"/>
    </row>
    <row r="27979" spans="1:1" x14ac:dyDescent="0.3">
      <c r="A27979" s="20"/>
    </row>
    <row r="27980" spans="1:1" x14ac:dyDescent="0.3">
      <c r="A27980" s="20"/>
    </row>
    <row r="27981" spans="1:1" x14ac:dyDescent="0.3">
      <c r="A27981" s="20"/>
    </row>
    <row r="27982" spans="1:1" x14ac:dyDescent="0.3">
      <c r="A27982" s="20"/>
    </row>
    <row r="27983" spans="1:1" x14ac:dyDescent="0.3">
      <c r="A27983" s="20"/>
    </row>
    <row r="27984" spans="1:1" x14ac:dyDescent="0.3">
      <c r="A27984" s="20"/>
    </row>
    <row r="27985" spans="1:1" x14ac:dyDescent="0.3">
      <c r="A27985" s="20"/>
    </row>
    <row r="27986" spans="1:1" x14ac:dyDescent="0.3">
      <c r="A27986" s="20"/>
    </row>
    <row r="27987" spans="1:1" x14ac:dyDescent="0.3">
      <c r="A27987" s="20"/>
    </row>
    <row r="27988" spans="1:1" x14ac:dyDescent="0.3">
      <c r="A27988" s="20"/>
    </row>
    <row r="27989" spans="1:1" x14ac:dyDescent="0.3">
      <c r="A27989" s="20"/>
    </row>
    <row r="27990" spans="1:1" x14ac:dyDescent="0.3">
      <c r="A27990" s="20"/>
    </row>
    <row r="27991" spans="1:1" x14ac:dyDescent="0.3">
      <c r="A27991" s="20"/>
    </row>
    <row r="27992" spans="1:1" x14ac:dyDescent="0.3">
      <c r="A27992" s="20"/>
    </row>
    <row r="27993" spans="1:1" x14ac:dyDescent="0.3">
      <c r="A27993" s="20"/>
    </row>
    <row r="27994" spans="1:1" x14ac:dyDescent="0.3">
      <c r="A27994" s="20"/>
    </row>
    <row r="27995" spans="1:1" x14ac:dyDescent="0.3">
      <c r="A27995" s="20"/>
    </row>
    <row r="27996" spans="1:1" x14ac:dyDescent="0.3">
      <c r="A27996" s="20"/>
    </row>
    <row r="27997" spans="1:1" x14ac:dyDescent="0.3">
      <c r="A27997" s="20"/>
    </row>
    <row r="27998" spans="1:1" x14ac:dyDescent="0.3">
      <c r="A27998" s="20"/>
    </row>
    <row r="27999" spans="1:1" x14ac:dyDescent="0.3">
      <c r="A27999" s="20"/>
    </row>
    <row r="28000" spans="1:1" x14ac:dyDescent="0.3">
      <c r="A28000" s="20"/>
    </row>
    <row r="28001" spans="1:1" x14ac:dyDescent="0.3">
      <c r="A28001" s="20"/>
    </row>
    <row r="28002" spans="1:1" x14ac:dyDescent="0.3">
      <c r="A28002" s="20"/>
    </row>
    <row r="28003" spans="1:1" x14ac:dyDescent="0.3">
      <c r="A28003" s="20"/>
    </row>
    <row r="28004" spans="1:1" x14ac:dyDescent="0.3">
      <c r="A28004" s="20"/>
    </row>
    <row r="28005" spans="1:1" x14ac:dyDescent="0.3">
      <c r="A28005" s="20"/>
    </row>
    <row r="28006" spans="1:1" x14ac:dyDescent="0.3">
      <c r="A28006" s="20"/>
    </row>
    <row r="28007" spans="1:1" x14ac:dyDescent="0.3">
      <c r="A28007" s="20"/>
    </row>
    <row r="28008" spans="1:1" x14ac:dyDescent="0.3">
      <c r="A28008" s="20"/>
    </row>
    <row r="28009" spans="1:1" x14ac:dyDescent="0.3">
      <c r="A28009" s="20"/>
    </row>
    <row r="28010" spans="1:1" x14ac:dyDescent="0.3">
      <c r="A28010" s="20"/>
    </row>
    <row r="28011" spans="1:1" x14ac:dyDescent="0.3">
      <c r="A28011" s="20"/>
    </row>
    <row r="28012" spans="1:1" x14ac:dyDescent="0.3">
      <c r="A28012" s="20"/>
    </row>
    <row r="28013" spans="1:1" x14ac:dyDescent="0.3">
      <c r="A28013" s="20"/>
    </row>
    <row r="28014" spans="1:1" x14ac:dyDescent="0.3">
      <c r="A28014" s="20"/>
    </row>
    <row r="28015" spans="1:1" x14ac:dyDescent="0.3">
      <c r="A28015" s="20"/>
    </row>
    <row r="28016" spans="1:1" x14ac:dyDescent="0.3">
      <c r="A28016" s="20"/>
    </row>
    <row r="28017" spans="1:1" x14ac:dyDescent="0.3">
      <c r="A28017" s="20"/>
    </row>
    <row r="28018" spans="1:1" x14ac:dyDescent="0.3">
      <c r="A28018" s="20"/>
    </row>
    <row r="28019" spans="1:1" x14ac:dyDescent="0.3">
      <c r="A28019" s="20"/>
    </row>
    <row r="28020" spans="1:1" x14ac:dyDescent="0.3">
      <c r="A28020" s="20"/>
    </row>
    <row r="28021" spans="1:1" x14ac:dyDescent="0.3">
      <c r="A28021" s="20"/>
    </row>
    <row r="28022" spans="1:1" x14ac:dyDescent="0.3">
      <c r="A28022" s="20"/>
    </row>
    <row r="28023" spans="1:1" x14ac:dyDescent="0.3">
      <c r="A28023" s="20"/>
    </row>
    <row r="28024" spans="1:1" x14ac:dyDescent="0.3">
      <c r="A28024" s="20"/>
    </row>
    <row r="28025" spans="1:1" x14ac:dyDescent="0.3">
      <c r="A28025" s="20"/>
    </row>
    <row r="28026" spans="1:1" x14ac:dyDescent="0.3">
      <c r="A28026" s="20"/>
    </row>
    <row r="28027" spans="1:1" x14ac:dyDescent="0.3">
      <c r="A28027" s="20"/>
    </row>
    <row r="28028" spans="1:1" x14ac:dyDescent="0.3">
      <c r="A28028" s="20"/>
    </row>
    <row r="28029" spans="1:1" x14ac:dyDescent="0.3">
      <c r="A28029" s="20"/>
    </row>
    <row r="28030" spans="1:1" x14ac:dyDescent="0.3">
      <c r="A28030" s="20"/>
    </row>
    <row r="28031" spans="1:1" x14ac:dyDescent="0.3">
      <c r="A28031" s="20"/>
    </row>
    <row r="28032" spans="1:1" x14ac:dyDescent="0.3">
      <c r="A28032" s="20"/>
    </row>
    <row r="28033" spans="1:1" x14ac:dyDescent="0.3">
      <c r="A28033" s="20"/>
    </row>
    <row r="28034" spans="1:1" x14ac:dyDescent="0.3">
      <c r="A28034" s="20"/>
    </row>
    <row r="28035" spans="1:1" x14ac:dyDescent="0.3">
      <c r="A28035" s="20"/>
    </row>
    <row r="28036" spans="1:1" x14ac:dyDescent="0.3">
      <c r="A28036" s="20"/>
    </row>
    <row r="28037" spans="1:1" x14ac:dyDescent="0.3">
      <c r="A28037" s="20"/>
    </row>
    <row r="28038" spans="1:1" x14ac:dyDescent="0.3">
      <c r="A28038" s="20"/>
    </row>
    <row r="28039" spans="1:1" x14ac:dyDescent="0.3">
      <c r="A28039" s="20"/>
    </row>
    <row r="28040" spans="1:1" x14ac:dyDescent="0.3">
      <c r="A28040" s="20"/>
    </row>
    <row r="28041" spans="1:1" x14ac:dyDescent="0.3">
      <c r="A28041" s="20"/>
    </row>
    <row r="28042" spans="1:1" x14ac:dyDescent="0.3">
      <c r="A28042" s="20"/>
    </row>
    <row r="28043" spans="1:1" x14ac:dyDescent="0.3">
      <c r="A28043" s="20"/>
    </row>
    <row r="28044" spans="1:1" x14ac:dyDescent="0.3">
      <c r="A28044" s="20"/>
    </row>
    <row r="28045" spans="1:1" x14ac:dyDescent="0.3">
      <c r="A28045" s="20"/>
    </row>
    <row r="28046" spans="1:1" x14ac:dyDescent="0.3">
      <c r="A28046" s="20"/>
    </row>
    <row r="28047" spans="1:1" x14ac:dyDescent="0.3">
      <c r="A28047" s="20"/>
    </row>
    <row r="28048" spans="1:1" x14ac:dyDescent="0.3">
      <c r="A28048" s="20"/>
    </row>
    <row r="28049" spans="1:1" x14ac:dyDescent="0.3">
      <c r="A28049" s="20"/>
    </row>
    <row r="28050" spans="1:1" x14ac:dyDescent="0.3">
      <c r="A28050" s="20"/>
    </row>
    <row r="28051" spans="1:1" x14ac:dyDescent="0.3">
      <c r="A28051" s="20"/>
    </row>
    <row r="28052" spans="1:1" x14ac:dyDescent="0.3">
      <c r="A28052" s="20"/>
    </row>
    <row r="28053" spans="1:1" x14ac:dyDescent="0.3">
      <c r="A28053" s="20"/>
    </row>
    <row r="28054" spans="1:1" x14ac:dyDescent="0.3">
      <c r="A28054" s="20"/>
    </row>
    <row r="28055" spans="1:1" x14ac:dyDescent="0.3">
      <c r="A28055" s="20"/>
    </row>
    <row r="28056" spans="1:1" x14ac:dyDescent="0.3">
      <c r="A28056" s="20"/>
    </row>
    <row r="28057" spans="1:1" x14ac:dyDescent="0.3">
      <c r="A28057" s="20"/>
    </row>
    <row r="28058" spans="1:1" x14ac:dyDescent="0.3">
      <c r="A28058" s="20"/>
    </row>
    <row r="28059" spans="1:1" x14ac:dyDescent="0.3">
      <c r="A28059" s="20"/>
    </row>
    <row r="28060" spans="1:1" x14ac:dyDescent="0.3">
      <c r="A28060" s="20"/>
    </row>
    <row r="28061" spans="1:1" x14ac:dyDescent="0.3">
      <c r="A28061" s="20"/>
    </row>
    <row r="28062" spans="1:1" x14ac:dyDescent="0.3">
      <c r="A28062" s="20"/>
    </row>
    <row r="28063" spans="1:1" x14ac:dyDescent="0.3">
      <c r="A28063" s="20"/>
    </row>
    <row r="28064" spans="1:1" x14ac:dyDescent="0.3">
      <c r="A28064" s="20"/>
    </row>
    <row r="28065" spans="1:1" x14ac:dyDescent="0.3">
      <c r="A28065" s="20"/>
    </row>
    <row r="28066" spans="1:1" x14ac:dyDescent="0.3">
      <c r="A28066" s="20"/>
    </row>
    <row r="28067" spans="1:1" x14ac:dyDescent="0.3">
      <c r="A28067" s="20"/>
    </row>
    <row r="28068" spans="1:1" x14ac:dyDescent="0.3">
      <c r="A28068" s="20"/>
    </row>
    <row r="28069" spans="1:1" x14ac:dyDescent="0.3">
      <c r="A28069" s="20"/>
    </row>
    <row r="28070" spans="1:1" x14ac:dyDescent="0.3">
      <c r="A28070" s="20"/>
    </row>
    <row r="28071" spans="1:1" x14ac:dyDescent="0.3">
      <c r="A28071" s="20"/>
    </row>
    <row r="28072" spans="1:1" x14ac:dyDescent="0.3">
      <c r="A28072" s="20"/>
    </row>
    <row r="28073" spans="1:1" x14ac:dyDescent="0.3">
      <c r="A28073" s="20"/>
    </row>
    <row r="28074" spans="1:1" x14ac:dyDescent="0.3">
      <c r="A28074" s="20"/>
    </row>
    <row r="28075" spans="1:1" x14ac:dyDescent="0.3">
      <c r="A28075" s="20"/>
    </row>
    <row r="28076" spans="1:1" x14ac:dyDescent="0.3">
      <c r="A28076" s="20"/>
    </row>
    <row r="28077" spans="1:1" x14ac:dyDescent="0.3">
      <c r="A28077" s="20"/>
    </row>
    <row r="28078" spans="1:1" x14ac:dyDescent="0.3">
      <c r="A28078" s="20"/>
    </row>
    <row r="28079" spans="1:1" x14ac:dyDescent="0.3">
      <c r="A28079" s="20"/>
    </row>
    <row r="28080" spans="1:1" x14ac:dyDescent="0.3">
      <c r="A28080" s="20"/>
    </row>
    <row r="28081" spans="1:1" x14ac:dyDescent="0.3">
      <c r="A28081" s="20"/>
    </row>
    <row r="28082" spans="1:1" x14ac:dyDescent="0.3">
      <c r="A28082" s="20"/>
    </row>
    <row r="28083" spans="1:1" x14ac:dyDescent="0.3">
      <c r="A28083" s="20"/>
    </row>
    <row r="28084" spans="1:1" x14ac:dyDescent="0.3">
      <c r="A28084" s="20"/>
    </row>
    <row r="28085" spans="1:1" x14ac:dyDescent="0.3">
      <c r="A28085" s="20"/>
    </row>
    <row r="28086" spans="1:1" x14ac:dyDescent="0.3">
      <c r="A28086" s="20"/>
    </row>
    <row r="28087" spans="1:1" x14ac:dyDescent="0.3">
      <c r="A28087" s="20"/>
    </row>
    <row r="28088" spans="1:1" x14ac:dyDescent="0.3">
      <c r="A28088" s="20"/>
    </row>
    <row r="28089" spans="1:1" x14ac:dyDescent="0.3">
      <c r="A28089" s="20"/>
    </row>
    <row r="28090" spans="1:1" x14ac:dyDescent="0.3">
      <c r="A28090" s="20"/>
    </row>
    <row r="28091" spans="1:1" x14ac:dyDescent="0.3">
      <c r="A28091" s="20"/>
    </row>
    <row r="28092" spans="1:1" x14ac:dyDescent="0.3">
      <c r="A28092" s="20"/>
    </row>
    <row r="28093" spans="1:1" x14ac:dyDescent="0.3">
      <c r="A28093" s="20"/>
    </row>
    <row r="28094" spans="1:1" x14ac:dyDescent="0.3">
      <c r="A28094" s="20"/>
    </row>
    <row r="28095" spans="1:1" x14ac:dyDescent="0.3">
      <c r="A28095" s="20"/>
    </row>
    <row r="28096" spans="1:1" x14ac:dyDescent="0.3">
      <c r="A28096" s="20"/>
    </row>
    <row r="28097" spans="1:1" x14ac:dyDescent="0.3">
      <c r="A28097" s="20"/>
    </row>
    <row r="28098" spans="1:1" x14ac:dyDescent="0.3">
      <c r="A28098" s="20"/>
    </row>
    <row r="28099" spans="1:1" x14ac:dyDescent="0.3">
      <c r="A28099" s="20"/>
    </row>
    <row r="28100" spans="1:1" x14ac:dyDescent="0.3">
      <c r="A28100" s="20"/>
    </row>
    <row r="28101" spans="1:1" x14ac:dyDescent="0.3">
      <c r="A28101" s="20"/>
    </row>
    <row r="28102" spans="1:1" x14ac:dyDescent="0.3">
      <c r="A28102" s="20"/>
    </row>
    <row r="28103" spans="1:1" x14ac:dyDescent="0.3">
      <c r="A28103" s="20"/>
    </row>
    <row r="28104" spans="1:1" x14ac:dyDescent="0.3">
      <c r="A28104" s="20"/>
    </row>
    <row r="28105" spans="1:1" x14ac:dyDescent="0.3">
      <c r="A28105" s="20"/>
    </row>
    <row r="28106" spans="1:1" x14ac:dyDescent="0.3">
      <c r="A28106" s="20"/>
    </row>
    <row r="28107" spans="1:1" x14ac:dyDescent="0.3">
      <c r="A28107" s="20"/>
    </row>
    <row r="28108" spans="1:1" x14ac:dyDescent="0.3">
      <c r="A28108" s="20"/>
    </row>
    <row r="28109" spans="1:1" x14ac:dyDescent="0.3">
      <c r="A28109" s="20"/>
    </row>
    <row r="28110" spans="1:1" x14ac:dyDescent="0.3">
      <c r="A28110" s="20"/>
    </row>
    <row r="28111" spans="1:1" x14ac:dyDescent="0.3">
      <c r="A28111" s="20"/>
    </row>
    <row r="28112" spans="1:1" x14ac:dyDescent="0.3">
      <c r="A28112" s="20"/>
    </row>
    <row r="28113" spans="1:1" x14ac:dyDescent="0.3">
      <c r="A28113" s="20"/>
    </row>
    <row r="28114" spans="1:1" x14ac:dyDescent="0.3">
      <c r="A28114" s="20"/>
    </row>
    <row r="28115" spans="1:1" x14ac:dyDescent="0.3">
      <c r="A28115" s="20"/>
    </row>
    <row r="28116" spans="1:1" x14ac:dyDescent="0.3">
      <c r="A28116" s="20"/>
    </row>
    <row r="28117" spans="1:1" x14ac:dyDescent="0.3">
      <c r="A28117" s="20"/>
    </row>
    <row r="28118" spans="1:1" x14ac:dyDescent="0.3">
      <c r="A28118" s="20"/>
    </row>
    <row r="28119" spans="1:1" x14ac:dyDescent="0.3">
      <c r="A28119" s="20"/>
    </row>
    <row r="28120" spans="1:1" x14ac:dyDescent="0.3">
      <c r="A28120" s="20"/>
    </row>
    <row r="28121" spans="1:1" x14ac:dyDescent="0.3">
      <c r="A28121" s="20"/>
    </row>
    <row r="28122" spans="1:1" x14ac:dyDescent="0.3">
      <c r="A28122" s="20"/>
    </row>
    <row r="28123" spans="1:1" x14ac:dyDescent="0.3">
      <c r="A28123" s="20"/>
    </row>
    <row r="28124" spans="1:1" x14ac:dyDescent="0.3">
      <c r="A28124" s="20"/>
    </row>
    <row r="28125" spans="1:1" x14ac:dyDescent="0.3">
      <c r="A28125" s="20"/>
    </row>
    <row r="28126" spans="1:1" x14ac:dyDescent="0.3">
      <c r="A28126" s="20"/>
    </row>
    <row r="28127" spans="1:1" x14ac:dyDescent="0.3">
      <c r="A28127" s="20"/>
    </row>
    <row r="28128" spans="1:1" x14ac:dyDescent="0.3">
      <c r="A28128" s="20"/>
    </row>
    <row r="28129" spans="1:1" x14ac:dyDescent="0.3">
      <c r="A28129" s="20"/>
    </row>
    <row r="28130" spans="1:1" x14ac:dyDescent="0.3">
      <c r="A28130" s="20"/>
    </row>
    <row r="28131" spans="1:1" x14ac:dyDescent="0.3">
      <c r="A28131" s="20"/>
    </row>
    <row r="28132" spans="1:1" x14ac:dyDescent="0.3">
      <c r="A28132" s="20"/>
    </row>
    <row r="28133" spans="1:1" x14ac:dyDescent="0.3">
      <c r="A28133" s="20"/>
    </row>
    <row r="28134" spans="1:1" x14ac:dyDescent="0.3">
      <c r="A28134" s="20"/>
    </row>
    <row r="28135" spans="1:1" x14ac:dyDescent="0.3">
      <c r="A28135" s="20"/>
    </row>
    <row r="28136" spans="1:1" x14ac:dyDescent="0.3">
      <c r="A28136" s="20"/>
    </row>
    <row r="28137" spans="1:1" x14ac:dyDescent="0.3">
      <c r="A28137" s="20"/>
    </row>
    <row r="28138" spans="1:1" x14ac:dyDescent="0.3">
      <c r="A28138" s="20"/>
    </row>
    <row r="28139" spans="1:1" x14ac:dyDescent="0.3">
      <c r="A28139" s="20"/>
    </row>
    <row r="28140" spans="1:1" x14ac:dyDescent="0.3">
      <c r="A28140" s="20"/>
    </row>
    <row r="28141" spans="1:1" x14ac:dyDescent="0.3">
      <c r="A28141" s="20"/>
    </row>
    <row r="28142" spans="1:1" x14ac:dyDescent="0.3">
      <c r="A28142" s="20"/>
    </row>
    <row r="28143" spans="1:1" x14ac:dyDescent="0.3">
      <c r="A28143" s="20"/>
    </row>
    <row r="28144" spans="1:1" x14ac:dyDescent="0.3">
      <c r="A28144" s="20"/>
    </row>
    <row r="28145" spans="1:1" x14ac:dyDescent="0.3">
      <c r="A28145" s="20"/>
    </row>
    <row r="28146" spans="1:1" x14ac:dyDescent="0.3">
      <c r="A28146" s="20"/>
    </row>
    <row r="28147" spans="1:1" x14ac:dyDescent="0.3">
      <c r="A28147" s="20"/>
    </row>
    <row r="28148" spans="1:1" x14ac:dyDescent="0.3">
      <c r="A28148" s="20"/>
    </row>
    <row r="28149" spans="1:1" x14ac:dyDescent="0.3">
      <c r="A28149" s="20"/>
    </row>
    <row r="28150" spans="1:1" x14ac:dyDescent="0.3">
      <c r="A28150" s="20"/>
    </row>
    <row r="28151" spans="1:1" x14ac:dyDescent="0.3">
      <c r="A28151" s="20"/>
    </row>
    <row r="28152" spans="1:1" x14ac:dyDescent="0.3">
      <c r="A28152" s="20"/>
    </row>
    <row r="28153" spans="1:1" x14ac:dyDescent="0.3">
      <c r="A28153" s="20"/>
    </row>
    <row r="28154" spans="1:1" x14ac:dyDescent="0.3">
      <c r="A28154" s="20"/>
    </row>
    <row r="28155" spans="1:1" x14ac:dyDescent="0.3">
      <c r="A28155" s="20"/>
    </row>
    <row r="28156" spans="1:1" x14ac:dyDescent="0.3">
      <c r="A28156" s="20"/>
    </row>
    <row r="28157" spans="1:1" x14ac:dyDescent="0.3">
      <c r="A28157" s="20"/>
    </row>
    <row r="28158" spans="1:1" x14ac:dyDescent="0.3">
      <c r="A28158" s="20"/>
    </row>
    <row r="28159" spans="1:1" x14ac:dyDescent="0.3">
      <c r="A28159" s="20"/>
    </row>
    <row r="28160" spans="1:1" x14ac:dyDescent="0.3">
      <c r="A28160" s="20"/>
    </row>
    <row r="28161" spans="1:1" x14ac:dyDescent="0.3">
      <c r="A28161" s="20"/>
    </row>
    <row r="28162" spans="1:1" x14ac:dyDescent="0.3">
      <c r="A28162" s="20"/>
    </row>
    <row r="28163" spans="1:1" x14ac:dyDescent="0.3">
      <c r="A28163" s="20"/>
    </row>
    <row r="28164" spans="1:1" x14ac:dyDescent="0.3">
      <c r="A28164" s="20"/>
    </row>
    <row r="28165" spans="1:1" x14ac:dyDescent="0.3">
      <c r="A28165" s="20"/>
    </row>
    <row r="28166" spans="1:1" x14ac:dyDescent="0.3">
      <c r="A28166" s="20"/>
    </row>
    <row r="28167" spans="1:1" x14ac:dyDescent="0.3">
      <c r="A28167" s="20"/>
    </row>
    <row r="28168" spans="1:1" x14ac:dyDescent="0.3">
      <c r="A28168" s="20"/>
    </row>
    <row r="28169" spans="1:1" x14ac:dyDescent="0.3">
      <c r="A28169" s="20"/>
    </row>
    <row r="28170" spans="1:1" x14ac:dyDescent="0.3">
      <c r="A28170" s="20"/>
    </row>
    <row r="28171" spans="1:1" x14ac:dyDescent="0.3">
      <c r="A28171" s="20"/>
    </row>
    <row r="28172" spans="1:1" x14ac:dyDescent="0.3">
      <c r="A28172" s="20"/>
    </row>
    <row r="28173" spans="1:1" x14ac:dyDescent="0.3">
      <c r="A28173" s="20"/>
    </row>
    <row r="28174" spans="1:1" x14ac:dyDescent="0.3">
      <c r="A28174" s="20"/>
    </row>
    <row r="28175" spans="1:1" x14ac:dyDescent="0.3">
      <c r="A28175" s="20"/>
    </row>
    <row r="28176" spans="1:1" x14ac:dyDescent="0.3">
      <c r="A28176" s="20"/>
    </row>
    <row r="28177" spans="1:1" x14ac:dyDescent="0.3">
      <c r="A28177" s="20"/>
    </row>
    <row r="28178" spans="1:1" x14ac:dyDescent="0.3">
      <c r="A28178" s="20"/>
    </row>
    <row r="28179" spans="1:1" x14ac:dyDescent="0.3">
      <c r="A28179" s="20"/>
    </row>
    <row r="28180" spans="1:1" x14ac:dyDescent="0.3">
      <c r="A28180" s="20"/>
    </row>
    <row r="28181" spans="1:1" x14ac:dyDescent="0.3">
      <c r="A28181" s="20"/>
    </row>
    <row r="28182" spans="1:1" x14ac:dyDescent="0.3">
      <c r="A28182" s="20"/>
    </row>
    <row r="28183" spans="1:1" x14ac:dyDescent="0.3">
      <c r="A28183" s="20"/>
    </row>
    <row r="28184" spans="1:1" x14ac:dyDescent="0.3">
      <c r="A28184" s="20"/>
    </row>
    <row r="28185" spans="1:1" x14ac:dyDescent="0.3">
      <c r="A28185" s="20"/>
    </row>
    <row r="28186" spans="1:1" x14ac:dyDescent="0.3">
      <c r="A28186" s="20"/>
    </row>
    <row r="28187" spans="1:1" x14ac:dyDescent="0.3">
      <c r="A28187" s="20"/>
    </row>
    <row r="28188" spans="1:1" x14ac:dyDescent="0.3">
      <c r="A28188" s="20"/>
    </row>
    <row r="28189" spans="1:1" x14ac:dyDescent="0.3">
      <c r="A28189" s="20"/>
    </row>
    <row r="28190" spans="1:1" x14ac:dyDescent="0.3">
      <c r="A28190" s="20"/>
    </row>
    <row r="28191" spans="1:1" x14ac:dyDescent="0.3">
      <c r="A28191" s="20"/>
    </row>
    <row r="28192" spans="1:1" x14ac:dyDescent="0.3">
      <c r="A28192" s="20"/>
    </row>
    <row r="28193" spans="1:1" x14ac:dyDescent="0.3">
      <c r="A28193" s="20"/>
    </row>
    <row r="28194" spans="1:1" x14ac:dyDescent="0.3">
      <c r="A28194" s="20"/>
    </row>
    <row r="28195" spans="1:1" x14ac:dyDescent="0.3">
      <c r="A28195" s="20"/>
    </row>
    <row r="28196" spans="1:1" x14ac:dyDescent="0.3">
      <c r="A28196" s="20"/>
    </row>
    <row r="28197" spans="1:1" x14ac:dyDescent="0.3">
      <c r="A28197" s="20"/>
    </row>
    <row r="28198" spans="1:1" x14ac:dyDescent="0.3">
      <c r="A28198" s="20"/>
    </row>
    <row r="28199" spans="1:1" x14ac:dyDescent="0.3">
      <c r="A28199" s="20"/>
    </row>
    <row r="28200" spans="1:1" x14ac:dyDescent="0.3">
      <c r="A28200" s="20"/>
    </row>
    <row r="28201" spans="1:1" x14ac:dyDescent="0.3">
      <c r="A28201" s="20"/>
    </row>
    <row r="28202" spans="1:1" x14ac:dyDescent="0.3">
      <c r="A28202" s="20"/>
    </row>
    <row r="28203" spans="1:1" x14ac:dyDescent="0.3">
      <c r="A28203" s="20"/>
    </row>
    <row r="28204" spans="1:1" x14ac:dyDescent="0.3">
      <c r="A28204" s="20"/>
    </row>
    <row r="28205" spans="1:1" x14ac:dyDescent="0.3">
      <c r="A28205" s="20"/>
    </row>
    <row r="28206" spans="1:1" x14ac:dyDescent="0.3">
      <c r="A28206" s="20"/>
    </row>
    <row r="28207" spans="1:1" x14ac:dyDescent="0.3">
      <c r="A28207" s="20"/>
    </row>
    <row r="28208" spans="1:1" x14ac:dyDescent="0.3">
      <c r="A28208" s="20"/>
    </row>
    <row r="28209" spans="1:1" x14ac:dyDescent="0.3">
      <c r="A28209" s="20"/>
    </row>
    <row r="28210" spans="1:1" x14ac:dyDescent="0.3">
      <c r="A28210" s="20"/>
    </row>
    <row r="28211" spans="1:1" x14ac:dyDescent="0.3">
      <c r="A28211" s="20"/>
    </row>
    <row r="28212" spans="1:1" x14ac:dyDescent="0.3">
      <c r="A28212" s="20"/>
    </row>
    <row r="28213" spans="1:1" x14ac:dyDescent="0.3">
      <c r="A28213" s="20"/>
    </row>
    <row r="28214" spans="1:1" x14ac:dyDescent="0.3">
      <c r="A28214" s="20"/>
    </row>
    <row r="28215" spans="1:1" x14ac:dyDescent="0.3">
      <c r="A28215" s="20"/>
    </row>
    <row r="28216" spans="1:1" x14ac:dyDescent="0.3">
      <c r="A28216" s="20"/>
    </row>
    <row r="28217" spans="1:1" x14ac:dyDescent="0.3">
      <c r="A28217" s="20"/>
    </row>
    <row r="28218" spans="1:1" x14ac:dyDescent="0.3">
      <c r="A28218" s="20"/>
    </row>
    <row r="28219" spans="1:1" x14ac:dyDescent="0.3">
      <c r="A28219" s="20"/>
    </row>
    <row r="28220" spans="1:1" x14ac:dyDescent="0.3">
      <c r="A28220" s="20"/>
    </row>
    <row r="28221" spans="1:1" x14ac:dyDescent="0.3">
      <c r="A28221" s="20"/>
    </row>
    <row r="28222" spans="1:1" x14ac:dyDescent="0.3">
      <c r="A28222" s="20"/>
    </row>
    <row r="28223" spans="1:1" x14ac:dyDescent="0.3">
      <c r="A28223" s="20"/>
    </row>
    <row r="28224" spans="1:1" x14ac:dyDescent="0.3">
      <c r="A28224" s="20"/>
    </row>
    <row r="28225" spans="1:1" x14ac:dyDescent="0.3">
      <c r="A28225" s="20"/>
    </row>
    <row r="28226" spans="1:1" x14ac:dyDescent="0.3">
      <c r="A28226" s="20"/>
    </row>
    <row r="28227" spans="1:1" x14ac:dyDescent="0.3">
      <c r="A28227" s="20"/>
    </row>
    <row r="28228" spans="1:1" x14ac:dyDescent="0.3">
      <c r="A28228" s="20"/>
    </row>
    <row r="28229" spans="1:1" x14ac:dyDescent="0.3">
      <c r="A28229" s="20"/>
    </row>
    <row r="28230" spans="1:1" x14ac:dyDescent="0.3">
      <c r="A28230" s="20"/>
    </row>
    <row r="28231" spans="1:1" x14ac:dyDescent="0.3">
      <c r="A28231" s="20"/>
    </row>
    <row r="28232" spans="1:1" x14ac:dyDescent="0.3">
      <c r="A28232" s="20"/>
    </row>
    <row r="28233" spans="1:1" x14ac:dyDescent="0.3">
      <c r="A28233" s="20"/>
    </row>
    <row r="28234" spans="1:1" x14ac:dyDescent="0.3">
      <c r="A28234" s="20"/>
    </row>
    <row r="28235" spans="1:1" x14ac:dyDescent="0.3">
      <c r="A28235" s="20"/>
    </row>
    <row r="28236" spans="1:1" x14ac:dyDescent="0.3">
      <c r="A28236" s="20"/>
    </row>
    <row r="28237" spans="1:1" x14ac:dyDescent="0.3">
      <c r="A28237" s="20"/>
    </row>
    <row r="28238" spans="1:1" x14ac:dyDescent="0.3">
      <c r="A28238" s="20"/>
    </row>
    <row r="28239" spans="1:1" x14ac:dyDescent="0.3">
      <c r="A28239" s="20"/>
    </row>
    <row r="28240" spans="1:1" x14ac:dyDescent="0.3">
      <c r="A28240" s="20"/>
    </row>
    <row r="28241" spans="1:1" x14ac:dyDescent="0.3">
      <c r="A28241" s="20"/>
    </row>
    <row r="28242" spans="1:1" x14ac:dyDescent="0.3">
      <c r="A28242" s="20"/>
    </row>
    <row r="28243" spans="1:1" x14ac:dyDescent="0.3">
      <c r="A28243" s="20"/>
    </row>
    <row r="28244" spans="1:1" x14ac:dyDescent="0.3">
      <c r="A28244" s="20"/>
    </row>
    <row r="28245" spans="1:1" x14ac:dyDescent="0.3">
      <c r="A28245" s="20"/>
    </row>
    <row r="28246" spans="1:1" x14ac:dyDescent="0.3">
      <c r="A28246" s="20"/>
    </row>
    <row r="28247" spans="1:1" x14ac:dyDescent="0.3">
      <c r="A28247" s="20"/>
    </row>
    <row r="28248" spans="1:1" x14ac:dyDescent="0.3">
      <c r="A28248" s="20"/>
    </row>
    <row r="28249" spans="1:1" x14ac:dyDescent="0.3">
      <c r="A28249" s="20"/>
    </row>
    <row r="28250" spans="1:1" x14ac:dyDescent="0.3">
      <c r="A28250" s="20"/>
    </row>
    <row r="28251" spans="1:1" x14ac:dyDescent="0.3">
      <c r="A28251" s="20"/>
    </row>
    <row r="28252" spans="1:1" x14ac:dyDescent="0.3">
      <c r="A28252" s="20"/>
    </row>
    <row r="28253" spans="1:1" x14ac:dyDescent="0.3">
      <c r="A28253" s="20"/>
    </row>
    <row r="28254" spans="1:1" x14ac:dyDescent="0.3">
      <c r="A28254" s="20"/>
    </row>
    <row r="28255" spans="1:1" x14ac:dyDescent="0.3">
      <c r="A28255" s="20"/>
    </row>
    <row r="28256" spans="1:1" x14ac:dyDescent="0.3">
      <c r="A28256" s="20"/>
    </row>
    <row r="28257" spans="1:1" x14ac:dyDescent="0.3">
      <c r="A28257" s="20"/>
    </row>
    <row r="28258" spans="1:1" x14ac:dyDescent="0.3">
      <c r="A28258" s="20"/>
    </row>
    <row r="28259" spans="1:1" x14ac:dyDescent="0.3">
      <c r="A28259" s="20"/>
    </row>
    <row r="28260" spans="1:1" x14ac:dyDescent="0.3">
      <c r="A28260" s="20"/>
    </row>
    <row r="28261" spans="1:1" x14ac:dyDescent="0.3">
      <c r="A28261" s="20"/>
    </row>
    <row r="28262" spans="1:1" x14ac:dyDescent="0.3">
      <c r="A28262" s="20"/>
    </row>
    <row r="28263" spans="1:1" x14ac:dyDescent="0.3">
      <c r="A28263" s="20"/>
    </row>
    <row r="28264" spans="1:1" x14ac:dyDescent="0.3">
      <c r="A28264" s="20"/>
    </row>
    <row r="28265" spans="1:1" x14ac:dyDescent="0.3">
      <c r="A28265" s="20"/>
    </row>
    <row r="28266" spans="1:1" x14ac:dyDescent="0.3">
      <c r="A28266" s="20"/>
    </row>
    <row r="28267" spans="1:1" x14ac:dyDescent="0.3">
      <c r="A28267" s="20"/>
    </row>
    <row r="28268" spans="1:1" x14ac:dyDescent="0.3">
      <c r="A28268" s="20"/>
    </row>
    <row r="28269" spans="1:1" x14ac:dyDescent="0.3">
      <c r="A28269" s="20"/>
    </row>
    <row r="28270" spans="1:1" x14ac:dyDescent="0.3">
      <c r="A28270" s="20"/>
    </row>
    <row r="28271" spans="1:1" x14ac:dyDescent="0.3">
      <c r="A28271" s="20"/>
    </row>
    <row r="28272" spans="1:1" x14ac:dyDescent="0.3">
      <c r="A28272" s="20"/>
    </row>
    <row r="28273" spans="1:1" x14ac:dyDescent="0.3">
      <c r="A28273" s="20"/>
    </row>
    <row r="28274" spans="1:1" x14ac:dyDescent="0.3">
      <c r="A28274" s="20"/>
    </row>
    <row r="28275" spans="1:1" x14ac:dyDescent="0.3">
      <c r="A28275" s="20"/>
    </row>
    <row r="28276" spans="1:1" x14ac:dyDescent="0.3">
      <c r="A28276" s="20"/>
    </row>
    <row r="28277" spans="1:1" x14ac:dyDescent="0.3">
      <c r="A28277" s="20"/>
    </row>
    <row r="28278" spans="1:1" x14ac:dyDescent="0.3">
      <c r="A28278" s="20"/>
    </row>
    <row r="28279" spans="1:1" x14ac:dyDescent="0.3">
      <c r="A28279" s="20"/>
    </row>
    <row r="28280" spans="1:1" x14ac:dyDescent="0.3">
      <c r="A28280" s="20"/>
    </row>
    <row r="28281" spans="1:1" x14ac:dyDescent="0.3">
      <c r="A28281" s="20"/>
    </row>
    <row r="28282" spans="1:1" x14ac:dyDescent="0.3">
      <c r="A28282" s="20"/>
    </row>
    <row r="28283" spans="1:1" x14ac:dyDescent="0.3">
      <c r="A28283" s="20"/>
    </row>
    <row r="28284" spans="1:1" x14ac:dyDescent="0.3">
      <c r="A28284" s="20"/>
    </row>
    <row r="28285" spans="1:1" x14ac:dyDescent="0.3">
      <c r="A28285" s="20"/>
    </row>
    <row r="28286" spans="1:1" x14ac:dyDescent="0.3">
      <c r="A28286" s="20"/>
    </row>
    <row r="28287" spans="1:1" x14ac:dyDescent="0.3">
      <c r="A28287" s="20"/>
    </row>
    <row r="28288" spans="1:1" x14ac:dyDescent="0.3">
      <c r="A28288" s="20"/>
    </row>
    <row r="28289" spans="1:1" x14ac:dyDescent="0.3">
      <c r="A28289" s="20"/>
    </row>
    <row r="28290" spans="1:1" x14ac:dyDescent="0.3">
      <c r="A28290" s="20"/>
    </row>
    <row r="28291" spans="1:1" x14ac:dyDescent="0.3">
      <c r="A28291" s="20"/>
    </row>
    <row r="28292" spans="1:1" x14ac:dyDescent="0.3">
      <c r="A28292" s="20"/>
    </row>
    <row r="28293" spans="1:1" x14ac:dyDescent="0.3">
      <c r="A28293" s="20"/>
    </row>
    <row r="28294" spans="1:1" x14ac:dyDescent="0.3">
      <c r="A28294" s="20"/>
    </row>
    <row r="28295" spans="1:1" x14ac:dyDescent="0.3">
      <c r="A28295" s="20"/>
    </row>
    <row r="28296" spans="1:1" x14ac:dyDescent="0.3">
      <c r="A28296" s="20"/>
    </row>
    <row r="28297" spans="1:1" x14ac:dyDescent="0.3">
      <c r="A28297" s="20"/>
    </row>
    <row r="28298" spans="1:1" x14ac:dyDescent="0.3">
      <c r="A28298" s="20"/>
    </row>
    <row r="28299" spans="1:1" x14ac:dyDescent="0.3">
      <c r="A28299" s="20"/>
    </row>
    <row r="28300" spans="1:1" x14ac:dyDescent="0.3">
      <c r="A28300" s="20"/>
    </row>
    <row r="28301" spans="1:1" x14ac:dyDescent="0.3">
      <c r="A28301" s="20"/>
    </row>
    <row r="28302" spans="1:1" x14ac:dyDescent="0.3">
      <c r="A28302" s="20"/>
    </row>
    <row r="28303" spans="1:1" x14ac:dyDescent="0.3">
      <c r="A28303" s="20"/>
    </row>
    <row r="28304" spans="1:1" x14ac:dyDescent="0.3">
      <c r="A28304" s="20"/>
    </row>
    <row r="28305" spans="1:1" x14ac:dyDescent="0.3">
      <c r="A28305" s="20"/>
    </row>
    <row r="28306" spans="1:1" x14ac:dyDescent="0.3">
      <c r="A28306" s="20"/>
    </row>
    <row r="28307" spans="1:1" x14ac:dyDescent="0.3">
      <c r="A28307" s="20"/>
    </row>
    <row r="28308" spans="1:1" x14ac:dyDescent="0.3">
      <c r="A28308" s="20"/>
    </row>
    <row r="28309" spans="1:1" x14ac:dyDescent="0.3">
      <c r="A28309" s="20"/>
    </row>
    <row r="28310" spans="1:1" x14ac:dyDescent="0.3">
      <c r="A28310" s="20"/>
    </row>
    <row r="28311" spans="1:1" x14ac:dyDescent="0.3">
      <c r="A28311" s="20"/>
    </row>
    <row r="28312" spans="1:1" x14ac:dyDescent="0.3">
      <c r="A28312" s="20"/>
    </row>
    <row r="28313" spans="1:1" x14ac:dyDescent="0.3">
      <c r="A28313" s="20"/>
    </row>
    <row r="28314" spans="1:1" x14ac:dyDescent="0.3">
      <c r="A28314" s="20"/>
    </row>
    <row r="28315" spans="1:1" x14ac:dyDescent="0.3">
      <c r="A28315" s="20"/>
    </row>
    <row r="28316" spans="1:1" x14ac:dyDescent="0.3">
      <c r="A28316" s="20"/>
    </row>
    <row r="28317" spans="1:1" x14ac:dyDescent="0.3">
      <c r="A28317" s="20"/>
    </row>
    <row r="28318" spans="1:1" x14ac:dyDescent="0.3">
      <c r="A28318" s="20"/>
    </row>
    <row r="28319" spans="1:1" x14ac:dyDescent="0.3">
      <c r="A28319" s="20"/>
    </row>
    <row r="28320" spans="1:1" x14ac:dyDescent="0.3">
      <c r="A28320" s="20"/>
    </row>
    <row r="28321" spans="1:1" x14ac:dyDescent="0.3">
      <c r="A28321" s="20"/>
    </row>
    <row r="28322" spans="1:1" x14ac:dyDescent="0.3">
      <c r="A28322" s="20"/>
    </row>
    <row r="28323" spans="1:1" x14ac:dyDescent="0.3">
      <c r="A28323" s="20"/>
    </row>
    <row r="28324" spans="1:1" x14ac:dyDescent="0.3">
      <c r="A28324" s="20"/>
    </row>
    <row r="28325" spans="1:1" x14ac:dyDescent="0.3">
      <c r="A28325" s="20"/>
    </row>
    <row r="28326" spans="1:1" x14ac:dyDescent="0.3">
      <c r="A28326" s="20"/>
    </row>
    <row r="28327" spans="1:1" x14ac:dyDescent="0.3">
      <c r="A28327" s="20"/>
    </row>
    <row r="28328" spans="1:1" x14ac:dyDescent="0.3">
      <c r="A28328" s="20"/>
    </row>
    <row r="28329" spans="1:1" x14ac:dyDescent="0.3">
      <c r="A28329" s="20"/>
    </row>
    <row r="28330" spans="1:1" x14ac:dyDescent="0.3">
      <c r="A28330" s="20"/>
    </row>
    <row r="28331" spans="1:1" x14ac:dyDescent="0.3">
      <c r="A28331" s="20"/>
    </row>
    <row r="28332" spans="1:1" x14ac:dyDescent="0.3">
      <c r="A28332" s="20"/>
    </row>
    <row r="28333" spans="1:1" x14ac:dyDescent="0.3">
      <c r="A28333" s="20"/>
    </row>
    <row r="28334" spans="1:1" x14ac:dyDescent="0.3">
      <c r="A28334" s="20"/>
    </row>
    <row r="28335" spans="1:1" x14ac:dyDescent="0.3">
      <c r="A28335" s="20"/>
    </row>
    <row r="28336" spans="1:1" x14ac:dyDescent="0.3">
      <c r="A28336" s="20"/>
    </row>
    <row r="28337" spans="1:1" x14ac:dyDescent="0.3">
      <c r="A28337" s="20"/>
    </row>
    <row r="28338" spans="1:1" x14ac:dyDescent="0.3">
      <c r="A28338" s="20"/>
    </row>
    <row r="28339" spans="1:1" x14ac:dyDescent="0.3">
      <c r="A28339" s="20"/>
    </row>
    <row r="28340" spans="1:1" x14ac:dyDescent="0.3">
      <c r="A28340" s="20"/>
    </row>
    <row r="28341" spans="1:1" x14ac:dyDescent="0.3">
      <c r="A28341" s="20"/>
    </row>
    <row r="28342" spans="1:1" x14ac:dyDescent="0.3">
      <c r="A28342" s="20"/>
    </row>
    <row r="28343" spans="1:1" x14ac:dyDescent="0.3">
      <c r="A28343" s="20"/>
    </row>
    <row r="28344" spans="1:1" x14ac:dyDescent="0.3">
      <c r="A28344" s="20"/>
    </row>
    <row r="28345" spans="1:1" x14ac:dyDescent="0.3">
      <c r="A28345" s="20"/>
    </row>
    <row r="28346" spans="1:1" x14ac:dyDescent="0.3">
      <c r="A28346" s="20"/>
    </row>
    <row r="28347" spans="1:1" x14ac:dyDescent="0.3">
      <c r="A28347" s="20"/>
    </row>
    <row r="28348" spans="1:1" x14ac:dyDescent="0.3">
      <c r="A28348" s="20"/>
    </row>
    <row r="28349" spans="1:1" x14ac:dyDescent="0.3">
      <c r="A28349" s="20"/>
    </row>
    <row r="28350" spans="1:1" x14ac:dyDescent="0.3">
      <c r="A28350" s="20"/>
    </row>
    <row r="28351" spans="1:1" x14ac:dyDescent="0.3">
      <c r="A28351" s="20"/>
    </row>
    <row r="28352" spans="1:1" x14ac:dyDescent="0.3">
      <c r="A28352" s="20"/>
    </row>
    <row r="28353" spans="1:1" x14ac:dyDescent="0.3">
      <c r="A28353" s="20"/>
    </row>
    <row r="28354" spans="1:1" x14ac:dyDescent="0.3">
      <c r="A28354" s="20"/>
    </row>
    <row r="28355" spans="1:1" x14ac:dyDescent="0.3">
      <c r="A28355" s="20"/>
    </row>
    <row r="28356" spans="1:1" x14ac:dyDescent="0.3">
      <c r="A28356" s="20"/>
    </row>
    <row r="28357" spans="1:1" x14ac:dyDescent="0.3">
      <c r="A28357" s="20"/>
    </row>
    <row r="28358" spans="1:1" x14ac:dyDescent="0.3">
      <c r="A28358" s="20"/>
    </row>
    <row r="28359" spans="1:1" x14ac:dyDescent="0.3">
      <c r="A28359" s="20"/>
    </row>
    <row r="28360" spans="1:1" x14ac:dyDescent="0.3">
      <c r="A28360" s="20"/>
    </row>
    <row r="28361" spans="1:1" x14ac:dyDescent="0.3">
      <c r="A28361" s="20"/>
    </row>
    <row r="28362" spans="1:1" x14ac:dyDescent="0.3">
      <c r="A28362" s="20"/>
    </row>
    <row r="28363" spans="1:1" x14ac:dyDescent="0.3">
      <c r="A28363" s="20"/>
    </row>
    <row r="28364" spans="1:1" x14ac:dyDescent="0.3">
      <c r="A28364" s="20"/>
    </row>
    <row r="28365" spans="1:1" x14ac:dyDescent="0.3">
      <c r="A28365" s="20"/>
    </row>
    <row r="28366" spans="1:1" x14ac:dyDescent="0.3">
      <c r="A28366" s="20"/>
    </row>
    <row r="28367" spans="1:1" x14ac:dyDescent="0.3">
      <c r="A28367" s="20"/>
    </row>
    <row r="28368" spans="1:1" x14ac:dyDescent="0.3">
      <c r="A28368" s="20"/>
    </row>
    <row r="28369" spans="1:1" x14ac:dyDescent="0.3">
      <c r="A28369" s="20"/>
    </row>
    <row r="28370" spans="1:1" x14ac:dyDescent="0.3">
      <c r="A28370" s="20"/>
    </row>
    <row r="28371" spans="1:1" x14ac:dyDescent="0.3">
      <c r="A28371" s="20"/>
    </row>
    <row r="28372" spans="1:1" x14ac:dyDescent="0.3">
      <c r="A28372" s="20"/>
    </row>
    <row r="28373" spans="1:1" x14ac:dyDescent="0.3">
      <c r="A28373" s="20"/>
    </row>
    <row r="28374" spans="1:1" x14ac:dyDescent="0.3">
      <c r="A28374" s="20"/>
    </row>
    <row r="28375" spans="1:1" x14ac:dyDescent="0.3">
      <c r="A28375" s="20"/>
    </row>
    <row r="28376" spans="1:1" x14ac:dyDescent="0.3">
      <c r="A28376" s="20"/>
    </row>
    <row r="28377" spans="1:1" x14ac:dyDescent="0.3">
      <c r="A28377" s="20"/>
    </row>
    <row r="28378" spans="1:1" x14ac:dyDescent="0.3">
      <c r="A28378" s="20"/>
    </row>
    <row r="28379" spans="1:1" x14ac:dyDescent="0.3">
      <c r="A28379" s="20"/>
    </row>
    <row r="28380" spans="1:1" x14ac:dyDescent="0.3">
      <c r="A28380" s="20"/>
    </row>
    <row r="28381" spans="1:1" x14ac:dyDescent="0.3">
      <c r="A28381" s="20"/>
    </row>
    <row r="28382" spans="1:1" x14ac:dyDescent="0.3">
      <c r="A28382" s="20"/>
    </row>
    <row r="28383" spans="1:1" x14ac:dyDescent="0.3">
      <c r="A28383" s="20"/>
    </row>
    <row r="28384" spans="1:1" x14ac:dyDescent="0.3">
      <c r="A28384" s="20"/>
    </row>
    <row r="28385" spans="1:1" x14ac:dyDescent="0.3">
      <c r="A28385" s="20"/>
    </row>
    <row r="28386" spans="1:1" x14ac:dyDescent="0.3">
      <c r="A28386" s="20"/>
    </row>
    <row r="28387" spans="1:1" x14ac:dyDescent="0.3">
      <c r="A28387" s="20"/>
    </row>
    <row r="28388" spans="1:1" x14ac:dyDescent="0.3">
      <c r="A28388" s="20"/>
    </row>
    <row r="28389" spans="1:1" x14ac:dyDescent="0.3">
      <c r="A28389" s="20"/>
    </row>
    <row r="28390" spans="1:1" x14ac:dyDescent="0.3">
      <c r="A28390" s="20"/>
    </row>
    <row r="28391" spans="1:1" x14ac:dyDescent="0.3">
      <c r="A28391" s="20"/>
    </row>
    <row r="28392" spans="1:1" x14ac:dyDescent="0.3">
      <c r="A28392" s="20"/>
    </row>
    <row r="28393" spans="1:1" x14ac:dyDescent="0.3">
      <c r="A28393" s="20"/>
    </row>
    <row r="28394" spans="1:1" x14ac:dyDescent="0.3">
      <c r="A28394" s="20"/>
    </row>
    <row r="28395" spans="1:1" x14ac:dyDescent="0.3">
      <c r="A28395" s="20"/>
    </row>
    <row r="28396" spans="1:1" x14ac:dyDescent="0.3">
      <c r="A28396" s="20"/>
    </row>
    <row r="28397" spans="1:1" x14ac:dyDescent="0.3">
      <c r="A28397" s="20"/>
    </row>
    <row r="28398" spans="1:1" x14ac:dyDescent="0.3">
      <c r="A28398" s="20"/>
    </row>
    <row r="28399" spans="1:1" x14ac:dyDescent="0.3">
      <c r="A28399" s="20"/>
    </row>
    <row r="28400" spans="1:1" x14ac:dyDescent="0.3">
      <c r="A28400" s="20"/>
    </row>
    <row r="28401" spans="1:1" x14ac:dyDescent="0.3">
      <c r="A28401" s="20"/>
    </row>
    <row r="28402" spans="1:1" x14ac:dyDescent="0.3">
      <c r="A28402" s="20"/>
    </row>
    <row r="28403" spans="1:1" x14ac:dyDescent="0.3">
      <c r="A28403" s="20"/>
    </row>
    <row r="28404" spans="1:1" x14ac:dyDescent="0.3">
      <c r="A28404" s="20"/>
    </row>
    <row r="28405" spans="1:1" x14ac:dyDescent="0.3">
      <c r="A28405" s="20"/>
    </row>
    <row r="28406" spans="1:1" x14ac:dyDescent="0.3">
      <c r="A28406" s="20"/>
    </row>
    <row r="28407" spans="1:1" x14ac:dyDescent="0.3">
      <c r="A28407" s="20"/>
    </row>
    <row r="28408" spans="1:1" x14ac:dyDescent="0.3">
      <c r="A28408" s="20"/>
    </row>
    <row r="28409" spans="1:1" x14ac:dyDescent="0.3">
      <c r="A28409" s="20"/>
    </row>
    <row r="28410" spans="1:1" x14ac:dyDescent="0.3">
      <c r="A28410" s="20"/>
    </row>
    <row r="28411" spans="1:1" x14ac:dyDescent="0.3">
      <c r="A28411" s="20"/>
    </row>
    <row r="28412" spans="1:1" x14ac:dyDescent="0.3">
      <c r="A28412" s="20"/>
    </row>
    <row r="28413" spans="1:1" x14ac:dyDescent="0.3">
      <c r="A28413" s="20"/>
    </row>
    <row r="28414" spans="1:1" x14ac:dyDescent="0.3">
      <c r="A28414" s="20"/>
    </row>
    <row r="28415" spans="1:1" x14ac:dyDescent="0.3">
      <c r="A28415" s="20"/>
    </row>
    <row r="28416" spans="1:1" x14ac:dyDescent="0.3">
      <c r="A28416" s="20"/>
    </row>
    <row r="28417" spans="1:1" x14ac:dyDescent="0.3">
      <c r="A28417" s="20"/>
    </row>
    <row r="28418" spans="1:1" x14ac:dyDescent="0.3">
      <c r="A28418" s="20"/>
    </row>
    <row r="28419" spans="1:1" x14ac:dyDescent="0.3">
      <c r="A28419" s="20"/>
    </row>
    <row r="28420" spans="1:1" x14ac:dyDescent="0.3">
      <c r="A28420" s="20"/>
    </row>
    <row r="28421" spans="1:1" x14ac:dyDescent="0.3">
      <c r="A28421" s="20"/>
    </row>
    <row r="28422" spans="1:1" x14ac:dyDescent="0.3">
      <c r="A28422" s="20"/>
    </row>
    <row r="28423" spans="1:1" x14ac:dyDescent="0.3">
      <c r="A28423" s="20"/>
    </row>
    <row r="28424" spans="1:1" x14ac:dyDescent="0.3">
      <c r="A28424" s="20"/>
    </row>
    <row r="28425" spans="1:1" x14ac:dyDescent="0.3">
      <c r="A28425" s="20"/>
    </row>
    <row r="28426" spans="1:1" x14ac:dyDescent="0.3">
      <c r="A28426" s="20"/>
    </row>
    <row r="28427" spans="1:1" x14ac:dyDescent="0.3">
      <c r="A28427" s="20"/>
    </row>
    <row r="28428" spans="1:1" x14ac:dyDescent="0.3">
      <c r="A28428" s="20"/>
    </row>
    <row r="28429" spans="1:1" x14ac:dyDescent="0.3">
      <c r="A28429" s="20"/>
    </row>
    <row r="28430" spans="1:1" x14ac:dyDescent="0.3">
      <c r="A28430" s="20"/>
    </row>
    <row r="28431" spans="1:1" x14ac:dyDescent="0.3">
      <c r="A28431" s="20"/>
    </row>
    <row r="28432" spans="1:1" x14ac:dyDescent="0.3">
      <c r="A28432" s="20"/>
    </row>
    <row r="28433" spans="1:1" x14ac:dyDescent="0.3">
      <c r="A28433" s="20"/>
    </row>
    <row r="28434" spans="1:1" x14ac:dyDescent="0.3">
      <c r="A28434" s="20"/>
    </row>
    <row r="28435" spans="1:1" x14ac:dyDescent="0.3">
      <c r="A28435" s="20"/>
    </row>
    <row r="28436" spans="1:1" x14ac:dyDescent="0.3">
      <c r="A28436" s="20"/>
    </row>
    <row r="28437" spans="1:1" x14ac:dyDescent="0.3">
      <c r="A28437" s="20"/>
    </row>
    <row r="28438" spans="1:1" x14ac:dyDescent="0.3">
      <c r="A28438" s="20"/>
    </row>
    <row r="28439" spans="1:1" x14ac:dyDescent="0.3">
      <c r="A28439" s="20"/>
    </row>
    <row r="28440" spans="1:1" x14ac:dyDescent="0.3">
      <c r="A28440" s="20"/>
    </row>
    <row r="28441" spans="1:1" x14ac:dyDescent="0.3">
      <c r="A28441" s="20"/>
    </row>
    <row r="28442" spans="1:1" x14ac:dyDescent="0.3">
      <c r="A28442" s="20"/>
    </row>
    <row r="28443" spans="1:1" x14ac:dyDescent="0.3">
      <c r="A28443" s="20"/>
    </row>
    <row r="28444" spans="1:1" x14ac:dyDescent="0.3">
      <c r="A28444" s="20"/>
    </row>
    <row r="28445" spans="1:1" x14ac:dyDescent="0.3">
      <c r="A28445" s="20"/>
    </row>
    <row r="28446" spans="1:1" x14ac:dyDescent="0.3">
      <c r="A28446" s="20"/>
    </row>
    <row r="28447" spans="1:1" x14ac:dyDescent="0.3">
      <c r="A28447" s="20"/>
    </row>
    <row r="28448" spans="1:1" x14ac:dyDescent="0.3">
      <c r="A28448" s="20"/>
    </row>
    <row r="28449" spans="1:1" x14ac:dyDescent="0.3">
      <c r="A28449" s="20"/>
    </row>
    <row r="28450" spans="1:1" x14ac:dyDescent="0.3">
      <c r="A28450" s="20"/>
    </row>
    <row r="28451" spans="1:1" x14ac:dyDescent="0.3">
      <c r="A28451" s="20"/>
    </row>
    <row r="28452" spans="1:1" x14ac:dyDescent="0.3">
      <c r="A28452" s="20"/>
    </row>
    <row r="28453" spans="1:1" x14ac:dyDescent="0.3">
      <c r="A28453" s="20"/>
    </row>
    <row r="28454" spans="1:1" x14ac:dyDescent="0.3">
      <c r="A28454" s="20"/>
    </row>
    <row r="28455" spans="1:1" x14ac:dyDescent="0.3">
      <c r="A28455" s="20"/>
    </row>
    <row r="28456" spans="1:1" x14ac:dyDescent="0.3">
      <c r="A28456" s="20"/>
    </row>
    <row r="28457" spans="1:1" x14ac:dyDescent="0.3">
      <c r="A28457" s="20"/>
    </row>
    <row r="28458" spans="1:1" x14ac:dyDescent="0.3">
      <c r="A28458" s="20"/>
    </row>
    <row r="28459" spans="1:1" x14ac:dyDescent="0.3">
      <c r="A28459" s="20"/>
    </row>
    <row r="28460" spans="1:1" x14ac:dyDescent="0.3">
      <c r="A28460" s="20"/>
    </row>
    <row r="28461" spans="1:1" x14ac:dyDescent="0.3">
      <c r="A28461" s="20"/>
    </row>
    <row r="28462" spans="1:1" x14ac:dyDescent="0.3">
      <c r="A28462" s="20"/>
    </row>
    <row r="28463" spans="1:1" x14ac:dyDescent="0.3">
      <c r="A28463" s="20"/>
    </row>
    <row r="28464" spans="1:1" x14ac:dyDescent="0.3">
      <c r="A28464" s="20"/>
    </row>
    <row r="28465" spans="1:1" x14ac:dyDescent="0.3">
      <c r="A28465" s="20"/>
    </row>
    <row r="28466" spans="1:1" x14ac:dyDescent="0.3">
      <c r="A28466" s="20"/>
    </row>
    <row r="28467" spans="1:1" x14ac:dyDescent="0.3">
      <c r="A28467" s="20"/>
    </row>
    <row r="28468" spans="1:1" x14ac:dyDescent="0.3">
      <c r="A28468" s="20"/>
    </row>
    <row r="28469" spans="1:1" x14ac:dyDescent="0.3">
      <c r="A28469" s="20"/>
    </row>
    <row r="28470" spans="1:1" x14ac:dyDescent="0.3">
      <c r="A28470" s="20"/>
    </row>
    <row r="28471" spans="1:1" x14ac:dyDescent="0.3">
      <c r="A28471" s="20"/>
    </row>
    <row r="28472" spans="1:1" x14ac:dyDescent="0.3">
      <c r="A28472" s="20"/>
    </row>
    <row r="28473" spans="1:1" x14ac:dyDescent="0.3">
      <c r="A28473" s="20"/>
    </row>
    <row r="28474" spans="1:1" x14ac:dyDescent="0.3">
      <c r="A28474" s="20"/>
    </row>
    <row r="28475" spans="1:1" x14ac:dyDescent="0.3">
      <c r="A28475" s="20"/>
    </row>
    <row r="28476" spans="1:1" x14ac:dyDescent="0.3">
      <c r="A28476" s="20"/>
    </row>
    <row r="28477" spans="1:1" x14ac:dyDescent="0.3">
      <c r="A28477" s="20"/>
    </row>
    <row r="28478" spans="1:1" x14ac:dyDescent="0.3">
      <c r="A28478" s="20"/>
    </row>
    <row r="28479" spans="1:1" x14ac:dyDescent="0.3">
      <c r="A28479" s="20"/>
    </row>
    <row r="28480" spans="1:1" x14ac:dyDescent="0.3">
      <c r="A28480" s="20"/>
    </row>
    <row r="28481" spans="1:1" x14ac:dyDescent="0.3">
      <c r="A28481" s="20"/>
    </row>
    <row r="28482" spans="1:1" x14ac:dyDescent="0.3">
      <c r="A28482" s="20"/>
    </row>
    <row r="28483" spans="1:1" x14ac:dyDescent="0.3">
      <c r="A28483" s="20"/>
    </row>
    <row r="28484" spans="1:1" x14ac:dyDescent="0.3">
      <c r="A28484" s="20"/>
    </row>
    <row r="28485" spans="1:1" x14ac:dyDescent="0.3">
      <c r="A28485" s="20"/>
    </row>
    <row r="28486" spans="1:1" x14ac:dyDescent="0.3">
      <c r="A28486" s="20"/>
    </row>
    <row r="28487" spans="1:1" x14ac:dyDescent="0.3">
      <c r="A28487" s="20"/>
    </row>
    <row r="28488" spans="1:1" x14ac:dyDescent="0.3">
      <c r="A28488" s="20"/>
    </row>
    <row r="28489" spans="1:1" x14ac:dyDescent="0.3">
      <c r="A28489" s="20"/>
    </row>
    <row r="28490" spans="1:1" x14ac:dyDescent="0.3">
      <c r="A28490" s="20"/>
    </row>
    <row r="28491" spans="1:1" x14ac:dyDescent="0.3">
      <c r="A28491" s="20"/>
    </row>
    <row r="28492" spans="1:1" x14ac:dyDescent="0.3">
      <c r="A28492" s="20"/>
    </row>
    <row r="28493" spans="1:1" x14ac:dyDescent="0.3">
      <c r="A28493" s="20"/>
    </row>
    <row r="28494" spans="1:1" x14ac:dyDescent="0.3">
      <c r="A28494" s="20"/>
    </row>
    <row r="28495" spans="1:1" x14ac:dyDescent="0.3">
      <c r="A28495" s="20"/>
    </row>
    <row r="28496" spans="1:1" x14ac:dyDescent="0.3">
      <c r="A28496" s="20"/>
    </row>
    <row r="28497" spans="1:1" x14ac:dyDescent="0.3">
      <c r="A28497" s="20"/>
    </row>
    <row r="28498" spans="1:1" x14ac:dyDescent="0.3">
      <c r="A28498" s="20"/>
    </row>
    <row r="28499" spans="1:1" x14ac:dyDescent="0.3">
      <c r="A28499" s="20"/>
    </row>
    <row r="28500" spans="1:1" x14ac:dyDescent="0.3">
      <c r="A28500" s="20"/>
    </row>
    <row r="28501" spans="1:1" x14ac:dyDescent="0.3">
      <c r="A28501" s="20"/>
    </row>
    <row r="28502" spans="1:1" x14ac:dyDescent="0.3">
      <c r="A28502" s="20"/>
    </row>
    <row r="28503" spans="1:1" x14ac:dyDescent="0.3">
      <c r="A28503" s="20"/>
    </row>
    <row r="28504" spans="1:1" x14ac:dyDescent="0.3">
      <c r="A28504" s="20"/>
    </row>
    <row r="28505" spans="1:1" x14ac:dyDescent="0.3">
      <c r="A28505" s="20"/>
    </row>
    <row r="28506" spans="1:1" x14ac:dyDescent="0.3">
      <c r="A28506" s="20"/>
    </row>
    <row r="28507" spans="1:1" x14ac:dyDescent="0.3">
      <c r="A28507" s="20"/>
    </row>
    <row r="28508" spans="1:1" x14ac:dyDescent="0.3">
      <c r="A28508" s="20"/>
    </row>
    <row r="28509" spans="1:1" x14ac:dyDescent="0.3">
      <c r="A28509" s="20"/>
    </row>
    <row r="28510" spans="1:1" x14ac:dyDescent="0.3">
      <c r="A28510" s="20"/>
    </row>
    <row r="28511" spans="1:1" x14ac:dyDescent="0.3">
      <c r="A28511" s="20"/>
    </row>
    <row r="28512" spans="1:1" x14ac:dyDescent="0.3">
      <c r="A28512" s="20"/>
    </row>
    <row r="28513" spans="1:1" x14ac:dyDescent="0.3">
      <c r="A28513" s="20"/>
    </row>
    <row r="28514" spans="1:1" x14ac:dyDescent="0.3">
      <c r="A28514" s="20"/>
    </row>
    <row r="28515" spans="1:1" x14ac:dyDescent="0.3">
      <c r="A28515" s="20"/>
    </row>
    <row r="28516" spans="1:1" x14ac:dyDescent="0.3">
      <c r="A28516" s="20"/>
    </row>
    <row r="28517" spans="1:1" x14ac:dyDescent="0.3">
      <c r="A28517" s="20"/>
    </row>
    <row r="28518" spans="1:1" x14ac:dyDescent="0.3">
      <c r="A28518" s="20"/>
    </row>
    <row r="28519" spans="1:1" x14ac:dyDescent="0.3">
      <c r="A28519" s="20"/>
    </row>
    <row r="28520" spans="1:1" x14ac:dyDescent="0.3">
      <c r="A28520" s="20"/>
    </row>
    <row r="28521" spans="1:1" x14ac:dyDescent="0.3">
      <c r="A28521" s="20"/>
    </row>
    <row r="28522" spans="1:1" x14ac:dyDescent="0.3">
      <c r="A28522" s="20"/>
    </row>
    <row r="28523" spans="1:1" x14ac:dyDescent="0.3">
      <c r="A28523" s="20"/>
    </row>
    <row r="28524" spans="1:1" x14ac:dyDescent="0.3">
      <c r="A28524" s="20"/>
    </row>
    <row r="28525" spans="1:1" x14ac:dyDescent="0.3">
      <c r="A28525" s="20"/>
    </row>
    <row r="28526" spans="1:1" x14ac:dyDescent="0.3">
      <c r="A28526" s="20"/>
    </row>
    <row r="28527" spans="1:1" x14ac:dyDescent="0.3">
      <c r="A28527" s="20"/>
    </row>
    <row r="28528" spans="1:1" x14ac:dyDescent="0.3">
      <c r="A28528" s="20"/>
    </row>
    <row r="28529" spans="1:1" x14ac:dyDescent="0.3">
      <c r="A28529" s="20"/>
    </row>
    <row r="28530" spans="1:1" x14ac:dyDescent="0.3">
      <c r="A28530" s="20"/>
    </row>
    <row r="28531" spans="1:1" x14ac:dyDescent="0.3">
      <c r="A28531" s="20"/>
    </row>
    <row r="28532" spans="1:1" x14ac:dyDescent="0.3">
      <c r="A28532" s="20"/>
    </row>
    <row r="28533" spans="1:1" x14ac:dyDescent="0.3">
      <c r="A28533" s="20"/>
    </row>
    <row r="28534" spans="1:1" x14ac:dyDescent="0.3">
      <c r="A28534" s="20"/>
    </row>
    <row r="28535" spans="1:1" x14ac:dyDescent="0.3">
      <c r="A28535" s="20"/>
    </row>
    <row r="28536" spans="1:1" x14ac:dyDescent="0.3">
      <c r="A28536" s="20"/>
    </row>
    <row r="28537" spans="1:1" x14ac:dyDescent="0.3">
      <c r="A28537" s="20"/>
    </row>
    <row r="28538" spans="1:1" x14ac:dyDescent="0.3">
      <c r="A28538" s="20"/>
    </row>
    <row r="28539" spans="1:1" x14ac:dyDescent="0.3">
      <c r="A28539" s="20"/>
    </row>
    <row r="28540" spans="1:1" x14ac:dyDescent="0.3">
      <c r="A28540" s="20"/>
    </row>
    <row r="28541" spans="1:1" x14ac:dyDescent="0.3">
      <c r="A28541" s="20"/>
    </row>
    <row r="28542" spans="1:1" x14ac:dyDescent="0.3">
      <c r="A28542" s="20"/>
    </row>
    <row r="28543" spans="1:1" x14ac:dyDescent="0.3">
      <c r="A28543" s="20"/>
    </row>
    <row r="28544" spans="1:1" x14ac:dyDescent="0.3">
      <c r="A28544" s="20"/>
    </row>
    <row r="28545" spans="1:1" x14ac:dyDescent="0.3">
      <c r="A28545" s="20"/>
    </row>
    <row r="28546" spans="1:1" x14ac:dyDescent="0.3">
      <c r="A28546" s="20"/>
    </row>
    <row r="28547" spans="1:1" x14ac:dyDescent="0.3">
      <c r="A28547" s="20"/>
    </row>
    <row r="28548" spans="1:1" x14ac:dyDescent="0.3">
      <c r="A28548" s="20"/>
    </row>
    <row r="28549" spans="1:1" x14ac:dyDescent="0.3">
      <c r="A28549" s="20"/>
    </row>
    <row r="28550" spans="1:1" x14ac:dyDescent="0.3">
      <c r="A28550" s="20"/>
    </row>
    <row r="28551" spans="1:1" x14ac:dyDescent="0.3">
      <c r="A28551" s="20"/>
    </row>
    <row r="28552" spans="1:1" x14ac:dyDescent="0.3">
      <c r="A28552" s="20"/>
    </row>
    <row r="28553" spans="1:1" x14ac:dyDescent="0.3">
      <c r="A28553" s="20"/>
    </row>
    <row r="28554" spans="1:1" x14ac:dyDescent="0.3">
      <c r="A28554" s="20"/>
    </row>
    <row r="28555" spans="1:1" x14ac:dyDescent="0.3">
      <c r="A28555" s="20"/>
    </row>
    <row r="28556" spans="1:1" x14ac:dyDescent="0.3">
      <c r="A28556" s="20"/>
    </row>
    <row r="28557" spans="1:1" x14ac:dyDescent="0.3">
      <c r="A28557" s="20"/>
    </row>
    <row r="28558" spans="1:1" x14ac:dyDescent="0.3">
      <c r="A28558" s="20"/>
    </row>
    <row r="28559" spans="1:1" x14ac:dyDescent="0.3">
      <c r="A28559" s="20"/>
    </row>
    <row r="28560" spans="1:1" x14ac:dyDescent="0.3">
      <c r="A28560" s="20"/>
    </row>
    <row r="28561" spans="1:1" x14ac:dyDescent="0.3">
      <c r="A28561" s="20"/>
    </row>
    <row r="28562" spans="1:1" x14ac:dyDescent="0.3">
      <c r="A28562" s="20"/>
    </row>
    <row r="28563" spans="1:1" x14ac:dyDescent="0.3">
      <c r="A28563" s="20"/>
    </row>
    <row r="28564" spans="1:1" x14ac:dyDescent="0.3">
      <c r="A28564" s="20"/>
    </row>
    <row r="28565" spans="1:1" x14ac:dyDescent="0.3">
      <c r="A28565" s="20"/>
    </row>
    <row r="28566" spans="1:1" x14ac:dyDescent="0.3">
      <c r="A28566" s="20"/>
    </row>
    <row r="28567" spans="1:1" x14ac:dyDescent="0.3">
      <c r="A28567" s="20"/>
    </row>
    <row r="28568" spans="1:1" x14ac:dyDescent="0.3">
      <c r="A28568" s="20"/>
    </row>
    <row r="28569" spans="1:1" x14ac:dyDescent="0.3">
      <c r="A28569" s="20"/>
    </row>
    <row r="28570" spans="1:1" x14ac:dyDescent="0.3">
      <c r="A28570" s="20"/>
    </row>
    <row r="28571" spans="1:1" x14ac:dyDescent="0.3">
      <c r="A28571" s="20"/>
    </row>
    <row r="28572" spans="1:1" x14ac:dyDescent="0.3">
      <c r="A28572" s="20"/>
    </row>
    <row r="28573" spans="1:1" x14ac:dyDescent="0.3">
      <c r="A28573" s="20"/>
    </row>
    <row r="28574" spans="1:1" x14ac:dyDescent="0.3">
      <c r="A28574" s="20"/>
    </row>
    <row r="28575" spans="1:1" x14ac:dyDescent="0.3">
      <c r="A28575" s="20"/>
    </row>
    <row r="28576" spans="1:1" x14ac:dyDescent="0.3">
      <c r="A28576" s="20"/>
    </row>
    <row r="28577" spans="1:1" x14ac:dyDescent="0.3">
      <c r="A28577" s="20"/>
    </row>
    <row r="28578" spans="1:1" x14ac:dyDescent="0.3">
      <c r="A28578" s="20"/>
    </row>
    <row r="28579" spans="1:1" x14ac:dyDescent="0.3">
      <c r="A28579" s="20"/>
    </row>
    <row r="28580" spans="1:1" x14ac:dyDescent="0.3">
      <c r="A28580" s="20"/>
    </row>
    <row r="28581" spans="1:1" x14ac:dyDescent="0.3">
      <c r="A28581" s="20"/>
    </row>
    <row r="28582" spans="1:1" x14ac:dyDescent="0.3">
      <c r="A28582" s="20"/>
    </row>
    <row r="28583" spans="1:1" x14ac:dyDescent="0.3">
      <c r="A28583" s="20"/>
    </row>
    <row r="28584" spans="1:1" x14ac:dyDescent="0.3">
      <c r="A28584" s="20"/>
    </row>
    <row r="28585" spans="1:1" x14ac:dyDescent="0.3">
      <c r="A28585" s="20"/>
    </row>
    <row r="28586" spans="1:1" x14ac:dyDescent="0.3">
      <c r="A28586" s="20"/>
    </row>
    <row r="28587" spans="1:1" x14ac:dyDescent="0.3">
      <c r="A28587" s="20"/>
    </row>
    <row r="28588" spans="1:1" x14ac:dyDescent="0.3">
      <c r="A28588" s="20"/>
    </row>
    <row r="28589" spans="1:1" x14ac:dyDescent="0.3">
      <c r="A28589" s="20"/>
    </row>
    <row r="28590" spans="1:1" x14ac:dyDescent="0.3">
      <c r="A28590" s="20"/>
    </row>
    <row r="28591" spans="1:1" x14ac:dyDescent="0.3">
      <c r="A28591" s="20"/>
    </row>
    <row r="28592" spans="1:1" x14ac:dyDescent="0.3">
      <c r="A28592" s="20"/>
    </row>
    <row r="28593" spans="1:1" x14ac:dyDescent="0.3">
      <c r="A28593" s="20"/>
    </row>
    <row r="28594" spans="1:1" x14ac:dyDescent="0.3">
      <c r="A28594" s="20"/>
    </row>
    <row r="28595" spans="1:1" x14ac:dyDescent="0.3">
      <c r="A28595" s="20"/>
    </row>
    <row r="28596" spans="1:1" x14ac:dyDescent="0.3">
      <c r="A28596" s="20"/>
    </row>
    <row r="28597" spans="1:1" x14ac:dyDescent="0.3">
      <c r="A28597" s="20"/>
    </row>
    <row r="28598" spans="1:1" x14ac:dyDescent="0.3">
      <c r="A28598" s="20"/>
    </row>
    <row r="28599" spans="1:1" x14ac:dyDescent="0.3">
      <c r="A28599" s="20"/>
    </row>
    <row r="28600" spans="1:1" x14ac:dyDescent="0.3">
      <c r="A28600" s="20"/>
    </row>
    <row r="28601" spans="1:1" x14ac:dyDescent="0.3">
      <c r="A28601" s="20"/>
    </row>
    <row r="28602" spans="1:1" x14ac:dyDescent="0.3">
      <c r="A28602" s="20"/>
    </row>
    <row r="28603" spans="1:1" x14ac:dyDescent="0.3">
      <c r="A28603" s="20"/>
    </row>
    <row r="28604" spans="1:1" x14ac:dyDescent="0.3">
      <c r="A28604" s="20"/>
    </row>
    <row r="28605" spans="1:1" x14ac:dyDescent="0.3">
      <c r="A28605" s="20"/>
    </row>
    <row r="28606" spans="1:1" x14ac:dyDescent="0.3">
      <c r="A28606" s="20"/>
    </row>
    <row r="28607" spans="1:1" x14ac:dyDescent="0.3">
      <c r="A28607" s="20"/>
    </row>
    <row r="28608" spans="1:1" x14ac:dyDescent="0.3">
      <c r="A28608" s="20"/>
    </row>
    <row r="28609" spans="1:1" x14ac:dyDescent="0.3">
      <c r="A28609" s="20"/>
    </row>
    <row r="28610" spans="1:1" x14ac:dyDescent="0.3">
      <c r="A28610" s="20"/>
    </row>
    <row r="28611" spans="1:1" x14ac:dyDescent="0.3">
      <c r="A28611" s="20"/>
    </row>
    <row r="28612" spans="1:1" x14ac:dyDescent="0.3">
      <c r="A28612" s="20"/>
    </row>
    <row r="28613" spans="1:1" x14ac:dyDescent="0.3">
      <c r="A28613" s="20"/>
    </row>
    <row r="28614" spans="1:1" x14ac:dyDescent="0.3">
      <c r="A28614" s="20"/>
    </row>
    <row r="28615" spans="1:1" x14ac:dyDescent="0.3">
      <c r="A28615" s="20"/>
    </row>
    <row r="28616" spans="1:1" x14ac:dyDescent="0.3">
      <c r="A28616" s="20"/>
    </row>
    <row r="28617" spans="1:1" x14ac:dyDescent="0.3">
      <c r="A28617" s="20"/>
    </row>
    <row r="28618" spans="1:1" x14ac:dyDescent="0.3">
      <c r="A28618" s="20"/>
    </row>
    <row r="28619" spans="1:1" x14ac:dyDescent="0.3">
      <c r="A28619" s="20"/>
    </row>
    <row r="28620" spans="1:1" x14ac:dyDescent="0.3">
      <c r="A28620" s="20"/>
    </row>
    <row r="28621" spans="1:1" x14ac:dyDescent="0.3">
      <c r="A28621" s="20"/>
    </row>
    <row r="28622" spans="1:1" x14ac:dyDescent="0.3">
      <c r="A28622" s="20"/>
    </row>
    <row r="28623" spans="1:1" x14ac:dyDescent="0.3">
      <c r="A28623" s="20"/>
    </row>
    <row r="28624" spans="1:1" x14ac:dyDescent="0.3">
      <c r="A28624" s="20"/>
    </row>
    <row r="28625" spans="1:1" x14ac:dyDescent="0.3">
      <c r="A28625" s="20"/>
    </row>
    <row r="28626" spans="1:1" x14ac:dyDescent="0.3">
      <c r="A28626" s="20"/>
    </row>
    <row r="28627" spans="1:1" x14ac:dyDescent="0.3">
      <c r="A28627" s="20"/>
    </row>
    <row r="28628" spans="1:1" x14ac:dyDescent="0.3">
      <c r="A28628" s="20"/>
    </row>
    <row r="28629" spans="1:1" x14ac:dyDescent="0.3">
      <c r="A28629" s="20"/>
    </row>
    <row r="28630" spans="1:1" x14ac:dyDescent="0.3">
      <c r="A28630" s="20"/>
    </row>
    <row r="28631" spans="1:1" x14ac:dyDescent="0.3">
      <c r="A28631" s="20"/>
    </row>
    <row r="28632" spans="1:1" x14ac:dyDescent="0.3">
      <c r="A28632" s="20"/>
    </row>
    <row r="28633" spans="1:1" x14ac:dyDescent="0.3">
      <c r="A28633" s="20"/>
    </row>
    <row r="28634" spans="1:1" x14ac:dyDescent="0.3">
      <c r="A28634" s="20"/>
    </row>
    <row r="28635" spans="1:1" x14ac:dyDescent="0.3">
      <c r="A28635" s="20"/>
    </row>
    <row r="28636" spans="1:1" x14ac:dyDescent="0.3">
      <c r="A28636" s="20"/>
    </row>
    <row r="28637" spans="1:1" x14ac:dyDescent="0.3">
      <c r="A28637" s="20"/>
    </row>
    <row r="28638" spans="1:1" x14ac:dyDescent="0.3">
      <c r="A28638" s="20"/>
    </row>
    <row r="28639" spans="1:1" x14ac:dyDescent="0.3">
      <c r="A28639" s="20"/>
    </row>
    <row r="28640" spans="1:1" x14ac:dyDescent="0.3">
      <c r="A28640" s="20"/>
    </row>
    <row r="28641" spans="1:1" x14ac:dyDescent="0.3">
      <c r="A28641" s="20"/>
    </row>
    <row r="28642" spans="1:1" x14ac:dyDescent="0.3">
      <c r="A28642" s="20"/>
    </row>
    <row r="28643" spans="1:1" x14ac:dyDescent="0.3">
      <c r="A28643" s="20"/>
    </row>
    <row r="28644" spans="1:1" x14ac:dyDescent="0.3">
      <c r="A28644" s="20"/>
    </row>
    <row r="28645" spans="1:1" x14ac:dyDescent="0.3">
      <c r="A28645" s="20"/>
    </row>
    <row r="28646" spans="1:1" x14ac:dyDescent="0.3">
      <c r="A28646" s="20"/>
    </row>
    <row r="28647" spans="1:1" x14ac:dyDescent="0.3">
      <c r="A28647" s="20"/>
    </row>
    <row r="28648" spans="1:1" x14ac:dyDescent="0.3">
      <c r="A28648" s="20"/>
    </row>
    <row r="28649" spans="1:1" x14ac:dyDescent="0.3">
      <c r="A28649" s="20"/>
    </row>
    <row r="28650" spans="1:1" x14ac:dyDescent="0.3">
      <c r="A28650" s="20"/>
    </row>
    <row r="28651" spans="1:1" x14ac:dyDescent="0.3">
      <c r="A28651" s="20"/>
    </row>
    <row r="28652" spans="1:1" x14ac:dyDescent="0.3">
      <c r="A28652" s="20"/>
    </row>
    <row r="28653" spans="1:1" x14ac:dyDescent="0.3">
      <c r="A28653" s="20"/>
    </row>
    <row r="28654" spans="1:1" x14ac:dyDescent="0.3">
      <c r="A28654" s="20"/>
    </row>
    <row r="28655" spans="1:1" x14ac:dyDescent="0.3">
      <c r="A28655" s="20"/>
    </row>
    <row r="28656" spans="1:1" x14ac:dyDescent="0.3">
      <c r="A28656" s="20"/>
    </row>
    <row r="28657" spans="1:1" x14ac:dyDescent="0.3">
      <c r="A28657" s="20"/>
    </row>
    <row r="28658" spans="1:1" x14ac:dyDescent="0.3">
      <c r="A28658" s="20"/>
    </row>
    <row r="28659" spans="1:1" x14ac:dyDescent="0.3">
      <c r="A28659" s="20"/>
    </row>
    <row r="28660" spans="1:1" x14ac:dyDescent="0.3">
      <c r="A28660" s="20"/>
    </row>
    <row r="28661" spans="1:1" x14ac:dyDescent="0.3">
      <c r="A28661" s="20"/>
    </row>
    <row r="28662" spans="1:1" x14ac:dyDescent="0.3">
      <c r="A28662" s="20"/>
    </row>
    <row r="28663" spans="1:1" x14ac:dyDescent="0.3">
      <c r="A28663" s="20"/>
    </row>
    <row r="28664" spans="1:1" x14ac:dyDescent="0.3">
      <c r="A28664" s="20"/>
    </row>
    <row r="28665" spans="1:1" x14ac:dyDescent="0.3">
      <c r="A28665" s="20"/>
    </row>
    <row r="28666" spans="1:1" x14ac:dyDescent="0.3">
      <c r="A28666" s="20"/>
    </row>
    <row r="28667" spans="1:1" x14ac:dyDescent="0.3">
      <c r="A28667" s="20"/>
    </row>
    <row r="28668" spans="1:1" x14ac:dyDescent="0.3">
      <c r="A28668" s="20"/>
    </row>
    <row r="28669" spans="1:1" x14ac:dyDescent="0.3">
      <c r="A28669" s="20"/>
    </row>
    <row r="28670" spans="1:1" x14ac:dyDescent="0.3">
      <c r="A28670" s="20"/>
    </row>
    <row r="28671" spans="1:1" x14ac:dyDescent="0.3">
      <c r="A28671" s="20"/>
    </row>
    <row r="28672" spans="1:1" x14ac:dyDescent="0.3">
      <c r="A28672" s="20"/>
    </row>
    <row r="28673" spans="1:1" x14ac:dyDescent="0.3">
      <c r="A28673" s="20"/>
    </row>
    <row r="28674" spans="1:1" x14ac:dyDescent="0.3">
      <c r="A28674" s="20"/>
    </row>
    <row r="28675" spans="1:1" x14ac:dyDescent="0.3">
      <c r="A28675" s="20"/>
    </row>
    <row r="28676" spans="1:1" x14ac:dyDescent="0.3">
      <c r="A28676" s="20"/>
    </row>
    <row r="28677" spans="1:1" x14ac:dyDescent="0.3">
      <c r="A28677" s="20"/>
    </row>
    <row r="28678" spans="1:1" x14ac:dyDescent="0.3">
      <c r="A28678" s="20"/>
    </row>
    <row r="28679" spans="1:1" x14ac:dyDescent="0.3">
      <c r="A28679" s="20"/>
    </row>
    <row r="28680" spans="1:1" x14ac:dyDescent="0.3">
      <c r="A28680" s="20"/>
    </row>
    <row r="28681" spans="1:1" x14ac:dyDescent="0.3">
      <c r="A28681" s="20"/>
    </row>
    <row r="28682" spans="1:1" x14ac:dyDescent="0.3">
      <c r="A28682" s="20"/>
    </row>
    <row r="28683" spans="1:1" x14ac:dyDescent="0.3">
      <c r="A28683" s="20"/>
    </row>
    <row r="28684" spans="1:1" x14ac:dyDescent="0.3">
      <c r="A28684" s="20"/>
    </row>
    <row r="28685" spans="1:1" x14ac:dyDescent="0.3">
      <c r="A28685" s="20"/>
    </row>
    <row r="28686" spans="1:1" x14ac:dyDescent="0.3">
      <c r="A28686" s="20"/>
    </row>
    <row r="28687" spans="1:1" x14ac:dyDescent="0.3">
      <c r="A28687" s="20"/>
    </row>
    <row r="28688" spans="1:1" x14ac:dyDescent="0.3">
      <c r="A28688" s="20"/>
    </row>
    <row r="28689" spans="1:1" x14ac:dyDescent="0.3">
      <c r="A28689" s="20"/>
    </row>
    <row r="28690" spans="1:1" x14ac:dyDescent="0.3">
      <c r="A28690" s="20"/>
    </row>
    <row r="28691" spans="1:1" x14ac:dyDescent="0.3">
      <c r="A28691" s="20"/>
    </row>
    <row r="28692" spans="1:1" x14ac:dyDescent="0.3">
      <c r="A28692" s="20"/>
    </row>
    <row r="28693" spans="1:1" x14ac:dyDescent="0.3">
      <c r="A28693" s="20"/>
    </row>
    <row r="28694" spans="1:1" x14ac:dyDescent="0.3">
      <c r="A28694" s="20"/>
    </row>
    <row r="28695" spans="1:1" x14ac:dyDescent="0.3">
      <c r="A28695" s="20"/>
    </row>
    <row r="28696" spans="1:1" x14ac:dyDescent="0.3">
      <c r="A28696" s="20"/>
    </row>
    <row r="28697" spans="1:1" x14ac:dyDescent="0.3">
      <c r="A28697" s="20"/>
    </row>
    <row r="28698" spans="1:1" x14ac:dyDescent="0.3">
      <c r="A28698" s="20"/>
    </row>
    <row r="28699" spans="1:1" x14ac:dyDescent="0.3">
      <c r="A28699" s="20"/>
    </row>
    <row r="28700" spans="1:1" x14ac:dyDescent="0.3">
      <c r="A28700" s="20"/>
    </row>
    <row r="28701" spans="1:1" x14ac:dyDescent="0.3">
      <c r="A28701" s="20"/>
    </row>
    <row r="28702" spans="1:1" x14ac:dyDescent="0.3">
      <c r="A28702" s="20"/>
    </row>
    <row r="28703" spans="1:1" x14ac:dyDescent="0.3">
      <c r="A28703" s="20"/>
    </row>
    <row r="28704" spans="1:1" x14ac:dyDescent="0.3">
      <c r="A28704" s="20"/>
    </row>
    <row r="28705" spans="1:1" x14ac:dyDescent="0.3">
      <c r="A28705" s="20"/>
    </row>
    <row r="28706" spans="1:1" x14ac:dyDescent="0.3">
      <c r="A28706" s="20"/>
    </row>
    <row r="28707" spans="1:1" x14ac:dyDescent="0.3">
      <c r="A28707" s="20"/>
    </row>
    <row r="28708" spans="1:1" x14ac:dyDescent="0.3">
      <c r="A28708" s="20"/>
    </row>
    <row r="28709" spans="1:1" x14ac:dyDescent="0.3">
      <c r="A28709" s="20"/>
    </row>
    <row r="28710" spans="1:1" x14ac:dyDescent="0.3">
      <c r="A28710" s="20"/>
    </row>
    <row r="28711" spans="1:1" x14ac:dyDescent="0.3">
      <c r="A28711" s="20"/>
    </row>
    <row r="28712" spans="1:1" x14ac:dyDescent="0.3">
      <c r="A28712" s="20"/>
    </row>
    <row r="28713" spans="1:1" x14ac:dyDescent="0.3">
      <c r="A28713" s="20"/>
    </row>
    <row r="28714" spans="1:1" x14ac:dyDescent="0.3">
      <c r="A28714" s="20"/>
    </row>
    <row r="28715" spans="1:1" x14ac:dyDescent="0.3">
      <c r="A28715" s="20"/>
    </row>
    <row r="28716" spans="1:1" x14ac:dyDescent="0.3">
      <c r="A28716" s="20"/>
    </row>
    <row r="28717" spans="1:1" x14ac:dyDescent="0.3">
      <c r="A28717" s="20"/>
    </row>
    <row r="28718" spans="1:1" x14ac:dyDescent="0.3">
      <c r="A28718" s="20"/>
    </row>
    <row r="28719" spans="1:1" x14ac:dyDescent="0.3">
      <c r="A28719" s="20"/>
    </row>
    <row r="28720" spans="1:1" x14ac:dyDescent="0.3">
      <c r="A28720" s="20"/>
    </row>
    <row r="28721" spans="1:1" x14ac:dyDescent="0.3">
      <c r="A28721" s="20"/>
    </row>
    <row r="28722" spans="1:1" x14ac:dyDescent="0.3">
      <c r="A28722" s="20"/>
    </row>
    <row r="28723" spans="1:1" x14ac:dyDescent="0.3">
      <c r="A28723" s="20"/>
    </row>
    <row r="28724" spans="1:1" x14ac:dyDescent="0.3">
      <c r="A28724" s="20"/>
    </row>
    <row r="28725" spans="1:1" x14ac:dyDescent="0.3">
      <c r="A28725" s="20"/>
    </row>
    <row r="28726" spans="1:1" x14ac:dyDescent="0.3">
      <c r="A28726" s="20"/>
    </row>
    <row r="28727" spans="1:1" x14ac:dyDescent="0.3">
      <c r="A28727" s="20"/>
    </row>
    <row r="28728" spans="1:1" x14ac:dyDescent="0.3">
      <c r="A28728" s="20"/>
    </row>
    <row r="28729" spans="1:1" x14ac:dyDescent="0.3">
      <c r="A28729" s="20"/>
    </row>
    <row r="28730" spans="1:1" x14ac:dyDescent="0.3">
      <c r="A28730" s="20"/>
    </row>
    <row r="28731" spans="1:1" x14ac:dyDescent="0.3">
      <c r="A28731" s="20"/>
    </row>
    <row r="28732" spans="1:1" x14ac:dyDescent="0.3">
      <c r="A28732" s="20"/>
    </row>
    <row r="28733" spans="1:1" x14ac:dyDescent="0.3">
      <c r="A28733" s="20"/>
    </row>
    <row r="28734" spans="1:1" x14ac:dyDescent="0.3">
      <c r="A28734" s="20"/>
    </row>
    <row r="28735" spans="1:1" x14ac:dyDescent="0.3">
      <c r="A28735" s="20"/>
    </row>
    <row r="28736" spans="1:1" x14ac:dyDescent="0.3">
      <c r="A28736" s="20"/>
    </row>
    <row r="28737" spans="1:1" x14ac:dyDescent="0.3">
      <c r="A28737" s="20"/>
    </row>
    <row r="28738" spans="1:1" x14ac:dyDescent="0.3">
      <c r="A28738" s="20"/>
    </row>
    <row r="28739" spans="1:1" x14ac:dyDescent="0.3">
      <c r="A28739" s="20"/>
    </row>
    <row r="28740" spans="1:1" x14ac:dyDescent="0.3">
      <c r="A28740" s="20"/>
    </row>
    <row r="28741" spans="1:1" x14ac:dyDescent="0.3">
      <c r="A28741" s="20"/>
    </row>
    <row r="28742" spans="1:1" x14ac:dyDescent="0.3">
      <c r="A28742" s="20"/>
    </row>
    <row r="28743" spans="1:1" x14ac:dyDescent="0.3">
      <c r="A28743" s="20"/>
    </row>
    <row r="28744" spans="1:1" x14ac:dyDescent="0.3">
      <c r="A28744" s="20"/>
    </row>
    <row r="28745" spans="1:1" x14ac:dyDescent="0.3">
      <c r="A28745" s="20"/>
    </row>
    <row r="28746" spans="1:1" x14ac:dyDescent="0.3">
      <c r="A28746" s="20"/>
    </row>
    <row r="28747" spans="1:1" x14ac:dyDescent="0.3">
      <c r="A28747" s="20"/>
    </row>
    <row r="28748" spans="1:1" x14ac:dyDescent="0.3">
      <c r="A28748" s="20"/>
    </row>
    <row r="28749" spans="1:1" x14ac:dyDescent="0.3">
      <c r="A28749" s="20"/>
    </row>
    <row r="28750" spans="1:1" x14ac:dyDescent="0.3">
      <c r="A28750" s="20"/>
    </row>
    <row r="28751" spans="1:1" x14ac:dyDescent="0.3">
      <c r="A28751" s="20"/>
    </row>
    <row r="28752" spans="1:1" x14ac:dyDescent="0.3">
      <c r="A28752" s="20"/>
    </row>
    <row r="28753" spans="1:1" x14ac:dyDescent="0.3">
      <c r="A28753" s="20"/>
    </row>
    <row r="28754" spans="1:1" x14ac:dyDescent="0.3">
      <c r="A28754" s="20"/>
    </row>
    <row r="28755" spans="1:1" x14ac:dyDescent="0.3">
      <c r="A28755" s="20"/>
    </row>
    <row r="28756" spans="1:1" x14ac:dyDescent="0.3">
      <c r="A28756" s="20"/>
    </row>
    <row r="28757" spans="1:1" x14ac:dyDescent="0.3">
      <c r="A28757" s="20"/>
    </row>
    <row r="28758" spans="1:1" x14ac:dyDescent="0.3">
      <c r="A28758" s="20"/>
    </row>
    <row r="28759" spans="1:1" x14ac:dyDescent="0.3">
      <c r="A28759" s="20"/>
    </row>
    <row r="28760" spans="1:1" x14ac:dyDescent="0.3">
      <c r="A28760" s="20"/>
    </row>
    <row r="28761" spans="1:1" x14ac:dyDescent="0.3">
      <c r="A28761" s="20"/>
    </row>
    <row r="28762" spans="1:1" x14ac:dyDescent="0.3">
      <c r="A28762" s="20"/>
    </row>
    <row r="28763" spans="1:1" x14ac:dyDescent="0.3">
      <c r="A28763" s="20"/>
    </row>
    <row r="28764" spans="1:1" x14ac:dyDescent="0.3">
      <c r="A28764" s="20"/>
    </row>
    <row r="28765" spans="1:1" x14ac:dyDescent="0.3">
      <c r="A28765" s="20"/>
    </row>
    <row r="28766" spans="1:1" x14ac:dyDescent="0.3">
      <c r="A28766" s="20"/>
    </row>
    <row r="28767" spans="1:1" x14ac:dyDescent="0.3">
      <c r="A28767" s="20"/>
    </row>
    <row r="28768" spans="1:1" x14ac:dyDescent="0.3">
      <c r="A28768" s="20"/>
    </row>
    <row r="28769" spans="1:1" x14ac:dyDescent="0.3">
      <c r="A28769" s="20"/>
    </row>
    <row r="28770" spans="1:1" x14ac:dyDescent="0.3">
      <c r="A28770" s="20"/>
    </row>
    <row r="28771" spans="1:1" x14ac:dyDescent="0.3">
      <c r="A28771" s="20"/>
    </row>
    <row r="28772" spans="1:1" x14ac:dyDescent="0.3">
      <c r="A28772" s="20"/>
    </row>
    <row r="28773" spans="1:1" x14ac:dyDescent="0.3">
      <c r="A28773" s="20"/>
    </row>
    <row r="28774" spans="1:1" x14ac:dyDescent="0.3">
      <c r="A28774" s="20"/>
    </row>
    <row r="28775" spans="1:1" x14ac:dyDescent="0.3">
      <c r="A28775" s="20"/>
    </row>
    <row r="28776" spans="1:1" x14ac:dyDescent="0.3">
      <c r="A28776" s="20"/>
    </row>
    <row r="28777" spans="1:1" x14ac:dyDescent="0.3">
      <c r="A28777" s="20"/>
    </row>
    <row r="28778" spans="1:1" x14ac:dyDescent="0.3">
      <c r="A28778" s="20"/>
    </row>
    <row r="28779" spans="1:1" x14ac:dyDescent="0.3">
      <c r="A28779" s="20"/>
    </row>
    <row r="28780" spans="1:1" x14ac:dyDescent="0.3">
      <c r="A28780" s="20"/>
    </row>
    <row r="28781" spans="1:1" x14ac:dyDescent="0.3">
      <c r="A28781" s="20"/>
    </row>
    <row r="28782" spans="1:1" x14ac:dyDescent="0.3">
      <c r="A28782" s="20"/>
    </row>
    <row r="28783" spans="1:1" x14ac:dyDescent="0.3">
      <c r="A28783" s="20"/>
    </row>
    <row r="28784" spans="1:1" x14ac:dyDescent="0.3">
      <c r="A28784" s="20"/>
    </row>
    <row r="28785" spans="1:1" x14ac:dyDescent="0.3">
      <c r="A28785" s="20"/>
    </row>
    <row r="28786" spans="1:1" x14ac:dyDescent="0.3">
      <c r="A28786" s="20"/>
    </row>
    <row r="28787" spans="1:1" x14ac:dyDescent="0.3">
      <c r="A28787" s="20"/>
    </row>
    <row r="28788" spans="1:1" x14ac:dyDescent="0.3">
      <c r="A28788" s="20"/>
    </row>
    <row r="28789" spans="1:1" x14ac:dyDescent="0.3">
      <c r="A28789" s="20"/>
    </row>
    <row r="28790" spans="1:1" x14ac:dyDescent="0.3">
      <c r="A28790" s="20"/>
    </row>
    <row r="28791" spans="1:1" x14ac:dyDescent="0.3">
      <c r="A28791" s="20"/>
    </row>
    <row r="28792" spans="1:1" x14ac:dyDescent="0.3">
      <c r="A28792" s="20"/>
    </row>
    <row r="28793" spans="1:1" x14ac:dyDescent="0.3">
      <c r="A28793" s="20"/>
    </row>
    <row r="28794" spans="1:1" x14ac:dyDescent="0.3">
      <c r="A28794" s="20"/>
    </row>
    <row r="28795" spans="1:1" x14ac:dyDescent="0.3">
      <c r="A28795" s="20"/>
    </row>
    <row r="28796" spans="1:1" x14ac:dyDescent="0.3">
      <c r="A28796" s="20"/>
    </row>
    <row r="28797" spans="1:1" x14ac:dyDescent="0.3">
      <c r="A28797" s="20"/>
    </row>
    <row r="28798" spans="1:1" x14ac:dyDescent="0.3">
      <c r="A28798" s="20"/>
    </row>
    <row r="28799" spans="1:1" x14ac:dyDescent="0.3">
      <c r="A28799" s="20"/>
    </row>
    <row r="28800" spans="1:1" x14ac:dyDescent="0.3">
      <c r="A28800" s="20"/>
    </row>
    <row r="28801" spans="1:1" x14ac:dyDescent="0.3">
      <c r="A28801" s="20"/>
    </row>
    <row r="28802" spans="1:1" x14ac:dyDescent="0.3">
      <c r="A28802" s="20"/>
    </row>
    <row r="28803" spans="1:1" x14ac:dyDescent="0.3">
      <c r="A28803" s="20"/>
    </row>
    <row r="28804" spans="1:1" x14ac:dyDescent="0.3">
      <c r="A28804" s="20"/>
    </row>
    <row r="28805" spans="1:1" x14ac:dyDescent="0.3">
      <c r="A28805" s="20"/>
    </row>
    <row r="28806" spans="1:1" x14ac:dyDescent="0.3">
      <c r="A28806" s="20"/>
    </row>
    <row r="28807" spans="1:1" x14ac:dyDescent="0.3">
      <c r="A28807" s="20"/>
    </row>
    <row r="28808" spans="1:1" x14ac:dyDescent="0.3">
      <c r="A28808" s="20"/>
    </row>
    <row r="28809" spans="1:1" x14ac:dyDescent="0.3">
      <c r="A28809" s="20"/>
    </row>
    <row r="28810" spans="1:1" x14ac:dyDescent="0.3">
      <c r="A28810" s="20"/>
    </row>
    <row r="28811" spans="1:1" x14ac:dyDescent="0.3">
      <c r="A28811" s="20"/>
    </row>
    <row r="28812" spans="1:1" x14ac:dyDescent="0.3">
      <c r="A28812" s="20"/>
    </row>
    <row r="28813" spans="1:1" x14ac:dyDescent="0.3">
      <c r="A28813" s="20"/>
    </row>
    <row r="28814" spans="1:1" x14ac:dyDescent="0.3">
      <c r="A28814" s="20"/>
    </row>
    <row r="28815" spans="1:1" x14ac:dyDescent="0.3">
      <c r="A28815" s="20"/>
    </row>
    <row r="28816" spans="1:1" x14ac:dyDescent="0.3">
      <c r="A28816" s="20"/>
    </row>
    <row r="28817" spans="1:1" x14ac:dyDescent="0.3">
      <c r="A28817" s="20"/>
    </row>
    <row r="28818" spans="1:1" x14ac:dyDescent="0.3">
      <c r="A28818" s="20"/>
    </row>
    <row r="28819" spans="1:1" x14ac:dyDescent="0.3">
      <c r="A28819" s="20"/>
    </row>
    <row r="28820" spans="1:1" x14ac:dyDescent="0.3">
      <c r="A28820" s="20"/>
    </row>
    <row r="28821" spans="1:1" x14ac:dyDescent="0.3">
      <c r="A28821" s="20"/>
    </row>
    <row r="28822" spans="1:1" x14ac:dyDescent="0.3">
      <c r="A28822" s="20"/>
    </row>
    <row r="28823" spans="1:1" x14ac:dyDescent="0.3">
      <c r="A28823" s="20"/>
    </row>
    <row r="28824" spans="1:1" x14ac:dyDescent="0.3">
      <c r="A28824" s="20"/>
    </row>
    <row r="28825" spans="1:1" x14ac:dyDescent="0.3">
      <c r="A28825" s="20"/>
    </row>
    <row r="28826" spans="1:1" x14ac:dyDescent="0.3">
      <c r="A28826" s="20"/>
    </row>
    <row r="28827" spans="1:1" x14ac:dyDescent="0.3">
      <c r="A28827" s="20"/>
    </row>
    <row r="28828" spans="1:1" x14ac:dyDescent="0.3">
      <c r="A28828" s="20"/>
    </row>
    <row r="28829" spans="1:1" x14ac:dyDescent="0.3">
      <c r="A28829" s="20"/>
    </row>
    <row r="28830" spans="1:1" x14ac:dyDescent="0.3">
      <c r="A28830" s="20"/>
    </row>
    <row r="28831" spans="1:1" x14ac:dyDescent="0.3">
      <c r="A28831" s="20"/>
    </row>
    <row r="28832" spans="1:1" x14ac:dyDescent="0.3">
      <c r="A28832" s="20"/>
    </row>
    <row r="28833" spans="1:1" x14ac:dyDescent="0.3">
      <c r="A28833" s="20"/>
    </row>
    <row r="28834" spans="1:1" x14ac:dyDescent="0.3">
      <c r="A28834" s="20"/>
    </row>
    <row r="28835" spans="1:1" x14ac:dyDescent="0.3">
      <c r="A28835" s="20"/>
    </row>
    <row r="28836" spans="1:1" x14ac:dyDescent="0.3">
      <c r="A28836" s="20"/>
    </row>
    <row r="28837" spans="1:1" x14ac:dyDescent="0.3">
      <c r="A28837" s="20"/>
    </row>
    <row r="28838" spans="1:1" x14ac:dyDescent="0.3">
      <c r="A28838" s="20"/>
    </row>
    <row r="28839" spans="1:1" x14ac:dyDescent="0.3">
      <c r="A28839" s="20"/>
    </row>
    <row r="28840" spans="1:1" x14ac:dyDescent="0.3">
      <c r="A28840" s="20"/>
    </row>
    <row r="28841" spans="1:1" x14ac:dyDescent="0.3">
      <c r="A28841" s="20"/>
    </row>
    <row r="28842" spans="1:1" x14ac:dyDescent="0.3">
      <c r="A28842" s="20"/>
    </row>
    <row r="28843" spans="1:1" x14ac:dyDescent="0.3">
      <c r="A28843" s="20"/>
    </row>
    <row r="28844" spans="1:1" x14ac:dyDescent="0.3">
      <c r="A28844" s="20"/>
    </row>
    <row r="28845" spans="1:1" x14ac:dyDescent="0.3">
      <c r="A28845" s="20"/>
    </row>
    <row r="28846" spans="1:1" x14ac:dyDescent="0.3">
      <c r="A28846" s="20"/>
    </row>
    <row r="28847" spans="1:1" x14ac:dyDescent="0.3">
      <c r="A28847" s="20"/>
    </row>
    <row r="28848" spans="1:1" x14ac:dyDescent="0.3">
      <c r="A28848" s="20"/>
    </row>
    <row r="28849" spans="1:1" x14ac:dyDescent="0.3">
      <c r="A28849" s="20"/>
    </row>
    <row r="28850" spans="1:1" x14ac:dyDescent="0.3">
      <c r="A28850" s="20"/>
    </row>
    <row r="28851" spans="1:1" x14ac:dyDescent="0.3">
      <c r="A28851" s="20"/>
    </row>
    <row r="28852" spans="1:1" x14ac:dyDescent="0.3">
      <c r="A28852" s="20"/>
    </row>
    <row r="28853" spans="1:1" x14ac:dyDescent="0.3">
      <c r="A28853" s="20"/>
    </row>
    <row r="28854" spans="1:1" x14ac:dyDescent="0.3">
      <c r="A28854" s="20"/>
    </row>
    <row r="28855" spans="1:1" x14ac:dyDescent="0.3">
      <c r="A28855" s="20"/>
    </row>
    <row r="28856" spans="1:1" x14ac:dyDescent="0.3">
      <c r="A28856" s="20"/>
    </row>
    <row r="28857" spans="1:1" x14ac:dyDescent="0.3">
      <c r="A28857" s="20"/>
    </row>
    <row r="28858" spans="1:1" x14ac:dyDescent="0.3">
      <c r="A28858" s="20"/>
    </row>
    <row r="28859" spans="1:1" x14ac:dyDescent="0.3">
      <c r="A28859" s="20"/>
    </row>
    <row r="28860" spans="1:1" x14ac:dyDescent="0.3">
      <c r="A28860" s="20"/>
    </row>
    <row r="28861" spans="1:1" x14ac:dyDescent="0.3">
      <c r="A28861" s="20"/>
    </row>
    <row r="28862" spans="1:1" x14ac:dyDescent="0.3">
      <c r="A28862" s="20"/>
    </row>
    <row r="28863" spans="1:1" x14ac:dyDescent="0.3">
      <c r="A28863" s="20"/>
    </row>
    <row r="28864" spans="1:1" x14ac:dyDescent="0.3">
      <c r="A28864" s="20"/>
    </row>
    <row r="28865" spans="1:1" x14ac:dyDescent="0.3">
      <c r="A28865" s="20"/>
    </row>
    <row r="28866" spans="1:1" x14ac:dyDescent="0.3">
      <c r="A28866" s="20"/>
    </row>
    <row r="28867" spans="1:1" x14ac:dyDescent="0.3">
      <c r="A28867" s="20"/>
    </row>
    <row r="28868" spans="1:1" x14ac:dyDescent="0.3">
      <c r="A28868" s="20"/>
    </row>
    <row r="28869" spans="1:1" x14ac:dyDescent="0.3">
      <c r="A28869" s="20"/>
    </row>
    <row r="28870" spans="1:1" x14ac:dyDescent="0.3">
      <c r="A28870" s="20"/>
    </row>
    <row r="28871" spans="1:1" x14ac:dyDescent="0.3">
      <c r="A28871" s="20"/>
    </row>
    <row r="28872" spans="1:1" x14ac:dyDescent="0.3">
      <c r="A28872" s="20"/>
    </row>
    <row r="28873" spans="1:1" x14ac:dyDescent="0.3">
      <c r="A28873" s="20"/>
    </row>
    <row r="28874" spans="1:1" x14ac:dyDescent="0.3">
      <c r="A28874" s="20"/>
    </row>
    <row r="28875" spans="1:1" x14ac:dyDescent="0.3">
      <c r="A28875" s="20"/>
    </row>
    <row r="28876" spans="1:1" x14ac:dyDescent="0.3">
      <c r="A28876" s="20"/>
    </row>
    <row r="28877" spans="1:1" x14ac:dyDescent="0.3">
      <c r="A28877" s="20"/>
    </row>
    <row r="28878" spans="1:1" x14ac:dyDescent="0.3">
      <c r="A28878" s="20"/>
    </row>
    <row r="28879" spans="1:1" x14ac:dyDescent="0.3">
      <c r="A28879" s="20"/>
    </row>
    <row r="28880" spans="1:1" x14ac:dyDescent="0.3">
      <c r="A28880" s="20"/>
    </row>
    <row r="28881" spans="1:1" x14ac:dyDescent="0.3">
      <c r="A28881" s="20"/>
    </row>
    <row r="28882" spans="1:1" x14ac:dyDescent="0.3">
      <c r="A28882" s="20"/>
    </row>
    <row r="28883" spans="1:1" x14ac:dyDescent="0.3">
      <c r="A28883" s="20"/>
    </row>
    <row r="28884" spans="1:1" x14ac:dyDescent="0.3">
      <c r="A28884" s="20"/>
    </row>
    <row r="28885" spans="1:1" x14ac:dyDescent="0.3">
      <c r="A28885" s="20"/>
    </row>
    <row r="28886" spans="1:1" x14ac:dyDescent="0.3">
      <c r="A28886" s="20"/>
    </row>
    <row r="28887" spans="1:1" x14ac:dyDescent="0.3">
      <c r="A28887" s="20"/>
    </row>
    <row r="28888" spans="1:1" x14ac:dyDescent="0.3">
      <c r="A28888" s="20"/>
    </row>
    <row r="28889" spans="1:1" x14ac:dyDescent="0.3">
      <c r="A28889" s="20"/>
    </row>
    <row r="28890" spans="1:1" x14ac:dyDescent="0.3">
      <c r="A28890" s="20"/>
    </row>
    <row r="28891" spans="1:1" x14ac:dyDescent="0.3">
      <c r="A28891" s="20"/>
    </row>
    <row r="28892" spans="1:1" x14ac:dyDescent="0.3">
      <c r="A28892" s="20"/>
    </row>
    <row r="28893" spans="1:1" x14ac:dyDescent="0.3">
      <c r="A28893" s="20"/>
    </row>
    <row r="28894" spans="1:1" x14ac:dyDescent="0.3">
      <c r="A28894" s="20"/>
    </row>
    <row r="28895" spans="1:1" x14ac:dyDescent="0.3">
      <c r="A28895" s="20"/>
    </row>
    <row r="28896" spans="1:1" x14ac:dyDescent="0.3">
      <c r="A28896" s="20"/>
    </row>
    <row r="28897" spans="1:1" x14ac:dyDescent="0.3">
      <c r="A28897" s="20"/>
    </row>
    <row r="28898" spans="1:1" x14ac:dyDescent="0.3">
      <c r="A28898" s="20"/>
    </row>
    <row r="28899" spans="1:1" x14ac:dyDescent="0.3">
      <c r="A28899" s="20"/>
    </row>
    <row r="28900" spans="1:1" x14ac:dyDescent="0.3">
      <c r="A28900" s="20"/>
    </row>
    <row r="28901" spans="1:1" x14ac:dyDescent="0.3">
      <c r="A28901" s="20"/>
    </row>
    <row r="28902" spans="1:1" x14ac:dyDescent="0.3">
      <c r="A28902" s="20"/>
    </row>
    <row r="28903" spans="1:1" x14ac:dyDescent="0.3">
      <c r="A28903" s="20"/>
    </row>
    <row r="28904" spans="1:1" x14ac:dyDescent="0.3">
      <c r="A28904" s="20"/>
    </row>
    <row r="28905" spans="1:1" x14ac:dyDescent="0.3">
      <c r="A28905" s="20"/>
    </row>
    <row r="28906" spans="1:1" x14ac:dyDescent="0.3">
      <c r="A28906" s="20"/>
    </row>
    <row r="28907" spans="1:1" x14ac:dyDescent="0.3">
      <c r="A28907" s="20"/>
    </row>
    <row r="28908" spans="1:1" x14ac:dyDescent="0.3">
      <c r="A28908" s="20"/>
    </row>
    <row r="28909" spans="1:1" x14ac:dyDescent="0.3">
      <c r="A28909" s="20"/>
    </row>
    <row r="28910" spans="1:1" x14ac:dyDescent="0.3">
      <c r="A28910" s="20"/>
    </row>
    <row r="28911" spans="1:1" x14ac:dyDescent="0.3">
      <c r="A28911" s="20"/>
    </row>
    <row r="28912" spans="1:1" x14ac:dyDescent="0.3">
      <c r="A28912" s="20"/>
    </row>
    <row r="28913" spans="1:1" x14ac:dyDescent="0.3">
      <c r="A28913" s="20"/>
    </row>
    <row r="28914" spans="1:1" x14ac:dyDescent="0.3">
      <c r="A28914" s="20"/>
    </row>
    <row r="28915" spans="1:1" x14ac:dyDescent="0.3">
      <c r="A28915" s="20"/>
    </row>
    <row r="28916" spans="1:1" x14ac:dyDescent="0.3">
      <c r="A28916" s="20"/>
    </row>
    <row r="28917" spans="1:1" x14ac:dyDescent="0.3">
      <c r="A28917" s="20"/>
    </row>
    <row r="28918" spans="1:1" x14ac:dyDescent="0.3">
      <c r="A28918" s="20"/>
    </row>
    <row r="28919" spans="1:1" x14ac:dyDescent="0.3">
      <c r="A28919" s="20"/>
    </row>
    <row r="28920" spans="1:1" x14ac:dyDescent="0.3">
      <c r="A28920" s="20"/>
    </row>
    <row r="28921" spans="1:1" x14ac:dyDescent="0.3">
      <c r="A28921" s="20"/>
    </row>
    <row r="28922" spans="1:1" x14ac:dyDescent="0.3">
      <c r="A28922" s="20"/>
    </row>
    <row r="28923" spans="1:1" x14ac:dyDescent="0.3">
      <c r="A28923" s="20"/>
    </row>
    <row r="28924" spans="1:1" x14ac:dyDescent="0.3">
      <c r="A28924" s="20"/>
    </row>
    <row r="28925" spans="1:1" x14ac:dyDescent="0.3">
      <c r="A28925" s="20"/>
    </row>
    <row r="28926" spans="1:1" x14ac:dyDescent="0.3">
      <c r="A28926" s="20"/>
    </row>
    <row r="28927" spans="1:1" x14ac:dyDescent="0.3">
      <c r="A28927" s="20"/>
    </row>
    <row r="28928" spans="1:1" x14ac:dyDescent="0.3">
      <c r="A28928" s="20"/>
    </row>
    <row r="28929" spans="1:1" x14ac:dyDescent="0.3">
      <c r="A28929" s="20"/>
    </row>
    <row r="28930" spans="1:1" x14ac:dyDescent="0.3">
      <c r="A28930" s="20"/>
    </row>
    <row r="28931" spans="1:1" x14ac:dyDescent="0.3">
      <c r="A28931" s="20"/>
    </row>
    <row r="28932" spans="1:1" x14ac:dyDescent="0.3">
      <c r="A28932" s="20"/>
    </row>
    <row r="28933" spans="1:1" x14ac:dyDescent="0.3">
      <c r="A28933" s="20"/>
    </row>
    <row r="28934" spans="1:1" x14ac:dyDescent="0.3">
      <c r="A28934" s="20"/>
    </row>
    <row r="28935" spans="1:1" x14ac:dyDescent="0.3">
      <c r="A28935" s="20"/>
    </row>
    <row r="28936" spans="1:1" x14ac:dyDescent="0.3">
      <c r="A28936" s="20"/>
    </row>
    <row r="28937" spans="1:1" x14ac:dyDescent="0.3">
      <c r="A28937" s="20"/>
    </row>
    <row r="28938" spans="1:1" x14ac:dyDescent="0.3">
      <c r="A28938" s="20"/>
    </row>
    <row r="28939" spans="1:1" x14ac:dyDescent="0.3">
      <c r="A28939" s="20"/>
    </row>
    <row r="28940" spans="1:1" x14ac:dyDescent="0.3">
      <c r="A28940" s="20"/>
    </row>
    <row r="28941" spans="1:1" x14ac:dyDescent="0.3">
      <c r="A28941" s="20"/>
    </row>
    <row r="28942" spans="1:1" x14ac:dyDescent="0.3">
      <c r="A28942" s="20"/>
    </row>
    <row r="28943" spans="1:1" x14ac:dyDescent="0.3">
      <c r="A28943" s="20"/>
    </row>
    <row r="28944" spans="1:1" x14ac:dyDescent="0.3">
      <c r="A28944" s="20"/>
    </row>
    <row r="28945" spans="1:1" x14ac:dyDescent="0.3">
      <c r="A28945" s="20"/>
    </row>
    <row r="28946" spans="1:1" x14ac:dyDescent="0.3">
      <c r="A28946" s="20"/>
    </row>
    <row r="28947" spans="1:1" x14ac:dyDescent="0.3">
      <c r="A28947" s="20"/>
    </row>
    <row r="28948" spans="1:1" x14ac:dyDescent="0.3">
      <c r="A28948" s="20"/>
    </row>
    <row r="28949" spans="1:1" x14ac:dyDescent="0.3">
      <c r="A28949" s="20"/>
    </row>
    <row r="28950" spans="1:1" x14ac:dyDescent="0.3">
      <c r="A28950" s="20"/>
    </row>
    <row r="28951" spans="1:1" x14ac:dyDescent="0.3">
      <c r="A28951" s="20"/>
    </row>
    <row r="28952" spans="1:1" x14ac:dyDescent="0.3">
      <c r="A28952" s="20"/>
    </row>
    <row r="28953" spans="1:1" x14ac:dyDescent="0.3">
      <c r="A28953" s="20"/>
    </row>
    <row r="28954" spans="1:1" x14ac:dyDescent="0.3">
      <c r="A28954" s="20"/>
    </row>
    <row r="28955" spans="1:1" x14ac:dyDescent="0.3">
      <c r="A28955" s="20"/>
    </row>
    <row r="28956" spans="1:1" x14ac:dyDescent="0.3">
      <c r="A28956" s="20"/>
    </row>
    <row r="28957" spans="1:1" x14ac:dyDescent="0.3">
      <c r="A28957" s="20"/>
    </row>
    <row r="28958" spans="1:1" x14ac:dyDescent="0.3">
      <c r="A28958" s="20"/>
    </row>
    <row r="28959" spans="1:1" x14ac:dyDescent="0.3">
      <c r="A28959" s="20"/>
    </row>
    <row r="28960" spans="1:1" x14ac:dyDescent="0.3">
      <c r="A28960" s="20"/>
    </row>
    <row r="28961" spans="1:1" x14ac:dyDescent="0.3">
      <c r="A28961" s="20"/>
    </row>
    <row r="28962" spans="1:1" x14ac:dyDescent="0.3">
      <c r="A28962" s="20"/>
    </row>
    <row r="28963" spans="1:1" x14ac:dyDescent="0.3">
      <c r="A28963" s="20"/>
    </row>
    <row r="28964" spans="1:1" x14ac:dyDescent="0.3">
      <c r="A28964" s="20"/>
    </row>
    <row r="28965" spans="1:1" x14ac:dyDescent="0.3">
      <c r="A28965" s="20"/>
    </row>
    <row r="28966" spans="1:1" x14ac:dyDescent="0.3">
      <c r="A28966" s="20"/>
    </row>
    <row r="28967" spans="1:1" x14ac:dyDescent="0.3">
      <c r="A28967" s="20"/>
    </row>
    <row r="28968" spans="1:1" x14ac:dyDescent="0.3">
      <c r="A28968" s="20"/>
    </row>
    <row r="28969" spans="1:1" x14ac:dyDescent="0.3">
      <c r="A28969" s="20"/>
    </row>
    <row r="28970" spans="1:1" x14ac:dyDescent="0.3">
      <c r="A28970" s="20"/>
    </row>
    <row r="28971" spans="1:1" x14ac:dyDescent="0.3">
      <c r="A28971" s="20"/>
    </row>
    <row r="28972" spans="1:1" x14ac:dyDescent="0.3">
      <c r="A28972" s="20"/>
    </row>
    <row r="28973" spans="1:1" x14ac:dyDescent="0.3">
      <c r="A28973" s="20"/>
    </row>
    <row r="28974" spans="1:1" x14ac:dyDescent="0.3">
      <c r="A28974" s="20"/>
    </row>
    <row r="28975" spans="1:1" x14ac:dyDescent="0.3">
      <c r="A28975" s="20"/>
    </row>
    <row r="28976" spans="1:1" x14ac:dyDescent="0.3">
      <c r="A28976" s="20"/>
    </row>
    <row r="28977" spans="1:1" x14ac:dyDescent="0.3">
      <c r="A28977" s="20"/>
    </row>
    <row r="28978" spans="1:1" x14ac:dyDescent="0.3">
      <c r="A28978" s="20"/>
    </row>
    <row r="28979" spans="1:1" x14ac:dyDescent="0.3">
      <c r="A28979" s="20"/>
    </row>
    <row r="28980" spans="1:1" x14ac:dyDescent="0.3">
      <c r="A28980" s="20"/>
    </row>
    <row r="28981" spans="1:1" x14ac:dyDescent="0.3">
      <c r="A28981" s="20"/>
    </row>
    <row r="28982" spans="1:1" x14ac:dyDescent="0.3">
      <c r="A28982" s="20"/>
    </row>
    <row r="28983" spans="1:1" x14ac:dyDescent="0.3">
      <c r="A28983" s="20"/>
    </row>
    <row r="28984" spans="1:1" x14ac:dyDescent="0.3">
      <c r="A28984" s="20"/>
    </row>
    <row r="28985" spans="1:1" x14ac:dyDescent="0.3">
      <c r="A28985" s="20"/>
    </row>
    <row r="28986" spans="1:1" x14ac:dyDescent="0.3">
      <c r="A28986" s="20"/>
    </row>
    <row r="28987" spans="1:1" x14ac:dyDescent="0.3">
      <c r="A28987" s="20"/>
    </row>
    <row r="28988" spans="1:1" x14ac:dyDescent="0.3">
      <c r="A28988" s="20"/>
    </row>
    <row r="28989" spans="1:1" x14ac:dyDescent="0.3">
      <c r="A28989" s="20"/>
    </row>
    <row r="28990" spans="1:1" x14ac:dyDescent="0.3">
      <c r="A28990" s="20"/>
    </row>
    <row r="28991" spans="1:1" x14ac:dyDescent="0.3">
      <c r="A28991" s="20"/>
    </row>
    <row r="28992" spans="1:1" x14ac:dyDescent="0.3">
      <c r="A28992" s="20"/>
    </row>
    <row r="28993" spans="1:1" x14ac:dyDescent="0.3">
      <c r="A28993" s="20"/>
    </row>
    <row r="28994" spans="1:1" x14ac:dyDescent="0.3">
      <c r="A28994" s="20"/>
    </row>
    <row r="28995" spans="1:1" x14ac:dyDescent="0.3">
      <c r="A28995" s="20"/>
    </row>
    <row r="28996" spans="1:1" x14ac:dyDescent="0.3">
      <c r="A28996" s="20"/>
    </row>
    <row r="28997" spans="1:1" x14ac:dyDescent="0.3">
      <c r="A28997" s="20"/>
    </row>
    <row r="28998" spans="1:1" x14ac:dyDescent="0.3">
      <c r="A28998" s="20"/>
    </row>
    <row r="28999" spans="1:1" x14ac:dyDescent="0.3">
      <c r="A28999" s="20"/>
    </row>
    <row r="29000" spans="1:1" x14ac:dyDescent="0.3">
      <c r="A29000" s="20"/>
    </row>
    <row r="29001" spans="1:1" x14ac:dyDescent="0.3">
      <c r="A29001" s="20"/>
    </row>
    <row r="29002" spans="1:1" x14ac:dyDescent="0.3">
      <c r="A29002" s="20"/>
    </row>
    <row r="29003" spans="1:1" x14ac:dyDescent="0.3">
      <c r="A29003" s="20"/>
    </row>
    <row r="29004" spans="1:1" x14ac:dyDescent="0.3">
      <c r="A29004" s="20"/>
    </row>
    <row r="29005" spans="1:1" x14ac:dyDescent="0.3">
      <c r="A29005" s="20"/>
    </row>
    <row r="29006" spans="1:1" x14ac:dyDescent="0.3">
      <c r="A29006" s="20"/>
    </row>
    <row r="29007" spans="1:1" x14ac:dyDescent="0.3">
      <c r="A29007" s="20"/>
    </row>
    <row r="29008" spans="1:1" x14ac:dyDescent="0.3">
      <c r="A29008" s="20"/>
    </row>
    <row r="29009" spans="1:1" x14ac:dyDescent="0.3">
      <c r="A29009" s="20"/>
    </row>
    <row r="29010" spans="1:1" x14ac:dyDescent="0.3">
      <c r="A29010" s="20"/>
    </row>
    <row r="29011" spans="1:1" x14ac:dyDescent="0.3">
      <c r="A29011" s="20"/>
    </row>
    <row r="29012" spans="1:1" x14ac:dyDescent="0.3">
      <c r="A29012" s="20"/>
    </row>
    <row r="29013" spans="1:1" x14ac:dyDescent="0.3">
      <c r="A29013" s="20"/>
    </row>
    <row r="29014" spans="1:1" x14ac:dyDescent="0.3">
      <c r="A29014" s="20"/>
    </row>
    <row r="29015" spans="1:1" x14ac:dyDescent="0.3">
      <c r="A29015" s="20"/>
    </row>
    <row r="29016" spans="1:1" x14ac:dyDescent="0.3">
      <c r="A29016" s="20"/>
    </row>
    <row r="29017" spans="1:1" x14ac:dyDescent="0.3">
      <c r="A29017" s="20"/>
    </row>
    <row r="29018" spans="1:1" x14ac:dyDescent="0.3">
      <c r="A29018" s="20"/>
    </row>
    <row r="29019" spans="1:1" x14ac:dyDescent="0.3">
      <c r="A29019" s="20"/>
    </row>
    <row r="29020" spans="1:1" x14ac:dyDescent="0.3">
      <c r="A29020" s="20"/>
    </row>
    <row r="29021" spans="1:1" x14ac:dyDescent="0.3">
      <c r="A29021" s="20"/>
    </row>
    <row r="29022" spans="1:1" x14ac:dyDescent="0.3">
      <c r="A29022" s="20"/>
    </row>
    <row r="29023" spans="1:1" x14ac:dyDescent="0.3">
      <c r="A29023" s="20"/>
    </row>
    <row r="29024" spans="1:1" x14ac:dyDescent="0.3">
      <c r="A29024" s="20"/>
    </row>
    <row r="29025" spans="1:1" x14ac:dyDescent="0.3">
      <c r="A29025" s="20"/>
    </row>
    <row r="29026" spans="1:1" x14ac:dyDescent="0.3">
      <c r="A29026" s="20"/>
    </row>
    <row r="29027" spans="1:1" x14ac:dyDescent="0.3">
      <c r="A29027" s="20"/>
    </row>
    <row r="29028" spans="1:1" x14ac:dyDescent="0.3">
      <c r="A29028" s="20"/>
    </row>
    <row r="29029" spans="1:1" x14ac:dyDescent="0.3">
      <c r="A29029" s="20"/>
    </row>
    <row r="29030" spans="1:1" x14ac:dyDescent="0.3">
      <c r="A29030" s="20"/>
    </row>
    <row r="29031" spans="1:1" x14ac:dyDescent="0.3">
      <c r="A29031" s="20"/>
    </row>
    <row r="29032" spans="1:1" x14ac:dyDescent="0.3">
      <c r="A29032" s="20"/>
    </row>
    <row r="29033" spans="1:1" x14ac:dyDescent="0.3">
      <c r="A29033" s="20"/>
    </row>
    <row r="29034" spans="1:1" x14ac:dyDescent="0.3">
      <c r="A29034" s="20"/>
    </row>
    <row r="29035" spans="1:1" x14ac:dyDescent="0.3">
      <c r="A29035" s="20"/>
    </row>
    <row r="29036" spans="1:1" x14ac:dyDescent="0.3">
      <c r="A29036" s="20"/>
    </row>
    <row r="29037" spans="1:1" x14ac:dyDescent="0.3">
      <c r="A29037" s="20"/>
    </row>
    <row r="29038" spans="1:1" x14ac:dyDescent="0.3">
      <c r="A29038" s="20"/>
    </row>
    <row r="29039" spans="1:1" x14ac:dyDescent="0.3">
      <c r="A29039" s="20"/>
    </row>
    <row r="29040" spans="1:1" x14ac:dyDescent="0.3">
      <c r="A29040" s="20"/>
    </row>
    <row r="29041" spans="1:1" x14ac:dyDescent="0.3">
      <c r="A29041" s="20"/>
    </row>
    <row r="29042" spans="1:1" x14ac:dyDescent="0.3">
      <c r="A29042" s="20"/>
    </row>
    <row r="29043" spans="1:1" x14ac:dyDescent="0.3">
      <c r="A29043" s="20"/>
    </row>
    <row r="29044" spans="1:1" x14ac:dyDescent="0.3">
      <c r="A29044" s="20"/>
    </row>
    <row r="29045" spans="1:1" x14ac:dyDescent="0.3">
      <c r="A29045" s="20"/>
    </row>
    <row r="29046" spans="1:1" x14ac:dyDescent="0.3">
      <c r="A29046" s="20"/>
    </row>
    <row r="29047" spans="1:1" x14ac:dyDescent="0.3">
      <c r="A29047" s="20"/>
    </row>
    <row r="29048" spans="1:1" x14ac:dyDescent="0.3">
      <c r="A29048" s="20"/>
    </row>
    <row r="29049" spans="1:1" x14ac:dyDescent="0.3">
      <c r="A29049" s="20"/>
    </row>
    <row r="29050" spans="1:1" x14ac:dyDescent="0.3">
      <c r="A29050" s="20"/>
    </row>
    <row r="29051" spans="1:1" x14ac:dyDescent="0.3">
      <c r="A29051" s="20"/>
    </row>
    <row r="29052" spans="1:1" x14ac:dyDescent="0.3">
      <c r="A29052" s="20"/>
    </row>
    <row r="29053" spans="1:1" x14ac:dyDescent="0.3">
      <c r="A29053" s="20"/>
    </row>
    <row r="29054" spans="1:1" x14ac:dyDescent="0.3">
      <c r="A29054" s="20"/>
    </row>
    <row r="29055" spans="1:1" x14ac:dyDescent="0.3">
      <c r="A29055" s="20"/>
    </row>
    <row r="29056" spans="1:1" x14ac:dyDescent="0.3">
      <c r="A29056" s="20"/>
    </row>
    <row r="29057" spans="1:1" x14ac:dyDescent="0.3">
      <c r="A29057" s="20"/>
    </row>
    <row r="29058" spans="1:1" x14ac:dyDescent="0.3">
      <c r="A29058" s="20"/>
    </row>
    <row r="29059" spans="1:1" x14ac:dyDescent="0.3">
      <c r="A29059" s="20"/>
    </row>
    <row r="29060" spans="1:1" x14ac:dyDescent="0.3">
      <c r="A29060" s="20"/>
    </row>
    <row r="29061" spans="1:1" x14ac:dyDescent="0.3">
      <c r="A29061" s="20"/>
    </row>
    <row r="29062" spans="1:1" x14ac:dyDescent="0.3">
      <c r="A29062" s="20"/>
    </row>
    <row r="29063" spans="1:1" x14ac:dyDescent="0.3">
      <c r="A29063" s="20"/>
    </row>
    <row r="29064" spans="1:1" x14ac:dyDescent="0.3">
      <c r="A29064" s="20"/>
    </row>
    <row r="29065" spans="1:1" x14ac:dyDescent="0.3">
      <c r="A29065" s="20"/>
    </row>
    <row r="29066" spans="1:1" x14ac:dyDescent="0.3">
      <c r="A29066" s="20"/>
    </row>
    <row r="29067" spans="1:1" x14ac:dyDescent="0.3">
      <c r="A29067" s="20"/>
    </row>
    <row r="29068" spans="1:1" x14ac:dyDescent="0.3">
      <c r="A29068" s="20"/>
    </row>
    <row r="29069" spans="1:1" x14ac:dyDescent="0.3">
      <c r="A29069" s="20"/>
    </row>
    <row r="29070" spans="1:1" x14ac:dyDescent="0.3">
      <c r="A29070" s="20"/>
    </row>
    <row r="29071" spans="1:1" x14ac:dyDescent="0.3">
      <c r="A29071" s="20"/>
    </row>
    <row r="29072" spans="1:1" x14ac:dyDescent="0.3">
      <c r="A29072" s="20"/>
    </row>
    <row r="29073" spans="1:1" x14ac:dyDescent="0.3">
      <c r="A29073" s="20"/>
    </row>
    <row r="29074" spans="1:1" x14ac:dyDescent="0.3">
      <c r="A29074" s="20"/>
    </row>
    <row r="29075" spans="1:1" x14ac:dyDescent="0.3">
      <c r="A29075" s="20"/>
    </row>
    <row r="29076" spans="1:1" x14ac:dyDescent="0.3">
      <c r="A29076" s="20"/>
    </row>
    <row r="29077" spans="1:1" x14ac:dyDescent="0.3">
      <c r="A29077" s="20"/>
    </row>
    <row r="29078" spans="1:1" x14ac:dyDescent="0.3">
      <c r="A29078" s="20"/>
    </row>
    <row r="29079" spans="1:1" x14ac:dyDescent="0.3">
      <c r="A29079" s="20"/>
    </row>
    <row r="29080" spans="1:1" x14ac:dyDescent="0.3">
      <c r="A29080" s="20"/>
    </row>
    <row r="29081" spans="1:1" x14ac:dyDescent="0.3">
      <c r="A29081" s="20"/>
    </row>
    <row r="29082" spans="1:1" x14ac:dyDescent="0.3">
      <c r="A29082" s="20"/>
    </row>
    <row r="29083" spans="1:1" x14ac:dyDescent="0.3">
      <c r="A29083" s="20"/>
    </row>
    <row r="29084" spans="1:1" x14ac:dyDescent="0.3">
      <c r="A29084" s="20"/>
    </row>
    <row r="29085" spans="1:1" x14ac:dyDescent="0.3">
      <c r="A29085" s="20"/>
    </row>
    <row r="29086" spans="1:1" x14ac:dyDescent="0.3">
      <c r="A29086" s="20"/>
    </row>
    <row r="29087" spans="1:1" x14ac:dyDescent="0.3">
      <c r="A29087" s="20"/>
    </row>
    <row r="29088" spans="1:1" x14ac:dyDescent="0.3">
      <c r="A29088" s="20"/>
    </row>
    <row r="29089" spans="1:1" x14ac:dyDescent="0.3">
      <c r="A29089" s="20"/>
    </row>
    <row r="29090" spans="1:1" x14ac:dyDescent="0.3">
      <c r="A29090" s="20"/>
    </row>
    <row r="29091" spans="1:1" x14ac:dyDescent="0.3">
      <c r="A29091" s="20"/>
    </row>
    <row r="29092" spans="1:1" x14ac:dyDescent="0.3">
      <c r="A29092" s="20"/>
    </row>
    <row r="29093" spans="1:1" x14ac:dyDescent="0.3">
      <c r="A29093" s="20"/>
    </row>
    <row r="29094" spans="1:1" x14ac:dyDescent="0.3">
      <c r="A29094" s="20"/>
    </row>
    <row r="29095" spans="1:1" x14ac:dyDescent="0.3">
      <c r="A29095" s="20"/>
    </row>
    <row r="29096" spans="1:1" x14ac:dyDescent="0.3">
      <c r="A29096" s="20"/>
    </row>
    <row r="29097" spans="1:1" x14ac:dyDescent="0.3">
      <c r="A29097" s="20"/>
    </row>
    <row r="29098" spans="1:1" x14ac:dyDescent="0.3">
      <c r="A29098" s="20"/>
    </row>
    <row r="29099" spans="1:1" x14ac:dyDescent="0.3">
      <c r="A29099" s="20"/>
    </row>
    <row r="29100" spans="1:1" x14ac:dyDescent="0.3">
      <c r="A29100" s="20"/>
    </row>
    <row r="29101" spans="1:1" x14ac:dyDescent="0.3">
      <c r="A29101" s="20"/>
    </row>
    <row r="29102" spans="1:1" x14ac:dyDescent="0.3">
      <c r="A29102" s="20"/>
    </row>
    <row r="29103" spans="1:1" x14ac:dyDescent="0.3">
      <c r="A29103" s="20"/>
    </row>
    <row r="29104" spans="1:1" x14ac:dyDescent="0.3">
      <c r="A29104" s="20"/>
    </row>
    <row r="29105" spans="1:1" x14ac:dyDescent="0.3">
      <c r="A29105" s="20"/>
    </row>
    <row r="29106" spans="1:1" x14ac:dyDescent="0.3">
      <c r="A29106" s="20"/>
    </row>
    <row r="29107" spans="1:1" x14ac:dyDescent="0.3">
      <c r="A29107" s="20"/>
    </row>
    <row r="29108" spans="1:1" x14ac:dyDescent="0.3">
      <c r="A29108" s="20"/>
    </row>
    <row r="29109" spans="1:1" x14ac:dyDescent="0.3">
      <c r="A29109" s="20"/>
    </row>
    <row r="29110" spans="1:1" x14ac:dyDescent="0.3">
      <c r="A29110" s="20"/>
    </row>
    <row r="29111" spans="1:1" x14ac:dyDescent="0.3">
      <c r="A29111" s="20"/>
    </row>
    <row r="29112" spans="1:1" x14ac:dyDescent="0.3">
      <c r="A29112" s="20"/>
    </row>
    <row r="29113" spans="1:1" x14ac:dyDescent="0.3">
      <c r="A29113" s="20"/>
    </row>
    <row r="29114" spans="1:1" x14ac:dyDescent="0.3">
      <c r="A29114" s="20"/>
    </row>
    <row r="29115" spans="1:1" x14ac:dyDescent="0.3">
      <c r="A29115" s="20"/>
    </row>
    <row r="29116" spans="1:1" x14ac:dyDescent="0.3">
      <c r="A29116" s="20"/>
    </row>
    <row r="29117" spans="1:1" x14ac:dyDescent="0.3">
      <c r="A29117" s="20"/>
    </row>
    <row r="29118" spans="1:1" x14ac:dyDescent="0.3">
      <c r="A29118" s="20"/>
    </row>
    <row r="29119" spans="1:1" x14ac:dyDescent="0.3">
      <c r="A29119" s="20"/>
    </row>
    <row r="29120" spans="1:1" x14ac:dyDescent="0.3">
      <c r="A29120" s="20"/>
    </row>
    <row r="29121" spans="1:1" x14ac:dyDescent="0.3">
      <c r="A29121" s="20"/>
    </row>
    <row r="29122" spans="1:1" x14ac:dyDescent="0.3">
      <c r="A29122" s="20"/>
    </row>
    <row r="29123" spans="1:1" x14ac:dyDescent="0.3">
      <c r="A29123" s="20"/>
    </row>
    <row r="29124" spans="1:1" x14ac:dyDescent="0.3">
      <c r="A29124" s="20"/>
    </row>
    <row r="29125" spans="1:1" x14ac:dyDescent="0.3">
      <c r="A29125" s="20"/>
    </row>
    <row r="29126" spans="1:1" x14ac:dyDescent="0.3">
      <c r="A29126" s="20"/>
    </row>
    <row r="29127" spans="1:1" x14ac:dyDescent="0.3">
      <c r="A29127" s="20"/>
    </row>
    <row r="29128" spans="1:1" x14ac:dyDescent="0.3">
      <c r="A29128" s="20"/>
    </row>
    <row r="29129" spans="1:1" x14ac:dyDescent="0.3">
      <c r="A29129" s="20"/>
    </row>
    <row r="29130" spans="1:1" x14ac:dyDescent="0.3">
      <c r="A29130" s="20"/>
    </row>
    <row r="29131" spans="1:1" x14ac:dyDescent="0.3">
      <c r="A29131" s="20"/>
    </row>
    <row r="29132" spans="1:1" x14ac:dyDescent="0.3">
      <c r="A29132" s="20"/>
    </row>
    <row r="29133" spans="1:1" x14ac:dyDescent="0.3">
      <c r="A29133" s="20"/>
    </row>
    <row r="29134" spans="1:1" x14ac:dyDescent="0.3">
      <c r="A29134" s="20"/>
    </row>
    <row r="29135" spans="1:1" x14ac:dyDescent="0.3">
      <c r="A29135" s="20"/>
    </row>
    <row r="29136" spans="1:1" x14ac:dyDescent="0.3">
      <c r="A29136" s="20"/>
    </row>
    <row r="29137" spans="1:1" x14ac:dyDescent="0.3">
      <c r="A29137" s="20"/>
    </row>
    <row r="29138" spans="1:1" x14ac:dyDescent="0.3">
      <c r="A29138" s="20"/>
    </row>
    <row r="29139" spans="1:1" x14ac:dyDescent="0.3">
      <c r="A29139" s="20"/>
    </row>
    <row r="29140" spans="1:1" x14ac:dyDescent="0.3">
      <c r="A29140" s="20"/>
    </row>
    <row r="29141" spans="1:1" x14ac:dyDescent="0.3">
      <c r="A29141" s="20"/>
    </row>
    <row r="29142" spans="1:1" x14ac:dyDescent="0.3">
      <c r="A29142" s="20"/>
    </row>
    <row r="29143" spans="1:1" x14ac:dyDescent="0.3">
      <c r="A29143" s="20"/>
    </row>
    <row r="29144" spans="1:1" x14ac:dyDescent="0.3">
      <c r="A29144" s="20"/>
    </row>
    <row r="29145" spans="1:1" x14ac:dyDescent="0.3">
      <c r="A29145" s="20"/>
    </row>
    <row r="29146" spans="1:1" x14ac:dyDescent="0.3">
      <c r="A29146" s="20"/>
    </row>
    <row r="29147" spans="1:1" x14ac:dyDescent="0.3">
      <c r="A29147" s="20"/>
    </row>
    <row r="29148" spans="1:1" x14ac:dyDescent="0.3">
      <c r="A29148" s="20"/>
    </row>
    <row r="29149" spans="1:1" x14ac:dyDescent="0.3">
      <c r="A29149" s="20"/>
    </row>
    <row r="29150" spans="1:1" x14ac:dyDescent="0.3">
      <c r="A29150" s="20"/>
    </row>
    <row r="29151" spans="1:1" x14ac:dyDescent="0.3">
      <c r="A29151" s="20"/>
    </row>
    <row r="29152" spans="1:1" x14ac:dyDescent="0.3">
      <c r="A29152" s="20"/>
    </row>
    <row r="29153" spans="1:1" x14ac:dyDescent="0.3">
      <c r="A29153" s="20"/>
    </row>
    <row r="29154" spans="1:1" x14ac:dyDescent="0.3">
      <c r="A29154" s="20"/>
    </row>
    <row r="29155" spans="1:1" x14ac:dyDescent="0.3">
      <c r="A29155" s="20"/>
    </row>
    <row r="29156" spans="1:1" x14ac:dyDescent="0.3">
      <c r="A29156" s="20"/>
    </row>
    <row r="29157" spans="1:1" x14ac:dyDescent="0.3">
      <c r="A29157" s="20"/>
    </row>
    <row r="29158" spans="1:1" x14ac:dyDescent="0.3">
      <c r="A29158" s="20"/>
    </row>
    <row r="29159" spans="1:1" x14ac:dyDescent="0.3">
      <c r="A29159" s="20"/>
    </row>
    <row r="29160" spans="1:1" x14ac:dyDescent="0.3">
      <c r="A29160" s="20"/>
    </row>
    <row r="29161" spans="1:1" x14ac:dyDescent="0.3">
      <c r="A29161" s="20"/>
    </row>
    <row r="29162" spans="1:1" x14ac:dyDescent="0.3">
      <c r="A29162" s="20"/>
    </row>
    <row r="29163" spans="1:1" x14ac:dyDescent="0.3">
      <c r="A29163" s="20"/>
    </row>
    <row r="29164" spans="1:1" x14ac:dyDescent="0.3">
      <c r="A29164" s="20"/>
    </row>
    <row r="29165" spans="1:1" x14ac:dyDescent="0.3">
      <c r="A29165" s="20"/>
    </row>
    <row r="29166" spans="1:1" x14ac:dyDescent="0.3">
      <c r="A29166" s="20"/>
    </row>
    <row r="29167" spans="1:1" x14ac:dyDescent="0.3">
      <c r="A29167" s="20"/>
    </row>
    <row r="29168" spans="1:1" x14ac:dyDescent="0.3">
      <c r="A29168" s="20"/>
    </row>
    <row r="29169" spans="1:1" x14ac:dyDescent="0.3">
      <c r="A29169" s="20"/>
    </row>
    <row r="29170" spans="1:1" x14ac:dyDescent="0.3">
      <c r="A29170" s="20"/>
    </row>
    <row r="29171" spans="1:1" x14ac:dyDescent="0.3">
      <c r="A29171" s="20"/>
    </row>
    <row r="29172" spans="1:1" x14ac:dyDescent="0.3">
      <c r="A29172" s="20"/>
    </row>
    <row r="29173" spans="1:1" x14ac:dyDescent="0.3">
      <c r="A29173" s="20"/>
    </row>
    <row r="29174" spans="1:1" x14ac:dyDescent="0.3">
      <c r="A29174" s="20"/>
    </row>
    <row r="29175" spans="1:1" x14ac:dyDescent="0.3">
      <c r="A29175" s="20"/>
    </row>
    <row r="29176" spans="1:1" x14ac:dyDescent="0.3">
      <c r="A29176" s="20"/>
    </row>
    <row r="29177" spans="1:1" x14ac:dyDescent="0.3">
      <c r="A29177" s="20"/>
    </row>
    <row r="29178" spans="1:1" x14ac:dyDescent="0.3">
      <c r="A29178" s="20"/>
    </row>
    <row r="29179" spans="1:1" x14ac:dyDescent="0.3">
      <c r="A29179" s="20"/>
    </row>
    <row r="29180" spans="1:1" x14ac:dyDescent="0.3">
      <c r="A29180" s="20"/>
    </row>
    <row r="29181" spans="1:1" x14ac:dyDescent="0.3">
      <c r="A29181" s="20"/>
    </row>
    <row r="29182" spans="1:1" x14ac:dyDescent="0.3">
      <c r="A29182" s="20"/>
    </row>
    <row r="29183" spans="1:1" x14ac:dyDescent="0.3">
      <c r="A29183" s="20"/>
    </row>
    <row r="29184" spans="1:1" x14ac:dyDescent="0.3">
      <c r="A29184" s="20"/>
    </row>
    <row r="29185" spans="1:1" x14ac:dyDescent="0.3">
      <c r="A29185" s="20"/>
    </row>
    <row r="29186" spans="1:1" x14ac:dyDescent="0.3">
      <c r="A29186" s="20"/>
    </row>
    <row r="29187" spans="1:1" x14ac:dyDescent="0.3">
      <c r="A29187" s="20"/>
    </row>
    <row r="29188" spans="1:1" x14ac:dyDescent="0.3">
      <c r="A29188" s="20"/>
    </row>
    <row r="29189" spans="1:1" x14ac:dyDescent="0.3">
      <c r="A29189" s="20"/>
    </row>
    <row r="29190" spans="1:1" x14ac:dyDescent="0.3">
      <c r="A29190" s="20"/>
    </row>
    <row r="29191" spans="1:1" x14ac:dyDescent="0.3">
      <c r="A29191" s="20"/>
    </row>
    <row r="29192" spans="1:1" x14ac:dyDescent="0.3">
      <c r="A29192" s="20"/>
    </row>
    <row r="29193" spans="1:1" x14ac:dyDescent="0.3">
      <c r="A29193" s="20"/>
    </row>
    <row r="29194" spans="1:1" x14ac:dyDescent="0.3">
      <c r="A29194" s="20"/>
    </row>
    <row r="29195" spans="1:1" x14ac:dyDescent="0.3">
      <c r="A29195" s="20"/>
    </row>
    <row r="29196" spans="1:1" x14ac:dyDescent="0.3">
      <c r="A29196" s="20"/>
    </row>
    <row r="29197" spans="1:1" x14ac:dyDescent="0.3">
      <c r="A29197" s="20"/>
    </row>
    <row r="29198" spans="1:1" x14ac:dyDescent="0.3">
      <c r="A29198" s="20"/>
    </row>
    <row r="29199" spans="1:1" x14ac:dyDescent="0.3">
      <c r="A29199" s="20"/>
    </row>
    <row r="29200" spans="1:1" x14ac:dyDescent="0.3">
      <c r="A29200" s="20"/>
    </row>
    <row r="29201" spans="1:1" x14ac:dyDescent="0.3">
      <c r="A29201" s="20"/>
    </row>
    <row r="29202" spans="1:1" x14ac:dyDescent="0.3">
      <c r="A29202" s="20"/>
    </row>
    <row r="29203" spans="1:1" x14ac:dyDescent="0.3">
      <c r="A29203" s="20"/>
    </row>
    <row r="29204" spans="1:1" x14ac:dyDescent="0.3">
      <c r="A29204" s="20"/>
    </row>
    <row r="29205" spans="1:1" x14ac:dyDescent="0.3">
      <c r="A29205" s="20"/>
    </row>
    <row r="29206" spans="1:1" x14ac:dyDescent="0.3">
      <c r="A29206" s="20"/>
    </row>
    <row r="29207" spans="1:1" x14ac:dyDescent="0.3">
      <c r="A29207" s="20"/>
    </row>
    <row r="29208" spans="1:1" x14ac:dyDescent="0.3">
      <c r="A29208" s="20"/>
    </row>
    <row r="29209" spans="1:1" x14ac:dyDescent="0.3">
      <c r="A29209" s="20"/>
    </row>
    <row r="29210" spans="1:1" x14ac:dyDescent="0.3">
      <c r="A29210" s="20"/>
    </row>
    <row r="29211" spans="1:1" x14ac:dyDescent="0.3">
      <c r="A29211" s="20"/>
    </row>
    <row r="29212" spans="1:1" x14ac:dyDescent="0.3">
      <c r="A29212" s="20"/>
    </row>
    <row r="29213" spans="1:1" x14ac:dyDescent="0.3">
      <c r="A29213" s="20"/>
    </row>
    <row r="29214" spans="1:1" x14ac:dyDescent="0.3">
      <c r="A29214" s="20"/>
    </row>
    <row r="29215" spans="1:1" x14ac:dyDescent="0.3">
      <c r="A29215" s="20"/>
    </row>
    <row r="29216" spans="1:1" x14ac:dyDescent="0.3">
      <c r="A29216" s="20"/>
    </row>
    <row r="29217" spans="1:1" x14ac:dyDescent="0.3">
      <c r="A29217" s="20"/>
    </row>
    <row r="29218" spans="1:1" x14ac:dyDescent="0.3">
      <c r="A29218" s="20"/>
    </row>
    <row r="29219" spans="1:1" x14ac:dyDescent="0.3">
      <c r="A29219" s="20"/>
    </row>
    <row r="29220" spans="1:1" x14ac:dyDescent="0.3">
      <c r="A29220" s="20"/>
    </row>
    <row r="29221" spans="1:1" x14ac:dyDescent="0.3">
      <c r="A29221" s="20"/>
    </row>
    <row r="29222" spans="1:1" x14ac:dyDescent="0.3">
      <c r="A29222" s="20"/>
    </row>
    <row r="29223" spans="1:1" x14ac:dyDescent="0.3">
      <c r="A29223" s="20"/>
    </row>
    <row r="29224" spans="1:1" x14ac:dyDescent="0.3">
      <c r="A29224" s="20"/>
    </row>
    <row r="29225" spans="1:1" x14ac:dyDescent="0.3">
      <c r="A29225" s="20"/>
    </row>
    <row r="29226" spans="1:1" x14ac:dyDescent="0.3">
      <c r="A29226" s="20"/>
    </row>
    <row r="29227" spans="1:1" x14ac:dyDescent="0.3">
      <c r="A29227" s="20"/>
    </row>
    <row r="29228" spans="1:1" x14ac:dyDescent="0.3">
      <c r="A29228" s="20"/>
    </row>
    <row r="29229" spans="1:1" x14ac:dyDescent="0.3">
      <c r="A29229" s="20"/>
    </row>
    <row r="29230" spans="1:1" x14ac:dyDescent="0.3">
      <c r="A29230" s="20"/>
    </row>
    <row r="29231" spans="1:1" x14ac:dyDescent="0.3">
      <c r="A29231" s="20"/>
    </row>
    <row r="29232" spans="1:1" x14ac:dyDescent="0.3">
      <c r="A29232" s="20"/>
    </row>
    <row r="29233" spans="1:1" x14ac:dyDescent="0.3">
      <c r="A29233" s="20"/>
    </row>
    <row r="29234" spans="1:1" x14ac:dyDescent="0.3">
      <c r="A29234" s="20"/>
    </row>
    <row r="29235" spans="1:1" x14ac:dyDescent="0.3">
      <c r="A29235" s="20"/>
    </row>
    <row r="29236" spans="1:1" x14ac:dyDescent="0.3">
      <c r="A29236" s="20"/>
    </row>
    <row r="29237" spans="1:1" x14ac:dyDescent="0.3">
      <c r="A29237" s="20"/>
    </row>
    <row r="29238" spans="1:1" x14ac:dyDescent="0.3">
      <c r="A29238" s="20"/>
    </row>
    <row r="29239" spans="1:1" x14ac:dyDescent="0.3">
      <c r="A29239" s="20"/>
    </row>
    <row r="29240" spans="1:1" x14ac:dyDescent="0.3">
      <c r="A29240" s="20"/>
    </row>
    <row r="29241" spans="1:1" x14ac:dyDescent="0.3">
      <c r="A29241" s="20"/>
    </row>
    <row r="29242" spans="1:1" x14ac:dyDescent="0.3">
      <c r="A29242" s="20"/>
    </row>
    <row r="29243" spans="1:1" x14ac:dyDescent="0.3">
      <c r="A29243" s="20"/>
    </row>
    <row r="29244" spans="1:1" x14ac:dyDescent="0.3">
      <c r="A29244" s="20"/>
    </row>
    <row r="29245" spans="1:1" x14ac:dyDescent="0.3">
      <c r="A29245" s="20"/>
    </row>
    <row r="29246" spans="1:1" x14ac:dyDescent="0.3">
      <c r="A29246" s="20"/>
    </row>
    <row r="29247" spans="1:1" x14ac:dyDescent="0.3">
      <c r="A29247" s="20"/>
    </row>
    <row r="29248" spans="1:1" x14ac:dyDescent="0.3">
      <c r="A29248" s="20"/>
    </row>
    <row r="29249" spans="1:1" x14ac:dyDescent="0.3">
      <c r="A29249" s="20"/>
    </row>
    <row r="29250" spans="1:1" x14ac:dyDescent="0.3">
      <c r="A29250" s="20"/>
    </row>
    <row r="29251" spans="1:1" x14ac:dyDescent="0.3">
      <c r="A29251" s="20"/>
    </row>
    <row r="29252" spans="1:1" x14ac:dyDescent="0.3">
      <c r="A29252" s="20"/>
    </row>
    <row r="29253" spans="1:1" x14ac:dyDescent="0.3">
      <c r="A29253" s="20"/>
    </row>
    <row r="29254" spans="1:1" x14ac:dyDescent="0.3">
      <c r="A29254" s="20"/>
    </row>
    <row r="29255" spans="1:1" x14ac:dyDescent="0.3">
      <c r="A29255" s="20"/>
    </row>
    <row r="29256" spans="1:1" x14ac:dyDescent="0.3">
      <c r="A29256" s="20"/>
    </row>
    <row r="29257" spans="1:1" x14ac:dyDescent="0.3">
      <c r="A29257" s="20"/>
    </row>
    <row r="29258" spans="1:1" x14ac:dyDescent="0.3">
      <c r="A29258" s="20"/>
    </row>
    <row r="29259" spans="1:1" x14ac:dyDescent="0.3">
      <c r="A29259" s="20"/>
    </row>
    <row r="29260" spans="1:1" x14ac:dyDescent="0.3">
      <c r="A29260" s="20"/>
    </row>
    <row r="29261" spans="1:1" x14ac:dyDescent="0.3">
      <c r="A29261" s="20"/>
    </row>
    <row r="29262" spans="1:1" x14ac:dyDescent="0.3">
      <c r="A29262" s="20"/>
    </row>
    <row r="29263" spans="1:1" x14ac:dyDescent="0.3">
      <c r="A29263" s="20"/>
    </row>
    <row r="29264" spans="1:1" x14ac:dyDescent="0.3">
      <c r="A29264" s="20"/>
    </row>
    <row r="29265" spans="1:1" x14ac:dyDescent="0.3">
      <c r="A29265" s="20"/>
    </row>
    <row r="29266" spans="1:1" x14ac:dyDescent="0.3">
      <c r="A29266" s="20"/>
    </row>
    <row r="29267" spans="1:1" x14ac:dyDescent="0.3">
      <c r="A29267" s="20"/>
    </row>
    <row r="29268" spans="1:1" x14ac:dyDescent="0.3">
      <c r="A29268" s="20"/>
    </row>
    <row r="29269" spans="1:1" x14ac:dyDescent="0.3">
      <c r="A29269" s="20"/>
    </row>
    <row r="29270" spans="1:1" x14ac:dyDescent="0.3">
      <c r="A29270" s="20"/>
    </row>
    <row r="29271" spans="1:1" x14ac:dyDescent="0.3">
      <c r="A29271" s="20"/>
    </row>
    <row r="29272" spans="1:1" x14ac:dyDescent="0.3">
      <c r="A29272" s="20"/>
    </row>
    <row r="29273" spans="1:1" x14ac:dyDescent="0.3">
      <c r="A29273" s="20"/>
    </row>
    <row r="29274" spans="1:1" x14ac:dyDescent="0.3">
      <c r="A29274" s="20"/>
    </row>
    <row r="29275" spans="1:1" x14ac:dyDescent="0.3">
      <c r="A29275" s="20"/>
    </row>
    <row r="29276" spans="1:1" x14ac:dyDescent="0.3">
      <c r="A29276" s="20"/>
    </row>
    <row r="29277" spans="1:1" x14ac:dyDescent="0.3">
      <c r="A29277" s="20"/>
    </row>
    <row r="29278" spans="1:1" x14ac:dyDescent="0.3">
      <c r="A29278" s="20"/>
    </row>
    <row r="29279" spans="1:1" x14ac:dyDescent="0.3">
      <c r="A29279" s="20"/>
    </row>
    <row r="29280" spans="1:1" x14ac:dyDescent="0.3">
      <c r="A29280" s="20"/>
    </row>
    <row r="29281" spans="1:1" x14ac:dyDescent="0.3">
      <c r="A29281" s="20"/>
    </row>
    <row r="29282" spans="1:1" x14ac:dyDescent="0.3">
      <c r="A29282" s="20"/>
    </row>
    <row r="29283" spans="1:1" x14ac:dyDescent="0.3">
      <c r="A29283" s="20"/>
    </row>
    <row r="29284" spans="1:1" x14ac:dyDescent="0.3">
      <c r="A29284" s="20"/>
    </row>
    <row r="29285" spans="1:1" x14ac:dyDescent="0.3">
      <c r="A29285" s="20"/>
    </row>
    <row r="29286" spans="1:1" x14ac:dyDescent="0.3">
      <c r="A29286" s="20"/>
    </row>
    <row r="29287" spans="1:1" x14ac:dyDescent="0.3">
      <c r="A29287" s="20"/>
    </row>
    <row r="29288" spans="1:1" x14ac:dyDescent="0.3">
      <c r="A29288" s="20"/>
    </row>
    <row r="29289" spans="1:1" x14ac:dyDescent="0.3">
      <c r="A29289" s="20"/>
    </row>
    <row r="29290" spans="1:1" x14ac:dyDescent="0.3">
      <c r="A29290" s="20"/>
    </row>
    <row r="29291" spans="1:1" x14ac:dyDescent="0.3">
      <c r="A29291" s="20"/>
    </row>
    <row r="29292" spans="1:1" x14ac:dyDescent="0.3">
      <c r="A29292" s="20"/>
    </row>
    <row r="29293" spans="1:1" x14ac:dyDescent="0.3">
      <c r="A29293" s="20"/>
    </row>
    <row r="29294" spans="1:1" x14ac:dyDescent="0.3">
      <c r="A29294" s="20"/>
    </row>
    <row r="29295" spans="1:1" x14ac:dyDescent="0.3">
      <c r="A29295" s="20"/>
    </row>
    <row r="29296" spans="1:1" x14ac:dyDescent="0.3">
      <c r="A29296" s="20"/>
    </row>
    <row r="29297" spans="1:1" x14ac:dyDescent="0.3">
      <c r="A29297" s="20"/>
    </row>
    <row r="29298" spans="1:1" x14ac:dyDescent="0.3">
      <c r="A29298" s="20"/>
    </row>
    <row r="29299" spans="1:1" x14ac:dyDescent="0.3">
      <c r="A29299" s="20"/>
    </row>
    <row r="29300" spans="1:1" x14ac:dyDescent="0.3">
      <c r="A29300" s="20"/>
    </row>
    <row r="29301" spans="1:1" x14ac:dyDescent="0.3">
      <c r="A29301" s="20"/>
    </row>
    <row r="29302" spans="1:1" x14ac:dyDescent="0.3">
      <c r="A29302" s="20"/>
    </row>
    <row r="29303" spans="1:1" x14ac:dyDescent="0.3">
      <c r="A29303" s="20"/>
    </row>
    <row r="29304" spans="1:1" x14ac:dyDescent="0.3">
      <c r="A29304" s="20"/>
    </row>
    <row r="29305" spans="1:1" x14ac:dyDescent="0.3">
      <c r="A29305" s="20"/>
    </row>
    <row r="29306" spans="1:1" x14ac:dyDescent="0.3">
      <c r="A29306" s="20"/>
    </row>
    <row r="29307" spans="1:1" x14ac:dyDescent="0.3">
      <c r="A29307" s="20"/>
    </row>
    <row r="29308" spans="1:1" x14ac:dyDescent="0.3">
      <c r="A29308" s="20"/>
    </row>
    <row r="29309" spans="1:1" x14ac:dyDescent="0.3">
      <c r="A29309" s="20"/>
    </row>
    <row r="29310" spans="1:1" x14ac:dyDescent="0.3">
      <c r="A29310" s="20"/>
    </row>
    <row r="29311" spans="1:1" x14ac:dyDescent="0.3">
      <c r="A29311" s="20"/>
    </row>
    <row r="29312" spans="1:1" x14ac:dyDescent="0.3">
      <c r="A29312" s="20"/>
    </row>
    <row r="29313" spans="1:1" x14ac:dyDescent="0.3">
      <c r="A29313" s="20"/>
    </row>
    <row r="29314" spans="1:1" x14ac:dyDescent="0.3">
      <c r="A29314" s="20"/>
    </row>
    <row r="29315" spans="1:1" x14ac:dyDescent="0.3">
      <c r="A29315" s="20"/>
    </row>
    <row r="29316" spans="1:1" x14ac:dyDescent="0.3">
      <c r="A29316" s="20"/>
    </row>
    <row r="29317" spans="1:1" x14ac:dyDescent="0.3">
      <c r="A29317" s="20"/>
    </row>
    <row r="29318" spans="1:1" x14ac:dyDescent="0.3">
      <c r="A29318" s="20"/>
    </row>
    <row r="29319" spans="1:1" x14ac:dyDescent="0.3">
      <c r="A29319" s="20"/>
    </row>
    <row r="29320" spans="1:1" x14ac:dyDescent="0.3">
      <c r="A29320" s="20"/>
    </row>
    <row r="29321" spans="1:1" x14ac:dyDescent="0.3">
      <c r="A29321" s="20"/>
    </row>
    <row r="29322" spans="1:1" x14ac:dyDescent="0.3">
      <c r="A29322" s="20"/>
    </row>
    <row r="29323" spans="1:1" x14ac:dyDescent="0.3">
      <c r="A29323" s="20"/>
    </row>
    <row r="29324" spans="1:1" x14ac:dyDescent="0.3">
      <c r="A29324" s="20"/>
    </row>
    <row r="29325" spans="1:1" x14ac:dyDescent="0.3">
      <c r="A29325" s="20"/>
    </row>
    <row r="29326" spans="1:1" x14ac:dyDescent="0.3">
      <c r="A29326" s="20"/>
    </row>
    <row r="29327" spans="1:1" x14ac:dyDescent="0.3">
      <c r="A29327" s="20"/>
    </row>
    <row r="29328" spans="1:1" x14ac:dyDescent="0.3">
      <c r="A29328" s="20"/>
    </row>
    <row r="29329" spans="1:1" x14ac:dyDescent="0.3">
      <c r="A29329" s="20"/>
    </row>
    <row r="29330" spans="1:1" x14ac:dyDescent="0.3">
      <c r="A29330" s="20"/>
    </row>
    <row r="29331" spans="1:1" x14ac:dyDescent="0.3">
      <c r="A29331" s="20"/>
    </row>
    <row r="29332" spans="1:1" x14ac:dyDescent="0.3">
      <c r="A29332" s="20"/>
    </row>
    <row r="29333" spans="1:1" x14ac:dyDescent="0.3">
      <c r="A29333" s="20"/>
    </row>
    <row r="29334" spans="1:1" x14ac:dyDescent="0.3">
      <c r="A29334" s="20"/>
    </row>
    <row r="29335" spans="1:1" x14ac:dyDescent="0.3">
      <c r="A29335" s="20"/>
    </row>
    <row r="29336" spans="1:1" x14ac:dyDescent="0.3">
      <c r="A29336" s="20"/>
    </row>
    <row r="29337" spans="1:1" x14ac:dyDescent="0.3">
      <c r="A29337" s="20"/>
    </row>
    <row r="29338" spans="1:1" x14ac:dyDescent="0.3">
      <c r="A29338" s="20"/>
    </row>
    <row r="29339" spans="1:1" x14ac:dyDescent="0.3">
      <c r="A29339" s="20"/>
    </row>
    <row r="29340" spans="1:1" x14ac:dyDescent="0.3">
      <c r="A29340" s="20"/>
    </row>
    <row r="29341" spans="1:1" x14ac:dyDescent="0.3">
      <c r="A29341" s="20"/>
    </row>
    <row r="29342" spans="1:1" x14ac:dyDescent="0.3">
      <c r="A29342" s="20"/>
    </row>
    <row r="29343" spans="1:1" x14ac:dyDescent="0.3">
      <c r="A29343" s="20"/>
    </row>
    <row r="29344" spans="1:1" x14ac:dyDescent="0.3">
      <c r="A29344" s="20"/>
    </row>
    <row r="29345" spans="1:1" x14ac:dyDescent="0.3">
      <c r="A29345" s="20"/>
    </row>
    <row r="29346" spans="1:1" x14ac:dyDescent="0.3">
      <c r="A29346" s="20"/>
    </row>
    <row r="29347" spans="1:1" x14ac:dyDescent="0.3">
      <c r="A29347" s="20"/>
    </row>
    <row r="29348" spans="1:1" x14ac:dyDescent="0.3">
      <c r="A29348" s="20"/>
    </row>
    <row r="29349" spans="1:1" x14ac:dyDescent="0.3">
      <c r="A29349" s="20"/>
    </row>
    <row r="29350" spans="1:1" x14ac:dyDescent="0.3">
      <c r="A29350" s="20"/>
    </row>
    <row r="29351" spans="1:1" x14ac:dyDescent="0.3">
      <c r="A29351" s="20"/>
    </row>
    <row r="29352" spans="1:1" x14ac:dyDescent="0.3">
      <c r="A29352" s="20"/>
    </row>
    <row r="29353" spans="1:1" x14ac:dyDescent="0.3">
      <c r="A29353" s="20"/>
    </row>
    <row r="29354" spans="1:1" x14ac:dyDescent="0.3">
      <c r="A29354" s="20"/>
    </row>
    <row r="29355" spans="1:1" x14ac:dyDescent="0.3">
      <c r="A29355" s="20"/>
    </row>
    <row r="29356" spans="1:1" x14ac:dyDescent="0.3">
      <c r="A29356" s="20"/>
    </row>
    <row r="29357" spans="1:1" x14ac:dyDescent="0.3">
      <c r="A29357" s="20"/>
    </row>
    <row r="29358" spans="1:1" x14ac:dyDescent="0.3">
      <c r="A29358" s="20"/>
    </row>
    <row r="29359" spans="1:1" x14ac:dyDescent="0.3">
      <c r="A29359" s="20"/>
    </row>
    <row r="29360" spans="1:1" x14ac:dyDescent="0.3">
      <c r="A29360" s="20"/>
    </row>
    <row r="29361" spans="1:1" x14ac:dyDescent="0.3">
      <c r="A29361" s="20"/>
    </row>
    <row r="29362" spans="1:1" x14ac:dyDescent="0.3">
      <c r="A29362" s="20"/>
    </row>
    <row r="29363" spans="1:1" x14ac:dyDescent="0.3">
      <c r="A29363" s="20"/>
    </row>
    <row r="29364" spans="1:1" x14ac:dyDescent="0.3">
      <c r="A29364" s="20"/>
    </row>
    <row r="29365" spans="1:1" x14ac:dyDescent="0.3">
      <c r="A29365" s="20"/>
    </row>
    <row r="29366" spans="1:1" x14ac:dyDescent="0.3">
      <c r="A29366" s="20"/>
    </row>
    <row r="29367" spans="1:1" x14ac:dyDescent="0.3">
      <c r="A29367" s="20"/>
    </row>
    <row r="29368" spans="1:1" x14ac:dyDescent="0.3">
      <c r="A29368" s="20"/>
    </row>
    <row r="29369" spans="1:1" x14ac:dyDescent="0.3">
      <c r="A29369" s="20"/>
    </row>
    <row r="29370" spans="1:1" x14ac:dyDescent="0.3">
      <c r="A29370" s="20"/>
    </row>
    <row r="29371" spans="1:1" x14ac:dyDescent="0.3">
      <c r="A29371" s="20"/>
    </row>
    <row r="29372" spans="1:1" x14ac:dyDescent="0.3">
      <c r="A29372" s="20"/>
    </row>
    <row r="29373" spans="1:1" x14ac:dyDescent="0.3">
      <c r="A29373" s="20"/>
    </row>
    <row r="29374" spans="1:1" x14ac:dyDescent="0.3">
      <c r="A29374" s="20"/>
    </row>
    <row r="29375" spans="1:1" x14ac:dyDescent="0.3">
      <c r="A29375" s="20"/>
    </row>
    <row r="29376" spans="1:1" x14ac:dyDescent="0.3">
      <c r="A29376" s="20"/>
    </row>
    <row r="29377" spans="1:1" x14ac:dyDescent="0.3">
      <c r="A29377" s="20"/>
    </row>
    <row r="29378" spans="1:1" x14ac:dyDescent="0.3">
      <c r="A29378" s="20"/>
    </row>
    <row r="29379" spans="1:1" x14ac:dyDescent="0.3">
      <c r="A29379" s="20"/>
    </row>
    <row r="29380" spans="1:1" x14ac:dyDescent="0.3">
      <c r="A29380" s="20"/>
    </row>
    <row r="29381" spans="1:1" x14ac:dyDescent="0.3">
      <c r="A29381" s="20"/>
    </row>
    <row r="29382" spans="1:1" x14ac:dyDescent="0.3">
      <c r="A29382" s="20"/>
    </row>
    <row r="29383" spans="1:1" x14ac:dyDescent="0.3">
      <c r="A29383" s="20"/>
    </row>
    <row r="29384" spans="1:1" x14ac:dyDescent="0.3">
      <c r="A29384" s="20"/>
    </row>
    <row r="29385" spans="1:1" x14ac:dyDescent="0.3">
      <c r="A29385" s="20"/>
    </row>
    <row r="29386" spans="1:1" x14ac:dyDescent="0.3">
      <c r="A29386" s="20"/>
    </row>
    <row r="29387" spans="1:1" x14ac:dyDescent="0.3">
      <c r="A29387" s="20"/>
    </row>
    <row r="29388" spans="1:1" x14ac:dyDescent="0.3">
      <c r="A29388" s="20"/>
    </row>
    <row r="29389" spans="1:1" x14ac:dyDescent="0.3">
      <c r="A29389" s="20"/>
    </row>
    <row r="29390" spans="1:1" x14ac:dyDescent="0.3">
      <c r="A29390" s="20"/>
    </row>
    <row r="29391" spans="1:1" x14ac:dyDescent="0.3">
      <c r="A29391" s="20"/>
    </row>
    <row r="29392" spans="1:1" x14ac:dyDescent="0.3">
      <c r="A29392" s="20"/>
    </row>
    <row r="29393" spans="1:1" x14ac:dyDescent="0.3">
      <c r="A29393" s="20"/>
    </row>
    <row r="29394" spans="1:1" x14ac:dyDescent="0.3">
      <c r="A29394" s="20"/>
    </row>
    <row r="29395" spans="1:1" x14ac:dyDescent="0.3">
      <c r="A29395" s="20"/>
    </row>
    <row r="29396" spans="1:1" x14ac:dyDescent="0.3">
      <c r="A29396" s="20"/>
    </row>
    <row r="29397" spans="1:1" x14ac:dyDescent="0.3">
      <c r="A29397" s="20"/>
    </row>
    <row r="29398" spans="1:1" x14ac:dyDescent="0.3">
      <c r="A29398" s="20"/>
    </row>
    <row r="29399" spans="1:1" x14ac:dyDescent="0.3">
      <c r="A29399" s="20"/>
    </row>
    <row r="29400" spans="1:1" x14ac:dyDescent="0.3">
      <c r="A29400" s="20"/>
    </row>
    <row r="29401" spans="1:1" x14ac:dyDescent="0.3">
      <c r="A29401" s="20"/>
    </row>
    <row r="29402" spans="1:1" x14ac:dyDescent="0.3">
      <c r="A29402" s="20"/>
    </row>
    <row r="29403" spans="1:1" x14ac:dyDescent="0.3">
      <c r="A29403" s="20"/>
    </row>
    <row r="29404" spans="1:1" x14ac:dyDescent="0.3">
      <c r="A29404" s="20"/>
    </row>
    <row r="29405" spans="1:1" x14ac:dyDescent="0.3">
      <c r="A29405" s="20"/>
    </row>
    <row r="29406" spans="1:1" x14ac:dyDescent="0.3">
      <c r="A29406" s="20"/>
    </row>
    <row r="29407" spans="1:1" x14ac:dyDescent="0.3">
      <c r="A29407" s="20"/>
    </row>
    <row r="29408" spans="1:1" x14ac:dyDescent="0.3">
      <c r="A29408" s="20"/>
    </row>
    <row r="29409" spans="1:1" x14ac:dyDescent="0.3">
      <c r="A29409" s="20"/>
    </row>
    <row r="29410" spans="1:1" x14ac:dyDescent="0.3">
      <c r="A29410" s="20"/>
    </row>
    <row r="29411" spans="1:1" x14ac:dyDescent="0.3">
      <c r="A29411" s="20"/>
    </row>
    <row r="29412" spans="1:1" x14ac:dyDescent="0.3">
      <c r="A29412" s="20"/>
    </row>
    <row r="29413" spans="1:1" x14ac:dyDescent="0.3">
      <c r="A29413" s="20"/>
    </row>
    <row r="29414" spans="1:1" x14ac:dyDescent="0.3">
      <c r="A29414" s="20"/>
    </row>
    <row r="29415" spans="1:1" x14ac:dyDescent="0.3">
      <c r="A29415" s="20"/>
    </row>
    <row r="29416" spans="1:1" x14ac:dyDescent="0.3">
      <c r="A29416" s="20"/>
    </row>
    <row r="29417" spans="1:1" x14ac:dyDescent="0.3">
      <c r="A29417" s="20"/>
    </row>
    <row r="29418" spans="1:1" x14ac:dyDescent="0.3">
      <c r="A29418" s="20"/>
    </row>
    <row r="29419" spans="1:1" x14ac:dyDescent="0.3">
      <c r="A29419" s="20"/>
    </row>
    <row r="29420" spans="1:1" x14ac:dyDescent="0.3">
      <c r="A29420" s="20"/>
    </row>
    <row r="29421" spans="1:1" x14ac:dyDescent="0.3">
      <c r="A29421" s="20"/>
    </row>
    <row r="29422" spans="1:1" x14ac:dyDescent="0.3">
      <c r="A29422" s="20"/>
    </row>
    <row r="29423" spans="1:1" x14ac:dyDescent="0.3">
      <c r="A29423" s="20"/>
    </row>
    <row r="29424" spans="1:1" x14ac:dyDescent="0.3">
      <c r="A29424" s="20"/>
    </row>
    <row r="29425" spans="1:1" x14ac:dyDescent="0.3">
      <c r="A29425" s="20"/>
    </row>
    <row r="29426" spans="1:1" x14ac:dyDescent="0.3">
      <c r="A29426" s="20"/>
    </row>
    <row r="29427" spans="1:1" x14ac:dyDescent="0.3">
      <c r="A29427" s="20"/>
    </row>
    <row r="29428" spans="1:1" x14ac:dyDescent="0.3">
      <c r="A29428" s="20"/>
    </row>
    <row r="29429" spans="1:1" x14ac:dyDescent="0.3">
      <c r="A29429" s="20"/>
    </row>
    <row r="29430" spans="1:1" x14ac:dyDescent="0.3">
      <c r="A29430" s="20"/>
    </row>
    <row r="29431" spans="1:1" x14ac:dyDescent="0.3">
      <c r="A29431" s="20"/>
    </row>
    <row r="29432" spans="1:1" x14ac:dyDescent="0.3">
      <c r="A29432" s="20"/>
    </row>
    <row r="29433" spans="1:1" x14ac:dyDescent="0.3">
      <c r="A29433" s="20"/>
    </row>
    <row r="29434" spans="1:1" x14ac:dyDescent="0.3">
      <c r="A29434" s="20"/>
    </row>
    <row r="29435" spans="1:1" x14ac:dyDescent="0.3">
      <c r="A29435" s="20"/>
    </row>
    <row r="29436" spans="1:1" x14ac:dyDescent="0.3">
      <c r="A29436" s="20"/>
    </row>
    <row r="29437" spans="1:1" x14ac:dyDescent="0.3">
      <c r="A29437" s="20"/>
    </row>
    <row r="29438" spans="1:1" x14ac:dyDescent="0.3">
      <c r="A29438" s="20"/>
    </row>
    <row r="29439" spans="1:1" x14ac:dyDescent="0.3">
      <c r="A29439" s="20"/>
    </row>
    <row r="29440" spans="1:1" x14ac:dyDescent="0.3">
      <c r="A29440" s="20"/>
    </row>
    <row r="29441" spans="1:1" x14ac:dyDescent="0.3">
      <c r="A29441" s="20"/>
    </row>
    <row r="29442" spans="1:1" x14ac:dyDescent="0.3">
      <c r="A29442" s="20"/>
    </row>
    <row r="29443" spans="1:1" x14ac:dyDescent="0.3">
      <c r="A29443" s="20"/>
    </row>
    <row r="29444" spans="1:1" x14ac:dyDescent="0.3">
      <c r="A29444" s="20"/>
    </row>
    <row r="29445" spans="1:1" x14ac:dyDescent="0.3">
      <c r="A29445" s="20"/>
    </row>
    <row r="29446" spans="1:1" x14ac:dyDescent="0.3">
      <c r="A29446" s="20"/>
    </row>
    <row r="29447" spans="1:1" x14ac:dyDescent="0.3">
      <c r="A29447" s="20"/>
    </row>
    <row r="29448" spans="1:1" x14ac:dyDescent="0.3">
      <c r="A29448" s="20"/>
    </row>
    <row r="29449" spans="1:1" x14ac:dyDescent="0.3">
      <c r="A29449" s="20"/>
    </row>
    <row r="29450" spans="1:1" x14ac:dyDescent="0.3">
      <c r="A29450" s="20"/>
    </row>
    <row r="29451" spans="1:1" x14ac:dyDescent="0.3">
      <c r="A29451" s="20"/>
    </row>
    <row r="29452" spans="1:1" x14ac:dyDescent="0.3">
      <c r="A29452" s="20"/>
    </row>
    <row r="29453" spans="1:1" x14ac:dyDescent="0.3">
      <c r="A29453" s="20"/>
    </row>
    <row r="29454" spans="1:1" x14ac:dyDescent="0.3">
      <c r="A29454" s="20"/>
    </row>
    <row r="29455" spans="1:1" x14ac:dyDescent="0.3">
      <c r="A29455" s="20"/>
    </row>
    <row r="29456" spans="1:1" x14ac:dyDescent="0.3">
      <c r="A29456" s="20"/>
    </row>
    <row r="29457" spans="1:1" x14ac:dyDescent="0.3">
      <c r="A29457" s="20"/>
    </row>
    <row r="29458" spans="1:1" x14ac:dyDescent="0.3">
      <c r="A29458" s="20"/>
    </row>
    <row r="29459" spans="1:1" x14ac:dyDescent="0.3">
      <c r="A29459" s="20"/>
    </row>
    <row r="29460" spans="1:1" x14ac:dyDescent="0.3">
      <c r="A29460" s="20"/>
    </row>
    <row r="29461" spans="1:1" x14ac:dyDescent="0.3">
      <c r="A29461" s="20"/>
    </row>
    <row r="29462" spans="1:1" x14ac:dyDescent="0.3">
      <c r="A29462" s="20"/>
    </row>
    <row r="29463" spans="1:1" x14ac:dyDescent="0.3">
      <c r="A29463" s="20"/>
    </row>
    <row r="29464" spans="1:1" x14ac:dyDescent="0.3">
      <c r="A29464" s="20"/>
    </row>
    <row r="29465" spans="1:1" x14ac:dyDescent="0.3">
      <c r="A29465" s="20"/>
    </row>
    <row r="29466" spans="1:1" x14ac:dyDescent="0.3">
      <c r="A29466" s="20"/>
    </row>
    <row r="29467" spans="1:1" x14ac:dyDescent="0.3">
      <c r="A29467" s="20"/>
    </row>
    <row r="29468" spans="1:1" x14ac:dyDescent="0.3">
      <c r="A29468" s="20"/>
    </row>
    <row r="29469" spans="1:1" x14ac:dyDescent="0.3">
      <c r="A29469" s="20"/>
    </row>
    <row r="29470" spans="1:1" x14ac:dyDescent="0.3">
      <c r="A29470" s="20"/>
    </row>
    <row r="29471" spans="1:1" x14ac:dyDescent="0.3">
      <c r="A29471" s="20"/>
    </row>
    <row r="29472" spans="1:1" x14ac:dyDescent="0.3">
      <c r="A29472" s="20"/>
    </row>
    <row r="29473" spans="1:1" x14ac:dyDescent="0.3">
      <c r="A29473" s="20"/>
    </row>
    <row r="29474" spans="1:1" x14ac:dyDescent="0.3">
      <c r="A29474" s="20"/>
    </row>
    <row r="29475" spans="1:1" x14ac:dyDescent="0.3">
      <c r="A29475" s="20"/>
    </row>
    <row r="29476" spans="1:1" x14ac:dyDescent="0.3">
      <c r="A29476" s="20"/>
    </row>
    <row r="29477" spans="1:1" x14ac:dyDescent="0.3">
      <c r="A29477" s="20"/>
    </row>
    <row r="29478" spans="1:1" x14ac:dyDescent="0.3">
      <c r="A29478" s="20"/>
    </row>
    <row r="29479" spans="1:1" x14ac:dyDescent="0.3">
      <c r="A29479" s="20"/>
    </row>
    <row r="29480" spans="1:1" x14ac:dyDescent="0.3">
      <c r="A29480" s="20"/>
    </row>
    <row r="29481" spans="1:1" x14ac:dyDescent="0.3">
      <c r="A29481" s="20"/>
    </row>
    <row r="29482" spans="1:1" x14ac:dyDescent="0.3">
      <c r="A29482" s="20"/>
    </row>
    <row r="29483" spans="1:1" x14ac:dyDescent="0.3">
      <c r="A29483" s="20"/>
    </row>
    <row r="29484" spans="1:1" x14ac:dyDescent="0.3">
      <c r="A29484" s="20"/>
    </row>
    <row r="29485" spans="1:1" x14ac:dyDescent="0.3">
      <c r="A29485" s="20"/>
    </row>
    <row r="29486" spans="1:1" x14ac:dyDescent="0.3">
      <c r="A29486" s="20"/>
    </row>
    <row r="29487" spans="1:1" x14ac:dyDescent="0.3">
      <c r="A29487" s="20"/>
    </row>
    <row r="29488" spans="1:1" x14ac:dyDescent="0.3">
      <c r="A29488" s="20"/>
    </row>
    <row r="29489" spans="1:1" x14ac:dyDescent="0.3">
      <c r="A29489" s="20"/>
    </row>
    <row r="29490" spans="1:1" x14ac:dyDescent="0.3">
      <c r="A29490" s="20"/>
    </row>
    <row r="29491" spans="1:1" x14ac:dyDescent="0.3">
      <c r="A29491" s="20"/>
    </row>
    <row r="29492" spans="1:1" x14ac:dyDescent="0.3">
      <c r="A29492" s="20"/>
    </row>
    <row r="29493" spans="1:1" x14ac:dyDescent="0.3">
      <c r="A29493" s="20"/>
    </row>
    <row r="29494" spans="1:1" x14ac:dyDescent="0.3">
      <c r="A29494" s="20"/>
    </row>
    <row r="29495" spans="1:1" x14ac:dyDescent="0.3">
      <c r="A29495" s="20"/>
    </row>
    <row r="29496" spans="1:1" x14ac:dyDescent="0.3">
      <c r="A29496" s="20"/>
    </row>
    <row r="29497" spans="1:1" x14ac:dyDescent="0.3">
      <c r="A29497" s="20"/>
    </row>
    <row r="29498" spans="1:1" x14ac:dyDescent="0.3">
      <c r="A29498" s="20"/>
    </row>
    <row r="29499" spans="1:1" x14ac:dyDescent="0.3">
      <c r="A29499" s="20"/>
    </row>
    <row r="29500" spans="1:1" x14ac:dyDescent="0.3">
      <c r="A29500" s="20"/>
    </row>
    <row r="29501" spans="1:1" x14ac:dyDescent="0.3">
      <c r="A29501" s="20"/>
    </row>
    <row r="29502" spans="1:1" x14ac:dyDescent="0.3">
      <c r="A29502" s="20"/>
    </row>
    <row r="29503" spans="1:1" x14ac:dyDescent="0.3">
      <c r="A29503" s="20"/>
    </row>
    <row r="29504" spans="1:1" x14ac:dyDescent="0.3">
      <c r="A29504" s="20"/>
    </row>
    <row r="29505" spans="1:1" x14ac:dyDescent="0.3">
      <c r="A29505" s="20"/>
    </row>
    <row r="29506" spans="1:1" x14ac:dyDescent="0.3">
      <c r="A29506" s="20"/>
    </row>
    <row r="29507" spans="1:1" x14ac:dyDescent="0.3">
      <c r="A29507" s="20"/>
    </row>
    <row r="29508" spans="1:1" x14ac:dyDescent="0.3">
      <c r="A29508" s="20"/>
    </row>
    <row r="29509" spans="1:1" x14ac:dyDescent="0.3">
      <c r="A29509" s="20"/>
    </row>
    <row r="29510" spans="1:1" x14ac:dyDescent="0.3">
      <c r="A29510" s="20"/>
    </row>
    <row r="29511" spans="1:1" x14ac:dyDescent="0.3">
      <c r="A29511" s="20"/>
    </row>
    <row r="29512" spans="1:1" x14ac:dyDescent="0.3">
      <c r="A29512" s="20"/>
    </row>
    <row r="29513" spans="1:1" x14ac:dyDescent="0.3">
      <c r="A29513" s="20"/>
    </row>
    <row r="29514" spans="1:1" x14ac:dyDescent="0.3">
      <c r="A29514" s="20"/>
    </row>
    <row r="29515" spans="1:1" x14ac:dyDescent="0.3">
      <c r="A29515" s="20"/>
    </row>
    <row r="29516" spans="1:1" x14ac:dyDescent="0.3">
      <c r="A29516" s="20"/>
    </row>
    <row r="29517" spans="1:1" x14ac:dyDescent="0.3">
      <c r="A29517" s="20"/>
    </row>
    <row r="29518" spans="1:1" x14ac:dyDescent="0.3">
      <c r="A29518" s="20"/>
    </row>
    <row r="29519" spans="1:1" x14ac:dyDescent="0.3">
      <c r="A29519" s="20"/>
    </row>
    <row r="29520" spans="1:1" x14ac:dyDescent="0.3">
      <c r="A29520" s="20"/>
    </row>
    <row r="29521" spans="1:1" x14ac:dyDescent="0.3">
      <c r="A29521" s="20"/>
    </row>
    <row r="29522" spans="1:1" x14ac:dyDescent="0.3">
      <c r="A29522" s="20"/>
    </row>
    <row r="29523" spans="1:1" x14ac:dyDescent="0.3">
      <c r="A29523" s="20"/>
    </row>
    <row r="29524" spans="1:1" x14ac:dyDescent="0.3">
      <c r="A29524" s="20"/>
    </row>
    <row r="29525" spans="1:1" x14ac:dyDescent="0.3">
      <c r="A29525" s="20"/>
    </row>
    <row r="29526" spans="1:1" x14ac:dyDescent="0.3">
      <c r="A29526" s="20"/>
    </row>
    <row r="29527" spans="1:1" x14ac:dyDescent="0.3">
      <c r="A29527" s="20"/>
    </row>
    <row r="29528" spans="1:1" x14ac:dyDescent="0.3">
      <c r="A29528" s="20"/>
    </row>
    <row r="29529" spans="1:1" x14ac:dyDescent="0.3">
      <c r="A29529" s="20"/>
    </row>
    <row r="29530" spans="1:1" x14ac:dyDescent="0.3">
      <c r="A29530" s="20"/>
    </row>
    <row r="29531" spans="1:1" x14ac:dyDescent="0.3">
      <c r="A29531" s="20"/>
    </row>
    <row r="29532" spans="1:1" x14ac:dyDescent="0.3">
      <c r="A29532" s="20"/>
    </row>
    <row r="29533" spans="1:1" x14ac:dyDescent="0.3">
      <c r="A29533" s="20"/>
    </row>
    <row r="29534" spans="1:1" x14ac:dyDescent="0.3">
      <c r="A29534" s="20"/>
    </row>
    <row r="29535" spans="1:1" x14ac:dyDescent="0.3">
      <c r="A29535" s="20"/>
    </row>
    <row r="29536" spans="1:1" x14ac:dyDescent="0.3">
      <c r="A29536" s="20"/>
    </row>
    <row r="29537" spans="1:1" x14ac:dyDescent="0.3">
      <c r="A29537" s="20"/>
    </row>
    <row r="29538" spans="1:1" x14ac:dyDescent="0.3">
      <c r="A29538" s="20"/>
    </row>
    <row r="29539" spans="1:1" x14ac:dyDescent="0.3">
      <c r="A29539" s="20"/>
    </row>
    <row r="29540" spans="1:1" x14ac:dyDescent="0.3">
      <c r="A29540" s="20"/>
    </row>
    <row r="29541" spans="1:1" x14ac:dyDescent="0.3">
      <c r="A29541" s="20"/>
    </row>
    <row r="29542" spans="1:1" x14ac:dyDescent="0.3">
      <c r="A29542" s="20"/>
    </row>
    <row r="29543" spans="1:1" x14ac:dyDescent="0.3">
      <c r="A29543" s="20"/>
    </row>
    <row r="29544" spans="1:1" x14ac:dyDescent="0.3">
      <c r="A29544" s="20"/>
    </row>
    <row r="29545" spans="1:1" x14ac:dyDescent="0.3">
      <c r="A29545" s="20"/>
    </row>
    <row r="29546" spans="1:1" x14ac:dyDescent="0.3">
      <c r="A29546" s="20"/>
    </row>
    <row r="29547" spans="1:1" x14ac:dyDescent="0.3">
      <c r="A29547" s="20"/>
    </row>
    <row r="29548" spans="1:1" x14ac:dyDescent="0.3">
      <c r="A29548" s="20"/>
    </row>
    <row r="29549" spans="1:1" x14ac:dyDescent="0.3">
      <c r="A29549" s="20"/>
    </row>
    <row r="29550" spans="1:1" x14ac:dyDescent="0.3">
      <c r="A29550" s="20"/>
    </row>
    <row r="29551" spans="1:1" x14ac:dyDescent="0.3">
      <c r="A29551" s="20"/>
    </row>
    <row r="29552" spans="1:1" x14ac:dyDescent="0.3">
      <c r="A29552" s="20"/>
    </row>
    <row r="29553" spans="1:1" x14ac:dyDescent="0.3">
      <c r="A29553" s="20"/>
    </row>
    <row r="29554" spans="1:1" x14ac:dyDescent="0.3">
      <c r="A29554" s="20"/>
    </row>
    <row r="29555" spans="1:1" x14ac:dyDescent="0.3">
      <c r="A29555" s="20"/>
    </row>
    <row r="29556" spans="1:1" x14ac:dyDescent="0.3">
      <c r="A29556" s="20"/>
    </row>
    <row r="29557" spans="1:1" x14ac:dyDescent="0.3">
      <c r="A29557" s="20"/>
    </row>
    <row r="29558" spans="1:1" x14ac:dyDescent="0.3">
      <c r="A29558" s="20"/>
    </row>
    <row r="29559" spans="1:1" x14ac:dyDescent="0.3">
      <c r="A29559" s="20"/>
    </row>
    <row r="29560" spans="1:1" x14ac:dyDescent="0.3">
      <c r="A29560" s="20"/>
    </row>
    <row r="29561" spans="1:1" x14ac:dyDescent="0.3">
      <c r="A29561" s="20"/>
    </row>
    <row r="29562" spans="1:1" x14ac:dyDescent="0.3">
      <c r="A29562" s="20"/>
    </row>
    <row r="29563" spans="1:1" x14ac:dyDescent="0.3">
      <c r="A29563" s="20"/>
    </row>
    <row r="29564" spans="1:1" x14ac:dyDescent="0.3">
      <c r="A29564" s="20"/>
    </row>
    <row r="29565" spans="1:1" x14ac:dyDescent="0.3">
      <c r="A29565" s="20"/>
    </row>
    <row r="29566" spans="1:1" x14ac:dyDescent="0.3">
      <c r="A29566" s="20"/>
    </row>
    <row r="29567" spans="1:1" x14ac:dyDescent="0.3">
      <c r="A29567" s="20"/>
    </row>
    <row r="29568" spans="1:1" x14ac:dyDescent="0.3">
      <c r="A29568" s="20"/>
    </row>
    <row r="29569" spans="1:1" x14ac:dyDescent="0.3">
      <c r="A29569" s="20"/>
    </row>
    <row r="29570" spans="1:1" x14ac:dyDescent="0.3">
      <c r="A29570" s="20"/>
    </row>
    <row r="29571" spans="1:1" x14ac:dyDescent="0.3">
      <c r="A29571" s="20"/>
    </row>
    <row r="29572" spans="1:1" x14ac:dyDescent="0.3">
      <c r="A29572" s="20"/>
    </row>
    <row r="29573" spans="1:1" x14ac:dyDescent="0.3">
      <c r="A29573" s="20"/>
    </row>
    <row r="29574" spans="1:1" x14ac:dyDescent="0.3">
      <c r="A29574" s="20"/>
    </row>
    <row r="29575" spans="1:1" x14ac:dyDescent="0.3">
      <c r="A29575" s="20"/>
    </row>
    <row r="29576" spans="1:1" x14ac:dyDescent="0.3">
      <c r="A29576" s="20"/>
    </row>
    <row r="29577" spans="1:1" x14ac:dyDescent="0.3">
      <c r="A29577" s="20"/>
    </row>
    <row r="29578" spans="1:1" x14ac:dyDescent="0.3">
      <c r="A29578" s="20"/>
    </row>
    <row r="29579" spans="1:1" x14ac:dyDescent="0.3">
      <c r="A29579" s="20"/>
    </row>
    <row r="29580" spans="1:1" x14ac:dyDescent="0.3">
      <c r="A29580" s="20"/>
    </row>
    <row r="29581" spans="1:1" x14ac:dyDescent="0.3">
      <c r="A29581" s="20"/>
    </row>
    <row r="29582" spans="1:1" x14ac:dyDescent="0.3">
      <c r="A29582" s="20"/>
    </row>
    <row r="29583" spans="1:1" x14ac:dyDescent="0.3">
      <c r="A29583" s="20"/>
    </row>
    <row r="29584" spans="1:1" x14ac:dyDescent="0.3">
      <c r="A29584" s="20"/>
    </row>
    <row r="29585" spans="1:1" x14ac:dyDescent="0.3">
      <c r="A29585" s="20"/>
    </row>
    <row r="29586" spans="1:1" x14ac:dyDescent="0.3">
      <c r="A29586" s="20"/>
    </row>
    <row r="29587" spans="1:1" x14ac:dyDescent="0.3">
      <c r="A29587" s="20"/>
    </row>
    <row r="29588" spans="1:1" x14ac:dyDescent="0.3">
      <c r="A29588" s="20"/>
    </row>
    <row r="29589" spans="1:1" x14ac:dyDescent="0.3">
      <c r="A29589" s="20"/>
    </row>
    <row r="29590" spans="1:1" x14ac:dyDescent="0.3">
      <c r="A29590" s="20"/>
    </row>
    <row r="29591" spans="1:1" x14ac:dyDescent="0.3">
      <c r="A29591" s="20"/>
    </row>
    <row r="29592" spans="1:1" x14ac:dyDescent="0.3">
      <c r="A29592" s="20"/>
    </row>
    <row r="29593" spans="1:1" x14ac:dyDescent="0.3">
      <c r="A29593" s="20"/>
    </row>
    <row r="29594" spans="1:1" x14ac:dyDescent="0.3">
      <c r="A29594" s="20"/>
    </row>
    <row r="29595" spans="1:1" x14ac:dyDescent="0.3">
      <c r="A29595" s="20"/>
    </row>
    <row r="29596" spans="1:1" x14ac:dyDescent="0.3">
      <c r="A29596" s="20"/>
    </row>
    <row r="29597" spans="1:1" x14ac:dyDescent="0.3">
      <c r="A29597" s="20"/>
    </row>
    <row r="29598" spans="1:1" x14ac:dyDescent="0.3">
      <c r="A29598" s="20"/>
    </row>
    <row r="29599" spans="1:1" x14ac:dyDescent="0.3">
      <c r="A29599" s="20"/>
    </row>
    <row r="29600" spans="1:1" x14ac:dyDescent="0.3">
      <c r="A29600" s="20"/>
    </row>
    <row r="29601" spans="1:1" x14ac:dyDescent="0.3">
      <c r="A29601" s="20"/>
    </row>
    <row r="29602" spans="1:1" x14ac:dyDescent="0.3">
      <c r="A29602" s="20"/>
    </row>
    <row r="29603" spans="1:1" x14ac:dyDescent="0.3">
      <c r="A29603" s="20"/>
    </row>
    <row r="29604" spans="1:1" x14ac:dyDescent="0.3">
      <c r="A29604" s="20"/>
    </row>
    <row r="29605" spans="1:1" x14ac:dyDescent="0.3">
      <c r="A29605" s="20"/>
    </row>
    <row r="29606" spans="1:1" x14ac:dyDescent="0.3">
      <c r="A29606" s="20"/>
    </row>
    <row r="29607" spans="1:1" x14ac:dyDescent="0.3">
      <c r="A29607" s="20"/>
    </row>
    <row r="29608" spans="1:1" x14ac:dyDescent="0.3">
      <c r="A29608" s="20"/>
    </row>
    <row r="29609" spans="1:1" x14ac:dyDescent="0.3">
      <c r="A29609" s="20"/>
    </row>
    <row r="29610" spans="1:1" x14ac:dyDescent="0.3">
      <c r="A29610" s="20"/>
    </row>
    <row r="29611" spans="1:1" x14ac:dyDescent="0.3">
      <c r="A29611" s="20"/>
    </row>
    <row r="29612" spans="1:1" x14ac:dyDescent="0.3">
      <c r="A29612" s="20"/>
    </row>
    <row r="29613" spans="1:1" x14ac:dyDescent="0.3">
      <c r="A29613" s="20"/>
    </row>
    <row r="29614" spans="1:1" x14ac:dyDescent="0.3">
      <c r="A29614" s="20"/>
    </row>
    <row r="29615" spans="1:1" x14ac:dyDescent="0.3">
      <c r="A29615" s="20"/>
    </row>
    <row r="29616" spans="1:1" x14ac:dyDescent="0.3">
      <c r="A29616" s="20"/>
    </row>
    <row r="29617" spans="1:1" x14ac:dyDescent="0.3">
      <c r="A29617" s="20"/>
    </row>
    <row r="29618" spans="1:1" x14ac:dyDescent="0.3">
      <c r="A29618" s="20"/>
    </row>
    <row r="29619" spans="1:1" x14ac:dyDescent="0.3">
      <c r="A29619" s="20"/>
    </row>
    <row r="29620" spans="1:1" x14ac:dyDescent="0.3">
      <c r="A29620" s="20"/>
    </row>
    <row r="29621" spans="1:1" x14ac:dyDescent="0.3">
      <c r="A29621" s="20"/>
    </row>
    <row r="29622" spans="1:1" x14ac:dyDescent="0.3">
      <c r="A29622" s="20"/>
    </row>
    <row r="29623" spans="1:1" x14ac:dyDescent="0.3">
      <c r="A29623" s="20"/>
    </row>
    <row r="29624" spans="1:1" x14ac:dyDescent="0.3">
      <c r="A29624" s="20"/>
    </row>
    <row r="29625" spans="1:1" x14ac:dyDescent="0.3">
      <c r="A29625" s="20"/>
    </row>
    <row r="29626" spans="1:1" x14ac:dyDescent="0.3">
      <c r="A29626" s="20"/>
    </row>
    <row r="29627" spans="1:1" x14ac:dyDescent="0.3">
      <c r="A29627" s="20"/>
    </row>
    <row r="29628" spans="1:1" x14ac:dyDescent="0.3">
      <c r="A29628" s="20"/>
    </row>
    <row r="29629" spans="1:1" x14ac:dyDescent="0.3">
      <c r="A29629" s="20"/>
    </row>
    <row r="29630" spans="1:1" x14ac:dyDescent="0.3">
      <c r="A29630" s="20"/>
    </row>
    <row r="29631" spans="1:1" x14ac:dyDescent="0.3">
      <c r="A29631" s="20"/>
    </row>
    <row r="29632" spans="1:1" x14ac:dyDescent="0.3">
      <c r="A29632" s="20"/>
    </row>
    <row r="29633" spans="1:1" x14ac:dyDescent="0.3">
      <c r="A29633" s="20"/>
    </row>
    <row r="29634" spans="1:1" x14ac:dyDescent="0.3">
      <c r="A29634" s="20"/>
    </row>
    <row r="29635" spans="1:1" x14ac:dyDescent="0.3">
      <c r="A29635" s="20"/>
    </row>
    <row r="29636" spans="1:1" x14ac:dyDescent="0.3">
      <c r="A29636" s="20"/>
    </row>
    <row r="29637" spans="1:1" x14ac:dyDescent="0.3">
      <c r="A29637" s="20"/>
    </row>
    <row r="29638" spans="1:1" x14ac:dyDescent="0.3">
      <c r="A29638" s="20"/>
    </row>
    <row r="29639" spans="1:1" x14ac:dyDescent="0.3">
      <c r="A29639" s="20"/>
    </row>
    <row r="29640" spans="1:1" x14ac:dyDescent="0.3">
      <c r="A29640" s="20"/>
    </row>
    <row r="29641" spans="1:1" x14ac:dyDescent="0.3">
      <c r="A29641" s="20"/>
    </row>
    <row r="29642" spans="1:1" x14ac:dyDescent="0.3">
      <c r="A29642" s="20"/>
    </row>
    <row r="29643" spans="1:1" x14ac:dyDescent="0.3">
      <c r="A29643" s="20"/>
    </row>
    <row r="29644" spans="1:1" x14ac:dyDescent="0.3">
      <c r="A29644" s="20"/>
    </row>
    <row r="29645" spans="1:1" x14ac:dyDescent="0.3">
      <c r="A29645" s="20"/>
    </row>
    <row r="29646" spans="1:1" x14ac:dyDescent="0.3">
      <c r="A29646" s="20"/>
    </row>
    <row r="29647" spans="1:1" x14ac:dyDescent="0.3">
      <c r="A29647" s="20"/>
    </row>
    <row r="29648" spans="1:1" x14ac:dyDescent="0.3">
      <c r="A29648" s="20"/>
    </row>
    <row r="29649" spans="1:1" x14ac:dyDescent="0.3">
      <c r="A29649" s="20"/>
    </row>
    <row r="29650" spans="1:1" x14ac:dyDescent="0.3">
      <c r="A29650" s="20"/>
    </row>
    <row r="29651" spans="1:1" x14ac:dyDescent="0.3">
      <c r="A29651" s="20"/>
    </row>
    <row r="29652" spans="1:1" x14ac:dyDescent="0.3">
      <c r="A29652" s="20"/>
    </row>
    <row r="29653" spans="1:1" x14ac:dyDescent="0.3">
      <c r="A29653" s="20"/>
    </row>
    <row r="29654" spans="1:1" x14ac:dyDescent="0.3">
      <c r="A29654" s="20"/>
    </row>
    <row r="29655" spans="1:1" x14ac:dyDescent="0.3">
      <c r="A29655" s="20"/>
    </row>
    <row r="29656" spans="1:1" x14ac:dyDescent="0.3">
      <c r="A29656" s="20"/>
    </row>
    <row r="29657" spans="1:1" x14ac:dyDescent="0.3">
      <c r="A29657" s="20"/>
    </row>
    <row r="29658" spans="1:1" x14ac:dyDescent="0.3">
      <c r="A29658" s="20"/>
    </row>
    <row r="29659" spans="1:1" x14ac:dyDescent="0.3">
      <c r="A29659" s="20"/>
    </row>
    <row r="29660" spans="1:1" x14ac:dyDescent="0.3">
      <c r="A29660" s="20"/>
    </row>
    <row r="29661" spans="1:1" x14ac:dyDescent="0.3">
      <c r="A29661" s="20"/>
    </row>
    <row r="29662" spans="1:1" x14ac:dyDescent="0.3">
      <c r="A29662" s="20"/>
    </row>
    <row r="29663" spans="1:1" x14ac:dyDescent="0.3">
      <c r="A29663" s="20"/>
    </row>
    <row r="29664" spans="1:1" x14ac:dyDescent="0.3">
      <c r="A29664" s="20"/>
    </row>
    <row r="29665" spans="1:1" x14ac:dyDescent="0.3">
      <c r="A29665" s="20"/>
    </row>
    <row r="29666" spans="1:1" x14ac:dyDescent="0.3">
      <c r="A29666" s="20"/>
    </row>
    <row r="29667" spans="1:1" x14ac:dyDescent="0.3">
      <c r="A29667" s="20"/>
    </row>
    <row r="29668" spans="1:1" x14ac:dyDescent="0.3">
      <c r="A29668" s="20"/>
    </row>
    <row r="29669" spans="1:1" x14ac:dyDescent="0.3">
      <c r="A29669" s="20"/>
    </row>
    <row r="29670" spans="1:1" x14ac:dyDescent="0.3">
      <c r="A29670" s="20"/>
    </row>
    <row r="29671" spans="1:1" x14ac:dyDescent="0.3">
      <c r="A29671" s="20"/>
    </row>
    <row r="29672" spans="1:1" x14ac:dyDescent="0.3">
      <c r="A29672" s="20"/>
    </row>
    <row r="29673" spans="1:1" x14ac:dyDescent="0.3">
      <c r="A29673" s="20"/>
    </row>
    <row r="29674" spans="1:1" x14ac:dyDescent="0.3">
      <c r="A29674" s="20"/>
    </row>
    <row r="29675" spans="1:1" x14ac:dyDescent="0.3">
      <c r="A29675" s="20"/>
    </row>
    <row r="29676" spans="1:1" x14ac:dyDescent="0.3">
      <c r="A29676" s="20"/>
    </row>
    <row r="29677" spans="1:1" x14ac:dyDescent="0.3">
      <c r="A29677" s="20"/>
    </row>
    <row r="29678" spans="1:1" x14ac:dyDescent="0.3">
      <c r="A29678" s="20"/>
    </row>
    <row r="29679" spans="1:1" x14ac:dyDescent="0.3">
      <c r="A29679" s="20"/>
    </row>
    <row r="29680" spans="1:1" x14ac:dyDescent="0.3">
      <c r="A29680" s="20"/>
    </row>
    <row r="29681" spans="1:1" x14ac:dyDescent="0.3">
      <c r="A29681" s="20"/>
    </row>
    <row r="29682" spans="1:1" x14ac:dyDescent="0.3">
      <c r="A29682" s="20"/>
    </row>
    <row r="29683" spans="1:1" x14ac:dyDescent="0.3">
      <c r="A29683" s="20"/>
    </row>
    <row r="29684" spans="1:1" x14ac:dyDescent="0.3">
      <c r="A29684" s="20"/>
    </row>
    <row r="29685" spans="1:1" x14ac:dyDescent="0.3">
      <c r="A29685" s="20"/>
    </row>
    <row r="29686" spans="1:1" x14ac:dyDescent="0.3">
      <c r="A29686" s="20"/>
    </row>
    <row r="29687" spans="1:1" x14ac:dyDescent="0.3">
      <c r="A29687" s="20"/>
    </row>
    <row r="29688" spans="1:1" x14ac:dyDescent="0.3">
      <c r="A29688" s="20"/>
    </row>
    <row r="29689" spans="1:1" x14ac:dyDescent="0.3">
      <c r="A29689" s="20"/>
    </row>
    <row r="29690" spans="1:1" x14ac:dyDescent="0.3">
      <c r="A29690" s="20"/>
    </row>
    <row r="29691" spans="1:1" x14ac:dyDescent="0.3">
      <c r="A29691" s="20"/>
    </row>
    <row r="29692" spans="1:1" x14ac:dyDescent="0.3">
      <c r="A29692" s="20"/>
    </row>
    <row r="29693" spans="1:1" x14ac:dyDescent="0.3">
      <c r="A29693" s="20"/>
    </row>
    <row r="29694" spans="1:1" x14ac:dyDescent="0.3">
      <c r="A29694" s="20"/>
    </row>
    <row r="29695" spans="1:1" x14ac:dyDescent="0.3">
      <c r="A29695" s="20"/>
    </row>
    <row r="29696" spans="1:1" x14ac:dyDescent="0.3">
      <c r="A29696" s="20"/>
    </row>
    <row r="29697" spans="1:1" x14ac:dyDescent="0.3">
      <c r="A29697" s="20"/>
    </row>
    <row r="29698" spans="1:1" x14ac:dyDescent="0.3">
      <c r="A29698" s="20"/>
    </row>
    <row r="29699" spans="1:1" x14ac:dyDescent="0.3">
      <c r="A29699" s="20"/>
    </row>
    <row r="29700" spans="1:1" x14ac:dyDescent="0.3">
      <c r="A29700" s="20"/>
    </row>
    <row r="29701" spans="1:1" x14ac:dyDescent="0.3">
      <c r="A29701" s="20"/>
    </row>
    <row r="29702" spans="1:1" x14ac:dyDescent="0.3">
      <c r="A29702" s="20"/>
    </row>
    <row r="29703" spans="1:1" x14ac:dyDescent="0.3">
      <c r="A29703" s="20"/>
    </row>
    <row r="29704" spans="1:1" x14ac:dyDescent="0.3">
      <c r="A29704" s="20"/>
    </row>
    <row r="29705" spans="1:1" x14ac:dyDescent="0.3">
      <c r="A29705" s="20"/>
    </row>
    <row r="29706" spans="1:1" x14ac:dyDescent="0.3">
      <c r="A29706" s="20"/>
    </row>
    <row r="29707" spans="1:1" x14ac:dyDescent="0.3">
      <c r="A29707" s="20"/>
    </row>
    <row r="29708" spans="1:1" x14ac:dyDescent="0.3">
      <c r="A29708" s="20"/>
    </row>
    <row r="29709" spans="1:1" x14ac:dyDescent="0.3">
      <c r="A29709" s="20"/>
    </row>
    <row r="29710" spans="1:1" x14ac:dyDescent="0.3">
      <c r="A29710" s="20"/>
    </row>
    <row r="29711" spans="1:1" x14ac:dyDescent="0.3">
      <c r="A29711" s="20"/>
    </row>
    <row r="29712" spans="1:1" x14ac:dyDescent="0.3">
      <c r="A29712" s="20"/>
    </row>
    <row r="29713" spans="1:1" x14ac:dyDescent="0.3">
      <c r="A29713" s="20"/>
    </row>
    <row r="29714" spans="1:1" x14ac:dyDescent="0.3">
      <c r="A29714" s="20"/>
    </row>
    <row r="29715" spans="1:1" x14ac:dyDescent="0.3">
      <c r="A29715" s="20"/>
    </row>
    <row r="29716" spans="1:1" x14ac:dyDescent="0.3">
      <c r="A29716" s="20"/>
    </row>
    <row r="29717" spans="1:1" x14ac:dyDescent="0.3">
      <c r="A29717" s="20"/>
    </row>
    <row r="29718" spans="1:1" x14ac:dyDescent="0.3">
      <c r="A29718" s="20"/>
    </row>
    <row r="29719" spans="1:1" x14ac:dyDescent="0.3">
      <c r="A29719" s="20"/>
    </row>
    <row r="29720" spans="1:1" x14ac:dyDescent="0.3">
      <c r="A29720" s="20"/>
    </row>
    <row r="29721" spans="1:1" x14ac:dyDescent="0.3">
      <c r="A29721" s="20"/>
    </row>
    <row r="29722" spans="1:1" x14ac:dyDescent="0.3">
      <c r="A29722" s="20"/>
    </row>
    <row r="29723" spans="1:1" x14ac:dyDescent="0.3">
      <c r="A29723" s="20"/>
    </row>
    <row r="29724" spans="1:1" x14ac:dyDescent="0.3">
      <c r="A29724" s="20"/>
    </row>
    <row r="29725" spans="1:1" x14ac:dyDescent="0.3">
      <c r="A29725" s="20"/>
    </row>
    <row r="29726" spans="1:1" x14ac:dyDescent="0.3">
      <c r="A29726" s="20"/>
    </row>
    <row r="29727" spans="1:1" x14ac:dyDescent="0.3">
      <c r="A29727" s="20"/>
    </row>
    <row r="29728" spans="1:1" x14ac:dyDescent="0.3">
      <c r="A29728" s="20"/>
    </row>
    <row r="29729" spans="1:1" x14ac:dyDescent="0.3">
      <c r="A29729" s="20"/>
    </row>
    <row r="29730" spans="1:1" x14ac:dyDescent="0.3">
      <c r="A29730" s="20"/>
    </row>
    <row r="29731" spans="1:1" x14ac:dyDescent="0.3">
      <c r="A29731" s="20"/>
    </row>
    <row r="29732" spans="1:1" x14ac:dyDescent="0.3">
      <c r="A29732" s="20"/>
    </row>
    <row r="29733" spans="1:1" x14ac:dyDescent="0.3">
      <c r="A29733" s="20"/>
    </row>
    <row r="29734" spans="1:1" x14ac:dyDescent="0.3">
      <c r="A29734" s="20"/>
    </row>
    <row r="29735" spans="1:1" x14ac:dyDescent="0.3">
      <c r="A29735" s="20"/>
    </row>
    <row r="29736" spans="1:1" x14ac:dyDescent="0.3">
      <c r="A29736" s="20"/>
    </row>
    <row r="29737" spans="1:1" x14ac:dyDescent="0.3">
      <c r="A29737" s="20"/>
    </row>
    <row r="29738" spans="1:1" x14ac:dyDescent="0.3">
      <c r="A29738" s="20"/>
    </row>
    <row r="29739" spans="1:1" x14ac:dyDescent="0.3">
      <c r="A29739" s="20"/>
    </row>
    <row r="29740" spans="1:1" x14ac:dyDescent="0.3">
      <c r="A29740" s="20"/>
    </row>
    <row r="29741" spans="1:1" x14ac:dyDescent="0.3">
      <c r="A29741" s="20"/>
    </row>
    <row r="29742" spans="1:1" x14ac:dyDescent="0.3">
      <c r="A29742" s="20"/>
    </row>
    <row r="29743" spans="1:1" x14ac:dyDescent="0.3">
      <c r="A29743" s="20"/>
    </row>
    <row r="29744" spans="1:1" x14ac:dyDescent="0.3">
      <c r="A29744" s="20"/>
    </row>
    <row r="29745" spans="1:1" x14ac:dyDescent="0.3">
      <c r="A29745" s="20"/>
    </row>
    <row r="29746" spans="1:1" x14ac:dyDescent="0.3">
      <c r="A29746" s="20"/>
    </row>
    <row r="29747" spans="1:1" x14ac:dyDescent="0.3">
      <c r="A29747" s="20"/>
    </row>
    <row r="29748" spans="1:1" x14ac:dyDescent="0.3">
      <c r="A29748" s="20"/>
    </row>
    <row r="29749" spans="1:1" x14ac:dyDescent="0.3">
      <c r="A29749" s="20"/>
    </row>
    <row r="29750" spans="1:1" x14ac:dyDescent="0.3">
      <c r="A29750" s="20"/>
    </row>
    <row r="29751" spans="1:1" x14ac:dyDescent="0.3">
      <c r="A29751" s="20"/>
    </row>
    <row r="29752" spans="1:1" x14ac:dyDescent="0.3">
      <c r="A29752" s="20"/>
    </row>
    <row r="29753" spans="1:1" x14ac:dyDescent="0.3">
      <c r="A29753" s="20"/>
    </row>
    <row r="29754" spans="1:1" x14ac:dyDescent="0.3">
      <c r="A29754" s="20"/>
    </row>
    <row r="29755" spans="1:1" x14ac:dyDescent="0.3">
      <c r="A29755" s="20"/>
    </row>
    <row r="29756" spans="1:1" x14ac:dyDescent="0.3">
      <c r="A29756" s="20"/>
    </row>
    <row r="29757" spans="1:1" x14ac:dyDescent="0.3">
      <c r="A29757" s="20"/>
    </row>
    <row r="29758" spans="1:1" x14ac:dyDescent="0.3">
      <c r="A29758" s="20"/>
    </row>
    <row r="29759" spans="1:1" x14ac:dyDescent="0.3">
      <c r="A29759" s="20"/>
    </row>
    <row r="29760" spans="1:1" x14ac:dyDescent="0.3">
      <c r="A29760" s="20"/>
    </row>
    <row r="29761" spans="1:1" x14ac:dyDescent="0.3">
      <c r="A29761" s="20"/>
    </row>
    <row r="29762" spans="1:1" x14ac:dyDescent="0.3">
      <c r="A29762" s="20"/>
    </row>
    <row r="29763" spans="1:1" x14ac:dyDescent="0.3">
      <c r="A29763" s="20"/>
    </row>
    <row r="29764" spans="1:1" x14ac:dyDescent="0.3">
      <c r="A29764" s="20"/>
    </row>
    <row r="29765" spans="1:1" x14ac:dyDescent="0.3">
      <c r="A29765" s="20"/>
    </row>
    <row r="29766" spans="1:1" x14ac:dyDescent="0.3">
      <c r="A29766" s="20"/>
    </row>
    <row r="29767" spans="1:1" x14ac:dyDescent="0.3">
      <c r="A29767" s="20"/>
    </row>
    <row r="29768" spans="1:1" x14ac:dyDescent="0.3">
      <c r="A29768" s="20"/>
    </row>
    <row r="29769" spans="1:1" x14ac:dyDescent="0.3">
      <c r="A29769" s="20"/>
    </row>
    <row r="29770" spans="1:1" x14ac:dyDescent="0.3">
      <c r="A29770" s="20"/>
    </row>
    <row r="29771" spans="1:1" x14ac:dyDescent="0.3">
      <c r="A29771" s="20"/>
    </row>
    <row r="29772" spans="1:1" x14ac:dyDescent="0.3">
      <c r="A29772" s="20"/>
    </row>
    <row r="29773" spans="1:1" x14ac:dyDescent="0.3">
      <c r="A29773" s="20"/>
    </row>
    <row r="29774" spans="1:1" x14ac:dyDescent="0.3">
      <c r="A29774" s="20"/>
    </row>
    <row r="29775" spans="1:1" x14ac:dyDescent="0.3">
      <c r="A29775" s="20"/>
    </row>
    <row r="29776" spans="1:1" x14ac:dyDescent="0.3">
      <c r="A29776" s="20"/>
    </row>
    <row r="29777" spans="1:1" x14ac:dyDescent="0.3">
      <c r="A29777" s="20"/>
    </row>
    <row r="29778" spans="1:1" x14ac:dyDescent="0.3">
      <c r="A29778" s="20"/>
    </row>
    <row r="29779" spans="1:1" x14ac:dyDescent="0.3">
      <c r="A29779" s="20"/>
    </row>
    <row r="29780" spans="1:1" x14ac:dyDescent="0.3">
      <c r="A29780" s="20"/>
    </row>
    <row r="29781" spans="1:1" x14ac:dyDescent="0.3">
      <c r="A29781" s="20"/>
    </row>
    <row r="29782" spans="1:1" x14ac:dyDescent="0.3">
      <c r="A29782" s="20"/>
    </row>
    <row r="29783" spans="1:1" x14ac:dyDescent="0.3">
      <c r="A29783" s="20"/>
    </row>
    <row r="29784" spans="1:1" x14ac:dyDescent="0.3">
      <c r="A29784" s="20"/>
    </row>
    <row r="29785" spans="1:1" x14ac:dyDescent="0.3">
      <c r="A29785" s="20"/>
    </row>
    <row r="29786" spans="1:1" x14ac:dyDescent="0.3">
      <c r="A29786" s="20"/>
    </row>
    <row r="29787" spans="1:1" x14ac:dyDescent="0.3">
      <c r="A29787" s="20"/>
    </row>
    <row r="29788" spans="1:1" x14ac:dyDescent="0.3">
      <c r="A29788" s="20"/>
    </row>
    <row r="29789" spans="1:1" x14ac:dyDescent="0.3">
      <c r="A29789" s="20"/>
    </row>
    <row r="29790" spans="1:1" x14ac:dyDescent="0.3">
      <c r="A29790" s="20"/>
    </row>
    <row r="29791" spans="1:1" x14ac:dyDescent="0.3">
      <c r="A29791" s="20"/>
    </row>
    <row r="29792" spans="1:1" x14ac:dyDescent="0.3">
      <c r="A29792" s="20"/>
    </row>
    <row r="29793" spans="1:1" x14ac:dyDescent="0.3">
      <c r="A29793" s="20"/>
    </row>
    <row r="29794" spans="1:1" x14ac:dyDescent="0.3">
      <c r="A29794" s="20"/>
    </row>
    <row r="29795" spans="1:1" x14ac:dyDescent="0.3">
      <c r="A29795" s="20"/>
    </row>
    <row r="29796" spans="1:1" x14ac:dyDescent="0.3">
      <c r="A29796" s="20"/>
    </row>
    <row r="29797" spans="1:1" x14ac:dyDescent="0.3">
      <c r="A29797" s="20"/>
    </row>
    <row r="29798" spans="1:1" x14ac:dyDescent="0.3">
      <c r="A29798" s="20"/>
    </row>
    <row r="29799" spans="1:1" x14ac:dyDescent="0.3">
      <c r="A29799" s="20"/>
    </row>
    <row r="29800" spans="1:1" x14ac:dyDescent="0.3">
      <c r="A29800" s="20"/>
    </row>
    <row r="29801" spans="1:1" x14ac:dyDescent="0.3">
      <c r="A29801" s="20"/>
    </row>
    <row r="29802" spans="1:1" x14ac:dyDescent="0.3">
      <c r="A29802" s="20"/>
    </row>
    <row r="29803" spans="1:1" x14ac:dyDescent="0.3">
      <c r="A29803" s="20"/>
    </row>
    <row r="29804" spans="1:1" x14ac:dyDescent="0.3">
      <c r="A29804" s="20"/>
    </row>
    <row r="29805" spans="1:1" x14ac:dyDescent="0.3">
      <c r="A29805" s="20"/>
    </row>
    <row r="29806" spans="1:1" x14ac:dyDescent="0.3">
      <c r="A29806" s="20"/>
    </row>
    <row r="29807" spans="1:1" x14ac:dyDescent="0.3">
      <c r="A29807" s="20"/>
    </row>
    <row r="29808" spans="1:1" x14ac:dyDescent="0.3">
      <c r="A29808" s="20"/>
    </row>
    <row r="29809" spans="1:1" x14ac:dyDescent="0.3">
      <c r="A29809" s="20"/>
    </row>
    <row r="29810" spans="1:1" x14ac:dyDescent="0.3">
      <c r="A29810" s="20"/>
    </row>
    <row r="29811" spans="1:1" x14ac:dyDescent="0.3">
      <c r="A29811" s="20"/>
    </row>
    <row r="29812" spans="1:1" x14ac:dyDescent="0.3">
      <c r="A29812" s="20"/>
    </row>
    <row r="29813" spans="1:1" x14ac:dyDescent="0.3">
      <c r="A29813" s="20"/>
    </row>
    <row r="29814" spans="1:1" x14ac:dyDescent="0.3">
      <c r="A29814" s="20"/>
    </row>
    <row r="29815" spans="1:1" x14ac:dyDescent="0.3">
      <c r="A29815" s="20"/>
    </row>
    <row r="29816" spans="1:1" x14ac:dyDescent="0.3">
      <c r="A29816" s="20"/>
    </row>
    <row r="29817" spans="1:1" x14ac:dyDescent="0.3">
      <c r="A29817" s="20"/>
    </row>
    <row r="29818" spans="1:1" x14ac:dyDescent="0.3">
      <c r="A29818" s="20"/>
    </row>
    <row r="29819" spans="1:1" x14ac:dyDescent="0.3">
      <c r="A29819" s="20"/>
    </row>
    <row r="29820" spans="1:1" x14ac:dyDescent="0.3">
      <c r="A29820" s="20"/>
    </row>
    <row r="29821" spans="1:1" x14ac:dyDescent="0.3">
      <c r="A29821" s="20"/>
    </row>
    <row r="29822" spans="1:1" x14ac:dyDescent="0.3">
      <c r="A29822" s="20"/>
    </row>
    <row r="29823" spans="1:1" x14ac:dyDescent="0.3">
      <c r="A29823" s="20"/>
    </row>
    <row r="29824" spans="1:1" x14ac:dyDescent="0.3">
      <c r="A29824" s="20"/>
    </row>
    <row r="29825" spans="1:1" x14ac:dyDescent="0.3">
      <c r="A29825" s="20"/>
    </row>
    <row r="29826" spans="1:1" x14ac:dyDescent="0.3">
      <c r="A29826" s="20"/>
    </row>
    <row r="29827" spans="1:1" x14ac:dyDescent="0.3">
      <c r="A29827" s="20"/>
    </row>
    <row r="29828" spans="1:1" x14ac:dyDescent="0.3">
      <c r="A29828" s="20"/>
    </row>
    <row r="29829" spans="1:1" x14ac:dyDescent="0.3">
      <c r="A29829" s="20"/>
    </row>
    <row r="29830" spans="1:1" x14ac:dyDescent="0.3">
      <c r="A29830" s="20"/>
    </row>
    <row r="29831" spans="1:1" x14ac:dyDescent="0.3">
      <c r="A29831" s="20"/>
    </row>
    <row r="29832" spans="1:1" x14ac:dyDescent="0.3">
      <c r="A29832" s="20"/>
    </row>
    <row r="29833" spans="1:1" x14ac:dyDescent="0.3">
      <c r="A29833" s="20"/>
    </row>
    <row r="29834" spans="1:1" x14ac:dyDescent="0.3">
      <c r="A29834" s="20"/>
    </row>
    <row r="29835" spans="1:1" x14ac:dyDescent="0.3">
      <c r="A29835" s="20"/>
    </row>
    <row r="29836" spans="1:1" x14ac:dyDescent="0.3">
      <c r="A29836" s="20"/>
    </row>
    <row r="29837" spans="1:1" x14ac:dyDescent="0.3">
      <c r="A29837" s="20"/>
    </row>
    <row r="29838" spans="1:1" x14ac:dyDescent="0.3">
      <c r="A29838" s="20"/>
    </row>
    <row r="29839" spans="1:1" x14ac:dyDescent="0.3">
      <c r="A29839" s="20"/>
    </row>
    <row r="29840" spans="1:1" x14ac:dyDescent="0.3">
      <c r="A29840" s="20"/>
    </row>
    <row r="29841" spans="1:1" x14ac:dyDescent="0.3">
      <c r="A29841" s="20"/>
    </row>
    <row r="29842" spans="1:1" x14ac:dyDescent="0.3">
      <c r="A29842" s="20"/>
    </row>
    <row r="29843" spans="1:1" x14ac:dyDescent="0.3">
      <c r="A29843" s="20"/>
    </row>
    <row r="29844" spans="1:1" x14ac:dyDescent="0.3">
      <c r="A29844" s="20"/>
    </row>
    <row r="29845" spans="1:1" x14ac:dyDescent="0.3">
      <c r="A29845" s="20"/>
    </row>
    <row r="29846" spans="1:1" x14ac:dyDescent="0.3">
      <c r="A29846" s="20"/>
    </row>
    <row r="29847" spans="1:1" x14ac:dyDescent="0.3">
      <c r="A29847" s="20"/>
    </row>
    <row r="29848" spans="1:1" x14ac:dyDescent="0.3">
      <c r="A29848" s="20"/>
    </row>
    <row r="29849" spans="1:1" x14ac:dyDescent="0.3">
      <c r="A29849" s="20"/>
    </row>
    <row r="29850" spans="1:1" x14ac:dyDescent="0.3">
      <c r="A29850" s="20"/>
    </row>
    <row r="29851" spans="1:1" x14ac:dyDescent="0.3">
      <c r="A29851" s="20"/>
    </row>
    <row r="29852" spans="1:1" x14ac:dyDescent="0.3">
      <c r="A29852" s="20"/>
    </row>
    <row r="29853" spans="1:1" x14ac:dyDescent="0.3">
      <c r="A29853" s="20"/>
    </row>
    <row r="29854" spans="1:1" x14ac:dyDescent="0.3">
      <c r="A29854" s="20"/>
    </row>
    <row r="29855" spans="1:1" x14ac:dyDescent="0.3">
      <c r="A29855" s="20"/>
    </row>
    <row r="29856" spans="1:1" x14ac:dyDescent="0.3">
      <c r="A29856" s="20"/>
    </row>
    <row r="29857" spans="1:1" x14ac:dyDescent="0.3">
      <c r="A29857" s="20"/>
    </row>
    <row r="29858" spans="1:1" x14ac:dyDescent="0.3">
      <c r="A29858" s="20"/>
    </row>
    <row r="29859" spans="1:1" x14ac:dyDescent="0.3">
      <c r="A29859" s="20"/>
    </row>
    <row r="29860" spans="1:1" x14ac:dyDescent="0.3">
      <c r="A29860" s="20"/>
    </row>
    <row r="29861" spans="1:1" x14ac:dyDescent="0.3">
      <c r="A29861" s="20"/>
    </row>
    <row r="29862" spans="1:1" x14ac:dyDescent="0.3">
      <c r="A29862" s="20"/>
    </row>
    <row r="29863" spans="1:1" x14ac:dyDescent="0.3">
      <c r="A29863" s="20"/>
    </row>
    <row r="29864" spans="1:1" x14ac:dyDescent="0.3">
      <c r="A29864" s="20"/>
    </row>
    <row r="29865" spans="1:1" x14ac:dyDescent="0.3">
      <c r="A29865" s="20"/>
    </row>
    <row r="29866" spans="1:1" x14ac:dyDescent="0.3">
      <c r="A29866" s="20"/>
    </row>
    <row r="29867" spans="1:1" x14ac:dyDescent="0.3">
      <c r="A29867" s="20"/>
    </row>
    <row r="29868" spans="1:1" x14ac:dyDescent="0.3">
      <c r="A29868" s="20"/>
    </row>
    <row r="29869" spans="1:1" x14ac:dyDescent="0.3">
      <c r="A29869" s="20"/>
    </row>
    <row r="29870" spans="1:1" x14ac:dyDescent="0.3">
      <c r="A29870" s="20"/>
    </row>
    <row r="29871" spans="1:1" x14ac:dyDescent="0.3">
      <c r="A29871" s="20"/>
    </row>
    <row r="29872" spans="1:1" x14ac:dyDescent="0.3">
      <c r="A29872" s="20"/>
    </row>
    <row r="29873" spans="1:1" x14ac:dyDescent="0.3">
      <c r="A29873" s="20"/>
    </row>
    <row r="29874" spans="1:1" x14ac:dyDescent="0.3">
      <c r="A29874" s="20"/>
    </row>
    <row r="29875" spans="1:1" x14ac:dyDescent="0.3">
      <c r="A29875" s="20"/>
    </row>
    <row r="29876" spans="1:1" x14ac:dyDescent="0.3">
      <c r="A29876" s="20"/>
    </row>
    <row r="29877" spans="1:1" x14ac:dyDescent="0.3">
      <c r="A29877" s="20"/>
    </row>
    <row r="29878" spans="1:1" x14ac:dyDescent="0.3">
      <c r="A29878" s="20"/>
    </row>
    <row r="29879" spans="1:1" x14ac:dyDescent="0.3">
      <c r="A29879" s="20"/>
    </row>
    <row r="29880" spans="1:1" x14ac:dyDescent="0.3">
      <c r="A29880" s="20"/>
    </row>
    <row r="29881" spans="1:1" x14ac:dyDescent="0.3">
      <c r="A29881" s="20"/>
    </row>
    <row r="29882" spans="1:1" x14ac:dyDescent="0.3">
      <c r="A29882" s="20"/>
    </row>
    <row r="29883" spans="1:1" x14ac:dyDescent="0.3">
      <c r="A29883" s="20"/>
    </row>
    <row r="29884" spans="1:1" x14ac:dyDescent="0.3">
      <c r="A29884" s="20"/>
    </row>
    <row r="29885" spans="1:1" x14ac:dyDescent="0.3">
      <c r="A29885" s="20"/>
    </row>
    <row r="29886" spans="1:1" x14ac:dyDescent="0.3">
      <c r="A29886" s="20"/>
    </row>
    <row r="29887" spans="1:1" x14ac:dyDescent="0.3">
      <c r="A29887" s="20"/>
    </row>
    <row r="29888" spans="1:1" x14ac:dyDescent="0.3">
      <c r="A29888" s="20"/>
    </row>
    <row r="29889" spans="1:1" x14ac:dyDescent="0.3">
      <c r="A29889" s="20"/>
    </row>
    <row r="29890" spans="1:1" x14ac:dyDescent="0.3">
      <c r="A29890" s="20"/>
    </row>
    <row r="29891" spans="1:1" x14ac:dyDescent="0.3">
      <c r="A29891" s="20"/>
    </row>
    <row r="29892" spans="1:1" x14ac:dyDescent="0.3">
      <c r="A29892" s="20"/>
    </row>
    <row r="29893" spans="1:1" x14ac:dyDescent="0.3">
      <c r="A29893" s="20"/>
    </row>
    <row r="29894" spans="1:1" x14ac:dyDescent="0.3">
      <c r="A29894" s="20"/>
    </row>
    <row r="29895" spans="1:1" x14ac:dyDescent="0.3">
      <c r="A29895" s="20"/>
    </row>
    <row r="29896" spans="1:1" x14ac:dyDescent="0.3">
      <c r="A29896" s="20"/>
    </row>
    <row r="29897" spans="1:1" x14ac:dyDescent="0.3">
      <c r="A29897" s="20"/>
    </row>
    <row r="29898" spans="1:1" x14ac:dyDescent="0.3">
      <c r="A29898" s="20"/>
    </row>
    <row r="29899" spans="1:1" x14ac:dyDescent="0.3">
      <c r="A29899" s="20"/>
    </row>
    <row r="29900" spans="1:1" x14ac:dyDescent="0.3">
      <c r="A29900" s="20"/>
    </row>
    <row r="29901" spans="1:1" x14ac:dyDescent="0.3">
      <c r="A29901" s="20"/>
    </row>
    <row r="29902" spans="1:1" x14ac:dyDescent="0.3">
      <c r="A29902" s="20"/>
    </row>
    <row r="29903" spans="1:1" x14ac:dyDescent="0.3">
      <c r="A29903" s="20"/>
    </row>
    <row r="29904" spans="1:1" x14ac:dyDescent="0.3">
      <c r="A29904" s="20"/>
    </row>
    <row r="29905" spans="1:1" x14ac:dyDescent="0.3">
      <c r="A29905" s="20"/>
    </row>
    <row r="29906" spans="1:1" x14ac:dyDescent="0.3">
      <c r="A29906" s="20"/>
    </row>
    <row r="29907" spans="1:1" x14ac:dyDescent="0.3">
      <c r="A29907" s="20"/>
    </row>
    <row r="29908" spans="1:1" x14ac:dyDescent="0.3">
      <c r="A29908" s="20"/>
    </row>
    <row r="29909" spans="1:1" x14ac:dyDescent="0.3">
      <c r="A29909" s="20"/>
    </row>
    <row r="29910" spans="1:1" x14ac:dyDescent="0.3">
      <c r="A29910" s="20"/>
    </row>
    <row r="29911" spans="1:1" x14ac:dyDescent="0.3">
      <c r="A29911" s="20"/>
    </row>
    <row r="29912" spans="1:1" x14ac:dyDescent="0.3">
      <c r="A29912" s="20"/>
    </row>
    <row r="29913" spans="1:1" x14ac:dyDescent="0.3">
      <c r="A29913" s="20"/>
    </row>
    <row r="29914" spans="1:1" x14ac:dyDescent="0.3">
      <c r="A29914" s="20"/>
    </row>
    <row r="29915" spans="1:1" x14ac:dyDescent="0.3">
      <c r="A29915" s="20"/>
    </row>
    <row r="29916" spans="1:1" x14ac:dyDescent="0.3">
      <c r="A29916" s="20"/>
    </row>
    <row r="29917" spans="1:1" x14ac:dyDescent="0.3">
      <c r="A29917" s="20"/>
    </row>
    <row r="29918" spans="1:1" x14ac:dyDescent="0.3">
      <c r="A29918" s="20"/>
    </row>
    <row r="29919" spans="1:1" x14ac:dyDescent="0.3">
      <c r="A29919" s="20"/>
    </row>
    <row r="29920" spans="1:1" x14ac:dyDescent="0.3">
      <c r="A29920" s="20"/>
    </row>
    <row r="29921" spans="1:1" x14ac:dyDescent="0.3">
      <c r="A29921" s="20"/>
    </row>
    <row r="29922" spans="1:1" x14ac:dyDescent="0.3">
      <c r="A29922" s="20"/>
    </row>
    <row r="29923" spans="1:1" x14ac:dyDescent="0.3">
      <c r="A29923" s="20"/>
    </row>
    <row r="29924" spans="1:1" x14ac:dyDescent="0.3">
      <c r="A29924" s="20"/>
    </row>
    <row r="29925" spans="1:1" x14ac:dyDescent="0.3">
      <c r="A29925" s="20"/>
    </row>
    <row r="29926" spans="1:1" x14ac:dyDescent="0.3">
      <c r="A29926" s="20"/>
    </row>
    <row r="29927" spans="1:1" x14ac:dyDescent="0.3">
      <c r="A29927" s="20"/>
    </row>
    <row r="29928" spans="1:1" x14ac:dyDescent="0.3">
      <c r="A29928" s="20"/>
    </row>
    <row r="29929" spans="1:1" x14ac:dyDescent="0.3">
      <c r="A29929" s="20"/>
    </row>
    <row r="29930" spans="1:1" x14ac:dyDescent="0.3">
      <c r="A29930" s="20"/>
    </row>
    <row r="29931" spans="1:1" x14ac:dyDescent="0.3">
      <c r="A29931" s="20"/>
    </row>
    <row r="29932" spans="1:1" x14ac:dyDescent="0.3">
      <c r="A29932" s="20"/>
    </row>
    <row r="29933" spans="1:1" x14ac:dyDescent="0.3">
      <c r="A29933" s="20"/>
    </row>
    <row r="29934" spans="1:1" x14ac:dyDescent="0.3">
      <c r="A29934" s="20"/>
    </row>
    <row r="29935" spans="1:1" x14ac:dyDescent="0.3">
      <c r="A29935" s="20"/>
    </row>
    <row r="29936" spans="1:1" x14ac:dyDescent="0.3">
      <c r="A29936" s="20"/>
    </row>
    <row r="29937" spans="1:1" x14ac:dyDescent="0.3">
      <c r="A29937" s="20"/>
    </row>
    <row r="29938" spans="1:1" x14ac:dyDescent="0.3">
      <c r="A29938" s="20"/>
    </row>
    <row r="29939" spans="1:1" x14ac:dyDescent="0.3">
      <c r="A29939" s="20"/>
    </row>
    <row r="29940" spans="1:1" x14ac:dyDescent="0.3">
      <c r="A29940" s="20"/>
    </row>
    <row r="29941" spans="1:1" x14ac:dyDescent="0.3">
      <c r="A29941" s="20"/>
    </row>
    <row r="29942" spans="1:1" x14ac:dyDescent="0.3">
      <c r="A29942" s="20"/>
    </row>
    <row r="29943" spans="1:1" x14ac:dyDescent="0.3">
      <c r="A29943" s="20"/>
    </row>
    <row r="29944" spans="1:1" x14ac:dyDescent="0.3">
      <c r="A29944" s="20"/>
    </row>
    <row r="29945" spans="1:1" x14ac:dyDescent="0.3">
      <c r="A29945" s="20"/>
    </row>
    <row r="29946" spans="1:1" x14ac:dyDescent="0.3">
      <c r="A29946" s="20"/>
    </row>
    <row r="29947" spans="1:1" x14ac:dyDescent="0.3">
      <c r="A29947" s="20"/>
    </row>
    <row r="29948" spans="1:1" x14ac:dyDescent="0.3">
      <c r="A29948" s="20"/>
    </row>
    <row r="29949" spans="1:1" x14ac:dyDescent="0.3">
      <c r="A29949" s="20"/>
    </row>
    <row r="29950" spans="1:1" x14ac:dyDescent="0.3">
      <c r="A29950" s="20"/>
    </row>
    <row r="29951" spans="1:1" x14ac:dyDescent="0.3">
      <c r="A29951" s="20"/>
    </row>
    <row r="29952" spans="1:1" x14ac:dyDescent="0.3">
      <c r="A29952" s="20"/>
    </row>
    <row r="29953" spans="1:1" x14ac:dyDescent="0.3">
      <c r="A29953" s="20"/>
    </row>
    <row r="29954" spans="1:1" x14ac:dyDescent="0.3">
      <c r="A29954" s="20"/>
    </row>
    <row r="29955" spans="1:1" x14ac:dyDescent="0.3">
      <c r="A29955" s="20"/>
    </row>
    <row r="29956" spans="1:1" x14ac:dyDescent="0.3">
      <c r="A29956" s="20"/>
    </row>
    <row r="29957" spans="1:1" x14ac:dyDescent="0.3">
      <c r="A29957" s="20"/>
    </row>
    <row r="29958" spans="1:1" x14ac:dyDescent="0.3">
      <c r="A29958" s="20"/>
    </row>
    <row r="29959" spans="1:1" x14ac:dyDescent="0.3">
      <c r="A29959" s="20"/>
    </row>
    <row r="29960" spans="1:1" x14ac:dyDescent="0.3">
      <c r="A29960" s="20"/>
    </row>
    <row r="29961" spans="1:1" x14ac:dyDescent="0.3">
      <c r="A29961" s="20"/>
    </row>
    <row r="29962" spans="1:1" x14ac:dyDescent="0.3">
      <c r="A29962" s="20"/>
    </row>
    <row r="29963" spans="1:1" x14ac:dyDescent="0.3">
      <c r="A29963" s="20"/>
    </row>
    <row r="29964" spans="1:1" x14ac:dyDescent="0.3">
      <c r="A29964" s="20"/>
    </row>
    <row r="29965" spans="1:1" x14ac:dyDescent="0.3">
      <c r="A29965" s="20"/>
    </row>
    <row r="29966" spans="1:1" x14ac:dyDescent="0.3">
      <c r="A29966" s="20"/>
    </row>
    <row r="29967" spans="1:1" x14ac:dyDescent="0.3">
      <c r="A29967" s="20"/>
    </row>
    <row r="29968" spans="1:1" x14ac:dyDescent="0.3">
      <c r="A29968" s="20"/>
    </row>
    <row r="29969" spans="1:1" x14ac:dyDescent="0.3">
      <c r="A29969" s="20"/>
    </row>
    <row r="29970" spans="1:1" x14ac:dyDescent="0.3">
      <c r="A29970" s="20"/>
    </row>
    <row r="29971" spans="1:1" x14ac:dyDescent="0.3">
      <c r="A29971" s="20"/>
    </row>
    <row r="29972" spans="1:1" x14ac:dyDescent="0.3">
      <c r="A29972" s="20"/>
    </row>
    <row r="29973" spans="1:1" x14ac:dyDescent="0.3">
      <c r="A29973" s="20"/>
    </row>
    <row r="29974" spans="1:1" x14ac:dyDescent="0.3">
      <c r="A29974" s="20"/>
    </row>
    <row r="29975" spans="1:1" x14ac:dyDescent="0.3">
      <c r="A29975" s="20"/>
    </row>
    <row r="29976" spans="1:1" x14ac:dyDescent="0.3">
      <c r="A29976" s="20"/>
    </row>
    <row r="29977" spans="1:1" x14ac:dyDescent="0.3">
      <c r="A29977" s="20"/>
    </row>
    <row r="29978" spans="1:1" x14ac:dyDescent="0.3">
      <c r="A29978" s="20"/>
    </row>
    <row r="29979" spans="1:1" x14ac:dyDescent="0.3">
      <c r="A29979" s="20"/>
    </row>
    <row r="29980" spans="1:1" x14ac:dyDescent="0.3">
      <c r="A29980" s="20"/>
    </row>
    <row r="29981" spans="1:1" x14ac:dyDescent="0.3">
      <c r="A29981" s="20"/>
    </row>
    <row r="29982" spans="1:1" x14ac:dyDescent="0.3">
      <c r="A29982" s="20"/>
    </row>
    <row r="29983" spans="1:1" x14ac:dyDescent="0.3">
      <c r="A29983" s="20"/>
    </row>
    <row r="29984" spans="1:1" x14ac:dyDescent="0.3">
      <c r="A29984" s="20"/>
    </row>
    <row r="29985" spans="1:1" x14ac:dyDescent="0.3">
      <c r="A29985" s="20"/>
    </row>
    <row r="29986" spans="1:1" x14ac:dyDescent="0.3">
      <c r="A29986" s="20"/>
    </row>
    <row r="29987" spans="1:1" x14ac:dyDescent="0.3">
      <c r="A29987" s="20"/>
    </row>
    <row r="29988" spans="1:1" x14ac:dyDescent="0.3">
      <c r="A29988" s="20"/>
    </row>
    <row r="29989" spans="1:1" x14ac:dyDescent="0.3">
      <c r="A29989" s="20"/>
    </row>
    <row r="29990" spans="1:1" x14ac:dyDescent="0.3">
      <c r="A29990" s="20"/>
    </row>
    <row r="29991" spans="1:1" x14ac:dyDescent="0.3">
      <c r="A29991" s="20"/>
    </row>
    <row r="29992" spans="1:1" x14ac:dyDescent="0.3">
      <c r="A29992" s="20"/>
    </row>
    <row r="29993" spans="1:1" x14ac:dyDescent="0.3">
      <c r="A29993" s="20"/>
    </row>
    <row r="29994" spans="1:1" x14ac:dyDescent="0.3">
      <c r="A29994" s="20"/>
    </row>
    <row r="29995" spans="1:1" x14ac:dyDescent="0.3">
      <c r="A29995" s="20"/>
    </row>
    <row r="29996" spans="1:1" x14ac:dyDescent="0.3">
      <c r="A29996" s="20"/>
    </row>
    <row r="29997" spans="1:1" x14ac:dyDescent="0.3">
      <c r="A29997" s="20"/>
    </row>
    <row r="29998" spans="1:1" x14ac:dyDescent="0.3">
      <c r="A29998" s="20"/>
    </row>
    <row r="29999" spans="1:1" x14ac:dyDescent="0.3">
      <c r="A29999" s="20"/>
    </row>
    <row r="30000" spans="1:1" x14ac:dyDescent="0.3">
      <c r="A30000" s="20"/>
    </row>
    <row r="30001" spans="1:1" x14ac:dyDescent="0.3">
      <c r="A30001" s="20"/>
    </row>
    <row r="30002" spans="1:1" x14ac:dyDescent="0.3">
      <c r="A30002" s="20"/>
    </row>
    <row r="30003" spans="1:1" x14ac:dyDescent="0.3">
      <c r="A30003" s="20"/>
    </row>
    <row r="30004" spans="1:1" x14ac:dyDescent="0.3">
      <c r="A30004" s="20"/>
    </row>
    <row r="30005" spans="1:1" x14ac:dyDescent="0.3">
      <c r="A30005" s="20"/>
    </row>
    <row r="30006" spans="1:1" x14ac:dyDescent="0.3">
      <c r="A30006" s="20"/>
    </row>
    <row r="30007" spans="1:1" x14ac:dyDescent="0.3">
      <c r="A30007" s="20"/>
    </row>
    <row r="30008" spans="1:1" x14ac:dyDescent="0.3">
      <c r="A30008" s="20"/>
    </row>
    <row r="30009" spans="1:1" x14ac:dyDescent="0.3">
      <c r="A30009" s="20"/>
    </row>
    <row r="30010" spans="1:1" x14ac:dyDescent="0.3">
      <c r="A30010" s="20"/>
    </row>
    <row r="30011" spans="1:1" x14ac:dyDescent="0.3">
      <c r="A30011" s="20"/>
    </row>
    <row r="30012" spans="1:1" x14ac:dyDescent="0.3">
      <c r="A30012" s="20"/>
    </row>
    <row r="30013" spans="1:1" x14ac:dyDescent="0.3">
      <c r="A30013" s="20"/>
    </row>
    <row r="30014" spans="1:1" x14ac:dyDescent="0.3">
      <c r="A30014" s="20"/>
    </row>
    <row r="30015" spans="1:1" x14ac:dyDescent="0.3">
      <c r="A30015" s="20"/>
    </row>
    <row r="30016" spans="1:1" x14ac:dyDescent="0.3">
      <c r="A30016" s="20"/>
    </row>
    <row r="30017" spans="1:1" x14ac:dyDescent="0.3">
      <c r="A30017" s="20"/>
    </row>
    <row r="30018" spans="1:1" x14ac:dyDescent="0.3">
      <c r="A30018" s="20"/>
    </row>
    <row r="30019" spans="1:1" x14ac:dyDescent="0.3">
      <c r="A30019" s="20"/>
    </row>
    <row r="30020" spans="1:1" x14ac:dyDescent="0.3">
      <c r="A30020" s="20"/>
    </row>
    <row r="30021" spans="1:1" x14ac:dyDescent="0.3">
      <c r="A30021" s="20"/>
    </row>
    <row r="30022" spans="1:1" x14ac:dyDescent="0.3">
      <c r="A30022" s="20"/>
    </row>
    <row r="30023" spans="1:1" x14ac:dyDescent="0.3">
      <c r="A30023" s="20"/>
    </row>
    <row r="30024" spans="1:1" x14ac:dyDescent="0.3">
      <c r="A30024" s="20"/>
    </row>
    <row r="30025" spans="1:1" x14ac:dyDescent="0.3">
      <c r="A30025" s="20"/>
    </row>
    <row r="30026" spans="1:1" x14ac:dyDescent="0.3">
      <c r="A30026" s="20"/>
    </row>
    <row r="30027" spans="1:1" x14ac:dyDescent="0.3">
      <c r="A30027" s="20"/>
    </row>
    <row r="30028" spans="1:1" x14ac:dyDescent="0.3">
      <c r="A30028" s="20"/>
    </row>
    <row r="30029" spans="1:1" x14ac:dyDescent="0.3">
      <c r="A30029" s="20"/>
    </row>
    <row r="30030" spans="1:1" x14ac:dyDescent="0.3">
      <c r="A30030" s="20"/>
    </row>
    <row r="30031" spans="1:1" x14ac:dyDescent="0.3">
      <c r="A30031" s="20"/>
    </row>
    <row r="30032" spans="1:1" x14ac:dyDescent="0.3">
      <c r="A30032" s="20"/>
    </row>
    <row r="30033" spans="1:1" x14ac:dyDescent="0.3">
      <c r="A30033" s="20"/>
    </row>
    <row r="30034" spans="1:1" x14ac:dyDescent="0.3">
      <c r="A30034" s="20"/>
    </row>
    <row r="30035" spans="1:1" x14ac:dyDescent="0.3">
      <c r="A30035" s="20"/>
    </row>
    <row r="30036" spans="1:1" x14ac:dyDescent="0.3">
      <c r="A30036" s="20"/>
    </row>
    <row r="30037" spans="1:1" x14ac:dyDescent="0.3">
      <c r="A30037" s="20"/>
    </row>
    <row r="30038" spans="1:1" x14ac:dyDescent="0.3">
      <c r="A30038" s="20"/>
    </row>
    <row r="30039" spans="1:1" x14ac:dyDescent="0.3">
      <c r="A30039" s="20"/>
    </row>
    <row r="30040" spans="1:1" x14ac:dyDescent="0.3">
      <c r="A30040" s="20"/>
    </row>
    <row r="30041" spans="1:1" x14ac:dyDescent="0.3">
      <c r="A30041" s="20"/>
    </row>
    <row r="30042" spans="1:1" x14ac:dyDescent="0.3">
      <c r="A30042" s="20"/>
    </row>
    <row r="30043" spans="1:1" x14ac:dyDescent="0.3">
      <c r="A30043" s="20"/>
    </row>
    <row r="30044" spans="1:1" x14ac:dyDescent="0.3">
      <c r="A30044" s="20"/>
    </row>
    <row r="30045" spans="1:1" x14ac:dyDescent="0.3">
      <c r="A30045" s="20"/>
    </row>
    <row r="30046" spans="1:1" x14ac:dyDescent="0.3">
      <c r="A30046" s="20"/>
    </row>
    <row r="30047" spans="1:1" x14ac:dyDescent="0.3">
      <c r="A30047" s="20"/>
    </row>
    <row r="30048" spans="1:1" x14ac:dyDescent="0.3">
      <c r="A30048" s="20"/>
    </row>
    <row r="30049" spans="1:1" x14ac:dyDescent="0.3">
      <c r="A30049" s="20"/>
    </row>
    <row r="30050" spans="1:1" x14ac:dyDescent="0.3">
      <c r="A30050" s="20"/>
    </row>
    <row r="30051" spans="1:1" x14ac:dyDescent="0.3">
      <c r="A30051" s="20"/>
    </row>
    <row r="30052" spans="1:1" x14ac:dyDescent="0.3">
      <c r="A30052" s="20"/>
    </row>
    <row r="30053" spans="1:1" x14ac:dyDescent="0.3">
      <c r="A30053" s="20"/>
    </row>
    <row r="30054" spans="1:1" x14ac:dyDescent="0.3">
      <c r="A30054" s="20"/>
    </row>
    <row r="30055" spans="1:1" x14ac:dyDescent="0.3">
      <c r="A30055" s="20"/>
    </row>
    <row r="30056" spans="1:1" x14ac:dyDescent="0.3">
      <c r="A30056" s="20"/>
    </row>
    <row r="30057" spans="1:1" x14ac:dyDescent="0.3">
      <c r="A30057" s="20"/>
    </row>
    <row r="30058" spans="1:1" x14ac:dyDescent="0.3">
      <c r="A30058" s="20"/>
    </row>
    <row r="30059" spans="1:1" x14ac:dyDescent="0.3">
      <c r="A30059" s="20"/>
    </row>
    <row r="30060" spans="1:1" x14ac:dyDescent="0.3">
      <c r="A30060" s="20"/>
    </row>
    <row r="30061" spans="1:1" x14ac:dyDescent="0.3">
      <c r="A30061" s="20"/>
    </row>
    <row r="30062" spans="1:1" x14ac:dyDescent="0.3">
      <c r="A30062" s="20"/>
    </row>
    <row r="30063" spans="1:1" x14ac:dyDescent="0.3">
      <c r="A30063" s="20"/>
    </row>
    <row r="30064" spans="1:1" x14ac:dyDescent="0.3">
      <c r="A30064" s="20"/>
    </row>
    <row r="30065" spans="1:1" x14ac:dyDescent="0.3">
      <c r="A30065" s="20"/>
    </row>
    <row r="30066" spans="1:1" x14ac:dyDescent="0.3">
      <c r="A30066" s="20"/>
    </row>
    <row r="30067" spans="1:1" x14ac:dyDescent="0.3">
      <c r="A30067" s="20"/>
    </row>
    <row r="30068" spans="1:1" x14ac:dyDescent="0.3">
      <c r="A30068" s="20"/>
    </row>
    <row r="30069" spans="1:1" x14ac:dyDescent="0.3">
      <c r="A30069" s="20"/>
    </row>
    <row r="30070" spans="1:1" x14ac:dyDescent="0.3">
      <c r="A30070" s="20"/>
    </row>
    <row r="30071" spans="1:1" x14ac:dyDescent="0.3">
      <c r="A30071" s="20"/>
    </row>
    <row r="30072" spans="1:1" x14ac:dyDescent="0.3">
      <c r="A30072" s="20"/>
    </row>
    <row r="30073" spans="1:1" x14ac:dyDescent="0.3">
      <c r="A30073" s="20"/>
    </row>
    <row r="30074" spans="1:1" x14ac:dyDescent="0.3">
      <c r="A30074" s="20"/>
    </row>
    <row r="30075" spans="1:1" x14ac:dyDescent="0.3">
      <c r="A30075" s="20"/>
    </row>
    <row r="30076" spans="1:1" x14ac:dyDescent="0.3">
      <c r="A30076" s="20"/>
    </row>
    <row r="30077" spans="1:1" x14ac:dyDescent="0.3">
      <c r="A30077" s="20"/>
    </row>
    <row r="30078" spans="1:1" x14ac:dyDescent="0.3">
      <c r="A30078" s="20"/>
    </row>
    <row r="30079" spans="1:1" x14ac:dyDescent="0.3">
      <c r="A30079" s="20"/>
    </row>
    <row r="30080" spans="1:1" x14ac:dyDescent="0.3">
      <c r="A30080" s="20"/>
    </row>
    <row r="30081" spans="1:1" x14ac:dyDescent="0.3">
      <c r="A30081" s="20"/>
    </row>
    <row r="30082" spans="1:1" x14ac:dyDescent="0.3">
      <c r="A30082" s="20"/>
    </row>
    <row r="30083" spans="1:1" x14ac:dyDescent="0.3">
      <c r="A30083" s="20"/>
    </row>
    <row r="30084" spans="1:1" x14ac:dyDescent="0.3">
      <c r="A30084" s="20"/>
    </row>
    <row r="30085" spans="1:1" x14ac:dyDescent="0.3">
      <c r="A30085" s="20"/>
    </row>
    <row r="30086" spans="1:1" x14ac:dyDescent="0.3">
      <c r="A30086" s="20"/>
    </row>
    <row r="30087" spans="1:1" x14ac:dyDescent="0.3">
      <c r="A30087" s="20"/>
    </row>
    <row r="30088" spans="1:1" x14ac:dyDescent="0.3">
      <c r="A30088" s="20"/>
    </row>
    <row r="30089" spans="1:1" x14ac:dyDescent="0.3">
      <c r="A30089" s="20"/>
    </row>
    <row r="30090" spans="1:1" x14ac:dyDescent="0.3">
      <c r="A30090" s="20"/>
    </row>
    <row r="30091" spans="1:1" x14ac:dyDescent="0.3">
      <c r="A30091" s="20"/>
    </row>
    <row r="30092" spans="1:1" x14ac:dyDescent="0.3">
      <c r="A30092" s="20"/>
    </row>
    <row r="30093" spans="1:1" x14ac:dyDescent="0.3">
      <c r="A30093" s="20"/>
    </row>
    <row r="30094" spans="1:1" x14ac:dyDescent="0.3">
      <c r="A30094" s="20"/>
    </row>
    <row r="30095" spans="1:1" x14ac:dyDescent="0.3">
      <c r="A30095" s="20"/>
    </row>
    <row r="30096" spans="1:1" x14ac:dyDescent="0.3">
      <c r="A30096" s="20"/>
    </row>
    <row r="30097" spans="1:1" x14ac:dyDescent="0.3">
      <c r="A30097" s="20"/>
    </row>
    <row r="30098" spans="1:1" x14ac:dyDescent="0.3">
      <c r="A30098" s="20"/>
    </row>
    <row r="30099" spans="1:1" x14ac:dyDescent="0.3">
      <c r="A30099" s="20"/>
    </row>
    <row r="30100" spans="1:1" x14ac:dyDescent="0.3">
      <c r="A30100" s="20"/>
    </row>
    <row r="30101" spans="1:1" x14ac:dyDescent="0.3">
      <c r="A30101" s="20"/>
    </row>
    <row r="30102" spans="1:1" x14ac:dyDescent="0.3">
      <c r="A30102" s="20"/>
    </row>
    <row r="30103" spans="1:1" x14ac:dyDescent="0.3">
      <c r="A30103" s="20"/>
    </row>
    <row r="30104" spans="1:1" x14ac:dyDescent="0.3">
      <c r="A30104" s="20"/>
    </row>
    <row r="30105" spans="1:1" x14ac:dyDescent="0.3">
      <c r="A30105" s="20"/>
    </row>
    <row r="30106" spans="1:1" x14ac:dyDescent="0.3">
      <c r="A30106" s="20"/>
    </row>
    <row r="30107" spans="1:1" x14ac:dyDescent="0.3">
      <c r="A30107" s="20"/>
    </row>
    <row r="30108" spans="1:1" x14ac:dyDescent="0.3">
      <c r="A30108" s="20"/>
    </row>
    <row r="30109" spans="1:1" x14ac:dyDescent="0.3">
      <c r="A30109" s="20"/>
    </row>
    <row r="30110" spans="1:1" x14ac:dyDescent="0.3">
      <c r="A30110" s="20"/>
    </row>
    <row r="30111" spans="1:1" x14ac:dyDescent="0.3">
      <c r="A30111" s="20"/>
    </row>
    <row r="30112" spans="1:1" x14ac:dyDescent="0.3">
      <c r="A30112" s="20"/>
    </row>
    <row r="30113" spans="1:1" x14ac:dyDescent="0.3">
      <c r="A30113" s="20"/>
    </row>
    <row r="30114" spans="1:1" x14ac:dyDescent="0.3">
      <c r="A30114" s="20"/>
    </row>
    <row r="30115" spans="1:1" x14ac:dyDescent="0.3">
      <c r="A30115" s="20"/>
    </row>
    <row r="30116" spans="1:1" x14ac:dyDescent="0.3">
      <c r="A30116" s="20"/>
    </row>
    <row r="30117" spans="1:1" x14ac:dyDescent="0.3">
      <c r="A30117" s="20"/>
    </row>
    <row r="30118" spans="1:1" x14ac:dyDescent="0.3">
      <c r="A30118" s="20"/>
    </row>
    <row r="30119" spans="1:1" x14ac:dyDescent="0.3">
      <c r="A30119" s="20"/>
    </row>
    <row r="30120" spans="1:1" x14ac:dyDescent="0.3">
      <c r="A30120" s="20"/>
    </row>
    <row r="30121" spans="1:1" x14ac:dyDescent="0.3">
      <c r="A30121" s="20"/>
    </row>
    <row r="30122" spans="1:1" x14ac:dyDescent="0.3">
      <c r="A30122" s="20"/>
    </row>
    <row r="30123" spans="1:1" x14ac:dyDescent="0.3">
      <c r="A30123" s="20"/>
    </row>
    <row r="30124" spans="1:1" x14ac:dyDescent="0.3">
      <c r="A30124" s="20"/>
    </row>
    <row r="30125" spans="1:1" x14ac:dyDescent="0.3">
      <c r="A30125" s="20"/>
    </row>
    <row r="30126" spans="1:1" x14ac:dyDescent="0.3">
      <c r="A30126" s="20"/>
    </row>
    <row r="30127" spans="1:1" x14ac:dyDescent="0.3">
      <c r="A30127" s="20"/>
    </row>
    <row r="30128" spans="1:1" x14ac:dyDescent="0.3">
      <c r="A30128" s="20"/>
    </row>
    <row r="30129" spans="1:1" x14ac:dyDescent="0.3">
      <c r="A30129" s="20"/>
    </row>
    <row r="30130" spans="1:1" x14ac:dyDescent="0.3">
      <c r="A30130" s="20"/>
    </row>
    <row r="30131" spans="1:1" x14ac:dyDescent="0.3">
      <c r="A30131" s="20"/>
    </row>
    <row r="30132" spans="1:1" x14ac:dyDescent="0.3">
      <c r="A30132" s="20"/>
    </row>
    <row r="30133" spans="1:1" x14ac:dyDescent="0.3">
      <c r="A30133" s="20"/>
    </row>
    <row r="30134" spans="1:1" x14ac:dyDescent="0.3">
      <c r="A30134" s="20"/>
    </row>
    <row r="30135" spans="1:1" x14ac:dyDescent="0.3">
      <c r="A30135" s="20"/>
    </row>
    <row r="30136" spans="1:1" x14ac:dyDescent="0.3">
      <c r="A30136" s="20"/>
    </row>
    <row r="30137" spans="1:1" x14ac:dyDescent="0.3">
      <c r="A30137" s="20"/>
    </row>
    <row r="30138" spans="1:1" x14ac:dyDescent="0.3">
      <c r="A30138" s="20"/>
    </row>
    <row r="30139" spans="1:1" x14ac:dyDescent="0.3">
      <c r="A30139" s="20"/>
    </row>
    <row r="30140" spans="1:1" x14ac:dyDescent="0.3">
      <c r="A30140" s="20"/>
    </row>
    <row r="30141" spans="1:1" x14ac:dyDescent="0.3">
      <c r="A30141" s="20"/>
    </row>
    <row r="30142" spans="1:1" x14ac:dyDescent="0.3">
      <c r="A30142" s="20"/>
    </row>
    <row r="30143" spans="1:1" x14ac:dyDescent="0.3">
      <c r="A30143" s="20"/>
    </row>
    <row r="30144" spans="1:1" x14ac:dyDescent="0.3">
      <c r="A30144" s="20"/>
    </row>
    <row r="30145" spans="1:1" x14ac:dyDescent="0.3">
      <c r="A30145" s="20"/>
    </row>
    <row r="30146" spans="1:1" x14ac:dyDescent="0.3">
      <c r="A30146" s="20"/>
    </row>
    <row r="30147" spans="1:1" x14ac:dyDescent="0.3">
      <c r="A30147" s="20"/>
    </row>
    <row r="30148" spans="1:1" x14ac:dyDescent="0.3">
      <c r="A30148" s="20"/>
    </row>
    <row r="30149" spans="1:1" x14ac:dyDescent="0.3">
      <c r="A30149" s="20"/>
    </row>
    <row r="30150" spans="1:1" x14ac:dyDescent="0.3">
      <c r="A30150" s="20"/>
    </row>
    <row r="30151" spans="1:1" x14ac:dyDescent="0.3">
      <c r="A30151" s="20"/>
    </row>
    <row r="30152" spans="1:1" x14ac:dyDescent="0.3">
      <c r="A30152" s="20"/>
    </row>
    <row r="30153" spans="1:1" x14ac:dyDescent="0.3">
      <c r="A30153" s="20"/>
    </row>
    <row r="30154" spans="1:1" x14ac:dyDescent="0.3">
      <c r="A30154" s="20"/>
    </row>
    <row r="30155" spans="1:1" x14ac:dyDescent="0.3">
      <c r="A30155" s="20"/>
    </row>
    <row r="30156" spans="1:1" x14ac:dyDescent="0.3">
      <c r="A30156" s="20"/>
    </row>
    <row r="30157" spans="1:1" x14ac:dyDescent="0.3">
      <c r="A30157" s="20"/>
    </row>
    <row r="30158" spans="1:1" x14ac:dyDescent="0.3">
      <c r="A30158" s="20"/>
    </row>
    <row r="30159" spans="1:1" x14ac:dyDescent="0.3">
      <c r="A30159" s="20"/>
    </row>
    <row r="30160" spans="1:1" x14ac:dyDescent="0.3">
      <c r="A30160" s="20"/>
    </row>
    <row r="30161" spans="1:1" x14ac:dyDescent="0.3">
      <c r="A30161" s="20"/>
    </row>
    <row r="30162" spans="1:1" x14ac:dyDescent="0.3">
      <c r="A30162" s="20"/>
    </row>
    <row r="30163" spans="1:1" x14ac:dyDescent="0.3">
      <c r="A30163" s="20"/>
    </row>
    <row r="30164" spans="1:1" x14ac:dyDescent="0.3">
      <c r="A30164" s="20"/>
    </row>
    <row r="30165" spans="1:1" x14ac:dyDescent="0.3">
      <c r="A30165" s="20"/>
    </row>
    <row r="30166" spans="1:1" x14ac:dyDescent="0.3">
      <c r="A30166" s="20"/>
    </row>
    <row r="30167" spans="1:1" x14ac:dyDescent="0.3">
      <c r="A30167" s="20"/>
    </row>
    <row r="30168" spans="1:1" x14ac:dyDescent="0.3">
      <c r="A30168" s="20"/>
    </row>
    <row r="30169" spans="1:1" x14ac:dyDescent="0.3">
      <c r="A30169" s="20"/>
    </row>
    <row r="30170" spans="1:1" x14ac:dyDescent="0.3">
      <c r="A30170" s="20"/>
    </row>
    <row r="30171" spans="1:1" x14ac:dyDescent="0.3">
      <c r="A30171" s="20"/>
    </row>
    <row r="30172" spans="1:1" x14ac:dyDescent="0.3">
      <c r="A30172" s="20"/>
    </row>
    <row r="30173" spans="1:1" x14ac:dyDescent="0.3">
      <c r="A30173" s="20"/>
    </row>
    <row r="30174" spans="1:1" x14ac:dyDescent="0.3">
      <c r="A30174" s="20"/>
    </row>
    <row r="30175" spans="1:1" x14ac:dyDescent="0.3">
      <c r="A30175" s="20"/>
    </row>
    <row r="30176" spans="1:1" x14ac:dyDescent="0.3">
      <c r="A30176" s="20"/>
    </row>
    <row r="30177" spans="1:1" x14ac:dyDescent="0.3">
      <c r="A30177" s="20"/>
    </row>
    <row r="30178" spans="1:1" x14ac:dyDescent="0.3">
      <c r="A30178" s="20"/>
    </row>
    <row r="30179" spans="1:1" x14ac:dyDescent="0.3">
      <c r="A30179" s="20"/>
    </row>
    <row r="30180" spans="1:1" x14ac:dyDescent="0.3">
      <c r="A30180" s="20"/>
    </row>
    <row r="30181" spans="1:1" x14ac:dyDescent="0.3">
      <c r="A30181" s="20"/>
    </row>
    <row r="30182" spans="1:1" x14ac:dyDescent="0.3">
      <c r="A30182" s="20"/>
    </row>
    <row r="30183" spans="1:1" x14ac:dyDescent="0.3">
      <c r="A30183" s="20"/>
    </row>
    <row r="30184" spans="1:1" x14ac:dyDescent="0.3">
      <c r="A30184" s="20"/>
    </row>
    <row r="30185" spans="1:1" x14ac:dyDescent="0.3">
      <c r="A30185" s="20"/>
    </row>
    <row r="30186" spans="1:1" x14ac:dyDescent="0.3">
      <c r="A30186" s="20"/>
    </row>
    <row r="30187" spans="1:1" x14ac:dyDescent="0.3">
      <c r="A30187" s="20"/>
    </row>
    <row r="30188" spans="1:1" x14ac:dyDescent="0.3">
      <c r="A30188" s="20"/>
    </row>
    <row r="30189" spans="1:1" x14ac:dyDescent="0.3">
      <c r="A30189" s="20"/>
    </row>
    <row r="30190" spans="1:1" x14ac:dyDescent="0.3">
      <c r="A30190" s="20"/>
    </row>
    <row r="30191" spans="1:1" x14ac:dyDescent="0.3">
      <c r="A30191" s="20"/>
    </row>
    <row r="30192" spans="1:1" x14ac:dyDescent="0.3">
      <c r="A30192" s="20"/>
    </row>
    <row r="30193" spans="1:1" x14ac:dyDescent="0.3">
      <c r="A30193" s="20"/>
    </row>
    <row r="30194" spans="1:1" x14ac:dyDescent="0.3">
      <c r="A30194" s="20"/>
    </row>
    <row r="30195" spans="1:1" x14ac:dyDescent="0.3">
      <c r="A30195" s="20"/>
    </row>
    <row r="30196" spans="1:1" x14ac:dyDescent="0.3">
      <c r="A30196" s="20"/>
    </row>
    <row r="30197" spans="1:1" x14ac:dyDescent="0.3">
      <c r="A30197" s="20"/>
    </row>
    <row r="30198" spans="1:1" x14ac:dyDescent="0.3">
      <c r="A30198" s="20"/>
    </row>
    <row r="30199" spans="1:1" x14ac:dyDescent="0.3">
      <c r="A30199" s="20"/>
    </row>
    <row r="30200" spans="1:1" x14ac:dyDescent="0.3">
      <c r="A30200" s="20"/>
    </row>
    <row r="30201" spans="1:1" x14ac:dyDescent="0.3">
      <c r="A30201" s="20"/>
    </row>
    <row r="30202" spans="1:1" x14ac:dyDescent="0.3">
      <c r="A30202" s="20"/>
    </row>
    <row r="30203" spans="1:1" x14ac:dyDescent="0.3">
      <c r="A30203" s="20"/>
    </row>
    <row r="30204" spans="1:1" x14ac:dyDescent="0.3">
      <c r="A30204" s="20"/>
    </row>
    <row r="30205" spans="1:1" x14ac:dyDescent="0.3">
      <c r="A30205" s="20"/>
    </row>
    <row r="30206" spans="1:1" x14ac:dyDescent="0.3">
      <c r="A30206" s="20"/>
    </row>
    <row r="30207" spans="1:1" x14ac:dyDescent="0.3">
      <c r="A30207" s="20"/>
    </row>
    <row r="30208" spans="1:1" x14ac:dyDescent="0.3">
      <c r="A30208" s="20"/>
    </row>
    <row r="30209" spans="1:1" x14ac:dyDescent="0.3">
      <c r="A30209" s="20"/>
    </row>
    <row r="30210" spans="1:1" x14ac:dyDescent="0.3">
      <c r="A30210" s="20"/>
    </row>
    <row r="30211" spans="1:1" x14ac:dyDescent="0.3">
      <c r="A30211" s="20"/>
    </row>
    <row r="30212" spans="1:1" x14ac:dyDescent="0.3">
      <c r="A30212" s="20"/>
    </row>
    <row r="30213" spans="1:1" x14ac:dyDescent="0.3">
      <c r="A30213" s="20"/>
    </row>
    <row r="30214" spans="1:1" x14ac:dyDescent="0.3">
      <c r="A30214" s="20"/>
    </row>
    <row r="30215" spans="1:1" x14ac:dyDescent="0.3">
      <c r="A30215" s="20"/>
    </row>
    <row r="30216" spans="1:1" x14ac:dyDescent="0.3">
      <c r="A30216" s="20"/>
    </row>
    <row r="30217" spans="1:1" x14ac:dyDescent="0.3">
      <c r="A30217" s="20"/>
    </row>
    <row r="30218" spans="1:1" x14ac:dyDescent="0.3">
      <c r="A30218" s="20"/>
    </row>
    <row r="30219" spans="1:1" x14ac:dyDescent="0.3">
      <c r="A30219" s="20"/>
    </row>
    <row r="30220" spans="1:1" x14ac:dyDescent="0.3">
      <c r="A30220" s="20"/>
    </row>
    <row r="30221" spans="1:1" x14ac:dyDescent="0.3">
      <c r="A30221" s="20"/>
    </row>
    <row r="30222" spans="1:1" x14ac:dyDescent="0.3">
      <c r="A30222" s="20"/>
    </row>
    <row r="30223" spans="1:1" x14ac:dyDescent="0.3">
      <c r="A30223" s="20"/>
    </row>
    <row r="30224" spans="1:1" x14ac:dyDescent="0.3">
      <c r="A30224" s="20"/>
    </row>
    <row r="30225" spans="1:1" x14ac:dyDescent="0.3">
      <c r="A30225" s="20"/>
    </row>
    <row r="30226" spans="1:1" x14ac:dyDescent="0.3">
      <c r="A30226" s="20"/>
    </row>
    <row r="30227" spans="1:1" x14ac:dyDescent="0.3">
      <c r="A30227" s="20"/>
    </row>
    <row r="30228" spans="1:1" x14ac:dyDescent="0.3">
      <c r="A30228" s="20"/>
    </row>
    <row r="30229" spans="1:1" x14ac:dyDescent="0.3">
      <c r="A30229" s="20"/>
    </row>
    <row r="30230" spans="1:1" x14ac:dyDescent="0.3">
      <c r="A30230" s="20"/>
    </row>
    <row r="30231" spans="1:1" x14ac:dyDescent="0.3">
      <c r="A30231" s="20"/>
    </row>
    <row r="30232" spans="1:1" x14ac:dyDescent="0.3">
      <c r="A30232" s="20"/>
    </row>
    <row r="30233" spans="1:1" x14ac:dyDescent="0.3">
      <c r="A30233" s="20"/>
    </row>
    <row r="30234" spans="1:1" x14ac:dyDescent="0.3">
      <c r="A30234" s="20"/>
    </row>
    <row r="30235" spans="1:1" x14ac:dyDescent="0.3">
      <c r="A30235" s="20"/>
    </row>
    <row r="30236" spans="1:1" x14ac:dyDescent="0.3">
      <c r="A30236" s="20"/>
    </row>
    <row r="30237" spans="1:1" x14ac:dyDescent="0.3">
      <c r="A30237" s="20"/>
    </row>
    <row r="30238" spans="1:1" x14ac:dyDescent="0.3">
      <c r="A30238" s="20"/>
    </row>
    <row r="30239" spans="1:1" x14ac:dyDescent="0.3">
      <c r="A30239" s="20"/>
    </row>
    <row r="30240" spans="1:1" x14ac:dyDescent="0.3">
      <c r="A30240" s="20"/>
    </row>
    <row r="30241" spans="1:1" x14ac:dyDescent="0.3">
      <c r="A30241" s="20"/>
    </row>
    <row r="30242" spans="1:1" x14ac:dyDescent="0.3">
      <c r="A30242" s="20"/>
    </row>
    <row r="30243" spans="1:1" x14ac:dyDescent="0.3">
      <c r="A30243" s="20"/>
    </row>
    <row r="30244" spans="1:1" x14ac:dyDescent="0.3">
      <c r="A30244" s="20"/>
    </row>
    <row r="30245" spans="1:1" x14ac:dyDescent="0.3">
      <c r="A30245" s="20"/>
    </row>
    <row r="30246" spans="1:1" x14ac:dyDescent="0.3">
      <c r="A30246" s="20"/>
    </row>
    <row r="30247" spans="1:1" x14ac:dyDescent="0.3">
      <c r="A30247" s="20"/>
    </row>
    <row r="30248" spans="1:1" x14ac:dyDescent="0.3">
      <c r="A30248" s="20"/>
    </row>
    <row r="30249" spans="1:1" x14ac:dyDescent="0.3">
      <c r="A30249" s="20"/>
    </row>
    <row r="30250" spans="1:1" x14ac:dyDescent="0.3">
      <c r="A30250" s="20"/>
    </row>
    <row r="30251" spans="1:1" x14ac:dyDescent="0.3">
      <c r="A30251" s="20"/>
    </row>
    <row r="30252" spans="1:1" x14ac:dyDescent="0.3">
      <c r="A30252" s="20"/>
    </row>
    <row r="30253" spans="1:1" x14ac:dyDescent="0.3">
      <c r="A30253" s="20"/>
    </row>
    <row r="30254" spans="1:1" x14ac:dyDescent="0.3">
      <c r="A30254" s="20"/>
    </row>
    <row r="30255" spans="1:1" x14ac:dyDescent="0.3">
      <c r="A30255" s="20"/>
    </row>
    <row r="30256" spans="1:1" x14ac:dyDescent="0.3">
      <c r="A30256" s="20"/>
    </row>
    <row r="30257" spans="1:1" x14ac:dyDescent="0.3">
      <c r="A30257" s="20"/>
    </row>
    <row r="30258" spans="1:1" x14ac:dyDescent="0.3">
      <c r="A30258" s="20"/>
    </row>
    <row r="30259" spans="1:1" x14ac:dyDescent="0.3">
      <c r="A30259" s="20"/>
    </row>
    <row r="30260" spans="1:1" x14ac:dyDescent="0.3">
      <c r="A30260" s="20"/>
    </row>
    <row r="30261" spans="1:1" x14ac:dyDescent="0.3">
      <c r="A30261" s="20"/>
    </row>
    <row r="30262" spans="1:1" x14ac:dyDescent="0.3">
      <c r="A30262" s="20"/>
    </row>
    <row r="30263" spans="1:1" x14ac:dyDescent="0.3">
      <c r="A30263" s="20"/>
    </row>
    <row r="30264" spans="1:1" x14ac:dyDescent="0.3">
      <c r="A30264" s="20"/>
    </row>
    <row r="30265" spans="1:1" x14ac:dyDescent="0.3">
      <c r="A30265" s="20"/>
    </row>
    <row r="30266" spans="1:1" x14ac:dyDescent="0.3">
      <c r="A30266" s="20"/>
    </row>
    <row r="30267" spans="1:1" x14ac:dyDescent="0.3">
      <c r="A30267" s="20"/>
    </row>
    <row r="30268" spans="1:1" x14ac:dyDescent="0.3">
      <c r="A30268" s="20"/>
    </row>
    <row r="30269" spans="1:1" x14ac:dyDescent="0.3">
      <c r="A30269" s="20"/>
    </row>
    <row r="30270" spans="1:1" x14ac:dyDescent="0.3">
      <c r="A30270" s="20"/>
    </row>
    <row r="30271" spans="1:1" x14ac:dyDescent="0.3">
      <c r="A30271" s="20"/>
    </row>
    <row r="30272" spans="1:1" x14ac:dyDescent="0.3">
      <c r="A30272" s="20"/>
    </row>
    <row r="30273" spans="1:1" x14ac:dyDescent="0.3">
      <c r="A30273" s="20"/>
    </row>
    <row r="30274" spans="1:1" x14ac:dyDescent="0.3">
      <c r="A30274" s="20"/>
    </row>
    <row r="30275" spans="1:1" x14ac:dyDescent="0.3">
      <c r="A30275" s="20"/>
    </row>
    <row r="30276" spans="1:1" x14ac:dyDescent="0.3">
      <c r="A30276" s="20"/>
    </row>
    <row r="30277" spans="1:1" x14ac:dyDescent="0.3">
      <c r="A30277" s="20"/>
    </row>
    <row r="30278" spans="1:1" x14ac:dyDescent="0.3">
      <c r="A30278" s="20"/>
    </row>
    <row r="30279" spans="1:1" x14ac:dyDescent="0.3">
      <c r="A30279" s="20"/>
    </row>
    <row r="30280" spans="1:1" x14ac:dyDescent="0.3">
      <c r="A30280" s="20"/>
    </row>
    <row r="30281" spans="1:1" x14ac:dyDescent="0.3">
      <c r="A30281" s="20"/>
    </row>
    <row r="30282" spans="1:1" x14ac:dyDescent="0.3">
      <c r="A30282" s="20"/>
    </row>
    <row r="30283" spans="1:1" x14ac:dyDescent="0.3">
      <c r="A30283" s="20"/>
    </row>
    <row r="30284" spans="1:1" x14ac:dyDescent="0.3">
      <c r="A30284" s="20"/>
    </row>
    <row r="30285" spans="1:1" x14ac:dyDescent="0.3">
      <c r="A30285" s="20"/>
    </row>
    <row r="30286" spans="1:1" x14ac:dyDescent="0.3">
      <c r="A30286" s="20"/>
    </row>
    <row r="30287" spans="1:1" x14ac:dyDescent="0.3">
      <c r="A30287" s="20"/>
    </row>
    <row r="30288" spans="1:1" x14ac:dyDescent="0.3">
      <c r="A30288" s="20"/>
    </row>
    <row r="30289" spans="1:1" x14ac:dyDescent="0.3">
      <c r="A30289" s="20"/>
    </row>
    <row r="30290" spans="1:1" x14ac:dyDescent="0.3">
      <c r="A30290" s="20"/>
    </row>
    <row r="30291" spans="1:1" x14ac:dyDescent="0.3">
      <c r="A30291" s="20"/>
    </row>
    <row r="30292" spans="1:1" x14ac:dyDescent="0.3">
      <c r="A30292" s="20"/>
    </row>
    <row r="30293" spans="1:1" x14ac:dyDescent="0.3">
      <c r="A30293" s="20"/>
    </row>
    <row r="30294" spans="1:1" x14ac:dyDescent="0.3">
      <c r="A30294" s="20"/>
    </row>
    <row r="30295" spans="1:1" x14ac:dyDescent="0.3">
      <c r="A30295" s="20"/>
    </row>
    <row r="30296" spans="1:1" x14ac:dyDescent="0.3">
      <c r="A30296" s="20"/>
    </row>
    <row r="30297" spans="1:1" x14ac:dyDescent="0.3">
      <c r="A30297" s="20"/>
    </row>
    <row r="30298" spans="1:1" x14ac:dyDescent="0.3">
      <c r="A30298" s="20"/>
    </row>
    <row r="30299" spans="1:1" x14ac:dyDescent="0.3">
      <c r="A30299" s="20"/>
    </row>
    <row r="30300" spans="1:1" x14ac:dyDescent="0.3">
      <c r="A30300" s="20"/>
    </row>
    <row r="30301" spans="1:1" x14ac:dyDescent="0.3">
      <c r="A30301" s="20"/>
    </row>
    <row r="30302" spans="1:1" x14ac:dyDescent="0.3">
      <c r="A30302" s="20"/>
    </row>
    <row r="30303" spans="1:1" x14ac:dyDescent="0.3">
      <c r="A30303" s="20"/>
    </row>
    <row r="30304" spans="1:1" x14ac:dyDescent="0.3">
      <c r="A30304" s="20"/>
    </row>
    <row r="30305" spans="1:1" x14ac:dyDescent="0.3">
      <c r="A30305" s="20"/>
    </row>
    <row r="30306" spans="1:1" x14ac:dyDescent="0.3">
      <c r="A30306" s="20"/>
    </row>
    <row r="30307" spans="1:1" x14ac:dyDescent="0.3">
      <c r="A30307" s="20"/>
    </row>
    <row r="30308" spans="1:1" x14ac:dyDescent="0.3">
      <c r="A30308" s="20"/>
    </row>
    <row r="30309" spans="1:1" x14ac:dyDescent="0.3">
      <c r="A30309" s="20"/>
    </row>
    <row r="30310" spans="1:1" x14ac:dyDescent="0.3">
      <c r="A30310" s="20"/>
    </row>
    <row r="30311" spans="1:1" x14ac:dyDescent="0.3">
      <c r="A30311" s="20"/>
    </row>
    <row r="30312" spans="1:1" x14ac:dyDescent="0.3">
      <c r="A30312" s="20"/>
    </row>
    <row r="30313" spans="1:1" x14ac:dyDescent="0.3">
      <c r="A30313" s="20"/>
    </row>
    <row r="30314" spans="1:1" x14ac:dyDescent="0.3">
      <c r="A30314" s="20"/>
    </row>
    <row r="30315" spans="1:1" x14ac:dyDescent="0.3">
      <c r="A30315" s="20"/>
    </row>
    <row r="30316" spans="1:1" x14ac:dyDescent="0.3">
      <c r="A30316" s="20"/>
    </row>
    <row r="30317" spans="1:1" x14ac:dyDescent="0.3">
      <c r="A30317" s="20"/>
    </row>
    <row r="30318" spans="1:1" x14ac:dyDescent="0.3">
      <c r="A30318" s="20"/>
    </row>
    <row r="30319" spans="1:1" x14ac:dyDescent="0.3">
      <c r="A30319" s="20"/>
    </row>
    <row r="30320" spans="1:1" x14ac:dyDescent="0.3">
      <c r="A30320" s="20"/>
    </row>
    <row r="30321" spans="1:1" x14ac:dyDescent="0.3">
      <c r="A30321" s="20"/>
    </row>
    <row r="30322" spans="1:1" x14ac:dyDescent="0.3">
      <c r="A30322" s="20"/>
    </row>
    <row r="30323" spans="1:1" x14ac:dyDescent="0.3">
      <c r="A30323" s="20"/>
    </row>
    <row r="30324" spans="1:1" x14ac:dyDescent="0.3">
      <c r="A30324" s="20"/>
    </row>
    <row r="30325" spans="1:1" x14ac:dyDescent="0.3">
      <c r="A30325" s="20"/>
    </row>
    <row r="30326" spans="1:1" x14ac:dyDescent="0.3">
      <c r="A30326" s="20"/>
    </row>
    <row r="30327" spans="1:1" x14ac:dyDescent="0.3">
      <c r="A30327" s="20"/>
    </row>
    <row r="30328" spans="1:1" x14ac:dyDescent="0.3">
      <c r="A30328" s="20"/>
    </row>
    <row r="30329" spans="1:1" x14ac:dyDescent="0.3">
      <c r="A30329" s="20"/>
    </row>
    <row r="30330" spans="1:1" x14ac:dyDescent="0.3">
      <c r="A30330" s="20"/>
    </row>
    <row r="30331" spans="1:1" x14ac:dyDescent="0.3">
      <c r="A30331" s="20"/>
    </row>
    <row r="30332" spans="1:1" x14ac:dyDescent="0.3">
      <c r="A30332" s="20"/>
    </row>
    <row r="30333" spans="1:1" x14ac:dyDescent="0.3">
      <c r="A30333" s="20"/>
    </row>
    <row r="30334" spans="1:1" x14ac:dyDescent="0.3">
      <c r="A30334" s="20"/>
    </row>
    <row r="30335" spans="1:1" x14ac:dyDescent="0.3">
      <c r="A30335" s="20"/>
    </row>
    <row r="30336" spans="1:1" x14ac:dyDescent="0.3">
      <c r="A30336" s="20"/>
    </row>
    <row r="30337" spans="1:1" x14ac:dyDescent="0.3">
      <c r="A30337" s="20"/>
    </row>
    <row r="30338" spans="1:1" x14ac:dyDescent="0.3">
      <c r="A30338" s="20"/>
    </row>
    <row r="30339" spans="1:1" x14ac:dyDescent="0.3">
      <c r="A30339" s="20"/>
    </row>
    <row r="30340" spans="1:1" x14ac:dyDescent="0.3">
      <c r="A30340" s="20"/>
    </row>
    <row r="30341" spans="1:1" x14ac:dyDescent="0.3">
      <c r="A30341" s="20"/>
    </row>
    <row r="30342" spans="1:1" x14ac:dyDescent="0.3">
      <c r="A30342" s="20"/>
    </row>
    <row r="30343" spans="1:1" x14ac:dyDescent="0.3">
      <c r="A30343" s="20"/>
    </row>
    <row r="30344" spans="1:1" x14ac:dyDescent="0.3">
      <c r="A30344" s="20"/>
    </row>
    <row r="30345" spans="1:1" x14ac:dyDescent="0.3">
      <c r="A30345" s="20"/>
    </row>
    <row r="30346" spans="1:1" x14ac:dyDescent="0.3">
      <c r="A30346" s="20"/>
    </row>
    <row r="30347" spans="1:1" x14ac:dyDescent="0.3">
      <c r="A30347" s="20"/>
    </row>
    <row r="30348" spans="1:1" x14ac:dyDescent="0.3">
      <c r="A30348" s="20"/>
    </row>
    <row r="30349" spans="1:1" x14ac:dyDescent="0.3">
      <c r="A30349" s="20"/>
    </row>
    <row r="30350" spans="1:1" x14ac:dyDescent="0.3">
      <c r="A30350" s="20"/>
    </row>
    <row r="30351" spans="1:1" x14ac:dyDescent="0.3">
      <c r="A30351" s="20"/>
    </row>
    <row r="30352" spans="1:1" x14ac:dyDescent="0.3">
      <c r="A30352" s="20"/>
    </row>
    <row r="30353" spans="1:1" x14ac:dyDescent="0.3">
      <c r="A30353" s="20"/>
    </row>
    <row r="30354" spans="1:1" x14ac:dyDescent="0.3">
      <c r="A30354" s="20"/>
    </row>
    <row r="30355" spans="1:1" x14ac:dyDescent="0.3">
      <c r="A30355" s="20"/>
    </row>
    <row r="30356" spans="1:1" x14ac:dyDescent="0.3">
      <c r="A30356" s="20"/>
    </row>
    <row r="30357" spans="1:1" x14ac:dyDescent="0.3">
      <c r="A30357" s="20"/>
    </row>
    <row r="30358" spans="1:1" x14ac:dyDescent="0.3">
      <c r="A30358" s="20"/>
    </row>
    <row r="30359" spans="1:1" x14ac:dyDescent="0.3">
      <c r="A30359" s="20"/>
    </row>
    <row r="30360" spans="1:1" x14ac:dyDescent="0.3">
      <c r="A30360" s="20"/>
    </row>
    <row r="30361" spans="1:1" x14ac:dyDescent="0.3">
      <c r="A30361" s="20"/>
    </row>
    <row r="30362" spans="1:1" x14ac:dyDescent="0.3">
      <c r="A30362" s="20"/>
    </row>
    <row r="30363" spans="1:1" x14ac:dyDescent="0.3">
      <c r="A30363" s="20"/>
    </row>
    <row r="30364" spans="1:1" x14ac:dyDescent="0.3">
      <c r="A30364" s="20"/>
    </row>
    <row r="30365" spans="1:1" x14ac:dyDescent="0.3">
      <c r="A30365" s="20"/>
    </row>
    <row r="30366" spans="1:1" x14ac:dyDescent="0.3">
      <c r="A30366" s="20"/>
    </row>
    <row r="30367" spans="1:1" x14ac:dyDescent="0.3">
      <c r="A30367" s="20"/>
    </row>
    <row r="30368" spans="1:1" x14ac:dyDescent="0.3">
      <c r="A30368" s="20"/>
    </row>
    <row r="30369" spans="1:1" x14ac:dyDescent="0.3">
      <c r="A30369" s="20"/>
    </row>
    <row r="30370" spans="1:1" x14ac:dyDescent="0.3">
      <c r="A30370" s="20"/>
    </row>
    <row r="30371" spans="1:1" x14ac:dyDescent="0.3">
      <c r="A30371" s="20"/>
    </row>
    <row r="30372" spans="1:1" x14ac:dyDescent="0.3">
      <c r="A30372" s="20"/>
    </row>
    <row r="30373" spans="1:1" x14ac:dyDescent="0.3">
      <c r="A30373" s="20"/>
    </row>
    <row r="30374" spans="1:1" x14ac:dyDescent="0.3">
      <c r="A30374" s="20"/>
    </row>
    <row r="30375" spans="1:1" x14ac:dyDescent="0.3">
      <c r="A30375" s="20"/>
    </row>
    <row r="30376" spans="1:1" x14ac:dyDescent="0.3">
      <c r="A30376" s="20"/>
    </row>
    <row r="30377" spans="1:1" x14ac:dyDescent="0.3">
      <c r="A30377" s="20"/>
    </row>
    <row r="30378" spans="1:1" x14ac:dyDescent="0.3">
      <c r="A30378" s="20"/>
    </row>
    <row r="30379" spans="1:1" x14ac:dyDescent="0.3">
      <c r="A30379" s="20"/>
    </row>
    <row r="30380" spans="1:1" x14ac:dyDescent="0.3">
      <c r="A30380" s="20"/>
    </row>
    <row r="30381" spans="1:1" x14ac:dyDescent="0.3">
      <c r="A30381" s="20"/>
    </row>
    <row r="30382" spans="1:1" x14ac:dyDescent="0.3">
      <c r="A30382" s="20"/>
    </row>
    <row r="30383" spans="1:1" x14ac:dyDescent="0.3">
      <c r="A30383" s="20"/>
    </row>
    <row r="30384" spans="1:1" x14ac:dyDescent="0.3">
      <c r="A30384" s="20"/>
    </row>
    <row r="30385" spans="1:1" x14ac:dyDescent="0.3">
      <c r="A30385" s="20"/>
    </row>
    <row r="30386" spans="1:1" x14ac:dyDescent="0.3">
      <c r="A30386" s="20"/>
    </row>
    <row r="30387" spans="1:1" x14ac:dyDescent="0.3">
      <c r="A30387" s="20"/>
    </row>
    <row r="30388" spans="1:1" x14ac:dyDescent="0.3">
      <c r="A30388" s="20"/>
    </row>
    <row r="30389" spans="1:1" x14ac:dyDescent="0.3">
      <c r="A30389" s="20"/>
    </row>
    <row r="30390" spans="1:1" x14ac:dyDescent="0.3">
      <c r="A30390" s="20"/>
    </row>
    <row r="30391" spans="1:1" x14ac:dyDescent="0.3">
      <c r="A30391" s="20"/>
    </row>
    <row r="30392" spans="1:1" x14ac:dyDescent="0.3">
      <c r="A30392" s="20"/>
    </row>
    <row r="30393" spans="1:1" x14ac:dyDescent="0.3">
      <c r="A30393" s="20"/>
    </row>
    <row r="30394" spans="1:1" x14ac:dyDescent="0.3">
      <c r="A30394" s="20"/>
    </row>
    <row r="30395" spans="1:1" x14ac:dyDescent="0.3">
      <c r="A30395" s="20"/>
    </row>
    <row r="30396" spans="1:1" x14ac:dyDescent="0.3">
      <c r="A30396" s="20"/>
    </row>
    <row r="30397" spans="1:1" x14ac:dyDescent="0.3">
      <c r="A30397" s="20"/>
    </row>
    <row r="30398" spans="1:1" x14ac:dyDescent="0.3">
      <c r="A30398" s="20"/>
    </row>
    <row r="30399" spans="1:1" x14ac:dyDescent="0.3">
      <c r="A30399" s="20"/>
    </row>
    <row r="30400" spans="1:1" x14ac:dyDescent="0.3">
      <c r="A30400" s="20"/>
    </row>
    <row r="30401" spans="1:1" x14ac:dyDescent="0.3">
      <c r="A30401" s="20"/>
    </row>
    <row r="30402" spans="1:1" x14ac:dyDescent="0.3">
      <c r="A30402" s="20"/>
    </row>
    <row r="30403" spans="1:1" x14ac:dyDescent="0.3">
      <c r="A30403" s="20"/>
    </row>
    <row r="30404" spans="1:1" x14ac:dyDescent="0.3">
      <c r="A30404" s="20"/>
    </row>
    <row r="30405" spans="1:1" x14ac:dyDescent="0.3">
      <c r="A30405" s="20"/>
    </row>
    <row r="30406" spans="1:1" x14ac:dyDescent="0.3">
      <c r="A30406" s="20"/>
    </row>
    <row r="30407" spans="1:1" x14ac:dyDescent="0.3">
      <c r="A30407" s="20"/>
    </row>
    <row r="30408" spans="1:1" x14ac:dyDescent="0.3">
      <c r="A30408" s="20"/>
    </row>
    <row r="30409" spans="1:1" x14ac:dyDescent="0.3">
      <c r="A30409" s="20"/>
    </row>
    <row r="30410" spans="1:1" x14ac:dyDescent="0.3">
      <c r="A30410" s="20"/>
    </row>
    <row r="30411" spans="1:1" x14ac:dyDescent="0.3">
      <c r="A30411" s="20"/>
    </row>
    <row r="30412" spans="1:1" x14ac:dyDescent="0.3">
      <c r="A30412" s="20"/>
    </row>
    <row r="30413" spans="1:1" x14ac:dyDescent="0.3">
      <c r="A30413" s="20"/>
    </row>
    <row r="30414" spans="1:1" x14ac:dyDescent="0.3">
      <c r="A30414" s="20"/>
    </row>
    <row r="30415" spans="1:1" x14ac:dyDescent="0.3">
      <c r="A30415" s="20"/>
    </row>
    <row r="30416" spans="1:1" x14ac:dyDescent="0.3">
      <c r="A30416" s="20"/>
    </row>
    <row r="30417" spans="1:1" x14ac:dyDescent="0.3">
      <c r="A30417" s="20"/>
    </row>
    <row r="30418" spans="1:1" x14ac:dyDescent="0.3">
      <c r="A30418" s="20"/>
    </row>
    <row r="30419" spans="1:1" x14ac:dyDescent="0.3">
      <c r="A30419" s="20"/>
    </row>
    <row r="30420" spans="1:1" x14ac:dyDescent="0.3">
      <c r="A30420" s="20"/>
    </row>
    <row r="30421" spans="1:1" x14ac:dyDescent="0.3">
      <c r="A30421" s="20"/>
    </row>
    <row r="30422" spans="1:1" x14ac:dyDescent="0.3">
      <c r="A30422" s="20"/>
    </row>
    <row r="30423" spans="1:1" x14ac:dyDescent="0.3">
      <c r="A30423" s="20"/>
    </row>
    <row r="30424" spans="1:1" x14ac:dyDescent="0.3">
      <c r="A30424" s="20"/>
    </row>
    <row r="30425" spans="1:1" x14ac:dyDescent="0.3">
      <c r="A30425" s="20"/>
    </row>
    <row r="30426" spans="1:1" x14ac:dyDescent="0.3">
      <c r="A30426" s="20"/>
    </row>
    <row r="30427" spans="1:1" x14ac:dyDescent="0.3">
      <c r="A30427" s="20"/>
    </row>
    <row r="30428" spans="1:1" x14ac:dyDescent="0.3">
      <c r="A30428" s="20"/>
    </row>
    <row r="30429" spans="1:1" x14ac:dyDescent="0.3">
      <c r="A30429" s="20"/>
    </row>
    <row r="30430" spans="1:1" x14ac:dyDescent="0.3">
      <c r="A30430" s="20"/>
    </row>
    <row r="30431" spans="1:1" x14ac:dyDescent="0.3">
      <c r="A30431" s="20"/>
    </row>
    <row r="30432" spans="1:1" x14ac:dyDescent="0.3">
      <c r="A30432" s="20"/>
    </row>
    <row r="30433" spans="1:1" x14ac:dyDescent="0.3">
      <c r="A30433" s="20"/>
    </row>
    <row r="30434" spans="1:1" x14ac:dyDescent="0.3">
      <c r="A30434" s="20"/>
    </row>
    <row r="30435" spans="1:1" x14ac:dyDescent="0.3">
      <c r="A30435" s="20"/>
    </row>
    <row r="30436" spans="1:1" x14ac:dyDescent="0.3">
      <c r="A30436" s="20"/>
    </row>
    <row r="30437" spans="1:1" x14ac:dyDescent="0.3">
      <c r="A30437" s="20"/>
    </row>
    <row r="30438" spans="1:1" x14ac:dyDescent="0.3">
      <c r="A30438" s="20"/>
    </row>
    <row r="30439" spans="1:1" x14ac:dyDescent="0.3">
      <c r="A30439" s="20"/>
    </row>
    <row r="30440" spans="1:1" x14ac:dyDescent="0.3">
      <c r="A30440" s="20"/>
    </row>
    <row r="30441" spans="1:1" x14ac:dyDescent="0.3">
      <c r="A30441" s="20"/>
    </row>
    <row r="30442" spans="1:1" x14ac:dyDescent="0.3">
      <c r="A30442" s="20"/>
    </row>
    <row r="30443" spans="1:1" x14ac:dyDescent="0.3">
      <c r="A30443" s="20"/>
    </row>
    <row r="30444" spans="1:1" x14ac:dyDescent="0.3">
      <c r="A30444" s="20"/>
    </row>
    <row r="30445" spans="1:1" x14ac:dyDescent="0.3">
      <c r="A30445" s="20"/>
    </row>
    <row r="30446" spans="1:1" x14ac:dyDescent="0.3">
      <c r="A30446" s="20"/>
    </row>
    <row r="30447" spans="1:1" x14ac:dyDescent="0.3">
      <c r="A30447" s="20"/>
    </row>
    <row r="30448" spans="1:1" x14ac:dyDescent="0.3">
      <c r="A30448" s="20"/>
    </row>
    <row r="30449" spans="1:1" x14ac:dyDescent="0.3">
      <c r="A30449" s="20"/>
    </row>
    <row r="30450" spans="1:1" x14ac:dyDescent="0.3">
      <c r="A30450" s="20"/>
    </row>
    <row r="30451" spans="1:1" x14ac:dyDescent="0.3">
      <c r="A30451" s="20"/>
    </row>
    <row r="30452" spans="1:1" x14ac:dyDescent="0.3">
      <c r="A30452" s="20"/>
    </row>
    <row r="30453" spans="1:1" x14ac:dyDescent="0.3">
      <c r="A30453" s="20"/>
    </row>
    <row r="30454" spans="1:1" x14ac:dyDescent="0.3">
      <c r="A30454" s="20"/>
    </row>
    <row r="30455" spans="1:1" x14ac:dyDescent="0.3">
      <c r="A30455" s="20"/>
    </row>
    <row r="30456" spans="1:1" x14ac:dyDescent="0.3">
      <c r="A30456" s="20"/>
    </row>
    <row r="30457" spans="1:1" x14ac:dyDescent="0.3">
      <c r="A30457" s="20"/>
    </row>
    <row r="30458" spans="1:1" x14ac:dyDescent="0.3">
      <c r="A30458" s="20"/>
    </row>
    <row r="30459" spans="1:1" x14ac:dyDescent="0.3">
      <c r="A30459" s="20"/>
    </row>
    <row r="30460" spans="1:1" x14ac:dyDescent="0.3">
      <c r="A30460" s="20"/>
    </row>
    <row r="30461" spans="1:1" x14ac:dyDescent="0.3">
      <c r="A30461" s="20"/>
    </row>
    <row r="30462" spans="1:1" x14ac:dyDescent="0.3">
      <c r="A30462" s="20"/>
    </row>
    <row r="30463" spans="1:1" x14ac:dyDescent="0.3">
      <c r="A30463" s="20"/>
    </row>
    <row r="30464" spans="1:1" x14ac:dyDescent="0.3">
      <c r="A30464" s="20"/>
    </row>
    <row r="30465" spans="1:1" x14ac:dyDescent="0.3">
      <c r="A30465" s="20"/>
    </row>
    <row r="30466" spans="1:1" x14ac:dyDescent="0.3">
      <c r="A30466" s="20"/>
    </row>
    <row r="30467" spans="1:1" x14ac:dyDescent="0.3">
      <c r="A30467" s="20"/>
    </row>
    <row r="30468" spans="1:1" x14ac:dyDescent="0.3">
      <c r="A30468" s="20"/>
    </row>
    <row r="30469" spans="1:1" x14ac:dyDescent="0.3">
      <c r="A30469" s="20"/>
    </row>
    <row r="30470" spans="1:1" x14ac:dyDescent="0.3">
      <c r="A30470" s="20"/>
    </row>
    <row r="30471" spans="1:1" x14ac:dyDescent="0.3">
      <c r="A30471" s="20"/>
    </row>
    <row r="30472" spans="1:1" x14ac:dyDescent="0.3">
      <c r="A30472" s="20"/>
    </row>
    <row r="30473" spans="1:1" x14ac:dyDescent="0.3">
      <c r="A30473" s="20"/>
    </row>
    <row r="30474" spans="1:1" x14ac:dyDescent="0.3">
      <c r="A30474" s="20"/>
    </row>
    <row r="30475" spans="1:1" x14ac:dyDescent="0.3">
      <c r="A30475" s="20"/>
    </row>
    <row r="30476" spans="1:1" x14ac:dyDescent="0.3">
      <c r="A30476" s="20"/>
    </row>
    <row r="30477" spans="1:1" x14ac:dyDescent="0.3">
      <c r="A30477" s="20"/>
    </row>
    <row r="30478" spans="1:1" x14ac:dyDescent="0.3">
      <c r="A30478" s="20"/>
    </row>
    <row r="30479" spans="1:1" x14ac:dyDescent="0.3">
      <c r="A30479" s="20"/>
    </row>
    <row r="30480" spans="1:1" x14ac:dyDescent="0.3">
      <c r="A30480" s="20"/>
    </row>
    <row r="30481" spans="1:1" x14ac:dyDescent="0.3">
      <c r="A30481" s="20"/>
    </row>
    <row r="30482" spans="1:1" x14ac:dyDescent="0.3">
      <c r="A30482" s="20"/>
    </row>
    <row r="30483" spans="1:1" x14ac:dyDescent="0.3">
      <c r="A30483" s="20"/>
    </row>
    <row r="30484" spans="1:1" x14ac:dyDescent="0.3">
      <c r="A30484" s="20"/>
    </row>
    <row r="30485" spans="1:1" x14ac:dyDescent="0.3">
      <c r="A30485" s="20"/>
    </row>
    <row r="30486" spans="1:1" x14ac:dyDescent="0.3">
      <c r="A30486" s="20"/>
    </row>
    <row r="30487" spans="1:1" x14ac:dyDescent="0.3">
      <c r="A30487" s="20"/>
    </row>
    <row r="30488" spans="1:1" x14ac:dyDescent="0.3">
      <c r="A30488" s="20"/>
    </row>
    <row r="30489" spans="1:1" x14ac:dyDescent="0.3">
      <c r="A30489" s="20"/>
    </row>
    <row r="30490" spans="1:1" x14ac:dyDescent="0.3">
      <c r="A30490" s="20"/>
    </row>
    <row r="30491" spans="1:1" x14ac:dyDescent="0.3">
      <c r="A30491" s="20"/>
    </row>
    <row r="30492" spans="1:1" x14ac:dyDescent="0.3">
      <c r="A30492" s="20"/>
    </row>
    <row r="30493" spans="1:1" x14ac:dyDescent="0.3">
      <c r="A30493" s="20"/>
    </row>
    <row r="30494" spans="1:1" x14ac:dyDescent="0.3">
      <c r="A30494" s="20"/>
    </row>
    <row r="30495" spans="1:1" x14ac:dyDescent="0.3">
      <c r="A30495" s="20"/>
    </row>
    <row r="30496" spans="1:1" x14ac:dyDescent="0.3">
      <c r="A30496" s="20"/>
    </row>
    <row r="30497" spans="1:1" x14ac:dyDescent="0.3">
      <c r="A30497" s="20"/>
    </row>
    <row r="30498" spans="1:1" x14ac:dyDescent="0.3">
      <c r="A30498" s="20"/>
    </row>
    <row r="30499" spans="1:1" x14ac:dyDescent="0.3">
      <c r="A30499" s="20"/>
    </row>
    <row r="30500" spans="1:1" x14ac:dyDescent="0.3">
      <c r="A30500" s="20"/>
    </row>
    <row r="30501" spans="1:1" x14ac:dyDescent="0.3">
      <c r="A30501" s="20"/>
    </row>
    <row r="30502" spans="1:1" x14ac:dyDescent="0.3">
      <c r="A30502" s="20"/>
    </row>
    <row r="30503" spans="1:1" x14ac:dyDescent="0.3">
      <c r="A30503" s="20"/>
    </row>
    <row r="30504" spans="1:1" x14ac:dyDescent="0.3">
      <c r="A30504" s="20"/>
    </row>
    <row r="30505" spans="1:1" x14ac:dyDescent="0.3">
      <c r="A30505" s="20"/>
    </row>
    <row r="30506" spans="1:1" x14ac:dyDescent="0.3">
      <c r="A30506" s="20"/>
    </row>
    <row r="30507" spans="1:1" x14ac:dyDescent="0.3">
      <c r="A30507" s="20"/>
    </row>
    <row r="30508" spans="1:1" x14ac:dyDescent="0.3">
      <c r="A30508" s="20"/>
    </row>
    <row r="30509" spans="1:1" x14ac:dyDescent="0.3">
      <c r="A30509" s="20"/>
    </row>
    <row r="30510" spans="1:1" x14ac:dyDescent="0.3">
      <c r="A30510" s="20"/>
    </row>
    <row r="30511" spans="1:1" x14ac:dyDescent="0.3">
      <c r="A30511" s="20"/>
    </row>
    <row r="30512" spans="1:1" x14ac:dyDescent="0.3">
      <c r="A30512" s="20"/>
    </row>
    <row r="30513" spans="1:1" x14ac:dyDescent="0.3">
      <c r="A30513" s="20"/>
    </row>
    <row r="30514" spans="1:1" x14ac:dyDescent="0.3">
      <c r="A30514" s="20"/>
    </row>
    <row r="30515" spans="1:1" x14ac:dyDescent="0.3">
      <c r="A30515" s="20"/>
    </row>
    <row r="30516" spans="1:1" x14ac:dyDescent="0.3">
      <c r="A30516" s="20"/>
    </row>
    <row r="30517" spans="1:1" x14ac:dyDescent="0.3">
      <c r="A30517" s="20"/>
    </row>
    <row r="30518" spans="1:1" x14ac:dyDescent="0.3">
      <c r="A30518" s="20"/>
    </row>
    <row r="30519" spans="1:1" x14ac:dyDescent="0.3">
      <c r="A30519" s="20"/>
    </row>
    <row r="30520" spans="1:1" x14ac:dyDescent="0.3">
      <c r="A30520" s="20"/>
    </row>
    <row r="30521" spans="1:1" x14ac:dyDescent="0.3">
      <c r="A30521" s="20"/>
    </row>
    <row r="30522" spans="1:1" x14ac:dyDescent="0.3">
      <c r="A30522" s="20"/>
    </row>
    <row r="30523" spans="1:1" x14ac:dyDescent="0.3">
      <c r="A30523" s="20"/>
    </row>
    <row r="30524" spans="1:1" x14ac:dyDescent="0.3">
      <c r="A30524" s="20"/>
    </row>
    <row r="30525" spans="1:1" x14ac:dyDescent="0.3">
      <c r="A30525" s="20"/>
    </row>
    <row r="30526" spans="1:1" x14ac:dyDescent="0.3">
      <c r="A30526" s="20"/>
    </row>
    <row r="30527" spans="1:1" x14ac:dyDescent="0.3">
      <c r="A30527" s="20"/>
    </row>
    <row r="30528" spans="1:1" x14ac:dyDescent="0.3">
      <c r="A30528" s="20"/>
    </row>
    <row r="30529" spans="1:1" x14ac:dyDescent="0.3">
      <c r="A30529" s="20"/>
    </row>
    <row r="30530" spans="1:1" x14ac:dyDescent="0.3">
      <c r="A30530" s="20"/>
    </row>
    <row r="30531" spans="1:1" x14ac:dyDescent="0.3">
      <c r="A30531" s="20"/>
    </row>
    <row r="30532" spans="1:1" x14ac:dyDescent="0.3">
      <c r="A30532" s="20"/>
    </row>
    <row r="30533" spans="1:1" x14ac:dyDescent="0.3">
      <c r="A30533" s="20"/>
    </row>
    <row r="30534" spans="1:1" x14ac:dyDescent="0.3">
      <c r="A30534" s="20"/>
    </row>
    <row r="30535" spans="1:1" x14ac:dyDescent="0.3">
      <c r="A30535" s="20"/>
    </row>
    <row r="30536" spans="1:1" x14ac:dyDescent="0.3">
      <c r="A30536" s="20"/>
    </row>
    <row r="30537" spans="1:1" x14ac:dyDescent="0.3">
      <c r="A30537" s="20"/>
    </row>
    <row r="30538" spans="1:1" x14ac:dyDescent="0.3">
      <c r="A30538" s="20"/>
    </row>
    <row r="30539" spans="1:1" x14ac:dyDescent="0.3">
      <c r="A30539" s="20"/>
    </row>
    <row r="30540" spans="1:1" x14ac:dyDescent="0.3">
      <c r="A30540" s="20"/>
    </row>
    <row r="30541" spans="1:1" x14ac:dyDescent="0.3">
      <c r="A30541" s="20"/>
    </row>
    <row r="30542" spans="1:1" x14ac:dyDescent="0.3">
      <c r="A30542" s="20"/>
    </row>
    <row r="30543" spans="1:1" x14ac:dyDescent="0.3">
      <c r="A30543" s="20"/>
    </row>
    <row r="30544" spans="1:1" x14ac:dyDescent="0.3">
      <c r="A30544" s="20"/>
    </row>
    <row r="30545" spans="1:1" x14ac:dyDescent="0.3">
      <c r="A30545" s="20"/>
    </row>
    <row r="30546" spans="1:1" x14ac:dyDescent="0.3">
      <c r="A30546" s="20"/>
    </row>
    <row r="30547" spans="1:1" x14ac:dyDescent="0.3">
      <c r="A30547" s="20"/>
    </row>
    <row r="30548" spans="1:1" x14ac:dyDescent="0.3">
      <c r="A30548" s="20"/>
    </row>
    <row r="30549" spans="1:1" x14ac:dyDescent="0.3">
      <c r="A30549" s="20"/>
    </row>
    <row r="30550" spans="1:1" x14ac:dyDescent="0.3">
      <c r="A30550" s="20"/>
    </row>
    <row r="30551" spans="1:1" x14ac:dyDescent="0.3">
      <c r="A30551" s="20"/>
    </row>
    <row r="30552" spans="1:1" x14ac:dyDescent="0.3">
      <c r="A30552" s="20"/>
    </row>
    <row r="30553" spans="1:1" x14ac:dyDescent="0.3">
      <c r="A30553" s="20"/>
    </row>
    <row r="30554" spans="1:1" x14ac:dyDescent="0.3">
      <c r="A30554" s="20"/>
    </row>
    <row r="30555" spans="1:1" x14ac:dyDescent="0.3">
      <c r="A30555" s="20"/>
    </row>
    <row r="30556" spans="1:1" x14ac:dyDescent="0.3">
      <c r="A30556" s="20"/>
    </row>
    <row r="30557" spans="1:1" x14ac:dyDescent="0.3">
      <c r="A30557" s="20"/>
    </row>
    <row r="30558" spans="1:1" x14ac:dyDescent="0.3">
      <c r="A30558" s="20"/>
    </row>
    <row r="30559" spans="1:1" x14ac:dyDescent="0.3">
      <c r="A30559" s="20"/>
    </row>
    <row r="30560" spans="1:1" x14ac:dyDescent="0.3">
      <c r="A30560" s="20"/>
    </row>
    <row r="30561" spans="1:1" x14ac:dyDescent="0.3">
      <c r="A30561" s="20"/>
    </row>
    <row r="30562" spans="1:1" x14ac:dyDescent="0.3">
      <c r="A30562" s="20"/>
    </row>
    <row r="30563" spans="1:1" x14ac:dyDescent="0.3">
      <c r="A30563" s="20"/>
    </row>
    <row r="30564" spans="1:1" x14ac:dyDescent="0.3">
      <c r="A30564" s="20"/>
    </row>
    <row r="30565" spans="1:1" x14ac:dyDescent="0.3">
      <c r="A30565" s="20"/>
    </row>
    <row r="30566" spans="1:1" x14ac:dyDescent="0.3">
      <c r="A30566" s="20"/>
    </row>
    <row r="30567" spans="1:1" x14ac:dyDescent="0.3">
      <c r="A30567" s="20"/>
    </row>
    <row r="30568" spans="1:1" x14ac:dyDescent="0.3">
      <c r="A30568" s="20"/>
    </row>
    <row r="30569" spans="1:1" x14ac:dyDescent="0.3">
      <c r="A30569" s="20"/>
    </row>
    <row r="30570" spans="1:1" x14ac:dyDescent="0.3">
      <c r="A30570" s="20"/>
    </row>
    <row r="30571" spans="1:1" x14ac:dyDescent="0.3">
      <c r="A30571" s="20"/>
    </row>
    <row r="30572" spans="1:1" x14ac:dyDescent="0.3">
      <c r="A30572" s="20"/>
    </row>
    <row r="30573" spans="1:1" x14ac:dyDescent="0.3">
      <c r="A30573" s="20"/>
    </row>
    <row r="30574" spans="1:1" x14ac:dyDescent="0.3">
      <c r="A30574" s="20"/>
    </row>
    <row r="30575" spans="1:1" x14ac:dyDescent="0.3">
      <c r="A30575" s="20"/>
    </row>
    <row r="30576" spans="1:1" x14ac:dyDescent="0.3">
      <c r="A30576" s="20"/>
    </row>
    <row r="30577" spans="1:1" x14ac:dyDescent="0.3">
      <c r="A30577" s="20"/>
    </row>
    <row r="30578" spans="1:1" x14ac:dyDescent="0.3">
      <c r="A30578" s="20"/>
    </row>
    <row r="30579" spans="1:1" x14ac:dyDescent="0.3">
      <c r="A30579" s="20"/>
    </row>
    <row r="30580" spans="1:1" x14ac:dyDescent="0.3">
      <c r="A30580" s="20"/>
    </row>
    <row r="30581" spans="1:1" x14ac:dyDescent="0.3">
      <c r="A30581" s="20"/>
    </row>
    <row r="30582" spans="1:1" x14ac:dyDescent="0.3">
      <c r="A30582" s="20"/>
    </row>
    <row r="30583" spans="1:1" x14ac:dyDescent="0.3">
      <c r="A30583" s="20"/>
    </row>
    <row r="30584" spans="1:1" x14ac:dyDescent="0.3">
      <c r="A30584" s="20"/>
    </row>
    <row r="30585" spans="1:1" x14ac:dyDescent="0.3">
      <c r="A30585" s="20"/>
    </row>
    <row r="30586" spans="1:1" x14ac:dyDescent="0.3">
      <c r="A30586" s="20"/>
    </row>
    <row r="30587" spans="1:1" x14ac:dyDescent="0.3">
      <c r="A30587" s="20"/>
    </row>
    <row r="30588" spans="1:1" x14ac:dyDescent="0.3">
      <c r="A30588" s="20"/>
    </row>
    <row r="30589" spans="1:1" x14ac:dyDescent="0.3">
      <c r="A30589" s="20"/>
    </row>
    <row r="30590" spans="1:1" x14ac:dyDescent="0.3">
      <c r="A30590" s="20"/>
    </row>
    <row r="30591" spans="1:1" x14ac:dyDescent="0.3">
      <c r="A30591" s="20"/>
    </row>
    <row r="30592" spans="1:1" x14ac:dyDescent="0.3">
      <c r="A30592" s="20"/>
    </row>
    <row r="30593" spans="1:1" x14ac:dyDescent="0.3">
      <c r="A30593" s="20"/>
    </row>
    <row r="30594" spans="1:1" x14ac:dyDescent="0.3">
      <c r="A30594" s="20"/>
    </row>
    <row r="30595" spans="1:1" x14ac:dyDescent="0.3">
      <c r="A30595" s="20"/>
    </row>
    <row r="30596" spans="1:1" x14ac:dyDescent="0.3">
      <c r="A30596" s="20"/>
    </row>
    <row r="30597" spans="1:1" x14ac:dyDescent="0.3">
      <c r="A30597" s="20"/>
    </row>
    <row r="30598" spans="1:1" x14ac:dyDescent="0.3">
      <c r="A30598" s="20"/>
    </row>
    <row r="30599" spans="1:1" x14ac:dyDescent="0.3">
      <c r="A30599" s="20"/>
    </row>
    <row r="30600" spans="1:1" x14ac:dyDescent="0.3">
      <c r="A30600" s="20"/>
    </row>
    <row r="30601" spans="1:1" x14ac:dyDescent="0.3">
      <c r="A30601" s="20"/>
    </row>
    <row r="30602" spans="1:1" x14ac:dyDescent="0.3">
      <c r="A30602" s="20"/>
    </row>
    <row r="30603" spans="1:1" x14ac:dyDescent="0.3">
      <c r="A30603" s="20"/>
    </row>
    <row r="30604" spans="1:1" x14ac:dyDescent="0.3">
      <c r="A30604" s="20"/>
    </row>
    <row r="30605" spans="1:1" x14ac:dyDescent="0.3">
      <c r="A30605" s="20"/>
    </row>
    <row r="30606" spans="1:1" x14ac:dyDescent="0.3">
      <c r="A30606" s="20"/>
    </row>
    <row r="30607" spans="1:1" x14ac:dyDescent="0.3">
      <c r="A30607" s="20"/>
    </row>
    <row r="30608" spans="1:1" x14ac:dyDescent="0.3">
      <c r="A30608" s="20"/>
    </row>
    <row r="30609" spans="1:1" x14ac:dyDescent="0.3">
      <c r="A30609" s="20"/>
    </row>
    <row r="30610" spans="1:1" x14ac:dyDescent="0.3">
      <c r="A30610" s="20"/>
    </row>
    <row r="30611" spans="1:1" x14ac:dyDescent="0.3">
      <c r="A30611" s="20"/>
    </row>
    <row r="30612" spans="1:1" x14ac:dyDescent="0.3">
      <c r="A30612" s="20"/>
    </row>
    <row r="30613" spans="1:1" x14ac:dyDescent="0.3">
      <c r="A30613" s="20"/>
    </row>
    <row r="30614" spans="1:1" x14ac:dyDescent="0.3">
      <c r="A30614" s="20"/>
    </row>
    <row r="30615" spans="1:1" x14ac:dyDescent="0.3">
      <c r="A30615" s="20"/>
    </row>
    <row r="30616" spans="1:1" x14ac:dyDescent="0.3">
      <c r="A30616" s="20"/>
    </row>
    <row r="30617" spans="1:1" x14ac:dyDescent="0.3">
      <c r="A30617" s="20"/>
    </row>
    <row r="30618" spans="1:1" x14ac:dyDescent="0.3">
      <c r="A30618" s="20"/>
    </row>
    <row r="30619" spans="1:1" x14ac:dyDescent="0.3">
      <c r="A30619" s="20"/>
    </row>
    <row r="30620" spans="1:1" x14ac:dyDescent="0.3">
      <c r="A30620" s="20"/>
    </row>
    <row r="30621" spans="1:1" x14ac:dyDescent="0.3">
      <c r="A30621" s="20"/>
    </row>
    <row r="30622" spans="1:1" x14ac:dyDescent="0.3">
      <c r="A30622" s="20"/>
    </row>
    <row r="30623" spans="1:1" x14ac:dyDescent="0.3">
      <c r="A30623" s="20"/>
    </row>
    <row r="30624" spans="1:1" x14ac:dyDescent="0.3">
      <c r="A30624" s="20"/>
    </row>
    <row r="30625" spans="1:1" x14ac:dyDescent="0.3">
      <c r="A30625" s="20"/>
    </row>
    <row r="30626" spans="1:1" x14ac:dyDescent="0.3">
      <c r="A30626" s="20"/>
    </row>
    <row r="30627" spans="1:1" x14ac:dyDescent="0.3">
      <c r="A30627" s="20"/>
    </row>
    <row r="30628" spans="1:1" x14ac:dyDescent="0.3">
      <c r="A30628" s="20"/>
    </row>
    <row r="30629" spans="1:1" x14ac:dyDescent="0.3">
      <c r="A30629" s="20"/>
    </row>
    <row r="30630" spans="1:1" x14ac:dyDescent="0.3">
      <c r="A30630" s="20"/>
    </row>
    <row r="30631" spans="1:1" x14ac:dyDescent="0.3">
      <c r="A30631" s="20"/>
    </row>
    <row r="30632" spans="1:1" x14ac:dyDescent="0.3">
      <c r="A30632" s="20"/>
    </row>
    <row r="30633" spans="1:1" x14ac:dyDescent="0.3">
      <c r="A30633" s="20"/>
    </row>
    <row r="30634" spans="1:1" x14ac:dyDescent="0.3">
      <c r="A30634" s="20"/>
    </row>
    <row r="30635" spans="1:1" x14ac:dyDescent="0.3">
      <c r="A30635" s="20"/>
    </row>
    <row r="30636" spans="1:1" x14ac:dyDescent="0.3">
      <c r="A30636" s="20"/>
    </row>
    <row r="30637" spans="1:1" x14ac:dyDescent="0.3">
      <c r="A30637" s="20"/>
    </row>
    <row r="30638" spans="1:1" x14ac:dyDescent="0.3">
      <c r="A30638" s="20"/>
    </row>
    <row r="30639" spans="1:1" x14ac:dyDescent="0.3">
      <c r="A30639" s="20"/>
    </row>
    <row r="30640" spans="1:1" x14ac:dyDescent="0.3">
      <c r="A30640" s="20"/>
    </row>
    <row r="30641" spans="1:1" x14ac:dyDescent="0.3">
      <c r="A30641" s="20"/>
    </row>
    <row r="30642" spans="1:1" x14ac:dyDescent="0.3">
      <c r="A30642" s="20"/>
    </row>
    <row r="30643" spans="1:1" x14ac:dyDescent="0.3">
      <c r="A30643" s="20"/>
    </row>
    <row r="30644" spans="1:1" x14ac:dyDescent="0.3">
      <c r="A30644" s="20"/>
    </row>
    <row r="30645" spans="1:1" x14ac:dyDescent="0.3">
      <c r="A30645" s="20"/>
    </row>
    <row r="30646" spans="1:1" x14ac:dyDescent="0.3">
      <c r="A30646" s="20"/>
    </row>
    <row r="30647" spans="1:1" x14ac:dyDescent="0.3">
      <c r="A30647" s="20"/>
    </row>
    <row r="30648" spans="1:1" x14ac:dyDescent="0.3">
      <c r="A30648" s="20"/>
    </row>
    <row r="30649" spans="1:1" x14ac:dyDescent="0.3">
      <c r="A30649" s="20"/>
    </row>
    <row r="30650" spans="1:1" x14ac:dyDescent="0.3">
      <c r="A30650" s="20"/>
    </row>
    <row r="30651" spans="1:1" x14ac:dyDescent="0.3">
      <c r="A30651" s="20"/>
    </row>
    <row r="30652" spans="1:1" x14ac:dyDescent="0.3">
      <c r="A30652" s="20"/>
    </row>
    <row r="30653" spans="1:1" x14ac:dyDescent="0.3">
      <c r="A30653" s="20"/>
    </row>
    <row r="30654" spans="1:1" x14ac:dyDescent="0.3">
      <c r="A30654" s="20"/>
    </row>
    <row r="30655" spans="1:1" x14ac:dyDescent="0.3">
      <c r="A30655" s="20"/>
    </row>
    <row r="30656" spans="1:1" x14ac:dyDescent="0.3">
      <c r="A30656" s="20"/>
    </row>
    <row r="30657" spans="1:1" x14ac:dyDescent="0.3">
      <c r="A30657" s="20"/>
    </row>
    <row r="30658" spans="1:1" x14ac:dyDescent="0.3">
      <c r="A30658" s="20"/>
    </row>
    <row r="30659" spans="1:1" x14ac:dyDescent="0.3">
      <c r="A30659" s="20"/>
    </row>
    <row r="30660" spans="1:1" x14ac:dyDescent="0.3">
      <c r="A30660" s="20"/>
    </row>
    <row r="30661" spans="1:1" x14ac:dyDescent="0.3">
      <c r="A30661" s="20"/>
    </row>
    <row r="30662" spans="1:1" x14ac:dyDescent="0.3">
      <c r="A30662" s="20"/>
    </row>
    <row r="30663" spans="1:1" x14ac:dyDescent="0.3">
      <c r="A30663" s="20"/>
    </row>
    <row r="30664" spans="1:1" x14ac:dyDescent="0.3">
      <c r="A30664" s="20"/>
    </row>
    <row r="30665" spans="1:1" x14ac:dyDescent="0.3">
      <c r="A30665" s="20"/>
    </row>
    <row r="30666" spans="1:1" x14ac:dyDescent="0.3">
      <c r="A30666" s="20"/>
    </row>
    <row r="30667" spans="1:1" x14ac:dyDescent="0.3">
      <c r="A30667" s="20"/>
    </row>
    <row r="30668" spans="1:1" x14ac:dyDescent="0.3">
      <c r="A30668" s="20"/>
    </row>
    <row r="30669" spans="1:1" x14ac:dyDescent="0.3">
      <c r="A30669" s="20"/>
    </row>
    <row r="30670" spans="1:1" x14ac:dyDescent="0.3">
      <c r="A30670" s="20"/>
    </row>
    <row r="30671" spans="1:1" x14ac:dyDescent="0.3">
      <c r="A30671" s="20"/>
    </row>
    <row r="30672" spans="1:1" x14ac:dyDescent="0.3">
      <c r="A30672" s="20"/>
    </row>
    <row r="30673" spans="1:1" x14ac:dyDescent="0.3">
      <c r="A30673" s="20"/>
    </row>
    <row r="30674" spans="1:1" x14ac:dyDescent="0.3">
      <c r="A30674" s="20"/>
    </row>
    <row r="30675" spans="1:1" x14ac:dyDescent="0.3">
      <c r="A30675" s="20"/>
    </row>
    <row r="30676" spans="1:1" x14ac:dyDescent="0.3">
      <c r="A30676" s="20"/>
    </row>
    <row r="30677" spans="1:1" x14ac:dyDescent="0.3">
      <c r="A30677" s="20"/>
    </row>
    <row r="30678" spans="1:1" x14ac:dyDescent="0.3">
      <c r="A30678" s="20"/>
    </row>
    <row r="30679" spans="1:1" x14ac:dyDescent="0.3">
      <c r="A30679" s="20"/>
    </row>
    <row r="30680" spans="1:1" x14ac:dyDescent="0.3">
      <c r="A30680" s="20"/>
    </row>
    <row r="30681" spans="1:1" x14ac:dyDescent="0.3">
      <c r="A30681" s="20"/>
    </row>
    <row r="30682" spans="1:1" x14ac:dyDescent="0.3">
      <c r="A30682" s="20"/>
    </row>
    <row r="30683" spans="1:1" x14ac:dyDescent="0.3">
      <c r="A30683" s="20"/>
    </row>
    <row r="30684" spans="1:1" x14ac:dyDescent="0.3">
      <c r="A30684" s="20"/>
    </row>
    <row r="30685" spans="1:1" x14ac:dyDescent="0.3">
      <c r="A30685" s="20"/>
    </row>
    <row r="30686" spans="1:1" x14ac:dyDescent="0.3">
      <c r="A30686" s="20"/>
    </row>
    <row r="30687" spans="1:1" x14ac:dyDescent="0.3">
      <c r="A30687" s="20"/>
    </row>
    <row r="30688" spans="1:1" x14ac:dyDescent="0.3">
      <c r="A30688" s="20"/>
    </row>
    <row r="30689" spans="1:1" x14ac:dyDescent="0.3">
      <c r="A30689" s="20"/>
    </row>
    <row r="30690" spans="1:1" x14ac:dyDescent="0.3">
      <c r="A30690" s="20"/>
    </row>
    <row r="30691" spans="1:1" x14ac:dyDescent="0.3">
      <c r="A30691" s="20"/>
    </row>
    <row r="30692" spans="1:1" x14ac:dyDescent="0.3">
      <c r="A30692" s="20"/>
    </row>
    <row r="30693" spans="1:1" x14ac:dyDescent="0.3">
      <c r="A30693" s="20"/>
    </row>
    <row r="30694" spans="1:1" x14ac:dyDescent="0.3">
      <c r="A30694" s="20"/>
    </row>
    <row r="30695" spans="1:1" x14ac:dyDescent="0.3">
      <c r="A30695" s="20"/>
    </row>
    <row r="30696" spans="1:1" x14ac:dyDescent="0.3">
      <c r="A30696" s="20"/>
    </row>
    <row r="30697" spans="1:1" x14ac:dyDescent="0.3">
      <c r="A30697" s="20"/>
    </row>
    <row r="30698" spans="1:1" x14ac:dyDescent="0.3">
      <c r="A30698" s="20"/>
    </row>
    <row r="30699" spans="1:1" x14ac:dyDescent="0.3">
      <c r="A30699" s="20"/>
    </row>
    <row r="30700" spans="1:1" x14ac:dyDescent="0.3">
      <c r="A30700" s="20"/>
    </row>
    <row r="30701" spans="1:1" x14ac:dyDescent="0.3">
      <c r="A30701" s="20"/>
    </row>
    <row r="30702" spans="1:1" x14ac:dyDescent="0.3">
      <c r="A30702" s="20"/>
    </row>
    <row r="30703" spans="1:1" x14ac:dyDescent="0.3">
      <c r="A30703" s="20"/>
    </row>
    <row r="30704" spans="1:1" x14ac:dyDescent="0.3">
      <c r="A30704" s="20"/>
    </row>
    <row r="30705" spans="1:1" x14ac:dyDescent="0.3">
      <c r="A30705" s="20"/>
    </row>
    <row r="30706" spans="1:1" x14ac:dyDescent="0.3">
      <c r="A30706" s="20"/>
    </row>
    <row r="30707" spans="1:1" x14ac:dyDescent="0.3">
      <c r="A30707" s="20"/>
    </row>
    <row r="30708" spans="1:1" x14ac:dyDescent="0.3">
      <c r="A30708" s="20"/>
    </row>
    <row r="30709" spans="1:1" x14ac:dyDescent="0.3">
      <c r="A30709" s="20"/>
    </row>
    <row r="30710" spans="1:1" x14ac:dyDescent="0.3">
      <c r="A30710" s="20"/>
    </row>
    <row r="30711" spans="1:1" x14ac:dyDescent="0.3">
      <c r="A30711" s="20"/>
    </row>
    <row r="30712" spans="1:1" x14ac:dyDescent="0.3">
      <c r="A30712" s="20"/>
    </row>
    <row r="30713" spans="1:1" x14ac:dyDescent="0.3">
      <c r="A30713" s="20"/>
    </row>
    <row r="30714" spans="1:1" x14ac:dyDescent="0.3">
      <c r="A30714" s="20"/>
    </row>
    <row r="30715" spans="1:1" x14ac:dyDescent="0.3">
      <c r="A30715" s="20"/>
    </row>
    <row r="30716" spans="1:1" x14ac:dyDescent="0.3">
      <c r="A30716" s="20"/>
    </row>
    <row r="30717" spans="1:1" x14ac:dyDescent="0.3">
      <c r="A30717" s="20"/>
    </row>
    <row r="30718" spans="1:1" x14ac:dyDescent="0.3">
      <c r="A30718" s="20"/>
    </row>
    <row r="30719" spans="1:1" x14ac:dyDescent="0.3">
      <c r="A30719" s="20"/>
    </row>
    <row r="30720" spans="1:1" x14ac:dyDescent="0.3">
      <c r="A30720" s="20"/>
    </row>
    <row r="30721" spans="1:1" x14ac:dyDescent="0.3">
      <c r="A30721" s="20"/>
    </row>
    <row r="30722" spans="1:1" x14ac:dyDescent="0.3">
      <c r="A30722" s="20"/>
    </row>
    <row r="30723" spans="1:1" x14ac:dyDescent="0.3">
      <c r="A30723" s="20"/>
    </row>
    <row r="30724" spans="1:1" x14ac:dyDescent="0.3">
      <c r="A30724" s="20"/>
    </row>
    <row r="30725" spans="1:1" x14ac:dyDescent="0.3">
      <c r="A30725" s="20"/>
    </row>
    <row r="30726" spans="1:1" x14ac:dyDescent="0.3">
      <c r="A30726" s="20"/>
    </row>
    <row r="30727" spans="1:1" x14ac:dyDescent="0.3">
      <c r="A30727" s="20"/>
    </row>
    <row r="30728" spans="1:1" x14ac:dyDescent="0.3">
      <c r="A30728" s="20"/>
    </row>
    <row r="30729" spans="1:1" x14ac:dyDescent="0.3">
      <c r="A30729" s="20"/>
    </row>
    <row r="30730" spans="1:1" x14ac:dyDescent="0.3">
      <c r="A30730" s="20"/>
    </row>
    <row r="30731" spans="1:1" x14ac:dyDescent="0.3">
      <c r="A30731" s="20"/>
    </row>
    <row r="30732" spans="1:1" x14ac:dyDescent="0.3">
      <c r="A30732" s="20"/>
    </row>
    <row r="30733" spans="1:1" x14ac:dyDescent="0.3">
      <c r="A30733" s="20"/>
    </row>
    <row r="30734" spans="1:1" x14ac:dyDescent="0.3">
      <c r="A30734" s="20"/>
    </row>
    <row r="30735" spans="1:1" x14ac:dyDescent="0.3">
      <c r="A30735" s="20"/>
    </row>
    <row r="30736" spans="1:1" x14ac:dyDescent="0.3">
      <c r="A30736" s="20"/>
    </row>
    <row r="30737" spans="1:1" x14ac:dyDescent="0.3">
      <c r="A30737" s="20"/>
    </row>
    <row r="30738" spans="1:1" x14ac:dyDescent="0.3">
      <c r="A30738" s="20"/>
    </row>
    <row r="30739" spans="1:1" x14ac:dyDescent="0.3">
      <c r="A30739" s="20"/>
    </row>
    <row r="30740" spans="1:1" x14ac:dyDescent="0.3">
      <c r="A30740" s="20"/>
    </row>
    <row r="30741" spans="1:1" x14ac:dyDescent="0.3">
      <c r="A30741" s="20"/>
    </row>
    <row r="30742" spans="1:1" x14ac:dyDescent="0.3">
      <c r="A30742" s="20"/>
    </row>
    <row r="30743" spans="1:1" x14ac:dyDescent="0.3">
      <c r="A30743" s="20"/>
    </row>
    <row r="30744" spans="1:1" x14ac:dyDescent="0.3">
      <c r="A30744" s="20"/>
    </row>
    <row r="30745" spans="1:1" x14ac:dyDescent="0.3">
      <c r="A30745" s="20"/>
    </row>
    <row r="30746" spans="1:1" x14ac:dyDescent="0.3">
      <c r="A30746" s="20"/>
    </row>
    <row r="30747" spans="1:1" x14ac:dyDescent="0.3">
      <c r="A30747" s="20"/>
    </row>
    <row r="30748" spans="1:1" x14ac:dyDescent="0.3">
      <c r="A30748" s="20"/>
    </row>
    <row r="30749" spans="1:1" x14ac:dyDescent="0.3">
      <c r="A30749" s="20"/>
    </row>
    <row r="30750" spans="1:1" x14ac:dyDescent="0.3">
      <c r="A30750" s="20"/>
    </row>
    <row r="30751" spans="1:1" x14ac:dyDescent="0.3">
      <c r="A30751" s="20"/>
    </row>
    <row r="30752" spans="1:1" x14ac:dyDescent="0.3">
      <c r="A30752" s="20"/>
    </row>
    <row r="30753" spans="1:1" x14ac:dyDescent="0.3">
      <c r="A30753" s="20"/>
    </row>
    <row r="30754" spans="1:1" x14ac:dyDescent="0.3">
      <c r="A30754" s="20"/>
    </row>
    <row r="30755" spans="1:1" x14ac:dyDescent="0.3">
      <c r="A30755" s="20"/>
    </row>
    <row r="30756" spans="1:1" x14ac:dyDescent="0.3">
      <c r="A30756" s="20"/>
    </row>
    <row r="30757" spans="1:1" x14ac:dyDescent="0.3">
      <c r="A30757" s="20"/>
    </row>
    <row r="30758" spans="1:1" x14ac:dyDescent="0.3">
      <c r="A30758" s="20"/>
    </row>
    <row r="30759" spans="1:1" x14ac:dyDescent="0.3">
      <c r="A30759" s="20"/>
    </row>
    <row r="30760" spans="1:1" x14ac:dyDescent="0.3">
      <c r="A30760" s="20"/>
    </row>
    <row r="30761" spans="1:1" x14ac:dyDescent="0.3">
      <c r="A30761" s="20"/>
    </row>
    <row r="30762" spans="1:1" x14ac:dyDescent="0.3">
      <c r="A30762" s="20"/>
    </row>
    <row r="30763" spans="1:1" x14ac:dyDescent="0.3">
      <c r="A30763" s="20"/>
    </row>
    <row r="30764" spans="1:1" x14ac:dyDescent="0.3">
      <c r="A30764" s="20"/>
    </row>
    <row r="30765" spans="1:1" x14ac:dyDescent="0.3">
      <c r="A30765" s="20"/>
    </row>
    <row r="30766" spans="1:1" x14ac:dyDescent="0.3">
      <c r="A30766" s="20"/>
    </row>
    <row r="30767" spans="1:1" x14ac:dyDescent="0.3">
      <c r="A30767" s="20"/>
    </row>
    <row r="30768" spans="1:1" x14ac:dyDescent="0.3">
      <c r="A30768" s="20"/>
    </row>
    <row r="30769" spans="1:1" x14ac:dyDescent="0.3">
      <c r="A30769" s="20"/>
    </row>
    <row r="30770" spans="1:1" x14ac:dyDescent="0.3">
      <c r="A30770" s="20"/>
    </row>
    <row r="30771" spans="1:1" x14ac:dyDescent="0.3">
      <c r="A30771" s="20"/>
    </row>
    <row r="30772" spans="1:1" x14ac:dyDescent="0.3">
      <c r="A30772" s="20"/>
    </row>
    <row r="30773" spans="1:1" x14ac:dyDescent="0.3">
      <c r="A30773" s="20"/>
    </row>
    <row r="30774" spans="1:1" x14ac:dyDescent="0.3">
      <c r="A30774" s="20"/>
    </row>
    <row r="30775" spans="1:1" x14ac:dyDescent="0.3">
      <c r="A30775" s="20"/>
    </row>
    <row r="30776" spans="1:1" x14ac:dyDescent="0.3">
      <c r="A30776" s="20"/>
    </row>
    <row r="30777" spans="1:1" x14ac:dyDescent="0.3">
      <c r="A30777" s="20"/>
    </row>
    <row r="30778" spans="1:1" x14ac:dyDescent="0.3">
      <c r="A30778" s="20"/>
    </row>
    <row r="30779" spans="1:1" x14ac:dyDescent="0.3">
      <c r="A30779" s="20"/>
    </row>
    <row r="30780" spans="1:1" x14ac:dyDescent="0.3">
      <c r="A30780" s="20"/>
    </row>
    <row r="30781" spans="1:1" x14ac:dyDescent="0.3">
      <c r="A30781" s="20"/>
    </row>
    <row r="30782" spans="1:1" x14ac:dyDescent="0.3">
      <c r="A30782" s="20"/>
    </row>
    <row r="30783" spans="1:1" x14ac:dyDescent="0.3">
      <c r="A30783" s="20"/>
    </row>
    <row r="30784" spans="1:1" x14ac:dyDescent="0.3">
      <c r="A30784" s="20"/>
    </row>
    <row r="30785" spans="1:1" x14ac:dyDescent="0.3">
      <c r="A30785" s="20"/>
    </row>
    <row r="30786" spans="1:1" x14ac:dyDescent="0.3">
      <c r="A30786" s="20"/>
    </row>
    <row r="30787" spans="1:1" x14ac:dyDescent="0.3">
      <c r="A30787" s="20"/>
    </row>
    <row r="30788" spans="1:1" x14ac:dyDescent="0.3">
      <c r="A30788" s="20"/>
    </row>
    <row r="30789" spans="1:1" x14ac:dyDescent="0.3">
      <c r="A30789" s="20"/>
    </row>
    <row r="30790" spans="1:1" x14ac:dyDescent="0.3">
      <c r="A30790" s="20"/>
    </row>
    <row r="30791" spans="1:1" x14ac:dyDescent="0.3">
      <c r="A30791" s="20"/>
    </row>
    <row r="30792" spans="1:1" x14ac:dyDescent="0.3">
      <c r="A30792" s="20"/>
    </row>
    <row r="30793" spans="1:1" x14ac:dyDescent="0.3">
      <c r="A30793" s="20"/>
    </row>
    <row r="30794" spans="1:1" x14ac:dyDescent="0.3">
      <c r="A30794" s="20"/>
    </row>
    <row r="30795" spans="1:1" x14ac:dyDescent="0.3">
      <c r="A30795" s="20"/>
    </row>
    <row r="30796" spans="1:1" x14ac:dyDescent="0.3">
      <c r="A30796" s="20"/>
    </row>
    <row r="30797" spans="1:1" x14ac:dyDescent="0.3">
      <c r="A30797" s="20"/>
    </row>
    <row r="30798" spans="1:1" x14ac:dyDescent="0.3">
      <c r="A30798" s="20"/>
    </row>
    <row r="30799" spans="1:1" x14ac:dyDescent="0.3">
      <c r="A30799" s="20"/>
    </row>
    <row r="30800" spans="1:1" x14ac:dyDescent="0.3">
      <c r="A30800" s="20"/>
    </row>
    <row r="30801" spans="1:1" x14ac:dyDescent="0.3">
      <c r="A30801" s="20"/>
    </row>
    <row r="30802" spans="1:1" x14ac:dyDescent="0.3">
      <c r="A30802" s="20"/>
    </row>
    <row r="30803" spans="1:1" x14ac:dyDescent="0.3">
      <c r="A30803" s="20"/>
    </row>
    <row r="30804" spans="1:1" x14ac:dyDescent="0.3">
      <c r="A30804" s="20"/>
    </row>
    <row r="30805" spans="1:1" x14ac:dyDescent="0.3">
      <c r="A30805" s="20"/>
    </row>
    <row r="30806" spans="1:1" x14ac:dyDescent="0.3">
      <c r="A30806" s="20"/>
    </row>
    <row r="30807" spans="1:1" x14ac:dyDescent="0.3">
      <c r="A30807" s="20"/>
    </row>
    <row r="30808" spans="1:1" x14ac:dyDescent="0.3">
      <c r="A30808" s="20"/>
    </row>
    <row r="30809" spans="1:1" x14ac:dyDescent="0.3">
      <c r="A30809" s="20"/>
    </row>
    <row r="30810" spans="1:1" x14ac:dyDescent="0.3">
      <c r="A30810" s="20"/>
    </row>
    <row r="30811" spans="1:1" x14ac:dyDescent="0.3">
      <c r="A30811" s="20"/>
    </row>
    <row r="30812" spans="1:1" x14ac:dyDescent="0.3">
      <c r="A30812" s="20"/>
    </row>
    <row r="30813" spans="1:1" x14ac:dyDescent="0.3">
      <c r="A30813" s="20"/>
    </row>
    <row r="30814" spans="1:1" x14ac:dyDescent="0.3">
      <c r="A30814" s="20"/>
    </row>
    <row r="30815" spans="1:1" x14ac:dyDescent="0.3">
      <c r="A30815" s="20"/>
    </row>
    <row r="30816" spans="1:1" x14ac:dyDescent="0.3">
      <c r="A30816" s="20"/>
    </row>
    <row r="30817" spans="1:1" x14ac:dyDescent="0.3">
      <c r="A30817" s="20"/>
    </row>
    <row r="30818" spans="1:1" x14ac:dyDescent="0.3">
      <c r="A30818" s="20"/>
    </row>
    <row r="30819" spans="1:1" x14ac:dyDescent="0.3">
      <c r="A30819" s="20"/>
    </row>
    <row r="30820" spans="1:1" x14ac:dyDescent="0.3">
      <c r="A30820" s="20"/>
    </row>
    <row r="30821" spans="1:1" x14ac:dyDescent="0.3">
      <c r="A30821" s="20"/>
    </row>
    <row r="30822" spans="1:1" x14ac:dyDescent="0.3">
      <c r="A30822" s="20"/>
    </row>
    <row r="30823" spans="1:1" x14ac:dyDescent="0.3">
      <c r="A30823" s="20"/>
    </row>
    <row r="30824" spans="1:1" x14ac:dyDescent="0.3">
      <c r="A30824" s="20"/>
    </row>
    <row r="30825" spans="1:1" x14ac:dyDescent="0.3">
      <c r="A30825" s="20"/>
    </row>
    <row r="30826" spans="1:1" x14ac:dyDescent="0.3">
      <c r="A30826" s="20"/>
    </row>
    <row r="30827" spans="1:1" x14ac:dyDescent="0.3">
      <c r="A30827" s="20"/>
    </row>
    <row r="30828" spans="1:1" x14ac:dyDescent="0.3">
      <c r="A30828" s="20"/>
    </row>
    <row r="30829" spans="1:1" x14ac:dyDescent="0.3">
      <c r="A30829" s="20"/>
    </row>
    <row r="30830" spans="1:1" x14ac:dyDescent="0.3">
      <c r="A30830" s="20"/>
    </row>
    <row r="30831" spans="1:1" x14ac:dyDescent="0.3">
      <c r="A30831" s="20"/>
    </row>
    <row r="30832" spans="1:1" x14ac:dyDescent="0.3">
      <c r="A30832" s="20"/>
    </row>
    <row r="30833" spans="1:1" x14ac:dyDescent="0.3">
      <c r="A30833" s="20"/>
    </row>
    <row r="30834" spans="1:1" x14ac:dyDescent="0.3">
      <c r="A30834" s="20"/>
    </row>
    <row r="30835" spans="1:1" x14ac:dyDescent="0.3">
      <c r="A30835" s="20"/>
    </row>
    <row r="30836" spans="1:1" x14ac:dyDescent="0.3">
      <c r="A30836" s="20"/>
    </row>
    <row r="30837" spans="1:1" x14ac:dyDescent="0.3">
      <c r="A30837" s="20"/>
    </row>
    <row r="30838" spans="1:1" x14ac:dyDescent="0.3">
      <c r="A30838" s="20"/>
    </row>
    <row r="30839" spans="1:1" x14ac:dyDescent="0.3">
      <c r="A30839" s="20"/>
    </row>
    <row r="30840" spans="1:1" x14ac:dyDescent="0.3">
      <c r="A30840" s="20"/>
    </row>
    <row r="30841" spans="1:1" x14ac:dyDescent="0.3">
      <c r="A30841" s="20"/>
    </row>
    <row r="30842" spans="1:1" x14ac:dyDescent="0.3">
      <c r="A30842" s="20"/>
    </row>
    <row r="30843" spans="1:1" x14ac:dyDescent="0.3">
      <c r="A30843" s="20"/>
    </row>
    <row r="30844" spans="1:1" x14ac:dyDescent="0.3">
      <c r="A30844" s="20"/>
    </row>
    <row r="30845" spans="1:1" x14ac:dyDescent="0.3">
      <c r="A30845" s="20"/>
    </row>
    <row r="30846" spans="1:1" x14ac:dyDescent="0.3">
      <c r="A30846" s="20"/>
    </row>
    <row r="30847" spans="1:1" x14ac:dyDescent="0.3">
      <c r="A30847" s="20"/>
    </row>
    <row r="30848" spans="1:1" x14ac:dyDescent="0.3">
      <c r="A30848" s="20"/>
    </row>
    <row r="30849" spans="1:1" x14ac:dyDescent="0.3">
      <c r="A30849" s="20"/>
    </row>
    <row r="30850" spans="1:1" x14ac:dyDescent="0.3">
      <c r="A30850" s="20"/>
    </row>
    <row r="30851" spans="1:1" x14ac:dyDescent="0.3">
      <c r="A30851" s="20"/>
    </row>
    <row r="30852" spans="1:1" x14ac:dyDescent="0.3">
      <c r="A30852" s="20"/>
    </row>
    <row r="30853" spans="1:1" x14ac:dyDescent="0.3">
      <c r="A30853" s="20"/>
    </row>
    <row r="30854" spans="1:1" x14ac:dyDescent="0.3">
      <c r="A30854" s="20"/>
    </row>
    <row r="30855" spans="1:1" x14ac:dyDescent="0.3">
      <c r="A30855" s="20"/>
    </row>
    <row r="30856" spans="1:1" x14ac:dyDescent="0.3">
      <c r="A30856" s="20"/>
    </row>
    <row r="30857" spans="1:1" x14ac:dyDescent="0.3">
      <c r="A30857" s="20"/>
    </row>
    <row r="30858" spans="1:1" x14ac:dyDescent="0.3">
      <c r="A30858" s="20"/>
    </row>
    <row r="30859" spans="1:1" x14ac:dyDescent="0.3">
      <c r="A30859" s="20"/>
    </row>
    <row r="30860" spans="1:1" x14ac:dyDescent="0.3">
      <c r="A30860" s="20"/>
    </row>
    <row r="30861" spans="1:1" x14ac:dyDescent="0.3">
      <c r="A30861" s="20"/>
    </row>
    <row r="30862" spans="1:1" x14ac:dyDescent="0.3">
      <c r="A30862" s="20"/>
    </row>
    <row r="30863" spans="1:1" x14ac:dyDescent="0.3">
      <c r="A30863" s="20"/>
    </row>
    <row r="30864" spans="1:1" x14ac:dyDescent="0.3">
      <c r="A30864" s="20"/>
    </row>
    <row r="30865" spans="1:1" x14ac:dyDescent="0.3">
      <c r="A30865" s="20"/>
    </row>
    <row r="30866" spans="1:1" x14ac:dyDescent="0.3">
      <c r="A30866" s="20"/>
    </row>
    <row r="30867" spans="1:1" x14ac:dyDescent="0.3">
      <c r="A30867" s="20"/>
    </row>
    <row r="30868" spans="1:1" x14ac:dyDescent="0.3">
      <c r="A30868" s="20"/>
    </row>
    <row r="30869" spans="1:1" x14ac:dyDescent="0.3">
      <c r="A30869" s="20"/>
    </row>
    <row r="30870" spans="1:1" x14ac:dyDescent="0.3">
      <c r="A30870" s="20"/>
    </row>
    <row r="30871" spans="1:1" x14ac:dyDescent="0.3">
      <c r="A30871" s="20"/>
    </row>
    <row r="30872" spans="1:1" x14ac:dyDescent="0.3">
      <c r="A30872" s="20"/>
    </row>
    <row r="30873" spans="1:1" x14ac:dyDescent="0.3">
      <c r="A30873" s="20"/>
    </row>
    <row r="30874" spans="1:1" x14ac:dyDescent="0.3">
      <c r="A30874" s="20"/>
    </row>
    <row r="30875" spans="1:1" x14ac:dyDescent="0.3">
      <c r="A30875" s="20"/>
    </row>
    <row r="30876" spans="1:1" x14ac:dyDescent="0.3">
      <c r="A30876" s="20"/>
    </row>
    <row r="30877" spans="1:1" x14ac:dyDescent="0.3">
      <c r="A30877" s="20"/>
    </row>
    <row r="30878" spans="1:1" x14ac:dyDescent="0.3">
      <c r="A30878" s="20"/>
    </row>
    <row r="30879" spans="1:1" x14ac:dyDescent="0.3">
      <c r="A30879" s="20"/>
    </row>
    <row r="30880" spans="1:1" x14ac:dyDescent="0.3">
      <c r="A30880" s="20"/>
    </row>
    <row r="30881" spans="1:1" x14ac:dyDescent="0.3">
      <c r="A30881" s="20"/>
    </row>
    <row r="30882" spans="1:1" x14ac:dyDescent="0.3">
      <c r="A30882" s="20"/>
    </row>
    <row r="30883" spans="1:1" x14ac:dyDescent="0.3">
      <c r="A30883" s="20"/>
    </row>
    <row r="30884" spans="1:1" x14ac:dyDescent="0.3">
      <c r="A30884" s="20"/>
    </row>
    <row r="30885" spans="1:1" x14ac:dyDescent="0.3">
      <c r="A30885" s="20"/>
    </row>
    <row r="30886" spans="1:1" x14ac:dyDescent="0.3">
      <c r="A30886" s="20"/>
    </row>
    <row r="30887" spans="1:1" x14ac:dyDescent="0.3">
      <c r="A30887" s="20"/>
    </row>
    <row r="30888" spans="1:1" x14ac:dyDescent="0.3">
      <c r="A30888" s="20"/>
    </row>
    <row r="30889" spans="1:1" x14ac:dyDescent="0.3">
      <c r="A30889" s="20"/>
    </row>
    <row r="30890" spans="1:1" x14ac:dyDescent="0.3">
      <c r="A30890" s="20"/>
    </row>
    <row r="30891" spans="1:1" x14ac:dyDescent="0.3">
      <c r="A30891" s="20"/>
    </row>
    <row r="30892" spans="1:1" x14ac:dyDescent="0.3">
      <c r="A30892" s="20"/>
    </row>
    <row r="30893" spans="1:1" x14ac:dyDescent="0.3">
      <c r="A30893" s="20"/>
    </row>
    <row r="30894" spans="1:1" x14ac:dyDescent="0.3">
      <c r="A30894" s="20"/>
    </row>
    <row r="30895" spans="1:1" x14ac:dyDescent="0.3">
      <c r="A30895" s="20"/>
    </row>
    <row r="30896" spans="1:1" x14ac:dyDescent="0.3">
      <c r="A30896" s="20"/>
    </row>
    <row r="30897" spans="1:1" x14ac:dyDescent="0.3">
      <c r="A30897" s="20"/>
    </row>
    <row r="30898" spans="1:1" x14ac:dyDescent="0.3">
      <c r="A30898" s="20"/>
    </row>
    <row r="30899" spans="1:1" x14ac:dyDescent="0.3">
      <c r="A30899" s="20"/>
    </row>
    <row r="30900" spans="1:1" x14ac:dyDescent="0.3">
      <c r="A30900" s="20"/>
    </row>
    <row r="30901" spans="1:1" x14ac:dyDescent="0.3">
      <c r="A30901" s="20"/>
    </row>
    <row r="30902" spans="1:1" x14ac:dyDescent="0.3">
      <c r="A30902" s="20"/>
    </row>
    <row r="30903" spans="1:1" x14ac:dyDescent="0.3">
      <c r="A30903" s="20"/>
    </row>
    <row r="30904" spans="1:1" x14ac:dyDescent="0.3">
      <c r="A30904" s="20"/>
    </row>
    <row r="30905" spans="1:1" x14ac:dyDescent="0.3">
      <c r="A30905" s="20"/>
    </row>
    <row r="30906" spans="1:1" x14ac:dyDescent="0.3">
      <c r="A30906" s="20"/>
    </row>
    <row r="30907" spans="1:1" x14ac:dyDescent="0.3">
      <c r="A30907" s="20"/>
    </row>
    <row r="30908" spans="1:1" x14ac:dyDescent="0.3">
      <c r="A30908" s="20"/>
    </row>
    <row r="30909" spans="1:1" x14ac:dyDescent="0.3">
      <c r="A30909" s="20"/>
    </row>
    <row r="30910" spans="1:1" x14ac:dyDescent="0.3">
      <c r="A30910" s="20"/>
    </row>
    <row r="30911" spans="1:1" x14ac:dyDescent="0.3">
      <c r="A30911" s="20"/>
    </row>
    <row r="30912" spans="1:1" x14ac:dyDescent="0.3">
      <c r="A30912" s="20"/>
    </row>
    <row r="30913" spans="1:1" x14ac:dyDescent="0.3">
      <c r="A30913" s="20"/>
    </row>
    <row r="30914" spans="1:1" x14ac:dyDescent="0.3">
      <c r="A30914" s="20"/>
    </row>
    <row r="30915" spans="1:1" x14ac:dyDescent="0.3">
      <c r="A30915" s="20"/>
    </row>
    <row r="30916" spans="1:1" x14ac:dyDescent="0.3">
      <c r="A30916" s="20"/>
    </row>
    <row r="30917" spans="1:1" x14ac:dyDescent="0.3">
      <c r="A30917" s="20"/>
    </row>
    <row r="30918" spans="1:1" x14ac:dyDescent="0.3">
      <c r="A30918" s="20"/>
    </row>
    <row r="30919" spans="1:1" x14ac:dyDescent="0.3">
      <c r="A30919" s="20"/>
    </row>
    <row r="30920" spans="1:1" x14ac:dyDescent="0.3">
      <c r="A30920" s="20"/>
    </row>
    <row r="30921" spans="1:1" x14ac:dyDescent="0.3">
      <c r="A30921" s="20"/>
    </row>
    <row r="30922" spans="1:1" x14ac:dyDescent="0.3">
      <c r="A30922" s="20"/>
    </row>
    <row r="30923" spans="1:1" x14ac:dyDescent="0.3">
      <c r="A30923" s="20"/>
    </row>
    <row r="30924" spans="1:1" x14ac:dyDescent="0.3">
      <c r="A30924" s="20"/>
    </row>
    <row r="30925" spans="1:1" x14ac:dyDescent="0.3">
      <c r="A30925" s="20"/>
    </row>
    <row r="30926" spans="1:1" x14ac:dyDescent="0.3">
      <c r="A30926" s="20"/>
    </row>
    <row r="30927" spans="1:1" x14ac:dyDescent="0.3">
      <c r="A30927" s="20"/>
    </row>
    <row r="30928" spans="1:1" x14ac:dyDescent="0.3">
      <c r="A30928" s="20"/>
    </row>
    <row r="30929" spans="1:1" x14ac:dyDescent="0.3">
      <c r="A30929" s="20"/>
    </row>
    <row r="30930" spans="1:1" x14ac:dyDescent="0.3">
      <c r="A30930" s="20"/>
    </row>
    <row r="30931" spans="1:1" x14ac:dyDescent="0.3">
      <c r="A30931" s="20"/>
    </row>
    <row r="30932" spans="1:1" x14ac:dyDescent="0.3">
      <c r="A30932" s="20"/>
    </row>
    <row r="30933" spans="1:1" x14ac:dyDescent="0.3">
      <c r="A30933" s="20"/>
    </row>
    <row r="30934" spans="1:1" x14ac:dyDescent="0.3">
      <c r="A30934" s="20"/>
    </row>
    <row r="30935" spans="1:1" x14ac:dyDescent="0.3">
      <c r="A30935" s="20"/>
    </row>
    <row r="30936" spans="1:1" x14ac:dyDescent="0.3">
      <c r="A30936" s="20"/>
    </row>
    <row r="30937" spans="1:1" x14ac:dyDescent="0.3">
      <c r="A30937" s="20"/>
    </row>
    <row r="30938" spans="1:1" x14ac:dyDescent="0.3">
      <c r="A30938" s="20"/>
    </row>
    <row r="30939" spans="1:1" x14ac:dyDescent="0.3">
      <c r="A30939" s="20"/>
    </row>
    <row r="30940" spans="1:1" x14ac:dyDescent="0.3">
      <c r="A30940" s="20"/>
    </row>
    <row r="30941" spans="1:1" x14ac:dyDescent="0.3">
      <c r="A30941" s="20"/>
    </row>
    <row r="30942" spans="1:1" x14ac:dyDescent="0.3">
      <c r="A30942" s="20"/>
    </row>
    <row r="30943" spans="1:1" x14ac:dyDescent="0.3">
      <c r="A30943" s="20"/>
    </row>
    <row r="30944" spans="1:1" x14ac:dyDescent="0.3">
      <c r="A30944" s="20"/>
    </row>
    <row r="30945" spans="1:1" x14ac:dyDescent="0.3">
      <c r="A30945" s="20"/>
    </row>
    <row r="30946" spans="1:1" x14ac:dyDescent="0.3">
      <c r="A30946" s="20"/>
    </row>
    <row r="30947" spans="1:1" x14ac:dyDescent="0.3">
      <c r="A30947" s="20"/>
    </row>
    <row r="30948" spans="1:1" x14ac:dyDescent="0.3">
      <c r="A30948" s="20"/>
    </row>
    <row r="30949" spans="1:1" x14ac:dyDescent="0.3">
      <c r="A30949" s="20"/>
    </row>
    <row r="30950" spans="1:1" x14ac:dyDescent="0.3">
      <c r="A30950" s="20"/>
    </row>
    <row r="30951" spans="1:1" x14ac:dyDescent="0.3">
      <c r="A30951" s="20"/>
    </row>
    <row r="30952" spans="1:1" x14ac:dyDescent="0.3">
      <c r="A30952" s="20"/>
    </row>
    <row r="30953" spans="1:1" x14ac:dyDescent="0.3">
      <c r="A30953" s="20"/>
    </row>
    <row r="30954" spans="1:1" x14ac:dyDescent="0.3">
      <c r="A30954" s="20"/>
    </row>
    <row r="30955" spans="1:1" x14ac:dyDescent="0.3">
      <c r="A30955" s="20"/>
    </row>
    <row r="30956" spans="1:1" x14ac:dyDescent="0.3">
      <c r="A30956" s="20"/>
    </row>
    <row r="30957" spans="1:1" x14ac:dyDescent="0.3">
      <c r="A30957" s="20"/>
    </row>
    <row r="30958" spans="1:1" x14ac:dyDescent="0.3">
      <c r="A30958" s="20"/>
    </row>
    <row r="30959" spans="1:1" x14ac:dyDescent="0.3">
      <c r="A30959" s="20"/>
    </row>
    <row r="30960" spans="1:1" x14ac:dyDescent="0.3">
      <c r="A30960" s="20"/>
    </row>
    <row r="30961" spans="1:1" x14ac:dyDescent="0.3">
      <c r="A30961" s="20"/>
    </row>
    <row r="30962" spans="1:1" x14ac:dyDescent="0.3">
      <c r="A30962" s="20"/>
    </row>
    <row r="30963" spans="1:1" x14ac:dyDescent="0.3">
      <c r="A30963" s="20"/>
    </row>
    <row r="30964" spans="1:1" x14ac:dyDescent="0.3">
      <c r="A30964" s="20"/>
    </row>
    <row r="30965" spans="1:1" x14ac:dyDescent="0.3">
      <c r="A30965" s="20"/>
    </row>
    <row r="30966" spans="1:1" x14ac:dyDescent="0.3">
      <c r="A30966" s="20"/>
    </row>
    <row r="30967" spans="1:1" x14ac:dyDescent="0.3">
      <c r="A30967" s="20"/>
    </row>
    <row r="30968" spans="1:1" x14ac:dyDescent="0.3">
      <c r="A30968" s="20"/>
    </row>
    <row r="30969" spans="1:1" x14ac:dyDescent="0.3">
      <c r="A30969" s="20"/>
    </row>
    <row r="30970" spans="1:1" x14ac:dyDescent="0.3">
      <c r="A30970" s="20"/>
    </row>
    <row r="30971" spans="1:1" x14ac:dyDescent="0.3">
      <c r="A30971" s="20"/>
    </row>
    <row r="30972" spans="1:1" x14ac:dyDescent="0.3">
      <c r="A30972" s="20"/>
    </row>
    <row r="30973" spans="1:1" x14ac:dyDescent="0.3">
      <c r="A30973" s="20"/>
    </row>
    <row r="30974" spans="1:1" x14ac:dyDescent="0.3">
      <c r="A30974" s="20"/>
    </row>
    <row r="30975" spans="1:1" x14ac:dyDescent="0.3">
      <c r="A30975" s="20"/>
    </row>
    <row r="30976" spans="1:1" x14ac:dyDescent="0.3">
      <c r="A30976" s="20"/>
    </row>
    <row r="30977" spans="1:1" x14ac:dyDescent="0.3">
      <c r="A30977" s="20"/>
    </row>
    <row r="30978" spans="1:1" x14ac:dyDescent="0.3">
      <c r="A30978" s="20"/>
    </row>
    <row r="30979" spans="1:1" x14ac:dyDescent="0.3">
      <c r="A30979" s="20"/>
    </row>
    <row r="30980" spans="1:1" x14ac:dyDescent="0.3">
      <c r="A30980" s="20"/>
    </row>
    <row r="30981" spans="1:1" x14ac:dyDescent="0.3">
      <c r="A30981" s="20"/>
    </row>
    <row r="30982" spans="1:1" x14ac:dyDescent="0.3">
      <c r="A30982" s="20"/>
    </row>
    <row r="30983" spans="1:1" x14ac:dyDescent="0.3">
      <c r="A30983" s="20"/>
    </row>
    <row r="30984" spans="1:1" x14ac:dyDescent="0.3">
      <c r="A30984" s="20"/>
    </row>
    <row r="30985" spans="1:1" x14ac:dyDescent="0.3">
      <c r="A30985" s="20"/>
    </row>
    <row r="30986" spans="1:1" x14ac:dyDescent="0.3">
      <c r="A30986" s="20"/>
    </row>
    <row r="30987" spans="1:1" x14ac:dyDescent="0.3">
      <c r="A30987" s="20"/>
    </row>
    <row r="30988" spans="1:1" x14ac:dyDescent="0.3">
      <c r="A30988" s="20"/>
    </row>
    <row r="30989" spans="1:1" x14ac:dyDescent="0.3">
      <c r="A30989" s="20"/>
    </row>
    <row r="30990" spans="1:1" x14ac:dyDescent="0.3">
      <c r="A30990" s="20"/>
    </row>
    <row r="30991" spans="1:1" x14ac:dyDescent="0.3">
      <c r="A30991" s="20"/>
    </row>
    <row r="30992" spans="1:1" x14ac:dyDescent="0.3">
      <c r="A30992" s="20"/>
    </row>
    <row r="30993" spans="1:1" x14ac:dyDescent="0.3">
      <c r="A30993" s="20"/>
    </row>
    <row r="30994" spans="1:1" x14ac:dyDescent="0.3">
      <c r="A30994" s="20"/>
    </row>
    <row r="30995" spans="1:1" x14ac:dyDescent="0.3">
      <c r="A30995" s="20"/>
    </row>
    <row r="30996" spans="1:1" x14ac:dyDescent="0.3">
      <c r="A30996" s="20"/>
    </row>
    <row r="30997" spans="1:1" x14ac:dyDescent="0.3">
      <c r="A30997" s="20"/>
    </row>
    <row r="30998" spans="1:1" x14ac:dyDescent="0.3">
      <c r="A30998" s="20"/>
    </row>
    <row r="30999" spans="1:1" x14ac:dyDescent="0.3">
      <c r="A30999" s="20"/>
    </row>
    <row r="31000" spans="1:1" x14ac:dyDescent="0.3">
      <c r="A31000" s="20"/>
    </row>
    <row r="31001" spans="1:1" x14ac:dyDescent="0.3">
      <c r="A31001" s="20"/>
    </row>
    <row r="31002" spans="1:1" x14ac:dyDescent="0.3">
      <c r="A31002" s="20"/>
    </row>
    <row r="31003" spans="1:1" x14ac:dyDescent="0.3">
      <c r="A31003" s="20"/>
    </row>
    <row r="31004" spans="1:1" x14ac:dyDescent="0.3">
      <c r="A31004" s="20"/>
    </row>
    <row r="31005" spans="1:1" x14ac:dyDescent="0.3">
      <c r="A31005" s="20"/>
    </row>
    <row r="31006" spans="1:1" x14ac:dyDescent="0.3">
      <c r="A31006" s="20"/>
    </row>
    <row r="31007" spans="1:1" x14ac:dyDescent="0.3">
      <c r="A31007" s="20"/>
    </row>
    <row r="31008" spans="1:1" x14ac:dyDescent="0.3">
      <c r="A31008" s="20"/>
    </row>
    <row r="31009" spans="1:1" x14ac:dyDescent="0.3">
      <c r="A31009" s="20"/>
    </row>
    <row r="31010" spans="1:1" x14ac:dyDescent="0.3">
      <c r="A31010" s="20"/>
    </row>
    <row r="31011" spans="1:1" x14ac:dyDescent="0.3">
      <c r="A31011" s="20"/>
    </row>
    <row r="31012" spans="1:1" x14ac:dyDescent="0.3">
      <c r="A31012" s="20"/>
    </row>
    <row r="31013" spans="1:1" x14ac:dyDescent="0.3">
      <c r="A31013" s="20"/>
    </row>
    <row r="31014" spans="1:1" x14ac:dyDescent="0.3">
      <c r="A31014" s="20"/>
    </row>
    <row r="31015" spans="1:1" x14ac:dyDescent="0.3">
      <c r="A31015" s="20"/>
    </row>
    <row r="31016" spans="1:1" x14ac:dyDescent="0.3">
      <c r="A31016" s="20"/>
    </row>
    <row r="31017" spans="1:1" x14ac:dyDescent="0.3">
      <c r="A31017" s="20"/>
    </row>
    <row r="31018" spans="1:1" x14ac:dyDescent="0.3">
      <c r="A31018" s="20"/>
    </row>
    <row r="31019" spans="1:1" x14ac:dyDescent="0.3">
      <c r="A31019" s="20"/>
    </row>
    <row r="31020" spans="1:1" x14ac:dyDescent="0.3">
      <c r="A31020" s="20"/>
    </row>
    <row r="31021" spans="1:1" x14ac:dyDescent="0.3">
      <c r="A31021" s="20"/>
    </row>
    <row r="31022" spans="1:1" x14ac:dyDescent="0.3">
      <c r="A31022" s="20"/>
    </row>
    <row r="31023" spans="1:1" x14ac:dyDescent="0.3">
      <c r="A31023" s="20"/>
    </row>
    <row r="31024" spans="1:1" x14ac:dyDescent="0.3">
      <c r="A31024" s="20"/>
    </row>
    <row r="31025" spans="1:1" x14ac:dyDescent="0.3">
      <c r="A31025" s="20"/>
    </row>
    <row r="31026" spans="1:1" x14ac:dyDescent="0.3">
      <c r="A31026" s="20"/>
    </row>
    <row r="31027" spans="1:1" x14ac:dyDescent="0.3">
      <c r="A31027" s="20"/>
    </row>
    <row r="31028" spans="1:1" x14ac:dyDescent="0.3">
      <c r="A31028" s="20"/>
    </row>
    <row r="31029" spans="1:1" x14ac:dyDescent="0.3">
      <c r="A31029" s="20"/>
    </row>
    <row r="31030" spans="1:1" x14ac:dyDescent="0.3">
      <c r="A31030" s="20"/>
    </row>
    <row r="31031" spans="1:1" x14ac:dyDescent="0.3">
      <c r="A31031" s="20"/>
    </row>
    <row r="31032" spans="1:1" x14ac:dyDescent="0.3">
      <c r="A31032" s="20"/>
    </row>
    <row r="31033" spans="1:1" x14ac:dyDescent="0.3">
      <c r="A31033" s="20"/>
    </row>
    <row r="31034" spans="1:1" x14ac:dyDescent="0.3">
      <c r="A31034" s="20"/>
    </row>
    <row r="31035" spans="1:1" x14ac:dyDescent="0.3">
      <c r="A31035" s="20"/>
    </row>
    <row r="31036" spans="1:1" x14ac:dyDescent="0.3">
      <c r="A31036" s="20"/>
    </row>
    <row r="31037" spans="1:1" x14ac:dyDescent="0.3">
      <c r="A31037" s="20"/>
    </row>
    <row r="31038" spans="1:1" x14ac:dyDescent="0.3">
      <c r="A31038" s="20"/>
    </row>
    <row r="31039" spans="1:1" x14ac:dyDescent="0.3">
      <c r="A31039" s="20"/>
    </row>
    <row r="31040" spans="1:1" x14ac:dyDescent="0.3">
      <c r="A31040" s="20"/>
    </row>
    <row r="31041" spans="1:1" x14ac:dyDescent="0.3">
      <c r="A31041" s="20"/>
    </row>
    <row r="31042" spans="1:1" x14ac:dyDescent="0.3">
      <c r="A31042" s="20"/>
    </row>
    <row r="31043" spans="1:1" x14ac:dyDescent="0.3">
      <c r="A31043" s="20"/>
    </row>
    <row r="31044" spans="1:1" x14ac:dyDescent="0.3">
      <c r="A31044" s="20"/>
    </row>
    <row r="31045" spans="1:1" x14ac:dyDescent="0.3">
      <c r="A31045" s="20"/>
    </row>
    <row r="31046" spans="1:1" x14ac:dyDescent="0.3">
      <c r="A31046" s="20"/>
    </row>
    <row r="31047" spans="1:1" x14ac:dyDescent="0.3">
      <c r="A31047" s="20"/>
    </row>
    <row r="31048" spans="1:1" x14ac:dyDescent="0.3">
      <c r="A31048" s="20"/>
    </row>
    <row r="31049" spans="1:1" x14ac:dyDescent="0.3">
      <c r="A31049" s="20"/>
    </row>
    <row r="31050" spans="1:1" x14ac:dyDescent="0.3">
      <c r="A31050" s="20"/>
    </row>
    <row r="31051" spans="1:1" x14ac:dyDescent="0.3">
      <c r="A31051" s="20"/>
    </row>
    <row r="31052" spans="1:1" x14ac:dyDescent="0.3">
      <c r="A31052" s="20"/>
    </row>
    <row r="31053" spans="1:1" x14ac:dyDescent="0.3">
      <c r="A31053" s="20"/>
    </row>
    <row r="31054" spans="1:1" x14ac:dyDescent="0.3">
      <c r="A31054" s="20"/>
    </row>
    <row r="31055" spans="1:1" x14ac:dyDescent="0.3">
      <c r="A31055" s="20"/>
    </row>
    <row r="31056" spans="1:1" x14ac:dyDescent="0.3">
      <c r="A31056" s="20"/>
    </row>
    <row r="31057" spans="1:1" x14ac:dyDescent="0.3">
      <c r="A31057" s="20"/>
    </row>
    <row r="31058" spans="1:1" x14ac:dyDescent="0.3">
      <c r="A31058" s="20"/>
    </row>
    <row r="31059" spans="1:1" x14ac:dyDescent="0.3">
      <c r="A31059" s="20"/>
    </row>
    <row r="31060" spans="1:1" x14ac:dyDescent="0.3">
      <c r="A31060" s="20"/>
    </row>
    <row r="31061" spans="1:1" x14ac:dyDescent="0.3">
      <c r="A31061" s="20"/>
    </row>
    <row r="31062" spans="1:1" x14ac:dyDescent="0.3">
      <c r="A31062" s="20"/>
    </row>
    <row r="31063" spans="1:1" x14ac:dyDescent="0.3">
      <c r="A31063" s="20"/>
    </row>
    <row r="31064" spans="1:1" x14ac:dyDescent="0.3">
      <c r="A31064" s="20"/>
    </row>
    <row r="31065" spans="1:1" x14ac:dyDescent="0.3">
      <c r="A31065" s="20"/>
    </row>
    <row r="31066" spans="1:1" x14ac:dyDescent="0.3">
      <c r="A31066" s="20"/>
    </row>
    <row r="31067" spans="1:1" x14ac:dyDescent="0.3">
      <c r="A31067" s="20"/>
    </row>
    <row r="31068" spans="1:1" x14ac:dyDescent="0.3">
      <c r="A31068" s="20"/>
    </row>
    <row r="31069" spans="1:1" x14ac:dyDescent="0.3">
      <c r="A31069" s="20"/>
    </row>
    <row r="31070" spans="1:1" x14ac:dyDescent="0.3">
      <c r="A31070" s="20"/>
    </row>
    <row r="31071" spans="1:1" x14ac:dyDescent="0.3">
      <c r="A31071" s="20"/>
    </row>
    <row r="31072" spans="1:1" x14ac:dyDescent="0.3">
      <c r="A31072" s="20"/>
    </row>
    <row r="31073" spans="1:1" x14ac:dyDescent="0.3">
      <c r="A31073" s="20"/>
    </row>
    <row r="31074" spans="1:1" x14ac:dyDescent="0.3">
      <c r="A31074" s="20"/>
    </row>
    <row r="31075" spans="1:1" x14ac:dyDescent="0.3">
      <c r="A31075" s="20"/>
    </row>
    <row r="31076" spans="1:1" x14ac:dyDescent="0.3">
      <c r="A31076" s="20"/>
    </row>
    <row r="31077" spans="1:1" x14ac:dyDescent="0.3">
      <c r="A31077" s="20"/>
    </row>
    <row r="31078" spans="1:1" x14ac:dyDescent="0.3">
      <c r="A31078" s="20"/>
    </row>
    <row r="31079" spans="1:1" x14ac:dyDescent="0.3">
      <c r="A31079" s="20"/>
    </row>
    <row r="31080" spans="1:1" x14ac:dyDescent="0.3">
      <c r="A31080" s="20"/>
    </row>
    <row r="31081" spans="1:1" x14ac:dyDescent="0.3">
      <c r="A31081" s="20"/>
    </row>
    <row r="31082" spans="1:1" x14ac:dyDescent="0.3">
      <c r="A31082" s="20"/>
    </row>
    <row r="31083" spans="1:1" x14ac:dyDescent="0.3">
      <c r="A31083" s="20"/>
    </row>
    <row r="31084" spans="1:1" x14ac:dyDescent="0.3">
      <c r="A31084" s="20"/>
    </row>
    <row r="31085" spans="1:1" x14ac:dyDescent="0.3">
      <c r="A31085" s="20"/>
    </row>
    <row r="31086" spans="1:1" x14ac:dyDescent="0.3">
      <c r="A31086" s="20"/>
    </row>
    <row r="31087" spans="1:1" x14ac:dyDescent="0.3">
      <c r="A31087" s="20"/>
    </row>
    <row r="31088" spans="1:1" x14ac:dyDescent="0.3">
      <c r="A31088" s="20"/>
    </row>
    <row r="31089" spans="1:1" x14ac:dyDescent="0.3">
      <c r="A31089" s="20"/>
    </row>
    <row r="31090" spans="1:1" x14ac:dyDescent="0.3">
      <c r="A31090" s="20"/>
    </row>
    <row r="31091" spans="1:1" x14ac:dyDescent="0.3">
      <c r="A31091" s="20"/>
    </row>
    <row r="31092" spans="1:1" x14ac:dyDescent="0.3">
      <c r="A31092" s="20"/>
    </row>
    <row r="31093" spans="1:1" x14ac:dyDescent="0.3">
      <c r="A31093" s="20"/>
    </row>
    <row r="31094" spans="1:1" x14ac:dyDescent="0.3">
      <c r="A31094" s="20"/>
    </row>
    <row r="31095" spans="1:1" x14ac:dyDescent="0.3">
      <c r="A31095" s="20"/>
    </row>
    <row r="31096" spans="1:1" x14ac:dyDescent="0.3">
      <c r="A31096" s="20"/>
    </row>
    <row r="31097" spans="1:1" x14ac:dyDescent="0.3">
      <c r="A31097" s="20"/>
    </row>
    <row r="31098" spans="1:1" x14ac:dyDescent="0.3">
      <c r="A31098" s="20"/>
    </row>
    <row r="31099" spans="1:1" x14ac:dyDescent="0.3">
      <c r="A31099" s="20"/>
    </row>
    <row r="31100" spans="1:1" x14ac:dyDescent="0.3">
      <c r="A31100" s="20"/>
    </row>
    <row r="31101" spans="1:1" x14ac:dyDescent="0.3">
      <c r="A31101" s="20"/>
    </row>
    <row r="31102" spans="1:1" x14ac:dyDescent="0.3">
      <c r="A31102" s="20"/>
    </row>
    <row r="31103" spans="1:1" x14ac:dyDescent="0.3">
      <c r="A31103" s="20"/>
    </row>
    <row r="31104" spans="1:1" x14ac:dyDescent="0.3">
      <c r="A31104" s="20"/>
    </row>
    <row r="31105" spans="1:1" x14ac:dyDescent="0.3">
      <c r="A31105" s="20"/>
    </row>
    <row r="31106" spans="1:1" x14ac:dyDescent="0.3">
      <c r="A31106" s="20"/>
    </row>
    <row r="31107" spans="1:1" x14ac:dyDescent="0.3">
      <c r="A31107" s="20"/>
    </row>
    <row r="31108" spans="1:1" x14ac:dyDescent="0.3">
      <c r="A31108" s="20"/>
    </row>
    <row r="31109" spans="1:1" x14ac:dyDescent="0.3">
      <c r="A31109" s="20"/>
    </row>
    <row r="31110" spans="1:1" x14ac:dyDescent="0.3">
      <c r="A31110" s="20"/>
    </row>
    <row r="31111" spans="1:1" x14ac:dyDescent="0.3">
      <c r="A31111" s="20"/>
    </row>
    <row r="31112" spans="1:1" x14ac:dyDescent="0.3">
      <c r="A31112" s="20"/>
    </row>
    <row r="31113" spans="1:1" x14ac:dyDescent="0.3">
      <c r="A31113" s="20"/>
    </row>
    <row r="31114" spans="1:1" x14ac:dyDescent="0.3">
      <c r="A31114" s="20"/>
    </row>
    <row r="31115" spans="1:1" x14ac:dyDescent="0.3">
      <c r="A31115" s="20"/>
    </row>
    <row r="31116" spans="1:1" x14ac:dyDescent="0.3">
      <c r="A31116" s="20"/>
    </row>
    <row r="31117" spans="1:1" x14ac:dyDescent="0.3">
      <c r="A31117" s="20"/>
    </row>
    <row r="31118" spans="1:1" x14ac:dyDescent="0.3">
      <c r="A31118" s="20"/>
    </row>
    <row r="31119" spans="1:1" x14ac:dyDescent="0.3">
      <c r="A31119" s="20"/>
    </row>
    <row r="31120" spans="1:1" x14ac:dyDescent="0.3">
      <c r="A31120" s="20"/>
    </row>
    <row r="31121" spans="1:1" x14ac:dyDescent="0.3">
      <c r="A31121" s="20"/>
    </row>
    <row r="31122" spans="1:1" x14ac:dyDescent="0.3">
      <c r="A31122" s="20"/>
    </row>
    <row r="31123" spans="1:1" x14ac:dyDescent="0.3">
      <c r="A31123" s="20"/>
    </row>
    <row r="31124" spans="1:1" x14ac:dyDescent="0.3">
      <c r="A31124" s="20"/>
    </row>
    <row r="31125" spans="1:1" x14ac:dyDescent="0.3">
      <c r="A31125" s="20"/>
    </row>
    <row r="31126" spans="1:1" x14ac:dyDescent="0.3">
      <c r="A31126" s="20"/>
    </row>
    <row r="31127" spans="1:1" x14ac:dyDescent="0.3">
      <c r="A31127" s="20"/>
    </row>
    <row r="31128" spans="1:1" x14ac:dyDescent="0.3">
      <c r="A31128" s="20"/>
    </row>
    <row r="31129" spans="1:1" x14ac:dyDescent="0.3">
      <c r="A31129" s="20"/>
    </row>
    <row r="31130" spans="1:1" x14ac:dyDescent="0.3">
      <c r="A31130" s="20"/>
    </row>
    <row r="31131" spans="1:1" x14ac:dyDescent="0.3">
      <c r="A31131" s="20"/>
    </row>
    <row r="31132" spans="1:1" x14ac:dyDescent="0.3">
      <c r="A31132" s="20"/>
    </row>
    <row r="31133" spans="1:1" x14ac:dyDescent="0.3">
      <c r="A31133" s="20"/>
    </row>
    <row r="31134" spans="1:1" x14ac:dyDescent="0.3">
      <c r="A31134" s="20"/>
    </row>
    <row r="31135" spans="1:1" x14ac:dyDescent="0.3">
      <c r="A31135" s="20"/>
    </row>
    <row r="31136" spans="1:1" x14ac:dyDescent="0.3">
      <c r="A31136" s="20"/>
    </row>
    <row r="31137" spans="1:1" x14ac:dyDescent="0.3">
      <c r="A31137" s="20"/>
    </row>
    <row r="31138" spans="1:1" x14ac:dyDescent="0.3">
      <c r="A31138" s="20"/>
    </row>
    <row r="31139" spans="1:1" x14ac:dyDescent="0.3">
      <c r="A31139" s="20"/>
    </row>
    <row r="31140" spans="1:1" x14ac:dyDescent="0.3">
      <c r="A31140" s="20"/>
    </row>
    <row r="31141" spans="1:1" x14ac:dyDescent="0.3">
      <c r="A31141" s="20"/>
    </row>
    <row r="31142" spans="1:1" x14ac:dyDescent="0.3">
      <c r="A31142" s="20"/>
    </row>
    <row r="31143" spans="1:1" x14ac:dyDescent="0.3">
      <c r="A31143" s="20"/>
    </row>
    <row r="31144" spans="1:1" x14ac:dyDescent="0.3">
      <c r="A31144" s="20"/>
    </row>
    <row r="31145" spans="1:1" x14ac:dyDescent="0.3">
      <c r="A31145" s="20"/>
    </row>
    <row r="31146" spans="1:1" x14ac:dyDescent="0.3">
      <c r="A31146" s="20"/>
    </row>
    <row r="31147" spans="1:1" x14ac:dyDescent="0.3">
      <c r="A31147" s="20"/>
    </row>
    <row r="31148" spans="1:1" x14ac:dyDescent="0.3">
      <c r="A31148" s="20"/>
    </row>
    <row r="31149" spans="1:1" x14ac:dyDescent="0.3">
      <c r="A31149" s="20"/>
    </row>
    <row r="31150" spans="1:1" x14ac:dyDescent="0.3">
      <c r="A31150" s="20"/>
    </row>
    <row r="31151" spans="1:1" x14ac:dyDescent="0.3">
      <c r="A31151" s="20"/>
    </row>
    <row r="31152" spans="1:1" x14ac:dyDescent="0.3">
      <c r="A31152" s="20"/>
    </row>
    <row r="31153" spans="1:1" x14ac:dyDescent="0.3">
      <c r="A31153" s="20"/>
    </row>
    <row r="31154" spans="1:1" x14ac:dyDescent="0.3">
      <c r="A31154" s="20"/>
    </row>
    <row r="31155" spans="1:1" x14ac:dyDescent="0.3">
      <c r="A31155" s="20"/>
    </row>
    <row r="31156" spans="1:1" x14ac:dyDescent="0.3">
      <c r="A31156" s="20"/>
    </row>
    <row r="31157" spans="1:1" x14ac:dyDescent="0.3">
      <c r="A31157" s="20"/>
    </row>
    <row r="31158" spans="1:1" x14ac:dyDescent="0.3">
      <c r="A31158" s="20"/>
    </row>
    <row r="31159" spans="1:1" x14ac:dyDescent="0.3">
      <c r="A31159" s="20"/>
    </row>
    <row r="31160" spans="1:1" x14ac:dyDescent="0.3">
      <c r="A31160" s="20"/>
    </row>
    <row r="31161" spans="1:1" x14ac:dyDescent="0.3">
      <c r="A31161" s="20"/>
    </row>
    <row r="31162" spans="1:1" x14ac:dyDescent="0.3">
      <c r="A31162" s="20"/>
    </row>
    <row r="31163" spans="1:1" x14ac:dyDescent="0.3">
      <c r="A31163" s="20"/>
    </row>
    <row r="31164" spans="1:1" x14ac:dyDescent="0.3">
      <c r="A31164" s="20"/>
    </row>
    <row r="31165" spans="1:1" x14ac:dyDescent="0.3">
      <c r="A31165" s="20"/>
    </row>
    <row r="31166" spans="1:1" x14ac:dyDescent="0.3">
      <c r="A31166" s="20"/>
    </row>
    <row r="31167" spans="1:1" x14ac:dyDescent="0.3">
      <c r="A31167" s="20"/>
    </row>
    <row r="31168" spans="1:1" x14ac:dyDescent="0.3">
      <c r="A31168" s="20"/>
    </row>
    <row r="31169" spans="1:1" x14ac:dyDescent="0.3">
      <c r="A31169" s="20"/>
    </row>
    <row r="31170" spans="1:1" x14ac:dyDescent="0.3">
      <c r="A31170" s="20"/>
    </row>
    <row r="31171" spans="1:1" x14ac:dyDescent="0.3">
      <c r="A31171" s="20"/>
    </row>
    <row r="31172" spans="1:1" x14ac:dyDescent="0.3">
      <c r="A31172" s="20"/>
    </row>
    <row r="31173" spans="1:1" x14ac:dyDescent="0.3">
      <c r="A31173" s="20"/>
    </row>
    <row r="31174" spans="1:1" x14ac:dyDescent="0.3">
      <c r="A31174" s="20"/>
    </row>
    <row r="31175" spans="1:1" x14ac:dyDescent="0.3">
      <c r="A31175" s="20"/>
    </row>
    <row r="31176" spans="1:1" x14ac:dyDescent="0.3">
      <c r="A31176" s="20"/>
    </row>
    <row r="31177" spans="1:1" x14ac:dyDescent="0.3">
      <c r="A31177" s="20"/>
    </row>
    <row r="31178" spans="1:1" x14ac:dyDescent="0.3">
      <c r="A31178" s="20"/>
    </row>
    <row r="31179" spans="1:1" x14ac:dyDescent="0.3">
      <c r="A31179" s="20"/>
    </row>
    <row r="31180" spans="1:1" x14ac:dyDescent="0.3">
      <c r="A31180" s="20"/>
    </row>
    <row r="31181" spans="1:1" x14ac:dyDescent="0.3">
      <c r="A31181" s="20"/>
    </row>
    <row r="31182" spans="1:1" x14ac:dyDescent="0.3">
      <c r="A31182" s="20"/>
    </row>
    <row r="31183" spans="1:1" x14ac:dyDescent="0.3">
      <c r="A31183" s="20"/>
    </row>
    <row r="31184" spans="1:1" x14ac:dyDescent="0.3">
      <c r="A31184" s="20"/>
    </row>
    <row r="31185" spans="1:1" x14ac:dyDescent="0.3">
      <c r="A31185" s="20"/>
    </row>
    <row r="31186" spans="1:1" x14ac:dyDescent="0.3">
      <c r="A31186" s="20"/>
    </row>
    <row r="31187" spans="1:1" x14ac:dyDescent="0.3">
      <c r="A31187" s="20"/>
    </row>
    <row r="31188" spans="1:1" x14ac:dyDescent="0.3">
      <c r="A31188" s="20"/>
    </row>
    <row r="31189" spans="1:1" x14ac:dyDescent="0.3">
      <c r="A31189" s="20"/>
    </row>
    <row r="31190" spans="1:1" x14ac:dyDescent="0.3">
      <c r="A31190" s="20"/>
    </row>
    <row r="31191" spans="1:1" x14ac:dyDescent="0.3">
      <c r="A31191" s="20"/>
    </row>
    <row r="31192" spans="1:1" x14ac:dyDescent="0.3">
      <c r="A31192" s="20"/>
    </row>
    <row r="31193" spans="1:1" x14ac:dyDescent="0.3">
      <c r="A31193" s="20"/>
    </row>
    <row r="31194" spans="1:1" x14ac:dyDescent="0.3">
      <c r="A31194" s="20"/>
    </row>
    <row r="31195" spans="1:1" x14ac:dyDescent="0.3">
      <c r="A31195" s="20"/>
    </row>
    <row r="31196" spans="1:1" x14ac:dyDescent="0.3">
      <c r="A31196" s="20"/>
    </row>
    <row r="31197" spans="1:1" x14ac:dyDescent="0.3">
      <c r="A31197" s="20"/>
    </row>
    <row r="31198" spans="1:1" x14ac:dyDescent="0.3">
      <c r="A31198" s="20"/>
    </row>
    <row r="31199" spans="1:1" x14ac:dyDescent="0.3">
      <c r="A31199" s="20"/>
    </row>
    <row r="31200" spans="1:1" x14ac:dyDescent="0.3">
      <c r="A31200" s="20"/>
    </row>
    <row r="31201" spans="1:1" x14ac:dyDescent="0.3">
      <c r="A31201" s="20"/>
    </row>
    <row r="31202" spans="1:1" x14ac:dyDescent="0.3">
      <c r="A31202" s="20"/>
    </row>
    <row r="31203" spans="1:1" x14ac:dyDescent="0.3">
      <c r="A31203" s="20"/>
    </row>
    <row r="31204" spans="1:1" x14ac:dyDescent="0.3">
      <c r="A31204" s="20"/>
    </row>
    <row r="31205" spans="1:1" x14ac:dyDescent="0.3">
      <c r="A31205" s="20"/>
    </row>
    <row r="31206" spans="1:1" x14ac:dyDescent="0.3">
      <c r="A31206" s="20"/>
    </row>
    <row r="31207" spans="1:1" x14ac:dyDescent="0.3">
      <c r="A31207" s="20"/>
    </row>
    <row r="31208" spans="1:1" x14ac:dyDescent="0.3">
      <c r="A31208" s="20"/>
    </row>
    <row r="31209" spans="1:1" x14ac:dyDescent="0.3">
      <c r="A31209" s="20"/>
    </row>
    <row r="31210" spans="1:1" x14ac:dyDescent="0.3">
      <c r="A31210" s="20"/>
    </row>
    <row r="31211" spans="1:1" x14ac:dyDescent="0.3">
      <c r="A31211" s="20"/>
    </row>
    <row r="31212" spans="1:1" x14ac:dyDescent="0.3">
      <c r="A31212" s="20"/>
    </row>
    <row r="31213" spans="1:1" x14ac:dyDescent="0.3">
      <c r="A31213" s="20"/>
    </row>
    <row r="31214" spans="1:1" x14ac:dyDescent="0.3">
      <c r="A31214" s="20"/>
    </row>
    <row r="31215" spans="1:1" x14ac:dyDescent="0.3">
      <c r="A31215" s="20"/>
    </row>
    <row r="31216" spans="1:1" x14ac:dyDescent="0.3">
      <c r="A31216" s="20"/>
    </row>
    <row r="31217" spans="1:1" x14ac:dyDescent="0.3">
      <c r="A31217" s="20"/>
    </row>
    <row r="31218" spans="1:1" x14ac:dyDescent="0.3">
      <c r="A31218" s="20"/>
    </row>
    <row r="31219" spans="1:1" x14ac:dyDescent="0.3">
      <c r="A31219" s="20"/>
    </row>
    <row r="31220" spans="1:1" x14ac:dyDescent="0.3">
      <c r="A31220" s="20"/>
    </row>
    <row r="31221" spans="1:1" x14ac:dyDescent="0.3">
      <c r="A31221" s="20"/>
    </row>
    <row r="31222" spans="1:1" x14ac:dyDescent="0.3">
      <c r="A31222" s="20"/>
    </row>
    <row r="31223" spans="1:1" x14ac:dyDescent="0.3">
      <c r="A31223" s="20"/>
    </row>
    <row r="31224" spans="1:1" x14ac:dyDescent="0.3">
      <c r="A31224" s="20"/>
    </row>
    <row r="31225" spans="1:1" x14ac:dyDescent="0.3">
      <c r="A31225" s="20"/>
    </row>
    <row r="31226" spans="1:1" x14ac:dyDescent="0.3">
      <c r="A31226" s="20"/>
    </row>
    <row r="31227" spans="1:1" x14ac:dyDescent="0.3">
      <c r="A31227" s="20"/>
    </row>
    <row r="31228" spans="1:1" x14ac:dyDescent="0.3">
      <c r="A31228" s="20"/>
    </row>
    <row r="31229" spans="1:1" x14ac:dyDescent="0.3">
      <c r="A31229" s="20"/>
    </row>
    <row r="31230" spans="1:1" x14ac:dyDescent="0.3">
      <c r="A31230" s="20"/>
    </row>
    <row r="31231" spans="1:1" x14ac:dyDescent="0.3">
      <c r="A31231" s="20"/>
    </row>
    <row r="31232" spans="1:1" x14ac:dyDescent="0.3">
      <c r="A31232" s="20"/>
    </row>
    <row r="31233" spans="1:1" x14ac:dyDescent="0.3">
      <c r="A31233" s="20"/>
    </row>
    <row r="31234" spans="1:1" x14ac:dyDescent="0.3">
      <c r="A31234" s="20"/>
    </row>
    <row r="31235" spans="1:1" x14ac:dyDescent="0.3">
      <c r="A31235" s="20"/>
    </row>
    <row r="31236" spans="1:1" x14ac:dyDescent="0.3">
      <c r="A31236" s="20"/>
    </row>
    <row r="31237" spans="1:1" x14ac:dyDescent="0.3">
      <c r="A31237" s="20"/>
    </row>
    <row r="31238" spans="1:1" x14ac:dyDescent="0.3">
      <c r="A31238" s="20"/>
    </row>
    <row r="31239" spans="1:1" x14ac:dyDescent="0.3">
      <c r="A31239" s="20"/>
    </row>
    <row r="31240" spans="1:1" x14ac:dyDescent="0.3">
      <c r="A31240" s="20"/>
    </row>
    <row r="31241" spans="1:1" x14ac:dyDescent="0.3">
      <c r="A31241" s="20"/>
    </row>
    <row r="31242" spans="1:1" x14ac:dyDescent="0.3">
      <c r="A31242" s="20"/>
    </row>
    <row r="31243" spans="1:1" x14ac:dyDescent="0.3">
      <c r="A31243" s="20"/>
    </row>
    <row r="31244" spans="1:1" x14ac:dyDescent="0.3">
      <c r="A31244" s="20"/>
    </row>
    <row r="31245" spans="1:1" x14ac:dyDescent="0.3">
      <c r="A31245" s="20"/>
    </row>
    <row r="31246" spans="1:1" x14ac:dyDescent="0.3">
      <c r="A31246" s="20"/>
    </row>
    <row r="31247" spans="1:1" x14ac:dyDescent="0.3">
      <c r="A31247" s="20"/>
    </row>
    <row r="31248" spans="1:1" x14ac:dyDescent="0.3">
      <c r="A31248" s="20"/>
    </row>
    <row r="31249" spans="1:1" x14ac:dyDescent="0.3">
      <c r="A31249" s="20"/>
    </row>
    <row r="31250" spans="1:1" x14ac:dyDescent="0.3">
      <c r="A31250" s="20"/>
    </row>
    <row r="31251" spans="1:1" x14ac:dyDescent="0.3">
      <c r="A31251" s="20"/>
    </row>
    <row r="31252" spans="1:1" x14ac:dyDescent="0.3">
      <c r="A31252" s="20"/>
    </row>
    <row r="31253" spans="1:1" x14ac:dyDescent="0.3">
      <c r="A31253" s="20"/>
    </row>
    <row r="31254" spans="1:1" x14ac:dyDescent="0.3">
      <c r="A31254" s="20"/>
    </row>
    <row r="31255" spans="1:1" x14ac:dyDescent="0.3">
      <c r="A31255" s="20"/>
    </row>
    <row r="31256" spans="1:1" x14ac:dyDescent="0.3">
      <c r="A31256" s="20"/>
    </row>
    <row r="31257" spans="1:1" x14ac:dyDescent="0.3">
      <c r="A31257" s="20"/>
    </row>
    <row r="31258" spans="1:1" x14ac:dyDescent="0.3">
      <c r="A31258" s="20"/>
    </row>
    <row r="31259" spans="1:1" x14ac:dyDescent="0.3">
      <c r="A31259" s="20"/>
    </row>
    <row r="31260" spans="1:1" x14ac:dyDescent="0.3">
      <c r="A31260" s="20"/>
    </row>
    <row r="31261" spans="1:1" x14ac:dyDescent="0.3">
      <c r="A31261" s="20"/>
    </row>
    <row r="31262" spans="1:1" x14ac:dyDescent="0.3">
      <c r="A31262" s="20"/>
    </row>
    <row r="31263" spans="1:1" x14ac:dyDescent="0.3">
      <c r="A31263" s="20"/>
    </row>
    <row r="31264" spans="1:1" x14ac:dyDescent="0.3">
      <c r="A31264" s="20"/>
    </row>
    <row r="31265" spans="1:1" x14ac:dyDescent="0.3">
      <c r="A31265" s="20"/>
    </row>
    <row r="31266" spans="1:1" x14ac:dyDescent="0.3">
      <c r="A31266" s="20"/>
    </row>
    <row r="31267" spans="1:1" x14ac:dyDescent="0.3">
      <c r="A31267" s="20"/>
    </row>
    <row r="31268" spans="1:1" x14ac:dyDescent="0.3">
      <c r="A31268" s="20"/>
    </row>
    <row r="31269" spans="1:1" x14ac:dyDescent="0.3">
      <c r="A31269" s="20"/>
    </row>
    <row r="31270" spans="1:1" x14ac:dyDescent="0.3">
      <c r="A31270" s="20"/>
    </row>
    <row r="31271" spans="1:1" x14ac:dyDescent="0.3">
      <c r="A31271" s="20"/>
    </row>
    <row r="31272" spans="1:1" x14ac:dyDescent="0.3">
      <c r="A31272" s="20"/>
    </row>
    <row r="31273" spans="1:1" x14ac:dyDescent="0.3">
      <c r="A31273" s="20"/>
    </row>
    <row r="31274" spans="1:1" x14ac:dyDescent="0.3">
      <c r="A31274" s="20"/>
    </row>
    <row r="31275" spans="1:1" x14ac:dyDescent="0.3">
      <c r="A31275" s="20"/>
    </row>
    <row r="31276" spans="1:1" x14ac:dyDescent="0.3">
      <c r="A31276" s="20"/>
    </row>
    <row r="31277" spans="1:1" x14ac:dyDescent="0.3">
      <c r="A31277" s="20"/>
    </row>
    <row r="31278" spans="1:1" x14ac:dyDescent="0.3">
      <c r="A31278" s="20"/>
    </row>
    <row r="31279" spans="1:1" x14ac:dyDescent="0.3">
      <c r="A31279" s="20"/>
    </row>
    <row r="31280" spans="1:1" x14ac:dyDescent="0.3">
      <c r="A31280" s="20"/>
    </row>
    <row r="31281" spans="1:1" x14ac:dyDescent="0.3">
      <c r="A31281" s="20"/>
    </row>
    <row r="31282" spans="1:1" x14ac:dyDescent="0.3">
      <c r="A31282" s="20"/>
    </row>
    <row r="31283" spans="1:1" x14ac:dyDescent="0.3">
      <c r="A31283" s="20"/>
    </row>
    <row r="31284" spans="1:1" x14ac:dyDescent="0.3">
      <c r="A31284" s="20"/>
    </row>
    <row r="31285" spans="1:1" x14ac:dyDescent="0.3">
      <c r="A31285" s="20"/>
    </row>
    <row r="31286" spans="1:1" x14ac:dyDescent="0.3">
      <c r="A31286" s="20"/>
    </row>
    <row r="31287" spans="1:1" x14ac:dyDescent="0.3">
      <c r="A31287" s="20"/>
    </row>
    <row r="31288" spans="1:1" x14ac:dyDescent="0.3">
      <c r="A31288" s="20"/>
    </row>
    <row r="31289" spans="1:1" x14ac:dyDescent="0.3">
      <c r="A31289" s="20"/>
    </row>
    <row r="31290" spans="1:1" x14ac:dyDescent="0.3">
      <c r="A31290" s="20"/>
    </row>
    <row r="31291" spans="1:1" x14ac:dyDescent="0.3">
      <c r="A31291" s="20"/>
    </row>
    <row r="31292" spans="1:1" x14ac:dyDescent="0.3">
      <c r="A31292" s="20"/>
    </row>
    <row r="31293" spans="1:1" x14ac:dyDescent="0.3">
      <c r="A31293" s="20"/>
    </row>
    <row r="31294" spans="1:1" x14ac:dyDescent="0.3">
      <c r="A31294" s="20"/>
    </row>
    <row r="31295" spans="1:1" x14ac:dyDescent="0.3">
      <c r="A31295" s="20"/>
    </row>
    <row r="31296" spans="1:1" x14ac:dyDescent="0.3">
      <c r="A31296" s="20"/>
    </row>
    <row r="31297" spans="1:1" x14ac:dyDescent="0.3">
      <c r="A31297" s="20"/>
    </row>
    <row r="31298" spans="1:1" x14ac:dyDescent="0.3">
      <c r="A31298" s="20"/>
    </row>
    <row r="31299" spans="1:1" x14ac:dyDescent="0.3">
      <c r="A31299" s="20"/>
    </row>
    <row r="31300" spans="1:1" x14ac:dyDescent="0.3">
      <c r="A31300" s="20"/>
    </row>
    <row r="31301" spans="1:1" x14ac:dyDescent="0.3">
      <c r="A31301" s="20"/>
    </row>
    <row r="31302" spans="1:1" x14ac:dyDescent="0.3">
      <c r="A31302" s="20"/>
    </row>
    <row r="31303" spans="1:1" x14ac:dyDescent="0.3">
      <c r="A31303" s="20"/>
    </row>
    <row r="31304" spans="1:1" x14ac:dyDescent="0.3">
      <c r="A31304" s="20"/>
    </row>
    <row r="31305" spans="1:1" x14ac:dyDescent="0.3">
      <c r="A31305" s="20"/>
    </row>
    <row r="31306" spans="1:1" x14ac:dyDescent="0.3">
      <c r="A31306" s="20"/>
    </row>
    <row r="31307" spans="1:1" x14ac:dyDescent="0.3">
      <c r="A31307" s="20"/>
    </row>
    <row r="31308" spans="1:1" x14ac:dyDescent="0.3">
      <c r="A31308" s="20"/>
    </row>
    <row r="31309" spans="1:1" x14ac:dyDescent="0.3">
      <c r="A31309" s="20"/>
    </row>
    <row r="31310" spans="1:1" x14ac:dyDescent="0.3">
      <c r="A31310" s="20"/>
    </row>
    <row r="31311" spans="1:1" x14ac:dyDescent="0.3">
      <c r="A31311" s="20"/>
    </row>
    <row r="31312" spans="1:1" x14ac:dyDescent="0.3">
      <c r="A31312" s="20"/>
    </row>
    <row r="31313" spans="1:1" x14ac:dyDescent="0.3">
      <c r="A31313" s="20"/>
    </row>
    <row r="31314" spans="1:1" x14ac:dyDescent="0.3">
      <c r="A31314" s="20"/>
    </row>
    <row r="31315" spans="1:1" x14ac:dyDescent="0.3">
      <c r="A31315" s="20"/>
    </row>
    <row r="31316" spans="1:1" x14ac:dyDescent="0.3">
      <c r="A31316" s="20"/>
    </row>
    <row r="31317" spans="1:1" x14ac:dyDescent="0.3">
      <c r="A31317" s="20"/>
    </row>
    <row r="31318" spans="1:1" x14ac:dyDescent="0.3">
      <c r="A31318" s="20"/>
    </row>
    <row r="31319" spans="1:1" x14ac:dyDescent="0.3">
      <c r="A31319" s="20"/>
    </row>
    <row r="31320" spans="1:1" x14ac:dyDescent="0.3">
      <c r="A31320" s="20"/>
    </row>
    <row r="31321" spans="1:1" x14ac:dyDescent="0.3">
      <c r="A31321" s="20"/>
    </row>
    <row r="31322" spans="1:1" x14ac:dyDescent="0.3">
      <c r="A31322" s="20"/>
    </row>
    <row r="31323" spans="1:1" x14ac:dyDescent="0.3">
      <c r="A31323" s="20"/>
    </row>
    <row r="31324" spans="1:1" x14ac:dyDescent="0.3">
      <c r="A31324" s="20"/>
    </row>
    <row r="31325" spans="1:1" x14ac:dyDescent="0.3">
      <c r="A31325" s="20"/>
    </row>
    <row r="31326" spans="1:1" x14ac:dyDescent="0.3">
      <c r="A31326" s="20"/>
    </row>
    <row r="31327" spans="1:1" x14ac:dyDescent="0.3">
      <c r="A31327" s="20"/>
    </row>
    <row r="31328" spans="1:1" x14ac:dyDescent="0.3">
      <c r="A31328" s="20"/>
    </row>
    <row r="31329" spans="1:1" x14ac:dyDescent="0.3">
      <c r="A31329" s="20"/>
    </row>
    <row r="31330" spans="1:1" x14ac:dyDescent="0.3">
      <c r="A31330" s="20"/>
    </row>
    <row r="31331" spans="1:1" x14ac:dyDescent="0.3">
      <c r="A31331" s="20"/>
    </row>
    <row r="31332" spans="1:1" x14ac:dyDescent="0.3">
      <c r="A31332" s="20"/>
    </row>
    <row r="31333" spans="1:1" x14ac:dyDescent="0.3">
      <c r="A31333" s="20"/>
    </row>
    <row r="31334" spans="1:1" x14ac:dyDescent="0.3">
      <c r="A31334" s="20"/>
    </row>
    <row r="31335" spans="1:1" x14ac:dyDescent="0.3">
      <c r="A31335" s="20"/>
    </row>
    <row r="31336" spans="1:1" x14ac:dyDescent="0.3">
      <c r="A31336" s="20"/>
    </row>
    <row r="31337" spans="1:1" x14ac:dyDescent="0.3">
      <c r="A31337" s="20"/>
    </row>
    <row r="31338" spans="1:1" x14ac:dyDescent="0.3">
      <c r="A31338" s="20"/>
    </row>
    <row r="31339" spans="1:1" x14ac:dyDescent="0.3">
      <c r="A31339" s="20"/>
    </row>
    <row r="31340" spans="1:1" x14ac:dyDescent="0.3">
      <c r="A31340" s="20"/>
    </row>
    <row r="31341" spans="1:1" x14ac:dyDescent="0.3">
      <c r="A31341" s="20"/>
    </row>
    <row r="31342" spans="1:1" x14ac:dyDescent="0.3">
      <c r="A31342" s="20"/>
    </row>
    <row r="31343" spans="1:1" x14ac:dyDescent="0.3">
      <c r="A31343" s="20"/>
    </row>
    <row r="31344" spans="1:1" x14ac:dyDescent="0.3">
      <c r="A31344" s="20"/>
    </row>
    <row r="31345" spans="1:1" x14ac:dyDescent="0.3">
      <c r="A31345" s="20"/>
    </row>
    <row r="31346" spans="1:1" x14ac:dyDescent="0.3">
      <c r="A31346" s="20"/>
    </row>
    <row r="31347" spans="1:1" x14ac:dyDescent="0.3">
      <c r="A31347" s="20"/>
    </row>
    <row r="31348" spans="1:1" x14ac:dyDescent="0.3">
      <c r="A31348" s="20"/>
    </row>
    <row r="31349" spans="1:1" x14ac:dyDescent="0.3">
      <c r="A31349" s="20"/>
    </row>
    <row r="31350" spans="1:1" x14ac:dyDescent="0.3">
      <c r="A31350" s="20"/>
    </row>
    <row r="31351" spans="1:1" x14ac:dyDescent="0.3">
      <c r="A31351" s="20"/>
    </row>
    <row r="31352" spans="1:1" x14ac:dyDescent="0.3">
      <c r="A31352" s="20"/>
    </row>
    <row r="31353" spans="1:1" x14ac:dyDescent="0.3">
      <c r="A31353" s="20"/>
    </row>
    <row r="31354" spans="1:1" x14ac:dyDescent="0.3">
      <c r="A31354" s="20"/>
    </row>
    <row r="31355" spans="1:1" x14ac:dyDescent="0.3">
      <c r="A31355" s="20"/>
    </row>
    <row r="31356" spans="1:1" x14ac:dyDescent="0.3">
      <c r="A31356" s="20"/>
    </row>
    <row r="31357" spans="1:1" x14ac:dyDescent="0.3">
      <c r="A31357" s="20"/>
    </row>
    <row r="31358" spans="1:1" x14ac:dyDescent="0.3">
      <c r="A31358" s="20"/>
    </row>
    <row r="31359" spans="1:1" x14ac:dyDescent="0.3">
      <c r="A31359" s="20"/>
    </row>
    <row r="31360" spans="1:1" x14ac:dyDescent="0.3">
      <c r="A31360" s="20"/>
    </row>
    <row r="31361" spans="1:1" x14ac:dyDescent="0.3">
      <c r="A31361" s="20"/>
    </row>
    <row r="31362" spans="1:1" x14ac:dyDescent="0.3">
      <c r="A31362" s="20"/>
    </row>
    <row r="31363" spans="1:1" x14ac:dyDescent="0.3">
      <c r="A31363" s="20"/>
    </row>
    <row r="31364" spans="1:1" x14ac:dyDescent="0.3">
      <c r="A31364" s="20"/>
    </row>
    <row r="31365" spans="1:1" x14ac:dyDescent="0.3">
      <c r="A31365" s="20"/>
    </row>
    <row r="31366" spans="1:1" x14ac:dyDescent="0.3">
      <c r="A31366" s="20"/>
    </row>
    <row r="31367" spans="1:1" x14ac:dyDescent="0.3">
      <c r="A31367" s="20"/>
    </row>
    <row r="31368" spans="1:1" x14ac:dyDescent="0.3">
      <c r="A31368" s="20"/>
    </row>
    <row r="31369" spans="1:1" x14ac:dyDescent="0.3">
      <c r="A31369" s="20"/>
    </row>
    <row r="31370" spans="1:1" x14ac:dyDescent="0.3">
      <c r="A31370" s="20"/>
    </row>
    <row r="31371" spans="1:1" x14ac:dyDescent="0.3">
      <c r="A31371" s="20"/>
    </row>
    <row r="31372" spans="1:1" x14ac:dyDescent="0.3">
      <c r="A31372" s="20"/>
    </row>
    <row r="31373" spans="1:1" x14ac:dyDescent="0.3">
      <c r="A31373" s="20"/>
    </row>
    <row r="31374" spans="1:1" x14ac:dyDescent="0.3">
      <c r="A31374" s="20"/>
    </row>
    <row r="31375" spans="1:1" x14ac:dyDescent="0.3">
      <c r="A31375" s="20"/>
    </row>
    <row r="31376" spans="1:1" x14ac:dyDescent="0.3">
      <c r="A31376" s="20"/>
    </row>
    <row r="31377" spans="1:1" x14ac:dyDescent="0.3">
      <c r="A31377" s="20"/>
    </row>
    <row r="31378" spans="1:1" x14ac:dyDescent="0.3">
      <c r="A31378" s="20"/>
    </row>
    <row r="31379" spans="1:1" x14ac:dyDescent="0.3">
      <c r="A31379" s="20"/>
    </row>
    <row r="31380" spans="1:1" x14ac:dyDescent="0.3">
      <c r="A31380" s="20"/>
    </row>
    <row r="31381" spans="1:1" x14ac:dyDescent="0.3">
      <c r="A31381" s="20"/>
    </row>
    <row r="31382" spans="1:1" x14ac:dyDescent="0.3">
      <c r="A31382" s="20"/>
    </row>
    <row r="31383" spans="1:1" x14ac:dyDescent="0.3">
      <c r="A31383" s="20"/>
    </row>
    <row r="31384" spans="1:1" x14ac:dyDescent="0.3">
      <c r="A31384" s="20"/>
    </row>
    <row r="31385" spans="1:1" x14ac:dyDescent="0.3">
      <c r="A31385" s="20"/>
    </row>
    <row r="31386" spans="1:1" x14ac:dyDescent="0.3">
      <c r="A31386" s="20"/>
    </row>
    <row r="31387" spans="1:1" x14ac:dyDescent="0.3">
      <c r="A31387" s="20"/>
    </row>
    <row r="31388" spans="1:1" x14ac:dyDescent="0.3">
      <c r="A31388" s="20"/>
    </row>
    <row r="31389" spans="1:1" x14ac:dyDescent="0.3">
      <c r="A31389" s="20"/>
    </row>
    <row r="31390" spans="1:1" x14ac:dyDescent="0.3">
      <c r="A31390" s="20"/>
    </row>
    <row r="31391" spans="1:1" x14ac:dyDescent="0.3">
      <c r="A31391" s="20"/>
    </row>
    <row r="31392" spans="1:1" x14ac:dyDescent="0.3">
      <c r="A31392" s="20"/>
    </row>
    <row r="31393" spans="1:1" x14ac:dyDescent="0.3">
      <c r="A31393" s="20"/>
    </row>
    <row r="31394" spans="1:1" x14ac:dyDescent="0.3">
      <c r="A31394" s="20"/>
    </row>
    <row r="31395" spans="1:1" x14ac:dyDescent="0.3">
      <c r="A31395" s="20"/>
    </row>
    <row r="31396" spans="1:1" x14ac:dyDescent="0.3">
      <c r="A31396" s="20"/>
    </row>
    <row r="31397" spans="1:1" x14ac:dyDescent="0.3">
      <c r="A31397" s="20"/>
    </row>
    <row r="31398" spans="1:1" x14ac:dyDescent="0.3">
      <c r="A31398" s="20"/>
    </row>
    <row r="31399" spans="1:1" x14ac:dyDescent="0.3">
      <c r="A31399" s="20"/>
    </row>
    <row r="31400" spans="1:1" x14ac:dyDescent="0.3">
      <c r="A31400" s="20"/>
    </row>
    <row r="31401" spans="1:1" x14ac:dyDescent="0.3">
      <c r="A31401" s="20"/>
    </row>
    <row r="31402" spans="1:1" x14ac:dyDescent="0.3">
      <c r="A31402" s="20"/>
    </row>
    <row r="31403" spans="1:1" x14ac:dyDescent="0.3">
      <c r="A31403" s="20"/>
    </row>
    <row r="31404" spans="1:1" x14ac:dyDescent="0.3">
      <c r="A31404" s="20"/>
    </row>
    <row r="31405" spans="1:1" x14ac:dyDescent="0.3">
      <c r="A31405" s="20"/>
    </row>
    <row r="31406" spans="1:1" x14ac:dyDescent="0.3">
      <c r="A31406" s="20"/>
    </row>
    <row r="31407" spans="1:1" x14ac:dyDescent="0.3">
      <c r="A31407" s="20"/>
    </row>
    <row r="31408" spans="1:1" x14ac:dyDescent="0.3">
      <c r="A31408" s="20"/>
    </row>
    <row r="31409" spans="1:1" x14ac:dyDescent="0.3">
      <c r="A31409" s="20"/>
    </row>
    <row r="31410" spans="1:1" x14ac:dyDescent="0.3">
      <c r="A31410" s="20"/>
    </row>
    <row r="31411" spans="1:1" x14ac:dyDescent="0.3">
      <c r="A31411" s="20"/>
    </row>
    <row r="31412" spans="1:1" x14ac:dyDescent="0.3">
      <c r="A31412" s="20"/>
    </row>
    <row r="31413" spans="1:1" x14ac:dyDescent="0.3">
      <c r="A31413" s="20"/>
    </row>
    <row r="31414" spans="1:1" x14ac:dyDescent="0.3">
      <c r="A31414" s="20"/>
    </row>
    <row r="31415" spans="1:1" x14ac:dyDescent="0.3">
      <c r="A31415" s="20"/>
    </row>
    <row r="31416" spans="1:1" x14ac:dyDescent="0.3">
      <c r="A31416" s="20"/>
    </row>
    <row r="31417" spans="1:1" x14ac:dyDescent="0.3">
      <c r="A31417" s="20"/>
    </row>
    <row r="31418" spans="1:1" x14ac:dyDescent="0.3">
      <c r="A31418" s="20"/>
    </row>
    <row r="31419" spans="1:1" x14ac:dyDescent="0.3">
      <c r="A31419" s="20"/>
    </row>
    <row r="31420" spans="1:1" x14ac:dyDescent="0.3">
      <c r="A31420" s="20"/>
    </row>
    <row r="31421" spans="1:1" x14ac:dyDescent="0.3">
      <c r="A31421" s="20"/>
    </row>
    <row r="31422" spans="1:1" x14ac:dyDescent="0.3">
      <c r="A31422" s="20"/>
    </row>
    <row r="31423" spans="1:1" x14ac:dyDescent="0.3">
      <c r="A31423" s="20"/>
    </row>
    <row r="31424" spans="1:1" x14ac:dyDescent="0.3">
      <c r="A31424" s="20"/>
    </row>
    <row r="31425" spans="1:1" x14ac:dyDescent="0.3">
      <c r="A31425" s="20"/>
    </row>
    <row r="31426" spans="1:1" x14ac:dyDescent="0.3">
      <c r="A31426" s="20"/>
    </row>
    <row r="31427" spans="1:1" x14ac:dyDescent="0.3">
      <c r="A31427" s="20"/>
    </row>
    <row r="31428" spans="1:1" x14ac:dyDescent="0.3">
      <c r="A31428" s="20"/>
    </row>
    <row r="31429" spans="1:1" x14ac:dyDescent="0.3">
      <c r="A31429" s="20"/>
    </row>
    <row r="31430" spans="1:1" x14ac:dyDescent="0.3">
      <c r="A31430" s="20"/>
    </row>
    <row r="31431" spans="1:1" x14ac:dyDescent="0.3">
      <c r="A31431" s="20"/>
    </row>
    <row r="31432" spans="1:1" x14ac:dyDescent="0.3">
      <c r="A31432" s="20"/>
    </row>
    <row r="31433" spans="1:1" x14ac:dyDescent="0.3">
      <c r="A31433" s="20"/>
    </row>
    <row r="31434" spans="1:1" x14ac:dyDescent="0.3">
      <c r="A31434" s="20"/>
    </row>
    <row r="31435" spans="1:1" x14ac:dyDescent="0.3">
      <c r="A31435" s="20"/>
    </row>
    <row r="31436" spans="1:1" x14ac:dyDescent="0.3">
      <c r="A31436" s="20"/>
    </row>
    <row r="31437" spans="1:1" x14ac:dyDescent="0.3">
      <c r="A31437" s="20"/>
    </row>
    <row r="31438" spans="1:1" x14ac:dyDescent="0.3">
      <c r="A31438" s="20"/>
    </row>
    <row r="31439" spans="1:1" x14ac:dyDescent="0.3">
      <c r="A31439" s="20"/>
    </row>
    <row r="31440" spans="1:1" x14ac:dyDescent="0.3">
      <c r="A31440" s="20"/>
    </row>
    <row r="31441" spans="1:1" x14ac:dyDescent="0.3">
      <c r="A31441" s="20"/>
    </row>
    <row r="31442" spans="1:1" x14ac:dyDescent="0.3">
      <c r="A31442" s="20"/>
    </row>
    <row r="31443" spans="1:1" x14ac:dyDescent="0.3">
      <c r="A31443" s="20"/>
    </row>
    <row r="31444" spans="1:1" x14ac:dyDescent="0.3">
      <c r="A31444" s="20"/>
    </row>
    <row r="31445" spans="1:1" x14ac:dyDescent="0.3">
      <c r="A31445" s="20"/>
    </row>
    <row r="31446" spans="1:1" x14ac:dyDescent="0.3">
      <c r="A31446" s="20"/>
    </row>
    <row r="31447" spans="1:1" x14ac:dyDescent="0.3">
      <c r="A31447" s="20"/>
    </row>
    <row r="31448" spans="1:1" x14ac:dyDescent="0.3">
      <c r="A31448" s="20"/>
    </row>
    <row r="31449" spans="1:1" x14ac:dyDescent="0.3">
      <c r="A31449" s="20"/>
    </row>
    <row r="31450" spans="1:1" x14ac:dyDescent="0.3">
      <c r="A31450" s="20"/>
    </row>
    <row r="31451" spans="1:1" x14ac:dyDescent="0.3">
      <c r="A31451" s="20"/>
    </row>
    <row r="31452" spans="1:1" x14ac:dyDescent="0.3">
      <c r="A31452" s="20"/>
    </row>
    <row r="31453" spans="1:1" x14ac:dyDescent="0.3">
      <c r="A31453" s="20"/>
    </row>
    <row r="31454" spans="1:1" x14ac:dyDescent="0.3">
      <c r="A31454" s="20"/>
    </row>
    <row r="31455" spans="1:1" x14ac:dyDescent="0.3">
      <c r="A31455" s="20"/>
    </row>
    <row r="31456" spans="1:1" x14ac:dyDescent="0.3">
      <c r="A31456" s="20"/>
    </row>
    <row r="31457" spans="1:1" x14ac:dyDescent="0.3">
      <c r="A31457" s="20"/>
    </row>
    <row r="31458" spans="1:1" x14ac:dyDescent="0.3">
      <c r="A31458" s="20"/>
    </row>
    <row r="31459" spans="1:1" x14ac:dyDescent="0.3">
      <c r="A31459" s="20"/>
    </row>
    <row r="31460" spans="1:1" x14ac:dyDescent="0.3">
      <c r="A31460" s="20"/>
    </row>
    <row r="31461" spans="1:1" x14ac:dyDescent="0.3">
      <c r="A31461" s="20"/>
    </row>
    <row r="31462" spans="1:1" x14ac:dyDescent="0.3">
      <c r="A31462" s="20"/>
    </row>
    <row r="31463" spans="1:1" x14ac:dyDescent="0.3">
      <c r="A31463" s="20"/>
    </row>
    <row r="31464" spans="1:1" x14ac:dyDescent="0.3">
      <c r="A31464" s="20"/>
    </row>
    <row r="31465" spans="1:1" x14ac:dyDescent="0.3">
      <c r="A31465" s="20"/>
    </row>
    <row r="31466" spans="1:1" x14ac:dyDescent="0.3">
      <c r="A31466" s="20"/>
    </row>
    <row r="31467" spans="1:1" x14ac:dyDescent="0.3">
      <c r="A31467" s="20"/>
    </row>
    <row r="31468" spans="1:1" x14ac:dyDescent="0.3">
      <c r="A31468" s="20"/>
    </row>
    <row r="31469" spans="1:1" x14ac:dyDescent="0.3">
      <c r="A31469" s="20"/>
    </row>
    <row r="31470" spans="1:1" x14ac:dyDescent="0.3">
      <c r="A31470" s="20"/>
    </row>
    <row r="31471" spans="1:1" x14ac:dyDescent="0.3">
      <c r="A31471" s="20"/>
    </row>
    <row r="31472" spans="1:1" x14ac:dyDescent="0.3">
      <c r="A31472" s="20"/>
    </row>
    <row r="31473" spans="1:1" x14ac:dyDescent="0.3">
      <c r="A31473" s="20"/>
    </row>
    <row r="31474" spans="1:1" x14ac:dyDescent="0.3">
      <c r="A31474" s="20"/>
    </row>
    <row r="31475" spans="1:1" x14ac:dyDescent="0.3">
      <c r="A31475" s="20"/>
    </row>
    <row r="31476" spans="1:1" x14ac:dyDescent="0.3">
      <c r="A31476" s="20"/>
    </row>
    <row r="31477" spans="1:1" x14ac:dyDescent="0.3">
      <c r="A31477" s="20"/>
    </row>
    <row r="31478" spans="1:1" x14ac:dyDescent="0.3">
      <c r="A31478" s="20"/>
    </row>
    <row r="31479" spans="1:1" x14ac:dyDescent="0.3">
      <c r="A31479" s="20"/>
    </row>
    <row r="31480" spans="1:1" x14ac:dyDescent="0.3">
      <c r="A31480" s="20"/>
    </row>
    <row r="31481" spans="1:1" x14ac:dyDescent="0.3">
      <c r="A31481" s="20"/>
    </row>
    <row r="31482" spans="1:1" x14ac:dyDescent="0.3">
      <c r="A31482" s="20"/>
    </row>
    <row r="31483" spans="1:1" x14ac:dyDescent="0.3">
      <c r="A31483" s="20"/>
    </row>
    <row r="31484" spans="1:1" x14ac:dyDescent="0.3">
      <c r="A31484" s="20"/>
    </row>
    <row r="31485" spans="1:1" x14ac:dyDescent="0.3">
      <c r="A31485" s="20"/>
    </row>
    <row r="31486" spans="1:1" x14ac:dyDescent="0.3">
      <c r="A31486" s="20"/>
    </row>
    <row r="31487" spans="1:1" x14ac:dyDescent="0.3">
      <c r="A31487" s="20"/>
    </row>
    <row r="31488" spans="1:1" x14ac:dyDescent="0.3">
      <c r="A31488" s="20"/>
    </row>
    <row r="31489" spans="1:1" x14ac:dyDescent="0.3">
      <c r="A31489" s="20"/>
    </row>
    <row r="31490" spans="1:1" x14ac:dyDescent="0.3">
      <c r="A31490" s="20"/>
    </row>
    <row r="31491" spans="1:1" x14ac:dyDescent="0.3">
      <c r="A31491" s="20"/>
    </row>
    <row r="31492" spans="1:1" x14ac:dyDescent="0.3">
      <c r="A31492" s="20"/>
    </row>
    <row r="31493" spans="1:1" x14ac:dyDescent="0.3">
      <c r="A31493" s="20"/>
    </row>
    <row r="31494" spans="1:1" x14ac:dyDescent="0.3">
      <c r="A31494" s="20"/>
    </row>
    <row r="31495" spans="1:1" x14ac:dyDescent="0.3">
      <c r="A31495" s="20"/>
    </row>
    <row r="31496" spans="1:1" x14ac:dyDescent="0.3">
      <c r="A31496" s="20"/>
    </row>
    <row r="31497" spans="1:1" x14ac:dyDescent="0.3">
      <c r="A31497" s="20"/>
    </row>
    <row r="31498" spans="1:1" x14ac:dyDescent="0.3">
      <c r="A31498" s="20"/>
    </row>
    <row r="31499" spans="1:1" x14ac:dyDescent="0.3">
      <c r="A31499" s="20"/>
    </row>
    <row r="31500" spans="1:1" x14ac:dyDescent="0.3">
      <c r="A31500" s="20"/>
    </row>
    <row r="31501" spans="1:1" x14ac:dyDescent="0.3">
      <c r="A31501" s="20"/>
    </row>
    <row r="31502" spans="1:1" x14ac:dyDescent="0.3">
      <c r="A31502" s="20"/>
    </row>
    <row r="31503" spans="1:1" x14ac:dyDescent="0.3">
      <c r="A31503" s="20"/>
    </row>
    <row r="31504" spans="1:1" x14ac:dyDescent="0.3">
      <c r="A31504" s="20"/>
    </row>
    <row r="31505" spans="1:1" x14ac:dyDescent="0.3">
      <c r="A31505" s="20"/>
    </row>
    <row r="31506" spans="1:1" x14ac:dyDescent="0.3">
      <c r="A31506" s="20"/>
    </row>
    <row r="31507" spans="1:1" x14ac:dyDescent="0.3">
      <c r="A31507" s="20"/>
    </row>
    <row r="31508" spans="1:1" x14ac:dyDescent="0.3">
      <c r="A31508" s="20"/>
    </row>
    <row r="31509" spans="1:1" x14ac:dyDescent="0.3">
      <c r="A31509" s="20"/>
    </row>
    <row r="31510" spans="1:1" x14ac:dyDescent="0.3">
      <c r="A31510" s="20"/>
    </row>
    <row r="31511" spans="1:1" x14ac:dyDescent="0.3">
      <c r="A31511" s="20"/>
    </row>
    <row r="31512" spans="1:1" x14ac:dyDescent="0.3">
      <c r="A31512" s="20"/>
    </row>
    <row r="31513" spans="1:1" x14ac:dyDescent="0.3">
      <c r="A31513" s="20"/>
    </row>
    <row r="31514" spans="1:1" x14ac:dyDescent="0.3">
      <c r="A31514" s="20"/>
    </row>
    <row r="31515" spans="1:1" x14ac:dyDescent="0.3">
      <c r="A31515" s="20"/>
    </row>
    <row r="31516" spans="1:1" x14ac:dyDescent="0.3">
      <c r="A31516" s="20"/>
    </row>
    <row r="31517" spans="1:1" x14ac:dyDescent="0.3">
      <c r="A31517" s="20"/>
    </row>
    <row r="31518" spans="1:1" x14ac:dyDescent="0.3">
      <c r="A31518" s="20"/>
    </row>
    <row r="31519" spans="1:1" x14ac:dyDescent="0.3">
      <c r="A31519" s="20"/>
    </row>
    <row r="31520" spans="1:1" x14ac:dyDescent="0.3">
      <c r="A31520" s="20"/>
    </row>
    <row r="31521" spans="1:1" x14ac:dyDescent="0.3">
      <c r="A31521" s="20"/>
    </row>
    <row r="31522" spans="1:1" x14ac:dyDescent="0.3">
      <c r="A31522" s="20"/>
    </row>
    <row r="31523" spans="1:1" x14ac:dyDescent="0.3">
      <c r="A31523" s="20"/>
    </row>
    <row r="31524" spans="1:1" x14ac:dyDescent="0.3">
      <c r="A31524" s="20"/>
    </row>
    <row r="31525" spans="1:1" x14ac:dyDescent="0.3">
      <c r="A31525" s="20"/>
    </row>
    <row r="31526" spans="1:1" x14ac:dyDescent="0.3">
      <c r="A31526" s="20"/>
    </row>
    <row r="31527" spans="1:1" x14ac:dyDescent="0.3">
      <c r="A31527" s="20"/>
    </row>
    <row r="31528" spans="1:1" x14ac:dyDescent="0.3">
      <c r="A31528" s="20"/>
    </row>
    <row r="31529" spans="1:1" x14ac:dyDescent="0.3">
      <c r="A31529" s="20"/>
    </row>
    <row r="31530" spans="1:1" x14ac:dyDescent="0.3">
      <c r="A31530" s="20"/>
    </row>
    <row r="31531" spans="1:1" x14ac:dyDescent="0.3">
      <c r="A31531" s="20"/>
    </row>
    <row r="31532" spans="1:1" x14ac:dyDescent="0.3">
      <c r="A31532" s="20"/>
    </row>
    <row r="31533" spans="1:1" x14ac:dyDescent="0.3">
      <c r="A31533" s="20"/>
    </row>
    <row r="31534" spans="1:1" x14ac:dyDescent="0.3">
      <c r="A31534" s="20"/>
    </row>
    <row r="31535" spans="1:1" x14ac:dyDescent="0.3">
      <c r="A31535" s="20"/>
    </row>
    <row r="31536" spans="1:1" x14ac:dyDescent="0.3">
      <c r="A31536" s="20"/>
    </row>
    <row r="31537" spans="1:1" x14ac:dyDescent="0.3">
      <c r="A31537" s="20"/>
    </row>
    <row r="31538" spans="1:1" x14ac:dyDescent="0.3">
      <c r="A31538" s="20"/>
    </row>
    <row r="31539" spans="1:1" x14ac:dyDescent="0.3">
      <c r="A31539" s="20"/>
    </row>
    <row r="31540" spans="1:1" x14ac:dyDescent="0.3">
      <c r="A31540" s="20"/>
    </row>
    <row r="31541" spans="1:1" x14ac:dyDescent="0.3">
      <c r="A31541" s="20"/>
    </row>
    <row r="31542" spans="1:1" x14ac:dyDescent="0.3">
      <c r="A31542" s="20"/>
    </row>
    <row r="31543" spans="1:1" x14ac:dyDescent="0.3">
      <c r="A31543" s="20"/>
    </row>
    <row r="31544" spans="1:1" x14ac:dyDescent="0.3">
      <c r="A31544" s="20"/>
    </row>
    <row r="31545" spans="1:1" x14ac:dyDescent="0.3">
      <c r="A31545" s="20"/>
    </row>
    <row r="31546" spans="1:1" x14ac:dyDescent="0.3">
      <c r="A31546" s="20"/>
    </row>
    <row r="31547" spans="1:1" x14ac:dyDescent="0.3">
      <c r="A31547" s="20"/>
    </row>
    <row r="31548" spans="1:1" x14ac:dyDescent="0.3">
      <c r="A31548" s="20"/>
    </row>
    <row r="31549" spans="1:1" x14ac:dyDescent="0.3">
      <c r="A31549" s="20"/>
    </row>
    <row r="31550" spans="1:1" x14ac:dyDescent="0.3">
      <c r="A31550" s="20"/>
    </row>
    <row r="31551" spans="1:1" x14ac:dyDescent="0.3">
      <c r="A31551" s="20"/>
    </row>
    <row r="31552" spans="1:1" x14ac:dyDescent="0.3">
      <c r="A31552" s="20"/>
    </row>
    <row r="31553" spans="1:1" x14ac:dyDescent="0.3">
      <c r="A31553" s="20"/>
    </row>
    <row r="31554" spans="1:1" x14ac:dyDescent="0.3">
      <c r="A31554" s="20"/>
    </row>
    <row r="31555" spans="1:1" x14ac:dyDescent="0.3">
      <c r="A31555" s="20"/>
    </row>
    <row r="31556" spans="1:1" x14ac:dyDescent="0.3">
      <c r="A31556" s="20"/>
    </row>
    <row r="31557" spans="1:1" x14ac:dyDescent="0.3">
      <c r="A31557" s="20"/>
    </row>
    <row r="31558" spans="1:1" x14ac:dyDescent="0.3">
      <c r="A31558" s="20"/>
    </row>
    <row r="31559" spans="1:1" x14ac:dyDescent="0.3">
      <c r="A31559" s="20"/>
    </row>
    <row r="31560" spans="1:1" x14ac:dyDescent="0.3">
      <c r="A31560" s="20"/>
    </row>
    <row r="31561" spans="1:1" x14ac:dyDescent="0.3">
      <c r="A31561" s="20"/>
    </row>
    <row r="31562" spans="1:1" x14ac:dyDescent="0.3">
      <c r="A31562" s="20"/>
    </row>
    <row r="31563" spans="1:1" x14ac:dyDescent="0.3">
      <c r="A31563" s="20"/>
    </row>
    <row r="31564" spans="1:1" x14ac:dyDescent="0.3">
      <c r="A31564" s="20"/>
    </row>
    <row r="31565" spans="1:1" x14ac:dyDescent="0.3">
      <c r="A31565" s="20"/>
    </row>
    <row r="31566" spans="1:1" x14ac:dyDescent="0.3">
      <c r="A31566" s="20"/>
    </row>
    <row r="31567" spans="1:1" x14ac:dyDescent="0.3">
      <c r="A31567" s="20"/>
    </row>
    <row r="31568" spans="1:1" x14ac:dyDescent="0.3">
      <c r="A31568" s="20"/>
    </row>
    <row r="31569" spans="1:1" x14ac:dyDescent="0.3">
      <c r="A31569" s="20"/>
    </row>
    <row r="31570" spans="1:1" x14ac:dyDescent="0.3">
      <c r="A31570" s="20"/>
    </row>
    <row r="31571" spans="1:1" x14ac:dyDescent="0.3">
      <c r="A31571" s="20"/>
    </row>
    <row r="31572" spans="1:1" x14ac:dyDescent="0.3">
      <c r="A31572" s="20"/>
    </row>
    <row r="31573" spans="1:1" x14ac:dyDescent="0.3">
      <c r="A31573" s="20"/>
    </row>
    <row r="31574" spans="1:1" x14ac:dyDescent="0.3">
      <c r="A31574" s="20"/>
    </row>
    <row r="31575" spans="1:1" x14ac:dyDescent="0.3">
      <c r="A31575" s="20"/>
    </row>
    <row r="31576" spans="1:1" x14ac:dyDescent="0.3">
      <c r="A31576" s="20"/>
    </row>
    <row r="31577" spans="1:1" x14ac:dyDescent="0.3">
      <c r="A31577" s="20"/>
    </row>
    <row r="31578" spans="1:1" x14ac:dyDescent="0.3">
      <c r="A31578" s="20"/>
    </row>
    <row r="31579" spans="1:1" x14ac:dyDescent="0.3">
      <c r="A31579" s="20"/>
    </row>
    <row r="31580" spans="1:1" x14ac:dyDescent="0.3">
      <c r="A31580" s="20"/>
    </row>
    <row r="31581" spans="1:1" x14ac:dyDescent="0.3">
      <c r="A31581" s="20"/>
    </row>
    <row r="31582" spans="1:1" x14ac:dyDescent="0.3">
      <c r="A31582" s="20"/>
    </row>
    <row r="31583" spans="1:1" x14ac:dyDescent="0.3">
      <c r="A31583" s="20"/>
    </row>
    <row r="31584" spans="1:1" x14ac:dyDescent="0.3">
      <c r="A31584" s="20"/>
    </row>
    <row r="31585" spans="1:1" x14ac:dyDescent="0.3">
      <c r="A31585" s="20"/>
    </row>
    <row r="31586" spans="1:1" x14ac:dyDescent="0.3">
      <c r="A31586" s="20"/>
    </row>
    <row r="31587" spans="1:1" x14ac:dyDescent="0.3">
      <c r="A31587" s="20"/>
    </row>
    <row r="31588" spans="1:1" x14ac:dyDescent="0.3">
      <c r="A31588" s="20"/>
    </row>
    <row r="31589" spans="1:1" x14ac:dyDescent="0.3">
      <c r="A31589" s="20"/>
    </row>
    <row r="31590" spans="1:1" x14ac:dyDescent="0.3">
      <c r="A31590" s="20"/>
    </row>
    <row r="31591" spans="1:1" x14ac:dyDescent="0.3">
      <c r="A31591" s="20"/>
    </row>
    <row r="31592" spans="1:1" x14ac:dyDescent="0.3">
      <c r="A31592" s="20"/>
    </row>
    <row r="31593" spans="1:1" x14ac:dyDescent="0.3">
      <c r="A31593" s="20"/>
    </row>
    <row r="31594" spans="1:1" x14ac:dyDescent="0.3">
      <c r="A31594" s="20"/>
    </row>
    <row r="31595" spans="1:1" x14ac:dyDescent="0.3">
      <c r="A31595" s="20"/>
    </row>
    <row r="31596" spans="1:1" x14ac:dyDescent="0.3">
      <c r="A31596" s="20"/>
    </row>
    <row r="31597" spans="1:1" x14ac:dyDescent="0.3">
      <c r="A31597" s="20"/>
    </row>
    <row r="31598" spans="1:1" x14ac:dyDescent="0.3">
      <c r="A31598" s="20"/>
    </row>
    <row r="31599" spans="1:1" x14ac:dyDescent="0.3">
      <c r="A31599" s="20"/>
    </row>
    <row r="31600" spans="1:1" x14ac:dyDescent="0.3">
      <c r="A31600" s="20"/>
    </row>
    <row r="31601" spans="1:1" x14ac:dyDescent="0.3">
      <c r="A31601" s="20"/>
    </row>
    <row r="31602" spans="1:1" x14ac:dyDescent="0.3">
      <c r="A31602" s="20"/>
    </row>
    <row r="31603" spans="1:1" x14ac:dyDescent="0.3">
      <c r="A31603" s="20"/>
    </row>
    <row r="31604" spans="1:1" x14ac:dyDescent="0.3">
      <c r="A31604" s="20"/>
    </row>
    <row r="31605" spans="1:1" x14ac:dyDescent="0.3">
      <c r="A31605" s="20"/>
    </row>
    <row r="31606" spans="1:1" x14ac:dyDescent="0.3">
      <c r="A31606" s="20"/>
    </row>
    <row r="31607" spans="1:1" x14ac:dyDescent="0.3">
      <c r="A31607" s="20"/>
    </row>
    <row r="31608" spans="1:1" x14ac:dyDescent="0.3">
      <c r="A31608" s="20"/>
    </row>
    <row r="31609" spans="1:1" x14ac:dyDescent="0.3">
      <c r="A31609" s="20"/>
    </row>
    <row r="31610" spans="1:1" x14ac:dyDescent="0.3">
      <c r="A31610" s="20"/>
    </row>
    <row r="31611" spans="1:1" x14ac:dyDescent="0.3">
      <c r="A31611" s="20"/>
    </row>
    <row r="31612" spans="1:1" x14ac:dyDescent="0.3">
      <c r="A31612" s="20"/>
    </row>
    <row r="31613" spans="1:1" x14ac:dyDescent="0.3">
      <c r="A31613" s="20"/>
    </row>
    <row r="31614" spans="1:1" x14ac:dyDescent="0.3">
      <c r="A31614" s="20"/>
    </row>
    <row r="31615" spans="1:1" x14ac:dyDescent="0.3">
      <c r="A31615" s="20"/>
    </row>
    <row r="31616" spans="1:1" x14ac:dyDescent="0.3">
      <c r="A31616" s="20"/>
    </row>
    <row r="31617" spans="1:1" x14ac:dyDescent="0.3">
      <c r="A31617" s="20"/>
    </row>
    <row r="31618" spans="1:1" x14ac:dyDescent="0.3">
      <c r="A31618" s="20"/>
    </row>
    <row r="31619" spans="1:1" x14ac:dyDescent="0.3">
      <c r="A31619" s="20"/>
    </row>
    <row r="31620" spans="1:1" x14ac:dyDescent="0.3">
      <c r="A31620" s="20"/>
    </row>
    <row r="31621" spans="1:1" x14ac:dyDescent="0.3">
      <c r="A31621" s="20"/>
    </row>
    <row r="31622" spans="1:1" x14ac:dyDescent="0.3">
      <c r="A31622" s="20"/>
    </row>
    <row r="31623" spans="1:1" x14ac:dyDescent="0.3">
      <c r="A31623" s="20"/>
    </row>
    <row r="31624" spans="1:1" x14ac:dyDescent="0.3">
      <c r="A31624" s="20"/>
    </row>
    <row r="31625" spans="1:1" x14ac:dyDescent="0.3">
      <c r="A31625" s="20"/>
    </row>
    <row r="31626" spans="1:1" x14ac:dyDescent="0.3">
      <c r="A31626" s="20"/>
    </row>
    <row r="31627" spans="1:1" x14ac:dyDescent="0.3">
      <c r="A31627" s="20"/>
    </row>
    <row r="31628" spans="1:1" x14ac:dyDescent="0.3">
      <c r="A31628" s="20"/>
    </row>
    <row r="31629" spans="1:1" x14ac:dyDescent="0.3">
      <c r="A31629" s="20"/>
    </row>
    <row r="31630" spans="1:1" x14ac:dyDescent="0.3">
      <c r="A31630" s="20"/>
    </row>
    <row r="31631" spans="1:1" x14ac:dyDescent="0.3">
      <c r="A31631" s="20"/>
    </row>
    <row r="31632" spans="1:1" x14ac:dyDescent="0.3">
      <c r="A31632" s="20"/>
    </row>
    <row r="31633" spans="1:1" x14ac:dyDescent="0.3">
      <c r="A31633" s="20"/>
    </row>
    <row r="31634" spans="1:1" x14ac:dyDescent="0.3">
      <c r="A31634" s="20"/>
    </row>
    <row r="31635" spans="1:1" x14ac:dyDescent="0.3">
      <c r="A31635" s="20"/>
    </row>
    <row r="31636" spans="1:1" x14ac:dyDescent="0.3">
      <c r="A31636" s="20"/>
    </row>
    <row r="31637" spans="1:1" x14ac:dyDescent="0.3">
      <c r="A31637" s="20"/>
    </row>
    <row r="31638" spans="1:1" x14ac:dyDescent="0.3">
      <c r="A31638" s="20"/>
    </row>
    <row r="31639" spans="1:1" x14ac:dyDescent="0.3">
      <c r="A31639" s="20"/>
    </row>
    <row r="31640" spans="1:1" x14ac:dyDescent="0.3">
      <c r="A31640" s="20"/>
    </row>
    <row r="31641" spans="1:1" x14ac:dyDescent="0.3">
      <c r="A31641" s="20"/>
    </row>
    <row r="31642" spans="1:1" x14ac:dyDescent="0.3">
      <c r="A31642" s="20"/>
    </row>
    <row r="31643" spans="1:1" x14ac:dyDescent="0.3">
      <c r="A31643" s="20"/>
    </row>
    <row r="31644" spans="1:1" x14ac:dyDescent="0.3">
      <c r="A31644" s="20"/>
    </row>
    <row r="31645" spans="1:1" x14ac:dyDescent="0.3">
      <c r="A31645" s="20"/>
    </row>
    <row r="31646" spans="1:1" x14ac:dyDescent="0.3">
      <c r="A31646" s="20"/>
    </row>
    <row r="31647" spans="1:1" x14ac:dyDescent="0.3">
      <c r="A31647" s="20"/>
    </row>
    <row r="31648" spans="1:1" x14ac:dyDescent="0.3">
      <c r="A31648" s="20"/>
    </row>
    <row r="31649" spans="1:1" x14ac:dyDescent="0.3">
      <c r="A31649" s="20"/>
    </row>
    <row r="31650" spans="1:1" x14ac:dyDescent="0.3">
      <c r="A31650" s="20"/>
    </row>
    <row r="31651" spans="1:1" x14ac:dyDescent="0.3">
      <c r="A31651" s="20"/>
    </row>
    <row r="31652" spans="1:1" x14ac:dyDescent="0.3">
      <c r="A31652" s="20"/>
    </row>
    <row r="31653" spans="1:1" x14ac:dyDescent="0.3">
      <c r="A31653" s="20"/>
    </row>
    <row r="31654" spans="1:1" x14ac:dyDescent="0.3">
      <c r="A31654" s="20"/>
    </row>
    <row r="31655" spans="1:1" x14ac:dyDescent="0.3">
      <c r="A31655" s="20"/>
    </row>
    <row r="31656" spans="1:1" x14ac:dyDescent="0.3">
      <c r="A31656" s="20"/>
    </row>
    <row r="31657" spans="1:1" x14ac:dyDescent="0.3">
      <c r="A31657" s="20"/>
    </row>
    <row r="31658" spans="1:1" x14ac:dyDescent="0.3">
      <c r="A31658" s="20"/>
    </row>
    <row r="31659" spans="1:1" x14ac:dyDescent="0.3">
      <c r="A31659" s="20"/>
    </row>
    <row r="31660" spans="1:1" x14ac:dyDescent="0.3">
      <c r="A31660" s="20"/>
    </row>
    <row r="31661" spans="1:1" x14ac:dyDescent="0.3">
      <c r="A31661" s="20"/>
    </row>
    <row r="31662" spans="1:1" x14ac:dyDescent="0.3">
      <c r="A31662" s="20"/>
    </row>
    <row r="31663" spans="1:1" x14ac:dyDescent="0.3">
      <c r="A31663" s="20"/>
    </row>
    <row r="31664" spans="1:1" x14ac:dyDescent="0.3">
      <c r="A31664" s="20"/>
    </row>
    <row r="31665" spans="1:1" x14ac:dyDescent="0.3">
      <c r="A31665" s="20"/>
    </row>
    <row r="31666" spans="1:1" x14ac:dyDescent="0.3">
      <c r="A31666" s="20"/>
    </row>
    <row r="31667" spans="1:1" x14ac:dyDescent="0.3">
      <c r="A31667" s="20"/>
    </row>
    <row r="31668" spans="1:1" x14ac:dyDescent="0.3">
      <c r="A31668" s="20"/>
    </row>
    <row r="31669" spans="1:1" x14ac:dyDescent="0.3">
      <c r="A31669" s="20"/>
    </row>
    <row r="31670" spans="1:1" x14ac:dyDescent="0.3">
      <c r="A31670" s="20"/>
    </row>
    <row r="31671" spans="1:1" x14ac:dyDescent="0.3">
      <c r="A31671" s="20"/>
    </row>
    <row r="31672" spans="1:1" x14ac:dyDescent="0.3">
      <c r="A31672" s="20"/>
    </row>
    <row r="31673" spans="1:1" x14ac:dyDescent="0.3">
      <c r="A31673" s="20"/>
    </row>
    <row r="31674" spans="1:1" x14ac:dyDescent="0.3">
      <c r="A31674" s="20"/>
    </row>
    <row r="31675" spans="1:1" x14ac:dyDescent="0.3">
      <c r="A31675" s="20"/>
    </row>
    <row r="31676" spans="1:1" x14ac:dyDescent="0.3">
      <c r="A31676" s="20"/>
    </row>
    <row r="31677" spans="1:1" x14ac:dyDescent="0.3">
      <c r="A31677" s="20"/>
    </row>
    <row r="31678" spans="1:1" x14ac:dyDescent="0.3">
      <c r="A31678" s="20"/>
    </row>
    <row r="31679" spans="1:1" x14ac:dyDescent="0.3">
      <c r="A31679" s="20"/>
    </row>
    <row r="31680" spans="1:1" x14ac:dyDescent="0.3">
      <c r="A31680" s="20"/>
    </row>
    <row r="31681" spans="1:1" x14ac:dyDescent="0.3">
      <c r="A31681" s="20"/>
    </row>
    <row r="31682" spans="1:1" x14ac:dyDescent="0.3">
      <c r="A31682" s="20"/>
    </row>
    <row r="31683" spans="1:1" x14ac:dyDescent="0.3">
      <c r="A31683" s="20"/>
    </row>
    <row r="31684" spans="1:1" x14ac:dyDescent="0.3">
      <c r="A31684" s="20"/>
    </row>
    <row r="31685" spans="1:1" x14ac:dyDescent="0.3">
      <c r="A31685" s="20"/>
    </row>
    <row r="31686" spans="1:1" x14ac:dyDescent="0.3">
      <c r="A31686" s="20"/>
    </row>
    <row r="31687" spans="1:1" x14ac:dyDescent="0.3">
      <c r="A31687" s="20"/>
    </row>
    <row r="31688" spans="1:1" x14ac:dyDescent="0.3">
      <c r="A31688" s="20"/>
    </row>
    <row r="31689" spans="1:1" x14ac:dyDescent="0.3">
      <c r="A31689" s="20"/>
    </row>
    <row r="31690" spans="1:1" x14ac:dyDescent="0.3">
      <c r="A31690" s="20"/>
    </row>
    <row r="31691" spans="1:1" x14ac:dyDescent="0.3">
      <c r="A31691" s="20"/>
    </row>
    <row r="31692" spans="1:1" x14ac:dyDescent="0.3">
      <c r="A31692" s="20"/>
    </row>
    <row r="31693" spans="1:1" x14ac:dyDescent="0.3">
      <c r="A31693" s="20"/>
    </row>
    <row r="31694" spans="1:1" x14ac:dyDescent="0.3">
      <c r="A31694" s="20"/>
    </row>
    <row r="31695" spans="1:1" x14ac:dyDescent="0.3">
      <c r="A31695" s="20"/>
    </row>
    <row r="31696" spans="1:1" x14ac:dyDescent="0.3">
      <c r="A31696" s="20"/>
    </row>
    <row r="31697" spans="1:1" x14ac:dyDescent="0.3">
      <c r="A31697" s="20"/>
    </row>
    <row r="31698" spans="1:1" x14ac:dyDescent="0.3">
      <c r="A31698" s="20"/>
    </row>
    <row r="31699" spans="1:1" x14ac:dyDescent="0.3">
      <c r="A31699" s="20"/>
    </row>
    <row r="31700" spans="1:1" x14ac:dyDescent="0.3">
      <c r="A31700" s="20"/>
    </row>
    <row r="31701" spans="1:1" x14ac:dyDescent="0.3">
      <c r="A31701" s="20"/>
    </row>
    <row r="31702" spans="1:1" x14ac:dyDescent="0.3">
      <c r="A31702" s="20"/>
    </row>
    <row r="31703" spans="1:1" x14ac:dyDescent="0.3">
      <c r="A31703" s="20"/>
    </row>
    <row r="31704" spans="1:1" x14ac:dyDescent="0.3">
      <c r="A31704" s="20"/>
    </row>
    <row r="31705" spans="1:1" x14ac:dyDescent="0.3">
      <c r="A31705" s="20"/>
    </row>
    <row r="31706" spans="1:1" x14ac:dyDescent="0.3">
      <c r="A31706" s="20"/>
    </row>
    <row r="31707" spans="1:1" x14ac:dyDescent="0.3">
      <c r="A31707" s="20"/>
    </row>
    <row r="31708" spans="1:1" x14ac:dyDescent="0.3">
      <c r="A31708" s="20"/>
    </row>
    <row r="31709" spans="1:1" x14ac:dyDescent="0.3">
      <c r="A31709" s="20"/>
    </row>
    <row r="31710" spans="1:1" x14ac:dyDescent="0.3">
      <c r="A31710" s="20"/>
    </row>
    <row r="31711" spans="1:1" x14ac:dyDescent="0.3">
      <c r="A31711" s="20"/>
    </row>
    <row r="31712" spans="1:1" x14ac:dyDescent="0.3">
      <c r="A31712" s="20"/>
    </row>
    <row r="31713" spans="1:1" x14ac:dyDescent="0.3">
      <c r="A31713" s="20"/>
    </row>
    <row r="31714" spans="1:1" x14ac:dyDescent="0.3">
      <c r="A31714" s="20"/>
    </row>
    <row r="31715" spans="1:1" x14ac:dyDescent="0.3">
      <c r="A31715" s="20"/>
    </row>
    <row r="31716" spans="1:1" x14ac:dyDescent="0.3">
      <c r="A31716" s="20"/>
    </row>
    <row r="31717" spans="1:1" x14ac:dyDescent="0.3">
      <c r="A31717" s="20"/>
    </row>
    <row r="31718" spans="1:1" x14ac:dyDescent="0.3">
      <c r="A31718" s="20"/>
    </row>
    <row r="31719" spans="1:1" x14ac:dyDescent="0.3">
      <c r="A31719" s="20"/>
    </row>
    <row r="31720" spans="1:1" x14ac:dyDescent="0.3">
      <c r="A31720" s="20"/>
    </row>
    <row r="31721" spans="1:1" x14ac:dyDescent="0.3">
      <c r="A31721" s="20"/>
    </row>
    <row r="31722" spans="1:1" x14ac:dyDescent="0.3">
      <c r="A31722" s="20"/>
    </row>
    <row r="31723" spans="1:1" x14ac:dyDescent="0.3">
      <c r="A31723" s="20"/>
    </row>
    <row r="31724" spans="1:1" x14ac:dyDescent="0.3">
      <c r="A31724" s="20"/>
    </row>
    <row r="31725" spans="1:1" x14ac:dyDescent="0.3">
      <c r="A31725" s="20"/>
    </row>
    <row r="31726" spans="1:1" x14ac:dyDescent="0.3">
      <c r="A31726" s="20"/>
    </row>
    <row r="31727" spans="1:1" x14ac:dyDescent="0.3">
      <c r="A31727" s="20"/>
    </row>
    <row r="31728" spans="1:1" x14ac:dyDescent="0.3">
      <c r="A31728" s="20"/>
    </row>
    <row r="31729" spans="1:1" x14ac:dyDescent="0.3">
      <c r="A31729" s="20"/>
    </row>
    <row r="31730" spans="1:1" x14ac:dyDescent="0.3">
      <c r="A31730" s="20"/>
    </row>
    <row r="31731" spans="1:1" x14ac:dyDescent="0.3">
      <c r="A31731" s="20"/>
    </row>
    <row r="31732" spans="1:1" x14ac:dyDescent="0.3">
      <c r="A31732" s="20"/>
    </row>
    <row r="31733" spans="1:1" x14ac:dyDescent="0.3">
      <c r="A31733" s="20"/>
    </row>
    <row r="31734" spans="1:1" x14ac:dyDescent="0.3">
      <c r="A31734" s="20"/>
    </row>
    <row r="31735" spans="1:1" x14ac:dyDescent="0.3">
      <c r="A31735" s="20"/>
    </row>
    <row r="31736" spans="1:1" x14ac:dyDescent="0.3">
      <c r="A31736" s="20"/>
    </row>
    <row r="31737" spans="1:1" x14ac:dyDescent="0.3">
      <c r="A31737" s="20"/>
    </row>
    <row r="31738" spans="1:1" x14ac:dyDescent="0.3">
      <c r="A31738" s="20"/>
    </row>
    <row r="31739" spans="1:1" x14ac:dyDescent="0.3">
      <c r="A31739" s="20"/>
    </row>
    <row r="31740" spans="1:1" x14ac:dyDescent="0.3">
      <c r="A31740" s="20"/>
    </row>
    <row r="31741" spans="1:1" x14ac:dyDescent="0.3">
      <c r="A31741" s="20"/>
    </row>
    <row r="31742" spans="1:1" x14ac:dyDescent="0.3">
      <c r="A31742" s="20"/>
    </row>
    <row r="31743" spans="1:1" x14ac:dyDescent="0.3">
      <c r="A31743" s="20"/>
    </row>
    <row r="31744" spans="1:1" x14ac:dyDescent="0.3">
      <c r="A31744" s="20"/>
    </row>
    <row r="31745" spans="1:1" x14ac:dyDescent="0.3">
      <c r="A31745" s="20"/>
    </row>
    <row r="31746" spans="1:1" x14ac:dyDescent="0.3">
      <c r="A31746" s="20"/>
    </row>
    <row r="31747" spans="1:1" x14ac:dyDescent="0.3">
      <c r="A31747" s="20"/>
    </row>
    <row r="31748" spans="1:1" x14ac:dyDescent="0.3">
      <c r="A31748" s="20"/>
    </row>
    <row r="31749" spans="1:1" x14ac:dyDescent="0.3">
      <c r="A31749" s="20"/>
    </row>
    <row r="31750" spans="1:1" x14ac:dyDescent="0.3">
      <c r="A31750" s="20"/>
    </row>
    <row r="31751" spans="1:1" x14ac:dyDescent="0.3">
      <c r="A31751" s="20"/>
    </row>
    <row r="31752" spans="1:1" x14ac:dyDescent="0.3">
      <c r="A31752" s="20"/>
    </row>
    <row r="31753" spans="1:1" x14ac:dyDescent="0.3">
      <c r="A31753" s="20"/>
    </row>
    <row r="31754" spans="1:1" x14ac:dyDescent="0.3">
      <c r="A31754" s="20"/>
    </row>
    <row r="31755" spans="1:1" x14ac:dyDescent="0.3">
      <c r="A31755" s="20"/>
    </row>
    <row r="31756" spans="1:1" x14ac:dyDescent="0.3">
      <c r="A31756" s="20"/>
    </row>
    <row r="31757" spans="1:1" x14ac:dyDescent="0.3">
      <c r="A31757" s="20"/>
    </row>
    <row r="31758" spans="1:1" x14ac:dyDescent="0.3">
      <c r="A31758" s="20"/>
    </row>
    <row r="31759" spans="1:1" x14ac:dyDescent="0.3">
      <c r="A31759" s="20"/>
    </row>
    <row r="31760" spans="1:1" x14ac:dyDescent="0.3">
      <c r="A31760" s="20"/>
    </row>
    <row r="31761" spans="1:1" x14ac:dyDescent="0.3">
      <c r="A31761" s="20"/>
    </row>
    <row r="31762" spans="1:1" x14ac:dyDescent="0.3">
      <c r="A31762" s="20"/>
    </row>
    <row r="31763" spans="1:1" x14ac:dyDescent="0.3">
      <c r="A31763" s="20"/>
    </row>
    <row r="31764" spans="1:1" x14ac:dyDescent="0.3">
      <c r="A31764" s="20"/>
    </row>
    <row r="31765" spans="1:1" x14ac:dyDescent="0.3">
      <c r="A31765" s="20"/>
    </row>
    <row r="31766" spans="1:1" x14ac:dyDescent="0.3">
      <c r="A31766" s="20"/>
    </row>
    <row r="31767" spans="1:1" x14ac:dyDescent="0.3">
      <c r="A31767" s="20"/>
    </row>
    <row r="31768" spans="1:1" x14ac:dyDescent="0.3">
      <c r="A31768" s="20"/>
    </row>
    <row r="31769" spans="1:1" x14ac:dyDescent="0.3">
      <c r="A31769" s="20"/>
    </row>
    <row r="31770" spans="1:1" x14ac:dyDescent="0.3">
      <c r="A31770" s="20"/>
    </row>
    <row r="31771" spans="1:1" x14ac:dyDescent="0.3">
      <c r="A31771" s="20"/>
    </row>
    <row r="31772" spans="1:1" x14ac:dyDescent="0.3">
      <c r="A31772" s="20"/>
    </row>
    <row r="31773" spans="1:1" x14ac:dyDescent="0.3">
      <c r="A31773" s="20"/>
    </row>
    <row r="31774" spans="1:1" x14ac:dyDescent="0.3">
      <c r="A31774" s="20"/>
    </row>
    <row r="31775" spans="1:1" x14ac:dyDescent="0.3">
      <c r="A31775" s="20"/>
    </row>
    <row r="31776" spans="1:1" x14ac:dyDescent="0.3">
      <c r="A31776" s="20"/>
    </row>
    <row r="31777" spans="1:1" x14ac:dyDescent="0.3">
      <c r="A31777" s="20"/>
    </row>
    <row r="31778" spans="1:1" x14ac:dyDescent="0.3">
      <c r="A31778" s="20"/>
    </row>
    <row r="31779" spans="1:1" x14ac:dyDescent="0.3">
      <c r="A31779" s="20"/>
    </row>
    <row r="31780" spans="1:1" x14ac:dyDescent="0.3">
      <c r="A31780" s="20"/>
    </row>
    <row r="31781" spans="1:1" x14ac:dyDescent="0.3">
      <c r="A31781" s="20"/>
    </row>
    <row r="31782" spans="1:1" x14ac:dyDescent="0.3">
      <c r="A31782" s="20"/>
    </row>
    <row r="31783" spans="1:1" x14ac:dyDescent="0.3">
      <c r="A31783" s="20"/>
    </row>
    <row r="31784" spans="1:1" x14ac:dyDescent="0.3">
      <c r="A31784" s="20"/>
    </row>
    <row r="31785" spans="1:1" x14ac:dyDescent="0.3">
      <c r="A31785" s="20"/>
    </row>
    <row r="31786" spans="1:1" x14ac:dyDescent="0.3">
      <c r="A31786" s="20"/>
    </row>
    <row r="31787" spans="1:1" x14ac:dyDescent="0.3">
      <c r="A31787" s="20"/>
    </row>
    <row r="31788" spans="1:1" x14ac:dyDescent="0.3">
      <c r="A31788" s="20"/>
    </row>
    <row r="31789" spans="1:1" x14ac:dyDescent="0.3">
      <c r="A31789" s="20"/>
    </row>
    <row r="31790" spans="1:1" x14ac:dyDescent="0.3">
      <c r="A31790" s="20"/>
    </row>
    <row r="31791" spans="1:1" x14ac:dyDescent="0.3">
      <c r="A31791" s="20"/>
    </row>
    <row r="31792" spans="1:1" x14ac:dyDescent="0.3">
      <c r="A31792" s="20"/>
    </row>
    <row r="31793" spans="1:1" x14ac:dyDescent="0.3">
      <c r="A31793" s="20"/>
    </row>
    <row r="31794" spans="1:1" x14ac:dyDescent="0.3">
      <c r="A31794" s="20"/>
    </row>
    <row r="31795" spans="1:1" x14ac:dyDescent="0.3">
      <c r="A31795" s="20"/>
    </row>
    <row r="31796" spans="1:1" x14ac:dyDescent="0.3">
      <c r="A31796" s="20"/>
    </row>
    <row r="31797" spans="1:1" x14ac:dyDescent="0.3">
      <c r="A31797" s="20"/>
    </row>
    <row r="31798" spans="1:1" x14ac:dyDescent="0.3">
      <c r="A31798" s="20"/>
    </row>
    <row r="31799" spans="1:1" x14ac:dyDescent="0.3">
      <c r="A31799" s="20"/>
    </row>
    <row r="31800" spans="1:1" x14ac:dyDescent="0.3">
      <c r="A31800" s="20"/>
    </row>
    <row r="31801" spans="1:1" x14ac:dyDescent="0.3">
      <c r="A31801" s="20"/>
    </row>
    <row r="31802" spans="1:1" x14ac:dyDescent="0.3">
      <c r="A31802" s="20"/>
    </row>
    <row r="31803" spans="1:1" x14ac:dyDescent="0.3">
      <c r="A31803" s="20"/>
    </row>
    <row r="31804" spans="1:1" x14ac:dyDescent="0.3">
      <c r="A31804" s="20"/>
    </row>
    <row r="31805" spans="1:1" x14ac:dyDescent="0.3">
      <c r="A31805" s="20"/>
    </row>
    <row r="31806" spans="1:1" x14ac:dyDescent="0.3">
      <c r="A31806" s="20"/>
    </row>
    <row r="31807" spans="1:1" x14ac:dyDescent="0.3">
      <c r="A31807" s="20"/>
    </row>
    <row r="31808" spans="1:1" x14ac:dyDescent="0.3">
      <c r="A31808" s="20"/>
    </row>
    <row r="31809" spans="1:1" x14ac:dyDescent="0.3">
      <c r="A31809" s="20"/>
    </row>
    <row r="31810" spans="1:1" x14ac:dyDescent="0.3">
      <c r="A31810" s="20"/>
    </row>
    <row r="31811" spans="1:1" x14ac:dyDescent="0.3">
      <c r="A31811" s="20"/>
    </row>
    <row r="31812" spans="1:1" x14ac:dyDescent="0.3">
      <c r="A31812" s="20"/>
    </row>
    <row r="31813" spans="1:1" x14ac:dyDescent="0.3">
      <c r="A31813" s="20"/>
    </row>
    <row r="31814" spans="1:1" x14ac:dyDescent="0.3">
      <c r="A31814" s="20"/>
    </row>
    <row r="31815" spans="1:1" x14ac:dyDescent="0.3">
      <c r="A31815" s="20"/>
    </row>
    <row r="31816" spans="1:1" x14ac:dyDescent="0.3">
      <c r="A31816" s="20"/>
    </row>
    <row r="31817" spans="1:1" x14ac:dyDescent="0.3">
      <c r="A31817" s="20"/>
    </row>
    <row r="31818" spans="1:1" x14ac:dyDescent="0.3">
      <c r="A31818" s="20"/>
    </row>
    <row r="31819" spans="1:1" x14ac:dyDescent="0.3">
      <c r="A31819" s="20"/>
    </row>
    <row r="31820" spans="1:1" x14ac:dyDescent="0.3">
      <c r="A31820" s="20"/>
    </row>
    <row r="31821" spans="1:1" x14ac:dyDescent="0.3">
      <c r="A31821" s="20"/>
    </row>
    <row r="31822" spans="1:1" x14ac:dyDescent="0.3">
      <c r="A31822" s="20"/>
    </row>
    <row r="31823" spans="1:1" x14ac:dyDescent="0.3">
      <c r="A31823" s="20"/>
    </row>
    <row r="31824" spans="1:1" x14ac:dyDescent="0.3">
      <c r="A31824" s="20"/>
    </row>
    <row r="31825" spans="1:1" x14ac:dyDescent="0.3">
      <c r="A31825" s="20"/>
    </row>
    <row r="31826" spans="1:1" x14ac:dyDescent="0.3">
      <c r="A31826" s="20"/>
    </row>
    <row r="31827" spans="1:1" x14ac:dyDescent="0.3">
      <c r="A31827" s="20"/>
    </row>
    <row r="31828" spans="1:1" x14ac:dyDescent="0.3">
      <c r="A31828" s="20"/>
    </row>
    <row r="31829" spans="1:1" x14ac:dyDescent="0.3">
      <c r="A31829" s="20"/>
    </row>
    <row r="31830" spans="1:1" x14ac:dyDescent="0.3">
      <c r="A31830" s="20"/>
    </row>
    <row r="31831" spans="1:1" x14ac:dyDescent="0.3">
      <c r="A31831" s="20"/>
    </row>
    <row r="31832" spans="1:1" x14ac:dyDescent="0.3">
      <c r="A31832" s="20"/>
    </row>
    <row r="31833" spans="1:1" x14ac:dyDescent="0.3">
      <c r="A31833" s="20"/>
    </row>
    <row r="31834" spans="1:1" x14ac:dyDescent="0.3">
      <c r="A31834" s="20"/>
    </row>
    <row r="31835" spans="1:1" x14ac:dyDescent="0.3">
      <c r="A31835" s="20"/>
    </row>
    <row r="31836" spans="1:1" x14ac:dyDescent="0.3">
      <c r="A31836" s="20"/>
    </row>
    <row r="31837" spans="1:1" x14ac:dyDescent="0.3">
      <c r="A31837" s="20"/>
    </row>
    <row r="31838" spans="1:1" x14ac:dyDescent="0.3">
      <c r="A31838" s="20"/>
    </row>
    <row r="31839" spans="1:1" x14ac:dyDescent="0.3">
      <c r="A31839" s="20"/>
    </row>
    <row r="31840" spans="1:1" x14ac:dyDescent="0.3">
      <c r="A31840" s="20"/>
    </row>
    <row r="31841" spans="1:1" x14ac:dyDescent="0.3">
      <c r="A31841" s="20"/>
    </row>
    <row r="31842" spans="1:1" x14ac:dyDescent="0.3">
      <c r="A31842" s="20"/>
    </row>
    <row r="31843" spans="1:1" x14ac:dyDescent="0.3">
      <c r="A31843" s="20"/>
    </row>
    <row r="31844" spans="1:1" x14ac:dyDescent="0.3">
      <c r="A31844" s="20"/>
    </row>
    <row r="31845" spans="1:1" x14ac:dyDescent="0.3">
      <c r="A31845" s="20"/>
    </row>
    <row r="31846" spans="1:1" x14ac:dyDescent="0.3">
      <c r="A31846" s="20"/>
    </row>
    <row r="31847" spans="1:1" x14ac:dyDescent="0.3">
      <c r="A31847" s="20"/>
    </row>
    <row r="31848" spans="1:1" x14ac:dyDescent="0.3">
      <c r="A31848" s="20"/>
    </row>
    <row r="31849" spans="1:1" x14ac:dyDescent="0.3">
      <c r="A31849" s="20"/>
    </row>
    <row r="31850" spans="1:1" x14ac:dyDescent="0.3">
      <c r="A31850" s="20"/>
    </row>
    <row r="31851" spans="1:1" x14ac:dyDescent="0.3">
      <c r="A31851" s="20"/>
    </row>
    <row r="31852" spans="1:1" x14ac:dyDescent="0.3">
      <c r="A31852" s="20"/>
    </row>
    <row r="31853" spans="1:1" x14ac:dyDescent="0.3">
      <c r="A31853" s="20"/>
    </row>
    <row r="31854" spans="1:1" x14ac:dyDescent="0.3">
      <c r="A31854" s="20"/>
    </row>
    <row r="31855" spans="1:1" x14ac:dyDescent="0.3">
      <c r="A31855" s="20"/>
    </row>
    <row r="31856" spans="1:1" x14ac:dyDescent="0.3">
      <c r="A31856" s="20"/>
    </row>
    <row r="31857" spans="1:1" x14ac:dyDescent="0.3">
      <c r="A31857" s="20"/>
    </row>
    <row r="31858" spans="1:1" x14ac:dyDescent="0.3">
      <c r="A31858" s="20"/>
    </row>
    <row r="31859" spans="1:1" x14ac:dyDescent="0.3">
      <c r="A31859" s="20"/>
    </row>
    <row r="31860" spans="1:1" x14ac:dyDescent="0.3">
      <c r="A31860" s="20"/>
    </row>
    <row r="31861" spans="1:1" x14ac:dyDescent="0.3">
      <c r="A31861" s="20"/>
    </row>
    <row r="31862" spans="1:1" x14ac:dyDescent="0.3">
      <c r="A31862" s="20"/>
    </row>
    <row r="31863" spans="1:1" x14ac:dyDescent="0.3">
      <c r="A31863" s="20"/>
    </row>
    <row r="31864" spans="1:1" x14ac:dyDescent="0.3">
      <c r="A31864" s="20"/>
    </row>
    <row r="31865" spans="1:1" x14ac:dyDescent="0.3">
      <c r="A31865" s="20"/>
    </row>
    <row r="31866" spans="1:1" x14ac:dyDescent="0.3">
      <c r="A31866" s="20"/>
    </row>
    <row r="31867" spans="1:1" x14ac:dyDescent="0.3">
      <c r="A31867" s="20"/>
    </row>
    <row r="31868" spans="1:1" x14ac:dyDescent="0.3">
      <c r="A31868" s="20"/>
    </row>
    <row r="31869" spans="1:1" x14ac:dyDescent="0.3">
      <c r="A31869" s="20"/>
    </row>
    <row r="31870" spans="1:1" x14ac:dyDescent="0.3">
      <c r="A31870" s="20"/>
    </row>
    <row r="31871" spans="1:1" x14ac:dyDescent="0.3">
      <c r="A31871" s="20"/>
    </row>
    <row r="31872" spans="1:1" x14ac:dyDescent="0.3">
      <c r="A31872" s="20"/>
    </row>
    <row r="31873" spans="1:1" x14ac:dyDescent="0.3">
      <c r="A31873" s="20"/>
    </row>
    <row r="31874" spans="1:1" x14ac:dyDescent="0.3">
      <c r="A31874" s="20"/>
    </row>
    <row r="31875" spans="1:1" x14ac:dyDescent="0.3">
      <c r="A31875" s="20"/>
    </row>
    <row r="31876" spans="1:1" x14ac:dyDescent="0.3">
      <c r="A31876" s="20"/>
    </row>
    <row r="31877" spans="1:1" x14ac:dyDescent="0.3">
      <c r="A31877" s="20"/>
    </row>
    <row r="31878" spans="1:1" x14ac:dyDescent="0.3">
      <c r="A31878" s="20"/>
    </row>
    <row r="31879" spans="1:1" x14ac:dyDescent="0.3">
      <c r="A31879" s="20"/>
    </row>
    <row r="31880" spans="1:1" x14ac:dyDescent="0.3">
      <c r="A31880" s="20"/>
    </row>
    <row r="31881" spans="1:1" x14ac:dyDescent="0.3">
      <c r="A31881" s="20"/>
    </row>
    <row r="31882" spans="1:1" x14ac:dyDescent="0.3">
      <c r="A31882" s="20"/>
    </row>
    <row r="31883" spans="1:1" x14ac:dyDescent="0.3">
      <c r="A31883" s="20"/>
    </row>
    <row r="31884" spans="1:1" x14ac:dyDescent="0.3">
      <c r="A31884" s="20"/>
    </row>
    <row r="31885" spans="1:1" x14ac:dyDescent="0.3">
      <c r="A31885" s="20"/>
    </row>
    <row r="31886" spans="1:1" x14ac:dyDescent="0.3">
      <c r="A31886" s="20"/>
    </row>
    <row r="31887" spans="1:1" x14ac:dyDescent="0.3">
      <c r="A31887" s="20"/>
    </row>
    <row r="31888" spans="1:1" x14ac:dyDescent="0.3">
      <c r="A31888" s="20"/>
    </row>
    <row r="31889" spans="1:1" x14ac:dyDescent="0.3">
      <c r="A31889" s="20"/>
    </row>
    <row r="31890" spans="1:1" x14ac:dyDescent="0.3">
      <c r="A31890" s="20"/>
    </row>
    <row r="31891" spans="1:1" x14ac:dyDescent="0.3">
      <c r="A31891" s="20"/>
    </row>
    <row r="31892" spans="1:1" x14ac:dyDescent="0.3">
      <c r="A31892" s="20"/>
    </row>
    <row r="31893" spans="1:1" x14ac:dyDescent="0.3">
      <c r="A31893" s="20"/>
    </row>
    <row r="31894" spans="1:1" x14ac:dyDescent="0.3">
      <c r="A31894" s="20"/>
    </row>
    <row r="31895" spans="1:1" x14ac:dyDescent="0.3">
      <c r="A31895" s="20"/>
    </row>
    <row r="31896" spans="1:1" x14ac:dyDescent="0.3">
      <c r="A31896" s="20"/>
    </row>
    <row r="31897" spans="1:1" x14ac:dyDescent="0.3">
      <c r="A31897" s="20"/>
    </row>
    <row r="31898" spans="1:1" x14ac:dyDescent="0.3">
      <c r="A31898" s="20"/>
    </row>
    <row r="31899" spans="1:1" x14ac:dyDescent="0.3">
      <c r="A31899" s="20"/>
    </row>
    <row r="31900" spans="1:1" x14ac:dyDescent="0.3">
      <c r="A31900" s="20"/>
    </row>
    <row r="31901" spans="1:1" x14ac:dyDescent="0.3">
      <c r="A31901" s="20"/>
    </row>
    <row r="31902" spans="1:1" x14ac:dyDescent="0.3">
      <c r="A31902" s="20"/>
    </row>
    <row r="31903" spans="1:1" x14ac:dyDescent="0.3">
      <c r="A31903" s="20"/>
    </row>
    <row r="31904" spans="1:1" x14ac:dyDescent="0.3">
      <c r="A31904" s="20"/>
    </row>
    <row r="31905" spans="1:1" x14ac:dyDescent="0.3">
      <c r="A31905" s="20"/>
    </row>
    <row r="31906" spans="1:1" x14ac:dyDescent="0.3">
      <c r="A31906" s="20"/>
    </row>
    <row r="31907" spans="1:1" x14ac:dyDescent="0.3">
      <c r="A31907" s="20"/>
    </row>
    <row r="31908" spans="1:1" x14ac:dyDescent="0.3">
      <c r="A31908" s="20"/>
    </row>
    <row r="31909" spans="1:1" x14ac:dyDescent="0.3">
      <c r="A31909" s="20"/>
    </row>
    <row r="31910" spans="1:1" x14ac:dyDescent="0.3">
      <c r="A31910" s="20"/>
    </row>
    <row r="31911" spans="1:1" x14ac:dyDescent="0.3">
      <c r="A31911" s="20"/>
    </row>
    <row r="31912" spans="1:1" x14ac:dyDescent="0.3">
      <c r="A31912" s="20"/>
    </row>
    <row r="31913" spans="1:1" x14ac:dyDescent="0.3">
      <c r="A31913" s="20"/>
    </row>
    <row r="31914" spans="1:1" x14ac:dyDescent="0.3">
      <c r="A31914" s="20"/>
    </row>
    <row r="31915" spans="1:1" x14ac:dyDescent="0.3">
      <c r="A31915" s="20"/>
    </row>
    <row r="31916" spans="1:1" x14ac:dyDescent="0.3">
      <c r="A31916" s="20"/>
    </row>
    <row r="31917" spans="1:1" x14ac:dyDescent="0.3">
      <c r="A31917" s="20"/>
    </row>
    <row r="31918" spans="1:1" x14ac:dyDescent="0.3">
      <c r="A31918" s="20"/>
    </row>
    <row r="31919" spans="1:1" x14ac:dyDescent="0.3">
      <c r="A31919" s="20"/>
    </row>
    <row r="31920" spans="1:1" x14ac:dyDescent="0.3">
      <c r="A31920" s="20"/>
    </row>
    <row r="31921" spans="1:1" x14ac:dyDescent="0.3">
      <c r="A31921" s="20"/>
    </row>
    <row r="31922" spans="1:1" x14ac:dyDescent="0.3">
      <c r="A31922" s="20"/>
    </row>
    <row r="31923" spans="1:1" x14ac:dyDescent="0.3">
      <c r="A31923" s="20"/>
    </row>
    <row r="31924" spans="1:1" x14ac:dyDescent="0.3">
      <c r="A31924" s="20"/>
    </row>
    <row r="31925" spans="1:1" x14ac:dyDescent="0.3">
      <c r="A31925" s="20"/>
    </row>
    <row r="31926" spans="1:1" x14ac:dyDescent="0.3">
      <c r="A31926" s="20"/>
    </row>
    <row r="31927" spans="1:1" x14ac:dyDescent="0.3">
      <c r="A31927" s="20"/>
    </row>
    <row r="31928" spans="1:1" x14ac:dyDescent="0.3">
      <c r="A31928" s="20"/>
    </row>
    <row r="31929" spans="1:1" x14ac:dyDescent="0.3">
      <c r="A31929" s="20"/>
    </row>
    <row r="31930" spans="1:1" x14ac:dyDescent="0.3">
      <c r="A31930" s="20"/>
    </row>
    <row r="31931" spans="1:1" x14ac:dyDescent="0.3">
      <c r="A31931" s="20"/>
    </row>
    <row r="31932" spans="1:1" x14ac:dyDescent="0.3">
      <c r="A31932" s="20"/>
    </row>
    <row r="31933" spans="1:1" x14ac:dyDescent="0.3">
      <c r="A31933" s="20"/>
    </row>
    <row r="31934" spans="1:1" x14ac:dyDescent="0.3">
      <c r="A31934" s="20"/>
    </row>
    <row r="31935" spans="1:1" x14ac:dyDescent="0.3">
      <c r="A31935" s="20"/>
    </row>
    <row r="31936" spans="1:1" x14ac:dyDescent="0.3">
      <c r="A31936" s="20"/>
    </row>
    <row r="31937" spans="1:1" x14ac:dyDescent="0.3">
      <c r="A31937" s="20"/>
    </row>
    <row r="31938" spans="1:1" x14ac:dyDescent="0.3">
      <c r="A31938" s="20"/>
    </row>
    <row r="31939" spans="1:1" x14ac:dyDescent="0.3">
      <c r="A31939" s="20"/>
    </row>
    <row r="31940" spans="1:1" x14ac:dyDescent="0.3">
      <c r="A31940" s="20"/>
    </row>
    <row r="31941" spans="1:1" x14ac:dyDescent="0.3">
      <c r="A31941" s="20"/>
    </row>
    <row r="31942" spans="1:1" x14ac:dyDescent="0.3">
      <c r="A31942" s="20"/>
    </row>
    <row r="31943" spans="1:1" x14ac:dyDescent="0.3">
      <c r="A31943" s="20"/>
    </row>
    <row r="31944" spans="1:1" x14ac:dyDescent="0.3">
      <c r="A31944" s="20"/>
    </row>
    <row r="31945" spans="1:1" x14ac:dyDescent="0.3">
      <c r="A31945" s="20"/>
    </row>
    <row r="31946" spans="1:1" x14ac:dyDescent="0.3">
      <c r="A31946" s="20"/>
    </row>
    <row r="31947" spans="1:1" x14ac:dyDescent="0.3">
      <c r="A31947" s="20"/>
    </row>
    <row r="31948" spans="1:1" x14ac:dyDescent="0.3">
      <c r="A31948" s="20"/>
    </row>
    <row r="31949" spans="1:1" x14ac:dyDescent="0.3">
      <c r="A31949" s="20"/>
    </row>
    <row r="31950" spans="1:1" x14ac:dyDescent="0.3">
      <c r="A31950" s="20"/>
    </row>
    <row r="31951" spans="1:1" x14ac:dyDescent="0.3">
      <c r="A31951" s="20"/>
    </row>
    <row r="31952" spans="1:1" x14ac:dyDescent="0.3">
      <c r="A31952" s="20"/>
    </row>
    <row r="31953" spans="1:1" x14ac:dyDescent="0.3">
      <c r="A31953" s="20"/>
    </row>
    <row r="31954" spans="1:1" x14ac:dyDescent="0.3">
      <c r="A31954" s="20"/>
    </row>
    <row r="31955" spans="1:1" x14ac:dyDescent="0.3">
      <c r="A31955" s="20"/>
    </row>
    <row r="31956" spans="1:1" x14ac:dyDescent="0.3">
      <c r="A31956" s="20"/>
    </row>
    <row r="31957" spans="1:1" x14ac:dyDescent="0.3">
      <c r="A31957" s="20"/>
    </row>
    <row r="31958" spans="1:1" x14ac:dyDescent="0.3">
      <c r="A31958" s="20"/>
    </row>
    <row r="31959" spans="1:1" x14ac:dyDescent="0.3">
      <c r="A31959" s="20"/>
    </row>
    <row r="31960" spans="1:1" x14ac:dyDescent="0.3">
      <c r="A31960" s="20"/>
    </row>
    <row r="31961" spans="1:1" x14ac:dyDescent="0.3">
      <c r="A31961" s="20"/>
    </row>
    <row r="31962" spans="1:1" x14ac:dyDescent="0.3">
      <c r="A31962" s="20"/>
    </row>
    <row r="31963" spans="1:1" x14ac:dyDescent="0.3">
      <c r="A31963" s="20"/>
    </row>
    <row r="31964" spans="1:1" x14ac:dyDescent="0.3">
      <c r="A31964" s="20"/>
    </row>
    <row r="31965" spans="1:1" x14ac:dyDescent="0.3">
      <c r="A31965" s="20"/>
    </row>
    <row r="31966" spans="1:1" x14ac:dyDescent="0.3">
      <c r="A31966" s="20"/>
    </row>
    <row r="31967" spans="1:1" x14ac:dyDescent="0.3">
      <c r="A31967" s="20"/>
    </row>
    <row r="31968" spans="1:1" x14ac:dyDescent="0.3">
      <c r="A31968" s="20"/>
    </row>
    <row r="31969" spans="1:1" x14ac:dyDescent="0.3">
      <c r="A31969" s="20"/>
    </row>
    <row r="31970" spans="1:1" x14ac:dyDescent="0.3">
      <c r="A31970" s="20"/>
    </row>
    <row r="31971" spans="1:1" x14ac:dyDescent="0.3">
      <c r="A31971" s="20"/>
    </row>
    <row r="31972" spans="1:1" x14ac:dyDescent="0.3">
      <c r="A31972" s="20"/>
    </row>
    <row r="31973" spans="1:1" x14ac:dyDescent="0.3">
      <c r="A31973" s="20"/>
    </row>
    <row r="31974" spans="1:1" x14ac:dyDescent="0.3">
      <c r="A31974" s="20"/>
    </row>
    <row r="31975" spans="1:1" x14ac:dyDescent="0.3">
      <c r="A31975" s="20"/>
    </row>
    <row r="31976" spans="1:1" x14ac:dyDescent="0.3">
      <c r="A31976" s="20"/>
    </row>
    <row r="31977" spans="1:1" x14ac:dyDescent="0.3">
      <c r="A31977" s="20"/>
    </row>
    <row r="31978" spans="1:1" x14ac:dyDescent="0.3">
      <c r="A31978" s="20"/>
    </row>
    <row r="31979" spans="1:1" x14ac:dyDescent="0.3">
      <c r="A31979" s="20"/>
    </row>
    <row r="31980" spans="1:1" x14ac:dyDescent="0.3">
      <c r="A31980" s="20"/>
    </row>
    <row r="31981" spans="1:1" x14ac:dyDescent="0.3">
      <c r="A31981" s="20"/>
    </row>
    <row r="31982" spans="1:1" x14ac:dyDescent="0.3">
      <c r="A31982" s="20"/>
    </row>
    <row r="31983" spans="1:1" x14ac:dyDescent="0.3">
      <c r="A31983" s="20"/>
    </row>
    <row r="31984" spans="1:1" x14ac:dyDescent="0.3">
      <c r="A31984" s="20"/>
    </row>
    <row r="31985" spans="1:1" x14ac:dyDescent="0.3">
      <c r="A31985" s="20"/>
    </row>
    <row r="31986" spans="1:1" x14ac:dyDescent="0.3">
      <c r="A31986" s="20"/>
    </row>
    <row r="31987" spans="1:1" x14ac:dyDescent="0.3">
      <c r="A31987" s="20"/>
    </row>
    <row r="31988" spans="1:1" x14ac:dyDescent="0.3">
      <c r="A31988" s="20"/>
    </row>
    <row r="31989" spans="1:1" x14ac:dyDescent="0.3">
      <c r="A31989" s="20"/>
    </row>
    <row r="31990" spans="1:1" x14ac:dyDescent="0.3">
      <c r="A31990" s="20"/>
    </row>
    <row r="31991" spans="1:1" x14ac:dyDescent="0.3">
      <c r="A31991" s="20"/>
    </row>
    <row r="31992" spans="1:1" x14ac:dyDescent="0.3">
      <c r="A31992" s="20"/>
    </row>
    <row r="31993" spans="1:1" x14ac:dyDescent="0.3">
      <c r="A31993" s="20"/>
    </row>
    <row r="31994" spans="1:1" x14ac:dyDescent="0.3">
      <c r="A31994" s="20"/>
    </row>
    <row r="31995" spans="1:1" x14ac:dyDescent="0.3">
      <c r="A31995" s="20"/>
    </row>
    <row r="31996" spans="1:1" x14ac:dyDescent="0.3">
      <c r="A31996" s="20"/>
    </row>
    <row r="31997" spans="1:1" x14ac:dyDescent="0.3">
      <c r="A31997" s="20"/>
    </row>
    <row r="31998" spans="1:1" x14ac:dyDescent="0.3">
      <c r="A31998" s="20"/>
    </row>
    <row r="31999" spans="1:1" x14ac:dyDescent="0.3">
      <c r="A31999" s="20"/>
    </row>
    <row r="32000" spans="1:1" x14ac:dyDescent="0.3">
      <c r="A32000" s="20"/>
    </row>
    <row r="32001" spans="1:1" x14ac:dyDescent="0.3">
      <c r="A32001" s="20"/>
    </row>
    <row r="32002" spans="1:1" x14ac:dyDescent="0.3">
      <c r="A32002" s="20"/>
    </row>
    <row r="32003" spans="1:1" x14ac:dyDescent="0.3">
      <c r="A32003" s="20"/>
    </row>
    <row r="32004" spans="1:1" x14ac:dyDescent="0.3">
      <c r="A32004" s="20"/>
    </row>
    <row r="32005" spans="1:1" x14ac:dyDescent="0.3">
      <c r="A32005" s="20"/>
    </row>
    <row r="32006" spans="1:1" x14ac:dyDescent="0.3">
      <c r="A32006" s="20"/>
    </row>
    <row r="32007" spans="1:1" x14ac:dyDescent="0.3">
      <c r="A32007" s="20"/>
    </row>
    <row r="32008" spans="1:1" x14ac:dyDescent="0.3">
      <c r="A32008" s="20"/>
    </row>
    <row r="32009" spans="1:1" x14ac:dyDescent="0.3">
      <c r="A32009" s="20"/>
    </row>
    <row r="32010" spans="1:1" x14ac:dyDescent="0.3">
      <c r="A32010" s="20"/>
    </row>
    <row r="32011" spans="1:1" x14ac:dyDescent="0.3">
      <c r="A32011" s="20"/>
    </row>
    <row r="32012" spans="1:1" x14ac:dyDescent="0.3">
      <c r="A32012" s="20"/>
    </row>
    <row r="32013" spans="1:1" x14ac:dyDescent="0.3">
      <c r="A32013" s="20"/>
    </row>
    <row r="32014" spans="1:1" x14ac:dyDescent="0.3">
      <c r="A32014" s="20"/>
    </row>
    <row r="32015" spans="1:1" x14ac:dyDescent="0.3">
      <c r="A32015" s="20"/>
    </row>
    <row r="32016" spans="1:1" x14ac:dyDescent="0.3">
      <c r="A32016" s="20"/>
    </row>
    <row r="32017" spans="1:1" x14ac:dyDescent="0.3">
      <c r="A32017" s="20"/>
    </row>
    <row r="32018" spans="1:1" x14ac:dyDescent="0.3">
      <c r="A32018" s="20"/>
    </row>
    <row r="32019" spans="1:1" x14ac:dyDescent="0.3">
      <c r="A32019" s="20"/>
    </row>
    <row r="32020" spans="1:1" x14ac:dyDescent="0.3">
      <c r="A32020" s="20"/>
    </row>
    <row r="32021" spans="1:1" x14ac:dyDescent="0.3">
      <c r="A32021" s="20"/>
    </row>
    <row r="32022" spans="1:1" x14ac:dyDescent="0.3">
      <c r="A32022" s="20"/>
    </row>
    <row r="32023" spans="1:1" x14ac:dyDescent="0.3">
      <c r="A32023" s="20"/>
    </row>
    <row r="32024" spans="1:1" x14ac:dyDescent="0.3">
      <c r="A32024" s="20"/>
    </row>
    <row r="32025" spans="1:1" x14ac:dyDescent="0.3">
      <c r="A32025" s="20"/>
    </row>
    <row r="32026" spans="1:1" x14ac:dyDescent="0.3">
      <c r="A32026" s="20"/>
    </row>
    <row r="32027" spans="1:1" x14ac:dyDescent="0.3">
      <c r="A32027" s="20"/>
    </row>
    <row r="32028" spans="1:1" x14ac:dyDescent="0.3">
      <c r="A32028" s="20"/>
    </row>
    <row r="32029" spans="1:1" x14ac:dyDescent="0.3">
      <c r="A32029" s="20"/>
    </row>
    <row r="32030" spans="1:1" x14ac:dyDescent="0.3">
      <c r="A32030" s="20"/>
    </row>
    <row r="32031" spans="1:1" x14ac:dyDescent="0.3">
      <c r="A32031" s="20"/>
    </row>
    <row r="32032" spans="1:1" x14ac:dyDescent="0.3">
      <c r="A32032" s="20"/>
    </row>
    <row r="32033" spans="1:1" x14ac:dyDescent="0.3">
      <c r="A32033" s="20"/>
    </row>
    <row r="32034" spans="1:1" x14ac:dyDescent="0.3">
      <c r="A32034" s="20"/>
    </row>
    <row r="32035" spans="1:1" x14ac:dyDescent="0.3">
      <c r="A32035" s="20"/>
    </row>
    <row r="32036" spans="1:1" x14ac:dyDescent="0.3">
      <c r="A32036" s="20"/>
    </row>
    <row r="32037" spans="1:1" x14ac:dyDescent="0.3">
      <c r="A32037" s="20"/>
    </row>
    <row r="32038" spans="1:1" x14ac:dyDescent="0.3">
      <c r="A32038" s="20"/>
    </row>
    <row r="32039" spans="1:1" x14ac:dyDescent="0.3">
      <c r="A32039" s="20"/>
    </row>
    <row r="32040" spans="1:1" x14ac:dyDescent="0.3">
      <c r="A32040" s="20"/>
    </row>
    <row r="32041" spans="1:1" x14ac:dyDescent="0.3">
      <c r="A32041" s="20"/>
    </row>
    <row r="32042" spans="1:1" x14ac:dyDescent="0.3">
      <c r="A32042" s="20"/>
    </row>
    <row r="32043" spans="1:1" x14ac:dyDescent="0.3">
      <c r="A32043" s="20"/>
    </row>
    <row r="32044" spans="1:1" x14ac:dyDescent="0.3">
      <c r="A32044" s="20"/>
    </row>
    <row r="32045" spans="1:1" x14ac:dyDescent="0.3">
      <c r="A32045" s="20"/>
    </row>
    <row r="32046" spans="1:1" x14ac:dyDescent="0.3">
      <c r="A32046" s="20"/>
    </row>
    <row r="32047" spans="1:1" x14ac:dyDescent="0.3">
      <c r="A32047" s="20"/>
    </row>
    <row r="32048" spans="1:1" x14ac:dyDescent="0.3">
      <c r="A32048" s="20"/>
    </row>
    <row r="32049" spans="1:1" x14ac:dyDescent="0.3">
      <c r="A32049" s="20"/>
    </row>
    <row r="32050" spans="1:1" x14ac:dyDescent="0.3">
      <c r="A32050" s="20"/>
    </row>
    <row r="32051" spans="1:1" x14ac:dyDescent="0.3">
      <c r="A32051" s="20"/>
    </row>
    <row r="32052" spans="1:1" x14ac:dyDescent="0.3">
      <c r="A32052" s="20"/>
    </row>
    <row r="32053" spans="1:1" x14ac:dyDescent="0.3">
      <c r="A32053" s="20"/>
    </row>
    <row r="32054" spans="1:1" x14ac:dyDescent="0.3">
      <c r="A32054" s="20"/>
    </row>
    <row r="32055" spans="1:1" x14ac:dyDescent="0.3">
      <c r="A32055" s="20"/>
    </row>
    <row r="32056" spans="1:1" x14ac:dyDescent="0.3">
      <c r="A32056" s="20"/>
    </row>
    <row r="32057" spans="1:1" x14ac:dyDescent="0.3">
      <c r="A32057" s="20"/>
    </row>
    <row r="32058" spans="1:1" x14ac:dyDescent="0.3">
      <c r="A32058" s="20"/>
    </row>
    <row r="32059" spans="1:1" x14ac:dyDescent="0.3">
      <c r="A32059" s="20"/>
    </row>
    <row r="32060" spans="1:1" x14ac:dyDescent="0.3">
      <c r="A32060" s="20"/>
    </row>
    <row r="32061" spans="1:1" x14ac:dyDescent="0.3">
      <c r="A32061" s="20"/>
    </row>
    <row r="32062" spans="1:1" x14ac:dyDescent="0.3">
      <c r="A32062" s="20"/>
    </row>
    <row r="32063" spans="1:1" x14ac:dyDescent="0.3">
      <c r="A32063" s="20"/>
    </row>
    <row r="32064" spans="1:1" x14ac:dyDescent="0.3">
      <c r="A32064" s="20"/>
    </row>
    <row r="32065" spans="1:1" x14ac:dyDescent="0.3">
      <c r="A32065" s="20"/>
    </row>
    <row r="32066" spans="1:1" x14ac:dyDescent="0.3">
      <c r="A32066" s="20"/>
    </row>
    <row r="32067" spans="1:1" x14ac:dyDescent="0.3">
      <c r="A32067" s="20"/>
    </row>
    <row r="32068" spans="1:1" x14ac:dyDescent="0.3">
      <c r="A32068" s="20"/>
    </row>
    <row r="32069" spans="1:1" x14ac:dyDescent="0.3">
      <c r="A32069" s="20"/>
    </row>
    <row r="32070" spans="1:1" x14ac:dyDescent="0.3">
      <c r="A32070" s="20"/>
    </row>
    <row r="32071" spans="1:1" x14ac:dyDescent="0.3">
      <c r="A32071" s="20"/>
    </row>
    <row r="32072" spans="1:1" x14ac:dyDescent="0.3">
      <c r="A32072" s="20"/>
    </row>
    <row r="32073" spans="1:1" x14ac:dyDescent="0.3">
      <c r="A32073" s="20"/>
    </row>
    <row r="32074" spans="1:1" x14ac:dyDescent="0.3">
      <c r="A32074" s="20"/>
    </row>
    <row r="32075" spans="1:1" x14ac:dyDescent="0.3">
      <c r="A32075" s="20"/>
    </row>
    <row r="32076" spans="1:1" x14ac:dyDescent="0.3">
      <c r="A32076" s="20"/>
    </row>
    <row r="32077" spans="1:1" x14ac:dyDescent="0.3">
      <c r="A32077" s="20"/>
    </row>
    <row r="32078" spans="1:1" x14ac:dyDescent="0.3">
      <c r="A32078" s="20"/>
    </row>
    <row r="32079" spans="1:1" x14ac:dyDescent="0.3">
      <c r="A32079" s="20"/>
    </row>
    <row r="32080" spans="1:1" x14ac:dyDescent="0.3">
      <c r="A32080" s="20"/>
    </row>
    <row r="32081" spans="1:1" x14ac:dyDescent="0.3">
      <c r="A32081" s="20"/>
    </row>
    <row r="32082" spans="1:1" x14ac:dyDescent="0.3">
      <c r="A32082" s="20"/>
    </row>
    <row r="32083" spans="1:1" x14ac:dyDescent="0.3">
      <c r="A32083" s="20"/>
    </row>
    <row r="32084" spans="1:1" x14ac:dyDescent="0.3">
      <c r="A32084" s="20"/>
    </row>
    <row r="32085" spans="1:1" x14ac:dyDescent="0.3">
      <c r="A32085" s="20"/>
    </row>
    <row r="32086" spans="1:1" x14ac:dyDescent="0.3">
      <c r="A32086" s="20"/>
    </row>
    <row r="32087" spans="1:1" x14ac:dyDescent="0.3">
      <c r="A32087" s="20"/>
    </row>
    <row r="32088" spans="1:1" x14ac:dyDescent="0.3">
      <c r="A32088" s="20"/>
    </row>
    <row r="32089" spans="1:1" x14ac:dyDescent="0.3">
      <c r="A32089" s="20"/>
    </row>
    <row r="32090" spans="1:1" x14ac:dyDescent="0.3">
      <c r="A32090" s="20"/>
    </row>
    <row r="32091" spans="1:1" x14ac:dyDescent="0.3">
      <c r="A32091" s="20"/>
    </row>
    <row r="32092" spans="1:1" x14ac:dyDescent="0.3">
      <c r="A32092" s="20"/>
    </row>
    <row r="32093" spans="1:1" x14ac:dyDescent="0.3">
      <c r="A32093" s="20"/>
    </row>
    <row r="32094" spans="1:1" x14ac:dyDescent="0.3">
      <c r="A32094" s="20"/>
    </row>
    <row r="32095" spans="1:1" x14ac:dyDescent="0.3">
      <c r="A32095" s="20"/>
    </row>
    <row r="32096" spans="1:1" x14ac:dyDescent="0.3">
      <c r="A32096" s="20"/>
    </row>
    <row r="32097" spans="1:1" x14ac:dyDescent="0.3">
      <c r="A32097" s="20"/>
    </row>
    <row r="32098" spans="1:1" x14ac:dyDescent="0.3">
      <c r="A32098" s="20"/>
    </row>
    <row r="32099" spans="1:1" x14ac:dyDescent="0.3">
      <c r="A32099" s="20"/>
    </row>
    <row r="32100" spans="1:1" x14ac:dyDescent="0.3">
      <c r="A32100" s="20"/>
    </row>
    <row r="32101" spans="1:1" x14ac:dyDescent="0.3">
      <c r="A32101" s="20"/>
    </row>
    <row r="32102" spans="1:1" x14ac:dyDescent="0.3">
      <c r="A32102" s="20"/>
    </row>
    <row r="32103" spans="1:1" x14ac:dyDescent="0.3">
      <c r="A32103" s="20"/>
    </row>
    <row r="32104" spans="1:1" x14ac:dyDescent="0.3">
      <c r="A32104" s="20"/>
    </row>
    <row r="32105" spans="1:1" x14ac:dyDescent="0.3">
      <c r="A32105" s="20"/>
    </row>
    <row r="32106" spans="1:1" x14ac:dyDescent="0.3">
      <c r="A32106" s="20"/>
    </row>
    <row r="32107" spans="1:1" x14ac:dyDescent="0.3">
      <c r="A32107" s="20"/>
    </row>
    <row r="32108" spans="1:1" x14ac:dyDescent="0.3">
      <c r="A32108" s="20"/>
    </row>
    <row r="32109" spans="1:1" x14ac:dyDescent="0.3">
      <c r="A32109" s="20"/>
    </row>
    <row r="32110" spans="1:1" x14ac:dyDescent="0.3">
      <c r="A32110" s="20"/>
    </row>
    <row r="32111" spans="1:1" x14ac:dyDescent="0.3">
      <c r="A32111" s="20"/>
    </row>
    <row r="32112" spans="1:1" x14ac:dyDescent="0.3">
      <c r="A32112" s="20"/>
    </row>
    <row r="32113" spans="1:1" x14ac:dyDescent="0.3">
      <c r="A32113" s="20"/>
    </row>
    <row r="32114" spans="1:1" x14ac:dyDescent="0.3">
      <c r="A32114" s="20"/>
    </row>
    <row r="32115" spans="1:1" x14ac:dyDescent="0.3">
      <c r="A32115" s="20"/>
    </row>
    <row r="32116" spans="1:1" x14ac:dyDescent="0.3">
      <c r="A32116" s="20"/>
    </row>
    <row r="32117" spans="1:1" x14ac:dyDescent="0.3">
      <c r="A32117" s="20"/>
    </row>
    <row r="32118" spans="1:1" x14ac:dyDescent="0.3">
      <c r="A32118" s="20"/>
    </row>
    <row r="32119" spans="1:1" x14ac:dyDescent="0.3">
      <c r="A32119" s="20"/>
    </row>
    <row r="32120" spans="1:1" x14ac:dyDescent="0.3">
      <c r="A32120" s="20"/>
    </row>
    <row r="32121" spans="1:1" x14ac:dyDescent="0.3">
      <c r="A32121" s="20"/>
    </row>
    <row r="32122" spans="1:1" x14ac:dyDescent="0.3">
      <c r="A32122" s="20"/>
    </row>
    <row r="32123" spans="1:1" x14ac:dyDescent="0.3">
      <c r="A32123" s="20"/>
    </row>
    <row r="32124" spans="1:1" x14ac:dyDescent="0.3">
      <c r="A32124" s="20"/>
    </row>
    <row r="32125" spans="1:1" x14ac:dyDescent="0.3">
      <c r="A32125" s="20"/>
    </row>
    <row r="32126" spans="1:1" x14ac:dyDescent="0.3">
      <c r="A32126" s="20"/>
    </row>
    <row r="32127" spans="1:1" x14ac:dyDescent="0.3">
      <c r="A32127" s="20"/>
    </row>
    <row r="32128" spans="1:1" x14ac:dyDescent="0.3">
      <c r="A32128" s="20"/>
    </row>
    <row r="32129" spans="1:1" x14ac:dyDescent="0.3">
      <c r="A32129" s="20"/>
    </row>
    <row r="32130" spans="1:1" x14ac:dyDescent="0.3">
      <c r="A32130" s="20"/>
    </row>
    <row r="32131" spans="1:1" x14ac:dyDescent="0.3">
      <c r="A32131" s="20"/>
    </row>
    <row r="32132" spans="1:1" x14ac:dyDescent="0.3">
      <c r="A32132" s="20"/>
    </row>
    <row r="32133" spans="1:1" x14ac:dyDescent="0.3">
      <c r="A32133" s="20"/>
    </row>
    <row r="32134" spans="1:1" x14ac:dyDescent="0.3">
      <c r="A32134" s="20"/>
    </row>
    <row r="32135" spans="1:1" x14ac:dyDescent="0.3">
      <c r="A32135" s="20"/>
    </row>
    <row r="32136" spans="1:1" x14ac:dyDescent="0.3">
      <c r="A32136" s="20"/>
    </row>
    <row r="32137" spans="1:1" x14ac:dyDescent="0.3">
      <c r="A32137" s="20"/>
    </row>
    <row r="32138" spans="1:1" x14ac:dyDescent="0.3">
      <c r="A32138" s="20"/>
    </row>
    <row r="32139" spans="1:1" x14ac:dyDescent="0.3">
      <c r="A32139" s="20"/>
    </row>
    <row r="32140" spans="1:1" x14ac:dyDescent="0.3">
      <c r="A32140" s="20"/>
    </row>
    <row r="32141" spans="1:1" x14ac:dyDescent="0.3">
      <c r="A32141" s="20"/>
    </row>
    <row r="32142" spans="1:1" x14ac:dyDescent="0.3">
      <c r="A32142" s="20"/>
    </row>
    <row r="32143" spans="1:1" x14ac:dyDescent="0.3">
      <c r="A32143" s="20"/>
    </row>
    <row r="32144" spans="1:1" x14ac:dyDescent="0.3">
      <c r="A32144" s="20"/>
    </row>
    <row r="32145" spans="1:1" x14ac:dyDescent="0.3">
      <c r="A32145" s="20"/>
    </row>
    <row r="32146" spans="1:1" x14ac:dyDescent="0.3">
      <c r="A32146" s="20"/>
    </row>
    <row r="32147" spans="1:1" x14ac:dyDescent="0.3">
      <c r="A32147" s="20"/>
    </row>
    <row r="32148" spans="1:1" x14ac:dyDescent="0.3">
      <c r="A32148" s="20"/>
    </row>
    <row r="32149" spans="1:1" x14ac:dyDescent="0.3">
      <c r="A32149" s="20"/>
    </row>
    <row r="32150" spans="1:1" x14ac:dyDescent="0.3">
      <c r="A32150" s="20"/>
    </row>
    <row r="32151" spans="1:1" x14ac:dyDescent="0.3">
      <c r="A32151" s="20"/>
    </row>
    <row r="32152" spans="1:1" x14ac:dyDescent="0.3">
      <c r="A32152" s="20"/>
    </row>
    <row r="32153" spans="1:1" x14ac:dyDescent="0.3">
      <c r="A32153" s="20"/>
    </row>
    <row r="32154" spans="1:1" x14ac:dyDescent="0.3">
      <c r="A32154" s="20"/>
    </row>
    <row r="32155" spans="1:1" x14ac:dyDescent="0.3">
      <c r="A32155" s="20"/>
    </row>
    <row r="32156" spans="1:1" x14ac:dyDescent="0.3">
      <c r="A32156" s="20"/>
    </row>
    <row r="32157" spans="1:1" x14ac:dyDescent="0.3">
      <c r="A32157" s="20"/>
    </row>
    <row r="32158" spans="1:1" x14ac:dyDescent="0.3">
      <c r="A32158" s="20"/>
    </row>
    <row r="32159" spans="1:1" x14ac:dyDescent="0.3">
      <c r="A32159" s="20"/>
    </row>
    <row r="32160" spans="1:1" x14ac:dyDescent="0.3">
      <c r="A32160" s="20"/>
    </row>
    <row r="32161" spans="1:1" x14ac:dyDescent="0.3">
      <c r="A32161" s="20"/>
    </row>
    <row r="32162" spans="1:1" x14ac:dyDescent="0.3">
      <c r="A32162" s="20"/>
    </row>
    <row r="32163" spans="1:1" x14ac:dyDescent="0.3">
      <c r="A32163" s="20"/>
    </row>
    <row r="32164" spans="1:1" x14ac:dyDescent="0.3">
      <c r="A32164" s="20"/>
    </row>
    <row r="32165" spans="1:1" x14ac:dyDescent="0.3">
      <c r="A32165" s="20"/>
    </row>
    <row r="32166" spans="1:1" x14ac:dyDescent="0.3">
      <c r="A32166" s="20"/>
    </row>
    <row r="32167" spans="1:1" x14ac:dyDescent="0.3">
      <c r="A32167" s="20"/>
    </row>
    <row r="32168" spans="1:1" x14ac:dyDescent="0.3">
      <c r="A32168" s="20"/>
    </row>
    <row r="32169" spans="1:1" x14ac:dyDescent="0.3">
      <c r="A32169" s="20"/>
    </row>
    <row r="32170" spans="1:1" x14ac:dyDescent="0.3">
      <c r="A32170" s="20"/>
    </row>
    <row r="32171" spans="1:1" x14ac:dyDescent="0.3">
      <c r="A32171" s="20"/>
    </row>
    <row r="32172" spans="1:1" x14ac:dyDescent="0.3">
      <c r="A32172" s="20"/>
    </row>
    <row r="32173" spans="1:1" x14ac:dyDescent="0.3">
      <c r="A32173" s="20"/>
    </row>
    <row r="32174" spans="1:1" x14ac:dyDescent="0.3">
      <c r="A32174" s="20"/>
    </row>
    <row r="32175" spans="1:1" x14ac:dyDescent="0.3">
      <c r="A32175" s="20"/>
    </row>
    <row r="32176" spans="1:1" x14ac:dyDescent="0.3">
      <c r="A32176" s="20"/>
    </row>
    <row r="32177" spans="1:1" x14ac:dyDescent="0.3">
      <c r="A32177" s="20"/>
    </row>
    <row r="32178" spans="1:1" x14ac:dyDescent="0.3">
      <c r="A32178" s="20"/>
    </row>
    <row r="32179" spans="1:1" x14ac:dyDescent="0.3">
      <c r="A32179" s="20"/>
    </row>
    <row r="32180" spans="1:1" x14ac:dyDescent="0.3">
      <c r="A32180" s="20"/>
    </row>
    <row r="32181" spans="1:1" x14ac:dyDescent="0.3">
      <c r="A32181" s="20"/>
    </row>
    <row r="32182" spans="1:1" x14ac:dyDescent="0.3">
      <c r="A32182" s="20"/>
    </row>
    <row r="32183" spans="1:1" x14ac:dyDescent="0.3">
      <c r="A32183" s="20"/>
    </row>
    <row r="32184" spans="1:1" x14ac:dyDescent="0.3">
      <c r="A32184" s="20"/>
    </row>
    <row r="32185" spans="1:1" x14ac:dyDescent="0.3">
      <c r="A32185" s="20"/>
    </row>
    <row r="32186" spans="1:1" x14ac:dyDescent="0.3">
      <c r="A32186" s="20"/>
    </row>
    <row r="32187" spans="1:1" x14ac:dyDescent="0.3">
      <c r="A32187" s="20"/>
    </row>
    <row r="32188" spans="1:1" x14ac:dyDescent="0.3">
      <c r="A32188" s="20"/>
    </row>
    <row r="32189" spans="1:1" x14ac:dyDescent="0.3">
      <c r="A32189" s="20"/>
    </row>
    <row r="32190" spans="1:1" x14ac:dyDescent="0.3">
      <c r="A32190" s="20"/>
    </row>
    <row r="32191" spans="1:1" x14ac:dyDescent="0.3">
      <c r="A32191" s="20"/>
    </row>
    <row r="32192" spans="1:1" x14ac:dyDescent="0.3">
      <c r="A32192" s="20"/>
    </row>
    <row r="32193" spans="1:1" x14ac:dyDescent="0.3">
      <c r="A32193" s="20"/>
    </row>
    <row r="32194" spans="1:1" x14ac:dyDescent="0.3">
      <c r="A32194" s="20"/>
    </row>
    <row r="32195" spans="1:1" x14ac:dyDescent="0.3">
      <c r="A32195" s="20"/>
    </row>
    <row r="32196" spans="1:1" x14ac:dyDescent="0.3">
      <c r="A32196" s="20"/>
    </row>
    <row r="32197" spans="1:1" x14ac:dyDescent="0.3">
      <c r="A32197" s="20"/>
    </row>
    <row r="32198" spans="1:1" x14ac:dyDescent="0.3">
      <c r="A32198" s="20"/>
    </row>
    <row r="32199" spans="1:1" x14ac:dyDescent="0.3">
      <c r="A32199" s="20"/>
    </row>
    <row r="32200" spans="1:1" x14ac:dyDescent="0.3">
      <c r="A32200" s="20"/>
    </row>
    <row r="32201" spans="1:1" x14ac:dyDescent="0.3">
      <c r="A32201" s="20"/>
    </row>
    <row r="32202" spans="1:1" x14ac:dyDescent="0.3">
      <c r="A32202" s="20"/>
    </row>
    <row r="32203" spans="1:1" x14ac:dyDescent="0.3">
      <c r="A32203" s="20"/>
    </row>
    <row r="32204" spans="1:1" x14ac:dyDescent="0.3">
      <c r="A32204" s="20"/>
    </row>
    <row r="32205" spans="1:1" x14ac:dyDescent="0.3">
      <c r="A32205" s="20"/>
    </row>
    <row r="32206" spans="1:1" x14ac:dyDescent="0.3">
      <c r="A32206" s="20"/>
    </row>
    <row r="32207" spans="1:1" x14ac:dyDescent="0.3">
      <c r="A32207" s="20"/>
    </row>
    <row r="32208" spans="1:1" x14ac:dyDescent="0.3">
      <c r="A32208" s="20"/>
    </row>
    <row r="32209" spans="1:1" x14ac:dyDescent="0.3">
      <c r="A32209" s="20"/>
    </row>
    <row r="32210" spans="1:1" x14ac:dyDescent="0.3">
      <c r="A32210" s="20"/>
    </row>
    <row r="32211" spans="1:1" x14ac:dyDescent="0.3">
      <c r="A32211" s="20"/>
    </row>
    <row r="32212" spans="1:1" x14ac:dyDescent="0.3">
      <c r="A32212" s="20"/>
    </row>
    <row r="32213" spans="1:1" x14ac:dyDescent="0.3">
      <c r="A32213" s="20"/>
    </row>
    <row r="32214" spans="1:1" x14ac:dyDescent="0.3">
      <c r="A32214" s="20"/>
    </row>
    <row r="32215" spans="1:1" x14ac:dyDescent="0.3">
      <c r="A32215" s="20"/>
    </row>
    <row r="32216" spans="1:1" x14ac:dyDescent="0.3">
      <c r="A32216" s="20"/>
    </row>
    <row r="32217" spans="1:1" x14ac:dyDescent="0.3">
      <c r="A32217" s="20"/>
    </row>
    <row r="32218" spans="1:1" x14ac:dyDescent="0.3">
      <c r="A32218" s="20"/>
    </row>
    <row r="32219" spans="1:1" x14ac:dyDescent="0.3">
      <c r="A32219" s="20"/>
    </row>
    <row r="32220" spans="1:1" x14ac:dyDescent="0.3">
      <c r="A32220" s="20"/>
    </row>
    <row r="32221" spans="1:1" x14ac:dyDescent="0.3">
      <c r="A32221" s="20"/>
    </row>
    <row r="32222" spans="1:1" x14ac:dyDescent="0.3">
      <c r="A32222" s="20"/>
    </row>
    <row r="32223" spans="1:1" x14ac:dyDescent="0.3">
      <c r="A32223" s="20"/>
    </row>
    <row r="32224" spans="1:1" x14ac:dyDescent="0.3">
      <c r="A32224" s="20"/>
    </row>
    <row r="32225" spans="1:1" x14ac:dyDescent="0.3">
      <c r="A32225" s="20"/>
    </row>
    <row r="32226" spans="1:1" x14ac:dyDescent="0.3">
      <c r="A32226" s="20"/>
    </row>
    <row r="32227" spans="1:1" x14ac:dyDescent="0.3">
      <c r="A32227" s="20"/>
    </row>
    <row r="32228" spans="1:1" x14ac:dyDescent="0.3">
      <c r="A32228" s="20"/>
    </row>
    <row r="32229" spans="1:1" x14ac:dyDescent="0.3">
      <c r="A32229" s="20"/>
    </row>
    <row r="32230" spans="1:1" x14ac:dyDescent="0.3">
      <c r="A32230" s="20"/>
    </row>
    <row r="32231" spans="1:1" x14ac:dyDescent="0.3">
      <c r="A32231" s="20"/>
    </row>
    <row r="32232" spans="1:1" x14ac:dyDescent="0.3">
      <c r="A32232" s="20"/>
    </row>
    <row r="32233" spans="1:1" x14ac:dyDescent="0.3">
      <c r="A32233" s="20"/>
    </row>
    <row r="32234" spans="1:1" x14ac:dyDescent="0.3">
      <c r="A32234" s="20"/>
    </row>
    <row r="32235" spans="1:1" x14ac:dyDescent="0.3">
      <c r="A32235" s="20"/>
    </row>
    <row r="32236" spans="1:1" x14ac:dyDescent="0.3">
      <c r="A32236" s="20"/>
    </row>
    <row r="32237" spans="1:1" x14ac:dyDescent="0.3">
      <c r="A32237" s="20"/>
    </row>
    <row r="32238" spans="1:1" x14ac:dyDescent="0.3">
      <c r="A32238" s="20"/>
    </row>
    <row r="32239" spans="1:1" x14ac:dyDescent="0.3">
      <c r="A32239" s="20"/>
    </row>
    <row r="32240" spans="1:1" x14ac:dyDescent="0.3">
      <c r="A32240" s="20"/>
    </row>
    <row r="32241" spans="1:1" x14ac:dyDescent="0.3">
      <c r="A32241" s="20"/>
    </row>
    <row r="32242" spans="1:1" x14ac:dyDescent="0.3">
      <c r="A32242" s="20"/>
    </row>
    <row r="32243" spans="1:1" x14ac:dyDescent="0.3">
      <c r="A32243" s="20"/>
    </row>
    <row r="32244" spans="1:1" x14ac:dyDescent="0.3">
      <c r="A32244" s="20"/>
    </row>
    <row r="32245" spans="1:1" x14ac:dyDescent="0.3">
      <c r="A32245" s="20"/>
    </row>
    <row r="32246" spans="1:1" x14ac:dyDescent="0.3">
      <c r="A32246" s="20"/>
    </row>
    <row r="32247" spans="1:1" x14ac:dyDescent="0.3">
      <c r="A32247" s="20"/>
    </row>
    <row r="32248" spans="1:1" x14ac:dyDescent="0.3">
      <c r="A32248" s="20"/>
    </row>
    <row r="32249" spans="1:1" x14ac:dyDescent="0.3">
      <c r="A32249" s="20"/>
    </row>
    <row r="32250" spans="1:1" x14ac:dyDescent="0.3">
      <c r="A32250" s="20"/>
    </row>
    <row r="32251" spans="1:1" x14ac:dyDescent="0.3">
      <c r="A32251" s="20"/>
    </row>
    <row r="32252" spans="1:1" x14ac:dyDescent="0.3">
      <c r="A32252" s="20"/>
    </row>
    <row r="32253" spans="1:1" x14ac:dyDescent="0.3">
      <c r="A32253" s="20"/>
    </row>
    <row r="32254" spans="1:1" x14ac:dyDescent="0.3">
      <c r="A32254" s="20"/>
    </row>
    <row r="32255" spans="1:1" x14ac:dyDescent="0.3">
      <c r="A32255" s="20"/>
    </row>
    <row r="32256" spans="1:1" x14ac:dyDescent="0.3">
      <c r="A32256" s="20"/>
    </row>
    <row r="32257" spans="1:1" x14ac:dyDescent="0.3">
      <c r="A32257" s="20"/>
    </row>
    <row r="32258" spans="1:1" x14ac:dyDescent="0.3">
      <c r="A32258" s="20"/>
    </row>
    <row r="32259" spans="1:1" x14ac:dyDescent="0.3">
      <c r="A32259" s="20"/>
    </row>
    <row r="32260" spans="1:1" x14ac:dyDescent="0.3">
      <c r="A32260" s="20"/>
    </row>
    <row r="32261" spans="1:1" x14ac:dyDescent="0.3">
      <c r="A32261" s="20"/>
    </row>
    <row r="32262" spans="1:1" x14ac:dyDescent="0.3">
      <c r="A32262" s="20"/>
    </row>
    <row r="32263" spans="1:1" x14ac:dyDescent="0.3">
      <c r="A32263" s="20"/>
    </row>
    <row r="32264" spans="1:1" x14ac:dyDescent="0.3">
      <c r="A32264" s="20"/>
    </row>
    <row r="32265" spans="1:1" x14ac:dyDescent="0.3">
      <c r="A32265" s="20"/>
    </row>
    <row r="32266" spans="1:1" x14ac:dyDescent="0.3">
      <c r="A32266" s="20"/>
    </row>
    <row r="32267" spans="1:1" x14ac:dyDescent="0.3">
      <c r="A32267" s="20"/>
    </row>
    <row r="32268" spans="1:1" x14ac:dyDescent="0.3">
      <c r="A32268" s="20"/>
    </row>
    <row r="32269" spans="1:1" x14ac:dyDescent="0.3">
      <c r="A32269" s="20"/>
    </row>
    <row r="32270" spans="1:1" x14ac:dyDescent="0.3">
      <c r="A32270" s="20"/>
    </row>
    <row r="32271" spans="1:1" x14ac:dyDescent="0.3">
      <c r="A32271" s="20"/>
    </row>
    <row r="32272" spans="1:1" x14ac:dyDescent="0.3">
      <c r="A32272" s="20"/>
    </row>
    <row r="32273" spans="1:1" x14ac:dyDescent="0.3">
      <c r="A32273" s="20"/>
    </row>
    <row r="32274" spans="1:1" x14ac:dyDescent="0.3">
      <c r="A32274" s="20"/>
    </row>
    <row r="32275" spans="1:1" x14ac:dyDescent="0.3">
      <c r="A32275" s="20"/>
    </row>
    <row r="32276" spans="1:1" x14ac:dyDescent="0.3">
      <c r="A32276" s="20"/>
    </row>
    <row r="32277" spans="1:1" x14ac:dyDescent="0.3">
      <c r="A32277" s="20"/>
    </row>
    <row r="32278" spans="1:1" x14ac:dyDescent="0.3">
      <c r="A32278" s="20"/>
    </row>
    <row r="32279" spans="1:1" x14ac:dyDescent="0.3">
      <c r="A32279" s="20"/>
    </row>
    <row r="32280" spans="1:1" x14ac:dyDescent="0.3">
      <c r="A32280" s="20"/>
    </row>
    <row r="32281" spans="1:1" x14ac:dyDescent="0.3">
      <c r="A32281" s="20"/>
    </row>
    <row r="32282" spans="1:1" x14ac:dyDescent="0.3">
      <c r="A32282" s="20"/>
    </row>
    <row r="32283" spans="1:1" x14ac:dyDescent="0.3">
      <c r="A32283" s="20"/>
    </row>
    <row r="32284" spans="1:1" x14ac:dyDescent="0.3">
      <c r="A32284" s="20"/>
    </row>
    <row r="32285" spans="1:1" x14ac:dyDescent="0.3">
      <c r="A32285" s="20"/>
    </row>
    <row r="32286" spans="1:1" x14ac:dyDescent="0.3">
      <c r="A32286" s="20"/>
    </row>
    <row r="32287" spans="1:1" x14ac:dyDescent="0.3">
      <c r="A32287" s="20"/>
    </row>
    <row r="32288" spans="1:1" x14ac:dyDescent="0.3">
      <c r="A32288" s="20"/>
    </row>
    <row r="32289" spans="1:1" x14ac:dyDescent="0.3">
      <c r="A32289" s="20"/>
    </row>
    <row r="32290" spans="1:1" x14ac:dyDescent="0.3">
      <c r="A32290" s="20"/>
    </row>
    <row r="32291" spans="1:1" x14ac:dyDescent="0.3">
      <c r="A32291" s="20"/>
    </row>
    <row r="32292" spans="1:1" x14ac:dyDescent="0.3">
      <c r="A32292" s="20"/>
    </row>
    <row r="32293" spans="1:1" x14ac:dyDescent="0.3">
      <c r="A32293" s="20"/>
    </row>
    <row r="32294" spans="1:1" x14ac:dyDescent="0.3">
      <c r="A32294" s="20"/>
    </row>
    <row r="32295" spans="1:1" x14ac:dyDescent="0.3">
      <c r="A32295" s="20"/>
    </row>
    <row r="32296" spans="1:1" x14ac:dyDescent="0.3">
      <c r="A32296" s="20"/>
    </row>
    <row r="32297" spans="1:1" x14ac:dyDescent="0.3">
      <c r="A32297" s="20"/>
    </row>
    <row r="32298" spans="1:1" x14ac:dyDescent="0.3">
      <c r="A32298" s="20"/>
    </row>
    <row r="32299" spans="1:1" x14ac:dyDescent="0.3">
      <c r="A32299" s="20"/>
    </row>
    <row r="32300" spans="1:1" x14ac:dyDescent="0.3">
      <c r="A32300" s="20"/>
    </row>
    <row r="32301" spans="1:1" x14ac:dyDescent="0.3">
      <c r="A32301" s="20"/>
    </row>
    <row r="32302" spans="1:1" x14ac:dyDescent="0.3">
      <c r="A32302" s="20"/>
    </row>
    <row r="32303" spans="1:1" x14ac:dyDescent="0.3">
      <c r="A32303" s="20"/>
    </row>
    <row r="32304" spans="1:1" x14ac:dyDescent="0.3">
      <c r="A32304" s="20"/>
    </row>
    <row r="32305" spans="1:1" x14ac:dyDescent="0.3">
      <c r="A32305" s="20"/>
    </row>
    <row r="32306" spans="1:1" x14ac:dyDescent="0.3">
      <c r="A32306" s="20"/>
    </row>
    <row r="32307" spans="1:1" x14ac:dyDescent="0.3">
      <c r="A32307" s="20"/>
    </row>
    <row r="32308" spans="1:1" x14ac:dyDescent="0.3">
      <c r="A32308" s="20"/>
    </row>
    <row r="32309" spans="1:1" x14ac:dyDescent="0.3">
      <c r="A32309" s="20"/>
    </row>
    <row r="32310" spans="1:1" x14ac:dyDescent="0.3">
      <c r="A32310" s="20"/>
    </row>
    <row r="32311" spans="1:1" x14ac:dyDescent="0.3">
      <c r="A32311" s="20"/>
    </row>
    <row r="32312" spans="1:1" x14ac:dyDescent="0.3">
      <c r="A32312" s="20"/>
    </row>
    <row r="32313" spans="1:1" x14ac:dyDescent="0.3">
      <c r="A32313" s="20"/>
    </row>
    <row r="32314" spans="1:1" x14ac:dyDescent="0.3">
      <c r="A32314" s="20"/>
    </row>
    <row r="32315" spans="1:1" x14ac:dyDescent="0.3">
      <c r="A32315" s="20"/>
    </row>
    <row r="32316" spans="1:1" x14ac:dyDescent="0.3">
      <c r="A32316" s="20"/>
    </row>
    <row r="32317" spans="1:1" x14ac:dyDescent="0.3">
      <c r="A32317" s="20"/>
    </row>
    <row r="32318" spans="1:1" x14ac:dyDescent="0.3">
      <c r="A32318" s="20"/>
    </row>
    <row r="32319" spans="1:1" x14ac:dyDescent="0.3">
      <c r="A32319" s="20"/>
    </row>
    <row r="32320" spans="1:1" x14ac:dyDescent="0.3">
      <c r="A32320" s="20"/>
    </row>
    <row r="32321" spans="1:1" x14ac:dyDescent="0.3">
      <c r="A32321" s="20"/>
    </row>
    <row r="32322" spans="1:1" x14ac:dyDescent="0.3">
      <c r="A32322" s="20"/>
    </row>
    <row r="32323" spans="1:1" x14ac:dyDescent="0.3">
      <c r="A32323" s="20"/>
    </row>
    <row r="32324" spans="1:1" x14ac:dyDescent="0.3">
      <c r="A32324" s="20"/>
    </row>
    <row r="32325" spans="1:1" x14ac:dyDescent="0.3">
      <c r="A32325" s="20"/>
    </row>
    <row r="32326" spans="1:1" x14ac:dyDescent="0.3">
      <c r="A32326" s="20"/>
    </row>
    <row r="32327" spans="1:1" x14ac:dyDescent="0.3">
      <c r="A32327" s="20"/>
    </row>
    <row r="32328" spans="1:1" x14ac:dyDescent="0.3">
      <c r="A32328" s="20"/>
    </row>
    <row r="32329" spans="1:1" x14ac:dyDescent="0.3">
      <c r="A32329" s="20"/>
    </row>
    <row r="32330" spans="1:1" x14ac:dyDescent="0.3">
      <c r="A32330" s="20"/>
    </row>
    <row r="32331" spans="1:1" x14ac:dyDescent="0.3">
      <c r="A32331" s="20"/>
    </row>
    <row r="32332" spans="1:1" x14ac:dyDescent="0.3">
      <c r="A32332" s="20"/>
    </row>
    <row r="32333" spans="1:1" x14ac:dyDescent="0.3">
      <c r="A32333" s="20"/>
    </row>
    <row r="32334" spans="1:1" x14ac:dyDescent="0.3">
      <c r="A32334" s="20"/>
    </row>
    <row r="32335" spans="1:1" x14ac:dyDescent="0.3">
      <c r="A32335" s="20"/>
    </row>
    <row r="32336" spans="1:1" x14ac:dyDescent="0.3">
      <c r="A32336" s="20"/>
    </row>
    <row r="32337" spans="1:1" x14ac:dyDescent="0.3">
      <c r="A32337" s="20"/>
    </row>
    <row r="32338" spans="1:1" x14ac:dyDescent="0.3">
      <c r="A32338" s="20"/>
    </row>
    <row r="32339" spans="1:1" x14ac:dyDescent="0.3">
      <c r="A32339" s="20"/>
    </row>
    <row r="32340" spans="1:1" x14ac:dyDescent="0.3">
      <c r="A32340" s="20"/>
    </row>
    <row r="32341" spans="1:1" x14ac:dyDescent="0.3">
      <c r="A32341" s="20"/>
    </row>
    <row r="32342" spans="1:1" x14ac:dyDescent="0.3">
      <c r="A32342" s="20"/>
    </row>
    <row r="32343" spans="1:1" x14ac:dyDescent="0.3">
      <c r="A32343" s="20"/>
    </row>
    <row r="32344" spans="1:1" x14ac:dyDescent="0.3">
      <c r="A32344" s="20"/>
    </row>
    <row r="32345" spans="1:1" x14ac:dyDescent="0.3">
      <c r="A32345" s="20"/>
    </row>
    <row r="32346" spans="1:1" x14ac:dyDescent="0.3">
      <c r="A32346" s="20"/>
    </row>
    <row r="32347" spans="1:1" x14ac:dyDescent="0.3">
      <c r="A32347" s="20"/>
    </row>
    <row r="32348" spans="1:1" x14ac:dyDescent="0.3">
      <c r="A32348" s="20"/>
    </row>
    <row r="32349" spans="1:1" x14ac:dyDescent="0.3">
      <c r="A32349" s="20"/>
    </row>
    <row r="32350" spans="1:1" x14ac:dyDescent="0.3">
      <c r="A32350" s="20"/>
    </row>
    <row r="32351" spans="1:1" x14ac:dyDescent="0.3">
      <c r="A32351" s="20"/>
    </row>
    <row r="32352" spans="1:1" x14ac:dyDescent="0.3">
      <c r="A32352" s="20"/>
    </row>
    <row r="32353" spans="1:1" x14ac:dyDescent="0.3">
      <c r="A32353" s="20"/>
    </row>
    <row r="32354" spans="1:1" x14ac:dyDescent="0.3">
      <c r="A32354" s="20"/>
    </row>
    <row r="32355" spans="1:1" x14ac:dyDescent="0.3">
      <c r="A32355" s="20"/>
    </row>
    <row r="32356" spans="1:1" x14ac:dyDescent="0.3">
      <c r="A32356" s="20"/>
    </row>
    <row r="32357" spans="1:1" x14ac:dyDescent="0.3">
      <c r="A32357" s="20"/>
    </row>
    <row r="32358" spans="1:1" x14ac:dyDescent="0.3">
      <c r="A32358" s="20"/>
    </row>
    <row r="32359" spans="1:1" x14ac:dyDescent="0.3">
      <c r="A32359" s="20"/>
    </row>
    <row r="32360" spans="1:1" x14ac:dyDescent="0.3">
      <c r="A32360" s="20"/>
    </row>
    <row r="32361" spans="1:1" x14ac:dyDescent="0.3">
      <c r="A32361" s="20"/>
    </row>
    <row r="32362" spans="1:1" x14ac:dyDescent="0.3">
      <c r="A32362" s="20"/>
    </row>
    <row r="32363" spans="1:1" x14ac:dyDescent="0.3">
      <c r="A32363" s="20"/>
    </row>
    <row r="32364" spans="1:1" x14ac:dyDescent="0.3">
      <c r="A32364" s="20"/>
    </row>
    <row r="32365" spans="1:1" x14ac:dyDescent="0.3">
      <c r="A32365" s="20"/>
    </row>
    <row r="32366" spans="1:1" x14ac:dyDescent="0.3">
      <c r="A32366" s="20"/>
    </row>
    <row r="32367" spans="1:1" x14ac:dyDescent="0.3">
      <c r="A32367" s="20"/>
    </row>
    <row r="32368" spans="1:1" x14ac:dyDescent="0.3">
      <c r="A32368" s="20"/>
    </row>
    <row r="32369" spans="1:1" x14ac:dyDescent="0.3">
      <c r="A32369" s="20"/>
    </row>
    <row r="32370" spans="1:1" x14ac:dyDescent="0.3">
      <c r="A32370" s="20"/>
    </row>
    <row r="32371" spans="1:1" x14ac:dyDescent="0.3">
      <c r="A32371" s="20"/>
    </row>
    <row r="32372" spans="1:1" x14ac:dyDescent="0.3">
      <c r="A32372" s="20"/>
    </row>
    <row r="32373" spans="1:1" x14ac:dyDescent="0.3">
      <c r="A32373" s="20"/>
    </row>
    <row r="32374" spans="1:1" x14ac:dyDescent="0.3">
      <c r="A32374" s="20"/>
    </row>
    <row r="32375" spans="1:1" x14ac:dyDescent="0.3">
      <c r="A32375" s="20"/>
    </row>
    <row r="32376" spans="1:1" x14ac:dyDescent="0.3">
      <c r="A32376" s="20"/>
    </row>
    <row r="32377" spans="1:1" x14ac:dyDescent="0.3">
      <c r="A32377" s="20"/>
    </row>
    <row r="32378" spans="1:1" x14ac:dyDescent="0.3">
      <c r="A32378" s="20"/>
    </row>
    <row r="32379" spans="1:1" x14ac:dyDescent="0.3">
      <c r="A32379" s="20"/>
    </row>
    <row r="32380" spans="1:1" x14ac:dyDescent="0.3">
      <c r="A32380" s="20"/>
    </row>
    <row r="32381" spans="1:1" x14ac:dyDescent="0.3">
      <c r="A32381" s="20"/>
    </row>
    <row r="32382" spans="1:1" x14ac:dyDescent="0.3">
      <c r="A32382" s="20"/>
    </row>
    <row r="32383" spans="1:1" x14ac:dyDescent="0.3">
      <c r="A32383" s="20"/>
    </row>
    <row r="32384" spans="1:1" x14ac:dyDescent="0.3">
      <c r="A32384" s="20"/>
    </row>
    <row r="32385" spans="1:1" x14ac:dyDescent="0.3">
      <c r="A32385" s="20"/>
    </row>
    <row r="32386" spans="1:1" x14ac:dyDescent="0.3">
      <c r="A32386" s="20"/>
    </row>
    <row r="32387" spans="1:1" x14ac:dyDescent="0.3">
      <c r="A32387" s="20"/>
    </row>
    <row r="32388" spans="1:1" x14ac:dyDescent="0.3">
      <c r="A32388" s="20"/>
    </row>
    <row r="32389" spans="1:1" x14ac:dyDescent="0.3">
      <c r="A32389" s="20"/>
    </row>
    <row r="32390" spans="1:1" x14ac:dyDescent="0.3">
      <c r="A32390" s="20"/>
    </row>
    <row r="32391" spans="1:1" x14ac:dyDescent="0.3">
      <c r="A32391" s="20"/>
    </row>
    <row r="32392" spans="1:1" x14ac:dyDescent="0.3">
      <c r="A32392" s="20"/>
    </row>
    <row r="32393" spans="1:1" x14ac:dyDescent="0.3">
      <c r="A32393" s="20"/>
    </row>
    <row r="32394" spans="1:1" x14ac:dyDescent="0.3">
      <c r="A32394" s="20"/>
    </row>
    <row r="32395" spans="1:1" x14ac:dyDescent="0.3">
      <c r="A32395" s="20"/>
    </row>
    <row r="32396" spans="1:1" x14ac:dyDescent="0.3">
      <c r="A32396" s="20"/>
    </row>
    <row r="32397" spans="1:1" x14ac:dyDescent="0.3">
      <c r="A32397" s="20"/>
    </row>
    <row r="32398" spans="1:1" x14ac:dyDescent="0.3">
      <c r="A32398" s="20"/>
    </row>
    <row r="32399" spans="1:1" x14ac:dyDescent="0.3">
      <c r="A32399" s="20"/>
    </row>
    <row r="32400" spans="1:1" x14ac:dyDescent="0.3">
      <c r="A32400" s="20"/>
    </row>
    <row r="32401" spans="1:1" x14ac:dyDescent="0.3">
      <c r="A32401" s="20"/>
    </row>
    <row r="32402" spans="1:1" x14ac:dyDescent="0.3">
      <c r="A32402" s="20"/>
    </row>
    <row r="32403" spans="1:1" x14ac:dyDescent="0.3">
      <c r="A32403" s="20"/>
    </row>
    <row r="32404" spans="1:1" x14ac:dyDescent="0.3">
      <c r="A32404" s="20"/>
    </row>
    <row r="32405" spans="1:1" x14ac:dyDescent="0.3">
      <c r="A32405" s="20"/>
    </row>
    <row r="32406" spans="1:1" x14ac:dyDescent="0.3">
      <c r="A32406" s="20"/>
    </row>
    <row r="32407" spans="1:1" x14ac:dyDescent="0.3">
      <c r="A32407" s="20"/>
    </row>
    <row r="32408" spans="1:1" x14ac:dyDescent="0.3">
      <c r="A32408" s="20"/>
    </row>
    <row r="32409" spans="1:1" x14ac:dyDescent="0.3">
      <c r="A32409" s="20"/>
    </row>
    <row r="32410" spans="1:1" x14ac:dyDescent="0.3">
      <c r="A32410" s="20"/>
    </row>
    <row r="32411" spans="1:1" x14ac:dyDescent="0.3">
      <c r="A32411" s="20"/>
    </row>
    <row r="32412" spans="1:1" x14ac:dyDescent="0.3">
      <c r="A32412" s="20"/>
    </row>
    <row r="32413" spans="1:1" x14ac:dyDescent="0.3">
      <c r="A32413" s="20"/>
    </row>
    <row r="32414" spans="1:1" x14ac:dyDescent="0.3">
      <c r="A32414" s="20"/>
    </row>
    <row r="32415" spans="1:1" x14ac:dyDescent="0.3">
      <c r="A32415" s="20"/>
    </row>
    <row r="32416" spans="1:1" x14ac:dyDescent="0.3">
      <c r="A32416" s="20"/>
    </row>
    <row r="32417" spans="1:1" x14ac:dyDescent="0.3">
      <c r="A32417" s="20"/>
    </row>
    <row r="32418" spans="1:1" x14ac:dyDescent="0.3">
      <c r="A32418" s="20"/>
    </row>
    <row r="32419" spans="1:1" x14ac:dyDescent="0.3">
      <c r="A32419" s="20"/>
    </row>
    <row r="32420" spans="1:1" x14ac:dyDescent="0.3">
      <c r="A32420" s="20"/>
    </row>
    <row r="32421" spans="1:1" x14ac:dyDescent="0.3">
      <c r="A32421" s="20"/>
    </row>
    <row r="32422" spans="1:1" x14ac:dyDescent="0.3">
      <c r="A32422" s="20"/>
    </row>
    <row r="32423" spans="1:1" x14ac:dyDescent="0.3">
      <c r="A32423" s="20"/>
    </row>
    <row r="32424" spans="1:1" x14ac:dyDescent="0.3">
      <c r="A32424" s="20"/>
    </row>
    <row r="32425" spans="1:1" x14ac:dyDescent="0.3">
      <c r="A32425" s="20"/>
    </row>
    <row r="32426" spans="1:1" x14ac:dyDescent="0.3">
      <c r="A32426" s="20"/>
    </row>
    <row r="32427" spans="1:1" x14ac:dyDescent="0.3">
      <c r="A32427" s="20"/>
    </row>
    <row r="32428" spans="1:1" x14ac:dyDescent="0.3">
      <c r="A32428" s="20"/>
    </row>
    <row r="32429" spans="1:1" x14ac:dyDescent="0.3">
      <c r="A32429" s="20"/>
    </row>
    <row r="32430" spans="1:1" x14ac:dyDescent="0.3">
      <c r="A32430" s="20"/>
    </row>
    <row r="32431" spans="1:1" x14ac:dyDescent="0.3">
      <c r="A32431" s="20"/>
    </row>
    <row r="32432" spans="1:1" x14ac:dyDescent="0.3">
      <c r="A32432" s="20"/>
    </row>
    <row r="32433" spans="1:1" x14ac:dyDescent="0.3">
      <c r="A32433" s="20"/>
    </row>
    <row r="32434" spans="1:1" x14ac:dyDescent="0.3">
      <c r="A32434" s="20"/>
    </row>
    <row r="32435" spans="1:1" x14ac:dyDescent="0.3">
      <c r="A32435" s="20"/>
    </row>
    <row r="32436" spans="1:1" x14ac:dyDescent="0.3">
      <c r="A32436" s="20"/>
    </row>
    <row r="32437" spans="1:1" x14ac:dyDescent="0.3">
      <c r="A32437" s="20"/>
    </row>
    <row r="32438" spans="1:1" x14ac:dyDescent="0.3">
      <c r="A32438" s="20"/>
    </row>
    <row r="32439" spans="1:1" x14ac:dyDescent="0.3">
      <c r="A32439" s="20"/>
    </row>
    <row r="32440" spans="1:1" x14ac:dyDescent="0.3">
      <c r="A32440" s="20"/>
    </row>
    <row r="32441" spans="1:1" x14ac:dyDescent="0.3">
      <c r="A32441" s="20"/>
    </row>
    <row r="32442" spans="1:1" x14ac:dyDescent="0.3">
      <c r="A32442" s="20"/>
    </row>
    <row r="32443" spans="1:1" x14ac:dyDescent="0.3">
      <c r="A32443" s="20"/>
    </row>
    <row r="32444" spans="1:1" x14ac:dyDescent="0.3">
      <c r="A32444" s="20"/>
    </row>
    <row r="32445" spans="1:1" x14ac:dyDescent="0.3">
      <c r="A32445" s="20"/>
    </row>
    <row r="32446" spans="1:1" x14ac:dyDescent="0.3">
      <c r="A32446" s="20"/>
    </row>
    <row r="32447" spans="1:1" x14ac:dyDescent="0.3">
      <c r="A32447" s="20"/>
    </row>
    <row r="32448" spans="1:1" x14ac:dyDescent="0.3">
      <c r="A32448" s="20"/>
    </row>
    <row r="32449" spans="1:1" x14ac:dyDescent="0.3">
      <c r="A32449" s="20"/>
    </row>
    <row r="32450" spans="1:1" x14ac:dyDescent="0.3">
      <c r="A32450" s="20"/>
    </row>
    <row r="32451" spans="1:1" x14ac:dyDescent="0.3">
      <c r="A32451" s="20"/>
    </row>
    <row r="32452" spans="1:1" x14ac:dyDescent="0.3">
      <c r="A32452" s="20"/>
    </row>
    <row r="32453" spans="1:1" x14ac:dyDescent="0.3">
      <c r="A32453" s="20"/>
    </row>
    <row r="32454" spans="1:1" x14ac:dyDescent="0.3">
      <c r="A32454" s="20"/>
    </row>
    <row r="32455" spans="1:1" x14ac:dyDescent="0.3">
      <c r="A32455" s="20"/>
    </row>
    <row r="32456" spans="1:1" x14ac:dyDescent="0.3">
      <c r="A32456" s="20"/>
    </row>
    <row r="32457" spans="1:1" x14ac:dyDescent="0.3">
      <c r="A32457" s="20"/>
    </row>
    <row r="32458" spans="1:1" x14ac:dyDescent="0.3">
      <c r="A32458" s="20"/>
    </row>
    <row r="32459" spans="1:1" x14ac:dyDescent="0.3">
      <c r="A32459" s="20"/>
    </row>
    <row r="32460" spans="1:1" x14ac:dyDescent="0.3">
      <c r="A32460" s="20"/>
    </row>
    <row r="32461" spans="1:1" x14ac:dyDescent="0.3">
      <c r="A32461" s="20"/>
    </row>
    <row r="32462" spans="1:1" x14ac:dyDescent="0.3">
      <c r="A32462" s="20"/>
    </row>
    <row r="32463" spans="1:1" x14ac:dyDescent="0.3">
      <c r="A32463" s="20"/>
    </row>
    <row r="32464" spans="1:1" x14ac:dyDescent="0.3">
      <c r="A32464" s="20"/>
    </row>
    <row r="32465" spans="1:1" x14ac:dyDescent="0.3">
      <c r="A32465" s="20"/>
    </row>
    <row r="32466" spans="1:1" x14ac:dyDescent="0.3">
      <c r="A32466" s="20"/>
    </row>
    <row r="32467" spans="1:1" x14ac:dyDescent="0.3">
      <c r="A32467" s="20"/>
    </row>
    <row r="32468" spans="1:1" x14ac:dyDescent="0.3">
      <c r="A32468" s="20"/>
    </row>
    <row r="32469" spans="1:1" x14ac:dyDescent="0.3">
      <c r="A32469" s="20"/>
    </row>
    <row r="32470" spans="1:1" x14ac:dyDescent="0.3">
      <c r="A32470" s="20"/>
    </row>
    <row r="32471" spans="1:1" x14ac:dyDescent="0.3">
      <c r="A32471" s="20"/>
    </row>
    <row r="32472" spans="1:1" x14ac:dyDescent="0.3">
      <c r="A32472" s="20"/>
    </row>
    <row r="32473" spans="1:1" x14ac:dyDescent="0.3">
      <c r="A32473" s="20"/>
    </row>
    <row r="32474" spans="1:1" x14ac:dyDescent="0.3">
      <c r="A32474" s="20"/>
    </row>
    <row r="32475" spans="1:1" x14ac:dyDescent="0.3">
      <c r="A32475" s="20"/>
    </row>
    <row r="32476" spans="1:1" x14ac:dyDescent="0.3">
      <c r="A32476" s="20"/>
    </row>
    <row r="32477" spans="1:1" x14ac:dyDescent="0.3">
      <c r="A32477" s="20"/>
    </row>
    <row r="32478" spans="1:1" x14ac:dyDescent="0.3">
      <c r="A32478" s="20"/>
    </row>
    <row r="32479" spans="1:1" x14ac:dyDescent="0.3">
      <c r="A32479" s="20"/>
    </row>
    <row r="32480" spans="1:1" x14ac:dyDescent="0.3">
      <c r="A32480" s="20"/>
    </row>
    <row r="32481" spans="1:1" x14ac:dyDescent="0.3">
      <c r="A32481" s="20"/>
    </row>
    <row r="32482" spans="1:1" x14ac:dyDescent="0.3">
      <c r="A32482" s="20"/>
    </row>
    <row r="32483" spans="1:1" x14ac:dyDescent="0.3">
      <c r="A32483" s="20"/>
    </row>
    <row r="32484" spans="1:1" x14ac:dyDescent="0.3">
      <c r="A32484" s="20"/>
    </row>
    <row r="32485" spans="1:1" x14ac:dyDescent="0.3">
      <c r="A32485" s="20"/>
    </row>
    <row r="32486" spans="1:1" x14ac:dyDescent="0.3">
      <c r="A32486" s="20"/>
    </row>
    <row r="32487" spans="1:1" x14ac:dyDescent="0.3">
      <c r="A32487" s="20"/>
    </row>
    <row r="32488" spans="1:1" x14ac:dyDescent="0.3">
      <c r="A32488" s="20"/>
    </row>
    <row r="32489" spans="1:1" x14ac:dyDescent="0.3">
      <c r="A32489" s="20"/>
    </row>
    <row r="32490" spans="1:1" x14ac:dyDescent="0.3">
      <c r="A32490" s="20"/>
    </row>
    <row r="32491" spans="1:1" x14ac:dyDescent="0.3">
      <c r="A32491" s="20"/>
    </row>
    <row r="32492" spans="1:1" x14ac:dyDescent="0.3">
      <c r="A32492" s="20"/>
    </row>
    <row r="32493" spans="1:1" x14ac:dyDescent="0.3">
      <c r="A32493" s="20"/>
    </row>
    <row r="32494" spans="1:1" x14ac:dyDescent="0.3">
      <c r="A32494" s="20"/>
    </row>
    <row r="32495" spans="1:1" x14ac:dyDescent="0.3">
      <c r="A32495" s="20"/>
    </row>
    <row r="32496" spans="1:1" x14ac:dyDescent="0.3">
      <c r="A32496" s="20"/>
    </row>
    <row r="32497" spans="1:1" x14ac:dyDescent="0.3">
      <c r="A32497" s="20"/>
    </row>
    <row r="32498" spans="1:1" x14ac:dyDescent="0.3">
      <c r="A32498" s="20"/>
    </row>
    <row r="32499" spans="1:1" x14ac:dyDescent="0.3">
      <c r="A32499" s="20"/>
    </row>
    <row r="32500" spans="1:1" x14ac:dyDescent="0.3">
      <c r="A32500" s="20"/>
    </row>
    <row r="32501" spans="1:1" x14ac:dyDescent="0.3">
      <c r="A32501" s="20"/>
    </row>
    <row r="32502" spans="1:1" x14ac:dyDescent="0.3">
      <c r="A32502" s="20"/>
    </row>
    <row r="32503" spans="1:1" x14ac:dyDescent="0.3">
      <c r="A32503" s="20"/>
    </row>
    <row r="32504" spans="1:1" x14ac:dyDescent="0.3">
      <c r="A32504" s="20"/>
    </row>
    <row r="32505" spans="1:1" x14ac:dyDescent="0.3">
      <c r="A32505" s="20"/>
    </row>
    <row r="32506" spans="1:1" x14ac:dyDescent="0.3">
      <c r="A32506" s="20"/>
    </row>
    <row r="32507" spans="1:1" x14ac:dyDescent="0.3">
      <c r="A32507" s="20"/>
    </row>
    <row r="32508" spans="1:1" x14ac:dyDescent="0.3">
      <c r="A32508" s="20"/>
    </row>
    <row r="32509" spans="1:1" x14ac:dyDescent="0.3">
      <c r="A32509" s="20"/>
    </row>
    <row r="32510" spans="1:1" x14ac:dyDescent="0.3">
      <c r="A32510" s="20"/>
    </row>
    <row r="32511" spans="1:1" x14ac:dyDescent="0.3">
      <c r="A32511" s="20"/>
    </row>
    <row r="32512" spans="1:1" x14ac:dyDescent="0.3">
      <c r="A32512" s="20"/>
    </row>
    <row r="32513" spans="1:1" x14ac:dyDescent="0.3">
      <c r="A32513" s="20"/>
    </row>
    <row r="32514" spans="1:1" x14ac:dyDescent="0.3">
      <c r="A32514" s="20"/>
    </row>
    <row r="32515" spans="1:1" x14ac:dyDescent="0.3">
      <c r="A32515" s="20"/>
    </row>
    <row r="32516" spans="1:1" x14ac:dyDescent="0.3">
      <c r="A32516" s="20"/>
    </row>
    <row r="32517" spans="1:1" x14ac:dyDescent="0.3">
      <c r="A32517" s="20"/>
    </row>
    <row r="32518" spans="1:1" x14ac:dyDescent="0.3">
      <c r="A32518" s="20"/>
    </row>
    <row r="32519" spans="1:1" x14ac:dyDescent="0.3">
      <c r="A32519" s="20"/>
    </row>
    <row r="32520" spans="1:1" x14ac:dyDescent="0.3">
      <c r="A32520" s="20"/>
    </row>
    <row r="32521" spans="1:1" x14ac:dyDescent="0.3">
      <c r="A32521" s="20"/>
    </row>
    <row r="32522" spans="1:1" x14ac:dyDescent="0.3">
      <c r="A32522" s="20"/>
    </row>
    <row r="32523" spans="1:1" x14ac:dyDescent="0.3">
      <c r="A32523" s="20"/>
    </row>
    <row r="32524" spans="1:1" x14ac:dyDescent="0.3">
      <c r="A32524" s="20"/>
    </row>
    <row r="32525" spans="1:1" x14ac:dyDescent="0.3">
      <c r="A32525" s="20"/>
    </row>
    <row r="32526" spans="1:1" x14ac:dyDescent="0.3">
      <c r="A32526" s="20"/>
    </row>
    <row r="32527" spans="1:1" x14ac:dyDescent="0.3">
      <c r="A32527" s="20"/>
    </row>
    <row r="32528" spans="1:1" x14ac:dyDescent="0.3">
      <c r="A32528" s="20"/>
    </row>
    <row r="32529" spans="1:1" x14ac:dyDescent="0.3">
      <c r="A32529" s="20"/>
    </row>
    <row r="32530" spans="1:1" x14ac:dyDescent="0.3">
      <c r="A32530" s="20"/>
    </row>
    <row r="32531" spans="1:1" x14ac:dyDescent="0.3">
      <c r="A32531" s="20"/>
    </row>
    <row r="32532" spans="1:1" x14ac:dyDescent="0.3">
      <c r="A32532" s="20"/>
    </row>
    <row r="32533" spans="1:1" x14ac:dyDescent="0.3">
      <c r="A32533" s="20"/>
    </row>
    <row r="32534" spans="1:1" x14ac:dyDescent="0.3">
      <c r="A32534" s="20"/>
    </row>
    <row r="32535" spans="1:1" x14ac:dyDescent="0.3">
      <c r="A32535" s="20"/>
    </row>
    <row r="32536" spans="1:1" x14ac:dyDescent="0.3">
      <c r="A32536" s="20"/>
    </row>
    <row r="32537" spans="1:1" x14ac:dyDescent="0.3">
      <c r="A32537" s="20"/>
    </row>
    <row r="32538" spans="1:1" x14ac:dyDescent="0.3">
      <c r="A32538" s="20"/>
    </row>
    <row r="32539" spans="1:1" x14ac:dyDescent="0.3">
      <c r="A32539" s="20"/>
    </row>
    <row r="32540" spans="1:1" x14ac:dyDescent="0.3">
      <c r="A32540" s="20"/>
    </row>
    <row r="32541" spans="1:1" x14ac:dyDescent="0.3">
      <c r="A32541" s="20"/>
    </row>
    <row r="32542" spans="1:1" x14ac:dyDescent="0.3">
      <c r="A32542" s="20"/>
    </row>
    <row r="32543" spans="1:1" x14ac:dyDescent="0.3">
      <c r="A32543" s="20"/>
    </row>
    <row r="32544" spans="1:1" x14ac:dyDescent="0.3">
      <c r="A32544" s="20"/>
    </row>
    <row r="32545" spans="1:1" x14ac:dyDescent="0.3">
      <c r="A32545" s="20"/>
    </row>
    <row r="32546" spans="1:1" x14ac:dyDescent="0.3">
      <c r="A32546" s="20"/>
    </row>
    <row r="32547" spans="1:1" x14ac:dyDescent="0.3">
      <c r="A32547" s="20"/>
    </row>
    <row r="32548" spans="1:1" x14ac:dyDescent="0.3">
      <c r="A32548" s="20"/>
    </row>
    <row r="32549" spans="1:1" x14ac:dyDescent="0.3">
      <c r="A32549" s="20"/>
    </row>
    <row r="32550" spans="1:1" x14ac:dyDescent="0.3">
      <c r="A32550" s="20"/>
    </row>
    <row r="32551" spans="1:1" x14ac:dyDescent="0.3">
      <c r="A32551" s="20"/>
    </row>
    <row r="32552" spans="1:1" x14ac:dyDescent="0.3">
      <c r="A32552" s="20"/>
    </row>
    <row r="32553" spans="1:1" x14ac:dyDescent="0.3">
      <c r="A32553" s="20"/>
    </row>
    <row r="32554" spans="1:1" x14ac:dyDescent="0.3">
      <c r="A32554" s="20"/>
    </row>
    <row r="32555" spans="1:1" x14ac:dyDescent="0.3">
      <c r="A32555" s="20"/>
    </row>
    <row r="32556" spans="1:1" x14ac:dyDescent="0.3">
      <c r="A32556" s="20"/>
    </row>
    <row r="32557" spans="1:1" x14ac:dyDescent="0.3">
      <c r="A32557" s="20"/>
    </row>
    <row r="32558" spans="1:1" x14ac:dyDescent="0.3">
      <c r="A32558" s="20"/>
    </row>
    <row r="32559" spans="1:1" x14ac:dyDescent="0.3">
      <c r="A32559" s="20"/>
    </row>
    <row r="32560" spans="1:1" x14ac:dyDescent="0.3">
      <c r="A32560" s="20"/>
    </row>
    <row r="32561" spans="1:1" x14ac:dyDescent="0.3">
      <c r="A32561" s="20"/>
    </row>
    <row r="32562" spans="1:1" x14ac:dyDescent="0.3">
      <c r="A32562" s="20"/>
    </row>
    <row r="32563" spans="1:1" x14ac:dyDescent="0.3">
      <c r="A32563" s="20"/>
    </row>
    <row r="32564" spans="1:1" x14ac:dyDescent="0.3">
      <c r="A32564" s="20"/>
    </row>
    <row r="32565" spans="1:1" x14ac:dyDescent="0.3">
      <c r="A32565" s="20"/>
    </row>
    <row r="32566" spans="1:1" x14ac:dyDescent="0.3">
      <c r="A32566" s="20"/>
    </row>
    <row r="32567" spans="1:1" x14ac:dyDescent="0.3">
      <c r="A32567" s="20"/>
    </row>
    <row r="32568" spans="1:1" x14ac:dyDescent="0.3">
      <c r="A32568" s="20"/>
    </row>
    <row r="32569" spans="1:1" x14ac:dyDescent="0.3">
      <c r="A32569" s="20"/>
    </row>
    <row r="32570" spans="1:1" x14ac:dyDescent="0.3">
      <c r="A32570" s="20"/>
    </row>
    <row r="32571" spans="1:1" x14ac:dyDescent="0.3">
      <c r="A32571" s="20"/>
    </row>
    <row r="32572" spans="1:1" x14ac:dyDescent="0.3">
      <c r="A32572" s="20"/>
    </row>
    <row r="32573" spans="1:1" x14ac:dyDescent="0.3">
      <c r="A32573" s="20"/>
    </row>
    <row r="32574" spans="1:1" x14ac:dyDescent="0.3">
      <c r="A32574" s="20"/>
    </row>
    <row r="32575" spans="1:1" x14ac:dyDescent="0.3">
      <c r="A32575" s="20"/>
    </row>
    <row r="32576" spans="1:1" x14ac:dyDescent="0.3">
      <c r="A32576" s="20"/>
    </row>
    <row r="32577" spans="1:1" x14ac:dyDescent="0.3">
      <c r="A32577" s="20"/>
    </row>
    <row r="32578" spans="1:1" x14ac:dyDescent="0.3">
      <c r="A32578" s="20"/>
    </row>
    <row r="32579" spans="1:1" x14ac:dyDescent="0.3">
      <c r="A32579" s="20"/>
    </row>
    <row r="32580" spans="1:1" x14ac:dyDescent="0.3">
      <c r="A32580" s="20"/>
    </row>
    <row r="32581" spans="1:1" x14ac:dyDescent="0.3">
      <c r="A32581" s="20"/>
    </row>
    <row r="32582" spans="1:1" x14ac:dyDescent="0.3">
      <c r="A32582" s="20"/>
    </row>
    <row r="32583" spans="1:1" x14ac:dyDescent="0.3">
      <c r="A32583" s="20"/>
    </row>
    <row r="32584" spans="1:1" x14ac:dyDescent="0.3">
      <c r="A32584" s="20"/>
    </row>
    <row r="32585" spans="1:1" x14ac:dyDescent="0.3">
      <c r="A32585" s="20"/>
    </row>
    <row r="32586" spans="1:1" x14ac:dyDescent="0.3">
      <c r="A32586" s="20"/>
    </row>
    <row r="32587" spans="1:1" x14ac:dyDescent="0.3">
      <c r="A32587" s="20"/>
    </row>
    <row r="32588" spans="1:1" x14ac:dyDescent="0.3">
      <c r="A32588" s="20"/>
    </row>
    <row r="32589" spans="1:1" x14ac:dyDescent="0.3">
      <c r="A32589" s="20"/>
    </row>
    <row r="32590" spans="1:1" x14ac:dyDescent="0.3">
      <c r="A32590" s="20"/>
    </row>
    <row r="32591" spans="1:1" x14ac:dyDescent="0.3">
      <c r="A32591" s="20"/>
    </row>
    <row r="32592" spans="1:1" x14ac:dyDescent="0.3">
      <c r="A32592" s="20"/>
    </row>
    <row r="32593" spans="1:1" x14ac:dyDescent="0.3">
      <c r="A32593" s="20"/>
    </row>
    <row r="32594" spans="1:1" x14ac:dyDescent="0.3">
      <c r="A32594" s="20"/>
    </row>
    <row r="32595" spans="1:1" x14ac:dyDescent="0.3">
      <c r="A32595" s="20"/>
    </row>
    <row r="32596" spans="1:1" x14ac:dyDescent="0.3">
      <c r="A32596" s="20"/>
    </row>
    <row r="32597" spans="1:1" x14ac:dyDescent="0.3">
      <c r="A32597" s="20"/>
    </row>
    <row r="32598" spans="1:1" x14ac:dyDescent="0.3">
      <c r="A32598" s="20"/>
    </row>
    <row r="32599" spans="1:1" x14ac:dyDescent="0.3">
      <c r="A32599" s="20"/>
    </row>
    <row r="32600" spans="1:1" x14ac:dyDescent="0.3">
      <c r="A32600" s="20"/>
    </row>
    <row r="32601" spans="1:1" x14ac:dyDescent="0.3">
      <c r="A32601" s="20"/>
    </row>
    <row r="32602" spans="1:1" x14ac:dyDescent="0.3">
      <c r="A32602" s="20"/>
    </row>
    <row r="32603" spans="1:1" x14ac:dyDescent="0.3">
      <c r="A32603" s="20"/>
    </row>
    <row r="32604" spans="1:1" x14ac:dyDescent="0.3">
      <c r="A32604" s="20"/>
    </row>
    <row r="32605" spans="1:1" x14ac:dyDescent="0.3">
      <c r="A32605" s="20"/>
    </row>
    <row r="32606" spans="1:1" x14ac:dyDescent="0.3">
      <c r="A32606" s="20"/>
    </row>
    <row r="32607" spans="1:1" x14ac:dyDescent="0.3">
      <c r="A32607" s="20"/>
    </row>
    <row r="32608" spans="1:1" x14ac:dyDescent="0.3">
      <c r="A32608" s="20"/>
    </row>
    <row r="32609" spans="1:1" x14ac:dyDescent="0.3">
      <c r="A32609" s="20"/>
    </row>
    <row r="32610" spans="1:1" x14ac:dyDescent="0.3">
      <c r="A32610" s="20"/>
    </row>
    <row r="32611" spans="1:1" x14ac:dyDescent="0.3">
      <c r="A32611" s="20"/>
    </row>
    <row r="32612" spans="1:1" x14ac:dyDescent="0.3">
      <c r="A32612" s="20"/>
    </row>
    <row r="32613" spans="1:1" x14ac:dyDescent="0.3">
      <c r="A32613" s="20"/>
    </row>
    <row r="32614" spans="1:1" x14ac:dyDescent="0.3">
      <c r="A32614" s="20"/>
    </row>
    <row r="32615" spans="1:1" x14ac:dyDescent="0.3">
      <c r="A32615" s="20"/>
    </row>
    <row r="32616" spans="1:1" x14ac:dyDescent="0.3">
      <c r="A32616" s="20"/>
    </row>
    <row r="32617" spans="1:1" x14ac:dyDescent="0.3">
      <c r="A32617" s="20"/>
    </row>
    <row r="32618" spans="1:1" x14ac:dyDescent="0.3">
      <c r="A32618" s="20"/>
    </row>
    <row r="32619" spans="1:1" x14ac:dyDescent="0.3">
      <c r="A32619" s="20"/>
    </row>
    <row r="32620" spans="1:1" x14ac:dyDescent="0.3">
      <c r="A32620" s="20"/>
    </row>
    <row r="32621" spans="1:1" x14ac:dyDescent="0.3">
      <c r="A32621" s="20"/>
    </row>
    <row r="32622" spans="1:1" x14ac:dyDescent="0.3">
      <c r="A32622" s="20"/>
    </row>
    <row r="32623" spans="1:1" x14ac:dyDescent="0.3">
      <c r="A32623" s="20"/>
    </row>
    <row r="32624" spans="1:1" x14ac:dyDescent="0.3">
      <c r="A32624" s="20"/>
    </row>
    <row r="32625" spans="1:1" x14ac:dyDescent="0.3">
      <c r="A32625" s="20"/>
    </row>
    <row r="32626" spans="1:1" x14ac:dyDescent="0.3">
      <c r="A32626" s="20"/>
    </row>
    <row r="32627" spans="1:1" x14ac:dyDescent="0.3">
      <c r="A32627" s="20"/>
    </row>
    <row r="32628" spans="1:1" x14ac:dyDescent="0.3">
      <c r="A32628" s="20"/>
    </row>
    <row r="32629" spans="1:1" x14ac:dyDescent="0.3">
      <c r="A32629" s="20"/>
    </row>
    <row r="32630" spans="1:1" x14ac:dyDescent="0.3">
      <c r="A32630" s="20"/>
    </row>
    <row r="32631" spans="1:1" x14ac:dyDescent="0.3">
      <c r="A32631" s="20"/>
    </row>
    <row r="32632" spans="1:1" x14ac:dyDescent="0.3">
      <c r="A32632" s="20"/>
    </row>
    <row r="32633" spans="1:1" x14ac:dyDescent="0.3">
      <c r="A32633" s="20"/>
    </row>
    <row r="32634" spans="1:1" x14ac:dyDescent="0.3">
      <c r="A32634" s="20"/>
    </row>
    <row r="32635" spans="1:1" x14ac:dyDescent="0.3">
      <c r="A32635" s="20"/>
    </row>
    <row r="32636" spans="1:1" x14ac:dyDescent="0.3">
      <c r="A32636" s="20"/>
    </row>
    <row r="32637" spans="1:1" x14ac:dyDescent="0.3">
      <c r="A32637" s="20"/>
    </row>
    <row r="32638" spans="1:1" x14ac:dyDescent="0.3">
      <c r="A32638" s="20"/>
    </row>
    <row r="32639" spans="1:1" x14ac:dyDescent="0.3">
      <c r="A32639" s="20"/>
    </row>
    <row r="32640" spans="1:1" x14ac:dyDescent="0.3">
      <c r="A32640" s="20"/>
    </row>
    <row r="32641" spans="1:1" x14ac:dyDescent="0.3">
      <c r="A32641" s="20"/>
    </row>
    <row r="32642" spans="1:1" x14ac:dyDescent="0.3">
      <c r="A32642" s="20"/>
    </row>
    <row r="32643" spans="1:1" x14ac:dyDescent="0.3">
      <c r="A32643" s="20"/>
    </row>
    <row r="32644" spans="1:1" x14ac:dyDescent="0.3">
      <c r="A32644" s="20"/>
    </row>
    <row r="32645" spans="1:1" x14ac:dyDescent="0.3">
      <c r="A32645" s="20"/>
    </row>
    <row r="32646" spans="1:1" x14ac:dyDescent="0.3">
      <c r="A32646" s="20"/>
    </row>
    <row r="32647" spans="1:1" x14ac:dyDescent="0.3">
      <c r="A32647" s="20"/>
    </row>
    <row r="32648" spans="1:1" x14ac:dyDescent="0.3">
      <c r="A32648" s="20"/>
    </row>
    <row r="32649" spans="1:1" x14ac:dyDescent="0.3">
      <c r="A32649" s="20"/>
    </row>
    <row r="32650" spans="1:1" x14ac:dyDescent="0.3">
      <c r="A32650" s="20"/>
    </row>
    <row r="32651" spans="1:1" x14ac:dyDescent="0.3">
      <c r="A32651" s="20"/>
    </row>
    <row r="32652" spans="1:1" x14ac:dyDescent="0.3">
      <c r="A32652" s="20"/>
    </row>
    <row r="32653" spans="1:1" x14ac:dyDescent="0.3">
      <c r="A32653" s="20"/>
    </row>
    <row r="32654" spans="1:1" x14ac:dyDescent="0.3">
      <c r="A32654" s="20"/>
    </row>
    <row r="32655" spans="1:1" x14ac:dyDescent="0.3">
      <c r="A32655" s="20"/>
    </row>
    <row r="32656" spans="1:1" x14ac:dyDescent="0.3">
      <c r="A32656" s="20"/>
    </row>
    <row r="32657" spans="1:1" x14ac:dyDescent="0.3">
      <c r="A32657" s="20"/>
    </row>
    <row r="32658" spans="1:1" x14ac:dyDescent="0.3">
      <c r="A32658" s="20"/>
    </row>
    <row r="32659" spans="1:1" x14ac:dyDescent="0.3">
      <c r="A32659" s="20"/>
    </row>
    <row r="32660" spans="1:1" x14ac:dyDescent="0.3">
      <c r="A32660" s="20"/>
    </row>
    <row r="32661" spans="1:1" x14ac:dyDescent="0.3">
      <c r="A32661" s="20"/>
    </row>
    <row r="32662" spans="1:1" x14ac:dyDescent="0.3">
      <c r="A32662" s="20"/>
    </row>
    <row r="32663" spans="1:1" x14ac:dyDescent="0.3">
      <c r="A32663" s="20"/>
    </row>
    <row r="32664" spans="1:1" x14ac:dyDescent="0.3">
      <c r="A32664" s="20"/>
    </row>
    <row r="32665" spans="1:1" x14ac:dyDescent="0.3">
      <c r="A32665" s="20"/>
    </row>
    <row r="32666" spans="1:1" x14ac:dyDescent="0.3">
      <c r="A32666" s="20"/>
    </row>
    <row r="32667" spans="1:1" x14ac:dyDescent="0.3">
      <c r="A32667" s="20"/>
    </row>
    <row r="32668" spans="1:1" x14ac:dyDescent="0.3">
      <c r="A32668" s="20"/>
    </row>
    <row r="32669" spans="1:1" x14ac:dyDescent="0.3">
      <c r="A32669" s="20"/>
    </row>
    <row r="32670" spans="1:1" x14ac:dyDescent="0.3">
      <c r="A32670" s="20"/>
    </row>
    <row r="32671" spans="1:1" x14ac:dyDescent="0.3">
      <c r="A32671" s="20"/>
    </row>
    <row r="32672" spans="1:1" x14ac:dyDescent="0.3">
      <c r="A32672" s="20"/>
    </row>
    <row r="32673" spans="1:1" x14ac:dyDescent="0.3">
      <c r="A32673" s="20"/>
    </row>
    <row r="32674" spans="1:1" x14ac:dyDescent="0.3">
      <c r="A32674" s="20"/>
    </row>
    <row r="32675" spans="1:1" x14ac:dyDescent="0.3">
      <c r="A32675" s="20"/>
    </row>
    <row r="32676" spans="1:1" x14ac:dyDescent="0.3">
      <c r="A32676" s="20"/>
    </row>
    <row r="32677" spans="1:1" x14ac:dyDescent="0.3">
      <c r="A32677" s="20"/>
    </row>
    <row r="32678" spans="1:1" x14ac:dyDescent="0.3">
      <c r="A32678" s="20"/>
    </row>
    <row r="32679" spans="1:1" x14ac:dyDescent="0.3">
      <c r="A32679" s="20"/>
    </row>
    <row r="32680" spans="1:1" x14ac:dyDescent="0.3">
      <c r="A32680" s="20"/>
    </row>
    <row r="32681" spans="1:1" x14ac:dyDescent="0.3">
      <c r="A32681" s="20"/>
    </row>
    <row r="32682" spans="1:1" x14ac:dyDescent="0.3">
      <c r="A32682" s="20"/>
    </row>
    <row r="32683" spans="1:1" x14ac:dyDescent="0.3">
      <c r="A32683" s="20"/>
    </row>
    <row r="32684" spans="1:1" x14ac:dyDescent="0.3">
      <c r="A32684" s="20"/>
    </row>
    <row r="32685" spans="1:1" x14ac:dyDescent="0.3">
      <c r="A32685" s="20"/>
    </row>
    <row r="32686" spans="1:1" x14ac:dyDescent="0.3">
      <c r="A32686" s="20"/>
    </row>
    <row r="32687" spans="1:1" x14ac:dyDescent="0.3">
      <c r="A32687" s="20"/>
    </row>
    <row r="32688" spans="1:1" x14ac:dyDescent="0.3">
      <c r="A32688" s="20"/>
    </row>
    <row r="32689" spans="1:1" x14ac:dyDescent="0.3">
      <c r="A32689" s="20"/>
    </row>
    <row r="32690" spans="1:1" x14ac:dyDescent="0.3">
      <c r="A32690" s="20"/>
    </row>
    <row r="32691" spans="1:1" x14ac:dyDescent="0.3">
      <c r="A32691" s="20"/>
    </row>
    <row r="32692" spans="1:1" x14ac:dyDescent="0.3">
      <c r="A32692" s="20"/>
    </row>
    <row r="32693" spans="1:1" x14ac:dyDescent="0.3">
      <c r="A32693" s="20"/>
    </row>
    <row r="32694" spans="1:1" x14ac:dyDescent="0.3">
      <c r="A32694" s="20"/>
    </row>
    <row r="32695" spans="1:1" x14ac:dyDescent="0.3">
      <c r="A32695" s="20"/>
    </row>
    <row r="32696" spans="1:1" x14ac:dyDescent="0.3">
      <c r="A32696" s="20"/>
    </row>
    <row r="32697" spans="1:1" x14ac:dyDescent="0.3">
      <c r="A32697" s="20"/>
    </row>
    <row r="32698" spans="1:1" x14ac:dyDescent="0.3">
      <c r="A32698" s="20"/>
    </row>
    <row r="32699" spans="1:1" x14ac:dyDescent="0.3">
      <c r="A32699" s="20"/>
    </row>
    <row r="32700" spans="1:1" x14ac:dyDescent="0.3">
      <c r="A32700" s="20"/>
    </row>
    <row r="32701" spans="1:1" x14ac:dyDescent="0.3">
      <c r="A32701" s="20"/>
    </row>
    <row r="32702" spans="1:1" x14ac:dyDescent="0.3">
      <c r="A32702" s="20"/>
    </row>
    <row r="32703" spans="1:1" x14ac:dyDescent="0.3">
      <c r="A32703" s="20"/>
    </row>
    <row r="32704" spans="1:1" x14ac:dyDescent="0.3">
      <c r="A32704" s="20"/>
    </row>
    <row r="32705" spans="1:1" x14ac:dyDescent="0.3">
      <c r="A32705" s="20"/>
    </row>
    <row r="32706" spans="1:1" x14ac:dyDescent="0.3">
      <c r="A32706" s="20"/>
    </row>
    <row r="32707" spans="1:1" x14ac:dyDescent="0.3">
      <c r="A32707" s="20"/>
    </row>
    <row r="32708" spans="1:1" x14ac:dyDescent="0.3">
      <c r="A32708" s="20"/>
    </row>
    <row r="32709" spans="1:1" x14ac:dyDescent="0.3">
      <c r="A32709" s="20"/>
    </row>
    <row r="32710" spans="1:1" x14ac:dyDescent="0.3">
      <c r="A32710" s="20"/>
    </row>
    <row r="32711" spans="1:1" x14ac:dyDescent="0.3">
      <c r="A32711" s="20"/>
    </row>
    <row r="32712" spans="1:1" x14ac:dyDescent="0.3">
      <c r="A32712" s="20"/>
    </row>
    <row r="32713" spans="1:1" x14ac:dyDescent="0.3">
      <c r="A32713" s="20"/>
    </row>
    <row r="32714" spans="1:1" x14ac:dyDescent="0.3">
      <c r="A32714" s="20"/>
    </row>
    <row r="32715" spans="1:1" x14ac:dyDescent="0.3">
      <c r="A32715" s="20"/>
    </row>
    <row r="32716" spans="1:1" x14ac:dyDescent="0.3">
      <c r="A32716" s="20"/>
    </row>
    <row r="32717" spans="1:1" x14ac:dyDescent="0.3">
      <c r="A32717" s="20"/>
    </row>
    <row r="32718" spans="1:1" x14ac:dyDescent="0.3">
      <c r="A32718" s="20"/>
    </row>
    <row r="32719" spans="1:1" x14ac:dyDescent="0.3">
      <c r="A32719" s="20"/>
    </row>
    <row r="32720" spans="1:1" x14ac:dyDescent="0.3">
      <c r="A32720" s="20"/>
    </row>
    <row r="32721" spans="1:1" x14ac:dyDescent="0.3">
      <c r="A32721" s="20"/>
    </row>
    <row r="32722" spans="1:1" x14ac:dyDescent="0.3">
      <c r="A32722" s="20"/>
    </row>
    <row r="32723" spans="1:1" x14ac:dyDescent="0.3">
      <c r="A32723" s="20"/>
    </row>
    <row r="32724" spans="1:1" x14ac:dyDescent="0.3">
      <c r="A32724" s="20"/>
    </row>
    <row r="32725" spans="1:1" x14ac:dyDescent="0.3">
      <c r="A32725" s="20"/>
    </row>
    <row r="32726" spans="1:1" x14ac:dyDescent="0.3">
      <c r="A32726" s="20"/>
    </row>
    <row r="32727" spans="1:1" x14ac:dyDescent="0.3">
      <c r="A32727" s="20"/>
    </row>
    <row r="32728" spans="1:1" x14ac:dyDescent="0.3">
      <c r="A32728" s="20"/>
    </row>
    <row r="32729" spans="1:1" x14ac:dyDescent="0.3">
      <c r="A32729" s="20"/>
    </row>
    <row r="32730" spans="1:1" x14ac:dyDescent="0.3">
      <c r="A32730" s="20"/>
    </row>
    <row r="32731" spans="1:1" x14ac:dyDescent="0.3">
      <c r="A32731" s="20"/>
    </row>
    <row r="32732" spans="1:1" x14ac:dyDescent="0.3">
      <c r="A32732" s="20"/>
    </row>
    <row r="32733" spans="1:1" x14ac:dyDescent="0.3">
      <c r="A32733" s="20"/>
    </row>
    <row r="32734" spans="1:1" x14ac:dyDescent="0.3">
      <c r="A32734" s="20"/>
    </row>
    <row r="32735" spans="1:1" x14ac:dyDescent="0.3">
      <c r="A32735" s="20"/>
    </row>
    <row r="32736" spans="1:1" x14ac:dyDescent="0.3">
      <c r="A32736" s="20"/>
    </row>
    <row r="32737" spans="1:1" x14ac:dyDescent="0.3">
      <c r="A32737" s="20"/>
    </row>
    <row r="32738" spans="1:1" x14ac:dyDescent="0.3">
      <c r="A32738" s="20"/>
    </row>
    <row r="32739" spans="1:1" x14ac:dyDescent="0.3">
      <c r="A32739" s="20"/>
    </row>
    <row r="32740" spans="1:1" x14ac:dyDescent="0.3">
      <c r="A32740" s="20"/>
    </row>
    <row r="32741" spans="1:1" x14ac:dyDescent="0.3">
      <c r="A32741" s="20"/>
    </row>
    <row r="32742" spans="1:1" x14ac:dyDescent="0.3">
      <c r="A32742" s="20"/>
    </row>
    <row r="32743" spans="1:1" x14ac:dyDescent="0.3">
      <c r="A32743" s="20"/>
    </row>
    <row r="32744" spans="1:1" x14ac:dyDescent="0.3">
      <c r="A32744" s="20"/>
    </row>
    <row r="32745" spans="1:1" x14ac:dyDescent="0.3">
      <c r="A32745" s="20"/>
    </row>
    <row r="32746" spans="1:1" x14ac:dyDescent="0.3">
      <c r="A32746" s="20"/>
    </row>
    <row r="32747" spans="1:1" x14ac:dyDescent="0.3">
      <c r="A32747" s="20"/>
    </row>
    <row r="32748" spans="1:1" x14ac:dyDescent="0.3">
      <c r="A32748" s="20"/>
    </row>
    <row r="32749" spans="1:1" x14ac:dyDescent="0.3">
      <c r="A32749" s="20"/>
    </row>
    <row r="32750" spans="1:1" x14ac:dyDescent="0.3">
      <c r="A32750" s="20"/>
    </row>
    <row r="32751" spans="1:1" x14ac:dyDescent="0.3">
      <c r="A32751" s="20"/>
    </row>
    <row r="32752" spans="1:1" x14ac:dyDescent="0.3">
      <c r="A32752" s="20"/>
    </row>
    <row r="32753" spans="1:1" x14ac:dyDescent="0.3">
      <c r="A32753" s="20"/>
    </row>
    <row r="32754" spans="1:1" x14ac:dyDescent="0.3">
      <c r="A32754" s="20"/>
    </row>
    <row r="32755" spans="1:1" x14ac:dyDescent="0.3">
      <c r="A32755" s="20"/>
    </row>
    <row r="32756" spans="1:1" x14ac:dyDescent="0.3">
      <c r="A32756" s="20"/>
    </row>
    <row r="32757" spans="1:1" x14ac:dyDescent="0.3">
      <c r="A32757" s="20"/>
    </row>
    <row r="32758" spans="1:1" x14ac:dyDescent="0.3">
      <c r="A32758" s="20"/>
    </row>
    <row r="32759" spans="1:1" x14ac:dyDescent="0.3">
      <c r="A32759" s="20"/>
    </row>
    <row r="32760" spans="1:1" x14ac:dyDescent="0.3">
      <c r="A32760" s="20"/>
    </row>
    <row r="32761" spans="1:1" x14ac:dyDescent="0.3">
      <c r="A32761" s="20"/>
    </row>
    <row r="32762" spans="1:1" x14ac:dyDescent="0.3">
      <c r="A32762" s="20"/>
    </row>
    <row r="32763" spans="1:1" x14ac:dyDescent="0.3">
      <c r="A32763" s="20"/>
    </row>
    <row r="32764" spans="1:1" x14ac:dyDescent="0.3">
      <c r="A32764" s="20"/>
    </row>
    <row r="32765" spans="1:1" x14ac:dyDescent="0.3">
      <c r="A32765" s="20"/>
    </row>
    <row r="32766" spans="1:1" x14ac:dyDescent="0.3">
      <c r="A32766" s="20"/>
    </row>
    <row r="32767" spans="1:1" x14ac:dyDescent="0.3">
      <c r="A32767" s="20"/>
    </row>
    <row r="32768" spans="1:1" x14ac:dyDescent="0.3">
      <c r="A32768" s="20"/>
    </row>
    <row r="32769" spans="1:1" x14ac:dyDescent="0.3">
      <c r="A32769" s="20"/>
    </row>
    <row r="32770" spans="1:1" x14ac:dyDescent="0.3">
      <c r="A32770" s="20"/>
    </row>
    <row r="32771" spans="1:1" x14ac:dyDescent="0.3">
      <c r="A32771" s="20"/>
    </row>
    <row r="32772" spans="1:1" x14ac:dyDescent="0.3">
      <c r="A32772" s="20"/>
    </row>
    <row r="32773" spans="1:1" x14ac:dyDescent="0.3">
      <c r="A32773" s="20"/>
    </row>
    <row r="32774" spans="1:1" x14ac:dyDescent="0.3">
      <c r="A32774" s="20"/>
    </row>
    <row r="32775" spans="1:1" x14ac:dyDescent="0.3">
      <c r="A32775" s="20"/>
    </row>
    <row r="32776" spans="1:1" x14ac:dyDescent="0.3">
      <c r="A32776" s="20"/>
    </row>
    <row r="32777" spans="1:1" x14ac:dyDescent="0.3">
      <c r="A32777" s="20"/>
    </row>
    <row r="32778" spans="1:1" x14ac:dyDescent="0.3">
      <c r="A32778" s="20"/>
    </row>
    <row r="32779" spans="1:1" x14ac:dyDescent="0.3">
      <c r="A32779" s="20"/>
    </row>
    <row r="32780" spans="1:1" x14ac:dyDescent="0.3">
      <c r="A32780" s="20"/>
    </row>
    <row r="32781" spans="1:1" x14ac:dyDescent="0.3">
      <c r="A32781" s="20"/>
    </row>
    <row r="32782" spans="1:1" x14ac:dyDescent="0.3">
      <c r="A32782" s="20"/>
    </row>
    <row r="32783" spans="1:1" x14ac:dyDescent="0.3">
      <c r="A32783" s="20"/>
    </row>
    <row r="32784" spans="1:1" x14ac:dyDescent="0.3">
      <c r="A32784" s="20"/>
    </row>
    <row r="32785" spans="1:1" x14ac:dyDescent="0.3">
      <c r="A32785" s="20"/>
    </row>
    <row r="32786" spans="1:1" x14ac:dyDescent="0.3">
      <c r="A32786" s="20"/>
    </row>
    <row r="32787" spans="1:1" x14ac:dyDescent="0.3">
      <c r="A32787" s="20"/>
    </row>
    <row r="32788" spans="1:1" x14ac:dyDescent="0.3">
      <c r="A32788" s="20"/>
    </row>
    <row r="32789" spans="1:1" x14ac:dyDescent="0.3">
      <c r="A32789" s="20"/>
    </row>
    <row r="32790" spans="1:1" x14ac:dyDescent="0.3">
      <c r="A32790" s="20"/>
    </row>
    <row r="32791" spans="1:1" x14ac:dyDescent="0.3">
      <c r="A32791" s="20"/>
    </row>
    <row r="32792" spans="1:1" x14ac:dyDescent="0.3">
      <c r="A32792" s="20"/>
    </row>
    <row r="32793" spans="1:1" x14ac:dyDescent="0.3">
      <c r="A32793" s="20"/>
    </row>
    <row r="32794" spans="1:1" x14ac:dyDescent="0.3">
      <c r="A32794" s="20"/>
    </row>
    <row r="32795" spans="1:1" x14ac:dyDescent="0.3">
      <c r="A32795" s="20"/>
    </row>
    <row r="32796" spans="1:1" x14ac:dyDescent="0.3">
      <c r="A32796" s="20"/>
    </row>
    <row r="32797" spans="1:1" x14ac:dyDescent="0.3">
      <c r="A32797" s="20"/>
    </row>
    <row r="32798" spans="1:1" x14ac:dyDescent="0.3">
      <c r="A32798" s="20"/>
    </row>
    <row r="32799" spans="1:1" x14ac:dyDescent="0.3">
      <c r="A32799" s="20"/>
    </row>
    <row r="32800" spans="1:1" x14ac:dyDescent="0.3">
      <c r="A32800" s="20"/>
    </row>
    <row r="32801" spans="1:1" x14ac:dyDescent="0.3">
      <c r="A32801" s="20"/>
    </row>
    <row r="32802" spans="1:1" x14ac:dyDescent="0.3">
      <c r="A32802" s="20"/>
    </row>
    <row r="32803" spans="1:1" x14ac:dyDescent="0.3">
      <c r="A32803" s="20"/>
    </row>
    <row r="32804" spans="1:1" x14ac:dyDescent="0.3">
      <c r="A32804" s="20"/>
    </row>
    <row r="32805" spans="1:1" x14ac:dyDescent="0.3">
      <c r="A32805" s="20"/>
    </row>
    <row r="32806" spans="1:1" x14ac:dyDescent="0.3">
      <c r="A32806" s="20"/>
    </row>
    <row r="32807" spans="1:1" x14ac:dyDescent="0.3">
      <c r="A32807" s="20"/>
    </row>
    <row r="32808" spans="1:1" x14ac:dyDescent="0.3">
      <c r="A32808" s="20"/>
    </row>
    <row r="32809" spans="1:1" x14ac:dyDescent="0.3">
      <c r="A32809" s="20"/>
    </row>
    <row r="32810" spans="1:1" x14ac:dyDescent="0.3">
      <c r="A32810" s="20"/>
    </row>
    <row r="32811" spans="1:1" x14ac:dyDescent="0.3">
      <c r="A32811" s="20"/>
    </row>
    <row r="32812" spans="1:1" x14ac:dyDescent="0.3">
      <c r="A32812" s="20"/>
    </row>
    <row r="32813" spans="1:1" x14ac:dyDescent="0.3">
      <c r="A32813" s="20"/>
    </row>
    <row r="32814" spans="1:1" x14ac:dyDescent="0.3">
      <c r="A32814" s="20"/>
    </row>
    <row r="32815" spans="1:1" x14ac:dyDescent="0.3">
      <c r="A32815" s="20"/>
    </row>
    <row r="32816" spans="1:1" x14ac:dyDescent="0.3">
      <c r="A32816" s="20"/>
    </row>
    <row r="32817" spans="1:1" x14ac:dyDescent="0.3">
      <c r="A32817" s="20"/>
    </row>
    <row r="32818" spans="1:1" x14ac:dyDescent="0.3">
      <c r="A32818" s="20"/>
    </row>
    <row r="32819" spans="1:1" x14ac:dyDescent="0.3">
      <c r="A32819" s="20"/>
    </row>
    <row r="32820" spans="1:1" x14ac:dyDescent="0.3">
      <c r="A32820" s="20"/>
    </row>
    <row r="32821" spans="1:1" x14ac:dyDescent="0.3">
      <c r="A32821" s="20"/>
    </row>
    <row r="32822" spans="1:1" x14ac:dyDescent="0.3">
      <c r="A32822" s="20"/>
    </row>
    <row r="32823" spans="1:1" x14ac:dyDescent="0.3">
      <c r="A32823" s="20"/>
    </row>
    <row r="32824" spans="1:1" x14ac:dyDescent="0.3">
      <c r="A32824" s="20"/>
    </row>
    <row r="32825" spans="1:1" x14ac:dyDescent="0.3">
      <c r="A32825" s="20"/>
    </row>
    <row r="32826" spans="1:1" x14ac:dyDescent="0.3">
      <c r="A32826" s="20"/>
    </row>
    <row r="32827" spans="1:1" x14ac:dyDescent="0.3">
      <c r="A32827" s="20"/>
    </row>
    <row r="32828" spans="1:1" x14ac:dyDescent="0.3">
      <c r="A32828" s="20"/>
    </row>
    <row r="32829" spans="1:1" x14ac:dyDescent="0.3">
      <c r="A32829" s="20"/>
    </row>
    <row r="32830" spans="1:1" x14ac:dyDescent="0.3">
      <c r="A32830" s="20"/>
    </row>
    <row r="32831" spans="1:1" x14ac:dyDescent="0.3">
      <c r="A32831" s="20"/>
    </row>
    <row r="32832" spans="1:1" x14ac:dyDescent="0.3">
      <c r="A32832" s="20"/>
    </row>
    <row r="32833" spans="1:1" x14ac:dyDescent="0.3">
      <c r="A32833" s="20"/>
    </row>
    <row r="32834" spans="1:1" x14ac:dyDescent="0.3">
      <c r="A32834" s="20"/>
    </row>
    <row r="32835" spans="1:1" x14ac:dyDescent="0.3">
      <c r="A32835" s="20"/>
    </row>
    <row r="32836" spans="1:1" x14ac:dyDescent="0.3">
      <c r="A32836" s="20"/>
    </row>
    <row r="32837" spans="1:1" x14ac:dyDescent="0.3">
      <c r="A32837" s="20"/>
    </row>
    <row r="32838" spans="1:1" x14ac:dyDescent="0.3">
      <c r="A32838" s="20"/>
    </row>
    <row r="32839" spans="1:1" x14ac:dyDescent="0.3">
      <c r="A32839" s="20"/>
    </row>
    <row r="32840" spans="1:1" x14ac:dyDescent="0.3">
      <c r="A32840" s="20"/>
    </row>
    <row r="32841" spans="1:1" x14ac:dyDescent="0.3">
      <c r="A32841" s="20"/>
    </row>
    <row r="32842" spans="1:1" x14ac:dyDescent="0.3">
      <c r="A32842" s="20"/>
    </row>
    <row r="32843" spans="1:1" x14ac:dyDescent="0.3">
      <c r="A32843" s="20"/>
    </row>
    <row r="32844" spans="1:1" x14ac:dyDescent="0.3">
      <c r="A32844" s="20"/>
    </row>
    <row r="32845" spans="1:1" x14ac:dyDescent="0.3">
      <c r="A32845" s="20"/>
    </row>
    <row r="32846" spans="1:1" x14ac:dyDescent="0.3">
      <c r="A32846" s="20"/>
    </row>
    <row r="32847" spans="1:1" x14ac:dyDescent="0.3">
      <c r="A32847" s="20"/>
    </row>
    <row r="32848" spans="1:1" x14ac:dyDescent="0.3">
      <c r="A32848" s="20"/>
    </row>
    <row r="32849" spans="1:1" x14ac:dyDescent="0.3">
      <c r="A32849" s="20"/>
    </row>
    <row r="32850" spans="1:1" x14ac:dyDescent="0.3">
      <c r="A32850" s="20"/>
    </row>
    <row r="32851" spans="1:1" x14ac:dyDescent="0.3">
      <c r="A32851" s="20"/>
    </row>
    <row r="32852" spans="1:1" x14ac:dyDescent="0.3">
      <c r="A32852" s="20"/>
    </row>
    <row r="32853" spans="1:1" x14ac:dyDescent="0.3">
      <c r="A32853" s="20"/>
    </row>
    <row r="32854" spans="1:1" x14ac:dyDescent="0.3">
      <c r="A32854" s="20"/>
    </row>
    <row r="32855" spans="1:1" x14ac:dyDescent="0.3">
      <c r="A32855" s="20"/>
    </row>
    <row r="32856" spans="1:1" x14ac:dyDescent="0.3">
      <c r="A32856" s="20"/>
    </row>
    <row r="32857" spans="1:1" x14ac:dyDescent="0.3">
      <c r="A32857" s="20"/>
    </row>
    <row r="32858" spans="1:1" x14ac:dyDescent="0.3">
      <c r="A32858" s="20"/>
    </row>
    <row r="32859" spans="1:1" x14ac:dyDescent="0.3">
      <c r="A32859" s="20"/>
    </row>
    <row r="32860" spans="1:1" x14ac:dyDescent="0.3">
      <c r="A32860" s="20"/>
    </row>
    <row r="32861" spans="1:1" x14ac:dyDescent="0.3">
      <c r="A32861" s="20"/>
    </row>
    <row r="32862" spans="1:1" x14ac:dyDescent="0.3">
      <c r="A32862" s="20"/>
    </row>
    <row r="32863" spans="1:1" x14ac:dyDescent="0.3">
      <c r="A32863" s="20"/>
    </row>
    <row r="32864" spans="1:1" x14ac:dyDescent="0.3">
      <c r="A32864" s="20"/>
    </row>
    <row r="32865" spans="1:1" x14ac:dyDescent="0.3">
      <c r="A32865" s="20"/>
    </row>
    <row r="32866" spans="1:1" x14ac:dyDescent="0.3">
      <c r="A32866" s="20"/>
    </row>
    <row r="32867" spans="1:1" x14ac:dyDescent="0.3">
      <c r="A32867" s="20"/>
    </row>
    <row r="32868" spans="1:1" x14ac:dyDescent="0.3">
      <c r="A32868" s="20"/>
    </row>
    <row r="32869" spans="1:1" x14ac:dyDescent="0.3">
      <c r="A32869" s="20"/>
    </row>
    <row r="32870" spans="1:1" x14ac:dyDescent="0.3">
      <c r="A32870" s="20"/>
    </row>
    <row r="32871" spans="1:1" x14ac:dyDescent="0.3">
      <c r="A32871" s="20"/>
    </row>
    <row r="32872" spans="1:1" x14ac:dyDescent="0.3">
      <c r="A32872" s="20"/>
    </row>
    <row r="32873" spans="1:1" x14ac:dyDescent="0.3">
      <c r="A32873" s="20"/>
    </row>
    <row r="32874" spans="1:1" x14ac:dyDescent="0.3">
      <c r="A32874" s="20"/>
    </row>
    <row r="32875" spans="1:1" x14ac:dyDescent="0.3">
      <c r="A32875" s="20"/>
    </row>
    <row r="32876" spans="1:1" x14ac:dyDescent="0.3">
      <c r="A32876" s="20"/>
    </row>
    <row r="32877" spans="1:1" x14ac:dyDescent="0.3">
      <c r="A32877" s="20"/>
    </row>
    <row r="32878" spans="1:1" x14ac:dyDescent="0.3">
      <c r="A32878" s="20"/>
    </row>
    <row r="32879" spans="1:1" x14ac:dyDescent="0.3">
      <c r="A32879" s="20"/>
    </row>
    <row r="32880" spans="1:1" x14ac:dyDescent="0.3">
      <c r="A32880" s="20"/>
    </row>
    <row r="32881" spans="1:1" x14ac:dyDescent="0.3">
      <c r="A32881" s="20"/>
    </row>
    <row r="32882" spans="1:1" x14ac:dyDescent="0.3">
      <c r="A32882" s="20"/>
    </row>
    <row r="32883" spans="1:1" x14ac:dyDescent="0.3">
      <c r="A32883" s="20"/>
    </row>
    <row r="32884" spans="1:1" x14ac:dyDescent="0.3">
      <c r="A32884" s="20"/>
    </row>
    <row r="32885" spans="1:1" x14ac:dyDescent="0.3">
      <c r="A32885" s="20"/>
    </row>
    <row r="32886" spans="1:1" x14ac:dyDescent="0.3">
      <c r="A32886" s="20"/>
    </row>
    <row r="32887" spans="1:1" x14ac:dyDescent="0.3">
      <c r="A32887" s="20"/>
    </row>
    <row r="32888" spans="1:1" x14ac:dyDescent="0.3">
      <c r="A32888" s="20"/>
    </row>
    <row r="32889" spans="1:1" x14ac:dyDescent="0.3">
      <c r="A32889" s="20"/>
    </row>
    <row r="32890" spans="1:1" x14ac:dyDescent="0.3">
      <c r="A32890" s="20"/>
    </row>
    <row r="32891" spans="1:1" x14ac:dyDescent="0.3">
      <c r="A32891" s="20"/>
    </row>
    <row r="32892" spans="1:1" x14ac:dyDescent="0.3">
      <c r="A32892" s="20"/>
    </row>
    <row r="32893" spans="1:1" x14ac:dyDescent="0.3">
      <c r="A32893" s="20"/>
    </row>
    <row r="32894" spans="1:1" x14ac:dyDescent="0.3">
      <c r="A32894" s="20"/>
    </row>
    <row r="32895" spans="1:1" x14ac:dyDescent="0.3">
      <c r="A32895" s="20"/>
    </row>
    <row r="32896" spans="1:1" x14ac:dyDescent="0.3">
      <c r="A32896" s="20"/>
    </row>
    <row r="32897" spans="1:1" x14ac:dyDescent="0.3">
      <c r="A32897" s="20"/>
    </row>
    <row r="32898" spans="1:1" x14ac:dyDescent="0.3">
      <c r="A32898" s="20"/>
    </row>
    <row r="32899" spans="1:1" x14ac:dyDescent="0.3">
      <c r="A32899" s="20"/>
    </row>
    <row r="32900" spans="1:1" x14ac:dyDescent="0.3">
      <c r="A32900" s="20"/>
    </row>
    <row r="32901" spans="1:1" x14ac:dyDescent="0.3">
      <c r="A32901" s="20"/>
    </row>
    <row r="32902" spans="1:1" x14ac:dyDescent="0.3">
      <c r="A32902" s="20"/>
    </row>
    <row r="32903" spans="1:1" x14ac:dyDescent="0.3">
      <c r="A32903" s="20"/>
    </row>
    <row r="32904" spans="1:1" x14ac:dyDescent="0.3">
      <c r="A32904" s="20"/>
    </row>
    <row r="32905" spans="1:1" x14ac:dyDescent="0.3">
      <c r="A32905" s="20"/>
    </row>
    <row r="32906" spans="1:1" x14ac:dyDescent="0.3">
      <c r="A32906" s="20"/>
    </row>
    <row r="32907" spans="1:1" x14ac:dyDescent="0.3">
      <c r="A32907" s="20"/>
    </row>
    <row r="32908" spans="1:1" x14ac:dyDescent="0.3">
      <c r="A32908" s="20"/>
    </row>
    <row r="32909" spans="1:1" x14ac:dyDescent="0.3">
      <c r="A32909" s="20"/>
    </row>
    <row r="32910" spans="1:1" x14ac:dyDescent="0.3">
      <c r="A32910" s="20"/>
    </row>
    <row r="32911" spans="1:1" x14ac:dyDescent="0.3">
      <c r="A32911" s="20"/>
    </row>
    <row r="32912" spans="1:1" x14ac:dyDescent="0.3">
      <c r="A32912" s="20"/>
    </row>
    <row r="32913" spans="1:1" x14ac:dyDescent="0.3">
      <c r="A32913" s="20"/>
    </row>
    <row r="32914" spans="1:1" x14ac:dyDescent="0.3">
      <c r="A32914" s="20"/>
    </row>
    <row r="32915" spans="1:1" x14ac:dyDescent="0.3">
      <c r="A32915" s="20"/>
    </row>
    <row r="32916" spans="1:1" x14ac:dyDescent="0.3">
      <c r="A32916" s="20"/>
    </row>
    <row r="32917" spans="1:1" x14ac:dyDescent="0.3">
      <c r="A32917" s="20"/>
    </row>
    <row r="32918" spans="1:1" x14ac:dyDescent="0.3">
      <c r="A32918" s="20"/>
    </row>
    <row r="32919" spans="1:1" x14ac:dyDescent="0.3">
      <c r="A32919" s="20"/>
    </row>
    <row r="32920" spans="1:1" x14ac:dyDescent="0.3">
      <c r="A32920" s="20"/>
    </row>
    <row r="32921" spans="1:1" x14ac:dyDescent="0.3">
      <c r="A32921" s="20"/>
    </row>
    <row r="32922" spans="1:1" x14ac:dyDescent="0.3">
      <c r="A32922" s="20"/>
    </row>
    <row r="32923" spans="1:1" x14ac:dyDescent="0.3">
      <c r="A32923" s="20"/>
    </row>
    <row r="32924" spans="1:1" x14ac:dyDescent="0.3">
      <c r="A32924" s="20"/>
    </row>
    <row r="32925" spans="1:1" x14ac:dyDescent="0.3">
      <c r="A32925" s="20"/>
    </row>
    <row r="32926" spans="1:1" x14ac:dyDescent="0.3">
      <c r="A32926" s="20"/>
    </row>
    <row r="32927" spans="1:1" x14ac:dyDescent="0.3">
      <c r="A32927" s="20"/>
    </row>
    <row r="32928" spans="1:1" x14ac:dyDescent="0.3">
      <c r="A32928" s="20"/>
    </row>
    <row r="32929" spans="1:1" x14ac:dyDescent="0.3">
      <c r="A32929" s="20"/>
    </row>
    <row r="32930" spans="1:1" x14ac:dyDescent="0.3">
      <c r="A32930" s="20"/>
    </row>
    <row r="32931" spans="1:1" x14ac:dyDescent="0.3">
      <c r="A32931" s="20"/>
    </row>
    <row r="32932" spans="1:1" x14ac:dyDescent="0.3">
      <c r="A32932" s="20"/>
    </row>
    <row r="32933" spans="1:1" x14ac:dyDescent="0.3">
      <c r="A32933" s="20"/>
    </row>
    <row r="32934" spans="1:1" x14ac:dyDescent="0.3">
      <c r="A32934" s="20"/>
    </row>
    <row r="32935" spans="1:1" x14ac:dyDescent="0.3">
      <c r="A32935" s="20"/>
    </row>
    <row r="32936" spans="1:1" x14ac:dyDescent="0.3">
      <c r="A32936" s="20"/>
    </row>
    <row r="32937" spans="1:1" x14ac:dyDescent="0.3">
      <c r="A32937" s="20"/>
    </row>
    <row r="32938" spans="1:1" x14ac:dyDescent="0.3">
      <c r="A32938" s="20"/>
    </row>
    <row r="32939" spans="1:1" x14ac:dyDescent="0.3">
      <c r="A32939" s="20"/>
    </row>
    <row r="32940" spans="1:1" x14ac:dyDescent="0.3">
      <c r="A32940" s="20"/>
    </row>
    <row r="32941" spans="1:1" x14ac:dyDescent="0.3">
      <c r="A32941" s="20"/>
    </row>
    <row r="32942" spans="1:1" x14ac:dyDescent="0.3">
      <c r="A32942" s="20"/>
    </row>
    <row r="32943" spans="1:1" x14ac:dyDescent="0.3">
      <c r="A32943" s="20"/>
    </row>
    <row r="32944" spans="1:1" x14ac:dyDescent="0.3">
      <c r="A32944" s="20"/>
    </row>
    <row r="32945" spans="1:1" x14ac:dyDescent="0.3">
      <c r="A32945" s="20"/>
    </row>
    <row r="32946" spans="1:1" x14ac:dyDescent="0.3">
      <c r="A32946" s="20"/>
    </row>
    <row r="32947" spans="1:1" x14ac:dyDescent="0.3">
      <c r="A32947" s="20"/>
    </row>
    <row r="32948" spans="1:1" x14ac:dyDescent="0.3">
      <c r="A32948" s="20"/>
    </row>
    <row r="32949" spans="1:1" x14ac:dyDescent="0.3">
      <c r="A32949" s="20"/>
    </row>
    <row r="32950" spans="1:1" x14ac:dyDescent="0.3">
      <c r="A32950" s="20"/>
    </row>
    <row r="32951" spans="1:1" x14ac:dyDescent="0.3">
      <c r="A32951" s="20"/>
    </row>
    <row r="32952" spans="1:1" x14ac:dyDescent="0.3">
      <c r="A32952" s="20"/>
    </row>
    <row r="32953" spans="1:1" x14ac:dyDescent="0.3">
      <c r="A32953" s="20"/>
    </row>
    <row r="32954" spans="1:1" x14ac:dyDescent="0.3">
      <c r="A32954" s="20"/>
    </row>
    <row r="32955" spans="1:1" x14ac:dyDescent="0.3">
      <c r="A32955" s="20"/>
    </row>
    <row r="32956" spans="1:1" x14ac:dyDescent="0.3">
      <c r="A32956" s="20"/>
    </row>
    <row r="32957" spans="1:1" x14ac:dyDescent="0.3">
      <c r="A32957" s="20"/>
    </row>
    <row r="32958" spans="1:1" x14ac:dyDescent="0.3">
      <c r="A32958" s="20"/>
    </row>
    <row r="32959" spans="1:1" x14ac:dyDescent="0.3">
      <c r="A32959" s="20"/>
    </row>
    <row r="32960" spans="1:1" x14ac:dyDescent="0.3">
      <c r="A32960" s="20"/>
    </row>
    <row r="32961" spans="1:1" x14ac:dyDescent="0.3">
      <c r="A32961" s="20"/>
    </row>
    <row r="32962" spans="1:1" x14ac:dyDescent="0.3">
      <c r="A32962" s="20"/>
    </row>
    <row r="32963" spans="1:1" x14ac:dyDescent="0.3">
      <c r="A32963" s="20"/>
    </row>
    <row r="32964" spans="1:1" x14ac:dyDescent="0.3">
      <c r="A32964" s="20"/>
    </row>
    <row r="32965" spans="1:1" x14ac:dyDescent="0.3">
      <c r="A32965" s="20"/>
    </row>
    <row r="32966" spans="1:1" x14ac:dyDescent="0.3">
      <c r="A32966" s="20"/>
    </row>
    <row r="32967" spans="1:1" x14ac:dyDescent="0.3">
      <c r="A32967" s="20"/>
    </row>
    <row r="32968" spans="1:1" x14ac:dyDescent="0.3">
      <c r="A32968" s="20"/>
    </row>
    <row r="32969" spans="1:1" x14ac:dyDescent="0.3">
      <c r="A32969" s="20"/>
    </row>
    <row r="32970" spans="1:1" x14ac:dyDescent="0.3">
      <c r="A32970" s="20"/>
    </row>
    <row r="32971" spans="1:1" x14ac:dyDescent="0.3">
      <c r="A32971" s="20"/>
    </row>
    <row r="32972" spans="1:1" x14ac:dyDescent="0.3">
      <c r="A32972" s="20"/>
    </row>
    <row r="32973" spans="1:1" x14ac:dyDescent="0.3">
      <c r="A32973" s="20"/>
    </row>
    <row r="32974" spans="1:1" x14ac:dyDescent="0.3">
      <c r="A32974" s="20"/>
    </row>
    <row r="32975" spans="1:1" x14ac:dyDescent="0.3">
      <c r="A32975" s="20"/>
    </row>
    <row r="32976" spans="1:1" x14ac:dyDescent="0.3">
      <c r="A32976" s="20"/>
    </row>
    <row r="32977" spans="1:1" x14ac:dyDescent="0.3">
      <c r="A32977" s="20"/>
    </row>
    <row r="32978" spans="1:1" x14ac:dyDescent="0.3">
      <c r="A32978" s="20"/>
    </row>
    <row r="32979" spans="1:1" x14ac:dyDescent="0.3">
      <c r="A32979" s="20"/>
    </row>
    <row r="32980" spans="1:1" x14ac:dyDescent="0.3">
      <c r="A32980" s="20"/>
    </row>
    <row r="32981" spans="1:1" x14ac:dyDescent="0.3">
      <c r="A32981" s="20"/>
    </row>
    <row r="32982" spans="1:1" x14ac:dyDescent="0.3">
      <c r="A32982" s="20"/>
    </row>
    <row r="32983" spans="1:1" x14ac:dyDescent="0.3">
      <c r="A32983" s="20"/>
    </row>
    <row r="32984" spans="1:1" x14ac:dyDescent="0.3">
      <c r="A32984" s="20"/>
    </row>
    <row r="32985" spans="1:1" x14ac:dyDescent="0.3">
      <c r="A32985" s="20"/>
    </row>
    <row r="32986" spans="1:1" x14ac:dyDescent="0.3">
      <c r="A32986" s="20"/>
    </row>
    <row r="32987" spans="1:1" x14ac:dyDescent="0.3">
      <c r="A32987" s="20"/>
    </row>
    <row r="32988" spans="1:1" x14ac:dyDescent="0.3">
      <c r="A32988" s="20"/>
    </row>
    <row r="32989" spans="1:1" x14ac:dyDescent="0.3">
      <c r="A32989" s="20"/>
    </row>
    <row r="32990" spans="1:1" x14ac:dyDescent="0.3">
      <c r="A32990" s="20"/>
    </row>
    <row r="32991" spans="1:1" x14ac:dyDescent="0.3">
      <c r="A32991" s="20"/>
    </row>
    <row r="32992" spans="1:1" x14ac:dyDescent="0.3">
      <c r="A32992" s="20"/>
    </row>
    <row r="32993" spans="1:1" x14ac:dyDescent="0.3">
      <c r="A32993" s="20"/>
    </row>
    <row r="32994" spans="1:1" x14ac:dyDescent="0.3">
      <c r="A32994" s="20"/>
    </row>
    <row r="32995" spans="1:1" x14ac:dyDescent="0.3">
      <c r="A32995" s="20"/>
    </row>
    <row r="32996" spans="1:1" x14ac:dyDescent="0.3">
      <c r="A32996" s="20"/>
    </row>
    <row r="32997" spans="1:1" x14ac:dyDescent="0.3">
      <c r="A32997" s="20"/>
    </row>
    <row r="32998" spans="1:1" x14ac:dyDescent="0.3">
      <c r="A32998" s="20"/>
    </row>
    <row r="32999" spans="1:1" x14ac:dyDescent="0.3">
      <c r="A32999" s="20"/>
    </row>
    <row r="33000" spans="1:1" x14ac:dyDescent="0.3">
      <c r="A33000" s="20"/>
    </row>
    <row r="33001" spans="1:1" x14ac:dyDescent="0.3">
      <c r="A33001" s="20"/>
    </row>
    <row r="33002" spans="1:1" x14ac:dyDescent="0.3">
      <c r="A33002" s="20"/>
    </row>
    <row r="33003" spans="1:1" x14ac:dyDescent="0.3">
      <c r="A33003" s="20"/>
    </row>
    <row r="33004" spans="1:1" x14ac:dyDescent="0.3">
      <c r="A33004" s="20"/>
    </row>
    <row r="33005" spans="1:1" x14ac:dyDescent="0.3">
      <c r="A33005" s="20"/>
    </row>
    <row r="33006" spans="1:1" x14ac:dyDescent="0.3">
      <c r="A33006" s="20"/>
    </row>
    <row r="33007" spans="1:1" x14ac:dyDescent="0.3">
      <c r="A33007" s="20"/>
    </row>
    <row r="33008" spans="1:1" x14ac:dyDescent="0.3">
      <c r="A33008" s="20"/>
    </row>
    <row r="33009" spans="1:1" x14ac:dyDescent="0.3">
      <c r="A33009" s="20"/>
    </row>
    <row r="33010" spans="1:1" x14ac:dyDescent="0.3">
      <c r="A33010" s="20"/>
    </row>
    <row r="33011" spans="1:1" x14ac:dyDescent="0.3">
      <c r="A33011" s="20"/>
    </row>
    <row r="33012" spans="1:1" x14ac:dyDescent="0.3">
      <c r="A33012" s="20"/>
    </row>
    <row r="33013" spans="1:1" x14ac:dyDescent="0.3">
      <c r="A33013" s="20"/>
    </row>
    <row r="33014" spans="1:1" x14ac:dyDescent="0.3">
      <c r="A33014" s="20"/>
    </row>
    <row r="33015" spans="1:1" x14ac:dyDescent="0.3">
      <c r="A33015" s="20"/>
    </row>
    <row r="33016" spans="1:1" x14ac:dyDescent="0.3">
      <c r="A33016" s="20"/>
    </row>
    <row r="33017" spans="1:1" x14ac:dyDescent="0.3">
      <c r="A33017" s="20"/>
    </row>
    <row r="33018" spans="1:1" x14ac:dyDescent="0.3">
      <c r="A33018" s="20"/>
    </row>
    <row r="33019" spans="1:1" x14ac:dyDescent="0.3">
      <c r="A33019" s="20"/>
    </row>
    <row r="33020" spans="1:1" x14ac:dyDescent="0.3">
      <c r="A33020" s="20"/>
    </row>
    <row r="33021" spans="1:1" x14ac:dyDescent="0.3">
      <c r="A33021" s="20"/>
    </row>
    <row r="33022" spans="1:1" x14ac:dyDescent="0.3">
      <c r="A33022" s="20"/>
    </row>
    <row r="33023" spans="1:1" x14ac:dyDescent="0.3">
      <c r="A33023" s="20"/>
    </row>
    <row r="33024" spans="1:1" x14ac:dyDescent="0.3">
      <c r="A33024" s="20"/>
    </row>
    <row r="33025" spans="1:1" x14ac:dyDescent="0.3">
      <c r="A33025" s="20"/>
    </row>
    <row r="33026" spans="1:1" x14ac:dyDescent="0.3">
      <c r="A33026" s="20"/>
    </row>
    <row r="33027" spans="1:1" x14ac:dyDescent="0.3">
      <c r="A33027" s="20"/>
    </row>
    <row r="33028" spans="1:1" x14ac:dyDescent="0.3">
      <c r="A33028" s="20"/>
    </row>
    <row r="33029" spans="1:1" x14ac:dyDescent="0.3">
      <c r="A33029" s="20"/>
    </row>
    <row r="33030" spans="1:1" x14ac:dyDescent="0.3">
      <c r="A33030" s="20"/>
    </row>
    <row r="33031" spans="1:1" x14ac:dyDescent="0.3">
      <c r="A33031" s="20"/>
    </row>
    <row r="33032" spans="1:1" x14ac:dyDescent="0.3">
      <c r="A33032" s="20"/>
    </row>
    <row r="33033" spans="1:1" x14ac:dyDescent="0.3">
      <c r="A33033" s="20"/>
    </row>
    <row r="33034" spans="1:1" x14ac:dyDescent="0.3">
      <c r="A33034" s="20"/>
    </row>
    <row r="33035" spans="1:1" x14ac:dyDescent="0.3">
      <c r="A33035" s="20"/>
    </row>
    <row r="33036" spans="1:1" x14ac:dyDescent="0.3">
      <c r="A33036" s="20"/>
    </row>
    <row r="33037" spans="1:1" x14ac:dyDescent="0.3">
      <c r="A33037" s="20"/>
    </row>
    <row r="33038" spans="1:1" x14ac:dyDescent="0.3">
      <c r="A33038" s="20"/>
    </row>
    <row r="33039" spans="1:1" x14ac:dyDescent="0.3">
      <c r="A33039" s="20"/>
    </row>
    <row r="33040" spans="1:1" x14ac:dyDescent="0.3">
      <c r="A33040" s="20"/>
    </row>
    <row r="33041" spans="1:1" x14ac:dyDescent="0.3">
      <c r="A33041" s="20"/>
    </row>
    <row r="33042" spans="1:1" x14ac:dyDescent="0.3">
      <c r="A33042" s="20"/>
    </row>
    <row r="33043" spans="1:1" x14ac:dyDescent="0.3">
      <c r="A33043" s="20"/>
    </row>
    <row r="33044" spans="1:1" x14ac:dyDescent="0.3">
      <c r="A33044" s="20"/>
    </row>
    <row r="33045" spans="1:1" x14ac:dyDescent="0.3">
      <c r="A33045" s="20"/>
    </row>
    <row r="33046" spans="1:1" x14ac:dyDescent="0.3">
      <c r="A33046" s="20"/>
    </row>
    <row r="33047" spans="1:1" x14ac:dyDescent="0.3">
      <c r="A33047" s="20"/>
    </row>
    <row r="33048" spans="1:1" x14ac:dyDescent="0.3">
      <c r="A33048" s="20"/>
    </row>
    <row r="33049" spans="1:1" x14ac:dyDescent="0.3">
      <c r="A33049" s="20"/>
    </row>
    <row r="33050" spans="1:1" x14ac:dyDescent="0.3">
      <c r="A33050" s="20"/>
    </row>
    <row r="33051" spans="1:1" x14ac:dyDescent="0.3">
      <c r="A33051" s="20"/>
    </row>
    <row r="33052" spans="1:1" x14ac:dyDescent="0.3">
      <c r="A33052" s="20"/>
    </row>
    <row r="33053" spans="1:1" x14ac:dyDescent="0.3">
      <c r="A33053" s="20"/>
    </row>
    <row r="33054" spans="1:1" x14ac:dyDescent="0.3">
      <c r="A33054" s="20"/>
    </row>
    <row r="33055" spans="1:1" x14ac:dyDescent="0.3">
      <c r="A33055" s="20"/>
    </row>
    <row r="33056" spans="1:1" x14ac:dyDescent="0.3">
      <c r="A33056" s="20"/>
    </row>
    <row r="33057" spans="1:1" x14ac:dyDescent="0.3">
      <c r="A33057" s="20"/>
    </row>
    <row r="33058" spans="1:1" x14ac:dyDescent="0.3">
      <c r="A33058" s="20"/>
    </row>
    <row r="33059" spans="1:1" x14ac:dyDescent="0.3">
      <c r="A33059" s="20"/>
    </row>
    <row r="33060" spans="1:1" x14ac:dyDescent="0.3">
      <c r="A33060" s="20"/>
    </row>
    <row r="33061" spans="1:1" x14ac:dyDescent="0.3">
      <c r="A33061" s="20"/>
    </row>
    <row r="33062" spans="1:1" x14ac:dyDescent="0.3">
      <c r="A33062" s="20"/>
    </row>
    <row r="33063" spans="1:1" x14ac:dyDescent="0.3">
      <c r="A33063" s="20"/>
    </row>
    <row r="33064" spans="1:1" x14ac:dyDescent="0.3">
      <c r="A33064" s="20"/>
    </row>
    <row r="33065" spans="1:1" x14ac:dyDescent="0.3">
      <c r="A33065" s="20"/>
    </row>
    <row r="33066" spans="1:1" x14ac:dyDescent="0.3">
      <c r="A33066" s="20"/>
    </row>
    <row r="33067" spans="1:1" x14ac:dyDescent="0.3">
      <c r="A33067" s="20"/>
    </row>
    <row r="33068" spans="1:1" x14ac:dyDescent="0.3">
      <c r="A33068" s="20"/>
    </row>
    <row r="33069" spans="1:1" x14ac:dyDescent="0.3">
      <c r="A33069" s="20"/>
    </row>
    <row r="33070" spans="1:1" x14ac:dyDescent="0.3">
      <c r="A33070" s="20"/>
    </row>
    <row r="33071" spans="1:1" x14ac:dyDescent="0.3">
      <c r="A33071" s="20"/>
    </row>
    <row r="33072" spans="1:1" x14ac:dyDescent="0.3">
      <c r="A33072" s="20"/>
    </row>
    <row r="33073" spans="1:1" x14ac:dyDescent="0.3">
      <c r="A33073" s="20"/>
    </row>
    <row r="33074" spans="1:1" x14ac:dyDescent="0.3">
      <c r="A33074" s="20"/>
    </row>
    <row r="33075" spans="1:1" x14ac:dyDescent="0.3">
      <c r="A33075" s="20"/>
    </row>
    <row r="33076" spans="1:1" x14ac:dyDescent="0.3">
      <c r="A33076" s="20"/>
    </row>
    <row r="33077" spans="1:1" x14ac:dyDescent="0.3">
      <c r="A33077" s="20"/>
    </row>
    <row r="33078" spans="1:1" x14ac:dyDescent="0.3">
      <c r="A33078" s="20"/>
    </row>
    <row r="33079" spans="1:1" x14ac:dyDescent="0.3">
      <c r="A33079" s="20"/>
    </row>
    <row r="33080" spans="1:1" x14ac:dyDescent="0.3">
      <c r="A33080" s="20"/>
    </row>
    <row r="33081" spans="1:1" x14ac:dyDescent="0.3">
      <c r="A33081" s="20"/>
    </row>
    <row r="33082" spans="1:1" x14ac:dyDescent="0.3">
      <c r="A33082" s="20"/>
    </row>
    <row r="33083" spans="1:1" x14ac:dyDescent="0.3">
      <c r="A33083" s="20"/>
    </row>
    <row r="33084" spans="1:1" x14ac:dyDescent="0.3">
      <c r="A33084" s="20"/>
    </row>
    <row r="33085" spans="1:1" x14ac:dyDescent="0.3">
      <c r="A33085" s="20"/>
    </row>
    <row r="33086" spans="1:1" x14ac:dyDescent="0.3">
      <c r="A33086" s="20"/>
    </row>
    <row r="33087" spans="1:1" x14ac:dyDescent="0.3">
      <c r="A33087" s="20"/>
    </row>
    <row r="33088" spans="1:1" x14ac:dyDescent="0.3">
      <c r="A33088" s="20"/>
    </row>
    <row r="33089" spans="1:1" x14ac:dyDescent="0.3">
      <c r="A33089" s="20"/>
    </row>
    <row r="33090" spans="1:1" x14ac:dyDescent="0.3">
      <c r="A33090" s="20"/>
    </row>
    <row r="33091" spans="1:1" x14ac:dyDescent="0.3">
      <c r="A33091" s="20"/>
    </row>
    <row r="33092" spans="1:1" x14ac:dyDescent="0.3">
      <c r="A33092" s="20"/>
    </row>
    <row r="33093" spans="1:1" x14ac:dyDescent="0.3">
      <c r="A33093" s="20"/>
    </row>
    <row r="33094" spans="1:1" x14ac:dyDescent="0.3">
      <c r="A33094" s="20"/>
    </row>
    <row r="33095" spans="1:1" x14ac:dyDescent="0.3">
      <c r="A33095" s="20"/>
    </row>
    <row r="33096" spans="1:1" x14ac:dyDescent="0.3">
      <c r="A33096" s="20"/>
    </row>
    <row r="33097" spans="1:1" x14ac:dyDescent="0.3">
      <c r="A33097" s="20"/>
    </row>
    <row r="33098" spans="1:1" x14ac:dyDescent="0.3">
      <c r="A33098" s="20"/>
    </row>
    <row r="33099" spans="1:1" x14ac:dyDescent="0.3">
      <c r="A33099" s="20"/>
    </row>
    <row r="33100" spans="1:1" x14ac:dyDescent="0.3">
      <c r="A33100" s="20"/>
    </row>
    <row r="33101" spans="1:1" x14ac:dyDescent="0.3">
      <c r="A33101" s="20"/>
    </row>
    <row r="33102" spans="1:1" x14ac:dyDescent="0.3">
      <c r="A33102" s="20"/>
    </row>
    <row r="33103" spans="1:1" x14ac:dyDescent="0.3">
      <c r="A33103" s="20"/>
    </row>
    <row r="33104" spans="1:1" x14ac:dyDescent="0.3">
      <c r="A33104" s="20"/>
    </row>
    <row r="33105" spans="1:1" x14ac:dyDescent="0.3">
      <c r="A33105" s="20"/>
    </row>
    <row r="33106" spans="1:1" x14ac:dyDescent="0.3">
      <c r="A33106" s="20"/>
    </row>
    <row r="33107" spans="1:1" x14ac:dyDescent="0.3">
      <c r="A33107" s="20"/>
    </row>
    <row r="33108" spans="1:1" x14ac:dyDescent="0.3">
      <c r="A33108" s="20"/>
    </row>
    <row r="33109" spans="1:1" x14ac:dyDescent="0.3">
      <c r="A33109" s="20"/>
    </row>
    <row r="33110" spans="1:1" x14ac:dyDescent="0.3">
      <c r="A33110" s="20"/>
    </row>
    <row r="33111" spans="1:1" x14ac:dyDescent="0.3">
      <c r="A33111" s="20"/>
    </row>
    <row r="33112" spans="1:1" x14ac:dyDescent="0.3">
      <c r="A33112" s="20"/>
    </row>
    <row r="33113" spans="1:1" x14ac:dyDescent="0.3">
      <c r="A33113" s="20"/>
    </row>
    <row r="33114" spans="1:1" x14ac:dyDescent="0.3">
      <c r="A33114" s="20"/>
    </row>
    <row r="33115" spans="1:1" x14ac:dyDescent="0.3">
      <c r="A33115" s="20"/>
    </row>
    <row r="33116" spans="1:1" x14ac:dyDescent="0.3">
      <c r="A33116" s="20"/>
    </row>
    <row r="33117" spans="1:1" x14ac:dyDescent="0.3">
      <c r="A33117" s="20"/>
    </row>
    <row r="33118" spans="1:1" x14ac:dyDescent="0.3">
      <c r="A33118" s="20"/>
    </row>
    <row r="33119" spans="1:1" x14ac:dyDescent="0.3">
      <c r="A33119" s="20"/>
    </row>
    <row r="33120" spans="1:1" x14ac:dyDescent="0.3">
      <c r="A33120" s="20"/>
    </row>
    <row r="33121" spans="1:1" x14ac:dyDescent="0.3">
      <c r="A33121" s="20"/>
    </row>
    <row r="33122" spans="1:1" x14ac:dyDescent="0.3">
      <c r="A33122" s="20"/>
    </row>
    <row r="33123" spans="1:1" x14ac:dyDescent="0.3">
      <c r="A33123" s="20"/>
    </row>
    <row r="33124" spans="1:1" x14ac:dyDescent="0.3">
      <c r="A33124" s="20"/>
    </row>
    <row r="33125" spans="1:1" x14ac:dyDescent="0.3">
      <c r="A33125" s="20"/>
    </row>
    <row r="33126" spans="1:1" x14ac:dyDescent="0.3">
      <c r="A33126" s="20"/>
    </row>
    <row r="33127" spans="1:1" x14ac:dyDescent="0.3">
      <c r="A33127" s="20"/>
    </row>
    <row r="33128" spans="1:1" x14ac:dyDescent="0.3">
      <c r="A33128" s="20"/>
    </row>
    <row r="33129" spans="1:1" x14ac:dyDescent="0.3">
      <c r="A33129" s="20"/>
    </row>
    <row r="33130" spans="1:1" x14ac:dyDescent="0.3">
      <c r="A33130" s="20"/>
    </row>
    <row r="33131" spans="1:1" x14ac:dyDescent="0.3">
      <c r="A33131" s="20"/>
    </row>
    <row r="33132" spans="1:1" x14ac:dyDescent="0.3">
      <c r="A33132" s="20"/>
    </row>
    <row r="33133" spans="1:1" x14ac:dyDescent="0.3">
      <c r="A33133" s="20"/>
    </row>
    <row r="33134" spans="1:1" x14ac:dyDescent="0.3">
      <c r="A33134" s="20"/>
    </row>
    <row r="33135" spans="1:1" x14ac:dyDescent="0.3">
      <c r="A33135" s="20"/>
    </row>
    <row r="33136" spans="1:1" x14ac:dyDescent="0.3">
      <c r="A33136" s="20"/>
    </row>
    <row r="33137" spans="1:1" x14ac:dyDescent="0.3">
      <c r="A33137" s="20"/>
    </row>
    <row r="33138" spans="1:1" x14ac:dyDescent="0.3">
      <c r="A33138" s="20"/>
    </row>
    <row r="33139" spans="1:1" x14ac:dyDescent="0.3">
      <c r="A33139" s="20"/>
    </row>
    <row r="33140" spans="1:1" x14ac:dyDescent="0.3">
      <c r="A33140" s="20"/>
    </row>
    <row r="33141" spans="1:1" x14ac:dyDescent="0.3">
      <c r="A33141" s="20"/>
    </row>
    <row r="33142" spans="1:1" x14ac:dyDescent="0.3">
      <c r="A33142" s="20"/>
    </row>
    <row r="33143" spans="1:1" x14ac:dyDescent="0.3">
      <c r="A33143" s="20"/>
    </row>
    <row r="33144" spans="1:1" x14ac:dyDescent="0.3">
      <c r="A33144" s="20"/>
    </row>
    <row r="33145" spans="1:1" x14ac:dyDescent="0.3">
      <c r="A33145" s="20"/>
    </row>
    <row r="33146" spans="1:1" x14ac:dyDescent="0.3">
      <c r="A33146" s="20"/>
    </row>
    <row r="33147" spans="1:1" x14ac:dyDescent="0.3">
      <c r="A33147" s="20"/>
    </row>
    <row r="33148" spans="1:1" x14ac:dyDescent="0.3">
      <c r="A33148" s="20"/>
    </row>
    <row r="33149" spans="1:1" x14ac:dyDescent="0.3">
      <c r="A33149" s="20"/>
    </row>
    <row r="33150" spans="1:1" x14ac:dyDescent="0.3">
      <c r="A33150" s="20"/>
    </row>
    <row r="33151" spans="1:1" x14ac:dyDescent="0.3">
      <c r="A33151" s="20"/>
    </row>
    <row r="33152" spans="1:1" x14ac:dyDescent="0.3">
      <c r="A33152" s="20"/>
    </row>
    <row r="33153" spans="1:1" x14ac:dyDescent="0.3">
      <c r="A33153" s="20"/>
    </row>
    <row r="33154" spans="1:1" x14ac:dyDescent="0.3">
      <c r="A33154" s="20"/>
    </row>
    <row r="33155" spans="1:1" x14ac:dyDescent="0.3">
      <c r="A33155" s="20"/>
    </row>
    <row r="33156" spans="1:1" x14ac:dyDescent="0.3">
      <c r="A33156" s="20"/>
    </row>
    <row r="33157" spans="1:1" x14ac:dyDescent="0.3">
      <c r="A33157" s="20"/>
    </row>
    <row r="33158" spans="1:1" x14ac:dyDescent="0.3">
      <c r="A33158" s="20"/>
    </row>
    <row r="33159" spans="1:1" x14ac:dyDescent="0.3">
      <c r="A33159" s="20"/>
    </row>
    <row r="33160" spans="1:1" x14ac:dyDescent="0.3">
      <c r="A33160" s="20"/>
    </row>
    <row r="33161" spans="1:1" x14ac:dyDescent="0.3">
      <c r="A33161" s="20"/>
    </row>
    <row r="33162" spans="1:1" x14ac:dyDescent="0.3">
      <c r="A33162" s="20"/>
    </row>
    <row r="33163" spans="1:1" x14ac:dyDescent="0.3">
      <c r="A33163" s="20"/>
    </row>
    <row r="33164" spans="1:1" x14ac:dyDescent="0.3">
      <c r="A33164" s="20"/>
    </row>
    <row r="33165" spans="1:1" x14ac:dyDescent="0.3">
      <c r="A33165" s="20"/>
    </row>
    <row r="33166" spans="1:1" x14ac:dyDescent="0.3">
      <c r="A33166" s="20"/>
    </row>
    <row r="33167" spans="1:1" x14ac:dyDescent="0.3">
      <c r="A33167" s="20"/>
    </row>
    <row r="33168" spans="1:1" x14ac:dyDescent="0.3">
      <c r="A33168" s="20"/>
    </row>
    <row r="33169" spans="1:1" x14ac:dyDescent="0.3">
      <c r="A33169" s="20"/>
    </row>
    <row r="33170" spans="1:1" x14ac:dyDescent="0.3">
      <c r="A33170" s="20"/>
    </row>
    <row r="33171" spans="1:1" x14ac:dyDescent="0.3">
      <c r="A33171" s="20"/>
    </row>
    <row r="33172" spans="1:1" x14ac:dyDescent="0.3">
      <c r="A33172" s="20"/>
    </row>
    <row r="33173" spans="1:1" x14ac:dyDescent="0.3">
      <c r="A33173" s="20"/>
    </row>
    <row r="33174" spans="1:1" x14ac:dyDescent="0.3">
      <c r="A33174" s="20"/>
    </row>
    <row r="33175" spans="1:1" x14ac:dyDescent="0.3">
      <c r="A33175" s="20"/>
    </row>
    <row r="33176" spans="1:1" x14ac:dyDescent="0.3">
      <c r="A33176" s="20"/>
    </row>
    <row r="33177" spans="1:1" x14ac:dyDescent="0.3">
      <c r="A33177" s="20"/>
    </row>
    <row r="33178" spans="1:1" x14ac:dyDescent="0.3">
      <c r="A33178" s="20"/>
    </row>
    <row r="33179" spans="1:1" x14ac:dyDescent="0.3">
      <c r="A33179" s="20"/>
    </row>
    <row r="33180" spans="1:1" x14ac:dyDescent="0.3">
      <c r="A33180" s="20"/>
    </row>
    <row r="33181" spans="1:1" x14ac:dyDescent="0.3">
      <c r="A33181" s="20"/>
    </row>
    <row r="33182" spans="1:1" x14ac:dyDescent="0.3">
      <c r="A33182" s="20"/>
    </row>
    <row r="33183" spans="1:1" x14ac:dyDescent="0.3">
      <c r="A33183" s="20"/>
    </row>
    <row r="33184" spans="1:1" x14ac:dyDescent="0.3">
      <c r="A33184" s="20"/>
    </row>
    <row r="33185" spans="1:1" x14ac:dyDescent="0.3">
      <c r="A33185" s="20"/>
    </row>
    <row r="33186" spans="1:1" x14ac:dyDescent="0.3">
      <c r="A33186" s="20"/>
    </row>
    <row r="33187" spans="1:1" x14ac:dyDescent="0.3">
      <c r="A33187" s="20"/>
    </row>
    <row r="33188" spans="1:1" x14ac:dyDescent="0.3">
      <c r="A33188" s="20"/>
    </row>
    <row r="33189" spans="1:1" x14ac:dyDescent="0.3">
      <c r="A33189" s="20"/>
    </row>
    <row r="33190" spans="1:1" x14ac:dyDescent="0.3">
      <c r="A33190" s="20"/>
    </row>
    <row r="33191" spans="1:1" x14ac:dyDescent="0.3">
      <c r="A33191" s="20"/>
    </row>
    <row r="33192" spans="1:1" x14ac:dyDescent="0.3">
      <c r="A33192" s="20"/>
    </row>
    <row r="33193" spans="1:1" x14ac:dyDescent="0.3">
      <c r="A33193" s="20"/>
    </row>
    <row r="33194" spans="1:1" x14ac:dyDescent="0.3">
      <c r="A33194" s="20"/>
    </row>
    <row r="33195" spans="1:1" x14ac:dyDescent="0.3">
      <c r="A33195" s="20"/>
    </row>
    <row r="33196" spans="1:1" x14ac:dyDescent="0.3">
      <c r="A33196" s="20"/>
    </row>
    <row r="33197" spans="1:1" x14ac:dyDescent="0.3">
      <c r="A33197" s="20"/>
    </row>
    <row r="33198" spans="1:1" x14ac:dyDescent="0.3">
      <c r="A33198" s="20"/>
    </row>
    <row r="33199" spans="1:1" x14ac:dyDescent="0.3">
      <c r="A33199" s="20"/>
    </row>
    <row r="33200" spans="1:1" x14ac:dyDescent="0.3">
      <c r="A33200" s="20"/>
    </row>
    <row r="33201" spans="1:1" x14ac:dyDescent="0.3">
      <c r="A33201" s="20"/>
    </row>
    <row r="33202" spans="1:1" x14ac:dyDescent="0.3">
      <c r="A33202" s="20"/>
    </row>
    <row r="33203" spans="1:1" x14ac:dyDescent="0.3">
      <c r="A33203" s="20"/>
    </row>
    <row r="33204" spans="1:1" x14ac:dyDescent="0.3">
      <c r="A33204" s="20"/>
    </row>
    <row r="33205" spans="1:1" x14ac:dyDescent="0.3">
      <c r="A33205" s="20"/>
    </row>
    <row r="33206" spans="1:1" x14ac:dyDescent="0.3">
      <c r="A33206" s="20"/>
    </row>
    <row r="33207" spans="1:1" x14ac:dyDescent="0.3">
      <c r="A33207" s="20"/>
    </row>
    <row r="33208" spans="1:1" x14ac:dyDescent="0.3">
      <c r="A33208" s="20"/>
    </row>
    <row r="33209" spans="1:1" x14ac:dyDescent="0.3">
      <c r="A33209" s="20"/>
    </row>
    <row r="33210" spans="1:1" x14ac:dyDescent="0.3">
      <c r="A33210" s="20"/>
    </row>
    <row r="33211" spans="1:1" x14ac:dyDescent="0.3">
      <c r="A33211" s="20"/>
    </row>
    <row r="33212" spans="1:1" x14ac:dyDescent="0.3">
      <c r="A33212" s="20"/>
    </row>
    <row r="33213" spans="1:1" x14ac:dyDescent="0.3">
      <c r="A33213" s="20"/>
    </row>
    <row r="33214" spans="1:1" x14ac:dyDescent="0.3">
      <c r="A33214" s="20"/>
    </row>
    <row r="33215" spans="1:1" x14ac:dyDescent="0.3">
      <c r="A33215" s="20"/>
    </row>
    <row r="33216" spans="1:1" x14ac:dyDescent="0.3">
      <c r="A33216" s="20"/>
    </row>
    <row r="33217" spans="1:1" x14ac:dyDescent="0.3">
      <c r="A33217" s="20"/>
    </row>
    <row r="33218" spans="1:1" x14ac:dyDescent="0.3">
      <c r="A33218" s="20"/>
    </row>
    <row r="33219" spans="1:1" x14ac:dyDescent="0.3">
      <c r="A33219" s="20"/>
    </row>
    <row r="33220" spans="1:1" x14ac:dyDescent="0.3">
      <c r="A33220" s="20"/>
    </row>
    <row r="33221" spans="1:1" x14ac:dyDescent="0.3">
      <c r="A33221" s="20"/>
    </row>
    <row r="33222" spans="1:1" x14ac:dyDescent="0.3">
      <c r="A33222" s="20"/>
    </row>
    <row r="33223" spans="1:1" x14ac:dyDescent="0.3">
      <c r="A33223" s="20"/>
    </row>
    <row r="33224" spans="1:1" x14ac:dyDescent="0.3">
      <c r="A33224" s="20"/>
    </row>
    <row r="33225" spans="1:1" x14ac:dyDescent="0.3">
      <c r="A33225" s="20"/>
    </row>
    <row r="33226" spans="1:1" x14ac:dyDescent="0.3">
      <c r="A33226" s="20"/>
    </row>
    <row r="33227" spans="1:1" x14ac:dyDescent="0.3">
      <c r="A33227" s="20"/>
    </row>
    <row r="33228" spans="1:1" x14ac:dyDescent="0.3">
      <c r="A33228" s="20"/>
    </row>
    <row r="33229" spans="1:1" x14ac:dyDescent="0.3">
      <c r="A33229" s="20"/>
    </row>
    <row r="33230" spans="1:1" x14ac:dyDescent="0.3">
      <c r="A33230" s="20"/>
    </row>
    <row r="33231" spans="1:1" x14ac:dyDescent="0.3">
      <c r="A33231" s="20"/>
    </row>
    <row r="33232" spans="1:1" x14ac:dyDescent="0.3">
      <c r="A33232" s="20"/>
    </row>
    <row r="33233" spans="1:1" x14ac:dyDescent="0.3">
      <c r="A33233" s="20"/>
    </row>
    <row r="33234" spans="1:1" x14ac:dyDescent="0.3">
      <c r="A33234" s="20"/>
    </row>
    <row r="33235" spans="1:1" x14ac:dyDescent="0.3">
      <c r="A33235" s="20"/>
    </row>
    <row r="33236" spans="1:1" x14ac:dyDescent="0.3">
      <c r="A33236" s="20"/>
    </row>
    <row r="33237" spans="1:1" x14ac:dyDescent="0.3">
      <c r="A33237" s="20"/>
    </row>
    <row r="33238" spans="1:1" x14ac:dyDescent="0.3">
      <c r="A33238" s="20"/>
    </row>
    <row r="33239" spans="1:1" x14ac:dyDescent="0.3">
      <c r="A33239" s="20"/>
    </row>
    <row r="33240" spans="1:1" x14ac:dyDescent="0.3">
      <c r="A33240" s="20"/>
    </row>
    <row r="33241" spans="1:1" x14ac:dyDescent="0.3">
      <c r="A33241" s="20"/>
    </row>
    <row r="33242" spans="1:1" x14ac:dyDescent="0.3">
      <c r="A33242" s="20"/>
    </row>
    <row r="33243" spans="1:1" x14ac:dyDescent="0.3">
      <c r="A33243" s="20"/>
    </row>
    <row r="33244" spans="1:1" x14ac:dyDescent="0.3">
      <c r="A33244" s="20"/>
    </row>
    <row r="33245" spans="1:1" x14ac:dyDescent="0.3">
      <c r="A33245" s="20"/>
    </row>
    <row r="33246" spans="1:1" x14ac:dyDescent="0.3">
      <c r="A33246" s="20"/>
    </row>
    <row r="33247" spans="1:1" x14ac:dyDescent="0.3">
      <c r="A33247" s="20"/>
    </row>
    <row r="33248" spans="1:1" x14ac:dyDescent="0.3">
      <c r="A33248" s="20"/>
    </row>
    <row r="33249" spans="1:1" x14ac:dyDescent="0.3">
      <c r="A33249" s="20"/>
    </row>
    <row r="33250" spans="1:1" x14ac:dyDescent="0.3">
      <c r="A33250" s="20"/>
    </row>
    <row r="33251" spans="1:1" x14ac:dyDescent="0.3">
      <c r="A33251" s="20"/>
    </row>
    <row r="33252" spans="1:1" x14ac:dyDescent="0.3">
      <c r="A33252" s="20"/>
    </row>
    <row r="33253" spans="1:1" x14ac:dyDescent="0.3">
      <c r="A33253" s="20"/>
    </row>
    <row r="33254" spans="1:1" x14ac:dyDescent="0.3">
      <c r="A33254" s="20"/>
    </row>
    <row r="33255" spans="1:1" x14ac:dyDescent="0.3">
      <c r="A33255" s="20"/>
    </row>
    <row r="33256" spans="1:1" x14ac:dyDescent="0.3">
      <c r="A33256" s="20"/>
    </row>
    <row r="33257" spans="1:1" x14ac:dyDescent="0.3">
      <c r="A33257" s="20"/>
    </row>
    <row r="33258" spans="1:1" x14ac:dyDescent="0.3">
      <c r="A33258" s="20"/>
    </row>
    <row r="33259" spans="1:1" x14ac:dyDescent="0.3">
      <c r="A33259" s="20"/>
    </row>
    <row r="33260" spans="1:1" x14ac:dyDescent="0.3">
      <c r="A33260" s="20"/>
    </row>
    <row r="33261" spans="1:1" x14ac:dyDescent="0.3">
      <c r="A33261" s="20"/>
    </row>
    <row r="33262" spans="1:1" x14ac:dyDescent="0.3">
      <c r="A33262" s="20"/>
    </row>
    <row r="33263" spans="1:1" x14ac:dyDescent="0.3">
      <c r="A33263" s="20"/>
    </row>
    <row r="33264" spans="1:1" x14ac:dyDescent="0.3">
      <c r="A33264" s="20"/>
    </row>
    <row r="33265" spans="1:1" x14ac:dyDescent="0.3">
      <c r="A33265" s="20"/>
    </row>
    <row r="33266" spans="1:1" x14ac:dyDescent="0.3">
      <c r="A33266" s="20"/>
    </row>
    <row r="33267" spans="1:1" x14ac:dyDescent="0.3">
      <c r="A33267" s="20"/>
    </row>
    <row r="33268" spans="1:1" x14ac:dyDescent="0.3">
      <c r="A33268" s="20"/>
    </row>
    <row r="33269" spans="1:1" x14ac:dyDescent="0.3">
      <c r="A33269" s="20"/>
    </row>
    <row r="33270" spans="1:1" x14ac:dyDescent="0.3">
      <c r="A33270" s="20"/>
    </row>
    <row r="33271" spans="1:1" x14ac:dyDescent="0.3">
      <c r="A33271" s="20"/>
    </row>
    <row r="33272" spans="1:1" x14ac:dyDescent="0.3">
      <c r="A33272" s="20"/>
    </row>
    <row r="33273" spans="1:1" x14ac:dyDescent="0.3">
      <c r="A33273" s="20"/>
    </row>
    <row r="33274" spans="1:1" x14ac:dyDescent="0.3">
      <c r="A33274" s="20"/>
    </row>
    <row r="33275" spans="1:1" x14ac:dyDescent="0.3">
      <c r="A33275" s="20"/>
    </row>
    <row r="33276" spans="1:1" x14ac:dyDescent="0.3">
      <c r="A33276" s="20"/>
    </row>
    <row r="33277" spans="1:1" x14ac:dyDescent="0.3">
      <c r="A33277" s="20"/>
    </row>
    <row r="33278" spans="1:1" x14ac:dyDescent="0.3">
      <c r="A33278" s="20"/>
    </row>
    <row r="33279" spans="1:1" x14ac:dyDescent="0.3">
      <c r="A33279" s="20"/>
    </row>
    <row r="33280" spans="1:1" x14ac:dyDescent="0.3">
      <c r="A33280" s="20"/>
    </row>
    <row r="33281" spans="1:1" x14ac:dyDescent="0.3">
      <c r="A33281" s="20"/>
    </row>
    <row r="33282" spans="1:1" x14ac:dyDescent="0.3">
      <c r="A33282" s="20"/>
    </row>
    <row r="33283" spans="1:1" x14ac:dyDescent="0.3">
      <c r="A33283" s="20"/>
    </row>
    <row r="33284" spans="1:1" x14ac:dyDescent="0.3">
      <c r="A33284" s="20"/>
    </row>
    <row r="33285" spans="1:1" x14ac:dyDescent="0.3">
      <c r="A33285" s="20"/>
    </row>
    <row r="33286" spans="1:1" x14ac:dyDescent="0.3">
      <c r="A33286" s="20"/>
    </row>
    <row r="33287" spans="1:1" x14ac:dyDescent="0.3">
      <c r="A33287" s="20"/>
    </row>
    <row r="33288" spans="1:1" x14ac:dyDescent="0.3">
      <c r="A33288" s="20"/>
    </row>
    <row r="33289" spans="1:1" x14ac:dyDescent="0.3">
      <c r="A33289" s="20"/>
    </row>
    <row r="33290" spans="1:1" x14ac:dyDescent="0.3">
      <c r="A33290" s="20"/>
    </row>
    <row r="33291" spans="1:1" x14ac:dyDescent="0.3">
      <c r="A33291" s="20"/>
    </row>
    <row r="33292" spans="1:1" x14ac:dyDescent="0.3">
      <c r="A33292" s="20"/>
    </row>
    <row r="33293" spans="1:1" x14ac:dyDescent="0.3">
      <c r="A33293" s="20"/>
    </row>
    <row r="33294" spans="1:1" x14ac:dyDescent="0.3">
      <c r="A33294" s="20"/>
    </row>
    <row r="33295" spans="1:1" x14ac:dyDescent="0.3">
      <c r="A33295" s="20"/>
    </row>
    <row r="33296" spans="1:1" x14ac:dyDescent="0.3">
      <c r="A33296" s="20"/>
    </row>
    <row r="33297" spans="1:1" x14ac:dyDescent="0.3">
      <c r="A33297" s="20"/>
    </row>
    <row r="33298" spans="1:1" x14ac:dyDescent="0.3">
      <c r="A33298" s="20"/>
    </row>
    <row r="33299" spans="1:1" x14ac:dyDescent="0.3">
      <c r="A33299" s="20"/>
    </row>
    <row r="33300" spans="1:1" x14ac:dyDescent="0.3">
      <c r="A33300" s="20"/>
    </row>
    <row r="33301" spans="1:1" x14ac:dyDescent="0.3">
      <c r="A33301" s="20"/>
    </row>
    <row r="33302" spans="1:1" x14ac:dyDescent="0.3">
      <c r="A33302" s="20"/>
    </row>
    <row r="33303" spans="1:1" x14ac:dyDescent="0.3">
      <c r="A33303" s="20"/>
    </row>
    <row r="33304" spans="1:1" x14ac:dyDescent="0.3">
      <c r="A33304" s="20"/>
    </row>
    <row r="33305" spans="1:1" x14ac:dyDescent="0.3">
      <c r="A33305" s="20"/>
    </row>
    <row r="33306" spans="1:1" x14ac:dyDescent="0.3">
      <c r="A33306" s="20"/>
    </row>
    <row r="33307" spans="1:1" x14ac:dyDescent="0.3">
      <c r="A33307" s="20"/>
    </row>
    <row r="33308" spans="1:1" x14ac:dyDescent="0.3">
      <c r="A33308" s="20"/>
    </row>
    <row r="33309" spans="1:1" x14ac:dyDescent="0.3">
      <c r="A33309" s="20"/>
    </row>
    <row r="33310" spans="1:1" x14ac:dyDescent="0.3">
      <c r="A33310" s="20"/>
    </row>
    <row r="33311" spans="1:1" x14ac:dyDescent="0.3">
      <c r="A33311" s="20"/>
    </row>
    <row r="33312" spans="1:1" x14ac:dyDescent="0.3">
      <c r="A33312" s="20"/>
    </row>
    <row r="33313" spans="1:1" x14ac:dyDescent="0.3">
      <c r="A33313" s="20"/>
    </row>
    <row r="33314" spans="1:1" x14ac:dyDescent="0.3">
      <c r="A33314" s="20"/>
    </row>
    <row r="33315" spans="1:1" x14ac:dyDescent="0.3">
      <c r="A33315" s="20"/>
    </row>
    <row r="33316" spans="1:1" x14ac:dyDescent="0.3">
      <c r="A33316" s="20"/>
    </row>
    <row r="33317" spans="1:1" x14ac:dyDescent="0.3">
      <c r="A33317" s="20"/>
    </row>
    <row r="33318" spans="1:1" x14ac:dyDescent="0.3">
      <c r="A33318" s="20"/>
    </row>
    <row r="33319" spans="1:1" x14ac:dyDescent="0.3">
      <c r="A33319" s="20"/>
    </row>
    <row r="33320" spans="1:1" x14ac:dyDescent="0.3">
      <c r="A33320" s="20"/>
    </row>
    <row r="33321" spans="1:1" x14ac:dyDescent="0.3">
      <c r="A33321" s="20"/>
    </row>
    <row r="33322" spans="1:1" x14ac:dyDescent="0.3">
      <c r="A33322" s="20"/>
    </row>
    <row r="33323" spans="1:1" x14ac:dyDescent="0.3">
      <c r="A33323" s="20"/>
    </row>
    <row r="33324" spans="1:1" x14ac:dyDescent="0.3">
      <c r="A33324" s="20"/>
    </row>
    <row r="33325" spans="1:1" x14ac:dyDescent="0.3">
      <c r="A33325" s="20"/>
    </row>
    <row r="33326" spans="1:1" x14ac:dyDescent="0.3">
      <c r="A33326" s="20"/>
    </row>
    <row r="33327" spans="1:1" x14ac:dyDescent="0.3">
      <c r="A33327" s="20"/>
    </row>
    <row r="33328" spans="1:1" x14ac:dyDescent="0.3">
      <c r="A33328" s="20"/>
    </row>
    <row r="33329" spans="1:1" x14ac:dyDescent="0.3">
      <c r="A33329" s="20"/>
    </row>
    <row r="33330" spans="1:1" x14ac:dyDescent="0.3">
      <c r="A33330" s="20"/>
    </row>
    <row r="33331" spans="1:1" x14ac:dyDescent="0.3">
      <c r="A33331" s="20"/>
    </row>
    <row r="33332" spans="1:1" x14ac:dyDescent="0.3">
      <c r="A33332" s="20"/>
    </row>
    <row r="33333" spans="1:1" x14ac:dyDescent="0.3">
      <c r="A33333" s="20"/>
    </row>
    <row r="33334" spans="1:1" x14ac:dyDescent="0.3">
      <c r="A33334" s="20"/>
    </row>
    <row r="33335" spans="1:1" x14ac:dyDescent="0.3">
      <c r="A33335" s="20"/>
    </row>
    <row r="33336" spans="1:1" x14ac:dyDescent="0.3">
      <c r="A33336" s="20"/>
    </row>
    <row r="33337" spans="1:1" x14ac:dyDescent="0.3">
      <c r="A33337" s="20"/>
    </row>
    <row r="33338" spans="1:1" x14ac:dyDescent="0.3">
      <c r="A33338" s="20"/>
    </row>
    <row r="33339" spans="1:1" x14ac:dyDescent="0.3">
      <c r="A33339" s="20"/>
    </row>
    <row r="33340" spans="1:1" x14ac:dyDescent="0.3">
      <c r="A33340" s="20"/>
    </row>
    <row r="33341" spans="1:1" x14ac:dyDescent="0.3">
      <c r="A33341" s="20"/>
    </row>
    <row r="33342" spans="1:1" x14ac:dyDescent="0.3">
      <c r="A33342" s="20"/>
    </row>
    <row r="33343" spans="1:1" x14ac:dyDescent="0.3">
      <c r="A33343" s="20"/>
    </row>
    <row r="33344" spans="1:1" x14ac:dyDescent="0.3">
      <c r="A33344" s="20"/>
    </row>
    <row r="33345" spans="1:1" x14ac:dyDescent="0.3">
      <c r="A33345" s="20"/>
    </row>
    <row r="33346" spans="1:1" x14ac:dyDescent="0.3">
      <c r="A33346" s="20"/>
    </row>
    <row r="33347" spans="1:1" x14ac:dyDescent="0.3">
      <c r="A33347" s="20"/>
    </row>
    <row r="33348" spans="1:1" x14ac:dyDescent="0.3">
      <c r="A33348" s="20"/>
    </row>
    <row r="33349" spans="1:1" x14ac:dyDescent="0.3">
      <c r="A33349" s="20"/>
    </row>
    <row r="33350" spans="1:1" x14ac:dyDescent="0.3">
      <c r="A33350" s="20"/>
    </row>
    <row r="33351" spans="1:1" x14ac:dyDescent="0.3">
      <c r="A33351" s="20"/>
    </row>
    <row r="33352" spans="1:1" x14ac:dyDescent="0.3">
      <c r="A33352" s="20"/>
    </row>
    <row r="33353" spans="1:1" x14ac:dyDescent="0.3">
      <c r="A33353" s="20"/>
    </row>
    <row r="33354" spans="1:1" x14ac:dyDescent="0.3">
      <c r="A33354" s="20"/>
    </row>
    <row r="33355" spans="1:1" x14ac:dyDescent="0.3">
      <c r="A33355" s="20"/>
    </row>
    <row r="33356" spans="1:1" x14ac:dyDescent="0.3">
      <c r="A33356" s="20"/>
    </row>
    <row r="33357" spans="1:1" x14ac:dyDescent="0.3">
      <c r="A33357" s="20"/>
    </row>
    <row r="33358" spans="1:1" x14ac:dyDescent="0.3">
      <c r="A33358" s="20"/>
    </row>
    <row r="33359" spans="1:1" x14ac:dyDescent="0.3">
      <c r="A33359" s="20"/>
    </row>
    <row r="33360" spans="1:1" x14ac:dyDescent="0.3">
      <c r="A33360" s="20"/>
    </row>
    <row r="33361" spans="1:1" x14ac:dyDescent="0.3">
      <c r="A33361" s="20"/>
    </row>
    <row r="33362" spans="1:1" x14ac:dyDescent="0.3">
      <c r="A33362" s="20"/>
    </row>
    <row r="33363" spans="1:1" x14ac:dyDescent="0.3">
      <c r="A33363" s="20"/>
    </row>
    <row r="33364" spans="1:1" x14ac:dyDescent="0.3">
      <c r="A33364" s="20"/>
    </row>
    <row r="33365" spans="1:1" x14ac:dyDescent="0.3">
      <c r="A33365" s="20"/>
    </row>
    <row r="33366" spans="1:1" x14ac:dyDescent="0.3">
      <c r="A33366" s="20"/>
    </row>
    <row r="33367" spans="1:1" x14ac:dyDescent="0.3">
      <c r="A33367" s="20"/>
    </row>
    <row r="33368" spans="1:1" x14ac:dyDescent="0.3">
      <c r="A33368" s="20"/>
    </row>
    <row r="33369" spans="1:1" x14ac:dyDescent="0.3">
      <c r="A33369" s="20"/>
    </row>
    <row r="33370" spans="1:1" x14ac:dyDescent="0.3">
      <c r="A33370" s="20"/>
    </row>
    <row r="33371" spans="1:1" x14ac:dyDescent="0.3">
      <c r="A33371" s="20"/>
    </row>
    <row r="33372" spans="1:1" x14ac:dyDescent="0.3">
      <c r="A33372" s="20"/>
    </row>
    <row r="33373" spans="1:1" x14ac:dyDescent="0.3">
      <c r="A33373" s="20"/>
    </row>
    <row r="33374" spans="1:1" x14ac:dyDescent="0.3">
      <c r="A33374" s="20"/>
    </row>
    <row r="33375" spans="1:1" x14ac:dyDescent="0.3">
      <c r="A33375" s="20"/>
    </row>
    <row r="33376" spans="1:1" x14ac:dyDescent="0.3">
      <c r="A33376" s="20"/>
    </row>
    <row r="33377" spans="1:1" x14ac:dyDescent="0.3">
      <c r="A33377" s="20"/>
    </row>
    <row r="33378" spans="1:1" x14ac:dyDescent="0.3">
      <c r="A33378" s="20"/>
    </row>
    <row r="33379" spans="1:1" x14ac:dyDescent="0.3">
      <c r="A33379" s="20"/>
    </row>
    <row r="33380" spans="1:1" x14ac:dyDescent="0.3">
      <c r="A33380" s="20"/>
    </row>
    <row r="33381" spans="1:1" x14ac:dyDescent="0.3">
      <c r="A33381" s="20"/>
    </row>
    <row r="33382" spans="1:1" x14ac:dyDescent="0.3">
      <c r="A33382" s="20"/>
    </row>
    <row r="33383" spans="1:1" x14ac:dyDescent="0.3">
      <c r="A33383" s="20"/>
    </row>
    <row r="33384" spans="1:1" x14ac:dyDescent="0.3">
      <c r="A33384" s="20"/>
    </row>
    <row r="33385" spans="1:1" x14ac:dyDescent="0.3">
      <c r="A33385" s="20"/>
    </row>
    <row r="33386" spans="1:1" x14ac:dyDescent="0.3">
      <c r="A33386" s="20"/>
    </row>
    <row r="33387" spans="1:1" x14ac:dyDescent="0.3">
      <c r="A33387" s="20"/>
    </row>
    <row r="33388" spans="1:1" x14ac:dyDescent="0.3">
      <c r="A33388" s="20"/>
    </row>
    <row r="33389" spans="1:1" x14ac:dyDescent="0.3">
      <c r="A33389" s="20"/>
    </row>
    <row r="33390" spans="1:1" x14ac:dyDescent="0.3">
      <c r="A33390" s="20"/>
    </row>
    <row r="33391" spans="1:1" x14ac:dyDescent="0.3">
      <c r="A33391" s="20"/>
    </row>
    <row r="33392" spans="1:1" x14ac:dyDescent="0.3">
      <c r="A33392" s="20"/>
    </row>
    <row r="33393" spans="1:1" x14ac:dyDescent="0.3">
      <c r="A33393" s="20"/>
    </row>
    <row r="33394" spans="1:1" x14ac:dyDescent="0.3">
      <c r="A33394" s="20"/>
    </row>
    <row r="33395" spans="1:1" x14ac:dyDescent="0.3">
      <c r="A33395" s="20"/>
    </row>
    <row r="33396" spans="1:1" x14ac:dyDescent="0.3">
      <c r="A33396" s="20"/>
    </row>
    <row r="33397" spans="1:1" x14ac:dyDescent="0.3">
      <c r="A33397" s="20"/>
    </row>
    <row r="33398" spans="1:1" x14ac:dyDescent="0.3">
      <c r="A33398" s="20"/>
    </row>
    <row r="33399" spans="1:1" x14ac:dyDescent="0.3">
      <c r="A33399" s="20"/>
    </row>
    <row r="33400" spans="1:1" x14ac:dyDescent="0.3">
      <c r="A33400" s="20"/>
    </row>
    <row r="33401" spans="1:1" x14ac:dyDescent="0.3">
      <c r="A33401" s="20"/>
    </row>
    <row r="33402" spans="1:1" x14ac:dyDescent="0.3">
      <c r="A33402" s="20"/>
    </row>
    <row r="33403" spans="1:1" x14ac:dyDescent="0.3">
      <c r="A33403" s="20"/>
    </row>
    <row r="33404" spans="1:1" x14ac:dyDescent="0.3">
      <c r="A33404" s="20"/>
    </row>
    <row r="33405" spans="1:1" x14ac:dyDescent="0.3">
      <c r="A33405" s="20"/>
    </row>
    <row r="33406" spans="1:1" x14ac:dyDescent="0.3">
      <c r="A33406" s="20"/>
    </row>
    <row r="33407" spans="1:1" x14ac:dyDescent="0.3">
      <c r="A33407" s="20"/>
    </row>
    <row r="33408" spans="1:1" x14ac:dyDescent="0.3">
      <c r="A33408" s="20"/>
    </row>
    <row r="33409" spans="1:1" x14ac:dyDescent="0.3">
      <c r="A33409" s="20"/>
    </row>
    <row r="33410" spans="1:1" x14ac:dyDescent="0.3">
      <c r="A33410" s="20"/>
    </row>
    <row r="33411" spans="1:1" x14ac:dyDescent="0.3">
      <c r="A33411" s="20"/>
    </row>
    <row r="33412" spans="1:1" x14ac:dyDescent="0.3">
      <c r="A33412" s="20"/>
    </row>
    <row r="33413" spans="1:1" x14ac:dyDescent="0.3">
      <c r="A33413" s="20"/>
    </row>
    <row r="33414" spans="1:1" x14ac:dyDescent="0.3">
      <c r="A33414" s="20"/>
    </row>
    <row r="33415" spans="1:1" x14ac:dyDescent="0.3">
      <c r="A33415" s="20"/>
    </row>
    <row r="33416" spans="1:1" x14ac:dyDescent="0.3">
      <c r="A33416" s="20"/>
    </row>
    <row r="33417" spans="1:1" x14ac:dyDescent="0.3">
      <c r="A33417" s="20"/>
    </row>
    <row r="33418" spans="1:1" x14ac:dyDescent="0.3">
      <c r="A33418" s="20"/>
    </row>
    <row r="33419" spans="1:1" x14ac:dyDescent="0.3">
      <c r="A33419" s="20"/>
    </row>
    <row r="33420" spans="1:1" x14ac:dyDescent="0.3">
      <c r="A33420" s="20"/>
    </row>
    <row r="33421" spans="1:1" x14ac:dyDescent="0.3">
      <c r="A33421" s="20"/>
    </row>
    <row r="33422" spans="1:1" x14ac:dyDescent="0.3">
      <c r="A33422" s="20"/>
    </row>
    <row r="33423" spans="1:1" x14ac:dyDescent="0.3">
      <c r="A33423" s="20"/>
    </row>
    <row r="33424" spans="1:1" x14ac:dyDescent="0.3">
      <c r="A33424" s="20"/>
    </row>
    <row r="33425" spans="1:1" x14ac:dyDescent="0.3">
      <c r="A33425" s="20"/>
    </row>
    <row r="33426" spans="1:1" x14ac:dyDescent="0.3">
      <c r="A33426" s="20"/>
    </row>
    <row r="33427" spans="1:1" x14ac:dyDescent="0.3">
      <c r="A33427" s="20"/>
    </row>
    <row r="33428" spans="1:1" x14ac:dyDescent="0.3">
      <c r="A33428" s="20"/>
    </row>
    <row r="33429" spans="1:1" x14ac:dyDescent="0.3">
      <c r="A33429" s="20"/>
    </row>
    <row r="33430" spans="1:1" x14ac:dyDescent="0.3">
      <c r="A33430" s="20"/>
    </row>
    <row r="33431" spans="1:1" x14ac:dyDescent="0.3">
      <c r="A33431" s="20"/>
    </row>
    <row r="33432" spans="1:1" x14ac:dyDescent="0.3">
      <c r="A33432" s="20"/>
    </row>
    <row r="33433" spans="1:1" x14ac:dyDescent="0.3">
      <c r="A33433" s="20"/>
    </row>
    <row r="33434" spans="1:1" x14ac:dyDescent="0.3">
      <c r="A33434" s="20"/>
    </row>
    <row r="33435" spans="1:1" x14ac:dyDescent="0.3">
      <c r="A33435" s="20"/>
    </row>
    <row r="33436" spans="1:1" x14ac:dyDescent="0.3">
      <c r="A33436" s="20"/>
    </row>
    <row r="33437" spans="1:1" x14ac:dyDescent="0.3">
      <c r="A33437" s="20"/>
    </row>
    <row r="33438" spans="1:1" x14ac:dyDescent="0.3">
      <c r="A33438" s="20"/>
    </row>
    <row r="33439" spans="1:1" x14ac:dyDescent="0.3">
      <c r="A33439" s="20"/>
    </row>
    <row r="33440" spans="1:1" x14ac:dyDescent="0.3">
      <c r="A33440" s="20"/>
    </row>
    <row r="33441" spans="1:1" x14ac:dyDescent="0.3">
      <c r="A33441" s="20"/>
    </row>
    <row r="33442" spans="1:1" x14ac:dyDescent="0.3">
      <c r="A33442" s="20"/>
    </row>
    <row r="33443" spans="1:1" x14ac:dyDescent="0.3">
      <c r="A33443" s="20"/>
    </row>
    <row r="33444" spans="1:1" x14ac:dyDescent="0.3">
      <c r="A33444" s="20"/>
    </row>
    <row r="33445" spans="1:1" x14ac:dyDescent="0.3">
      <c r="A33445" s="20"/>
    </row>
    <row r="33446" spans="1:1" x14ac:dyDescent="0.3">
      <c r="A33446" s="20"/>
    </row>
    <row r="33447" spans="1:1" x14ac:dyDescent="0.3">
      <c r="A33447" s="20"/>
    </row>
    <row r="33448" spans="1:1" x14ac:dyDescent="0.3">
      <c r="A33448" s="20"/>
    </row>
    <row r="33449" spans="1:1" x14ac:dyDescent="0.3">
      <c r="A33449" s="20"/>
    </row>
    <row r="33450" spans="1:1" x14ac:dyDescent="0.3">
      <c r="A33450" s="20"/>
    </row>
    <row r="33451" spans="1:1" x14ac:dyDescent="0.3">
      <c r="A33451" s="20"/>
    </row>
    <row r="33452" spans="1:1" x14ac:dyDescent="0.3">
      <c r="A33452" s="20"/>
    </row>
    <row r="33453" spans="1:1" x14ac:dyDescent="0.3">
      <c r="A33453" s="20"/>
    </row>
    <row r="33454" spans="1:1" x14ac:dyDescent="0.3">
      <c r="A33454" s="20"/>
    </row>
    <row r="33455" spans="1:1" x14ac:dyDescent="0.3">
      <c r="A33455" s="20"/>
    </row>
    <row r="33456" spans="1:1" x14ac:dyDescent="0.3">
      <c r="A33456" s="20"/>
    </row>
    <row r="33457" spans="1:1" x14ac:dyDescent="0.3">
      <c r="A33457" s="20"/>
    </row>
    <row r="33458" spans="1:1" x14ac:dyDescent="0.3">
      <c r="A33458" s="20"/>
    </row>
    <row r="33459" spans="1:1" x14ac:dyDescent="0.3">
      <c r="A33459" s="20"/>
    </row>
    <row r="33460" spans="1:1" x14ac:dyDescent="0.3">
      <c r="A33460" s="20"/>
    </row>
    <row r="33461" spans="1:1" x14ac:dyDescent="0.3">
      <c r="A33461" s="20"/>
    </row>
    <row r="33462" spans="1:1" x14ac:dyDescent="0.3">
      <c r="A33462" s="20"/>
    </row>
    <row r="33463" spans="1:1" x14ac:dyDescent="0.3">
      <c r="A33463" s="20"/>
    </row>
    <row r="33464" spans="1:1" x14ac:dyDescent="0.3">
      <c r="A33464" s="20"/>
    </row>
    <row r="33465" spans="1:1" x14ac:dyDescent="0.3">
      <c r="A33465" s="20"/>
    </row>
    <row r="33466" spans="1:1" x14ac:dyDescent="0.3">
      <c r="A33466" s="20"/>
    </row>
    <row r="33467" spans="1:1" x14ac:dyDescent="0.3">
      <c r="A33467" s="20"/>
    </row>
    <row r="33468" spans="1:1" x14ac:dyDescent="0.3">
      <c r="A33468" s="20"/>
    </row>
    <row r="33469" spans="1:1" x14ac:dyDescent="0.3">
      <c r="A33469" s="20"/>
    </row>
    <row r="33470" spans="1:1" x14ac:dyDescent="0.3">
      <c r="A33470" s="20"/>
    </row>
    <row r="33471" spans="1:1" x14ac:dyDescent="0.3">
      <c r="A33471" s="20"/>
    </row>
    <row r="33472" spans="1:1" x14ac:dyDescent="0.3">
      <c r="A33472" s="20"/>
    </row>
    <row r="33473" spans="1:1" x14ac:dyDescent="0.3">
      <c r="A33473" s="20"/>
    </row>
    <row r="33474" spans="1:1" x14ac:dyDescent="0.3">
      <c r="A33474" s="20"/>
    </row>
    <row r="33475" spans="1:1" x14ac:dyDescent="0.3">
      <c r="A33475" s="20"/>
    </row>
    <row r="33476" spans="1:1" x14ac:dyDescent="0.3">
      <c r="A33476" s="20"/>
    </row>
    <row r="33477" spans="1:1" x14ac:dyDescent="0.3">
      <c r="A33477" s="20"/>
    </row>
    <row r="33478" spans="1:1" x14ac:dyDescent="0.3">
      <c r="A33478" s="20"/>
    </row>
    <row r="33479" spans="1:1" x14ac:dyDescent="0.3">
      <c r="A33479" s="20"/>
    </row>
    <row r="33480" spans="1:1" x14ac:dyDescent="0.3">
      <c r="A33480" s="20"/>
    </row>
    <row r="33481" spans="1:1" x14ac:dyDescent="0.3">
      <c r="A33481" s="20"/>
    </row>
    <row r="33482" spans="1:1" x14ac:dyDescent="0.3">
      <c r="A33482" s="20"/>
    </row>
    <row r="33483" spans="1:1" x14ac:dyDescent="0.3">
      <c r="A33483" s="20"/>
    </row>
    <row r="33484" spans="1:1" x14ac:dyDescent="0.3">
      <c r="A33484" s="20"/>
    </row>
    <row r="33485" spans="1:1" x14ac:dyDescent="0.3">
      <c r="A33485" s="20"/>
    </row>
    <row r="33486" spans="1:1" x14ac:dyDescent="0.3">
      <c r="A33486" s="20"/>
    </row>
    <row r="33487" spans="1:1" x14ac:dyDescent="0.3">
      <c r="A33487" s="20"/>
    </row>
    <row r="33488" spans="1:1" x14ac:dyDescent="0.3">
      <c r="A33488" s="20"/>
    </row>
    <row r="33489" spans="1:1" x14ac:dyDescent="0.3">
      <c r="A33489" s="20"/>
    </row>
    <row r="33490" spans="1:1" x14ac:dyDescent="0.3">
      <c r="A33490" s="20"/>
    </row>
    <row r="33491" spans="1:1" x14ac:dyDescent="0.3">
      <c r="A33491" s="20"/>
    </row>
    <row r="33492" spans="1:1" x14ac:dyDescent="0.3">
      <c r="A33492" s="20"/>
    </row>
    <row r="33493" spans="1:1" x14ac:dyDescent="0.3">
      <c r="A33493" s="20"/>
    </row>
    <row r="33494" spans="1:1" x14ac:dyDescent="0.3">
      <c r="A33494" s="20"/>
    </row>
    <row r="33495" spans="1:1" x14ac:dyDescent="0.3">
      <c r="A33495" s="20"/>
    </row>
    <row r="33496" spans="1:1" x14ac:dyDescent="0.3">
      <c r="A33496" s="20"/>
    </row>
    <row r="33497" spans="1:1" x14ac:dyDescent="0.3">
      <c r="A33497" s="20"/>
    </row>
    <row r="33498" spans="1:1" x14ac:dyDescent="0.3">
      <c r="A33498" s="20"/>
    </row>
    <row r="33499" spans="1:1" x14ac:dyDescent="0.3">
      <c r="A33499" s="20"/>
    </row>
    <row r="33500" spans="1:1" x14ac:dyDescent="0.3">
      <c r="A33500" s="20"/>
    </row>
    <row r="33501" spans="1:1" x14ac:dyDescent="0.3">
      <c r="A33501" s="20"/>
    </row>
    <row r="33502" spans="1:1" x14ac:dyDescent="0.3">
      <c r="A33502" s="20"/>
    </row>
    <row r="33503" spans="1:1" x14ac:dyDescent="0.3">
      <c r="A33503" s="20"/>
    </row>
    <row r="33504" spans="1:1" x14ac:dyDescent="0.3">
      <c r="A33504" s="20"/>
    </row>
    <row r="33505" spans="1:1" x14ac:dyDescent="0.3">
      <c r="A33505" s="20"/>
    </row>
    <row r="33506" spans="1:1" x14ac:dyDescent="0.3">
      <c r="A33506" s="20"/>
    </row>
    <row r="33507" spans="1:1" x14ac:dyDescent="0.3">
      <c r="A33507" s="20"/>
    </row>
    <row r="33508" spans="1:1" x14ac:dyDescent="0.3">
      <c r="A33508" s="20"/>
    </row>
    <row r="33509" spans="1:1" x14ac:dyDescent="0.3">
      <c r="A33509" s="20"/>
    </row>
    <row r="33510" spans="1:1" x14ac:dyDescent="0.3">
      <c r="A33510" s="20"/>
    </row>
    <row r="33511" spans="1:1" x14ac:dyDescent="0.3">
      <c r="A33511" s="20"/>
    </row>
    <row r="33512" spans="1:1" x14ac:dyDescent="0.3">
      <c r="A33512" s="20"/>
    </row>
    <row r="33513" spans="1:1" x14ac:dyDescent="0.3">
      <c r="A33513" s="20"/>
    </row>
    <row r="33514" spans="1:1" x14ac:dyDescent="0.3">
      <c r="A33514" s="20"/>
    </row>
    <row r="33515" spans="1:1" x14ac:dyDescent="0.3">
      <c r="A33515" s="20"/>
    </row>
    <row r="33516" spans="1:1" x14ac:dyDescent="0.3">
      <c r="A33516" s="20"/>
    </row>
    <row r="33517" spans="1:1" x14ac:dyDescent="0.3">
      <c r="A33517" s="20"/>
    </row>
    <row r="33518" spans="1:1" x14ac:dyDescent="0.3">
      <c r="A33518" s="20"/>
    </row>
    <row r="33519" spans="1:1" x14ac:dyDescent="0.3">
      <c r="A33519" s="20"/>
    </row>
    <row r="33520" spans="1:1" x14ac:dyDescent="0.3">
      <c r="A33520" s="20"/>
    </row>
    <row r="33521" spans="1:1" x14ac:dyDescent="0.3">
      <c r="A33521" s="20"/>
    </row>
    <row r="33522" spans="1:1" x14ac:dyDescent="0.3">
      <c r="A33522" s="20"/>
    </row>
    <row r="33523" spans="1:1" x14ac:dyDescent="0.3">
      <c r="A33523" s="20"/>
    </row>
    <row r="33524" spans="1:1" x14ac:dyDescent="0.3">
      <c r="A33524" s="20"/>
    </row>
    <row r="33525" spans="1:1" x14ac:dyDescent="0.3">
      <c r="A33525" s="20"/>
    </row>
    <row r="33526" spans="1:1" x14ac:dyDescent="0.3">
      <c r="A33526" s="20"/>
    </row>
    <row r="33527" spans="1:1" x14ac:dyDescent="0.3">
      <c r="A33527" s="20"/>
    </row>
    <row r="33528" spans="1:1" x14ac:dyDescent="0.3">
      <c r="A33528" s="20"/>
    </row>
    <row r="33529" spans="1:1" x14ac:dyDescent="0.3">
      <c r="A33529" s="20"/>
    </row>
    <row r="33530" spans="1:1" x14ac:dyDescent="0.3">
      <c r="A33530" s="20"/>
    </row>
    <row r="33531" spans="1:1" x14ac:dyDescent="0.3">
      <c r="A33531" s="20"/>
    </row>
    <row r="33532" spans="1:1" x14ac:dyDescent="0.3">
      <c r="A33532" s="20"/>
    </row>
    <row r="33533" spans="1:1" x14ac:dyDescent="0.3">
      <c r="A33533" s="20"/>
    </row>
    <row r="33534" spans="1:1" x14ac:dyDescent="0.3">
      <c r="A33534" s="20"/>
    </row>
    <row r="33535" spans="1:1" x14ac:dyDescent="0.3">
      <c r="A33535" s="20"/>
    </row>
    <row r="33536" spans="1:1" x14ac:dyDescent="0.3">
      <c r="A33536" s="20"/>
    </row>
    <row r="33537" spans="1:1" x14ac:dyDescent="0.3">
      <c r="A33537" s="20"/>
    </row>
    <row r="33538" spans="1:1" x14ac:dyDescent="0.3">
      <c r="A33538" s="20"/>
    </row>
    <row r="33539" spans="1:1" x14ac:dyDescent="0.3">
      <c r="A33539" s="20"/>
    </row>
    <row r="33540" spans="1:1" x14ac:dyDescent="0.3">
      <c r="A33540" s="20"/>
    </row>
    <row r="33541" spans="1:1" x14ac:dyDescent="0.3">
      <c r="A33541" s="20"/>
    </row>
    <row r="33542" spans="1:1" x14ac:dyDescent="0.3">
      <c r="A33542" s="20"/>
    </row>
    <row r="33543" spans="1:1" x14ac:dyDescent="0.3">
      <c r="A33543" s="20"/>
    </row>
    <row r="33544" spans="1:1" x14ac:dyDescent="0.3">
      <c r="A33544" s="20"/>
    </row>
    <row r="33545" spans="1:1" x14ac:dyDescent="0.3">
      <c r="A33545" s="20"/>
    </row>
    <row r="33546" spans="1:1" x14ac:dyDescent="0.3">
      <c r="A33546" s="20"/>
    </row>
    <row r="33547" spans="1:1" x14ac:dyDescent="0.3">
      <c r="A33547" s="20"/>
    </row>
    <row r="33548" spans="1:1" x14ac:dyDescent="0.3">
      <c r="A33548" s="20"/>
    </row>
    <row r="33549" spans="1:1" x14ac:dyDescent="0.3">
      <c r="A33549" s="20"/>
    </row>
    <row r="33550" spans="1:1" x14ac:dyDescent="0.3">
      <c r="A33550" s="20"/>
    </row>
    <row r="33551" spans="1:1" x14ac:dyDescent="0.3">
      <c r="A33551" s="20"/>
    </row>
    <row r="33552" spans="1:1" x14ac:dyDescent="0.3">
      <c r="A33552" s="20"/>
    </row>
    <row r="33553" spans="1:1" x14ac:dyDescent="0.3">
      <c r="A33553" s="20"/>
    </row>
    <row r="33554" spans="1:1" x14ac:dyDescent="0.3">
      <c r="A33554" s="20"/>
    </row>
    <row r="33555" spans="1:1" x14ac:dyDescent="0.3">
      <c r="A33555" s="20"/>
    </row>
    <row r="33556" spans="1:1" x14ac:dyDescent="0.3">
      <c r="A33556" s="20"/>
    </row>
    <row r="33557" spans="1:1" x14ac:dyDescent="0.3">
      <c r="A33557" s="20"/>
    </row>
    <row r="33558" spans="1:1" x14ac:dyDescent="0.3">
      <c r="A33558" s="20"/>
    </row>
    <row r="33559" spans="1:1" x14ac:dyDescent="0.3">
      <c r="A33559" s="20"/>
    </row>
    <row r="33560" spans="1:1" x14ac:dyDescent="0.3">
      <c r="A33560" s="20"/>
    </row>
    <row r="33561" spans="1:1" x14ac:dyDescent="0.3">
      <c r="A33561" s="20"/>
    </row>
    <row r="33562" spans="1:1" x14ac:dyDescent="0.3">
      <c r="A33562" s="20"/>
    </row>
    <row r="33563" spans="1:1" x14ac:dyDescent="0.3">
      <c r="A33563" s="20"/>
    </row>
    <row r="33564" spans="1:1" x14ac:dyDescent="0.3">
      <c r="A33564" s="20"/>
    </row>
    <row r="33565" spans="1:1" x14ac:dyDescent="0.3">
      <c r="A33565" s="20"/>
    </row>
    <row r="33566" spans="1:1" x14ac:dyDescent="0.3">
      <c r="A33566" s="20"/>
    </row>
    <row r="33567" spans="1:1" x14ac:dyDescent="0.3">
      <c r="A33567" s="20"/>
    </row>
    <row r="33568" spans="1:1" x14ac:dyDescent="0.3">
      <c r="A33568" s="20"/>
    </row>
    <row r="33569" spans="1:1" x14ac:dyDescent="0.3">
      <c r="A33569" s="20"/>
    </row>
    <row r="33570" spans="1:1" x14ac:dyDescent="0.3">
      <c r="A33570" s="20"/>
    </row>
    <row r="33571" spans="1:1" x14ac:dyDescent="0.3">
      <c r="A33571" s="20"/>
    </row>
    <row r="33572" spans="1:1" x14ac:dyDescent="0.3">
      <c r="A33572" s="20"/>
    </row>
    <row r="33573" spans="1:1" x14ac:dyDescent="0.3">
      <c r="A33573" s="20"/>
    </row>
    <row r="33574" spans="1:1" x14ac:dyDescent="0.3">
      <c r="A33574" s="20"/>
    </row>
    <row r="33575" spans="1:1" x14ac:dyDescent="0.3">
      <c r="A33575" s="20"/>
    </row>
    <row r="33576" spans="1:1" x14ac:dyDescent="0.3">
      <c r="A33576" s="20"/>
    </row>
    <row r="33577" spans="1:1" x14ac:dyDescent="0.3">
      <c r="A33577" s="20"/>
    </row>
    <row r="33578" spans="1:1" x14ac:dyDescent="0.3">
      <c r="A33578" s="20"/>
    </row>
    <row r="33579" spans="1:1" x14ac:dyDescent="0.3">
      <c r="A33579" s="20"/>
    </row>
    <row r="33580" spans="1:1" x14ac:dyDescent="0.3">
      <c r="A33580" s="20"/>
    </row>
    <row r="33581" spans="1:1" x14ac:dyDescent="0.3">
      <c r="A33581" s="20"/>
    </row>
    <row r="33582" spans="1:1" x14ac:dyDescent="0.3">
      <c r="A33582" s="20"/>
    </row>
    <row r="33583" spans="1:1" x14ac:dyDescent="0.3">
      <c r="A33583" s="20"/>
    </row>
    <row r="33584" spans="1:1" x14ac:dyDescent="0.3">
      <c r="A33584" s="20"/>
    </row>
    <row r="33585" spans="1:1" x14ac:dyDescent="0.3">
      <c r="A33585" s="20"/>
    </row>
    <row r="33586" spans="1:1" x14ac:dyDescent="0.3">
      <c r="A33586" s="20"/>
    </row>
    <row r="33587" spans="1:1" x14ac:dyDescent="0.3">
      <c r="A33587" s="20"/>
    </row>
    <row r="33588" spans="1:1" x14ac:dyDescent="0.3">
      <c r="A33588" s="20"/>
    </row>
    <row r="33589" spans="1:1" x14ac:dyDescent="0.3">
      <c r="A33589" s="20"/>
    </row>
    <row r="33590" spans="1:1" x14ac:dyDescent="0.3">
      <c r="A33590" s="20"/>
    </row>
    <row r="33591" spans="1:1" x14ac:dyDescent="0.3">
      <c r="A33591" s="20"/>
    </row>
    <row r="33592" spans="1:1" x14ac:dyDescent="0.3">
      <c r="A33592" s="20"/>
    </row>
    <row r="33593" spans="1:1" x14ac:dyDescent="0.3">
      <c r="A33593" s="20"/>
    </row>
    <row r="33594" spans="1:1" x14ac:dyDescent="0.3">
      <c r="A33594" s="20"/>
    </row>
    <row r="33595" spans="1:1" x14ac:dyDescent="0.3">
      <c r="A33595" s="20"/>
    </row>
    <row r="33596" spans="1:1" x14ac:dyDescent="0.3">
      <c r="A33596" s="20"/>
    </row>
    <row r="33597" spans="1:1" x14ac:dyDescent="0.3">
      <c r="A33597" s="20"/>
    </row>
    <row r="33598" spans="1:1" x14ac:dyDescent="0.3">
      <c r="A33598" s="20"/>
    </row>
    <row r="33599" spans="1:1" x14ac:dyDescent="0.3">
      <c r="A33599" s="20"/>
    </row>
    <row r="33600" spans="1:1" x14ac:dyDescent="0.3">
      <c r="A33600" s="20"/>
    </row>
    <row r="33601" spans="1:1" x14ac:dyDescent="0.3">
      <c r="A33601" s="20"/>
    </row>
    <row r="33602" spans="1:1" x14ac:dyDescent="0.3">
      <c r="A33602" s="20"/>
    </row>
    <row r="33603" spans="1:1" x14ac:dyDescent="0.3">
      <c r="A33603" s="20"/>
    </row>
    <row r="33604" spans="1:1" x14ac:dyDescent="0.3">
      <c r="A33604" s="20"/>
    </row>
    <row r="33605" spans="1:1" x14ac:dyDescent="0.3">
      <c r="A33605" s="20"/>
    </row>
    <row r="33606" spans="1:1" x14ac:dyDescent="0.3">
      <c r="A33606" s="20"/>
    </row>
    <row r="33607" spans="1:1" x14ac:dyDescent="0.3">
      <c r="A33607" s="20"/>
    </row>
    <row r="33608" spans="1:1" x14ac:dyDescent="0.3">
      <c r="A33608" s="20"/>
    </row>
    <row r="33609" spans="1:1" x14ac:dyDescent="0.3">
      <c r="A33609" s="20"/>
    </row>
    <row r="33610" spans="1:1" x14ac:dyDescent="0.3">
      <c r="A33610" s="20"/>
    </row>
    <row r="33611" spans="1:1" x14ac:dyDescent="0.3">
      <c r="A33611" s="20"/>
    </row>
    <row r="33612" spans="1:1" x14ac:dyDescent="0.3">
      <c r="A33612" s="20"/>
    </row>
    <row r="33613" spans="1:1" x14ac:dyDescent="0.3">
      <c r="A33613" s="20"/>
    </row>
    <row r="33614" spans="1:1" x14ac:dyDescent="0.3">
      <c r="A33614" s="20"/>
    </row>
    <row r="33615" spans="1:1" x14ac:dyDescent="0.3">
      <c r="A33615" s="20"/>
    </row>
    <row r="33616" spans="1:1" x14ac:dyDescent="0.3">
      <c r="A33616" s="20"/>
    </row>
    <row r="33617" spans="1:1" x14ac:dyDescent="0.3">
      <c r="A33617" s="20"/>
    </row>
    <row r="33618" spans="1:1" x14ac:dyDescent="0.3">
      <c r="A33618" s="20"/>
    </row>
    <row r="33619" spans="1:1" x14ac:dyDescent="0.3">
      <c r="A33619" s="20"/>
    </row>
    <row r="33620" spans="1:1" x14ac:dyDescent="0.3">
      <c r="A33620" s="20"/>
    </row>
    <row r="33621" spans="1:1" x14ac:dyDescent="0.3">
      <c r="A33621" s="20"/>
    </row>
    <row r="33622" spans="1:1" x14ac:dyDescent="0.3">
      <c r="A33622" s="20"/>
    </row>
    <row r="33623" spans="1:1" x14ac:dyDescent="0.3">
      <c r="A33623" s="20"/>
    </row>
    <row r="33624" spans="1:1" x14ac:dyDescent="0.3">
      <c r="A33624" s="20"/>
    </row>
    <row r="33625" spans="1:1" x14ac:dyDescent="0.3">
      <c r="A33625" s="20"/>
    </row>
    <row r="33626" spans="1:1" x14ac:dyDescent="0.3">
      <c r="A33626" s="20"/>
    </row>
    <row r="33627" spans="1:1" x14ac:dyDescent="0.3">
      <c r="A33627" s="20"/>
    </row>
    <row r="33628" spans="1:1" x14ac:dyDescent="0.3">
      <c r="A33628" s="20"/>
    </row>
    <row r="33629" spans="1:1" x14ac:dyDescent="0.3">
      <c r="A33629" s="20"/>
    </row>
    <row r="33630" spans="1:1" x14ac:dyDescent="0.3">
      <c r="A33630" s="20"/>
    </row>
    <row r="33631" spans="1:1" x14ac:dyDescent="0.3">
      <c r="A33631" s="20"/>
    </row>
    <row r="33632" spans="1:1" x14ac:dyDescent="0.3">
      <c r="A33632" s="20"/>
    </row>
    <row r="33633" spans="1:1" x14ac:dyDescent="0.3">
      <c r="A33633" s="20"/>
    </row>
    <row r="33634" spans="1:1" x14ac:dyDescent="0.3">
      <c r="A33634" s="20"/>
    </row>
    <row r="33635" spans="1:1" x14ac:dyDescent="0.3">
      <c r="A33635" s="20"/>
    </row>
    <row r="33636" spans="1:1" x14ac:dyDescent="0.3">
      <c r="A33636" s="20"/>
    </row>
    <row r="33637" spans="1:1" x14ac:dyDescent="0.3">
      <c r="A33637" s="20"/>
    </row>
    <row r="33638" spans="1:1" x14ac:dyDescent="0.3">
      <c r="A33638" s="20"/>
    </row>
    <row r="33639" spans="1:1" x14ac:dyDescent="0.3">
      <c r="A33639" s="20"/>
    </row>
    <row r="33640" spans="1:1" x14ac:dyDescent="0.3">
      <c r="A33640" s="20"/>
    </row>
    <row r="33641" spans="1:1" x14ac:dyDescent="0.3">
      <c r="A33641" s="20"/>
    </row>
    <row r="33642" spans="1:1" x14ac:dyDescent="0.3">
      <c r="A33642" s="20"/>
    </row>
    <row r="33643" spans="1:1" x14ac:dyDescent="0.3">
      <c r="A33643" s="20"/>
    </row>
    <row r="33644" spans="1:1" x14ac:dyDescent="0.3">
      <c r="A33644" s="20"/>
    </row>
    <row r="33645" spans="1:1" x14ac:dyDescent="0.3">
      <c r="A33645" s="20"/>
    </row>
    <row r="33646" spans="1:1" x14ac:dyDescent="0.3">
      <c r="A33646" s="20"/>
    </row>
    <row r="33647" spans="1:1" x14ac:dyDescent="0.3">
      <c r="A33647" s="20"/>
    </row>
    <row r="33648" spans="1:1" x14ac:dyDescent="0.3">
      <c r="A33648" s="20"/>
    </row>
    <row r="33649" spans="1:1" x14ac:dyDescent="0.3">
      <c r="A33649" s="20"/>
    </row>
    <row r="33650" spans="1:1" x14ac:dyDescent="0.3">
      <c r="A33650" s="20"/>
    </row>
    <row r="33651" spans="1:1" x14ac:dyDescent="0.3">
      <c r="A33651" s="20"/>
    </row>
    <row r="33652" spans="1:1" x14ac:dyDescent="0.3">
      <c r="A33652" s="20"/>
    </row>
    <row r="33653" spans="1:1" x14ac:dyDescent="0.3">
      <c r="A33653" s="20"/>
    </row>
    <row r="33654" spans="1:1" x14ac:dyDescent="0.3">
      <c r="A33654" s="20"/>
    </row>
    <row r="33655" spans="1:1" x14ac:dyDescent="0.3">
      <c r="A33655" s="20"/>
    </row>
    <row r="33656" spans="1:1" x14ac:dyDescent="0.3">
      <c r="A33656" s="20"/>
    </row>
    <row r="33657" spans="1:1" x14ac:dyDescent="0.3">
      <c r="A33657" s="20"/>
    </row>
    <row r="33658" spans="1:1" x14ac:dyDescent="0.3">
      <c r="A33658" s="20"/>
    </row>
    <row r="33659" spans="1:1" x14ac:dyDescent="0.3">
      <c r="A33659" s="20"/>
    </row>
    <row r="33660" spans="1:1" x14ac:dyDescent="0.3">
      <c r="A33660" s="20"/>
    </row>
    <row r="33661" spans="1:1" x14ac:dyDescent="0.3">
      <c r="A33661" s="20"/>
    </row>
    <row r="33662" spans="1:1" x14ac:dyDescent="0.3">
      <c r="A33662" s="20"/>
    </row>
    <row r="33663" spans="1:1" x14ac:dyDescent="0.3">
      <c r="A33663" s="20"/>
    </row>
    <row r="33664" spans="1:1" x14ac:dyDescent="0.3">
      <c r="A33664" s="20"/>
    </row>
    <row r="33665" spans="1:1" x14ac:dyDescent="0.3">
      <c r="A33665" s="20"/>
    </row>
    <row r="33666" spans="1:1" x14ac:dyDescent="0.3">
      <c r="A33666" s="20"/>
    </row>
    <row r="33667" spans="1:1" x14ac:dyDescent="0.3">
      <c r="A33667" s="20"/>
    </row>
    <row r="33668" spans="1:1" x14ac:dyDescent="0.3">
      <c r="A33668" s="20"/>
    </row>
    <row r="33669" spans="1:1" x14ac:dyDescent="0.3">
      <c r="A33669" s="20"/>
    </row>
    <row r="33670" spans="1:1" x14ac:dyDescent="0.3">
      <c r="A33670" s="20"/>
    </row>
    <row r="33671" spans="1:1" x14ac:dyDescent="0.3">
      <c r="A33671" s="20"/>
    </row>
    <row r="33672" spans="1:1" x14ac:dyDescent="0.3">
      <c r="A33672" s="20"/>
    </row>
    <row r="33673" spans="1:1" x14ac:dyDescent="0.3">
      <c r="A33673" s="20"/>
    </row>
    <row r="33674" spans="1:1" x14ac:dyDescent="0.3">
      <c r="A33674" s="20"/>
    </row>
    <row r="33675" spans="1:1" x14ac:dyDescent="0.3">
      <c r="A33675" s="20"/>
    </row>
    <row r="33676" spans="1:1" x14ac:dyDescent="0.3">
      <c r="A33676" s="20"/>
    </row>
    <row r="33677" spans="1:1" x14ac:dyDescent="0.3">
      <c r="A33677" s="20"/>
    </row>
    <row r="33678" spans="1:1" x14ac:dyDescent="0.3">
      <c r="A33678" s="20"/>
    </row>
    <row r="33679" spans="1:1" x14ac:dyDescent="0.3">
      <c r="A33679" s="20"/>
    </row>
    <row r="33680" spans="1:1" x14ac:dyDescent="0.3">
      <c r="A33680" s="20"/>
    </row>
    <row r="33681" spans="1:1" x14ac:dyDescent="0.3">
      <c r="A33681" s="20"/>
    </row>
    <row r="33682" spans="1:1" x14ac:dyDescent="0.3">
      <c r="A33682" s="20"/>
    </row>
    <row r="33683" spans="1:1" x14ac:dyDescent="0.3">
      <c r="A33683" s="20"/>
    </row>
    <row r="33684" spans="1:1" x14ac:dyDescent="0.3">
      <c r="A33684" s="20"/>
    </row>
    <row r="33685" spans="1:1" x14ac:dyDescent="0.3">
      <c r="A33685" s="20"/>
    </row>
    <row r="33686" spans="1:1" x14ac:dyDescent="0.3">
      <c r="A33686" s="20"/>
    </row>
    <row r="33687" spans="1:1" x14ac:dyDescent="0.3">
      <c r="A33687" s="20"/>
    </row>
    <row r="33688" spans="1:1" x14ac:dyDescent="0.3">
      <c r="A33688" s="20"/>
    </row>
    <row r="33689" spans="1:1" x14ac:dyDescent="0.3">
      <c r="A33689" s="20"/>
    </row>
    <row r="33690" spans="1:1" x14ac:dyDescent="0.3">
      <c r="A33690" s="20"/>
    </row>
    <row r="33691" spans="1:1" x14ac:dyDescent="0.3">
      <c r="A33691" s="20"/>
    </row>
    <row r="33692" spans="1:1" x14ac:dyDescent="0.3">
      <c r="A33692" s="20"/>
    </row>
    <row r="33693" spans="1:1" x14ac:dyDescent="0.3">
      <c r="A33693" s="20"/>
    </row>
    <row r="33694" spans="1:1" x14ac:dyDescent="0.3">
      <c r="A33694" s="20"/>
    </row>
    <row r="33695" spans="1:1" x14ac:dyDescent="0.3">
      <c r="A33695" s="20"/>
    </row>
    <row r="33696" spans="1:1" x14ac:dyDescent="0.3">
      <c r="A33696" s="20"/>
    </row>
    <row r="33697" spans="1:1" x14ac:dyDescent="0.3">
      <c r="A33697" s="20"/>
    </row>
    <row r="33698" spans="1:1" x14ac:dyDescent="0.3">
      <c r="A33698" s="20"/>
    </row>
    <row r="33699" spans="1:1" x14ac:dyDescent="0.3">
      <c r="A33699" s="20"/>
    </row>
    <row r="33700" spans="1:1" x14ac:dyDescent="0.3">
      <c r="A33700" s="20"/>
    </row>
    <row r="33701" spans="1:1" x14ac:dyDescent="0.3">
      <c r="A33701" s="20"/>
    </row>
    <row r="33702" spans="1:1" x14ac:dyDescent="0.3">
      <c r="A33702" s="20"/>
    </row>
    <row r="33703" spans="1:1" x14ac:dyDescent="0.3">
      <c r="A33703" s="20"/>
    </row>
    <row r="33704" spans="1:1" x14ac:dyDescent="0.3">
      <c r="A33704" s="20"/>
    </row>
    <row r="33705" spans="1:1" x14ac:dyDescent="0.3">
      <c r="A33705" s="20"/>
    </row>
    <row r="33706" spans="1:1" x14ac:dyDescent="0.3">
      <c r="A33706" s="20"/>
    </row>
    <row r="33707" spans="1:1" x14ac:dyDescent="0.3">
      <c r="A33707" s="20"/>
    </row>
    <row r="33708" spans="1:1" x14ac:dyDescent="0.3">
      <c r="A33708" s="20"/>
    </row>
    <row r="33709" spans="1:1" x14ac:dyDescent="0.3">
      <c r="A33709" s="20"/>
    </row>
    <row r="33710" spans="1:1" x14ac:dyDescent="0.3">
      <c r="A33710" s="20"/>
    </row>
    <row r="33711" spans="1:1" x14ac:dyDescent="0.3">
      <c r="A33711" s="20"/>
    </row>
    <row r="33712" spans="1:1" x14ac:dyDescent="0.3">
      <c r="A33712" s="20"/>
    </row>
    <row r="33713" spans="1:1" x14ac:dyDescent="0.3">
      <c r="A33713" s="20"/>
    </row>
    <row r="33714" spans="1:1" x14ac:dyDescent="0.3">
      <c r="A33714" s="20"/>
    </row>
    <row r="33715" spans="1:1" x14ac:dyDescent="0.3">
      <c r="A33715" s="20"/>
    </row>
    <row r="33716" spans="1:1" x14ac:dyDescent="0.3">
      <c r="A33716" s="20"/>
    </row>
    <row r="33717" spans="1:1" x14ac:dyDescent="0.3">
      <c r="A33717" s="20"/>
    </row>
    <row r="33718" spans="1:1" x14ac:dyDescent="0.3">
      <c r="A33718" s="20"/>
    </row>
    <row r="33719" spans="1:1" x14ac:dyDescent="0.3">
      <c r="A33719" s="20"/>
    </row>
    <row r="33720" spans="1:1" x14ac:dyDescent="0.3">
      <c r="A33720" s="20"/>
    </row>
    <row r="33721" spans="1:1" x14ac:dyDescent="0.3">
      <c r="A33721" s="20"/>
    </row>
    <row r="33722" spans="1:1" x14ac:dyDescent="0.3">
      <c r="A33722" s="20"/>
    </row>
    <row r="33723" spans="1:1" x14ac:dyDescent="0.3">
      <c r="A33723" s="20"/>
    </row>
    <row r="33724" spans="1:1" x14ac:dyDescent="0.3">
      <c r="A33724" s="20"/>
    </row>
    <row r="33725" spans="1:1" x14ac:dyDescent="0.3">
      <c r="A33725" s="20"/>
    </row>
    <row r="33726" spans="1:1" x14ac:dyDescent="0.3">
      <c r="A33726" s="20"/>
    </row>
    <row r="33727" spans="1:1" x14ac:dyDescent="0.3">
      <c r="A33727" s="20"/>
    </row>
    <row r="33728" spans="1:1" x14ac:dyDescent="0.3">
      <c r="A33728" s="20"/>
    </row>
    <row r="33729" spans="1:1" x14ac:dyDescent="0.3">
      <c r="A33729" s="20"/>
    </row>
    <row r="33730" spans="1:1" x14ac:dyDescent="0.3">
      <c r="A33730" s="20"/>
    </row>
    <row r="33731" spans="1:1" x14ac:dyDescent="0.3">
      <c r="A33731" s="20"/>
    </row>
    <row r="33732" spans="1:1" x14ac:dyDescent="0.3">
      <c r="A33732" s="20"/>
    </row>
    <row r="33733" spans="1:1" x14ac:dyDescent="0.3">
      <c r="A33733" s="20"/>
    </row>
    <row r="33734" spans="1:1" x14ac:dyDescent="0.3">
      <c r="A33734" s="20"/>
    </row>
    <row r="33735" spans="1:1" x14ac:dyDescent="0.3">
      <c r="A33735" s="20"/>
    </row>
    <row r="33736" spans="1:1" x14ac:dyDescent="0.3">
      <c r="A33736" s="20"/>
    </row>
    <row r="33737" spans="1:1" x14ac:dyDescent="0.3">
      <c r="A33737" s="20"/>
    </row>
    <row r="33738" spans="1:1" x14ac:dyDescent="0.3">
      <c r="A33738" s="20"/>
    </row>
    <row r="33739" spans="1:1" x14ac:dyDescent="0.3">
      <c r="A33739" s="20"/>
    </row>
    <row r="33740" spans="1:1" x14ac:dyDescent="0.3">
      <c r="A33740" s="20"/>
    </row>
    <row r="33741" spans="1:1" x14ac:dyDescent="0.3">
      <c r="A33741" s="20"/>
    </row>
    <row r="33742" spans="1:1" x14ac:dyDescent="0.3">
      <c r="A33742" s="20"/>
    </row>
    <row r="33743" spans="1:1" x14ac:dyDescent="0.3">
      <c r="A33743" s="20"/>
    </row>
    <row r="33744" spans="1:1" x14ac:dyDescent="0.3">
      <c r="A33744" s="20"/>
    </row>
    <row r="33745" spans="1:1" x14ac:dyDescent="0.3">
      <c r="A33745" s="20"/>
    </row>
    <row r="33746" spans="1:1" x14ac:dyDescent="0.3">
      <c r="A33746" s="20"/>
    </row>
    <row r="33747" spans="1:1" x14ac:dyDescent="0.3">
      <c r="A33747" s="20"/>
    </row>
    <row r="33748" spans="1:1" x14ac:dyDescent="0.3">
      <c r="A33748" s="20"/>
    </row>
    <row r="33749" spans="1:1" x14ac:dyDescent="0.3">
      <c r="A33749" s="20"/>
    </row>
    <row r="33750" spans="1:1" x14ac:dyDescent="0.3">
      <c r="A33750" s="20"/>
    </row>
    <row r="33751" spans="1:1" x14ac:dyDescent="0.3">
      <c r="A33751" s="20"/>
    </row>
    <row r="33752" spans="1:1" x14ac:dyDescent="0.3">
      <c r="A33752" s="20"/>
    </row>
    <row r="33753" spans="1:1" x14ac:dyDescent="0.3">
      <c r="A33753" s="20"/>
    </row>
    <row r="33754" spans="1:1" x14ac:dyDescent="0.3">
      <c r="A33754" s="20"/>
    </row>
    <row r="33755" spans="1:1" x14ac:dyDescent="0.3">
      <c r="A33755" s="20"/>
    </row>
    <row r="33756" spans="1:1" x14ac:dyDescent="0.3">
      <c r="A33756" s="20"/>
    </row>
    <row r="33757" spans="1:1" x14ac:dyDescent="0.3">
      <c r="A33757" s="20"/>
    </row>
    <row r="33758" spans="1:1" x14ac:dyDescent="0.3">
      <c r="A33758" s="20"/>
    </row>
    <row r="33759" spans="1:1" x14ac:dyDescent="0.3">
      <c r="A33759" s="20"/>
    </row>
    <row r="33760" spans="1:1" x14ac:dyDescent="0.3">
      <c r="A33760" s="20"/>
    </row>
    <row r="33761" spans="1:1" x14ac:dyDescent="0.3">
      <c r="A33761" s="20"/>
    </row>
    <row r="33762" spans="1:1" x14ac:dyDescent="0.3">
      <c r="A33762" s="20"/>
    </row>
    <row r="33763" spans="1:1" x14ac:dyDescent="0.3">
      <c r="A33763" s="20"/>
    </row>
    <row r="33764" spans="1:1" x14ac:dyDescent="0.3">
      <c r="A33764" s="20"/>
    </row>
    <row r="33765" spans="1:1" x14ac:dyDescent="0.3">
      <c r="A33765" s="20"/>
    </row>
    <row r="33766" spans="1:1" x14ac:dyDescent="0.3">
      <c r="A33766" s="20"/>
    </row>
    <row r="33767" spans="1:1" x14ac:dyDescent="0.3">
      <c r="A33767" s="20"/>
    </row>
    <row r="33768" spans="1:1" x14ac:dyDescent="0.3">
      <c r="A33768" s="20"/>
    </row>
    <row r="33769" spans="1:1" x14ac:dyDescent="0.3">
      <c r="A33769" s="20"/>
    </row>
    <row r="33770" spans="1:1" x14ac:dyDescent="0.3">
      <c r="A33770" s="20"/>
    </row>
    <row r="33771" spans="1:1" x14ac:dyDescent="0.3">
      <c r="A33771" s="20"/>
    </row>
    <row r="33772" spans="1:1" x14ac:dyDescent="0.3">
      <c r="A33772" s="20"/>
    </row>
    <row r="33773" spans="1:1" x14ac:dyDescent="0.3">
      <c r="A33773" s="20"/>
    </row>
    <row r="33774" spans="1:1" x14ac:dyDescent="0.3">
      <c r="A33774" s="20"/>
    </row>
    <row r="33775" spans="1:1" x14ac:dyDescent="0.3">
      <c r="A33775" s="20"/>
    </row>
    <row r="33776" spans="1:1" x14ac:dyDescent="0.3">
      <c r="A33776" s="20"/>
    </row>
    <row r="33777" spans="1:1" x14ac:dyDescent="0.3">
      <c r="A33777" s="20"/>
    </row>
    <row r="33778" spans="1:1" x14ac:dyDescent="0.3">
      <c r="A33778" s="20"/>
    </row>
    <row r="33779" spans="1:1" x14ac:dyDescent="0.3">
      <c r="A33779" s="20"/>
    </row>
    <row r="33780" spans="1:1" x14ac:dyDescent="0.3">
      <c r="A33780" s="20"/>
    </row>
    <row r="33781" spans="1:1" x14ac:dyDescent="0.3">
      <c r="A33781" s="20"/>
    </row>
    <row r="33782" spans="1:1" x14ac:dyDescent="0.3">
      <c r="A33782" s="20"/>
    </row>
    <row r="33783" spans="1:1" x14ac:dyDescent="0.3">
      <c r="A33783" s="20"/>
    </row>
    <row r="33784" spans="1:1" x14ac:dyDescent="0.3">
      <c r="A33784" s="20"/>
    </row>
    <row r="33785" spans="1:1" x14ac:dyDescent="0.3">
      <c r="A33785" s="20"/>
    </row>
    <row r="33786" spans="1:1" x14ac:dyDescent="0.3">
      <c r="A33786" s="20"/>
    </row>
    <row r="33787" spans="1:1" x14ac:dyDescent="0.3">
      <c r="A33787" s="20"/>
    </row>
    <row r="33788" spans="1:1" x14ac:dyDescent="0.3">
      <c r="A33788" s="20"/>
    </row>
    <row r="33789" spans="1:1" x14ac:dyDescent="0.3">
      <c r="A33789" s="20"/>
    </row>
    <row r="33790" spans="1:1" x14ac:dyDescent="0.3">
      <c r="A33790" s="20"/>
    </row>
    <row r="33791" spans="1:1" x14ac:dyDescent="0.3">
      <c r="A33791" s="20"/>
    </row>
    <row r="33792" spans="1:1" x14ac:dyDescent="0.3">
      <c r="A33792" s="20"/>
    </row>
    <row r="33793" spans="1:1" x14ac:dyDescent="0.3">
      <c r="A33793" s="20"/>
    </row>
    <row r="33794" spans="1:1" x14ac:dyDescent="0.3">
      <c r="A33794" s="20"/>
    </row>
    <row r="33795" spans="1:1" x14ac:dyDescent="0.3">
      <c r="A33795" s="20"/>
    </row>
    <row r="33796" spans="1:1" x14ac:dyDescent="0.3">
      <c r="A33796" s="20"/>
    </row>
    <row r="33797" spans="1:1" x14ac:dyDescent="0.3">
      <c r="A33797" s="20"/>
    </row>
    <row r="33798" spans="1:1" x14ac:dyDescent="0.3">
      <c r="A33798" s="20"/>
    </row>
    <row r="33799" spans="1:1" x14ac:dyDescent="0.3">
      <c r="A33799" s="20"/>
    </row>
    <row r="33800" spans="1:1" x14ac:dyDescent="0.3">
      <c r="A33800" s="20"/>
    </row>
    <row r="33801" spans="1:1" x14ac:dyDescent="0.3">
      <c r="A33801" s="20"/>
    </row>
    <row r="33802" spans="1:1" x14ac:dyDescent="0.3">
      <c r="A33802" s="20"/>
    </row>
    <row r="33803" spans="1:1" x14ac:dyDescent="0.3">
      <c r="A33803" s="20"/>
    </row>
    <row r="33804" spans="1:1" x14ac:dyDescent="0.3">
      <c r="A33804" s="20"/>
    </row>
    <row r="33805" spans="1:1" x14ac:dyDescent="0.3">
      <c r="A33805" s="20"/>
    </row>
    <row r="33806" spans="1:1" x14ac:dyDescent="0.3">
      <c r="A33806" s="20"/>
    </row>
    <row r="33807" spans="1:1" x14ac:dyDescent="0.3">
      <c r="A33807" s="20"/>
    </row>
    <row r="33808" spans="1:1" x14ac:dyDescent="0.3">
      <c r="A33808" s="20"/>
    </row>
    <row r="33809" spans="1:1" x14ac:dyDescent="0.3">
      <c r="A33809" s="20"/>
    </row>
    <row r="33810" spans="1:1" x14ac:dyDescent="0.3">
      <c r="A33810" s="20"/>
    </row>
    <row r="33811" spans="1:1" x14ac:dyDescent="0.3">
      <c r="A33811" s="20"/>
    </row>
    <row r="33812" spans="1:1" x14ac:dyDescent="0.3">
      <c r="A33812" s="20"/>
    </row>
    <row r="33813" spans="1:1" x14ac:dyDescent="0.3">
      <c r="A33813" s="20"/>
    </row>
    <row r="33814" spans="1:1" x14ac:dyDescent="0.3">
      <c r="A33814" s="20"/>
    </row>
    <row r="33815" spans="1:1" x14ac:dyDescent="0.3">
      <c r="A33815" s="20"/>
    </row>
    <row r="33816" spans="1:1" x14ac:dyDescent="0.3">
      <c r="A33816" s="20"/>
    </row>
    <row r="33817" spans="1:1" x14ac:dyDescent="0.3">
      <c r="A33817" s="20"/>
    </row>
    <row r="33818" spans="1:1" x14ac:dyDescent="0.3">
      <c r="A33818" s="20"/>
    </row>
    <row r="33819" spans="1:1" x14ac:dyDescent="0.3">
      <c r="A33819" s="20"/>
    </row>
    <row r="33820" spans="1:1" x14ac:dyDescent="0.3">
      <c r="A33820" s="20"/>
    </row>
    <row r="33821" spans="1:1" x14ac:dyDescent="0.3">
      <c r="A33821" s="20"/>
    </row>
    <row r="33822" spans="1:1" x14ac:dyDescent="0.3">
      <c r="A33822" s="20"/>
    </row>
    <row r="33823" spans="1:1" x14ac:dyDescent="0.3">
      <c r="A33823" s="20"/>
    </row>
    <row r="33824" spans="1:1" x14ac:dyDescent="0.3">
      <c r="A33824" s="20"/>
    </row>
    <row r="33825" spans="1:1" x14ac:dyDescent="0.3">
      <c r="A33825" s="20"/>
    </row>
    <row r="33826" spans="1:1" x14ac:dyDescent="0.3">
      <c r="A33826" s="20"/>
    </row>
    <row r="33827" spans="1:1" x14ac:dyDescent="0.3">
      <c r="A33827" s="20"/>
    </row>
    <row r="33828" spans="1:1" x14ac:dyDescent="0.3">
      <c r="A33828" s="20"/>
    </row>
    <row r="33829" spans="1:1" x14ac:dyDescent="0.3">
      <c r="A33829" s="20"/>
    </row>
    <row r="33830" spans="1:1" x14ac:dyDescent="0.3">
      <c r="A33830" s="20"/>
    </row>
    <row r="33831" spans="1:1" x14ac:dyDescent="0.3">
      <c r="A33831" s="20"/>
    </row>
    <row r="33832" spans="1:1" x14ac:dyDescent="0.3">
      <c r="A33832" s="20"/>
    </row>
    <row r="33833" spans="1:1" x14ac:dyDescent="0.3">
      <c r="A33833" s="20"/>
    </row>
    <row r="33834" spans="1:1" x14ac:dyDescent="0.3">
      <c r="A33834" s="20"/>
    </row>
    <row r="33835" spans="1:1" x14ac:dyDescent="0.3">
      <c r="A33835" s="20"/>
    </row>
    <row r="33836" spans="1:1" x14ac:dyDescent="0.3">
      <c r="A33836" s="20"/>
    </row>
    <row r="33837" spans="1:1" x14ac:dyDescent="0.3">
      <c r="A33837" s="20"/>
    </row>
    <row r="33838" spans="1:1" x14ac:dyDescent="0.3">
      <c r="A33838" s="20"/>
    </row>
    <row r="33839" spans="1:1" x14ac:dyDescent="0.3">
      <c r="A33839" s="20"/>
    </row>
    <row r="33840" spans="1:1" x14ac:dyDescent="0.3">
      <c r="A33840" s="20"/>
    </row>
    <row r="33841" spans="1:1" x14ac:dyDescent="0.3">
      <c r="A33841" s="20"/>
    </row>
    <row r="33842" spans="1:1" x14ac:dyDescent="0.3">
      <c r="A33842" s="20"/>
    </row>
    <row r="33843" spans="1:1" x14ac:dyDescent="0.3">
      <c r="A33843" s="20"/>
    </row>
    <row r="33844" spans="1:1" x14ac:dyDescent="0.3">
      <c r="A33844" s="20"/>
    </row>
    <row r="33845" spans="1:1" x14ac:dyDescent="0.3">
      <c r="A33845" s="20"/>
    </row>
    <row r="33846" spans="1:1" x14ac:dyDescent="0.3">
      <c r="A33846" s="20"/>
    </row>
    <row r="33847" spans="1:1" x14ac:dyDescent="0.3">
      <c r="A33847" s="20"/>
    </row>
    <row r="33848" spans="1:1" x14ac:dyDescent="0.3">
      <c r="A33848" s="20"/>
    </row>
    <row r="33849" spans="1:1" x14ac:dyDescent="0.3">
      <c r="A33849" s="20"/>
    </row>
    <row r="33850" spans="1:1" x14ac:dyDescent="0.3">
      <c r="A33850" s="20"/>
    </row>
    <row r="33851" spans="1:1" x14ac:dyDescent="0.3">
      <c r="A33851" s="20"/>
    </row>
    <row r="33852" spans="1:1" x14ac:dyDescent="0.3">
      <c r="A33852" s="20"/>
    </row>
    <row r="33853" spans="1:1" x14ac:dyDescent="0.3">
      <c r="A33853" s="20"/>
    </row>
    <row r="33854" spans="1:1" x14ac:dyDescent="0.3">
      <c r="A33854" s="20"/>
    </row>
    <row r="33855" spans="1:1" x14ac:dyDescent="0.3">
      <c r="A33855" s="20"/>
    </row>
    <row r="33856" spans="1:1" x14ac:dyDescent="0.3">
      <c r="A33856" s="20"/>
    </row>
    <row r="33857" spans="1:1" x14ac:dyDescent="0.3">
      <c r="A33857" s="20"/>
    </row>
    <row r="33858" spans="1:1" x14ac:dyDescent="0.3">
      <c r="A33858" s="20"/>
    </row>
    <row r="33859" spans="1:1" x14ac:dyDescent="0.3">
      <c r="A33859" s="20"/>
    </row>
    <row r="33860" spans="1:1" x14ac:dyDescent="0.3">
      <c r="A33860" s="20"/>
    </row>
    <row r="33861" spans="1:1" x14ac:dyDescent="0.3">
      <c r="A33861" s="20"/>
    </row>
    <row r="33862" spans="1:1" x14ac:dyDescent="0.3">
      <c r="A33862" s="20"/>
    </row>
    <row r="33863" spans="1:1" x14ac:dyDescent="0.3">
      <c r="A33863" s="20"/>
    </row>
    <row r="33864" spans="1:1" x14ac:dyDescent="0.3">
      <c r="A33864" s="20"/>
    </row>
    <row r="33865" spans="1:1" x14ac:dyDescent="0.3">
      <c r="A33865" s="20"/>
    </row>
    <row r="33866" spans="1:1" x14ac:dyDescent="0.3">
      <c r="A33866" s="20"/>
    </row>
    <row r="33867" spans="1:1" x14ac:dyDescent="0.3">
      <c r="A33867" s="20"/>
    </row>
    <row r="33868" spans="1:1" x14ac:dyDescent="0.3">
      <c r="A33868" s="20"/>
    </row>
    <row r="33869" spans="1:1" x14ac:dyDescent="0.3">
      <c r="A33869" s="20"/>
    </row>
    <row r="33870" spans="1:1" x14ac:dyDescent="0.3">
      <c r="A33870" s="20"/>
    </row>
    <row r="33871" spans="1:1" x14ac:dyDescent="0.3">
      <c r="A33871" s="20"/>
    </row>
    <row r="33872" spans="1:1" x14ac:dyDescent="0.3">
      <c r="A33872" s="20"/>
    </row>
    <row r="33873" spans="1:1" x14ac:dyDescent="0.3">
      <c r="A33873" s="20"/>
    </row>
    <row r="33874" spans="1:1" x14ac:dyDescent="0.3">
      <c r="A33874" s="20"/>
    </row>
    <row r="33875" spans="1:1" x14ac:dyDescent="0.3">
      <c r="A33875" s="20"/>
    </row>
    <row r="33876" spans="1:1" x14ac:dyDescent="0.3">
      <c r="A33876" s="20"/>
    </row>
    <row r="33877" spans="1:1" x14ac:dyDescent="0.3">
      <c r="A33877" s="20"/>
    </row>
    <row r="33878" spans="1:1" x14ac:dyDescent="0.3">
      <c r="A33878" s="20"/>
    </row>
    <row r="33879" spans="1:1" x14ac:dyDescent="0.3">
      <c r="A33879" s="20"/>
    </row>
    <row r="33880" spans="1:1" x14ac:dyDescent="0.3">
      <c r="A33880" s="20"/>
    </row>
    <row r="33881" spans="1:1" x14ac:dyDescent="0.3">
      <c r="A33881" s="20"/>
    </row>
    <row r="33882" spans="1:1" x14ac:dyDescent="0.3">
      <c r="A33882" s="20"/>
    </row>
    <row r="33883" spans="1:1" x14ac:dyDescent="0.3">
      <c r="A33883" s="20"/>
    </row>
    <row r="33884" spans="1:1" x14ac:dyDescent="0.3">
      <c r="A33884" s="20"/>
    </row>
    <row r="33885" spans="1:1" x14ac:dyDescent="0.3">
      <c r="A33885" s="20"/>
    </row>
    <row r="33886" spans="1:1" x14ac:dyDescent="0.3">
      <c r="A33886" s="20"/>
    </row>
    <row r="33887" spans="1:1" x14ac:dyDescent="0.3">
      <c r="A33887" s="20"/>
    </row>
    <row r="33888" spans="1:1" x14ac:dyDescent="0.3">
      <c r="A33888" s="20"/>
    </row>
    <row r="33889" spans="1:1" x14ac:dyDescent="0.3">
      <c r="A33889" s="20"/>
    </row>
    <row r="33890" spans="1:1" x14ac:dyDescent="0.3">
      <c r="A33890" s="20"/>
    </row>
    <row r="33891" spans="1:1" x14ac:dyDescent="0.3">
      <c r="A33891" s="20"/>
    </row>
    <row r="33892" spans="1:1" x14ac:dyDescent="0.3">
      <c r="A33892" s="20"/>
    </row>
    <row r="33893" spans="1:1" x14ac:dyDescent="0.3">
      <c r="A33893" s="20"/>
    </row>
    <row r="33894" spans="1:1" x14ac:dyDescent="0.3">
      <c r="A33894" s="20"/>
    </row>
    <row r="33895" spans="1:1" x14ac:dyDescent="0.3">
      <c r="A33895" s="20"/>
    </row>
    <row r="33896" spans="1:1" x14ac:dyDescent="0.3">
      <c r="A33896" s="20"/>
    </row>
    <row r="33897" spans="1:1" x14ac:dyDescent="0.3">
      <c r="A33897" s="20"/>
    </row>
    <row r="33898" spans="1:1" x14ac:dyDescent="0.3">
      <c r="A33898" s="20"/>
    </row>
    <row r="33899" spans="1:1" x14ac:dyDescent="0.3">
      <c r="A33899" s="20"/>
    </row>
    <row r="33900" spans="1:1" x14ac:dyDescent="0.3">
      <c r="A33900" s="20"/>
    </row>
    <row r="33901" spans="1:1" x14ac:dyDescent="0.3">
      <c r="A33901" s="20"/>
    </row>
    <row r="33902" spans="1:1" x14ac:dyDescent="0.3">
      <c r="A33902" s="20"/>
    </row>
    <row r="33903" spans="1:1" x14ac:dyDescent="0.3">
      <c r="A33903" s="20"/>
    </row>
    <row r="33904" spans="1:1" x14ac:dyDescent="0.3">
      <c r="A33904" s="20"/>
    </row>
    <row r="33905" spans="1:1" x14ac:dyDescent="0.3">
      <c r="A33905" s="20"/>
    </row>
    <row r="33906" spans="1:1" x14ac:dyDescent="0.3">
      <c r="A33906" s="20"/>
    </row>
    <row r="33907" spans="1:1" x14ac:dyDescent="0.3">
      <c r="A33907" s="20"/>
    </row>
    <row r="33908" spans="1:1" x14ac:dyDescent="0.3">
      <c r="A33908" s="20"/>
    </row>
    <row r="33909" spans="1:1" x14ac:dyDescent="0.3">
      <c r="A33909" s="20"/>
    </row>
    <row r="33910" spans="1:1" x14ac:dyDescent="0.3">
      <c r="A33910" s="20"/>
    </row>
    <row r="33911" spans="1:1" x14ac:dyDescent="0.3">
      <c r="A33911" s="20"/>
    </row>
    <row r="33912" spans="1:1" x14ac:dyDescent="0.3">
      <c r="A33912" s="20"/>
    </row>
    <row r="33913" spans="1:1" x14ac:dyDescent="0.3">
      <c r="A33913" s="20"/>
    </row>
    <row r="33914" spans="1:1" x14ac:dyDescent="0.3">
      <c r="A33914" s="20"/>
    </row>
    <row r="33915" spans="1:1" x14ac:dyDescent="0.3">
      <c r="A33915" s="20"/>
    </row>
    <row r="33916" spans="1:1" x14ac:dyDescent="0.3">
      <c r="A33916" s="20"/>
    </row>
    <row r="33917" spans="1:1" x14ac:dyDescent="0.3">
      <c r="A33917" s="20"/>
    </row>
    <row r="33918" spans="1:1" x14ac:dyDescent="0.3">
      <c r="A33918" s="20"/>
    </row>
    <row r="33919" spans="1:1" x14ac:dyDescent="0.3">
      <c r="A33919" s="20"/>
    </row>
    <row r="33920" spans="1:1" x14ac:dyDescent="0.3">
      <c r="A33920" s="20"/>
    </row>
    <row r="33921" spans="1:1" x14ac:dyDescent="0.3">
      <c r="A33921" s="20"/>
    </row>
    <row r="33922" spans="1:1" x14ac:dyDescent="0.3">
      <c r="A33922" s="20"/>
    </row>
    <row r="33923" spans="1:1" x14ac:dyDescent="0.3">
      <c r="A33923" s="20"/>
    </row>
    <row r="33924" spans="1:1" x14ac:dyDescent="0.3">
      <c r="A33924" s="20"/>
    </row>
    <row r="33925" spans="1:1" x14ac:dyDescent="0.3">
      <c r="A33925" s="20"/>
    </row>
    <row r="33926" spans="1:1" x14ac:dyDescent="0.3">
      <c r="A33926" s="20"/>
    </row>
    <row r="33927" spans="1:1" x14ac:dyDescent="0.3">
      <c r="A33927" s="20"/>
    </row>
    <row r="33928" spans="1:1" x14ac:dyDescent="0.3">
      <c r="A33928" s="20"/>
    </row>
    <row r="33929" spans="1:1" x14ac:dyDescent="0.3">
      <c r="A33929" s="20"/>
    </row>
    <row r="33930" spans="1:1" x14ac:dyDescent="0.3">
      <c r="A33930" s="20"/>
    </row>
    <row r="33931" spans="1:1" x14ac:dyDescent="0.3">
      <c r="A33931" s="20"/>
    </row>
    <row r="33932" spans="1:1" x14ac:dyDescent="0.3">
      <c r="A33932" s="20"/>
    </row>
    <row r="33933" spans="1:1" x14ac:dyDescent="0.3">
      <c r="A33933" s="20"/>
    </row>
    <row r="33934" spans="1:1" x14ac:dyDescent="0.3">
      <c r="A33934" s="20"/>
    </row>
    <row r="33935" spans="1:1" x14ac:dyDescent="0.3">
      <c r="A33935" s="20"/>
    </row>
    <row r="33936" spans="1:1" x14ac:dyDescent="0.3">
      <c r="A33936" s="20"/>
    </row>
    <row r="33937" spans="1:1" x14ac:dyDescent="0.3">
      <c r="A33937" s="20"/>
    </row>
    <row r="33938" spans="1:1" x14ac:dyDescent="0.3">
      <c r="A33938" s="20"/>
    </row>
    <row r="33939" spans="1:1" x14ac:dyDescent="0.3">
      <c r="A33939" s="20"/>
    </row>
    <row r="33940" spans="1:1" x14ac:dyDescent="0.3">
      <c r="A33940" s="20"/>
    </row>
    <row r="33941" spans="1:1" x14ac:dyDescent="0.3">
      <c r="A33941" s="20"/>
    </row>
    <row r="33942" spans="1:1" x14ac:dyDescent="0.3">
      <c r="A33942" s="20"/>
    </row>
    <row r="33943" spans="1:1" x14ac:dyDescent="0.3">
      <c r="A33943" s="20"/>
    </row>
    <row r="33944" spans="1:1" x14ac:dyDescent="0.3">
      <c r="A33944" s="20"/>
    </row>
    <row r="33945" spans="1:1" x14ac:dyDescent="0.3">
      <c r="A33945" s="20"/>
    </row>
    <row r="33946" spans="1:1" x14ac:dyDescent="0.3">
      <c r="A33946" s="20"/>
    </row>
    <row r="33947" spans="1:1" x14ac:dyDescent="0.3">
      <c r="A33947" s="20"/>
    </row>
    <row r="33948" spans="1:1" x14ac:dyDescent="0.3">
      <c r="A33948" s="20"/>
    </row>
    <row r="33949" spans="1:1" x14ac:dyDescent="0.3">
      <c r="A33949" s="20"/>
    </row>
    <row r="33950" spans="1:1" x14ac:dyDescent="0.3">
      <c r="A33950" s="20"/>
    </row>
    <row r="33951" spans="1:1" x14ac:dyDescent="0.3">
      <c r="A33951" s="20"/>
    </row>
    <row r="33952" spans="1:1" x14ac:dyDescent="0.3">
      <c r="A33952" s="20"/>
    </row>
    <row r="33953" spans="1:1" x14ac:dyDescent="0.3">
      <c r="A33953" s="20"/>
    </row>
    <row r="33954" spans="1:1" x14ac:dyDescent="0.3">
      <c r="A33954" s="20"/>
    </row>
    <row r="33955" spans="1:1" x14ac:dyDescent="0.3">
      <c r="A33955" s="20"/>
    </row>
    <row r="33956" spans="1:1" x14ac:dyDescent="0.3">
      <c r="A33956" s="20"/>
    </row>
    <row r="33957" spans="1:1" x14ac:dyDescent="0.3">
      <c r="A33957" s="20"/>
    </row>
    <row r="33958" spans="1:1" x14ac:dyDescent="0.3">
      <c r="A33958" s="20"/>
    </row>
    <row r="33959" spans="1:1" x14ac:dyDescent="0.3">
      <c r="A33959" s="20"/>
    </row>
    <row r="33960" spans="1:1" x14ac:dyDescent="0.3">
      <c r="A33960" s="20"/>
    </row>
    <row r="33961" spans="1:1" x14ac:dyDescent="0.3">
      <c r="A33961" s="20"/>
    </row>
    <row r="33962" spans="1:1" x14ac:dyDescent="0.3">
      <c r="A33962" s="20"/>
    </row>
    <row r="33963" spans="1:1" x14ac:dyDescent="0.3">
      <c r="A33963" s="20"/>
    </row>
    <row r="33964" spans="1:1" x14ac:dyDescent="0.3">
      <c r="A33964" s="20"/>
    </row>
    <row r="33965" spans="1:1" x14ac:dyDescent="0.3">
      <c r="A33965" s="20"/>
    </row>
    <row r="33966" spans="1:1" x14ac:dyDescent="0.3">
      <c r="A33966" s="20"/>
    </row>
    <row r="33967" spans="1:1" x14ac:dyDescent="0.3">
      <c r="A33967" s="20"/>
    </row>
    <row r="33968" spans="1:1" x14ac:dyDescent="0.3">
      <c r="A33968" s="20"/>
    </row>
    <row r="33969" spans="1:1" x14ac:dyDescent="0.3">
      <c r="A33969" s="20"/>
    </row>
    <row r="33970" spans="1:1" x14ac:dyDescent="0.3">
      <c r="A33970" s="20"/>
    </row>
    <row r="33971" spans="1:1" x14ac:dyDescent="0.3">
      <c r="A33971" s="20"/>
    </row>
    <row r="33972" spans="1:1" x14ac:dyDescent="0.3">
      <c r="A33972" s="20"/>
    </row>
    <row r="33973" spans="1:1" x14ac:dyDescent="0.3">
      <c r="A33973" s="20"/>
    </row>
    <row r="33974" spans="1:1" x14ac:dyDescent="0.3">
      <c r="A33974" s="20"/>
    </row>
    <row r="33975" spans="1:1" x14ac:dyDescent="0.3">
      <c r="A33975" s="20"/>
    </row>
    <row r="33976" spans="1:1" x14ac:dyDescent="0.3">
      <c r="A33976" s="20"/>
    </row>
    <row r="33977" spans="1:1" x14ac:dyDescent="0.3">
      <c r="A33977" s="20"/>
    </row>
    <row r="33978" spans="1:1" x14ac:dyDescent="0.3">
      <c r="A33978" s="20"/>
    </row>
    <row r="33979" spans="1:1" x14ac:dyDescent="0.3">
      <c r="A33979" s="20"/>
    </row>
    <row r="33980" spans="1:1" x14ac:dyDescent="0.3">
      <c r="A33980" s="20"/>
    </row>
    <row r="33981" spans="1:1" x14ac:dyDescent="0.3">
      <c r="A33981" s="20"/>
    </row>
    <row r="33982" spans="1:1" x14ac:dyDescent="0.3">
      <c r="A33982" s="20"/>
    </row>
    <row r="33983" spans="1:1" x14ac:dyDescent="0.3">
      <c r="A33983" s="20"/>
    </row>
    <row r="33984" spans="1:1" x14ac:dyDescent="0.3">
      <c r="A33984" s="20"/>
    </row>
    <row r="33985" spans="1:1" x14ac:dyDescent="0.3">
      <c r="A33985" s="20"/>
    </row>
    <row r="33986" spans="1:1" x14ac:dyDescent="0.3">
      <c r="A33986" s="20"/>
    </row>
    <row r="33987" spans="1:1" x14ac:dyDescent="0.3">
      <c r="A33987" s="20"/>
    </row>
    <row r="33988" spans="1:1" x14ac:dyDescent="0.3">
      <c r="A33988" s="20"/>
    </row>
    <row r="33989" spans="1:1" x14ac:dyDescent="0.3">
      <c r="A33989" s="20"/>
    </row>
    <row r="33990" spans="1:1" x14ac:dyDescent="0.3">
      <c r="A33990" s="20"/>
    </row>
    <row r="33991" spans="1:1" x14ac:dyDescent="0.3">
      <c r="A33991" s="20"/>
    </row>
    <row r="33992" spans="1:1" x14ac:dyDescent="0.3">
      <c r="A33992" s="20"/>
    </row>
    <row r="33993" spans="1:1" x14ac:dyDescent="0.3">
      <c r="A33993" s="20"/>
    </row>
    <row r="33994" spans="1:1" x14ac:dyDescent="0.3">
      <c r="A33994" s="20"/>
    </row>
    <row r="33995" spans="1:1" x14ac:dyDescent="0.3">
      <c r="A33995" s="20"/>
    </row>
    <row r="33996" spans="1:1" x14ac:dyDescent="0.3">
      <c r="A33996" s="20"/>
    </row>
    <row r="33997" spans="1:1" x14ac:dyDescent="0.3">
      <c r="A33997" s="20"/>
    </row>
    <row r="33998" spans="1:1" x14ac:dyDescent="0.3">
      <c r="A33998" s="20"/>
    </row>
    <row r="33999" spans="1:1" x14ac:dyDescent="0.3">
      <c r="A33999" s="20"/>
    </row>
    <row r="34000" spans="1:1" x14ac:dyDescent="0.3">
      <c r="A34000" s="20"/>
    </row>
    <row r="34001" spans="1:1" x14ac:dyDescent="0.3">
      <c r="A34001" s="20"/>
    </row>
    <row r="34002" spans="1:1" x14ac:dyDescent="0.3">
      <c r="A34002" s="20"/>
    </row>
    <row r="34003" spans="1:1" x14ac:dyDescent="0.3">
      <c r="A34003" s="20"/>
    </row>
    <row r="34004" spans="1:1" x14ac:dyDescent="0.3">
      <c r="A34004" s="20"/>
    </row>
    <row r="34005" spans="1:1" x14ac:dyDescent="0.3">
      <c r="A34005" s="20"/>
    </row>
    <row r="34006" spans="1:1" x14ac:dyDescent="0.3">
      <c r="A34006" s="20"/>
    </row>
    <row r="34007" spans="1:1" x14ac:dyDescent="0.3">
      <c r="A34007" s="20"/>
    </row>
    <row r="34008" spans="1:1" x14ac:dyDescent="0.3">
      <c r="A34008" s="20"/>
    </row>
    <row r="34009" spans="1:1" x14ac:dyDescent="0.3">
      <c r="A34009" s="20"/>
    </row>
    <row r="34010" spans="1:1" x14ac:dyDescent="0.3">
      <c r="A34010" s="20"/>
    </row>
    <row r="34011" spans="1:1" x14ac:dyDescent="0.3">
      <c r="A34011" s="20"/>
    </row>
    <row r="34012" spans="1:1" x14ac:dyDescent="0.3">
      <c r="A34012" s="20"/>
    </row>
    <row r="34013" spans="1:1" x14ac:dyDescent="0.3">
      <c r="A34013" s="20"/>
    </row>
    <row r="34014" spans="1:1" x14ac:dyDescent="0.3">
      <c r="A34014" s="20"/>
    </row>
    <row r="34015" spans="1:1" x14ac:dyDescent="0.3">
      <c r="A34015" s="20"/>
    </row>
    <row r="34016" spans="1:1" x14ac:dyDescent="0.3">
      <c r="A34016" s="20"/>
    </row>
    <row r="34017" spans="1:1" x14ac:dyDescent="0.3">
      <c r="A34017" s="20"/>
    </row>
    <row r="34018" spans="1:1" x14ac:dyDescent="0.3">
      <c r="A34018" s="20"/>
    </row>
    <row r="34019" spans="1:1" x14ac:dyDescent="0.3">
      <c r="A34019" s="20"/>
    </row>
    <row r="34020" spans="1:1" x14ac:dyDescent="0.3">
      <c r="A34020" s="20"/>
    </row>
    <row r="34021" spans="1:1" x14ac:dyDescent="0.3">
      <c r="A34021" s="20"/>
    </row>
    <row r="34022" spans="1:1" x14ac:dyDescent="0.3">
      <c r="A34022" s="20"/>
    </row>
    <row r="34023" spans="1:1" x14ac:dyDescent="0.3">
      <c r="A34023" s="20"/>
    </row>
    <row r="34024" spans="1:1" x14ac:dyDescent="0.3">
      <c r="A34024" s="20"/>
    </row>
    <row r="34025" spans="1:1" x14ac:dyDescent="0.3">
      <c r="A34025" s="20"/>
    </row>
    <row r="34026" spans="1:1" x14ac:dyDescent="0.3">
      <c r="A34026" s="20"/>
    </row>
    <row r="34027" spans="1:1" x14ac:dyDescent="0.3">
      <c r="A34027" s="20"/>
    </row>
    <row r="34028" spans="1:1" x14ac:dyDescent="0.3">
      <c r="A34028" s="20"/>
    </row>
    <row r="34029" spans="1:1" x14ac:dyDescent="0.3">
      <c r="A34029" s="20"/>
    </row>
    <row r="34030" spans="1:1" x14ac:dyDescent="0.3">
      <c r="A34030" s="20"/>
    </row>
    <row r="34031" spans="1:1" x14ac:dyDescent="0.3">
      <c r="A34031" s="20"/>
    </row>
    <row r="34032" spans="1:1" x14ac:dyDescent="0.3">
      <c r="A34032" s="20"/>
    </row>
    <row r="34033" spans="1:1" x14ac:dyDescent="0.3">
      <c r="A34033" s="20"/>
    </row>
    <row r="34034" spans="1:1" x14ac:dyDescent="0.3">
      <c r="A34034" s="20"/>
    </row>
    <row r="34035" spans="1:1" x14ac:dyDescent="0.3">
      <c r="A34035" s="20"/>
    </row>
    <row r="34036" spans="1:1" x14ac:dyDescent="0.3">
      <c r="A34036" s="20"/>
    </row>
    <row r="34037" spans="1:1" x14ac:dyDescent="0.3">
      <c r="A34037" s="20"/>
    </row>
    <row r="34038" spans="1:1" x14ac:dyDescent="0.3">
      <c r="A34038" s="20"/>
    </row>
    <row r="34039" spans="1:1" x14ac:dyDescent="0.3">
      <c r="A34039" s="20"/>
    </row>
    <row r="34040" spans="1:1" x14ac:dyDescent="0.3">
      <c r="A34040" s="20"/>
    </row>
    <row r="34041" spans="1:1" x14ac:dyDescent="0.3">
      <c r="A34041" s="20"/>
    </row>
    <row r="34042" spans="1:1" x14ac:dyDescent="0.3">
      <c r="A34042" s="20"/>
    </row>
    <row r="34043" spans="1:1" x14ac:dyDescent="0.3">
      <c r="A34043" s="20"/>
    </row>
    <row r="34044" spans="1:1" x14ac:dyDescent="0.3">
      <c r="A34044" s="20"/>
    </row>
    <row r="34045" spans="1:1" x14ac:dyDescent="0.3">
      <c r="A34045" s="20"/>
    </row>
    <row r="34046" spans="1:1" x14ac:dyDescent="0.3">
      <c r="A34046" s="20"/>
    </row>
    <row r="34047" spans="1:1" x14ac:dyDescent="0.3">
      <c r="A34047" s="20"/>
    </row>
    <row r="34048" spans="1:1" x14ac:dyDescent="0.3">
      <c r="A34048" s="20"/>
    </row>
    <row r="34049" spans="1:1" x14ac:dyDescent="0.3">
      <c r="A34049" s="20"/>
    </row>
    <row r="34050" spans="1:1" x14ac:dyDescent="0.3">
      <c r="A34050" s="20"/>
    </row>
    <row r="34051" spans="1:1" x14ac:dyDescent="0.3">
      <c r="A34051" s="20"/>
    </row>
    <row r="34052" spans="1:1" x14ac:dyDescent="0.3">
      <c r="A34052" s="20"/>
    </row>
    <row r="34053" spans="1:1" x14ac:dyDescent="0.3">
      <c r="A34053" s="20"/>
    </row>
    <row r="34054" spans="1:1" x14ac:dyDescent="0.3">
      <c r="A34054" s="20"/>
    </row>
    <row r="34055" spans="1:1" x14ac:dyDescent="0.3">
      <c r="A34055" s="20"/>
    </row>
    <row r="34056" spans="1:1" x14ac:dyDescent="0.3">
      <c r="A34056" s="20"/>
    </row>
    <row r="34057" spans="1:1" x14ac:dyDescent="0.3">
      <c r="A34057" s="20"/>
    </row>
    <row r="34058" spans="1:1" x14ac:dyDescent="0.3">
      <c r="A34058" s="20"/>
    </row>
    <row r="34059" spans="1:1" x14ac:dyDescent="0.3">
      <c r="A34059" s="20"/>
    </row>
    <row r="34060" spans="1:1" x14ac:dyDescent="0.3">
      <c r="A34060" s="20"/>
    </row>
    <row r="34061" spans="1:1" x14ac:dyDescent="0.3">
      <c r="A34061" s="20"/>
    </row>
    <row r="34062" spans="1:1" x14ac:dyDescent="0.3">
      <c r="A34062" s="20"/>
    </row>
    <row r="34063" spans="1:1" x14ac:dyDescent="0.3">
      <c r="A34063" s="20"/>
    </row>
    <row r="34064" spans="1:1" x14ac:dyDescent="0.3">
      <c r="A34064" s="20"/>
    </row>
    <row r="34065" spans="1:1" x14ac:dyDescent="0.3">
      <c r="A34065" s="20"/>
    </row>
    <row r="34066" spans="1:1" x14ac:dyDescent="0.3">
      <c r="A34066" s="20"/>
    </row>
    <row r="34067" spans="1:1" x14ac:dyDescent="0.3">
      <c r="A34067" s="20"/>
    </row>
    <row r="34068" spans="1:1" x14ac:dyDescent="0.3">
      <c r="A34068" s="20"/>
    </row>
    <row r="34069" spans="1:1" x14ac:dyDescent="0.3">
      <c r="A34069" s="20"/>
    </row>
    <row r="34070" spans="1:1" x14ac:dyDescent="0.3">
      <c r="A34070" s="20"/>
    </row>
    <row r="34071" spans="1:1" x14ac:dyDescent="0.3">
      <c r="A34071" s="20"/>
    </row>
    <row r="34072" spans="1:1" x14ac:dyDescent="0.3">
      <c r="A34072" s="20"/>
    </row>
    <row r="34073" spans="1:1" x14ac:dyDescent="0.3">
      <c r="A34073" s="20"/>
    </row>
    <row r="34074" spans="1:1" x14ac:dyDescent="0.3">
      <c r="A34074" s="20"/>
    </row>
    <row r="34075" spans="1:1" x14ac:dyDescent="0.3">
      <c r="A34075" s="20"/>
    </row>
    <row r="34076" spans="1:1" x14ac:dyDescent="0.3">
      <c r="A34076" s="20"/>
    </row>
    <row r="34077" spans="1:1" x14ac:dyDescent="0.3">
      <c r="A34077" s="20"/>
    </row>
    <row r="34078" spans="1:1" x14ac:dyDescent="0.3">
      <c r="A34078" s="20"/>
    </row>
    <row r="34079" spans="1:1" x14ac:dyDescent="0.3">
      <c r="A34079" s="20"/>
    </row>
    <row r="34080" spans="1:1" x14ac:dyDescent="0.3">
      <c r="A34080" s="20"/>
    </row>
    <row r="34081" spans="1:1" x14ac:dyDescent="0.3">
      <c r="A34081" s="20"/>
    </row>
    <row r="34082" spans="1:1" x14ac:dyDescent="0.3">
      <c r="A34082" s="20"/>
    </row>
    <row r="34083" spans="1:1" x14ac:dyDescent="0.3">
      <c r="A34083" s="20"/>
    </row>
    <row r="34084" spans="1:1" x14ac:dyDescent="0.3">
      <c r="A34084" s="20"/>
    </row>
    <row r="34085" spans="1:1" x14ac:dyDescent="0.3">
      <c r="A34085" s="20"/>
    </row>
    <row r="34086" spans="1:1" x14ac:dyDescent="0.3">
      <c r="A34086" s="20"/>
    </row>
    <row r="34087" spans="1:1" x14ac:dyDescent="0.3">
      <c r="A34087" s="20"/>
    </row>
    <row r="34088" spans="1:1" x14ac:dyDescent="0.3">
      <c r="A34088" s="20"/>
    </row>
    <row r="34089" spans="1:1" x14ac:dyDescent="0.3">
      <c r="A34089" s="20"/>
    </row>
    <row r="34090" spans="1:1" x14ac:dyDescent="0.3">
      <c r="A34090" s="20"/>
    </row>
    <row r="34091" spans="1:1" x14ac:dyDescent="0.3">
      <c r="A34091" s="20"/>
    </row>
    <row r="34092" spans="1:1" x14ac:dyDescent="0.3">
      <c r="A34092" s="20"/>
    </row>
    <row r="34093" spans="1:1" x14ac:dyDescent="0.3">
      <c r="A34093" s="20"/>
    </row>
    <row r="34094" spans="1:1" x14ac:dyDescent="0.3">
      <c r="A34094" s="20"/>
    </row>
    <row r="34095" spans="1:1" x14ac:dyDescent="0.3">
      <c r="A34095" s="20"/>
    </row>
    <row r="34096" spans="1:1" x14ac:dyDescent="0.3">
      <c r="A34096" s="20"/>
    </row>
    <row r="34097" spans="1:1" x14ac:dyDescent="0.3">
      <c r="A34097" s="20"/>
    </row>
    <row r="34098" spans="1:1" x14ac:dyDescent="0.3">
      <c r="A34098" s="20"/>
    </row>
    <row r="34099" spans="1:1" x14ac:dyDescent="0.3">
      <c r="A34099" s="20"/>
    </row>
    <row r="34100" spans="1:1" x14ac:dyDescent="0.3">
      <c r="A34100" s="20"/>
    </row>
    <row r="34101" spans="1:1" x14ac:dyDescent="0.3">
      <c r="A34101" s="20"/>
    </row>
    <row r="34102" spans="1:1" x14ac:dyDescent="0.3">
      <c r="A34102" s="20"/>
    </row>
    <row r="34103" spans="1:1" x14ac:dyDescent="0.3">
      <c r="A34103" s="20"/>
    </row>
    <row r="34104" spans="1:1" x14ac:dyDescent="0.3">
      <c r="A34104" s="20"/>
    </row>
    <row r="34105" spans="1:1" x14ac:dyDescent="0.3">
      <c r="A34105" s="20"/>
    </row>
    <row r="34106" spans="1:1" x14ac:dyDescent="0.3">
      <c r="A34106" s="20"/>
    </row>
    <row r="34107" spans="1:1" x14ac:dyDescent="0.3">
      <c r="A34107" s="20"/>
    </row>
    <row r="34108" spans="1:1" x14ac:dyDescent="0.3">
      <c r="A34108" s="20"/>
    </row>
    <row r="34109" spans="1:1" x14ac:dyDescent="0.3">
      <c r="A34109" s="20"/>
    </row>
    <row r="34110" spans="1:1" x14ac:dyDescent="0.3">
      <c r="A34110" s="20"/>
    </row>
    <row r="34111" spans="1:1" x14ac:dyDescent="0.3">
      <c r="A34111" s="20"/>
    </row>
    <row r="34112" spans="1:1" x14ac:dyDescent="0.3">
      <c r="A34112" s="20"/>
    </row>
    <row r="34113" spans="1:1" x14ac:dyDescent="0.3">
      <c r="A34113" s="20"/>
    </row>
    <row r="34114" spans="1:1" x14ac:dyDescent="0.3">
      <c r="A34114" s="20"/>
    </row>
    <row r="34115" spans="1:1" x14ac:dyDescent="0.3">
      <c r="A34115" s="20"/>
    </row>
    <row r="34116" spans="1:1" x14ac:dyDescent="0.3">
      <c r="A34116" s="20"/>
    </row>
    <row r="34117" spans="1:1" x14ac:dyDescent="0.3">
      <c r="A34117" s="20"/>
    </row>
    <row r="34118" spans="1:1" x14ac:dyDescent="0.3">
      <c r="A34118" s="20"/>
    </row>
    <row r="34119" spans="1:1" x14ac:dyDescent="0.3">
      <c r="A34119" s="20"/>
    </row>
    <row r="34120" spans="1:1" x14ac:dyDescent="0.3">
      <c r="A34120" s="20"/>
    </row>
    <row r="34121" spans="1:1" x14ac:dyDescent="0.3">
      <c r="A34121" s="20"/>
    </row>
    <row r="34122" spans="1:1" x14ac:dyDescent="0.3">
      <c r="A34122" s="20"/>
    </row>
    <row r="34123" spans="1:1" x14ac:dyDescent="0.3">
      <c r="A34123" s="20"/>
    </row>
    <row r="34124" spans="1:1" x14ac:dyDescent="0.3">
      <c r="A34124" s="20"/>
    </row>
    <row r="34125" spans="1:1" x14ac:dyDescent="0.3">
      <c r="A34125" s="20"/>
    </row>
    <row r="34126" spans="1:1" x14ac:dyDescent="0.3">
      <c r="A34126" s="20"/>
    </row>
    <row r="34127" spans="1:1" x14ac:dyDescent="0.3">
      <c r="A34127" s="20"/>
    </row>
    <row r="34128" spans="1:1" x14ac:dyDescent="0.3">
      <c r="A34128" s="20"/>
    </row>
    <row r="34129" spans="1:1" x14ac:dyDescent="0.3">
      <c r="A34129" s="20"/>
    </row>
    <row r="34130" spans="1:1" x14ac:dyDescent="0.3">
      <c r="A34130" s="20"/>
    </row>
    <row r="34131" spans="1:1" x14ac:dyDescent="0.3">
      <c r="A34131" s="20"/>
    </row>
    <row r="34132" spans="1:1" x14ac:dyDescent="0.3">
      <c r="A34132" s="20"/>
    </row>
    <row r="34133" spans="1:1" x14ac:dyDescent="0.3">
      <c r="A34133" s="20"/>
    </row>
    <row r="34134" spans="1:1" x14ac:dyDescent="0.3">
      <c r="A34134" s="20"/>
    </row>
    <row r="34135" spans="1:1" x14ac:dyDescent="0.3">
      <c r="A34135" s="20"/>
    </row>
    <row r="34136" spans="1:1" x14ac:dyDescent="0.3">
      <c r="A34136" s="20"/>
    </row>
    <row r="34137" spans="1:1" x14ac:dyDescent="0.3">
      <c r="A34137" s="20"/>
    </row>
    <row r="34138" spans="1:1" x14ac:dyDescent="0.3">
      <c r="A34138" s="20"/>
    </row>
    <row r="34139" spans="1:1" x14ac:dyDescent="0.3">
      <c r="A34139" s="20"/>
    </row>
    <row r="34140" spans="1:1" x14ac:dyDescent="0.3">
      <c r="A34140" s="20"/>
    </row>
    <row r="34141" spans="1:1" x14ac:dyDescent="0.3">
      <c r="A34141" s="20"/>
    </row>
    <row r="34142" spans="1:1" x14ac:dyDescent="0.3">
      <c r="A34142" s="20"/>
    </row>
    <row r="34143" spans="1:1" x14ac:dyDescent="0.3">
      <c r="A34143" s="20"/>
    </row>
    <row r="34144" spans="1:1" x14ac:dyDescent="0.3">
      <c r="A34144" s="20"/>
    </row>
    <row r="34145" spans="1:1" x14ac:dyDescent="0.3">
      <c r="A34145" s="20"/>
    </row>
    <row r="34146" spans="1:1" x14ac:dyDescent="0.3">
      <c r="A34146" s="20"/>
    </row>
    <row r="34147" spans="1:1" x14ac:dyDescent="0.3">
      <c r="A34147" s="20"/>
    </row>
    <row r="34148" spans="1:1" x14ac:dyDescent="0.3">
      <c r="A34148" s="20"/>
    </row>
    <row r="34149" spans="1:1" x14ac:dyDescent="0.3">
      <c r="A34149" s="20"/>
    </row>
    <row r="34150" spans="1:1" x14ac:dyDescent="0.3">
      <c r="A34150" s="20"/>
    </row>
    <row r="34151" spans="1:1" x14ac:dyDescent="0.3">
      <c r="A34151" s="20"/>
    </row>
    <row r="34152" spans="1:1" x14ac:dyDescent="0.3">
      <c r="A34152" s="20"/>
    </row>
    <row r="34153" spans="1:1" x14ac:dyDescent="0.3">
      <c r="A34153" s="20"/>
    </row>
    <row r="34154" spans="1:1" x14ac:dyDescent="0.3">
      <c r="A34154" s="20"/>
    </row>
    <row r="34155" spans="1:1" x14ac:dyDescent="0.3">
      <c r="A34155" s="20"/>
    </row>
    <row r="34156" spans="1:1" x14ac:dyDescent="0.3">
      <c r="A34156" s="20"/>
    </row>
    <row r="34157" spans="1:1" x14ac:dyDescent="0.3">
      <c r="A34157" s="20"/>
    </row>
    <row r="34158" spans="1:1" x14ac:dyDescent="0.3">
      <c r="A34158" s="20"/>
    </row>
    <row r="34159" spans="1:1" x14ac:dyDescent="0.3">
      <c r="A34159" s="20"/>
    </row>
    <row r="34160" spans="1:1" x14ac:dyDescent="0.3">
      <c r="A34160" s="20"/>
    </row>
    <row r="34161" spans="1:1" x14ac:dyDescent="0.3">
      <c r="A34161" s="20"/>
    </row>
    <row r="34162" spans="1:1" x14ac:dyDescent="0.3">
      <c r="A34162" s="20"/>
    </row>
    <row r="34163" spans="1:1" x14ac:dyDescent="0.3">
      <c r="A34163" s="20"/>
    </row>
    <row r="34164" spans="1:1" x14ac:dyDescent="0.3">
      <c r="A34164" s="20"/>
    </row>
    <row r="34165" spans="1:1" x14ac:dyDescent="0.3">
      <c r="A34165" s="20"/>
    </row>
    <row r="34166" spans="1:1" x14ac:dyDescent="0.3">
      <c r="A34166" s="20"/>
    </row>
    <row r="34167" spans="1:1" x14ac:dyDescent="0.3">
      <c r="A34167" s="20"/>
    </row>
    <row r="34168" spans="1:1" x14ac:dyDescent="0.3">
      <c r="A34168" s="20"/>
    </row>
    <row r="34169" spans="1:1" x14ac:dyDescent="0.3">
      <c r="A34169" s="20"/>
    </row>
    <row r="34170" spans="1:1" x14ac:dyDescent="0.3">
      <c r="A34170" s="20"/>
    </row>
    <row r="34171" spans="1:1" x14ac:dyDescent="0.3">
      <c r="A34171" s="20"/>
    </row>
    <row r="34172" spans="1:1" x14ac:dyDescent="0.3">
      <c r="A34172" s="20"/>
    </row>
    <row r="34173" spans="1:1" x14ac:dyDescent="0.3">
      <c r="A34173" s="20"/>
    </row>
    <row r="34174" spans="1:1" x14ac:dyDescent="0.3">
      <c r="A34174" s="20"/>
    </row>
    <row r="34175" spans="1:1" x14ac:dyDescent="0.3">
      <c r="A34175" s="20"/>
    </row>
    <row r="34176" spans="1:1" x14ac:dyDescent="0.3">
      <c r="A34176" s="20"/>
    </row>
    <row r="34177" spans="1:1" x14ac:dyDescent="0.3">
      <c r="A34177" s="20"/>
    </row>
    <row r="34178" spans="1:1" x14ac:dyDescent="0.3">
      <c r="A34178" s="20"/>
    </row>
    <row r="34179" spans="1:1" x14ac:dyDescent="0.3">
      <c r="A34179" s="20"/>
    </row>
    <row r="34180" spans="1:1" x14ac:dyDescent="0.3">
      <c r="A34180" s="20"/>
    </row>
    <row r="34181" spans="1:1" x14ac:dyDescent="0.3">
      <c r="A34181" s="20"/>
    </row>
    <row r="34182" spans="1:1" x14ac:dyDescent="0.3">
      <c r="A34182" s="20"/>
    </row>
    <row r="34183" spans="1:1" x14ac:dyDescent="0.3">
      <c r="A34183" s="20"/>
    </row>
    <row r="34184" spans="1:1" x14ac:dyDescent="0.3">
      <c r="A34184" s="20"/>
    </row>
    <row r="34185" spans="1:1" x14ac:dyDescent="0.3">
      <c r="A34185" s="20"/>
    </row>
    <row r="34186" spans="1:1" x14ac:dyDescent="0.3">
      <c r="A34186" s="20"/>
    </row>
    <row r="34187" spans="1:1" x14ac:dyDescent="0.3">
      <c r="A34187" s="20"/>
    </row>
    <row r="34188" spans="1:1" x14ac:dyDescent="0.3">
      <c r="A34188" s="20"/>
    </row>
    <row r="34189" spans="1:1" x14ac:dyDescent="0.3">
      <c r="A34189" s="20"/>
    </row>
    <row r="34190" spans="1:1" x14ac:dyDescent="0.3">
      <c r="A34190" s="20"/>
    </row>
    <row r="34191" spans="1:1" x14ac:dyDescent="0.3">
      <c r="A34191" s="20"/>
    </row>
    <row r="34192" spans="1:1" x14ac:dyDescent="0.3">
      <c r="A34192" s="20"/>
    </row>
    <row r="34193" spans="1:1" x14ac:dyDescent="0.3">
      <c r="A34193" s="20"/>
    </row>
    <row r="34194" spans="1:1" x14ac:dyDescent="0.3">
      <c r="A34194" s="20"/>
    </row>
    <row r="34195" spans="1:1" x14ac:dyDescent="0.3">
      <c r="A34195" s="20"/>
    </row>
    <row r="34196" spans="1:1" x14ac:dyDescent="0.3">
      <c r="A34196" s="20"/>
    </row>
    <row r="34197" spans="1:1" x14ac:dyDescent="0.3">
      <c r="A34197" s="20"/>
    </row>
    <row r="34198" spans="1:1" x14ac:dyDescent="0.3">
      <c r="A34198" s="20"/>
    </row>
    <row r="34199" spans="1:1" x14ac:dyDescent="0.3">
      <c r="A34199" s="20"/>
    </row>
    <row r="34200" spans="1:1" x14ac:dyDescent="0.3">
      <c r="A34200" s="20"/>
    </row>
    <row r="34201" spans="1:1" x14ac:dyDescent="0.3">
      <c r="A34201" s="20"/>
    </row>
    <row r="34202" spans="1:1" x14ac:dyDescent="0.3">
      <c r="A34202" s="20"/>
    </row>
    <row r="34203" spans="1:1" x14ac:dyDescent="0.3">
      <c r="A34203" s="20"/>
    </row>
    <row r="34204" spans="1:1" x14ac:dyDescent="0.3">
      <c r="A34204" s="20"/>
    </row>
    <row r="34205" spans="1:1" x14ac:dyDescent="0.3">
      <c r="A34205" s="20"/>
    </row>
    <row r="34206" spans="1:1" x14ac:dyDescent="0.3">
      <c r="A34206" s="20"/>
    </row>
    <row r="34207" spans="1:1" x14ac:dyDescent="0.3">
      <c r="A34207" s="20"/>
    </row>
    <row r="34208" spans="1:1" x14ac:dyDescent="0.3">
      <c r="A34208" s="20"/>
    </row>
    <row r="34209" spans="1:1" x14ac:dyDescent="0.3">
      <c r="A34209" s="20"/>
    </row>
    <row r="34210" spans="1:1" x14ac:dyDescent="0.3">
      <c r="A34210" s="20"/>
    </row>
    <row r="34211" spans="1:1" x14ac:dyDescent="0.3">
      <c r="A34211" s="20"/>
    </row>
    <row r="34212" spans="1:1" x14ac:dyDescent="0.3">
      <c r="A34212" s="20"/>
    </row>
    <row r="34213" spans="1:1" x14ac:dyDescent="0.3">
      <c r="A34213" s="20"/>
    </row>
    <row r="34214" spans="1:1" x14ac:dyDescent="0.3">
      <c r="A34214" s="20"/>
    </row>
    <row r="34215" spans="1:1" x14ac:dyDescent="0.3">
      <c r="A34215" s="20"/>
    </row>
    <row r="34216" spans="1:1" x14ac:dyDescent="0.3">
      <c r="A34216" s="20"/>
    </row>
    <row r="34217" spans="1:1" x14ac:dyDescent="0.3">
      <c r="A34217" s="20"/>
    </row>
    <row r="34218" spans="1:1" x14ac:dyDescent="0.3">
      <c r="A34218" s="20"/>
    </row>
    <row r="34219" spans="1:1" x14ac:dyDescent="0.3">
      <c r="A34219" s="20"/>
    </row>
    <row r="34220" spans="1:1" x14ac:dyDescent="0.3">
      <c r="A34220" s="20"/>
    </row>
    <row r="34221" spans="1:1" x14ac:dyDescent="0.3">
      <c r="A34221" s="20"/>
    </row>
    <row r="34222" spans="1:1" x14ac:dyDescent="0.3">
      <c r="A34222" s="20"/>
    </row>
    <row r="34223" spans="1:1" x14ac:dyDescent="0.3">
      <c r="A34223" s="20"/>
    </row>
    <row r="34224" spans="1:1" x14ac:dyDescent="0.3">
      <c r="A34224" s="20"/>
    </row>
    <row r="34225" spans="1:1" x14ac:dyDescent="0.3">
      <c r="A34225" s="20"/>
    </row>
    <row r="34226" spans="1:1" x14ac:dyDescent="0.3">
      <c r="A34226" s="20"/>
    </row>
    <row r="34227" spans="1:1" x14ac:dyDescent="0.3">
      <c r="A34227" s="20"/>
    </row>
    <row r="34228" spans="1:1" x14ac:dyDescent="0.3">
      <c r="A34228" s="20"/>
    </row>
    <row r="34229" spans="1:1" x14ac:dyDescent="0.3">
      <c r="A34229" s="20"/>
    </row>
    <row r="34230" spans="1:1" x14ac:dyDescent="0.3">
      <c r="A34230" s="20"/>
    </row>
    <row r="34231" spans="1:1" x14ac:dyDescent="0.3">
      <c r="A34231" s="20"/>
    </row>
    <row r="34232" spans="1:1" x14ac:dyDescent="0.3">
      <c r="A34232" s="20"/>
    </row>
    <row r="34233" spans="1:1" x14ac:dyDescent="0.3">
      <c r="A34233" s="20"/>
    </row>
    <row r="34234" spans="1:1" x14ac:dyDescent="0.3">
      <c r="A34234" s="20"/>
    </row>
    <row r="34235" spans="1:1" x14ac:dyDescent="0.3">
      <c r="A34235" s="20"/>
    </row>
    <row r="34236" spans="1:1" x14ac:dyDescent="0.3">
      <c r="A34236" s="20"/>
    </row>
    <row r="34237" spans="1:1" x14ac:dyDescent="0.3">
      <c r="A34237" s="20"/>
    </row>
    <row r="34238" spans="1:1" x14ac:dyDescent="0.3">
      <c r="A34238" s="20"/>
    </row>
    <row r="34239" spans="1:1" x14ac:dyDescent="0.3">
      <c r="A34239" s="20"/>
    </row>
    <row r="34240" spans="1:1" x14ac:dyDescent="0.3">
      <c r="A34240" s="20"/>
    </row>
    <row r="34241" spans="1:1" x14ac:dyDescent="0.3">
      <c r="A34241" s="20"/>
    </row>
    <row r="34242" spans="1:1" x14ac:dyDescent="0.3">
      <c r="A34242" s="20"/>
    </row>
    <row r="34243" spans="1:1" x14ac:dyDescent="0.3">
      <c r="A34243" s="20"/>
    </row>
    <row r="34244" spans="1:1" x14ac:dyDescent="0.3">
      <c r="A34244" s="20"/>
    </row>
    <row r="34245" spans="1:1" x14ac:dyDescent="0.3">
      <c r="A34245" s="20"/>
    </row>
    <row r="34246" spans="1:1" x14ac:dyDescent="0.3">
      <c r="A34246" s="20"/>
    </row>
    <row r="34247" spans="1:1" x14ac:dyDescent="0.3">
      <c r="A34247" s="20"/>
    </row>
    <row r="34248" spans="1:1" x14ac:dyDescent="0.3">
      <c r="A34248" s="20"/>
    </row>
    <row r="34249" spans="1:1" x14ac:dyDescent="0.3">
      <c r="A34249" s="20"/>
    </row>
    <row r="34250" spans="1:1" x14ac:dyDescent="0.3">
      <c r="A34250" s="20"/>
    </row>
    <row r="34251" spans="1:1" x14ac:dyDescent="0.3">
      <c r="A34251" s="20"/>
    </row>
    <row r="34252" spans="1:1" x14ac:dyDescent="0.3">
      <c r="A34252" s="20"/>
    </row>
    <row r="34253" spans="1:1" x14ac:dyDescent="0.3">
      <c r="A34253" s="20"/>
    </row>
    <row r="34254" spans="1:1" x14ac:dyDescent="0.3">
      <c r="A34254" s="20"/>
    </row>
    <row r="34255" spans="1:1" x14ac:dyDescent="0.3">
      <c r="A34255" s="20"/>
    </row>
    <row r="34256" spans="1:1" x14ac:dyDescent="0.3">
      <c r="A34256" s="20"/>
    </row>
    <row r="34257" spans="1:1" x14ac:dyDescent="0.3">
      <c r="A34257" s="20"/>
    </row>
    <row r="34258" spans="1:1" x14ac:dyDescent="0.3">
      <c r="A34258" s="20"/>
    </row>
    <row r="34259" spans="1:1" x14ac:dyDescent="0.3">
      <c r="A34259" s="20"/>
    </row>
    <row r="34260" spans="1:1" x14ac:dyDescent="0.3">
      <c r="A34260" s="20"/>
    </row>
    <row r="34261" spans="1:1" x14ac:dyDescent="0.3">
      <c r="A34261" s="20"/>
    </row>
    <row r="34262" spans="1:1" x14ac:dyDescent="0.3">
      <c r="A34262" s="20"/>
    </row>
    <row r="34263" spans="1:1" x14ac:dyDescent="0.3">
      <c r="A34263" s="20"/>
    </row>
    <row r="34264" spans="1:1" x14ac:dyDescent="0.3">
      <c r="A34264" s="20"/>
    </row>
    <row r="34265" spans="1:1" x14ac:dyDescent="0.3">
      <c r="A34265" s="20"/>
    </row>
    <row r="34266" spans="1:1" x14ac:dyDescent="0.3">
      <c r="A34266" s="20"/>
    </row>
    <row r="34267" spans="1:1" x14ac:dyDescent="0.3">
      <c r="A34267" s="20"/>
    </row>
    <row r="34268" spans="1:1" x14ac:dyDescent="0.3">
      <c r="A34268" s="20"/>
    </row>
    <row r="34269" spans="1:1" x14ac:dyDescent="0.3">
      <c r="A34269" s="20"/>
    </row>
    <row r="34270" spans="1:1" x14ac:dyDescent="0.3">
      <c r="A34270" s="20"/>
    </row>
    <row r="34271" spans="1:1" x14ac:dyDescent="0.3">
      <c r="A34271" s="20"/>
    </row>
    <row r="34272" spans="1:1" x14ac:dyDescent="0.3">
      <c r="A34272" s="20"/>
    </row>
    <row r="34273" spans="1:1" x14ac:dyDescent="0.3">
      <c r="A34273" s="20"/>
    </row>
    <row r="34274" spans="1:1" x14ac:dyDescent="0.3">
      <c r="A34274" s="20"/>
    </row>
    <row r="34275" spans="1:1" x14ac:dyDescent="0.3">
      <c r="A34275" s="20"/>
    </row>
    <row r="34276" spans="1:1" x14ac:dyDescent="0.3">
      <c r="A34276" s="20"/>
    </row>
    <row r="34277" spans="1:1" x14ac:dyDescent="0.3">
      <c r="A34277" s="20"/>
    </row>
    <row r="34278" spans="1:1" x14ac:dyDescent="0.3">
      <c r="A34278" s="20"/>
    </row>
    <row r="34279" spans="1:1" x14ac:dyDescent="0.3">
      <c r="A34279" s="20"/>
    </row>
    <row r="34280" spans="1:1" x14ac:dyDescent="0.3">
      <c r="A34280" s="20"/>
    </row>
    <row r="34281" spans="1:1" x14ac:dyDescent="0.3">
      <c r="A34281" s="20"/>
    </row>
    <row r="34282" spans="1:1" x14ac:dyDescent="0.3">
      <c r="A34282" s="20"/>
    </row>
    <row r="34283" spans="1:1" x14ac:dyDescent="0.3">
      <c r="A34283" s="20"/>
    </row>
    <row r="34284" spans="1:1" x14ac:dyDescent="0.3">
      <c r="A34284" s="20"/>
    </row>
    <row r="34285" spans="1:1" x14ac:dyDescent="0.3">
      <c r="A34285" s="20"/>
    </row>
    <row r="34286" spans="1:1" x14ac:dyDescent="0.3">
      <c r="A34286" s="20"/>
    </row>
    <row r="34287" spans="1:1" x14ac:dyDescent="0.3">
      <c r="A34287" s="20"/>
    </row>
    <row r="34288" spans="1:1" x14ac:dyDescent="0.3">
      <c r="A34288" s="20"/>
    </row>
    <row r="34289" spans="1:1" x14ac:dyDescent="0.3">
      <c r="A34289" s="20"/>
    </row>
    <row r="34290" spans="1:1" x14ac:dyDescent="0.3">
      <c r="A34290" s="20"/>
    </row>
    <row r="34291" spans="1:1" x14ac:dyDescent="0.3">
      <c r="A34291" s="20"/>
    </row>
    <row r="34292" spans="1:1" x14ac:dyDescent="0.3">
      <c r="A34292" s="20"/>
    </row>
    <row r="34293" spans="1:1" x14ac:dyDescent="0.3">
      <c r="A34293" s="20"/>
    </row>
    <row r="34294" spans="1:1" x14ac:dyDescent="0.3">
      <c r="A34294" s="20"/>
    </row>
    <row r="34295" spans="1:1" x14ac:dyDescent="0.3">
      <c r="A34295" s="20"/>
    </row>
    <row r="34296" spans="1:1" x14ac:dyDescent="0.3">
      <c r="A34296" s="20"/>
    </row>
    <row r="34297" spans="1:1" x14ac:dyDescent="0.3">
      <c r="A34297" s="20"/>
    </row>
    <row r="34298" spans="1:1" x14ac:dyDescent="0.3">
      <c r="A34298" s="20"/>
    </row>
    <row r="34299" spans="1:1" x14ac:dyDescent="0.3">
      <c r="A34299" s="20"/>
    </row>
    <row r="34300" spans="1:1" x14ac:dyDescent="0.3">
      <c r="A34300" s="20"/>
    </row>
    <row r="34301" spans="1:1" x14ac:dyDescent="0.3">
      <c r="A34301" s="20"/>
    </row>
    <row r="34302" spans="1:1" x14ac:dyDescent="0.3">
      <c r="A34302" s="20"/>
    </row>
    <row r="34303" spans="1:1" x14ac:dyDescent="0.3">
      <c r="A34303" s="20"/>
    </row>
    <row r="34304" spans="1:1" x14ac:dyDescent="0.3">
      <c r="A34304" s="20"/>
    </row>
    <row r="34305" spans="1:1" x14ac:dyDescent="0.3">
      <c r="A34305" s="20"/>
    </row>
    <row r="34306" spans="1:1" x14ac:dyDescent="0.3">
      <c r="A34306" s="20"/>
    </row>
    <row r="34307" spans="1:1" x14ac:dyDescent="0.3">
      <c r="A34307" s="20"/>
    </row>
    <row r="34308" spans="1:1" x14ac:dyDescent="0.3">
      <c r="A34308" s="20"/>
    </row>
    <row r="34309" spans="1:1" x14ac:dyDescent="0.3">
      <c r="A34309" s="20"/>
    </row>
    <row r="34310" spans="1:1" x14ac:dyDescent="0.3">
      <c r="A34310" s="20"/>
    </row>
    <row r="34311" spans="1:1" x14ac:dyDescent="0.3">
      <c r="A34311" s="20"/>
    </row>
    <row r="34312" spans="1:1" x14ac:dyDescent="0.3">
      <c r="A34312" s="20"/>
    </row>
    <row r="34313" spans="1:1" x14ac:dyDescent="0.3">
      <c r="A34313" s="20"/>
    </row>
    <row r="34314" spans="1:1" x14ac:dyDescent="0.3">
      <c r="A34314" s="20"/>
    </row>
    <row r="34315" spans="1:1" x14ac:dyDescent="0.3">
      <c r="A34315" s="20"/>
    </row>
    <row r="34316" spans="1:1" x14ac:dyDescent="0.3">
      <c r="A34316" s="20"/>
    </row>
    <row r="34317" spans="1:1" x14ac:dyDescent="0.3">
      <c r="A34317" s="20"/>
    </row>
    <row r="34318" spans="1:1" x14ac:dyDescent="0.3">
      <c r="A34318" s="20"/>
    </row>
    <row r="34319" spans="1:1" x14ac:dyDescent="0.3">
      <c r="A34319" s="20"/>
    </row>
    <row r="34320" spans="1:1" x14ac:dyDescent="0.3">
      <c r="A34320" s="20"/>
    </row>
    <row r="34321" spans="1:1" x14ac:dyDescent="0.3">
      <c r="A34321" s="20"/>
    </row>
    <row r="34322" spans="1:1" x14ac:dyDescent="0.3">
      <c r="A34322" s="20"/>
    </row>
    <row r="34323" spans="1:1" x14ac:dyDescent="0.3">
      <c r="A34323" s="20"/>
    </row>
    <row r="34324" spans="1:1" x14ac:dyDescent="0.3">
      <c r="A34324" s="20"/>
    </row>
    <row r="34325" spans="1:1" x14ac:dyDescent="0.3">
      <c r="A34325" s="20"/>
    </row>
    <row r="34326" spans="1:1" x14ac:dyDescent="0.3">
      <c r="A34326" s="20"/>
    </row>
    <row r="34327" spans="1:1" x14ac:dyDescent="0.3">
      <c r="A34327" s="20"/>
    </row>
    <row r="34328" spans="1:1" x14ac:dyDescent="0.3">
      <c r="A34328" s="20"/>
    </row>
    <row r="34329" spans="1:1" x14ac:dyDescent="0.3">
      <c r="A34329" s="20"/>
    </row>
    <row r="34330" spans="1:1" x14ac:dyDescent="0.3">
      <c r="A34330" s="20"/>
    </row>
    <row r="34331" spans="1:1" x14ac:dyDescent="0.3">
      <c r="A34331" s="20"/>
    </row>
    <row r="34332" spans="1:1" x14ac:dyDescent="0.3">
      <c r="A34332" s="20"/>
    </row>
    <row r="34333" spans="1:1" x14ac:dyDescent="0.3">
      <c r="A34333" s="20"/>
    </row>
    <row r="34334" spans="1:1" x14ac:dyDescent="0.3">
      <c r="A34334" s="20"/>
    </row>
    <row r="34335" spans="1:1" x14ac:dyDescent="0.3">
      <c r="A34335" s="20"/>
    </row>
    <row r="34336" spans="1:1" x14ac:dyDescent="0.3">
      <c r="A34336" s="20"/>
    </row>
    <row r="34337" spans="1:1" x14ac:dyDescent="0.3">
      <c r="A34337" s="20"/>
    </row>
    <row r="34338" spans="1:1" x14ac:dyDescent="0.3">
      <c r="A34338" s="20"/>
    </row>
    <row r="34339" spans="1:1" x14ac:dyDescent="0.3">
      <c r="A34339" s="20"/>
    </row>
    <row r="34340" spans="1:1" x14ac:dyDescent="0.3">
      <c r="A34340" s="20"/>
    </row>
    <row r="34341" spans="1:1" x14ac:dyDescent="0.3">
      <c r="A34341" s="20"/>
    </row>
    <row r="34342" spans="1:1" x14ac:dyDescent="0.3">
      <c r="A34342" s="20"/>
    </row>
    <row r="34343" spans="1:1" x14ac:dyDescent="0.3">
      <c r="A34343" s="20"/>
    </row>
    <row r="34344" spans="1:1" x14ac:dyDescent="0.3">
      <c r="A34344" s="20"/>
    </row>
    <row r="34345" spans="1:1" x14ac:dyDescent="0.3">
      <c r="A34345" s="20"/>
    </row>
    <row r="34346" spans="1:1" x14ac:dyDescent="0.3">
      <c r="A34346" s="20"/>
    </row>
    <row r="34347" spans="1:1" x14ac:dyDescent="0.3">
      <c r="A34347" s="20"/>
    </row>
    <row r="34348" spans="1:1" x14ac:dyDescent="0.3">
      <c r="A34348" s="20"/>
    </row>
    <row r="34349" spans="1:1" x14ac:dyDescent="0.3">
      <c r="A34349" s="20"/>
    </row>
    <row r="34350" spans="1:1" x14ac:dyDescent="0.3">
      <c r="A34350" s="20"/>
    </row>
    <row r="34351" spans="1:1" x14ac:dyDescent="0.3">
      <c r="A34351" s="20"/>
    </row>
    <row r="34352" spans="1:1" x14ac:dyDescent="0.3">
      <c r="A34352" s="20"/>
    </row>
    <row r="34353" spans="1:1" x14ac:dyDescent="0.3">
      <c r="A34353" s="20"/>
    </row>
    <row r="34354" spans="1:1" x14ac:dyDescent="0.3">
      <c r="A34354" s="20"/>
    </row>
    <row r="34355" spans="1:1" x14ac:dyDescent="0.3">
      <c r="A34355" s="20"/>
    </row>
    <row r="34356" spans="1:1" x14ac:dyDescent="0.3">
      <c r="A34356" s="20"/>
    </row>
    <row r="34357" spans="1:1" x14ac:dyDescent="0.3">
      <c r="A34357" s="20"/>
    </row>
    <row r="34358" spans="1:1" x14ac:dyDescent="0.3">
      <c r="A34358" s="20"/>
    </row>
    <row r="34359" spans="1:1" x14ac:dyDescent="0.3">
      <c r="A34359" s="20"/>
    </row>
    <row r="34360" spans="1:1" x14ac:dyDescent="0.3">
      <c r="A34360" s="20"/>
    </row>
    <row r="34361" spans="1:1" x14ac:dyDescent="0.3">
      <c r="A34361" s="20"/>
    </row>
    <row r="34362" spans="1:1" x14ac:dyDescent="0.3">
      <c r="A34362" s="20"/>
    </row>
    <row r="34363" spans="1:1" x14ac:dyDescent="0.3">
      <c r="A34363" s="20"/>
    </row>
    <row r="34364" spans="1:1" x14ac:dyDescent="0.3">
      <c r="A34364" s="20"/>
    </row>
    <row r="34365" spans="1:1" x14ac:dyDescent="0.3">
      <c r="A34365" s="20"/>
    </row>
    <row r="34366" spans="1:1" x14ac:dyDescent="0.3">
      <c r="A34366" s="20"/>
    </row>
    <row r="34367" spans="1:1" x14ac:dyDescent="0.3">
      <c r="A34367" s="20"/>
    </row>
    <row r="34368" spans="1:1" x14ac:dyDescent="0.3">
      <c r="A34368" s="20"/>
    </row>
    <row r="34369" spans="1:1" x14ac:dyDescent="0.3">
      <c r="A34369" s="20"/>
    </row>
    <row r="34370" spans="1:1" x14ac:dyDescent="0.3">
      <c r="A34370" s="20"/>
    </row>
    <row r="34371" spans="1:1" x14ac:dyDescent="0.3">
      <c r="A34371" s="20"/>
    </row>
    <row r="34372" spans="1:1" x14ac:dyDescent="0.3">
      <c r="A34372" s="20"/>
    </row>
    <row r="34373" spans="1:1" x14ac:dyDescent="0.3">
      <c r="A34373" s="20"/>
    </row>
    <row r="34374" spans="1:1" x14ac:dyDescent="0.3">
      <c r="A34374" s="20"/>
    </row>
    <row r="34375" spans="1:1" x14ac:dyDescent="0.3">
      <c r="A34375" s="20"/>
    </row>
    <row r="34376" spans="1:1" x14ac:dyDescent="0.3">
      <c r="A34376" s="20"/>
    </row>
    <row r="34377" spans="1:1" x14ac:dyDescent="0.3">
      <c r="A34377" s="20"/>
    </row>
    <row r="34378" spans="1:1" x14ac:dyDescent="0.3">
      <c r="A34378" s="20"/>
    </row>
    <row r="34379" spans="1:1" x14ac:dyDescent="0.3">
      <c r="A34379" s="20"/>
    </row>
    <row r="34380" spans="1:1" x14ac:dyDescent="0.3">
      <c r="A34380" s="20"/>
    </row>
    <row r="34381" spans="1:1" x14ac:dyDescent="0.3">
      <c r="A34381" s="20"/>
    </row>
    <row r="34382" spans="1:1" x14ac:dyDescent="0.3">
      <c r="A34382" s="20"/>
    </row>
    <row r="34383" spans="1:1" x14ac:dyDescent="0.3">
      <c r="A34383" s="20"/>
    </row>
    <row r="34384" spans="1:1" x14ac:dyDescent="0.3">
      <c r="A34384" s="20"/>
    </row>
    <row r="34385" spans="1:1" x14ac:dyDescent="0.3">
      <c r="A34385" s="20"/>
    </row>
    <row r="34386" spans="1:1" x14ac:dyDescent="0.3">
      <c r="A34386" s="20"/>
    </row>
    <row r="34387" spans="1:1" x14ac:dyDescent="0.3">
      <c r="A34387" s="20"/>
    </row>
    <row r="34388" spans="1:1" x14ac:dyDescent="0.3">
      <c r="A34388" s="20"/>
    </row>
    <row r="34389" spans="1:1" x14ac:dyDescent="0.3">
      <c r="A34389" s="20"/>
    </row>
    <row r="34390" spans="1:1" x14ac:dyDescent="0.3">
      <c r="A34390" s="20"/>
    </row>
    <row r="34391" spans="1:1" x14ac:dyDescent="0.3">
      <c r="A34391" s="20"/>
    </row>
    <row r="34392" spans="1:1" x14ac:dyDescent="0.3">
      <c r="A34392" s="20"/>
    </row>
    <row r="34393" spans="1:1" x14ac:dyDescent="0.3">
      <c r="A34393" s="20"/>
    </row>
    <row r="34394" spans="1:1" x14ac:dyDescent="0.3">
      <c r="A34394" s="20"/>
    </row>
    <row r="34395" spans="1:1" x14ac:dyDescent="0.3">
      <c r="A34395" s="20"/>
    </row>
    <row r="34396" spans="1:1" x14ac:dyDescent="0.3">
      <c r="A34396" s="20"/>
    </row>
    <row r="34397" spans="1:1" x14ac:dyDescent="0.3">
      <c r="A34397" s="20"/>
    </row>
    <row r="34398" spans="1:1" x14ac:dyDescent="0.3">
      <c r="A34398" s="20"/>
    </row>
    <row r="34399" spans="1:1" x14ac:dyDescent="0.3">
      <c r="A34399" s="20"/>
    </row>
    <row r="34400" spans="1:1" x14ac:dyDescent="0.3">
      <c r="A34400" s="20"/>
    </row>
    <row r="34401" spans="1:1" x14ac:dyDescent="0.3">
      <c r="A34401" s="20"/>
    </row>
    <row r="34402" spans="1:1" x14ac:dyDescent="0.3">
      <c r="A34402" s="20"/>
    </row>
    <row r="34403" spans="1:1" x14ac:dyDescent="0.3">
      <c r="A34403" s="20"/>
    </row>
    <row r="34404" spans="1:1" x14ac:dyDescent="0.3">
      <c r="A34404" s="20"/>
    </row>
    <row r="34405" spans="1:1" x14ac:dyDescent="0.3">
      <c r="A34405" s="20"/>
    </row>
    <row r="34406" spans="1:1" x14ac:dyDescent="0.3">
      <c r="A34406" s="20"/>
    </row>
    <row r="34407" spans="1:1" x14ac:dyDescent="0.3">
      <c r="A34407" s="20"/>
    </row>
    <row r="34408" spans="1:1" x14ac:dyDescent="0.3">
      <c r="A34408" s="20"/>
    </row>
    <row r="34409" spans="1:1" x14ac:dyDescent="0.3">
      <c r="A34409" s="20"/>
    </row>
    <row r="34410" spans="1:1" x14ac:dyDescent="0.3">
      <c r="A34410" s="20"/>
    </row>
    <row r="34411" spans="1:1" x14ac:dyDescent="0.3">
      <c r="A34411" s="20"/>
    </row>
    <row r="34412" spans="1:1" x14ac:dyDescent="0.3">
      <c r="A34412" s="20"/>
    </row>
    <row r="34413" spans="1:1" x14ac:dyDescent="0.3">
      <c r="A34413" s="20"/>
    </row>
    <row r="34414" spans="1:1" x14ac:dyDescent="0.3">
      <c r="A34414" s="20"/>
    </row>
    <row r="34415" spans="1:1" x14ac:dyDescent="0.3">
      <c r="A34415" s="20"/>
    </row>
    <row r="34416" spans="1:1" x14ac:dyDescent="0.3">
      <c r="A34416" s="20"/>
    </row>
    <row r="34417" spans="1:1" x14ac:dyDescent="0.3">
      <c r="A34417" s="20"/>
    </row>
    <row r="34418" spans="1:1" x14ac:dyDescent="0.3">
      <c r="A34418" s="20"/>
    </row>
    <row r="34419" spans="1:1" x14ac:dyDescent="0.3">
      <c r="A34419" s="20"/>
    </row>
    <row r="34420" spans="1:1" x14ac:dyDescent="0.3">
      <c r="A34420" s="20"/>
    </row>
    <row r="34421" spans="1:1" x14ac:dyDescent="0.3">
      <c r="A34421" s="20"/>
    </row>
    <row r="34422" spans="1:1" x14ac:dyDescent="0.3">
      <c r="A34422" s="20"/>
    </row>
    <row r="34423" spans="1:1" x14ac:dyDescent="0.3">
      <c r="A34423" s="20"/>
    </row>
    <row r="34424" spans="1:1" x14ac:dyDescent="0.3">
      <c r="A34424" s="20"/>
    </row>
    <row r="34425" spans="1:1" x14ac:dyDescent="0.3">
      <c r="A34425" s="20"/>
    </row>
    <row r="34426" spans="1:1" x14ac:dyDescent="0.3">
      <c r="A34426" s="20"/>
    </row>
    <row r="34427" spans="1:1" x14ac:dyDescent="0.3">
      <c r="A34427" s="20"/>
    </row>
    <row r="34428" spans="1:1" x14ac:dyDescent="0.3">
      <c r="A34428" s="20"/>
    </row>
    <row r="34429" spans="1:1" x14ac:dyDescent="0.3">
      <c r="A34429" s="20"/>
    </row>
    <row r="34430" spans="1:1" x14ac:dyDescent="0.3">
      <c r="A34430" s="20"/>
    </row>
    <row r="34431" spans="1:1" x14ac:dyDescent="0.3">
      <c r="A34431" s="20"/>
    </row>
    <row r="34432" spans="1:1" x14ac:dyDescent="0.3">
      <c r="A34432" s="20"/>
    </row>
    <row r="34433" spans="1:1" x14ac:dyDescent="0.3">
      <c r="A34433" s="20"/>
    </row>
    <row r="34434" spans="1:1" x14ac:dyDescent="0.3">
      <c r="A34434" s="20"/>
    </row>
    <row r="34435" spans="1:1" x14ac:dyDescent="0.3">
      <c r="A34435" s="20"/>
    </row>
    <row r="34436" spans="1:1" x14ac:dyDescent="0.3">
      <c r="A34436" s="20"/>
    </row>
    <row r="34437" spans="1:1" x14ac:dyDescent="0.3">
      <c r="A34437" s="20"/>
    </row>
    <row r="34438" spans="1:1" x14ac:dyDescent="0.3">
      <c r="A34438" s="20"/>
    </row>
    <row r="34439" spans="1:1" x14ac:dyDescent="0.3">
      <c r="A34439" s="20"/>
    </row>
    <row r="34440" spans="1:1" x14ac:dyDescent="0.3">
      <c r="A34440" s="20"/>
    </row>
    <row r="34441" spans="1:1" x14ac:dyDescent="0.3">
      <c r="A34441" s="20"/>
    </row>
    <row r="34442" spans="1:1" x14ac:dyDescent="0.3">
      <c r="A34442" s="20"/>
    </row>
    <row r="34443" spans="1:1" x14ac:dyDescent="0.3">
      <c r="A34443" s="20"/>
    </row>
    <row r="34444" spans="1:1" x14ac:dyDescent="0.3">
      <c r="A34444" s="20"/>
    </row>
    <row r="34445" spans="1:1" x14ac:dyDescent="0.3">
      <c r="A34445" s="20"/>
    </row>
    <row r="34446" spans="1:1" x14ac:dyDescent="0.3">
      <c r="A34446" s="20"/>
    </row>
    <row r="34447" spans="1:1" x14ac:dyDescent="0.3">
      <c r="A34447" s="20"/>
    </row>
    <row r="34448" spans="1:1" x14ac:dyDescent="0.3">
      <c r="A34448" s="20"/>
    </row>
    <row r="34449" spans="1:1" x14ac:dyDescent="0.3">
      <c r="A34449" s="20"/>
    </row>
    <row r="34450" spans="1:1" x14ac:dyDescent="0.3">
      <c r="A34450" s="20"/>
    </row>
    <row r="34451" spans="1:1" x14ac:dyDescent="0.3">
      <c r="A34451" s="20"/>
    </row>
    <row r="34452" spans="1:1" x14ac:dyDescent="0.3">
      <c r="A34452" s="20"/>
    </row>
    <row r="34453" spans="1:1" x14ac:dyDescent="0.3">
      <c r="A34453" s="20"/>
    </row>
    <row r="34454" spans="1:1" x14ac:dyDescent="0.3">
      <c r="A34454" s="20"/>
    </row>
    <row r="34455" spans="1:1" x14ac:dyDescent="0.3">
      <c r="A34455" s="20"/>
    </row>
    <row r="34456" spans="1:1" x14ac:dyDescent="0.3">
      <c r="A34456" s="20"/>
    </row>
    <row r="34457" spans="1:1" x14ac:dyDescent="0.3">
      <c r="A34457" s="20"/>
    </row>
    <row r="34458" spans="1:1" x14ac:dyDescent="0.3">
      <c r="A34458" s="20"/>
    </row>
    <row r="34459" spans="1:1" x14ac:dyDescent="0.3">
      <c r="A34459" s="20"/>
    </row>
    <row r="34460" spans="1:1" x14ac:dyDescent="0.3">
      <c r="A34460" s="20"/>
    </row>
    <row r="34461" spans="1:1" x14ac:dyDescent="0.3">
      <c r="A34461" s="20"/>
    </row>
    <row r="34462" spans="1:1" x14ac:dyDescent="0.3">
      <c r="A34462" s="20"/>
    </row>
    <row r="34463" spans="1:1" x14ac:dyDescent="0.3">
      <c r="A34463" s="20"/>
    </row>
    <row r="34464" spans="1:1" x14ac:dyDescent="0.3">
      <c r="A34464" s="20"/>
    </row>
    <row r="34465" spans="1:1" x14ac:dyDescent="0.3">
      <c r="A34465" s="20"/>
    </row>
    <row r="34466" spans="1:1" x14ac:dyDescent="0.3">
      <c r="A34466" s="20"/>
    </row>
    <row r="34467" spans="1:1" x14ac:dyDescent="0.3">
      <c r="A34467" s="20"/>
    </row>
    <row r="34468" spans="1:1" x14ac:dyDescent="0.3">
      <c r="A34468" s="20"/>
    </row>
    <row r="34469" spans="1:1" x14ac:dyDescent="0.3">
      <c r="A34469" s="20"/>
    </row>
    <row r="34470" spans="1:1" x14ac:dyDescent="0.3">
      <c r="A34470" s="20"/>
    </row>
    <row r="34471" spans="1:1" x14ac:dyDescent="0.3">
      <c r="A34471" s="20"/>
    </row>
    <row r="34472" spans="1:1" x14ac:dyDescent="0.3">
      <c r="A34472" s="20"/>
    </row>
    <row r="34473" spans="1:1" x14ac:dyDescent="0.3">
      <c r="A34473" s="20"/>
    </row>
    <row r="34474" spans="1:1" x14ac:dyDescent="0.3">
      <c r="A34474" s="20"/>
    </row>
    <row r="34475" spans="1:1" x14ac:dyDescent="0.3">
      <c r="A34475" s="20"/>
    </row>
    <row r="34476" spans="1:1" x14ac:dyDescent="0.3">
      <c r="A34476" s="20"/>
    </row>
    <row r="34477" spans="1:1" x14ac:dyDescent="0.3">
      <c r="A34477" s="20"/>
    </row>
    <row r="34478" spans="1:1" x14ac:dyDescent="0.3">
      <c r="A34478" s="20"/>
    </row>
    <row r="34479" spans="1:1" x14ac:dyDescent="0.3">
      <c r="A34479" s="20"/>
    </row>
    <row r="34480" spans="1:1" x14ac:dyDescent="0.3">
      <c r="A34480" s="20"/>
    </row>
    <row r="34481" spans="1:1" x14ac:dyDescent="0.3">
      <c r="A34481" s="20"/>
    </row>
    <row r="34482" spans="1:1" x14ac:dyDescent="0.3">
      <c r="A34482" s="20"/>
    </row>
    <row r="34483" spans="1:1" x14ac:dyDescent="0.3">
      <c r="A34483" s="20"/>
    </row>
    <row r="34484" spans="1:1" x14ac:dyDescent="0.3">
      <c r="A34484" s="20"/>
    </row>
    <row r="34485" spans="1:1" x14ac:dyDescent="0.3">
      <c r="A34485" s="20"/>
    </row>
    <row r="34486" spans="1:1" x14ac:dyDescent="0.3">
      <c r="A34486" s="20"/>
    </row>
    <row r="34487" spans="1:1" x14ac:dyDescent="0.3">
      <c r="A34487" s="20"/>
    </row>
    <row r="34488" spans="1:1" x14ac:dyDescent="0.3">
      <c r="A34488" s="20"/>
    </row>
    <row r="34489" spans="1:1" x14ac:dyDescent="0.3">
      <c r="A34489" s="20"/>
    </row>
    <row r="34490" spans="1:1" x14ac:dyDescent="0.3">
      <c r="A34490" s="20"/>
    </row>
    <row r="34491" spans="1:1" x14ac:dyDescent="0.3">
      <c r="A34491" s="20"/>
    </row>
    <row r="34492" spans="1:1" x14ac:dyDescent="0.3">
      <c r="A34492" s="20"/>
    </row>
    <row r="34493" spans="1:1" x14ac:dyDescent="0.3">
      <c r="A34493" s="20"/>
    </row>
    <row r="34494" spans="1:1" x14ac:dyDescent="0.3">
      <c r="A34494" s="20"/>
    </row>
    <row r="34495" spans="1:1" x14ac:dyDescent="0.3">
      <c r="A34495" s="20"/>
    </row>
    <row r="34496" spans="1:1" x14ac:dyDescent="0.3">
      <c r="A34496" s="20"/>
    </row>
    <row r="34497" spans="1:1" x14ac:dyDescent="0.3">
      <c r="A34497" s="20"/>
    </row>
    <row r="34498" spans="1:1" x14ac:dyDescent="0.3">
      <c r="A34498" s="20"/>
    </row>
    <row r="34499" spans="1:1" x14ac:dyDescent="0.3">
      <c r="A34499" s="20"/>
    </row>
    <row r="34500" spans="1:1" x14ac:dyDescent="0.3">
      <c r="A34500" s="20"/>
    </row>
    <row r="34501" spans="1:1" x14ac:dyDescent="0.3">
      <c r="A34501" s="20"/>
    </row>
    <row r="34502" spans="1:1" x14ac:dyDescent="0.3">
      <c r="A34502" s="20"/>
    </row>
    <row r="34503" spans="1:1" x14ac:dyDescent="0.3">
      <c r="A34503" s="20"/>
    </row>
    <row r="34504" spans="1:1" x14ac:dyDescent="0.3">
      <c r="A34504" s="20"/>
    </row>
    <row r="34505" spans="1:1" x14ac:dyDescent="0.3">
      <c r="A34505" s="20"/>
    </row>
    <row r="34506" spans="1:1" x14ac:dyDescent="0.3">
      <c r="A34506" s="20"/>
    </row>
    <row r="34507" spans="1:1" x14ac:dyDescent="0.3">
      <c r="A34507" s="20"/>
    </row>
    <row r="34508" spans="1:1" x14ac:dyDescent="0.3">
      <c r="A34508" s="20"/>
    </row>
    <row r="34509" spans="1:1" x14ac:dyDescent="0.3">
      <c r="A34509" s="20"/>
    </row>
    <row r="34510" spans="1:1" x14ac:dyDescent="0.3">
      <c r="A34510" s="20"/>
    </row>
    <row r="34511" spans="1:1" x14ac:dyDescent="0.3">
      <c r="A34511" s="20"/>
    </row>
    <row r="34512" spans="1:1" x14ac:dyDescent="0.3">
      <c r="A34512" s="20"/>
    </row>
    <row r="34513" spans="1:1" x14ac:dyDescent="0.3">
      <c r="A34513" s="20"/>
    </row>
    <row r="34514" spans="1:1" x14ac:dyDescent="0.3">
      <c r="A34514" s="20"/>
    </row>
    <row r="34515" spans="1:1" x14ac:dyDescent="0.3">
      <c r="A34515" s="20"/>
    </row>
    <row r="34516" spans="1:1" x14ac:dyDescent="0.3">
      <c r="A34516" s="20"/>
    </row>
    <row r="34517" spans="1:1" x14ac:dyDescent="0.3">
      <c r="A34517" s="20"/>
    </row>
    <row r="34518" spans="1:1" x14ac:dyDescent="0.3">
      <c r="A34518" s="20"/>
    </row>
    <row r="34519" spans="1:1" x14ac:dyDescent="0.3">
      <c r="A34519" s="20"/>
    </row>
    <row r="34520" spans="1:1" x14ac:dyDescent="0.3">
      <c r="A34520" s="20"/>
    </row>
    <row r="34521" spans="1:1" x14ac:dyDescent="0.3">
      <c r="A34521" s="20"/>
    </row>
    <row r="34522" spans="1:1" x14ac:dyDescent="0.3">
      <c r="A34522" s="20"/>
    </row>
    <row r="34523" spans="1:1" x14ac:dyDescent="0.3">
      <c r="A34523" s="20"/>
    </row>
    <row r="34524" spans="1:1" x14ac:dyDescent="0.3">
      <c r="A34524" s="20"/>
    </row>
    <row r="34525" spans="1:1" x14ac:dyDescent="0.3">
      <c r="A34525" s="20"/>
    </row>
    <row r="34526" spans="1:1" x14ac:dyDescent="0.3">
      <c r="A34526" s="20"/>
    </row>
    <row r="34527" spans="1:1" x14ac:dyDescent="0.3">
      <c r="A34527" s="20"/>
    </row>
    <row r="34528" spans="1:1" x14ac:dyDescent="0.3">
      <c r="A34528" s="20"/>
    </row>
    <row r="34529" spans="1:1" x14ac:dyDescent="0.3">
      <c r="A34529" s="20"/>
    </row>
    <row r="34530" spans="1:1" x14ac:dyDescent="0.3">
      <c r="A34530" s="20"/>
    </row>
    <row r="34531" spans="1:1" x14ac:dyDescent="0.3">
      <c r="A34531" s="20"/>
    </row>
    <row r="34532" spans="1:1" x14ac:dyDescent="0.3">
      <c r="A34532" s="20"/>
    </row>
    <row r="34533" spans="1:1" x14ac:dyDescent="0.3">
      <c r="A34533" s="20"/>
    </row>
    <row r="34534" spans="1:1" x14ac:dyDescent="0.3">
      <c r="A34534" s="20"/>
    </row>
    <row r="34535" spans="1:1" x14ac:dyDescent="0.3">
      <c r="A34535" s="20"/>
    </row>
    <row r="34536" spans="1:1" x14ac:dyDescent="0.3">
      <c r="A34536" s="20"/>
    </row>
    <row r="34537" spans="1:1" x14ac:dyDescent="0.3">
      <c r="A34537" s="20"/>
    </row>
    <row r="34538" spans="1:1" x14ac:dyDescent="0.3">
      <c r="A34538" s="20"/>
    </row>
    <row r="34539" spans="1:1" x14ac:dyDescent="0.3">
      <c r="A34539" s="20"/>
    </row>
    <row r="34540" spans="1:1" x14ac:dyDescent="0.3">
      <c r="A34540" s="20"/>
    </row>
    <row r="34541" spans="1:1" x14ac:dyDescent="0.3">
      <c r="A34541" s="20"/>
    </row>
    <row r="34542" spans="1:1" x14ac:dyDescent="0.3">
      <c r="A34542" s="20"/>
    </row>
    <row r="34543" spans="1:1" x14ac:dyDescent="0.3">
      <c r="A34543" s="20"/>
    </row>
    <row r="34544" spans="1:1" x14ac:dyDescent="0.3">
      <c r="A34544" s="20"/>
    </row>
    <row r="34545" spans="1:1" x14ac:dyDescent="0.3">
      <c r="A34545" s="20"/>
    </row>
    <row r="34546" spans="1:1" x14ac:dyDescent="0.3">
      <c r="A34546" s="20"/>
    </row>
    <row r="34547" spans="1:1" x14ac:dyDescent="0.3">
      <c r="A34547" s="20"/>
    </row>
    <row r="34548" spans="1:1" x14ac:dyDescent="0.3">
      <c r="A34548" s="20"/>
    </row>
    <row r="34549" spans="1:1" x14ac:dyDescent="0.3">
      <c r="A34549" s="20"/>
    </row>
    <row r="34550" spans="1:1" x14ac:dyDescent="0.3">
      <c r="A34550" s="20"/>
    </row>
    <row r="34551" spans="1:1" x14ac:dyDescent="0.3">
      <c r="A34551" s="20"/>
    </row>
    <row r="34552" spans="1:1" x14ac:dyDescent="0.3">
      <c r="A34552" s="20"/>
    </row>
    <row r="34553" spans="1:1" x14ac:dyDescent="0.3">
      <c r="A34553" s="20"/>
    </row>
    <row r="34554" spans="1:1" x14ac:dyDescent="0.3">
      <c r="A34554" s="20"/>
    </row>
    <row r="34555" spans="1:1" x14ac:dyDescent="0.3">
      <c r="A34555" s="20"/>
    </row>
    <row r="34556" spans="1:1" x14ac:dyDescent="0.3">
      <c r="A34556" s="20"/>
    </row>
    <row r="34557" spans="1:1" x14ac:dyDescent="0.3">
      <c r="A34557" s="20"/>
    </row>
    <row r="34558" spans="1:1" x14ac:dyDescent="0.3">
      <c r="A34558" s="20"/>
    </row>
    <row r="34559" spans="1:1" x14ac:dyDescent="0.3">
      <c r="A34559" s="20"/>
    </row>
    <row r="34560" spans="1:1" x14ac:dyDescent="0.3">
      <c r="A34560" s="20"/>
    </row>
    <row r="34561" spans="1:1" x14ac:dyDescent="0.3">
      <c r="A34561" s="20"/>
    </row>
    <row r="34562" spans="1:1" x14ac:dyDescent="0.3">
      <c r="A34562" s="20"/>
    </row>
    <row r="34563" spans="1:1" x14ac:dyDescent="0.3">
      <c r="A34563" s="20"/>
    </row>
    <row r="34564" spans="1:1" x14ac:dyDescent="0.3">
      <c r="A34564" s="20"/>
    </row>
    <row r="34565" spans="1:1" x14ac:dyDescent="0.3">
      <c r="A34565" s="20"/>
    </row>
    <row r="34566" spans="1:1" x14ac:dyDescent="0.3">
      <c r="A34566" s="20"/>
    </row>
    <row r="34567" spans="1:1" x14ac:dyDescent="0.3">
      <c r="A34567" s="20"/>
    </row>
    <row r="34568" spans="1:1" x14ac:dyDescent="0.3">
      <c r="A34568" s="20"/>
    </row>
    <row r="34569" spans="1:1" x14ac:dyDescent="0.3">
      <c r="A34569" s="20"/>
    </row>
    <row r="34570" spans="1:1" x14ac:dyDescent="0.3">
      <c r="A34570" s="20"/>
    </row>
    <row r="34571" spans="1:1" x14ac:dyDescent="0.3">
      <c r="A34571" s="20"/>
    </row>
    <row r="34572" spans="1:1" x14ac:dyDescent="0.3">
      <c r="A34572" s="20"/>
    </row>
    <row r="34573" spans="1:1" x14ac:dyDescent="0.3">
      <c r="A34573" s="20"/>
    </row>
    <row r="34574" spans="1:1" x14ac:dyDescent="0.3">
      <c r="A34574" s="20"/>
    </row>
    <row r="34575" spans="1:1" x14ac:dyDescent="0.3">
      <c r="A34575" s="20"/>
    </row>
    <row r="34576" spans="1:1" x14ac:dyDescent="0.3">
      <c r="A34576" s="20"/>
    </row>
    <row r="34577" spans="1:1" x14ac:dyDescent="0.3">
      <c r="A34577" s="20"/>
    </row>
    <row r="34578" spans="1:1" x14ac:dyDescent="0.3">
      <c r="A34578" s="20"/>
    </row>
    <row r="34579" spans="1:1" x14ac:dyDescent="0.3">
      <c r="A34579" s="20"/>
    </row>
    <row r="34580" spans="1:1" x14ac:dyDescent="0.3">
      <c r="A34580" s="20"/>
    </row>
    <row r="34581" spans="1:1" x14ac:dyDescent="0.3">
      <c r="A34581" s="20"/>
    </row>
    <row r="34582" spans="1:1" x14ac:dyDescent="0.3">
      <c r="A34582" s="20"/>
    </row>
    <row r="34583" spans="1:1" x14ac:dyDescent="0.3">
      <c r="A34583" s="20"/>
    </row>
    <row r="34584" spans="1:1" x14ac:dyDescent="0.3">
      <c r="A34584" s="20"/>
    </row>
    <row r="34585" spans="1:1" x14ac:dyDescent="0.3">
      <c r="A34585" s="20"/>
    </row>
    <row r="34586" spans="1:1" x14ac:dyDescent="0.3">
      <c r="A34586" s="20"/>
    </row>
    <row r="34587" spans="1:1" x14ac:dyDescent="0.3">
      <c r="A34587" s="20"/>
    </row>
    <row r="34588" spans="1:1" x14ac:dyDescent="0.3">
      <c r="A34588" s="20"/>
    </row>
    <row r="34589" spans="1:1" x14ac:dyDescent="0.3">
      <c r="A34589" s="20"/>
    </row>
    <row r="34590" spans="1:1" x14ac:dyDescent="0.3">
      <c r="A34590" s="20"/>
    </row>
    <row r="34591" spans="1:1" x14ac:dyDescent="0.3">
      <c r="A34591" s="20"/>
    </row>
    <row r="34592" spans="1:1" x14ac:dyDescent="0.3">
      <c r="A34592" s="20"/>
    </row>
    <row r="34593" spans="1:1" x14ac:dyDescent="0.3">
      <c r="A34593" s="20"/>
    </row>
    <row r="34594" spans="1:1" x14ac:dyDescent="0.3">
      <c r="A34594" s="20"/>
    </row>
    <row r="34595" spans="1:1" x14ac:dyDescent="0.3">
      <c r="A34595" s="20"/>
    </row>
    <row r="34596" spans="1:1" x14ac:dyDescent="0.3">
      <c r="A34596" s="20"/>
    </row>
    <row r="34597" spans="1:1" x14ac:dyDescent="0.3">
      <c r="A34597" s="20"/>
    </row>
    <row r="34598" spans="1:1" x14ac:dyDescent="0.3">
      <c r="A34598" s="20"/>
    </row>
    <row r="34599" spans="1:1" x14ac:dyDescent="0.3">
      <c r="A34599" s="20"/>
    </row>
    <row r="34600" spans="1:1" x14ac:dyDescent="0.3">
      <c r="A34600" s="20"/>
    </row>
    <row r="34601" spans="1:1" x14ac:dyDescent="0.3">
      <c r="A34601" s="20"/>
    </row>
    <row r="34602" spans="1:1" x14ac:dyDescent="0.3">
      <c r="A34602" s="20"/>
    </row>
    <row r="34603" spans="1:1" x14ac:dyDescent="0.3">
      <c r="A34603" s="20"/>
    </row>
    <row r="34604" spans="1:1" x14ac:dyDescent="0.3">
      <c r="A34604" s="20"/>
    </row>
    <row r="34605" spans="1:1" x14ac:dyDescent="0.3">
      <c r="A34605" s="20"/>
    </row>
    <row r="34606" spans="1:1" x14ac:dyDescent="0.3">
      <c r="A34606" s="20"/>
    </row>
    <row r="34607" spans="1:1" x14ac:dyDescent="0.3">
      <c r="A34607" s="20"/>
    </row>
    <row r="34608" spans="1:1" x14ac:dyDescent="0.3">
      <c r="A34608" s="20"/>
    </row>
    <row r="34609" spans="1:1" x14ac:dyDescent="0.3">
      <c r="A34609" s="20"/>
    </row>
    <row r="34610" spans="1:1" x14ac:dyDescent="0.3">
      <c r="A34610" s="20"/>
    </row>
    <row r="34611" spans="1:1" x14ac:dyDescent="0.3">
      <c r="A34611" s="20"/>
    </row>
    <row r="34612" spans="1:1" x14ac:dyDescent="0.3">
      <c r="A34612" s="20"/>
    </row>
    <row r="34613" spans="1:1" x14ac:dyDescent="0.3">
      <c r="A34613" s="20"/>
    </row>
    <row r="34614" spans="1:1" x14ac:dyDescent="0.3">
      <c r="A34614" s="20"/>
    </row>
    <row r="34615" spans="1:1" x14ac:dyDescent="0.3">
      <c r="A34615" s="20"/>
    </row>
    <row r="34616" spans="1:1" x14ac:dyDescent="0.3">
      <c r="A34616" s="20"/>
    </row>
    <row r="34617" spans="1:1" x14ac:dyDescent="0.3">
      <c r="A34617" s="20"/>
    </row>
    <row r="34618" spans="1:1" x14ac:dyDescent="0.3">
      <c r="A34618" s="20"/>
    </row>
    <row r="34619" spans="1:1" x14ac:dyDescent="0.3">
      <c r="A34619" s="20"/>
    </row>
    <row r="34620" spans="1:1" x14ac:dyDescent="0.3">
      <c r="A34620" s="20"/>
    </row>
    <row r="34621" spans="1:1" x14ac:dyDescent="0.3">
      <c r="A34621" s="20"/>
    </row>
    <row r="34622" spans="1:1" x14ac:dyDescent="0.3">
      <c r="A34622" s="20"/>
    </row>
    <row r="34623" spans="1:1" x14ac:dyDescent="0.3">
      <c r="A34623" s="20"/>
    </row>
    <row r="34624" spans="1:1" x14ac:dyDescent="0.3">
      <c r="A34624" s="20"/>
    </row>
    <row r="34625" spans="1:1" x14ac:dyDescent="0.3">
      <c r="A34625" s="20"/>
    </row>
    <row r="34626" spans="1:1" x14ac:dyDescent="0.3">
      <c r="A34626" s="20"/>
    </row>
    <row r="34627" spans="1:1" x14ac:dyDescent="0.3">
      <c r="A34627" s="20"/>
    </row>
    <row r="34628" spans="1:1" x14ac:dyDescent="0.3">
      <c r="A34628" s="20"/>
    </row>
    <row r="34629" spans="1:1" x14ac:dyDescent="0.3">
      <c r="A34629" s="20"/>
    </row>
    <row r="34630" spans="1:1" x14ac:dyDescent="0.3">
      <c r="A34630" s="20"/>
    </row>
    <row r="34631" spans="1:1" x14ac:dyDescent="0.3">
      <c r="A34631" s="20"/>
    </row>
    <row r="34632" spans="1:1" x14ac:dyDescent="0.3">
      <c r="A34632" s="20"/>
    </row>
    <row r="34633" spans="1:1" x14ac:dyDescent="0.3">
      <c r="A34633" s="20"/>
    </row>
    <row r="34634" spans="1:1" x14ac:dyDescent="0.3">
      <c r="A34634" s="20"/>
    </row>
    <row r="34635" spans="1:1" x14ac:dyDescent="0.3">
      <c r="A34635" s="20"/>
    </row>
    <row r="34636" spans="1:1" x14ac:dyDescent="0.3">
      <c r="A34636" s="20"/>
    </row>
    <row r="34637" spans="1:1" x14ac:dyDescent="0.3">
      <c r="A34637" s="20"/>
    </row>
    <row r="34638" spans="1:1" x14ac:dyDescent="0.3">
      <c r="A34638" s="20"/>
    </row>
    <row r="34639" spans="1:1" x14ac:dyDescent="0.3">
      <c r="A34639" s="20"/>
    </row>
    <row r="34640" spans="1:1" x14ac:dyDescent="0.3">
      <c r="A34640" s="20"/>
    </row>
    <row r="34641" spans="1:1" x14ac:dyDescent="0.3">
      <c r="A34641" s="20"/>
    </row>
    <row r="34642" spans="1:1" x14ac:dyDescent="0.3">
      <c r="A34642" s="20"/>
    </row>
    <row r="34643" spans="1:1" x14ac:dyDescent="0.3">
      <c r="A34643" s="20"/>
    </row>
    <row r="34644" spans="1:1" x14ac:dyDescent="0.3">
      <c r="A34644" s="20"/>
    </row>
    <row r="34645" spans="1:1" x14ac:dyDescent="0.3">
      <c r="A34645" s="20"/>
    </row>
    <row r="34646" spans="1:1" x14ac:dyDescent="0.3">
      <c r="A34646" s="20"/>
    </row>
    <row r="34647" spans="1:1" x14ac:dyDescent="0.3">
      <c r="A34647" s="20"/>
    </row>
    <row r="34648" spans="1:1" x14ac:dyDescent="0.3">
      <c r="A34648" s="20"/>
    </row>
    <row r="34649" spans="1:1" x14ac:dyDescent="0.3">
      <c r="A34649" s="20"/>
    </row>
    <row r="34650" spans="1:1" x14ac:dyDescent="0.3">
      <c r="A34650" s="20"/>
    </row>
    <row r="34651" spans="1:1" x14ac:dyDescent="0.3">
      <c r="A34651" s="20"/>
    </row>
    <row r="34652" spans="1:1" x14ac:dyDescent="0.3">
      <c r="A34652" s="20"/>
    </row>
    <row r="34653" spans="1:1" x14ac:dyDescent="0.3">
      <c r="A34653" s="20"/>
    </row>
    <row r="34654" spans="1:1" x14ac:dyDescent="0.3">
      <c r="A34654" s="20"/>
    </row>
    <row r="34655" spans="1:1" x14ac:dyDescent="0.3">
      <c r="A34655" s="20"/>
    </row>
    <row r="34656" spans="1:1" x14ac:dyDescent="0.3">
      <c r="A34656" s="20"/>
    </row>
    <row r="34657" spans="1:1" x14ac:dyDescent="0.3">
      <c r="A34657" s="20"/>
    </row>
    <row r="34658" spans="1:1" x14ac:dyDescent="0.3">
      <c r="A34658" s="20"/>
    </row>
    <row r="34659" spans="1:1" x14ac:dyDescent="0.3">
      <c r="A34659" s="20"/>
    </row>
    <row r="34660" spans="1:1" x14ac:dyDescent="0.3">
      <c r="A34660" s="20"/>
    </row>
    <row r="34661" spans="1:1" x14ac:dyDescent="0.3">
      <c r="A34661" s="20"/>
    </row>
    <row r="34662" spans="1:1" x14ac:dyDescent="0.3">
      <c r="A34662" s="20"/>
    </row>
    <row r="34663" spans="1:1" x14ac:dyDescent="0.3">
      <c r="A34663" s="20"/>
    </row>
    <row r="34664" spans="1:1" x14ac:dyDescent="0.3">
      <c r="A34664" s="20"/>
    </row>
    <row r="34665" spans="1:1" x14ac:dyDescent="0.3">
      <c r="A34665" s="20"/>
    </row>
    <row r="34666" spans="1:1" x14ac:dyDescent="0.3">
      <c r="A34666" s="20"/>
    </row>
    <row r="34667" spans="1:1" x14ac:dyDescent="0.3">
      <c r="A34667" s="20"/>
    </row>
    <row r="34668" spans="1:1" x14ac:dyDescent="0.3">
      <c r="A34668" s="20"/>
    </row>
    <row r="34669" spans="1:1" x14ac:dyDescent="0.3">
      <c r="A34669" s="20"/>
    </row>
    <row r="34670" spans="1:1" x14ac:dyDescent="0.3">
      <c r="A34670" s="20"/>
    </row>
    <row r="34671" spans="1:1" x14ac:dyDescent="0.3">
      <c r="A34671" s="20"/>
    </row>
    <row r="34672" spans="1:1" x14ac:dyDescent="0.3">
      <c r="A34672" s="20"/>
    </row>
    <row r="34673" spans="1:1" x14ac:dyDescent="0.3">
      <c r="A34673" s="20"/>
    </row>
    <row r="34674" spans="1:1" x14ac:dyDescent="0.3">
      <c r="A34674" s="20"/>
    </row>
    <row r="34675" spans="1:1" x14ac:dyDescent="0.3">
      <c r="A34675" s="20"/>
    </row>
    <row r="34676" spans="1:1" x14ac:dyDescent="0.3">
      <c r="A34676" s="20"/>
    </row>
    <row r="34677" spans="1:1" x14ac:dyDescent="0.3">
      <c r="A34677" s="20"/>
    </row>
    <row r="34678" spans="1:1" x14ac:dyDescent="0.3">
      <c r="A34678" s="20"/>
    </row>
    <row r="34679" spans="1:1" x14ac:dyDescent="0.3">
      <c r="A34679" s="20"/>
    </row>
    <row r="34680" spans="1:1" x14ac:dyDescent="0.3">
      <c r="A34680" s="20"/>
    </row>
    <row r="34681" spans="1:1" x14ac:dyDescent="0.3">
      <c r="A34681" s="20"/>
    </row>
    <row r="34682" spans="1:1" x14ac:dyDescent="0.3">
      <c r="A34682" s="20"/>
    </row>
    <row r="34683" spans="1:1" x14ac:dyDescent="0.3">
      <c r="A34683" s="20"/>
    </row>
    <row r="34684" spans="1:1" x14ac:dyDescent="0.3">
      <c r="A34684" s="20"/>
    </row>
    <row r="34685" spans="1:1" x14ac:dyDescent="0.3">
      <c r="A34685" s="20"/>
    </row>
    <row r="34686" spans="1:1" x14ac:dyDescent="0.3">
      <c r="A34686" s="20"/>
    </row>
    <row r="34687" spans="1:1" x14ac:dyDescent="0.3">
      <c r="A34687" s="20"/>
    </row>
    <row r="34688" spans="1:1" x14ac:dyDescent="0.3">
      <c r="A34688" s="20"/>
    </row>
    <row r="34689" spans="1:1" x14ac:dyDescent="0.3">
      <c r="A34689" s="20"/>
    </row>
    <row r="34690" spans="1:1" x14ac:dyDescent="0.3">
      <c r="A34690" s="20"/>
    </row>
    <row r="34691" spans="1:1" x14ac:dyDescent="0.3">
      <c r="A34691" s="20"/>
    </row>
    <row r="34692" spans="1:1" x14ac:dyDescent="0.3">
      <c r="A34692" s="20"/>
    </row>
    <row r="34693" spans="1:1" x14ac:dyDescent="0.3">
      <c r="A34693" s="20"/>
    </row>
    <row r="34694" spans="1:1" x14ac:dyDescent="0.3">
      <c r="A34694" s="20"/>
    </row>
    <row r="34695" spans="1:1" x14ac:dyDescent="0.3">
      <c r="A34695" s="20"/>
    </row>
    <row r="34696" spans="1:1" x14ac:dyDescent="0.3">
      <c r="A34696" s="20"/>
    </row>
    <row r="34697" spans="1:1" x14ac:dyDescent="0.3">
      <c r="A34697" s="20"/>
    </row>
    <row r="34698" spans="1:1" x14ac:dyDescent="0.3">
      <c r="A34698" s="20"/>
    </row>
    <row r="34699" spans="1:1" x14ac:dyDescent="0.3">
      <c r="A34699" s="20"/>
    </row>
    <row r="34700" spans="1:1" x14ac:dyDescent="0.3">
      <c r="A34700" s="20"/>
    </row>
    <row r="34701" spans="1:1" x14ac:dyDescent="0.3">
      <c r="A34701" s="20"/>
    </row>
    <row r="34702" spans="1:1" x14ac:dyDescent="0.3">
      <c r="A34702" s="20"/>
    </row>
    <row r="34703" spans="1:1" x14ac:dyDescent="0.3">
      <c r="A34703" s="20"/>
    </row>
    <row r="34704" spans="1:1" x14ac:dyDescent="0.3">
      <c r="A34704" s="20"/>
    </row>
    <row r="34705" spans="1:1" x14ac:dyDescent="0.3">
      <c r="A34705" s="20"/>
    </row>
    <row r="34706" spans="1:1" x14ac:dyDescent="0.3">
      <c r="A34706" s="20"/>
    </row>
    <row r="34707" spans="1:1" x14ac:dyDescent="0.3">
      <c r="A34707" s="20"/>
    </row>
    <row r="34708" spans="1:1" x14ac:dyDescent="0.3">
      <c r="A34708" s="20"/>
    </row>
    <row r="34709" spans="1:1" x14ac:dyDescent="0.3">
      <c r="A34709" s="20"/>
    </row>
    <row r="34710" spans="1:1" x14ac:dyDescent="0.3">
      <c r="A34710" s="20"/>
    </row>
    <row r="34711" spans="1:1" x14ac:dyDescent="0.3">
      <c r="A34711" s="20"/>
    </row>
    <row r="34712" spans="1:1" x14ac:dyDescent="0.3">
      <c r="A34712" s="20"/>
    </row>
    <row r="34713" spans="1:1" x14ac:dyDescent="0.3">
      <c r="A34713" s="20"/>
    </row>
    <row r="34714" spans="1:1" x14ac:dyDescent="0.3">
      <c r="A34714" s="20"/>
    </row>
    <row r="34715" spans="1:1" x14ac:dyDescent="0.3">
      <c r="A34715" s="20"/>
    </row>
    <row r="34716" spans="1:1" x14ac:dyDescent="0.3">
      <c r="A34716" s="20"/>
    </row>
    <row r="34717" spans="1:1" x14ac:dyDescent="0.3">
      <c r="A34717" s="20"/>
    </row>
    <row r="34718" spans="1:1" x14ac:dyDescent="0.3">
      <c r="A34718" s="20"/>
    </row>
    <row r="34719" spans="1:1" x14ac:dyDescent="0.3">
      <c r="A34719" s="20"/>
    </row>
    <row r="34720" spans="1:1" x14ac:dyDescent="0.3">
      <c r="A34720" s="20"/>
    </row>
    <row r="34721" spans="1:1" x14ac:dyDescent="0.3">
      <c r="A34721" s="20"/>
    </row>
    <row r="34722" spans="1:1" x14ac:dyDescent="0.3">
      <c r="A34722" s="20"/>
    </row>
    <row r="34723" spans="1:1" x14ac:dyDescent="0.3">
      <c r="A34723" s="20"/>
    </row>
    <row r="34724" spans="1:1" x14ac:dyDescent="0.3">
      <c r="A34724" s="20"/>
    </row>
    <row r="34725" spans="1:1" x14ac:dyDescent="0.3">
      <c r="A34725" s="20"/>
    </row>
    <row r="34726" spans="1:1" x14ac:dyDescent="0.3">
      <c r="A34726" s="20"/>
    </row>
    <row r="34727" spans="1:1" x14ac:dyDescent="0.3">
      <c r="A34727" s="20"/>
    </row>
    <row r="34728" spans="1:1" x14ac:dyDescent="0.3">
      <c r="A34728" s="20"/>
    </row>
    <row r="34729" spans="1:1" x14ac:dyDescent="0.3">
      <c r="A34729" s="20"/>
    </row>
    <row r="34730" spans="1:1" x14ac:dyDescent="0.3">
      <c r="A34730" s="20"/>
    </row>
    <row r="34731" spans="1:1" x14ac:dyDescent="0.3">
      <c r="A34731" s="20"/>
    </row>
    <row r="34732" spans="1:1" x14ac:dyDescent="0.3">
      <c r="A34732" s="20"/>
    </row>
    <row r="34733" spans="1:1" x14ac:dyDescent="0.3">
      <c r="A34733" s="20"/>
    </row>
    <row r="34734" spans="1:1" x14ac:dyDescent="0.3">
      <c r="A34734" s="20"/>
    </row>
    <row r="34735" spans="1:1" x14ac:dyDescent="0.3">
      <c r="A34735" s="20"/>
    </row>
    <row r="34736" spans="1:1" x14ac:dyDescent="0.3">
      <c r="A34736" s="20"/>
    </row>
    <row r="34737" spans="1:1" x14ac:dyDescent="0.3">
      <c r="A34737" s="20"/>
    </row>
    <row r="34738" spans="1:1" x14ac:dyDescent="0.3">
      <c r="A34738" s="20"/>
    </row>
    <row r="34739" spans="1:1" x14ac:dyDescent="0.3">
      <c r="A34739" s="20"/>
    </row>
    <row r="34740" spans="1:1" x14ac:dyDescent="0.3">
      <c r="A34740" s="20"/>
    </row>
    <row r="34741" spans="1:1" x14ac:dyDescent="0.3">
      <c r="A34741" s="20"/>
    </row>
    <row r="34742" spans="1:1" x14ac:dyDescent="0.3">
      <c r="A34742" s="20"/>
    </row>
    <row r="34743" spans="1:1" x14ac:dyDescent="0.3">
      <c r="A34743" s="20"/>
    </row>
    <row r="34744" spans="1:1" x14ac:dyDescent="0.3">
      <c r="A34744" s="20"/>
    </row>
    <row r="34745" spans="1:1" x14ac:dyDescent="0.3">
      <c r="A34745" s="20"/>
    </row>
    <row r="34746" spans="1:1" x14ac:dyDescent="0.3">
      <c r="A34746" s="20"/>
    </row>
    <row r="34747" spans="1:1" x14ac:dyDescent="0.3">
      <c r="A34747" s="20"/>
    </row>
    <row r="34748" spans="1:1" x14ac:dyDescent="0.3">
      <c r="A34748" s="20"/>
    </row>
    <row r="34749" spans="1:1" x14ac:dyDescent="0.3">
      <c r="A34749" s="20"/>
    </row>
    <row r="34750" spans="1:1" x14ac:dyDescent="0.3">
      <c r="A34750" s="20"/>
    </row>
    <row r="34751" spans="1:1" x14ac:dyDescent="0.3">
      <c r="A34751" s="20"/>
    </row>
    <row r="34752" spans="1:1" x14ac:dyDescent="0.3">
      <c r="A34752" s="20"/>
    </row>
    <row r="34753" spans="1:1" x14ac:dyDescent="0.3">
      <c r="A34753" s="20"/>
    </row>
    <row r="34754" spans="1:1" x14ac:dyDescent="0.3">
      <c r="A34754" s="20"/>
    </row>
    <row r="34755" spans="1:1" x14ac:dyDescent="0.3">
      <c r="A34755" s="20"/>
    </row>
    <row r="34756" spans="1:1" x14ac:dyDescent="0.3">
      <c r="A34756" s="20"/>
    </row>
    <row r="34757" spans="1:1" x14ac:dyDescent="0.3">
      <c r="A34757" s="20"/>
    </row>
    <row r="34758" spans="1:1" x14ac:dyDescent="0.3">
      <c r="A34758" s="20"/>
    </row>
    <row r="34759" spans="1:1" x14ac:dyDescent="0.3">
      <c r="A34759" s="20"/>
    </row>
    <row r="34760" spans="1:1" x14ac:dyDescent="0.3">
      <c r="A34760" s="20"/>
    </row>
    <row r="34761" spans="1:1" x14ac:dyDescent="0.3">
      <c r="A34761" s="20"/>
    </row>
    <row r="34762" spans="1:1" x14ac:dyDescent="0.3">
      <c r="A34762" s="20"/>
    </row>
    <row r="34763" spans="1:1" x14ac:dyDescent="0.3">
      <c r="A34763" s="20"/>
    </row>
    <row r="34764" spans="1:1" x14ac:dyDescent="0.3">
      <c r="A34764" s="20"/>
    </row>
    <row r="34765" spans="1:1" x14ac:dyDescent="0.3">
      <c r="A34765" s="20"/>
    </row>
    <row r="34766" spans="1:1" x14ac:dyDescent="0.3">
      <c r="A34766" s="20"/>
    </row>
    <row r="34767" spans="1:1" x14ac:dyDescent="0.3">
      <c r="A34767" s="20"/>
    </row>
    <row r="34768" spans="1:1" x14ac:dyDescent="0.3">
      <c r="A34768" s="20"/>
    </row>
    <row r="34769" spans="1:1" x14ac:dyDescent="0.3">
      <c r="A34769" s="20"/>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C0C319-A7EF-4122-AAC6-5ADE9B2A92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15</vt:i4>
      </vt:variant>
    </vt:vector>
  </HeadingPairs>
  <TitlesOfParts>
    <vt:vector size="34" baseType="lpstr">
      <vt:lpstr>Scripts</vt:lpstr>
      <vt:lpstr>Ref</vt:lpstr>
      <vt:lpstr>Log&amp;Process</vt:lpstr>
      <vt:lpstr>Runtool</vt:lpstr>
      <vt:lpstr>Upload53</vt:lpstr>
      <vt:lpstr>Upload53 RPBOD03</vt:lpstr>
      <vt:lpstr>Report</vt:lpstr>
      <vt:lpstr>Summary</vt:lpstr>
      <vt:lpstr>His53</vt:lpstr>
      <vt:lpstr>validate curve</vt:lpstr>
      <vt:lpstr>chart</vt:lpstr>
      <vt:lpstr>FNRP fibond</vt:lpstr>
      <vt:lpstr>FNRP</vt:lpstr>
      <vt:lpstr>GL</vt:lpstr>
      <vt:lpstr>AllDealps</vt:lpstr>
      <vt:lpstr>Repo</vt:lpstr>
      <vt:lpstr>RPBOD3</vt:lpstr>
      <vt:lpstr>Rating</vt:lpstr>
      <vt:lpstr>DataTT</vt:lpstr>
      <vt:lpstr>AL</vt:lpstr>
      <vt:lpstr>as</vt:lpstr>
      <vt:lpstr>ITB_Amt</vt:lpstr>
      <vt:lpstr>Last14D</vt:lpstr>
      <vt:lpstr>Lastmonth</vt:lpstr>
      <vt:lpstr>lastweek</vt:lpstr>
      <vt:lpstr>Lastyear</vt:lpstr>
      <vt:lpstr>LIQ03_</vt:lpstr>
      <vt:lpstr>Quarter1</vt:lpstr>
      <vt:lpstr>Quarter2</vt:lpstr>
      <vt:lpstr>Quarter3</vt:lpstr>
      <vt:lpstr>Quarter4</vt:lpstr>
      <vt:lpstr>RPT</vt:lpstr>
      <vt:lpstr>u</vt:lpstr>
      <vt:lpstr>Yesterday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Thao Tran Thi Phuong (QLRR-TTTK)</dc:creator>
  <cp:lastModifiedBy>Lam Pham Duc (QLRR - QLRRTTTK RRTT&amp;LSSNH)</cp:lastModifiedBy>
  <dcterms:created xsi:type="dcterms:W3CDTF">2015-06-05T18:17:20Z</dcterms:created>
  <dcterms:modified xsi:type="dcterms:W3CDTF">2026-09-03T09:43:39Z</dcterms:modified>
</cp:coreProperties>
</file>